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956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</sheets>
  <externalReferences>
    <externalReference r:id="rId43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BM!$C$5:$C$76</definedName>
    <definedName name="_xlnm._FilterDatabase" localSheetId="6" hidden="1">'DETAIL DESP  '!$C$275:$C$355</definedName>
    <definedName name="_xlnm._FilterDatabase" localSheetId="4" hidden="1">'Direct sales IPT details'!$B$137:$AA$137</definedName>
    <definedName name="_xlnm._FilterDatabase" localSheetId="17" hidden="1">'GRD SUMM RCL 150X150 '!$D$5:$AR$50</definedName>
    <definedName name="_xlnm._FilterDatabase" localSheetId="15" hidden="1">USM!$C$5:$C$112</definedName>
    <definedName name="_xlnm._FilterDatabase" localSheetId="16" hidden="1">'with diff nomenclature'!$D$5:$AR$74</definedName>
    <definedName name="_xlnm._FilterDatabase" localSheetId="13" hidden="1">WRM!$C$3:$C$170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grades'!$C$66:$BE$135</definedName>
    <definedName name="_xlnm.Print_Area" localSheetId="11">'B-FCE'!$B$1:$AT$106</definedName>
    <definedName name="_xlnm.Print_Area" localSheetId="14">BM!$B$1:$V$93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details'!$B$2:$U$132</definedName>
    <definedName name="_xlnm.Print_Area" localSheetId="23">ECD!#REF!</definedName>
    <definedName name="_xlnm.Print_Area" localSheetId="24">EMD!$B$1:$M$129</definedName>
    <definedName name="_xlnm.Print_Area" localSheetId="17">'GRD SUMM RCL 150X150 '!$E$2:$CU$50</definedName>
    <definedName name="_xlnm.Print_Area" localSheetId="18">'GRD SUMM RCL CASTER 3'!$A$2:$Y$39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Summ'!$B$3:$AB$51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PBS!$B$1:$M$117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Dispatch'!$C$1:$T$30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2">'Special steel '!$C$1:$O$77</definedName>
    <definedName name="_xlnm.Print_Area" localSheetId="15">USM!$B$1:$O$112</definedName>
    <definedName name="_xlnm.Print_Area" localSheetId="20">'Value added steel '!$C$1:$O$93</definedName>
    <definedName name="_xlnm.Print_Area" localSheetId="16">'with diff nomenclature'!$E$2:$CU$74</definedName>
    <definedName name="_xlnm.Print_Area" localSheetId="13">WRM!$B$1:$N$187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G66" i="82" l="1"/>
  <c r="H115" i="10" l="1"/>
  <c r="H88" i="10"/>
  <c r="H92" i="10"/>
  <c r="H93" i="10"/>
  <c r="H84" i="10"/>
  <c r="J126" i="10"/>
  <c r="J127" i="10"/>
  <c r="H65" i="10"/>
  <c r="H58" i="10"/>
  <c r="H13" i="10"/>
  <c r="H23" i="10"/>
  <c r="H21" i="10"/>
  <c r="H22" i="10"/>
  <c r="H30" i="10"/>
  <c r="G107" i="45" l="1"/>
  <c r="H107" i="45"/>
  <c r="I107" i="45"/>
  <c r="J107" i="45"/>
  <c r="K107" i="45"/>
  <c r="L107" i="45"/>
  <c r="M107" i="45"/>
  <c r="N107" i="45"/>
  <c r="O107" i="45"/>
  <c r="P107" i="45"/>
  <c r="Q107" i="45"/>
  <c r="R107" i="45"/>
  <c r="S107" i="45"/>
  <c r="T107" i="45"/>
  <c r="U107" i="45"/>
  <c r="V107" i="45"/>
  <c r="W107" i="45"/>
  <c r="X107" i="45"/>
  <c r="Y107" i="45"/>
  <c r="Z107" i="45"/>
  <c r="AA107" i="45"/>
  <c r="AB107" i="45"/>
  <c r="AC107" i="45"/>
  <c r="AD107" i="45"/>
  <c r="AE107" i="45"/>
  <c r="AF107" i="45"/>
  <c r="AG107" i="45"/>
  <c r="AH107" i="45"/>
  <c r="AI107" i="45"/>
  <c r="AJ107" i="45"/>
  <c r="AK107" i="45"/>
  <c r="AL107" i="45"/>
  <c r="AM107" i="45"/>
  <c r="AN107" i="45"/>
  <c r="AO107" i="45"/>
  <c r="AP107" i="45"/>
  <c r="AQ107" i="45"/>
  <c r="AR107" i="45"/>
  <c r="AS107" i="45"/>
  <c r="AT107" i="45"/>
  <c r="AU107" i="45"/>
  <c r="AV107" i="45"/>
  <c r="AW107" i="45"/>
  <c r="AX107" i="45"/>
  <c r="AY107" i="45"/>
  <c r="AZ107" i="45"/>
  <c r="BA107" i="45"/>
  <c r="BB107" i="45"/>
  <c r="BC107" i="45"/>
  <c r="BD107" i="45"/>
  <c r="BE107" i="45"/>
  <c r="BF107" i="45"/>
  <c r="BG107" i="45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E71" i="11"/>
  <c r="I165" i="10"/>
  <c r="F165" i="10"/>
  <c r="G165" i="10"/>
  <c r="K165" i="10"/>
  <c r="L165" i="10"/>
  <c r="M165" i="10"/>
  <c r="O165" i="10"/>
  <c r="P165" i="10"/>
  <c r="Q165" i="10"/>
  <c r="S165" i="10"/>
  <c r="T165" i="10"/>
  <c r="U165" i="10"/>
  <c r="W165" i="10"/>
  <c r="X165" i="10"/>
  <c r="Y165" i="10"/>
  <c r="Z165" i="10"/>
  <c r="AA165" i="10"/>
  <c r="AC165" i="10"/>
  <c r="AD165" i="10"/>
  <c r="AE165" i="10"/>
  <c r="AG165" i="10"/>
  <c r="AH165" i="10"/>
  <c r="AI165" i="10"/>
  <c r="AK165" i="10"/>
  <c r="AL165" i="10"/>
  <c r="AM165" i="10"/>
  <c r="AN165" i="10"/>
  <c r="AO165" i="10"/>
  <c r="AQ165" i="10"/>
  <c r="AR165" i="10"/>
  <c r="AS165" i="10"/>
  <c r="AU165" i="10"/>
  <c r="AV165" i="10"/>
  <c r="AW165" i="10"/>
  <c r="AY165" i="10"/>
  <c r="AZ165" i="10"/>
  <c r="BA165" i="10"/>
  <c r="BB165" i="10"/>
  <c r="BC165" i="10"/>
  <c r="BD165" i="10"/>
  <c r="BE165" i="10"/>
  <c r="E165" i="10"/>
  <c r="AY7" i="71" l="1"/>
  <c r="AY8" i="71"/>
  <c r="AY9" i="71"/>
  <c r="AY10" i="71"/>
  <c r="AY11" i="71"/>
  <c r="AY12" i="71"/>
  <c r="AY13" i="71"/>
  <c r="AY14" i="71"/>
  <c r="AY15" i="71"/>
  <c r="AY16" i="71"/>
  <c r="AY17" i="71"/>
  <c r="AY18" i="71"/>
  <c r="AY19" i="71"/>
  <c r="AY20" i="71"/>
  <c r="AY21" i="71"/>
  <c r="AY22" i="71"/>
  <c r="AY23" i="71"/>
  <c r="AY24" i="71"/>
  <c r="AY25" i="71"/>
  <c r="AY26" i="71"/>
  <c r="AY27" i="71"/>
  <c r="AY28" i="71"/>
  <c r="AY29" i="71"/>
  <c r="AY30" i="71"/>
  <c r="AY31" i="71"/>
  <c r="AY33" i="71"/>
  <c r="AY34" i="71"/>
  <c r="AY35" i="71"/>
  <c r="AY36" i="71"/>
  <c r="AY37" i="71"/>
  <c r="AY38" i="71"/>
  <c r="AY39" i="71"/>
  <c r="AY40" i="71"/>
  <c r="AY41" i="71"/>
  <c r="AY42" i="71"/>
  <c r="AY43" i="71"/>
  <c r="AY44" i="71"/>
  <c r="AY45" i="71"/>
  <c r="AY46" i="71"/>
  <c r="AY47" i="71"/>
  <c r="AY48" i="71"/>
  <c r="AY49" i="71"/>
  <c r="AW7" i="71"/>
  <c r="AW8" i="71"/>
  <c r="AW9" i="71"/>
  <c r="AW10" i="71"/>
  <c r="AW11" i="71"/>
  <c r="AW12" i="71"/>
  <c r="AW13" i="71"/>
  <c r="AW14" i="71"/>
  <c r="AW15" i="71"/>
  <c r="AW16" i="71"/>
  <c r="AW17" i="71"/>
  <c r="AW18" i="71"/>
  <c r="AW19" i="71"/>
  <c r="AW20" i="71"/>
  <c r="AW21" i="71"/>
  <c r="AW22" i="71"/>
  <c r="AW23" i="71"/>
  <c r="AW24" i="71"/>
  <c r="AW25" i="71"/>
  <c r="AW26" i="71"/>
  <c r="AW27" i="71"/>
  <c r="AW28" i="71"/>
  <c r="AW29" i="71"/>
  <c r="AW30" i="71"/>
  <c r="AW31" i="71"/>
  <c r="AW32" i="71"/>
  <c r="AY32" i="71" s="1"/>
  <c r="AW33" i="71"/>
  <c r="AW34" i="71"/>
  <c r="AW35" i="71"/>
  <c r="AW36" i="71"/>
  <c r="AW37" i="71"/>
  <c r="AW38" i="71"/>
  <c r="AW39" i="71"/>
  <c r="AW40" i="71"/>
  <c r="AW41" i="71"/>
  <c r="AW42" i="71"/>
  <c r="AW43" i="71"/>
  <c r="AW44" i="71"/>
  <c r="AW45" i="71"/>
  <c r="AW46" i="71"/>
  <c r="AW47" i="71"/>
  <c r="AW48" i="71"/>
  <c r="AW49" i="71"/>
  <c r="AU7" i="71"/>
  <c r="AU8" i="71"/>
  <c r="AU9" i="71"/>
  <c r="AU10" i="71"/>
  <c r="AU11" i="71"/>
  <c r="AU12" i="71"/>
  <c r="AU13" i="71"/>
  <c r="AU14" i="71"/>
  <c r="AU15" i="71"/>
  <c r="AU16" i="71"/>
  <c r="AU17" i="71"/>
  <c r="AU18" i="71"/>
  <c r="AU19" i="71"/>
  <c r="AU20" i="71"/>
  <c r="AU21" i="71"/>
  <c r="AU22" i="71"/>
  <c r="AU23" i="71"/>
  <c r="AU24" i="71"/>
  <c r="AU25" i="71"/>
  <c r="AU26" i="71"/>
  <c r="AU27" i="71"/>
  <c r="AU28" i="71"/>
  <c r="AU29" i="71"/>
  <c r="AU30" i="71"/>
  <c r="AU31" i="71"/>
  <c r="AU32" i="71"/>
  <c r="AU33" i="71"/>
  <c r="AU34" i="71"/>
  <c r="AU35" i="71"/>
  <c r="AU36" i="71"/>
  <c r="AU37" i="71"/>
  <c r="AU38" i="71"/>
  <c r="AU39" i="71"/>
  <c r="AU40" i="71"/>
  <c r="AU41" i="71"/>
  <c r="AU42" i="71"/>
  <c r="AU43" i="71"/>
  <c r="AU44" i="71"/>
  <c r="AU45" i="71"/>
  <c r="AU46" i="71"/>
  <c r="AU47" i="71"/>
  <c r="AU48" i="71"/>
  <c r="AU49" i="71"/>
  <c r="AU50" i="71"/>
  <c r="AO7" i="71"/>
  <c r="AP7" i="71"/>
  <c r="AQ7" i="71"/>
  <c r="AR7" i="71"/>
  <c r="AO8" i="71"/>
  <c r="AQ8" i="71" s="1"/>
  <c r="AR8" i="71" s="1"/>
  <c r="AP8" i="71"/>
  <c r="AO9" i="71"/>
  <c r="AP9" i="71"/>
  <c r="AQ9" i="71"/>
  <c r="AR9" i="71" s="1"/>
  <c r="AO10" i="71"/>
  <c r="AP10" i="71"/>
  <c r="AQ10" i="71"/>
  <c r="AR10" i="71"/>
  <c r="AO11" i="71"/>
  <c r="AQ11" i="71" s="1"/>
  <c r="AR11" i="71" s="1"/>
  <c r="AP11" i="71"/>
  <c r="AO12" i="71"/>
  <c r="AP12" i="71"/>
  <c r="AQ12" i="71"/>
  <c r="AR12" i="71" s="1"/>
  <c r="AO13" i="71"/>
  <c r="AP13" i="71"/>
  <c r="AQ13" i="71"/>
  <c r="AR13" i="71"/>
  <c r="AO14" i="71"/>
  <c r="AQ14" i="71" s="1"/>
  <c r="AR14" i="71" s="1"/>
  <c r="AP14" i="71"/>
  <c r="AO15" i="71"/>
  <c r="AP15" i="71"/>
  <c r="AQ15" i="71"/>
  <c r="AR15" i="71" s="1"/>
  <c r="AO16" i="71"/>
  <c r="AP16" i="71"/>
  <c r="AQ16" i="71"/>
  <c r="AR16" i="71"/>
  <c r="AO17" i="71"/>
  <c r="AQ17" i="71" s="1"/>
  <c r="AR17" i="71" s="1"/>
  <c r="AP17" i="71"/>
  <c r="AO18" i="71"/>
  <c r="AP18" i="71"/>
  <c r="AQ18" i="71"/>
  <c r="AR18" i="71" s="1"/>
  <c r="AO19" i="71"/>
  <c r="AP19" i="71"/>
  <c r="AQ19" i="71"/>
  <c r="AR19" i="71"/>
  <c r="AO20" i="71"/>
  <c r="AQ20" i="71" s="1"/>
  <c r="AR20" i="71" s="1"/>
  <c r="AP20" i="71"/>
  <c r="AO21" i="71"/>
  <c r="AP21" i="71"/>
  <c r="AQ21" i="71"/>
  <c r="AR21" i="71" s="1"/>
  <c r="AO22" i="71"/>
  <c r="AP22" i="71"/>
  <c r="AQ22" i="71"/>
  <c r="AR22" i="71"/>
  <c r="AO23" i="71"/>
  <c r="AQ23" i="71" s="1"/>
  <c r="AP23" i="71"/>
  <c r="AO24" i="71"/>
  <c r="AP24" i="71"/>
  <c r="AQ24" i="71"/>
  <c r="AR24" i="71" s="1"/>
  <c r="AO25" i="71"/>
  <c r="AP25" i="71"/>
  <c r="AQ25" i="71"/>
  <c r="AR25" i="71"/>
  <c r="AO26" i="71"/>
  <c r="AQ26" i="71" s="1"/>
  <c r="AR26" i="71" s="1"/>
  <c r="AP26" i="71"/>
  <c r="AO27" i="71"/>
  <c r="AP27" i="71"/>
  <c r="AQ27" i="71"/>
  <c r="AR27" i="71" s="1"/>
  <c r="AO28" i="71"/>
  <c r="AP28" i="71"/>
  <c r="AQ28" i="71"/>
  <c r="AR28" i="71"/>
  <c r="AO29" i="71"/>
  <c r="AQ29" i="71" s="1"/>
  <c r="AR29" i="71" s="1"/>
  <c r="AP29" i="71"/>
  <c r="AO30" i="71"/>
  <c r="AP30" i="71"/>
  <c r="AQ30" i="71"/>
  <c r="AR30" i="71" s="1"/>
  <c r="AO31" i="71"/>
  <c r="AP31" i="71"/>
  <c r="AQ31" i="71"/>
  <c r="AR31" i="71"/>
  <c r="AO32" i="71"/>
  <c r="AQ32" i="71" s="1"/>
  <c r="AP32" i="71"/>
  <c r="AO33" i="71"/>
  <c r="AP33" i="71"/>
  <c r="AQ33" i="71"/>
  <c r="AR33" i="71" s="1"/>
  <c r="AO34" i="71"/>
  <c r="AP34" i="71"/>
  <c r="AQ34" i="71"/>
  <c r="AR34" i="71"/>
  <c r="AO35" i="71"/>
  <c r="AQ35" i="71" s="1"/>
  <c r="AR35" i="71" s="1"/>
  <c r="AP35" i="71"/>
  <c r="AO36" i="71"/>
  <c r="AP36" i="71"/>
  <c r="AQ36" i="71"/>
  <c r="AR36" i="71" s="1"/>
  <c r="AO37" i="71"/>
  <c r="AP37" i="71"/>
  <c r="AQ37" i="71"/>
  <c r="AR37" i="71"/>
  <c r="AO38" i="71"/>
  <c r="AQ38" i="71" s="1"/>
  <c r="AR38" i="71" s="1"/>
  <c r="AP38" i="71"/>
  <c r="AO39" i="71"/>
  <c r="AP39" i="71"/>
  <c r="AQ39" i="71"/>
  <c r="AR39" i="71" s="1"/>
  <c r="AO40" i="71"/>
  <c r="AP40" i="71"/>
  <c r="AQ40" i="71"/>
  <c r="AR40" i="71"/>
  <c r="AO41" i="71"/>
  <c r="AQ41" i="71" s="1"/>
  <c r="AR41" i="71" s="1"/>
  <c r="AP41" i="71"/>
  <c r="AO42" i="71"/>
  <c r="AP42" i="71"/>
  <c r="AQ42" i="71"/>
  <c r="AR42" i="71" s="1"/>
  <c r="AO43" i="71"/>
  <c r="AP43" i="71"/>
  <c r="AQ43" i="71"/>
  <c r="AR43" i="71"/>
  <c r="AO44" i="71"/>
  <c r="AQ44" i="71" s="1"/>
  <c r="AR44" i="71" s="1"/>
  <c r="AP44" i="71"/>
  <c r="AO45" i="71"/>
  <c r="AP45" i="71"/>
  <c r="AQ45" i="71"/>
  <c r="AR45" i="71" s="1"/>
  <c r="AO46" i="71"/>
  <c r="AP46" i="71"/>
  <c r="AQ46" i="71"/>
  <c r="AR46" i="71"/>
  <c r="AO47" i="71"/>
  <c r="AQ47" i="71" s="1"/>
  <c r="AR47" i="71" s="1"/>
  <c r="AP47" i="71"/>
  <c r="AO48" i="71"/>
  <c r="AP48" i="71"/>
  <c r="AQ48" i="71"/>
  <c r="AR48" i="71" s="1"/>
  <c r="AO49" i="71"/>
  <c r="AP49" i="71"/>
  <c r="AQ49" i="71"/>
  <c r="AR49" i="71"/>
  <c r="AO50" i="71"/>
  <c r="AQ50" i="71" s="1"/>
  <c r="AP50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0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F7" i="71"/>
  <c r="AG7" i="71"/>
  <c r="AF8" i="71"/>
  <c r="AG8" i="71"/>
  <c r="AF9" i="71"/>
  <c r="AG9" i="71"/>
  <c r="AF10" i="71"/>
  <c r="AG10" i="71" s="1"/>
  <c r="AF11" i="71"/>
  <c r="AG11" i="71"/>
  <c r="AF12" i="71"/>
  <c r="AG12" i="71" s="1"/>
  <c r="AF13" i="71"/>
  <c r="AG13" i="71"/>
  <c r="AF14" i="71"/>
  <c r="AG14" i="71"/>
  <c r="AF15" i="71"/>
  <c r="AG15" i="71"/>
  <c r="AF16" i="71"/>
  <c r="AG16" i="71" s="1"/>
  <c r="AF17" i="71"/>
  <c r="AG17" i="71"/>
  <c r="AF18" i="71"/>
  <c r="AG18" i="71" s="1"/>
  <c r="AF19" i="71"/>
  <c r="AG19" i="71"/>
  <c r="AF20" i="71"/>
  <c r="AG20" i="71"/>
  <c r="AF21" i="71"/>
  <c r="AG21" i="71"/>
  <c r="AF22" i="71"/>
  <c r="AG22" i="71" s="1"/>
  <c r="AF23" i="71"/>
  <c r="AG23" i="71"/>
  <c r="AF24" i="71"/>
  <c r="AG24" i="71" s="1"/>
  <c r="AF25" i="71"/>
  <c r="AG25" i="71"/>
  <c r="AF26" i="71"/>
  <c r="AG26" i="71"/>
  <c r="AF27" i="71"/>
  <c r="AG27" i="71"/>
  <c r="AF28" i="71"/>
  <c r="AG28" i="71" s="1"/>
  <c r="AF29" i="71"/>
  <c r="AG29" i="71"/>
  <c r="AF30" i="71"/>
  <c r="AG30" i="71" s="1"/>
  <c r="AF31" i="71"/>
  <c r="AG31" i="71"/>
  <c r="AF32" i="71"/>
  <c r="AG32" i="71"/>
  <c r="AF33" i="71"/>
  <c r="AG33" i="71"/>
  <c r="AF34" i="71"/>
  <c r="AG34" i="71" s="1"/>
  <c r="AF35" i="71"/>
  <c r="AG35" i="71"/>
  <c r="AF36" i="71"/>
  <c r="AG36" i="71" s="1"/>
  <c r="AF37" i="71"/>
  <c r="AG37" i="71"/>
  <c r="AF38" i="71"/>
  <c r="AG38" i="71"/>
  <c r="AF39" i="71"/>
  <c r="AG39" i="71"/>
  <c r="AF40" i="71"/>
  <c r="AG40" i="71" s="1"/>
  <c r="AF41" i="71"/>
  <c r="AG41" i="71"/>
  <c r="AF42" i="71"/>
  <c r="AG42" i="71" s="1"/>
  <c r="AF43" i="71"/>
  <c r="AG43" i="71"/>
  <c r="AF44" i="71"/>
  <c r="AG44" i="71"/>
  <c r="AF45" i="71"/>
  <c r="AG45" i="71"/>
  <c r="AF46" i="71"/>
  <c r="AG46" i="71" s="1"/>
  <c r="AF47" i="71"/>
  <c r="AG47" i="71"/>
  <c r="AF48" i="71"/>
  <c r="AG48" i="71" s="1"/>
  <c r="AF49" i="71"/>
  <c r="AG49" i="71"/>
  <c r="AF50" i="71"/>
  <c r="AG50" i="71"/>
  <c r="AB7" i="71"/>
  <c r="AB8" i="71"/>
  <c r="AB9" i="71"/>
  <c r="AB10" i="71"/>
  <c r="AB11" i="71"/>
  <c r="AB12" i="71"/>
  <c r="AB13" i="71"/>
  <c r="AB14" i="71"/>
  <c r="AB15" i="71"/>
  <c r="AB16" i="71"/>
  <c r="AB17" i="71"/>
  <c r="AB18" i="71"/>
  <c r="AB19" i="71"/>
  <c r="AB20" i="71"/>
  <c r="AB21" i="71"/>
  <c r="AB22" i="71"/>
  <c r="AB23" i="71"/>
  <c r="AB24" i="71"/>
  <c r="AB25" i="71"/>
  <c r="AB26" i="71"/>
  <c r="AB27" i="71"/>
  <c r="AB28" i="71"/>
  <c r="AB29" i="71"/>
  <c r="AB30" i="71"/>
  <c r="AB31" i="71"/>
  <c r="AB32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5" i="71"/>
  <c r="AB46" i="71"/>
  <c r="AB47" i="71"/>
  <c r="AB48" i="71"/>
  <c r="AB49" i="71"/>
  <c r="AB50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8" i="71"/>
  <c r="X39" i="71"/>
  <c r="X40" i="71"/>
  <c r="X41" i="71"/>
  <c r="X42" i="71"/>
  <c r="X43" i="71"/>
  <c r="X44" i="71"/>
  <c r="X45" i="71"/>
  <c r="X46" i="71"/>
  <c r="X47" i="71"/>
  <c r="X48" i="71"/>
  <c r="X49" i="71"/>
  <c r="I7" i="71"/>
  <c r="I8" i="71"/>
  <c r="I9" i="71"/>
  <c r="I10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I23" i="71"/>
  <c r="I24" i="71"/>
  <c r="I25" i="71"/>
  <c r="I26" i="71"/>
  <c r="I27" i="71"/>
  <c r="I28" i="71"/>
  <c r="I29" i="71"/>
  <c r="I30" i="71"/>
  <c r="I31" i="71"/>
  <c r="I32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5" i="71"/>
  <c r="I46" i="71"/>
  <c r="I47" i="71"/>
  <c r="I48" i="71"/>
  <c r="I49" i="71"/>
  <c r="AW6" i="71"/>
  <c r="AU6" i="71"/>
  <c r="I6" i="71"/>
  <c r="X6" i="71" s="1"/>
  <c r="AR32" i="71" l="1"/>
  <c r="AR23" i="71"/>
  <c r="AY6" i="71"/>
  <c r="G93" i="90"/>
  <c r="G92" i="90"/>
  <c r="G91" i="90"/>
  <c r="G90" i="90"/>
  <c r="G89" i="90"/>
  <c r="G88" i="90"/>
  <c r="G87" i="90"/>
  <c r="G86" i="90"/>
  <c r="G85" i="90"/>
  <c r="G84" i="90"/>
  <c r="G83" i="90"/>
  <c r="G82" i="90"/>
  <c r="G81" i="90"/>
  <c r="G80" i="90"/>
  <c r="G79" i="90"/>
  <c r="G78" i="90"/>
  <c r="G77" i="90"/>
  <c r="G76" i="90"/>
  <c r="G75" i="90"/>
  <c r="G74" i="90"/>
  <c r="G73" i="90"/>
  <c r="G72" i="90"/>
  <c r="G71" i="90"/>
  <c r="G70" i="90"/>
  <c r="G69" i="90"/>
  <c r="G68" i="90"/>
  <c r="E93" i="90"/>
  <c r="E92" i="90"/>
  <c r="E91" i="90"/>
  <c r="E90" i="90"/>
  <c r="E89" i="90"/>
  <c r="E88" i="90"/>
  <c r="E87" i="90"/>
  <c r="E86" i="90"/>
  <c r="E85" i="90"/>
  <c r="E84" i="90"/>
  <c r="E83" i="90"/>
  <c r="E82" i="90"/>
  <c r="E81" i="90"/>
  <c r="E80" i="90"/>
  <c r="E79" i="90"/>
  <c r="E78" i="90"/>
  <c r="E77" i="90"/>
  <c r="E76" i="90"/>
  <c r="E75" i="90"/>
  <c r="E74" i="90"/>
  <c r="E73" i="90"/>
  <c r="E72" i="90"/>
  <c r="E71" i="90"/>
  <c r="E70" i="90"/>
  <c r="E69" i="90"/>
  <c r="E68" i="90"/>
  <c r="C93" i="90" l="1"/>
  <c r="C92" i="90"/>
  <c r="C91" i="90"/>
  <c r="C90" i="90"/>
  <c r="C89" i="90"/>
  <c r="C88" i="90"/>
  <c r="C87" i="90"/>
  <c r="C86" i="90"/>
  <c r="C85" i="90"/>
  <c r="C84" i="90"/>
  <c r="C83" i="90"/>
  <c r="C82" i="90"/>
  <c r="C81" i="90"/>
  <c r="C80" i="90"/>
  <c r="C79" i="90"/>
  <c r="C78" i="90"/>
  <c r="C77" i="90"/>
  <c r="C76" i="90"/>
  <c r="C75" i="90"/>
  <c r="C74" i="90"/>
  <c r="C73" i="90"/>
  <c r="C72" i="90"/>
  <c r="C71" i="90"/>
  <c r="C70" i="90"/>
  <c r="C69" i="90"/>
  <c r="F111" i="90"/>
  <c r="G111" i="90"/>
  <c r="H111" i="90"/>
  <c r="I111" i="90"/>
  <c r="J111" i="90"/>
  <c r="K111" i="90"/>
  <c r="L111" i="90"/>
  <c r="M111" i="90"/>
  <c r="N111" i="90"/>
  <c r="O111" i="90"/>
  <c r="P111" i="90"/>
  <c r="Q111" i="90"/>
  <c r="R111" i="90"/>
  <c r="S111" i="90"/>
  <c r="T111" i="90"/>
  <c r="U111" i="90"/>
  <c r="V111" i="90"/>
  <c r="W111" i="90"/>
  <c r="X111" i="90"/>
  <c r="Y111" i="90"/>
  <c r="Z111" i="90"/>
  <c r="AA111" i="90"/>
  <c r="AB111" i="90"/>
  <c r="AC111" i="90"/>
  <c r="AD111" i="90"/>
  <c r="AE111" i="90"/>
  <c r="AF111" i="90"/>
  <c r="AG111" i="90"/>
  <c r="AH111" i="90"/>
  <c r="AI111" i="90"/>
  <c r="AJ111" i="90"/>
  <c r="AK111" i="90"/>
  <c r="AL111" i="90"/>
  <c r="AM111" i="90"/>
  <c r="AN111" i="90"/>
  <c r="AO111" i="90"/>
  <c r="AP111" i="90"/>
  <c r="AQ111" i="90"/>
  <c r="AR111" i="90"/>
  <c r="AS111" i="90"/>
  <c r="AT111" i="90"/>
  <c r="AU111" i="90"/>
  <c r="AV111" i="90"/>
  <c r="AW111" i="90"/>
  <c r="AX111" i="90"/>
  <c r="AY111" i="90"/>
  <c r="AZ111" i="90"/>
  <c r="BA111" i="90"/>
  <c r="BB111" i="90"/>
  <c r="BC111" i="90"/>
  <c r="BD111" i="90"/>
  <c r="BE111" i="90"/>
  <c r="E111" i="90"/>
  <c r="C68" i="90" l="1"/>
  <c r="I206" i="6" l="1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AJ206" i="6"/>
  <c r="AK206" i="6"/>
  <c r="AL206" i="6"/>
  <c r="AM206" i="6"/>
  <c r="AN206" i="6"/>
  <c r="AO206" i="6"/>
  <c r="AP206" i="6"/>
  <c r="AQ206" i="6"/>
  <c r="AR206" i="6"/>
  <c r="AS206" i="6"/>
  <c r="AT206" i="6"/>
  <c r="AU206" i="6"/>
  <c r="AV206" i="6"/>
  <c r="AW206" i="6"/>
  <c r="AX206" i="6"/>
  <c r="AY206" i="6"/>
  <c r="AZ206" i="6"/>
  <c r="BA206" i="6"/>
  <c r="BB206" i="6"/>
  <c r="BC206" i="6"/>
  <c r="BD206" i="6"/>
  <c r="BE206" i="6"/>
  <c r="BF206" i="6"/>
  <c r="J109" i="9"/>
  <c r="G5" i="83" l="1"/>
  <c r="G6" i="83"/>
  <c r="G7" i="83"/>
  <c r="G8" i="83"/>
  <c r="G9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24" i="83"/>
  <c r="G25" i="83"/>
  <c r="G26" i="83"/>
  <c r="G27" i="83"/>
  <c r="G28" i="83"/>
  <c r="G29" i="83"/>
  <c r="G30" i="83"/>
  <c r="G31" i="83"/>
  <c r="G32" i="83"/>
  <c r="G33" i="83"/>
  <c r="G34" i="83"/>
  <c r="G35" i="83"/>
  <c r="G36" i="83"/>
  <c r="F77" i="77"/>
  <c r="G77" i="77"/>
  <c r="I205" i="73" l="1"/>
  <c r="I206" i="73"/>
  <c r="I207" i="73"/>
  <c r="I208" i="73"/>
  <c r="I209" i="73"/>
  <c r="I210" i="73"/>
  <c r="I211" i="73"/>
  <c r="I212" i="73"/>
  <c r="I213" i="73"/>
  <c r="I214" i="73"/>
  <c r="I215" i="73"/>
  <c r="I216" i="73"/>
  <c r="I217" i="73"/>
  <c r="I218" i="73"/>
  <c r="I219" i="73"/>
  <c r="I220" i="73"/>
  <c r="I221" i="73"/>
  <c r="I222" i="73"/>
  <c r="I223" i="73"/>
  <c r="I224" i="73"/>
  <c r="I225" i="73"/>
  <c r="I226" i="73"/>
  <c r="I227" i="73"/>
  <c r="I228" i="73"/>
  <c r="I229" i="73"/>
  <c r="I230" i="73"/>
  <c r="I231" i="73"/>
  <c r="I232" i="73"/>
  <c r="I233" i="73"/>
  <c r="I235" i="73"/>
  <c r="I236" i="73"/>
  <c r="I237" i="73"/>
  <c r="I238" i="73"/>
  <c r="I239" i="73"/>
  <c r="I240" i="73"/>
  <c r="I204" i="73"/>
  <c r="H103" i="9" l="1"/>
  <c r="H188" i="6"/>
  <c r="H163" i="6"/>
  <c r="K60" i="50" l="1"/>
  <c r="I130" i="6" l="1"/>
  <c r="J130" i="6"/>
  <c r="J39" i="28"/>
  <c r="J223" i="28"/>
  <c r="J224" i="28"/>
  <c r="J225" i="28"/>
  <c r="J226" i="28"/>
  <c r="J217" i="28"/>
  <c r="J218" i="28"/>
  <c r="J219" i="28"/>
  <c r="J220" i="28"/>
  <c r="J221" i="28"/>
  <c r="J222" i="28"/>
  <c r="L36" i="59"/>
  <c r="L35" i="59"/>
  <c r="L34" i="59"/>
  <c r="L33" i="59"/>
  <c r="L32" i="59"/>
  <c r="L31" i="59"/>
  <c r="L30" i="59"/>
  <c r="L29" i="59"/>
  <c r="L28" i="59"/>
  <c r="G129" i="26" l="1"/>
  <c r="F129" i="26"/>
  <c r="G114" i="26"/>
  <c r="F112" i="26"/>
  <c r="F110" i="26"/>
  <c r="F108" i="26"/>
  <c r="F106" i="26"/>
  <c r="F104" i="26"/>
  <c r="F102" i="26"/>
  <c r="F100" i="26"/>
  <c r="F98" i="26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27" i="26"/>
  <c r="F26" i="17" s="1"/>
  <c r="F33" i="17" s="1"/>
  <c r="F25" i="26"/>
  <c r="F23" i="26"/>
  <c r="F21" i="26"/>
  <c r="F17" i="26"/>
  <c r="F15" i="26"/>
  <c r="G12" i="26"/>
  <c r="G19" i="26" s="1"/>
  <c r="F11" i="26"/>
  <c r="F9" i="26"/>
  <c r="G6" i="26"/>
  <c r="F115" i="17"/>
  <c r="F113" i="17"/>
  <c r="G87" i="17"/>
  <c r="F87" i="17"/>
  <c r="G86" i="17"/>
  <c r="G85" i="17"/>
  <c r="G84" i="17"/>
  <c r="F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G115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22" i="17" s="1"/>
  <c r="F16" i="17"/>
  <c r="F15" i="17"/>
  <c r="G14" i="17"/>
  <c r="G13" i="17"/>
  <c r="G12" i="17"/>
  <c r="G15" i="17" s="1"/>
  <c r="G9" i="17"/>
  <c r="G11" i="17" s="1"/>
  <c r="F9" i="17"/>
  <c r="F11" i="17" s="1"/>
  <c r="F114" i="26" l="1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F13" i="26"/>
  <c r="G56" i="26"/>
  <c r="G51" i="26"/>
  <c r="F50" i="17"/>
  <c r="F112" i="17" s="1"/>
  <c r="G62" i="17"/>
  <c r="G33" i="17"/>
  <c r="F117" i="17"/>
  <c r="G54" i="17"/>
  <c r="G112" i="17"/>
  <c r="G116" i="17" s="1"/>
  <c r="G51" i="17"/>
  <c r="G55" i="17" s="1"/>
  <c r="F62" i="17"/>
  <c r="F60" i="17"/>
  <c r="F34" i="17"/>
  <c r="F31" i="17"/>
  <c r="F32" i="17"/>
  <c r="G32" i="17"/>
  <c r="G30" i="17"/>
  <c r="F114" i="17"/>
  <c r="G114" i="17"/>
  <c r="G31" i="17"/>
  <c r="G45" i="17"/>
  <c r="G37" i="27"/>
  <c r="G35" i="27"/>
  <c r="G28" i="27"/>
  <c r="G29" i="27"/>
  <c r="G27" i="27"/>
  <c r="G26" i="27"/>
  <c r="G20" i="27"/>
  <c r="G19" i="27"/>
  <c r="G18" i="27"/>
  <c r="F18" i="26" l="1"/>
  <c r="F54" i="17"/>
  <c r="F116" i="17"/>
  <c r="G113" i="17"/>
  <c r="G117" i="17" s="1"/>
  <c r="F39" i="27"/>
  <c r="G36" i="27"/>
  <c r="G39" i="27"/>
  <c r="F28" i="27"/>
  <c r="F27" i="27"/>
  <c r="F33" i="27" s="1"/>
  <c r="G33" i="27"/>
  <c r="G22" i="27"/>
  <c r="G21" i="27"/>
  <c r="G24" i="27"/>
  <c r="F18" i="27"/>
  <c r="F24" i="27" s="1"/>
  <c r="H28" i="22" l="1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F17" i="15"/>
  <c r="G14" i="15"/>
  <c r="F11" i="15"/>
  <c r="F12" i="15" s="1"/>
  <c r="G10" i="15"/>
  <c r="G9" i="15"/>
  <c r="F9" i="15"/>
  <c r="G8" i="15"/>
  <c r="F8" i="15"/>
  <c r="G7" i="15"/>
  <c r="F7" i="15"/>
  <c r="G6" i="15"/>
  <c r="F6" i="15"/>
  <c r="G5" i="15"/>
  <c r="F5" i="15"/>
  <c r="G31" i="15" l="1"/>
  <c r="G35" i="15" s="1"/>
  <c r="G15" i="15" s="1"/>
  <c r="G16" i="15" s="1"/>
  <c r="F14" i="15"/>
  <c r="F15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K68" i="38"/>
  <c r="L64" i="38"/>
  <c r="L63" i="38"/>
  <c r="K62" i="38"/>
  <c r="L61" i="38"/>
  <c r="L60" i="38"/>
  <c r="L59" i="38"/>
  <c r="L58" i="38"/>
  <c r="L57" i="38"/>
  <c r="L56" i="38"/>
  <c r="K55" i="38"/>
  <c r="K65" i="38" s="1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29" i="73"/>
  <c r="F129" i="73"/>
  <c r="E129" i="73"/>
  <c r="I130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I129" i="73" l="1"/>
  <c r="K67" i="38"/>
  <c r="L18" i="38"/>
  <c r="L67" i="38" s="1"/>
  <c r="L16" i="38"/>
  <c r="K89" i="38"/>
  <c r="K66" i="38" s="1"/>
  <c r="K98" i="38" s="1"/>
  <c r="K43" i="38"/>
  <c r="K35" i="38"/>
  <c r="K19" i="38"/>
  <c r="K6" i="38"/>
  <c r="K16" i="38" s="1"/>
  <c r="L55" i="38"/>
  <c r="L65" i="38"/>
  <c r="K40" i="38"/>
  <c r="L40" i="38"/>
  <c r="J530" i="28"/>
  <c r="J529" i="28"/>
  <c r="J383" i="28"/>
  <c r="J384" i="28"/>
  <c r="J385" i="28"/>
  <c r="J386" i="28"/>
  <c r="J387" i="28"/>
  <c r="J388" i="28"/>
  <c r="J389" i="28"/>
  <c r="J390" i="28"/>
  <c r="J391" i="28"/>
  <c r="J392" i="28"/>
  <c r="J393" i="28"/>
  <c r="J394" i="28"/>
  <c r="J395" i="28"/>
  <c r="J396" i="28"/>
  <c r="J397" i="28"/>
  <c r="J398" i="28"/>
  <c r="J399" i="28"/>
  <c r="J400" i="28"/>
  <c r="J401" i="28"/>
  <c r="J402" i="28"/>
  <c r="J403" i="28"/>
  <c r="J404" i="28"/>
  <c r="J405" i="28"/>
  <c r="J406" i="28"/>
  <c r="J407" i="28"/>
  <c r="J408" i="28"/>
  <c r="J409" i="28"/>
  <c r="J410" i="28"/>
  <c r="J411" i="28"/>
  <c r="J412" i="28"/>
  <c r="J413" i="28"/>
  <c r="J414" i="28"/>
  <c r="J415" i="28"/>
  <c r="J416" i="28"/>
  <c r="J417" i="28"/>
  <c r="J418" i="28"/>
  <c r="J419" i="28"/>
  <c r="J420" i="28"/>
  <c r="J421" i="28"/>
  <c r="J277" i="28"/>
  <c r="J278" i="28"/>
  <c r="J279" i="28"/>
  <c r="J280" i="28"/>
  <c r="J281" i="28"/>
  <c r="J282" i="28"/>
  <c r="J283" i="28"/>
  <c r="J284" i="28"/>
  <c r="J285" i="28"/>
  <c r="J286" i="28"/>
  <c r="J287" i="28"/>
  <c r="J288" i="28"/>
  <c r="J289" i="28"/>
  <c r="J290" i="28"/>
  <c r="J291" i="28"/>
  <c r="J292" i="28"/>
  <c r="J293" i="28"/>
  <c r="J294" i="28"/>
  <c r="J295" i="28"/>
  <c r="J296" i="28"/>
  <c r="J297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29" i="28"/>
  <c r="J330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5" i="28"/>
  <c r="J346" i="28"/>
  <c r="J347" i="28"/>
  <c r="J348" i="28"/>
  <c r="J349" i="28"/>
  <c r="J350" i="28"/>
  <c r="J351" i="28"/>
  <c r="J352" i="28"/>
  <c r="J353" i="28"/>
  <c r="J354" i="28"/>
  <c r="J355" i="28"/>
  <c r="J233" i="28"/>
  <c r="J234" i="28"/>
  <c r="J235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262" i="28"/>
  <c r="J263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145" i="28"/>
  <c r="J146" i="28"/>
  <c r="J147" i="28"/>
  <c r="J148" i="28"/>
  <c r="J149" i="28"/>
  <c r="J150" i="28"/>
  <c r="J151" i="28"/>
  <c r="J152" i="28"/>
  <c r="J153" i="28"/>
  <c r="J154" i="28"/>
  <c r="J155" i="28"/>
  <c r="J156" i="28"/>
  <c r="J157" i="28"/>
  <c r="J158" i="28"/>
  <c r="J159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3" i="28"/>
  <c r="J174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195" i="28"/>
  <c r="J196" i="28"/>
  <c r="J197" i="28"/>
  <c r="J198" i="28"/>
  <c r="J199" i="28"/>
  <c r="J200" i="28"/>
  <c r="J201" i="28"/>
  <c r="J202" i="28"/>
  <c r="J203" i="28"/>
  <c r="J204" i="28"/>
  <c r="J205" i="28"/>
  <c r="J206" i="28"/>
  <c r="J86" i="28"/>
  <c r="J87" i="2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6" i="72"/>
  <c r="G27" i="72"/>
  <c r="G25" i="72"/>
  <c r="J143" i="10" l="1"/>
  <c r="J144" i="10"/>
  <c r="J145" i="10"/>
  <c r="J84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F95" i="7"/>
  <c r="G95" i="7"/>
  <c r="I95" i="7"/>
  <c r="K95" i="7"/>
  <c r="L95" i="7"/>
  <c r="M95" i="7"/>
  <c r="O95" i="7"/>
  <c r="P95" i="7"/>
  <c r="Q95" i="7"/>
  <c r="S95" i="7"/>
  <c r="T95" i="7"/>
  <c r="U95" i="7"/>
  <c r="W95" i="7"/>
  <c r="X95" i="7"/>
  <c r="Y95" i="7"/>
  <c r="Z95" i="7"/>
  <c r="AA95" i="7"/>
  <c r="AC95" i="7"/>
  <c r="AD95" i="7"/>
  <c r="AE95" i="7"/>
  <c r="AG95" i="7"/>
  <c r="AH95" i="7"/>
  <c r="AI95" i="7"/>
  <c r="AK95" i="7"/>
  <c r="AL95" i="7"/>
  <c r="AM95" i="7"/>
  <c r="AN95" i="7"/>
  <c r="AO95" i="7"/>
  <c r="AQ95" i="7"/>
  <c r="AR95" i="7"/>
  <c r="AS95" i="7"/>
  <c r="AU95" i="7"/>
  <c r="AV95" i="7"/>
  <c r="AW95" i="7"/>
  <c r="AY95" i="7"/>
  <c r="AZ95" i="7"/>
  <c r="BA95" i="7"/>
  <c r="BB95" i="7"/>
  <c r="BC95" i="7"/>
  <c r="BD95" i="7"/>
  <c r="BE95" i="7"/>
  <c r="E95" i="7"/>
  <c r="D33" i="7"/>
  <c r="E33" i="7"/>
  <c r="F33" i="7"/>
  <c r="G33" i="7"/>
  <c r="I33" i="7"/>
  <c r="K33" i="7"/>
  <c r="L33" i="7"/>
  <c r="O33" i="7"/>
  <c r="P33" i="7"/>
  <c r="S33" i="7"/>
  <c r="T33" i="7"/>
  <c r="W33" i="7"/>
  <c r="X33" i="7"/>
  <c r="Z33" i="7"/>
  <c r="AC33" i="7"/>
  <c r="AD33" i="7"/>
  <c r="AG33" i="7"/>
  <c r="AH33" i="7"/>
  <c r="AK33" i="7"/>
  <c r="AL33" i="7"/>
  <c r="AN33" i="7"/>
  <c r="AQ33" i="7"/>
  <c r="AR33" i="7"/>
  <c r="AU33" i="7"/>
  <c r="AV33" i="7"/>
  <c r="AY33" i="7"/>
  <c r="AZ33" i="7"/>
  <c r="BB33" i="7"/>
  <c r="I17" i="7"/>
  <c r="J17" i="7"/>
  <c r="H3" i="8" l="1"/>
  <c r="I125" i="45" l="1"/>
  <c r="I124" i="45"/>
  <c r="I122" i="45"/>
  <c r="I116" i="45"/>
  <c r="I123" i="45" s="1"/>
  <c r="I111" i="45"/>
  <c r="H111" i="45"/>
  <c r="I110" i="45"/>
  <c r="H110" i="45"/>
  <c r="I109" i="45"/>
  <c r="H109" i="45"/>
  <c r="I108" i="45"/>
  <c r="H108" i="45"/>
  <c r="I106" i="45"/>
  <c r="H106" i="45"/>
  <c r="I104" i="45"/>
  <c r="H104" i="45"/>
  <c r="I102" i="45"/>
  <c r="H102" i="45"/>
  <c r="I99" i="45"/>
  <c r="I100" i="45" s="1"/>
  <c r="H99" i="45"/>
  <c r="H100" i="45" s="1"/>
  <c r="I97" i="45"/>
  <c r="I94" i="45" s="1"/>
  <c r="H92" i="45"/>
  <c r="H91" i="45"/>
  <c r="I90" i="45"/>
  <c r="I127" i="45" s="1"/>
  <c r="I89" i="45"/>
  <c r="I112" i="45" s="1"/>
  <c r="H89" i="45"/>
  <c r="H112" i="45" s="1"/>
  <c r="I88" i="45"/>
  <c r="I126" i="45" s="1"/>
  <c r="I128" i="45" s="1"/>
  <c r="H88" i="45"/>
  <c r="I92" i="45" l="1"/>
  <c r="I93" i="45" s="1"/>
  <c r="I91" i="45"/>
  <c r="I130" i="45"/>
  <c r="I117" i="45"/>
  <c r="I118" i="45"/>
  <c r="G95" i="11"/>
  <c r="H88" i="11"/>
  <c r="H86" i="11"/>
  <c r="H80" i="11"/>
  <c r="H81" i="11" s="1"/>
  <c r="G76" i="11"/>
  <c r="H75" i="11"/>
  <c r="G75" i="11"/>
  <c r="H74" i="11"/>
  <c r="G74" i="11"/>
  <c r="H73" i="11"/>
  <c r="G73" i="11"/>
  <c r="H72" i="11"/>
  <c r="G72" i="11"/>
  <c r="H70" i="11"/>
  <c r="G70" i="11"/>
  <c r="H68" i="11"/>
  <c r="G68" i="11"/>
  <c r="H66" i="11"/>
  <c r="G66" i="11"/>
  <c r="H63" i="11"/>
  <c r="H64" i="11" s="1"/>
  <c r="G63" i="11"/>
  <c r="G64" i="11" s="1"/>
  <c r="H61" i="11"/>
  <c r="H58" i="11" s="1"/>
  <c r="H56" i="11"/>
  <c r="G55" i="11"/>
  <c r="H54" i="11"/>
  <c r="H82" i="11" s="1"/>
  <c r="H53" i="11"/>
  <c r="H76" i="11" s="1"/>
  <c r="G53" i="11"/>
  <c r="H52" i="11"/>
  <c r="H89" i="11" s="1"/>
  <c r="G52" i="11"/>
  <c r="H182" i="10"/>
  <c r="H180" i="10"/>
  <c r="H174" i="10"/>
  <c r="H175" i="10" s="1"/>
  <c r="H169" i="10"/>
  <c r="G169" i="10"/>
  <c r="H168" i="10"/>
  <c r="G168" i="10"/>
  <c r="H167" i="10"/>
  <c r="G167" i="10"/>
  <c r="H166" i="10"/>
  <c r="G166" i="10"/>
  <c r="H164" i="10"/>
  <c r="G164" i="10"/>
  <c r="H162" i="10"/>
  <c r="G162" i="10"/>
  <c r="H160" i="10"/>
  <c r="G160" i="10"/>
  <c r="H158" i="10"/>
  <c r="H157" i="10"/>
  <c r="G157" i="10"/>
  <c r="G158" i="10" s="1"/>
  <c r="G153" i="10"/>
  <c r="H152" i="10"/>
  <c r="H176" i="10" s="1"/>
  <c r="H151" i="10"/>
  <c r="H165" i="10" s="1"/>
  <c r="G151" i="10"/>
  <c r="G170" i="10" s="1"/>
  <c r="G150" i="10"/>
  <c r="H150" i="10"/>
  <c r="H87" i="11" l="1"/>
  <c r="H93" i="11" s="1"/>
  <c r="H57" i="11"/>
  <c r="H55" i="11"/>
  <c r="H90" i="11"/>
  <c r="H91" i="11" s="1"/>
  <c r="H181" i="10"/>
  <c r="H183" i="10"/>
  <c r="H189" i="10"/>
  <c r="H184" i="10"/>
  <c r="H170" i="10"/>
  <c r="H192" i="10"/>
  <c r="H193" i="10" s="1"/>
  <c r="H153" i="10"/>
  <c r="G52" i="9"/>
  <c r="G101" i="9"/>
  <c r="H99" i="9"/>
  <c r="G99" i="9"/>
  <c r="H98" i="9"/>
  <c r="G98" i="9"/>
  <c r="H97" i="9"/>
  <c r="G97" i="9"/>
  <c r="H93" i="9"/>
  <c r="G90" i="9"/>
  <c r="G91" i="9" s="1"/>
  <c r="G89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37" i="9" s="1"/>
  <c r="G26" i="9"/>
  <c r="H25" i="9"/>
  <c r="G24" i="9"/>
  <c r="G22" i="9"/>
  <c r="H19" i="9"/>
  <c r="H10" i="9"/>
  <c r="H5" i="9"/>
  <c r="G5" i="9"/>
  <c r="J11" i="8"/>
  <c r="H108" i="8"/>
  <c r="H110" i="8" s="1"/>
  <c r="H93" i="8"/>
  <c r="H90" i="8"/>
  <c r="G90" i="8"/>
  <c r="G91" i="8" s="1"/>
  <c r="H88" i="8"/>
  <c r="G88" i="8"/>
  <c r="H87" i="8"/>
  <c r="G87" i="8"/>
  <c r="G86" i="8"/>
  <c r="G84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7" i="8"/>
  <c r="G31" i="8" s="1"/>
  <c r="G46" i="8"/>
  <c r="G45" i="8"/>
  <c r="G44" i="8"/>
  <c r="G43" i="8"/>
  <c r="G41" i="8"/>
  <c r="G40" i="8"/>
  <c r="G39" i="8"/>
  <c r="G42" i="8" s="1"/>
  <c r="G29" i="8"/>
  <c r="G27" i="8"/>
  <c r="H26" i="8"/>
  <c r="G24" i="8"/>
  <c r="H17" i="8"/>
  <c r="G17" i="8"/>
  <c r="G15" i="8"/>
  <c r="G14" i="8"/>
  <c r="H13" i="8"/>
  <c r="G13" i="8"/>
  <c r="G16" i="8" s="1"/>
  <c r="H6" i="8"/>
  <c r="H85" i="8" s="1"/>
  <c r="G6" i="8"/>
  <c r="G50" i="8" s="1"/>
  <c r="G100" i="9" l="1"/>
  <c r="H14" i="9"/>
  <c r="G66" i="9"/>
  <c r="F131" i="26"/>
  <c r="G33" i="22"/>
  <c r="H89" i="9"/>
  <c r="G131" i="26"/>
  <c r="H33" i="22"/>
  <c r="G25" i="9"/>
  <c r="G88" i="9" s="1"/>
  <c r="H71" i="8"/>
  <c r="H34" i="8"/>
  <c r="H185" i="10"/>
  <c r="H49" i="9"/>
  <c r="H76" i="9" s="1"/>
  <c r="H94" i="9"/>
  <c r="G18" i="15" s="1"/>
  <c r="H90" i="9"/>
  <c r="H96" i="9"/>
  <c r="H100" i="9"/>
  <c r="H73" i="8"/>
  <c r="H16" i="8"/>
  <c r="H91" i="8"/>
  <c r="H187" i="10"/>
  <c r="H62" i="9"/>
  <c r="G61" i="9"/>
  <c r="G27" i="9"/>
  <c r="G67" i="9"/>
  <c r="G95" i="9"/>
  <c r="G7" i="9"/>
  <c r="G58" i="9"/>
  <c r="G68" i="9"/>
  <c r="G59" i="9"/>
  <c r="G63" i="9"/>
  <c r="G69" i="9"/>
  <c r="G55" i="9"/>
  <c r="G64" i="9"/>
  <c r="G70" i="9"/>
  <c r="G92" i="9"/>
  <c r="G19" i="9"/>
  <c r="G56" i="9"/>
  <c r="G65" i="9"/>
  <c r="H109" i="8"/>
  <c r="H51" i="8" s="1"/>
  <c r="H62" i="8"/>
  <c r="H35" i="8" s="1"/>
  <c r="H37" i="8"/>
  <c r="H44" i="8"/>
  <c r="H47" i="8"/>
  <c r="H61" i="8"/>
  <c r="G23" i="8"/>
  <c r="G28" i="8"/>
  <c r="H39" i="8"/>
  <c r="H45" i="8"/>
  <c r="G25" i="8"/>
  <c r="G30" i="8"/>
  <c r="G58" i="8"/>
  <c r="G62" i="8" s="1"/>
  <c r="G35" i="8" s="1"/>
  <c r="H40" i="8"/>
  <c r="H43" i="8"/>
  <c r="H46" i="8"/>
  <c r="H50" i="8"/>
  <c r="H77" i="8" s="1"/>
  <c r="H81" i="8"/>
  <c r="H41" i="8"/>
  <c r="G7" i="22" l="1"/>
  <c r="G8" i="22" s="1"/>
  <c r="G10" i="22" s="1"/>
  <c r="G11" i="22" s="1"/>
  <c r="G13" i="22" s="1"/>
  <c r="G21" i="22"/>
  <c r="G22" i="22" s="1"/>
  <c r="G24" i="22" s="1"/>
  <c r="G25" i="22" s="1"/>
  <c r="G27" i="22" s="1"/>
  <c r="H91" i="9"/>
  <c r="G60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G57" i="9"/>
  <c r="G62" i="9"/>
  <c r="H111" i="8"/>
  <c r="H52" i="8" s="1"/>
  <c r="G66" i="8"/>
  <c r="G37" i="8" s="1"/>
  <c r="G68" i="8"/>
  <c r="G36" i="8"/>
  <c r="G64" i="8"/>
  <c r="G34" i="8" s="1"/>
  <c r="G26" i="8"/>
  <c r="G108" i="8"/>
  <c r="G109" i="8" s="1"/>
  <c r="H69" i="8"/>
  <c r="H70" i="8"/>
  <c r="H74" i="9" l="1"/>
  <c r="H79" i="9" s="1"/>
  <c r="G110" i="8"/>
  <c r="G111" i="8" s="1"/>
  <c r="G110" i="7" l="1"/>
  <c r="G109" i="7"/>
  <c r="G108" i="7"/>
  <c r="G107" i="7"/>
  <c r="G106" i="7"/>
  <c r="G105" i="7"/>
  <c r="G104" i="7"/>
  <c r="G103" i="7"/>
  <c r="G83" i="7"/>
  <c r="H82" i="7"/>
  <c r="G82" i="7"/>
  <c r="H80" i="7"/>
  <c r="G80" i="7"/>
  <c r="H74" i="7"/>
  <c r="H73" i="7"/>
  <c r="G73" i="7"/>
  <c r="H69" i="7"/>
  <c r="H71" i="7" s="1"/>
  <c r="G69" i="7"/>
  <c r="G71" i="7" s="1"/>
  <c r="H65" i="7"/>
  <c r="H58" i="7" s="1"/>
  <c r="G65" i="7"/>
  <c r="G79" i="7" s="1"/>
  <c r="H55" i="7"/>
  <c r="G55" i="7"/>
  <c r="G52" i="7"/>
  <c r="H35" i="7"/>
  <c r="H100" i="7" s="1"/>
  <c r="G32" i="7"/>
  <c r="G97" i="7" s="1"/>
  <c r="H29" i="7"/>
  <c r="H92" i="7" s="1"/>
  <c r="G29" i="7"/>
  <c r="G92" i="7" s="1"/>
  <c r="G28" i="7"/>
  <c r="G91" i="7" s="1"/>
  <c r="G26" i="7"/>
  <c r="G89" i="7" s="1"/>
  <c r="G25" i="7"/>
  <c r="G24" i="7"/>
  <c r="G23" i="7"/>
  <c r="G22" i="7"/>
  <c r="G85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H23" i="7" l="1"/>
  <c r="H56" i="7"/>
  <c r="H24" i="7"/>
  <c r="H53" i="7"/>
  <c r="H87" i="7" s="1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25" i="7"/>
  <c r="H98" i="7" s="1"/>
  <c r="H34" i="7"/>
  <c r="H88" i="7" s="1"/>
  <c r="H60" i="7"/>
  <c r="H27" i="7"/>
  <c r="H90" i="7" s="1"/>
  <c r="H31" i="7"/>
  <c r="H96" i="7" s="1"/>
  <c r="H52" i="7"/>
  <c r="H86" i="7" s="1"/>
  <c r="H57" i="7"/>
  <c r="G58" i="7"/>
  <c r="G27" i="7"/>
  <c r="G90" i="7" s="1"/>
  <c r="G34" i="7"/>
  <c r="G88" i="7" s="1"/>
  <c r="G56" i="7"/>
  <c r="G66" i="7"/>
  <c r="G30" i="7"/>
  <c r="G93" i="7" s="1"/>
  <c r="G53" i="7"/>
  <c r="G59" i="7"/>
  <c r="G99" i="7" s="1"/>
  <c r="G101" i="7" s="1"/>
  <c r="G76" i="7"/>
  <c r="G31" i="7"/>
  <c r="G96" i="7" s="1"/>
  <c r="G35" i="7"/>
  <c r="G100" i="7" s="1"/>
  <c r="G54" i="7"/>
  <c r="G94" i="7" s="1"/>
  <c r="G57" i="7"/>
  <c r="G60" i="7"/>
  <c r="G98" i="7"/>
  <c r="G87" i="7"/>
  <c r="G81" i="7"/>
  <c r="G74" i="7"/>
  <c r="H81" i="7"/>
  <c r="G23" i="39"/>
  <c r="G24" i="39" s="1"/>
  <c r="H85" i="7"/>
  <c r="G86" i="7"/>
  <c r="G50" i="39"/>
  <c r="G45" i="39"/>
  <c r="H79" i="7"/>
  <c r="G49" i="39"/>
  <c r="H67" i="7"/>
  <c r="I112" i="6"/>
  <c r="J112" i="6"/>
  <c r="I94" i="6"/>
  <c r="J94" i="6"/>
  <c r="I95" i="6"/>
  <c r="J95" i="6"/>
  <c r="H36" i="7" l="1"/>
  <c r="H51" i="7" s="1"/>
  <c r="G51" i="39"/>
  <c r="G36" i="7"/>
  <c r="G51" i="7" s="1"/>
  <c r="H101" i="7"/>
  <c r="G61" i="7"/>
  <c r="G75" i="7"/>
  <c r="H223" i="6"/>
  <c r="G223" i="6"/>
  <c r="H222" i="6"/>
  <c r="G222" i="6"/>
  <c r="G199" i="6"/>
  <c r="H198" i="6"/>
  <c r="G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H138" i="6" s="1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22" i="6"/>
  <c r="G18" i="6"/>
  <c r="G188" i="6" s="1"/>
  <c r="G17" i="6"/>
  <c r="G30" i="6" s="1"/>
  <c r="G16" i="6"/>
  <c r="G15" i="6"/>
  <c r="G10" i="6"/>
  <c r="H9" i="6"/>
  <c r="G9" i="6"/>
  <c r="H8" i="6"/>
  <c r="G8" i="6"/>
  <c r="G7" i="6"/>
  <c r="H61" i="7" l="1"/>
  <c r="H75" i="7"/>
  <c r="G121" i="6"/>
  <c r="G125" i="6" s="1"/>
  <c r="G175" i="6" s="1"/>
  <c r="G133" i="6"/>
  <c r="H103" i="6"/>
  <c r="H107" i="6" s="1"/>
  <c r="H150" i="6" s="1"/>
  <c r="G138" i="6"/>
  <c r="G139" i="6" s="1"/>
  <c r="G143" i="6" s="1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6" i="77"/>
  <c r="I26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8" i="77"/>
  <c r="I38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7" i="77"/>
  <c r="I47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5" i="77"/>
  <c r="I55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3" i="77"/>
  <c r="I63" i="77"/>
  <c r="H64" i="77"/>
  <c r="I64" i="77"/>
  <c r="H65" i="77"/>
  <c r="I65" i="77"/>
  <c r="H66" i="77"/>
  <c r="I66" i="77"/>
  <c r="H67" i="77"/>
  <c r="I67" i="77"/>
  <c r="H69" i="77"/>
  <c r="I69" i="77"/>
  <c r="H70" i="77"/>
  <c r="H71" i="77"/>
  <c r="H72" i="77"/>
  <c r="H73" i="77"/>
  <c r="H75" i="77"/>
  <c r="I75" i="77"/>
  <c r="H76" i="77"/>
  <c r="I76" i="77"/>
  <c r="H77" i="77"/>
  <c r="H78" i="77"/>
  <c r="I78" i="77"/>
  <c r="H79" i="77"/>
  <c r="I79" i="77"/>
  <c r="H80" i="77"/>
  <c r="I80" i="77"/>
  <c r="H81" i="77"/>
  <c r="I81" i="77"/>
  <c r="H82" i="77"/>
  <c r="I82" i="77"/>
  <c r="H83" i="77"/>
  <c r="H84" i="77"/>
  <c r="H85" i="77"/>
  <c r="H86" i="77"/>
  <c r="H87" i="77"/>
  <c r="I87" i="77"/>
  <c r="H88" i="77"/>
  <c r="I88" i="77"/>
  <c r="H89" i="77"/>
  <c r="I89" i="77"/>
  <c r="G86" i="77"/>
  <c r="G85" i="77"/>
  <c r="G84" i="77"/>
  <c r="G73" i="77"/>
  <c r="G72" i="77"/>
  <c r="G71" i="77"/>
  <c r="G70" i="77" s="1"/>
  <c r="G68" i="77"/>
  <c r="F68" i="77"/>
  <c r="F74" i="77" s="1"/>
  <c r="G62" i="77"/>
  <c r="I62" i="77" s="1"/>
  <c r="F62" i="77"/>
  <c r="H62" i="77" s="1"/>
  <c r="G46" i="77"/>
  <c r="I46" i="77" s="1"/>
  <c r="F46" i="77"/>
  <c r="H46" i="77" s="1"/>
  <c r="G36" i="77"/>
  <c r="I36" i="77" s="1"/>
  <c r="F36" i="77"/>
  <c r="H36" i="77" s="1"/>
  <c r="G32" i="77"/>
  <c r="I32" i="77" s="1"/>
  <c r="F32" i="77"/>
  <c r="H32" i="77" s="1"/>
  <c r="G26" i="77"/>
  <c r="F26" i="77"/>
  <c r="G21" i="77"/>
  <c r="I21" i="77" s="1"/>
  <c r="F21" i="77"/>
  <c r="H21" i="77" s="1"/>
  <c r="G13" i="77"/>
  <c r="I13" i="77" s="1"/>
  <c r="F13" i="77"/>
  <c r="H13" i="77" s="1"/>
  <c r="G7" i="77"/>
  <c r="I7" i="77" s="1"/>
  <c r="F7" i="77"/>
  <c r="H7" i="77" s="1"/>
  <c r="G74" i="77" l="1"/>
  <c r="G83" i="77"/>
  <c r="H147" i="6"/>
  <c r="G173" i="6"/>
  <c r="G172" i="6"/>
  <c r="G174" i="6"/>
  <c r="G207" i="6"/>
  <c r="G206" i="6"/>
  <c r="G216" i="6"/>
  <c r="G219" i="6" s="1"/>
  <c r="G203" i="6"/>
  <c r="G210" i="6"/>
  <c r="G205" i="6"/>
  <c r="G212" i="6"/>
  <c r="G213" i="6"/>
  <c r="G211" i="6"/>
  <c r="G208" i="6"/>
  <c r="G204" i="6"/>
  <c r="H148" i="6"/>
  <c r="G84" i="6"/>
  <c r="G34" i="6"/>
  <c r="G26" i="6"/>
  <c r="H172" i="6"/>
  <c r="H173" i="6"/>
  <c r="G148" i="6"/>
  <c r="G33" i="6"/>
  <c r="G35" i="6" s="1"/>
  <c r="G23" i="6"/>
  <c r="H143" i="6"/>
  <c r="H199" i="6" s="1"/>
  <c r="G147" i="6"/>
  <c r="G458" i="28"/>
  <c r="H446" i="28"/>
  <c r="H415" i="28"/>
  <c r="H411" i="28"/>
  <c r="H380" i="28"/>
  <c r="H379" i="28"/>
  <c r="H372" i="28"/>
  <c r="H450" i="28" s="1"/>
  <c r="G372" i="28"/>
  <c r="H357" i="28"/>
  <c r="H356" i="28"/>
  <c r="H273" i="28"/>
  <c r="G273" i="28"/>
  <c r="H268" i="28"/>
  <c r="H267" i="28"/>
  <c r="G267" i="28"/>
  <c r="H266" i="28"/>
  <c r="G266" i="28"/>
  <c r="H229" i="28"/>
  <c r="H442" i="28" s="1"/>
  <c r="G229" i="28"/>
  <c r="H212" i="28"/>
  <c r="H211" i="28"/>
  <c r="H213" i="28" s="1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447" i="28" s="1"/>
  <c r="G21" i="28"/>
  <c r="G26" i="28" s="1"/>
  <c r="H19" i="28"/>
  <c r="G14" i="28"/>
  <c r="G19" i="28" s="1"/>
  <c r="G268" i="28" s="1"/>
  <c r="H12" i="28"/>
  <c r="H58" i="28" s="1"/>
  <c r="G7" i="28"/>
  <c r="H426" i="28" l="1"/>
  <c r="H444" i="28"/>
  <c r="H458" i="28"/>
  <c r="H33" i="28"/>
  <c r="H449" i="28"/>
  <c r="H60" i="28"/>
  <c r="H149" i="6"/>
  <c r="G214" i="6"/>
  <c r="G209" i="6"/>
  <c r="G215" i="6" s="1"/>
  <c r="G220" i="6" s="1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451" i="28"/>
  <c r="H83" i="28"/>
  <c r="H84" i="28" s="1"/>
  <c r="H443" i="28"/>
  <c r="H436" i="28"/>
  <c r="H409" i="28"/>
  <c r="H459" i="28" s="1"/>
  <c r="H59" i="28"/>
  <c r="H448" i="28"/>
  <c r="H440" i="28"/>
  <c r="H441" i="28"/>
  <c r="G437" i="28"/>
  <c r="G60" i="28"/>
  <c r="G73" i="28" s="1"/>
  <c r="G357" i="28"/>
  <c r="G449" i="28" s="1"/>
  <c r="H55" i="28"/>
  <c r="H445" i="28"/>
  <c r="H439" i="28"/>
  <c r="G12" i="28"/>
  <c r="H61" i="28"/>
  <c r="G59" i="28"/>
  <c r="G69" i="28" s="1"/>
  <c r="G444" i="28" s="1"/>
  <c r="H437" i="28"/>
  <c r="G445" i="28"/>
  <c r="H17" i="49"/>
  <c r="H18" i="49" s="1"/>
  <c r="G17" i="49"/>
  <c r="G18" i="49" s="1"/>
  <c r="G13" i="49"/>
  <c r="H11" i="49"/>
  <c r="G11" i="49"/>
  <c r="G10" i="49"/>
  <c r="H9" i="49"/>
  <c r="G9" i="49"/>
  <c r="H8" i="49"/>
  <c r="G8" i="49"/>
  <c r="H6" i="49"/>
  <c r="G6" i="49"/>
  <c r="H427" i="28" l="1"/>
  <c r="G12" i="49"/>
  <c r="G14" i="49" s="1"/>
  <c r="G15" i="49" s="1"/>
  <c r="G16" i="49" s="1"/>
  <c r="G19" i="49" s="1"/>
  <c r="G20" i="49" s="1"/>
  <c r="H219" i="6"/>
  <c r="H209" i="6"/>
  <c r="H214" i="6"/>
  <c r="K11" i="59" s="1"/>
  <c r="H62" i="28"/>
  <c r="H431" i="28"/>
  <c r="H452" i="28"/>
  <c r="H430" i="28"/>
  <c r="G448" i="28"/>
  <c r="H453" i="28"/>
  <c r="G436" i="28"/>
  <c r="G213" i="28"/>
  <c r="G441" i="28" s="1"/>
  <c r="G58" i="28"/>
  <c r="G443" i="28"/>
  <c r="H56" i="28"/>
  <c r="G447" i="28"/>
  <c r="G234" i="73"/>
  <c r="G203" i="73"/>
  <c r="G188" i="73"/>
  <c r="G177" i="73"/>
  <c r="G186" i="73" s="1"/>
  <c r="G131" i="73"/>
  <c r="G127" i="73"/>
  <c r="G124" i="73"/>
  <c r="G120" i="73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G8" i="73"/>
  <c r="G6" i="73" s="1"/>
  <c r="K79" i="59"/>
  <c r="J79" i="59"/>
  <c r="K78" i="59"/>
  <c r="J78" i="59"/>
  <c r="K77" i="59"/>
  <c r="J77" i="59"/>
  <c r="J76" i="59"/>
  <c r="J75" i="59"/>
  <c r="K74" i="59"/>
  <c r="J74" i="59"/>
  <c r="K73" i="59"/>
  <c r="J73" i="59"/>
  <c r="K70" i="59"/>
  <c r="J70" i="59"/>
  <c r="K69" i="59"/>
  <c r="J69" i="59"/>
  <c r="J68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7" i="59"/>
  <c r="J56" i="59"/>
  <c r="J55" i="59"/>
  <c r="J54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J49" i="59" s="1"/>
  <c r="K45" i="59"/>
  <c r="J45" i="59"/>
  <c r="K43" i="59"/>
  <c r="J43" i="59"/>
  <c r="K42" i="59"/>
  <c r="K44" i="59" s="1"/>
  <c r="J42" i="59"/>
  <c r="J44" i="59" s="1"/>
  <c r="K41" i="59"/>
  <c r="J41" i="59"/>
  <c r="J40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J10" i="59"/>
  <c r="J9" i="59"/>
  <c r="J8" i="59"/>
  <c r="J6" i="59"/>
  <c r="G54" i="36"/>
  <c r="G53" i="36"/>
  <c r="G51" i="36"/>
  <c r="G50" i="36"/>
  <c r="G49" i="36"/>
  <c r="G48" i="36"/>
  <c r="H46" i="36"/>
  <c r="H54" i="36" s="1"/>
  <c r="G46" i="36"/>
  <c r="H44" i="36"/>
  <c r="H52" i="36" s="1"/>
  <c r="H43" i="36"/>
  <c r="H51" i="36" s="1"/>
  <c r="H53" i="36" s="1"/>
  <c r="G43" i="36"/>
  <c r="G45" i="36" s="1"/>
  <c r="H41" i="36"/>
  <c r="H49" i="36" s="1"/>
  <c r="G41" i="36"/>
  <c r="H40" i="36"/>
  <c r="H48" i="36" s="1"/>
  <c r="G40" i="36"/>
  <c r="H39" i="36"/>
  <c r="H17" i="36" s="1"/>
  <c r="K55" i="59" s="1"/>
  <c r="H38" i="36"/>
  <c r="H16" i="36" s="1"/>
  <c r="G33" i="36"/>
  <c r="G34" i="36" s="1"/>
  <c r="H32" i="36"/>
  <c r="G32" i="36"/>
  <c r="G39" i="36" s="1"/>
  <c r="G29" i="36"/>
  <c r="G28" i="36"/>
  <c r="G27" i="36"/>
  <c r="H26" i="36"/>
  <c r="H24" i="36"/>
  <c r="K75" i="59" s="1"/>
  <c r="H23" i="36"/>
  <c r="K72" i="59" s="1"/>
  <c r="G23" i="36"/>
  <c r="J72" i="59" s="1"/>
  <c r="H22" i="36"/>
  <c r="K68" i="59" s="1"/>
  <c r="G22" i="36"/>
  <c r="H21" i="36"/>
  <c r="K64" i="59" s="1"/>
  <c r="G21" i="36"/>
  <c r="J64" i="59" s="1"/>
  <c r="G19" i="36"/>
  <c r="G18" i="36"/>
  <c r="G17" i="36"/>
  <c r="G16" i="36"/>
  <c r="G38" i="36" s="1"/>
  <c r="G13" i="36"/>
  <c r="H12" i="36"/>
  <c r="K39" i="59" s="1"/>
  <c r="H11" i="36"/>
  <c r="K38" i="59" s="1"/>
  <c r="H10" i="36"/>
  <c r="K37" i="59" s="1"/>
  <c r="G9" i="36"/>
  <c r="H8" i="36"/>
  <c r="K9" i="59" s="1"/>
  <c r="G8" i="36"/>
  <c r="H7" i="36"/>
  <c r="K8" i="59" s="1"/>
  <c r="G7" i="36"/>
  <c r="G5" i="36"/>
  <c r="H18" i="21"/>
  <c r="H28" i="21"/>
  <c r="G27" i="21"/>
  <c r="G26" i="21"/>
  <c r="G28" i="21" s="1"/>
  <c r="H24" i="21"/>
  <c r="H25" i="21" s="1"/>
  <c r="H15" i="21"/>
  <c r="H12" i="21"/>
  <c r="H456" i="28" s="1"/>
  <c r="G12" i="21"/>
  <c r="G15" i="21" s="1"/>
  <c r="G42" i="36" l="1"/>
  <c r="G134" i="73"/>
  <c r="G5" i="73"/>
  <c r="H457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G35" i="36"/>
  <c r="G36" i="36" s="1"/>
  <c r="G30" i="36" s="1"/>
  <c r="J80" i="59" s="1"/>
  <c r="H20" i="21"/>
  <c r="G22" i="21"/>
  <c r="G18" i="35"/>
  <c r="G16" i="35"/>
  <c r="H9" i="36" l="1"/>
  <c r="K10" i="59" s="1"/>
  <c r="G440" i="28"/>
  <c r="G439" i="28"/>
  <c r="H30" i="35"/>
  <c r="G42" i="35"/>
  <c r="G41" i="35"/>
  <c r="H40" i="35"/>
  <c r="H39" i="35"/>
  <c r="G39" i="35"/>
  <c r="H36" i="35"/>
  <c r="H46" i="35" s="1"/>
  <c r="G36" i="35"/>
  <c r="G28" i="28" s="1"/>
  <c r="G33" i="35"/>
  <c r="H32" i="35"/>
  <c r="H31" i="35"/>
  <c r="H95" i="11" s="1"/>
  <c r="H26" i="35"/>
  <c r="H33" i="36" s="1"/>
  <c r="H34" i="36" s="1"/>
  <c r="H35" i="36" s="1"/>
  <c r="H36" i="36" s="1"/>
  <c r="H30" i="36" s="1"/>
  <c r="K80" i="59" s="1"/>
  <c r="G26" i="35"/>
  <c r="G21" i="35"/>
  <c r="H20" i="35"/>
  <c r="G20" i="35"/>
  <c r="H19" i="35"/>
  <c r="G19" i="35"/>
  <c r="H14" i="35"/>
  <c r="H5" i="36" s="1"/>
  <c r="G14" i="35"/>
  <c r="H13" i="35"/>
  <c r="H11" i="35"/>
  <c r="H10" i="6" s="1"/>
  <c r="G10" i="35"/>
  <c r="G9" i="35"/>
  <c r="G13" i="35" s="1"/>
  <c r="H8" i="35"/>
  <c r="G8" i="35"/>
  <c r="H7" i="35"/>
  <c r="H6" i="6" s="1"/>
  <c r="H6" i="35"/>
  <c r="H5" i="6" s="1"/>
  <c r="G33" i="28" l="1"/>
  <c r="G50" i="28"/>
  <c r="G55" i="28" s="1"/>
  <c r="G456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6" i="35"/>
  <c r="G47" i="35" s="1"/>
  <c r="G11" i="35"/>
  <c r="G427" i="28" l="1"/>
  <c r="G61" i="28"/>
  <c r="H189" i="6"/>
  <c r="H194" i="6"/>
  <c r="H168" i="6"/>
  <c r="H164" i="6"/>
  <c r="H19" i="6"/>
  <c r="H84" i="6" s="1"/>
  <c r="H81" i="6"/>
  <c r="G53" i="35"/>
  <c r="G77" i="28" l="1"/>
  <c r="G62" i="28"/>
  <c r="G457" i="28" s="1"/>
  <c r="G453" i="28"/>
  <c r="G430" i="28"/>
  <c r="G431" i="28"/>
  <c r="H40" i="6"/>
  <c r="H37" i="6"/>
  <c r="H38" i="6"/>
  <c r="H39" i="6"/>
  <c r="E86" i="77"/>
  <c r="I86" i="77" s="1"/>
  <c r="G452" i="28" l="1"/>
  <c r="G81" i="28"/>
  <c r="G451" i="28"/>
  <c r="H41" i="6"/>
  <c r="E28" i="15"/>
  <c r="E29" i="15"/>
  <c r="E30" i="15"/>
  <c r="G54" i="50"/>
  <c r="D20" i="35"/>
  <c r="D19" i="35"/>
  <c r="D16" i="35"/>
  <c r="D34" i="35"/>
  <c r="D18" i="35"/>
  <c r="F3" i="8" l="1"/>
  <c r="E203" i="73" l="1"/>
  <c r="I203" i="73" s="1"/>
  <c r="E234" i="73"/>
  <c r="I234" i="73" s="1"/>
  <c r="E79" i="17"/>
  <c r="D79" i="17"/>
  <c r="E74" i="17"/>
  <c r="D74" i="17"/>
  <c r="D90" i="8" l="1"/>
  <c r="D82" i="7" l="1"/>
  <c r="G17" i="59"/>
  <c r="E21" i="77" l="1"/>
  <c r="F113" i="10" l="1"/>
  <c r="F109" i="10"/>
  <c r="F103" i="10"/>
  <c r="F74" i="10"/>
  <c r="F53" i="10"/>
  <c r="F58" i="10"/>
  <c r="F54" i="10"/>
  <c r="F65" i="10"/>
  <c r="F23" i="10"/>
  <c r="F29" i="10"/>
  <c r="F22" i="10"/>
  <c r="F13" i="10"/>
  <c r="N65" i="82" l="1"/>
  <c r="M65" i="82"/>
  <c r="F65" i="82"/>
  <c r="L65" i="82"/>
  <c r="H65" i="82"/>
  <c r="G65" i="82"/>
  <c r="F103" i="9" l="1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0" i="11" l="1"/>
  <c r="F95" i="9" l="1"/>
  <c r="D99" i="9" l="1"/>
  <c r="F87" i="8"/>
  <c r="D17" i="8" l="1"/>
  <c r="D14" i="8"/>
  <c r="D193" i="6" l="1"/>
  <c r="D167" i="6"/>
  <c r="E198" i="6"/>
  <c r="D130" i="6"/>
  <c r="E130" i="6"/>
  <c r="F130" i="6"/>
  <c r="E23" i="35" l="1"/>
  <c r="E34" i="35"/>
  <c r="E18" i="35"/>
  <c r="E16" i="35"/>
  <c r="N18" i="88" l="1"/>
  <c r="M18" i="88"/>
  <c r="L18" i="88"/>
  <c r="K18" i="88"/>
  <c r="J18" i="88"/>
  <c r="I18" i="88"/>
  <c r="H18" i="88"/>
  <c r="G18" i="88"/>
  <c r="F18" i="88"/>
  <c r="E18" i="88"/>
  <c r="D18" i="88"/>
  <c r="M59" i="93" l="1"/>
  <c r="K59" i="93"/>
  <c r="D59" i="93"/>
  <c r="L58" i="93"/>
  <c r="E58" i="93"/>
  <c r="M57" i="93"/>
  <c r="G57" i="93"/>
  <c r="D57" i="93"/>
  <c r="M55" i="93"/>
  <c r="K55" i="93"/>
  <c r="I55" i="93"/>
  <c r="G55" i="93"/>
  <c r="D55" i="93"/>
  <c r="L54" i="93"/>
  <c r="K54" i="93"/>
  <c r="I54" i="93"/>
  <c r="E54" i="93"/>
  <c r="M53" i="93"/>
  <c r="M56" i="93" s="1"/>
  <c r="L53" i="93"/>
  <c r="K53" i="93"/>
  <c r="K56" i="93" s="1"/>
  <c r="G53" i="93"/>
  <c r="D53" i="93"/>
  <c r="D56" i="93" s="1"/>
  <c r="M51" i="93"/>
  <c r="K51" i="93"/>
  <c r="G51" i="93"/>
  <c r="E51" i="93"/>
  <c r="D51" i="93"/>
  <c r="L50" i="93"/>
  <c r="I50" i="93"/>
  <c r="G50" i="93"/>
  <c r="E50" i="93"/>
  <c r="M49" i="93"/>
  <c r="K49" i="93"/>
  <c r="I49" i="93"/>
  <c r="I52" i="93" s="1"/>
  <c r="G49" i="93"/>
  <c r="G52" i="93" s="1"/>
  <c r="D49" i="93"/>
  <c r="M47" i="93"/>
  <c r="L47" i="93"/>
  <c r="K47" i="93"/>
  <c r="G47" i="93"/>
  <c r="D47" i="93"/>
  <c r="M46" i="93"/>
  <c r="L46" i="93"/>
  <c r="I46" i="93"/>
  <c r="E46" i="93"/>
  <c r="D46" i="93"/>
  <c r="M45" i="93"/>
  <c r="M48" i="93" s="1"/>
  <c r="K45" i="93"/>
  <c r="G45" i="93"/>
  <c r="E45" i="93"/>
  <c r="D45" i="93"/>
  <c r="D48" i="93" s="1"/>
  <c r="M39" i="93"/>
  <c r="L39" i="93"/>
  <c r="L59" i="93" s="1"/>
  <c r="K39" i="93"/>
  <c r="I39" i="93"/>
  <c r="G39" i="93"/>
  <c r="G59" i="93" s="1"/>
  <c r="E39" i="93"/>
  <c r="E59" i="93" s="1"/>
  <c r="D39" i="93"/>
  <c r="M38" i="93"/>
  <c r="M58" i="93" s="1"/>
  <c r="L38" i="93"/>
  <c r="K38" i="93"/>
  <c r="K40" i="93" s="1"/>
  <c r="I38" i="93"/>
  <c r="I58" i="93" s="1"/>
  <c r="G38" i="93"/>
  <c r="G58" i="93" s="1"/>
  <c r="E38" i="93"/>
  <c r="D38" i="93"/>
  <c r="D58" i="93" s="1"/>
  <c r="M37" i="93"/>
  <c r="L37" i="93"/>
  <c r="L40" i="93" s="1"/>
  <c r="K37" i="93"/>
  <c r="K57" i="93" s="1"/>
  <c r="I37" i="93"/>
  <c r="I57" i="93" s="1"/>
  <c r="G37" i="93"/>
  <c r="E37" i="93"/>
  <c r="E40" i="93" s="1"/>
  <c r="E41" i="93" s="1"/>
  <c r="D37" i="93"/>
  <c r="M36" i="93"/>
  <c r="D36" i="93"/>
  <c r="M35" i="93"/>
  <c r="L35" i="93"/>
  <c r="L55" i="93" s="1"/>
  <c r="K35" i="93"/>
  <c r="I35" i="93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D34" i="93"/>
  <c r="D54" i="93" s="1"/>
  <c r="M33" i="93"/>
  <c r="L33" i="93"/>
  <c r="L36" i="93" s="1"/>
  <c r="K33" i="93"/>
  <c r="K36" i="93" s="1"/>
  <c r="I33" i="93"/>
  <c r="I36" i="93" s="1"/>
  <c r="G33" i="93"/>
  <c r="E33" i="93"/>
  <c r="E53" i="93" s="1"/>
  <c r="D33" i="93"/>
  <c r="K32" i="93"/>
  <c r="M31" i="93"/>
  <c r="L31" i="93"/>
  <c r="L51" i="93" s="1"/>
  <c r="K31" i="93"/>
  <c r="I31" i="93"/>
  <c r="I51" i="93" s="1"/>
  <c r="G31" i="93"/>
  <c r="E31" i="93"/>
  <c r="D31" i="93"/>
  <c r="M30" i="93"/>
  <c r="M32" i="93" s="1"/>
  <c r="L30" i="93"/>
  <c r="K30" i="93"/>
  <c r="K50" i="93" s="1"/>
  <c r="I30" i="93"/>
  <c r="G30" i="93"/>
  <c r="E30" i="93"/>
  <c r="D30" i="93"/>
  <c r="D32" i="93" s="1"/>
  <c r="M29" i="93"/>
  <c r="L29" i="93"/>
  <c r="L49" i="93" s="1"/>
  <c r="L52" i="93" s="1"/>
  <c r="K29" i="93"/>
  <c r="I29" i="93"/>
  <c r="I32" i="93" s="1"/>
  <c r="G29" i="93"/>
  <c r="G32" i="93" s="1"/>
  <c r="E29" i="93"/>
  <c r="E32" i="93" s="1"/>
  <c r="D29" i="93"/>
  <c r="G28" i="93"/>
  <c r="M27" i="93"/>
  <c r="L27" i="93"/>
  <c r="K27" i="93"/>
  <c r="I27" i="93"/>
  <c r="I28" i="93" s="1"/>
  <c r="G27" i="93"/>
  <c r="E27" i="93"/>
  <c r="E47" i="93" s="1"/>
  <c r="D27" i="93"/>
  <c r="M26" i="93"/>
  <c r="L26" i="93"/>
  <c r="K26" i="93"/>
  <c r="K28" i="93" s="1"/>
  <c r="I26" i="93"/>
  <c r="G26" i="93"/>
  <c r="G46" i="93" s="1"/>
  <c r="E26" i="93"/>
  <c r="D26" i="93"/>
  <c r="M25" i="93"/>
  <c r="M28" i="93" s="1"/>
  <c r="L25" i="93"/>
  <c r="L28" i="93" s="1"/>
  <c r="K25" i="93"/>
  <c r="I25" i="93"/>
  <c r="I45" i="93" s="1"/>
  <c r="G25" i="93"/>
  <c r="E25" i="93"/>
  <c r="E28" i="93" s="1"/>
  <c r="D25" i="93"/>
  <c r="D28" i="93" s="1"/>
  <c r="M21" i="93"/>
  <c r="D21" i="93"/>
  <c r="M20" i="93"/>
  <c r="L20" i="93"/>
  <c r="L21" i="93" s="1"/>
  <c r="K20" i="93"/>
  <c r="I20" i="93"/>
  <c r="I21" i="93" s="1"/>
  <c r="G20" i="93"/>
  <c r="G21" i="93" s="1"/>
  <c r="E20" i="93"/>
  <c r="E21" i="93" s="1"/>
  <c r="D20" i="93"/>
  <c r="M16" i="93"/>
  <c r="L16" i="93"/>
  <c r="K16" i="93"/>
  <c r="K21" i="93" s="1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60" i="93" l="1"/>
  <c r="G61" i="93" s="1"/>
  <c r="G40" i="93"/>
  <c r="G41" i="93" s="1"/>
  <c r="M60" i="93"/>
  <c r="G56" i="93"/>
  <c r="I40" i="93"/>
  <c r="I41" i="93" s="1"/>
  <c r="D60" i="93"/>
  <c r="D40" i="93"/>
  <c r="D41" i="93" s="1"/>
  <c r="M40" i="93"/>
  <c r="E57" i="93"/>
  <c r="K52" i="93"/>
  <c r="I48" i="93"/>
  <c r="K41" i="93"/>
  <c r="E48" i="93"/>
  <c r="M41" i="93"/>
  <c r="G48" i="93"/>
  <c r="L56" i="93"/>
  <c r="E60" i="93"/>
  <c r="L32" i="93"/>
  <c r="L41" i="93" s="1"/>
  <c r="L45" i="93"/>
  <c r="L48" i="93" s="1"/>
  <c r="K46" i="93"/>
  <c r="K48" i="93" s="1"/>
  <c r="I47" i="93"/>
  <c r="E49" i="93"/>
  <c r="E52" i="93" s="1"/>
  <c r="D50" i="93"/>
  <c r="D52" i="93" s="1"/>
  <c r="M50" i="93"/>
  <c r="M52" i="93" s="1"/>
  <c r="M61" i="93" s="1"/>
  <c r="I53" i="93"/>
  <c r="I56" i="93" s="1"/>
  <c r="E55" i="93"/>
  <c r="E56" i="93" s="1"/>
  <c r="L57" i="93"/>
  <c r="L60" i="93" s="1"/>
  <c r="K58" i="93"/>
  <c r="K60" i="93" s="1"/>
  <c r="I59" i="93"/>
  <c r="I60" i="93" s="1"/>
  <c r="D61" i="93" l="1"/>
  <c r="K61" i="93"/>
  <c r="I61" i="93"/>
  <c r="E61" i="93"/>
  <c r="L61" i="93"/>
  <c r="BA151" i="73" l="1"/>
  <c r="BA152" i="73"/>
  <c r="BA153" i="73"/>
  <c r="BA154" i="73"/>
  <c r="BA155" i="73"/>
  <c r="BA156" i="73"/>
  <c r="BA157" i="73"/>
  <c r="BA158" i="73"/>
  <c r="BA159" i="73"/>
  <c r="BA160" i="73"/>
  <c r="L42" i="35" l="1"/>
  <c r="H139" i="45"/>
  <c r="I139" i="45"/>
  <c r="H42" i="35" s="1"/>
  <c r="J139" i="45"/>
  <c r="J143" i="45" s="1"/>
  <c r="L139" i="45"/>
  <c r="L143" i="45" s="1"/>
  <c r="M139" i="45"/>
  <c r="M143" i="45" s="1"/>
  <c r="N139" i="45"/>
  <c r="N143" i="45" s="1"/>
  <c r="P139" i="45"/>
  <c r="P143" i="45" s="1"/>
  <c r="Q139" i="45"/>
  <c r="Q143" i="45" s="1"/>
  <c r="R139" i="45"/>
  <c r="R143" i="45" s="1"/>
  <c r="T139" i="45"/>
  <c r="T143" i="45" s="1"/>
  <c r="U139" i="45"/>
  <c r="T42" i="35" s="1"/>
  <c r="V139" i="45"/>
  <c r="V143" i="45" s="1"/>
  <c r="X139" i="45"/>
  <c r="X143" i="45" s="1"/>
  <c r="Y139" i="45"/>
  <c r="X42" i="35" s="1"/>
  <c r="Z139" i="45"/>
  <c r="Z143" i="45" s="1"/>
  <c r="AB139" i="45"/>
  <c r="AB143" i="45" s="1"/>
  <c r="AD139" i="45"/>
  <c r="AD143" i="45" s="1"/>
  <c r="AE139" i="45"/>
  <c r="AE143" i="45" s="1"/>
  <c r="AF139" i="45"/>
  <c r="AF143" i="45" s="1"/>
  <c r="AH139" i="45"/>
  <c r="AH143" i="45" s="1"/>
  <c r="AI139" i="45"/>
  <c r="AI143" i="45" s="1"/>
  <c r="AJ139" i="45"/>
  <c r="AJ143" i="45" s="1"/>
  <c r="AL139" i="45"/>
  <c r="AL143" i="45" s="1"/>
  <c r="AM139" i="45"/>
  <c r="AL42" i="35" s="1"/>
  <c r="AN139" i="45"/>
  <c r="AN143" i="45" s="1"/>
  <c r="AP139" i="45"/>
  <c r="AP143" i="45" s="1"/>
  <c r="AR139" i="45"/>
  <c r="AR143" i="45" s="1"/>
  <c r="AS139" i="45"/>
  <c r="AS143" i="45" s="1"/>
  <c r="AT139" i="45"/>
  <c r="AT143" i="45" s="1"/>
  <c r="AV139" i="45"/>
  <c r="AV143" i="45" s="1"/>
  <c r="AW139" i="45"/>
  <c r="AV42" i="35" s="1"/>
  <c r="AX139" i="45"/>
  <c r="AX143" i="45" s="1"/>
  <c r="AZ139" i="45"/>
  <c r="AZ143" i="45" s="1"/>
  <c r="BA139" i="45"/>
  <c r="BA143" i="45" s="1"/>
  <c r="BB139" i="45"/>
  <c r="BB143" i="45" s="1"/>
  <c r="BD139" i="45"/>
  <c r="BD143" i="45" s="1"/>
  <c r="BF139" i="45"/>
  <c r="BF143" i="45" s="1"/>
  <c r="H140" i="45"/>
  <c r="I140" i="45"/>
  <c r="H43" i="35" s="1"/>
  <c r="J140" i="45"/>
  <c r="L140" i="45"/>
  <c r="M140" i="45"/>
  <c r="L43" i="35" s="1"/>
  <c r="N140" i="45"/>
  <c r="P140" i="45"/>
  <c r="Q140" i="45"/>
  <c r="P43" i="35" s="1"/>
  <c r="R140" i="45"/>
  <c r="T140" i="45"/>
  <c r="U140" i="45"/>
  <c r="T43" i="35" s="1"/>
  <c r="V140" i="45"/>
  <c r="X140" i="45"/>
  <c r="Y140" i="45"/>
  <c r="X43" i="35" s="1"/>
  <c r="Z140" i="45"/>
  <c r="AB140" i="45"/>
  <c r="AD140" i="45"/>
  <c r="AE140" i="45"/>
  <c r="AD43" i="35" s="1"/>
  <c r="AF140" i="45"/>
  <c r="AH140" i="45"/>
  <c r="AI140" i="45"/>
  <c r="AH43" i="35" s="1"/>
  <c r="AJ140" i="45"/>
  <c r="AL140" i="45"/>
  <c r="AM140" i="45"/>
  <c r="AL43" i="35" s="1"/>
  <c r="AN140" i="45"/>
  <c r="AP140" i="45"/>
  <c r="AR140" i="45"/>
  <c r="AS140" i="45"/>
  <c r="AR43" i="35" s="1"/>
  <c r="AT140" i="45"/>
  <c r="AV140" i="45"/>
  <c r="AW140" i="45"/>
  <c r="AV43" i="35" s="1"/>
  <c r="AX140" i="45"/>
  <c r="AZ140" i="45"/>
  <c r="BA140" i="45"/>
  <c r="AZ43" i="35" s="1"/>
  <c r="BB140" i="45"/>
  <c r="BD140" i="45"/>
  <c r="BF140" i="45"/>
  <c r="H141" i="45"/>
  <c r="I141" i="45"/>
  <c r="H44" i="35" s="1"/>
  <c r="J141" i="45"/>
  <c r="L141" i="45"/>
  <c r="M141" i="45"/>
  <c r="L44" i="35" s="1"/>
  <c r="N141" i="45"/>
  <c r="P141" i="45"/>
  <c r="Q141" i="45"/>
  <c r="P44" i="35" s="1"/>
  <c r="R141" i="45"/>
  <c r="T141" i="45"/>
  <c r="U141" i="45"/>
  <c r="T44" i="35" s="1"/>
  <c r="V141" i="45"/>
  <c r="X141" i="45"/>
  <c r="Y141" i="45"/>
  <c r="X44" i="35" s="1"/>
  <c r="Z141" i="45"/>
  <c r="AB141" i="45"/>
  <c r="AD141" i="45"/>
  <c r="AE141" i="45"/>
  <c r="AD44" i="35" s="1"/>
  <c r="AF141" i="45"/>
  <c r="AH141" i="45"/>
  <c r="AI141" i="45"/>
  <c r="AH44" i="35" s="1"/>
  <c r="AJ141" i="45"/>
  <c r="AL141" i="45"/>
  <c r="AM141" i="45"/>
  <c r="AL44" i="35" s="1"/>
  <c r="AN141" i="45"/>
  <c r="AP141" i="45"/>
  <c r="AR141" i="45"/>
  <c r="AS141" i="45"/>
  <c r="AR44" i="35" s="1"/>
  <c r="AT141" i="45"/>
  <c r="AV141" i="45"/>
  <c r="AW141" i="45"/>
  <c r="AV44" i="35" s="1"/>
  <c r="AX141" i="45"/>
  <c r="AZ141" i="45"/>
  <c r="BA141" i="45"/>
  <c r="AZ44" i="35" s="1"/>
  <c r="BB141" i="45"/>
  <c r="BD141" i="45"/>
  <c r="BF141" i="45"/>
  <c r="H142" i="45"/>
  <c r="I142" i="45"/>
  <c r="H45" i="35" s="1"/>
  <c r="J142" i="45"/>
  <c r="L142" i="45"/>
  <c r="M142" i="45"/>
  <c r="L45" i="35" s="1"/>
  <c r="N142" i="45"/>
  <c r="P142" i="45"/>
  <c r="Q142" i="45"/>
  <c r="P45" i="35" s="1"/>
  <c r="R142" i="45"/>
  <c r="T142" i="45"/>
  <c r="U142" i="45"/>
  <c r="T45" i="35" s="1"/>
  <c r="V142" i="45"/>
  <c r="X142" i="45"/>
  <c r="Y142" i="45"/>
  <c r="X45" i="35" s="1"/>
  <c r="Z142" i="45"/>
  <c r="AB142" i="45"/>
  <c r="AD142" i="45"/>
  <c r="AE142" i="45"/>
  <c r="AD45" i="35" s="1"/>
  <c r="AF142" i="45"/>
  <c r="AH142" i="45"/>
  <c r="AI142" i="45"/>
  <c r="AH45" i="35" s="1"/>
  <c r="AJ142" i="45"/>
  <c r="AL142" i="45"/>
  <c r="AM142" i="45"/>
  <c r="AL45" i="35" s="1"/>
  <c r="AN142" i="45"/>
  <c r="AP142" i="45"/>
  <c r="AR142" i="45"/>
  <c r="AS142" i="45"/>
  <c r="AR45" i="35" s="1"/>
  <c r="AT142" i="45"/>
  <c r="AV142" i="45"/>
  <c r="AW142" i="45"/>
  <c r="AV45" i="35" s="1"/>
  <c r="AX142" i="45"/>
  <c r="AZ142" i="45"/>
  <c r="BA142" i="45"/>
  <c r="AZ45" i="35" s="1"/>
  <c r="BB142" i="45"/>
  <c r="BD142" i="45"/>
  <c r="BF142" i="45"/>
  <c r="G142" i="45"/>
  <c r="F45" i="35" s="1"/>
  <c r="G141" i="45"/>
  <c r="F44" i="35" s="1"/>
  <c r="G140" i="45"/>
  <c r="F43" i="35" s="1"/>
  <c r="G139" i="4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W21" i="72"/>
  <c r="AX21" i="72"/>
  <c r="AZ21" i="72"/>
  <c r="BB21" i="72"/>
  <c r="AW143" i="45" l="1"/>
  <c r="P42" i="35"/>
  <c r="AD42" i="35"/>
  <c r="AR42" i="35"/>
  <c r="Y143" i="45"/>
  <c r="AM143" i="45"/>
  <c r="AZ42" i="35"/>
  <c r="U143" i="45"/>
  <c r="AH42" i="35"/>
  <c r="H47" i="35"/>
  <c r="H143" i="45"/>
  <c r="I143" i="45"/>
  <c r="G143" i="45"/>
  <c r="F42" i="35"/>
  <c r="AY8" i="72"/>
  <c r="AY9" i="72"/>
  <c r="AY10" i="72"/>
  <c r="AY11" i="72"/>
  <c r="AY12" i="72"/>
  <c r="AY13" i="72"/>
  <c r="AY14" i="72"/>
  <c r="AY15" i="72"/>
  <c r="AY16" i="72"/>
  <c r="AY17" i="72"/>
  <c r="AY18" i="72"/>
  <c r="AY19" i="72"/>
  <c r="AY20" i="72"/>
  <c r="AY22" i="72"/>
  <c r="AY23" i="72"/>
  <c r="AY24" i="72"/>
  <c r="AY27" i="72"/>
  <c r="AY28" i="72"/>
  <c r="AY29" i="72"/>
  <c r="AY30" i="72"/>
  <c r="AY31" i="72"/>
  <c r="AY32" i="72"/>
  <c r="AY33" i="72"/>
  <c r="AY34" i="72"/>
  <c r="AY35" i="72"/>
  <c r="AY36" i="72"/>
  <c r="AY37" i="72"/>
  <c r="AY38" i="72"/>
  <c r="AK8" i="72"/>
  <c r="BA8" i="72" s="1"/>
  <c r="AK9" i="72"/>
  <c r="BA9" i="72" s="1"/>
  <c r="AK10" i="72"/>
  <c r="AK11" i="72"/>
  <c r="BA11" i="72" s="1"/>
  <c r="AK12" i="72"/>
  <c r="BA12" i="72" s="1"/>
  <c r="AK13" i="72"/>
  <c r="BA13" i="72" s="1"/>
  <c r="AK14" i="72"/>
  <c r="BA14" i="72" s="1"/>
  <c r="AK15" i="72"/>
  <c r="BA15" i="72" s="1"/>
  <c r="AK16" i="72"/>
  <c r="AK17" i="72"/>
  <c r="BA17" i="72" s="1"/>
  <c r="AK18" i="72"/>
  <c r="BA18" i="72" s="1"/>
  <c r="AK19" i="72"/>
  <c r="BA19" i="72" s="1"/>
  <c r="AK20" i="72"/>
  <c r="BA20" i="72" s="1"/>
  <c r="AK22" i="72"/>
  <c r="BA22" i="72" s="1"/>
  <c r="AK23" i="72"/>
  <c r="AK24" i="72"/>
  <c r="BA24" i="72" s="1"/>
  <c r="AK27" i="72"/>
  <c r="BA27" i="72" s="1"/>
  <c r="AK28" i="72"/>
  <c r="BA28" i="72" s="1"/>
  <c r="AK29" i="72"/>
  <c r="BA29" i="72" s="1"/>
  <c r="AK30" i="72"/>
  <c r="BA30" i="72" s="1"/>
  <c r="AK31" i="72"/>
  <c r="AK32" i="72"/>
  <c r="BA32" i="72" s="1"/>
  <c r="AK33" i="72"/>
  <c r="BA33" i="72" s="1"/>
  <c r="AK34" i="72"/>
  <c r="BA34" i="72" s="1"/>
  <c r="AK35" i="72"/>
  <c r="BA35" i="72" s="1"/>
  <c r="AK36" i="72"/>
  <c r="BA36" i="72" s="1"/>
  <c r="AK37" i="72"/>
  <c r="AK38" i="72"/>
  <c r="BA38" i="72" s="1"/>
  <c r="Y17" i="72"/>
  <c r="AC17" i="72" s="1"/>
  <c r="AG17" i="72" s="1"/>
  <c r="AM17" i="72" s="1"/>
  <c r="AQ17" i="72" s="1"/>
  <c r="AU17" i="72" s="1"/>
  <c r="BC17" i="72" s="1"/>
  <c r="W8" i="72"/>
  <c r="W9" i="72"/>
  <c r="W10" i="72"/>
  <c r="W11" i="72"/>
  <c r="W12" i="72"/>
  <c r="W13" i="72"/>
  <c r="W14" i="72"/>
  <c r="W15" i="72"/>
  <c r="W16" i="72"/>
  <c r="W17" i="72"/>
  <c r="W18" i="72"/>
  <c r="W19" i="72"/>
  <c r="W20" i="72"/>
  <c r="W22" i="72"/>
  <c r="W23" i="72"/>
  <c r="W24" i="72"/>
  <c r="W27" i="72"/>
  <c r="W28" i="72"/>
  <c r="W29" i="72"/>
  <c r="W30" i="72"/>
  <c r="W31" i="72"/>
  <c r="W32" i="72"/>
  <c r="W33" i="72"/>
  <c r="W34" i="72"/>
  <c r="W35" i="72"/>
  <c r="W36" i="72"/>
  <c r="W37" i="72"/>
  <c r="W38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O27" i="72"/>
  <c r="S27" i="72" s="1"/>
  <c r="O28" i="72"/>
  <c r="S28" i="72" s="1"/>
  <c r="O29" i="72"/>
  <c r="S29" i="72" s="1"/>
  <c r="O31" i="72"/>
  <c r="S31" i="72" s="1"/>
  <c r="O32" i="72"/>
  <c r="S32" i="72" s="1"/>
  <c r="O33" i="72"/>
  <c r="S33" i="72" s="1"/>
  <c r="O34" i="72"/>
  <c r="S34" i="72" s="1"/>
  <c r="O35" i="72"/>
  <c r="S35" i="72" s="1"/>
  <c r="O36" i="72"/>
  <c r="S36" i="72" s="1"/>
  <c r="O38" i="72"/>
  <c r="S38" i="72" s="1"/>
  <c r="K8" i="72"/>
  <c r="Y8" i="72" s="1"/>
  <c r="AC8" i="72" s="1"/>
  <c r="AG8" i="72" s="1"/>
  <c r="AM8" i="72" s="1"/>
  <c r="AQ8" i="72" s="1"/>
  <c r="AU8" i="72" s="1"/>
  <c r="BC8" i="72" s="1"/>
  <c r="K9" i="72"/>
  <c r="Y9" i="72" s="1"/>
  <c r="AC9" i="72" s="1"/>
  <c r="AG9" i="72" s="1"/>
  <c r="AM9" i="72" s="1"/>
  <c r="AQ9" i="72" s="1"/>
  <c r="AU9" i="72" s="1"/>
  <c r="BC9" i="72" s="1"/>
  <c r="K10" i="72"/>
  <c r="K11" i="72"/>
  <c r="Y11" i="72" s="1"/>
  <c r="AC11" i="72" s="1"/>
  <c r="AG11" i="72" s="1"/>
  <c r="AM11" i="72" s="1"/>
  <c r="AQ11" i="72" s="1"/>
  <c r="AU11" i="72" s="1"/>
  <c r="BC11" i="72" s="1"/>
  <c r="K12" i="72"/>
  <c r="Y12" i="72" s="1"/>
  <c r="AC12" i="72" s="1"/>
  <c r="AG12" i="72" s="1"/>
  <c r="AM12" i="72" s="1"/>
  <c r="AQ12" i="72" s="1"/>
  <c r="AU12" i="72" s="1"/>
  <c r="BC12" i="72" s="1"/>
  <c r="K13" i="72"/>
  <c r="Y13" i="72" s="1"/>
  <c r="AC13" i="72" s="1"/>
  <c r="AG13" i="72" s="1"/>
  <c r="AM13" i="72" s="1"/>
  <c r="AQ13" i="72" s="1"/>
  <c r="AU13" i="72" s="1"/>
  <c r="BC13" i="72" s="1"/>
  <c r="K15" i="72"/>
  <c r="Y15" i="72" s="1"/>
  <c r="AC15" i="72" s="1"/>
  <c r="AG15" i="72" s="1"/>
  <c r="AM15" i="72" s="1"/>
  <c r="AQ15" i="72" s="1"/>
  <c r="AU15" i="72" s="1"/>
  <c r="BC15" i="72" s="1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Y18" i="72" s="1"/>
  <c r="AC18" i="72" s="1"/>
  <c r="AG18" i="72" s="1"/>
  <c r="AM18" i="72" s="1"/>
  <c r="AQ18" i="72" s="1"/>
  <c r="AU18" i="72" s="1"/>
  <c r="BC18" i="72" s="1"/>
  <c r="K19" i="72"/>
  <c r="K20" i="72"/>
  <c r="Y20" i="72" s="1"/>
  <c r="AC20" i="72" s="1"/>
  <c r="AG20" i="72" s="1"/>
  <c r="AM20" i="72" s="1"/>
  <c r="AQ20" i="72" s="1"/>
  <c r="AU20" i="72" s="1"/>
  <c r="BC20" i="72" s="1"/>
  <c r="K22" i="72"/>
  <c r="Y22" i="72" s="1"/>
  <c r="AC22" i="72" s="1"/>
  <c r="AG22" i="72" s="1"/>
  <c r="AM22" i="72" s="1"/>
  <c r="AQ22" i="72" s="1"/>
  <c r="AU22" i="72" s="1"/>
  <c r="BC22" i="72" s="1"/>
  <c r="K23" i="72"/>
  <c r="Y23" i="72" s="1"/>
  <c r="AC23" i="72" s="1"/>
  <c r="AG23" i="72" s="1"/>
  <c r="AM23" i="72" s="1"/>
  <c r="AQ23" i="72" s="1"/>
  <c r="AU23" i="72" s="1"/>
  <c r="BC23" i="72" s="1"/>
  <c r="K24" i="72"/>
  <c r="Y24" i="72" s="1"/>
  <c r="AC24" i="72" s="1"/>
  <c r="AG24" i="72" s="1"/>
  <c r="AM24" i="72" s="1"/>
  <c r="AQ24" i="72" s="1"/>
  <c r="AU24" i="72" s="1"/>
  <c r="BC24" i="72" s="1"/>
  <c r="K27" i="72"/>
  <c r="Y27" i="72" s="1"/>
  <c r="AC27" i="72" s="1"/>
  <c r="AG27" i="72" s="1"/>
  <c r="AM27" i="72" s="1"/>
  <c r="AQ27" i="72" s="1"/>
  <c r="AU27" i="72" s="1"/>
  <c r="BC27" i="72" s="1"/>
  <c r="K28" i="72"/>
  <c r="K29" i="72"/>
  <c r="Y29" i="72" s="1"/>
  <c r="AC29" i="72" s="1"/>
  <c r="AG29" i="72" s="1"/>
  <c r="AM29" i="72" s="1"/>
  <c r="AQ29" i="72" s="1"/>
  <c r="AU29" i="72" s="1"/>
  <c r="BC29" i="72" s="1"/>
  <c r="K31" i="72"/>
  <c r="Y31" i="72" s="1"/>
  <c r="AC31" i="72" s="1"/>
  <c r="AG31" i="72" s="1"/>
  <c r="AM31" i="72" s="1"/>
  <c r="AQ31" i="72" s="1"/>
  <c r="AU31" i="72" s="1"/>
  <c r="BC31" i="72" s="1"/>
  <c r="K32" i="72"/>
  <c r="Y32" i="72" s="1"/>
  <c r="AC32" i="72" s="1"/>
  <c r="AG32" i="72" s="1"/>
  <c r="AM32" i="72" s="1"/>
  <c r="AQ32" i="72" s="1"/>
  <c r="AU32" i="72" s="1"/>
  <c r="BC32" i="72" s="1"/>
  <c r="K33" i="72"/>
  <c r="Y33" i="72" s="1"/>
  <c r="AC33" i="72" s="1"/>
  <c r="AG33" i="72" s="1"/>
  <c r="AM33" i="72" s="1"/>
  <c r="AQ33" i="72" s="1"/>
  <c r="AU33" i="72" s="1"/>
  <c r="BC33" i="72" s="1"/>
  <c r="K34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8" i="72"/>
  <c r="Y38" i="72" s="1"/>
  <c r="AC38" i="72" s="1"/>
  <c r="AG38" i="72" s="1"/>
  <c r="AM38" i="72" s="1"/>
  <c r="AQ38" i="72" s="1"/>
  <c r="AU38" i="72" s="1"/>
  <c r="BC38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28" i="72"/>
  <c r="G29" i="72"/>
  <c r="G31" i="72"/>
  <c r="G32" i="72"/>
  <c r="G33" i="72"/>
  <c r="G34" i="72"/>
  <c r="G35" i="72"/>
  <c r="G36" i="72"/>
  <c r="G38" i="72"/>
  <c r="Y28" i="72" l="1"/>
  <c r="AC28" i="72" s="1"/>
  <c r="AG28" i="72" s="1"/>
  <c r="AM28" i="72" s="1"/>
  <c r="AQ28" i="72" s="1"/>
  <c r="AU28" i="72" s="1"/>
  <c r="BC28" i="72" s="1"/>
  <c r="Y34" i="72"/>
  <c r="AC34" i="72" s="1"/>
  <c r="AG34" i="72" s="1"/>
  <c r="AM34" i="72" s="1"/>
  <c r="AQ34" i="72" s="1"/>
  <c r="AU34" i="72" s="1"/>
  <c r="BC34" i="72" s="1"/>
  <c r="BA37" i="72"/>
  <c r="BA31" i="72"/>
  <c r="BA23" i="72"/>
  <c r="BA16" i="72"/>
  <c r="BA10" i="72"/>
  <c r="BA21" i="72"/>
  <c r="K21" i="72"/>
  <c r="AK21" i="72"/>
  <c r="G21" i="72"/>
  <c r="O21" i="72"/>
  <c r="AY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39" i="72"/>
  <c r="AR39" i="72"/>
  <c r="AS39" i="72"/>
  <c r="AT39" i="72"/>
  <c r="AV39" i="72"/>
  <c r="AW39" i="72"/>
  <c r="AX39" i="72"/>
  <c r="AZ39" i="72"/>
  <c r="BB39" i="72"/>
  <c r="Y21" i="72" l="1"/>
  <c r="AC19" i="72"/>
  <c r="M54" i="50"/>
  <c r="M78" i="50"/>
  <c r="AC21" i="72" l="1"/>
  <c r="AG19" i="72"/>
  <c r="AW35" i="72"/>
  <c r="AW34" i="72"/>
  <c r="AW29" i="72"/>
  <c r="AW28" i="72"/>
  <c r="AW27" i="72"/>
  <c r="AW24" i="72"/>
  <c r="AW19" i="72"/>
  <c r="AG21" i="72" l="1"/>
  <c r="AM19" i="72"/>
  <c r="AM21" i="72" l="1"/>
  <c r="AQ19" i="72"/>
  <c r="D126" i="50"/>
  <c r="D125" i="50"/>
  <c r="BA48" i="71"/>
  <c r="BE48" i="71"/>
  <c r="BI48" i="71"/>
  <c r="BS48" i="71"/>
  <c r="BW48" i="71"/>
  <c r="CA48" i="71"/>
  <c r="CG48" i="71"/>
  <c r="CK48" i="71"/>
  <c r="CO48" i="71"/>
  <c r="BZ76" i="99"/>
  <c r="BV76" i="99"/>
  <c r="K76" i="99"/>
  <c r="J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O73" i="99"/>
  <c r="BM73" i="99"/>
  <c r="BI73" i="99"/>
  <c r="BE73" i="99"/>
  <c r="BA73" i="99"/>
  <c r="AY73" i="99"/>
  <c r="AW73" i="99"/>
  <c r="AU73" i="99"/>
  <c r="AQ73" i="99"/>
  <c r="AP73" i="99"/>
  <c r="AO73" i="99"/>
  <c r="AK73" i="99"/>
  <c r="AF73" i="99"/>
  <c r="AB73" i="99"/>
  <c r="AG73" i="99" s="1"/>
  <c r="X73" i="99"/>
  <c r="AR73" i="99" s="1"/>
  <c r="W73" i="99"/>
  <c r="V73" i="99"/>
  <c r="R73" i="99"/>
  <c r="M73" i="99"/>
  <c r="I73" i="99"/>
  <c r="N73" i="99" s="1"/>
  <c r="CO72" i="99"/>
  <c r="CK72" i="99"/>
  <c r="CQ72" i="99" s="1"/>
  <c r="CG72" i="99"/>
  <c r="CC72" i="99"/>
  <c r="CS72" i="99" s="1"/>
  <c r="CA72" i="99"/>
  <c r="BW72" i="99"/>
  <c r="BS72" i="99"/>
  <c r="BM72" i="99"/>
  <c r="BO72" i="99" s="1"/>
  <c r="BI72" i="99"/>
  <c r="BE72" i="99"/>
  <c r="BA72" i="99"/>
  <c r="BC72" i="99" s="1"/>
  <c r="AW72" i="99"/>
  <c r="AU72" i="99"/>
  <c r="AQ72" i="99"/>
  <c r="AR72" i="99" s="1"/>
  <c r="AP72" i="99"/>
  <c r="AO72" i="99"/>
  <c r="AK72" i="99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CU71" i="99" s="1"/>
  <c r="BY71" i="99"/>
  <c r="BW71" i="99"/>
  <c r="BS71" i="99"/>
  <c r="BO71" i="99"/>
  <c r="BQ71" i="99" s="1"/>
  <c r="BU71" i="99" s="1"/>
  <c r="BM71" i="99"/>
  <c r="BI71" i="99"/>
  <c r="BG71" i="99"/>
  <c r="BK71" i="99" s="1"/>
  <c r="BE71" i="99"/>
  <c r="BC71" i="99"/>
  <c r="BA71" i="99"/>
  <c r="AY71" i="99"/>
  <c r="AW71" i="99"/>
  <c r="AU71" i="99"/>
  <c r="AQ71" i="99"/>
  <c r="AR71" i="99" s="1"/>
  <c r="AP71" i="99"/>
  <c r="AO71" i="99"/>
  <c r="AK71" i="99"/>
  <c r="AG71" i="99"/>
  <c r="AF71" i="99"/>
  <c r="AB71" i="99"/>
  <c r="X71" i="99"/>
  <c r="W71" i="99"/>
  <c r="V71" i="99"/>
  <c r="R71" i="99"/>
  <c r="M71" i="99"/>
  <c r="I71" i="99"/>
  <c r="N71" i="99" s="1"/>
  <c r="CQ70" i="99"/>
  <c r="CO70" i="99"/>
  <c r="CK70" i="99"/>
  <c r="CG70" i="99"/>
  <c r="CC70" i="99"/>
  <c r="CS70" i="99" s="1"/>
  <c r="CA70" i="99"/>
  <c r="BW70" i="99"/>
  <c r="BS70" i="99"/>
  <c r="BO70" i="99"/>
  <c r="BM70" i="99"/>
  <c r="BI70" i="99"/>
  <c r="BE70" i="99"/>
  <c r="BA70" i="99"/>
  <c r="AW70" i="99"/>
  <c r="AU70" i="99"/>
  <c r="AQ70" i="99"/>
  <c r="AR70" i="99" s="1"/>
  <c r="AP70" i="99"/>
  <c r="AO70" i="99"/>
  <c r="AK70" i="99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CC69" i="99" s="1"/>
  <c r="BS69" i="99"/>
  <c r="BM69" i="99"/>
  <c r="BI69" i="99"/>
  <c r="BE69" i="99"/>
  <c r="BA69" i="99"/>
  <c r="BC69" i="99" s="1"/>
  <c r="AY69" i="99"/>
  <c r="AW69" i="99"/>
  <c r="AU69" i="99"/>
  <c r="AQ69" i="99"/>
  <c r="AR69" i="99" s="1"/>
  <c r="AP69" i="99"/>
  <c r="AO69" i="99"/>
  <c r="AK69" i="99"/>
  <c r="AF69" i="99"/>
  <c r="AG69" i="99" s="1"/>
  <c r="AB69" i="99"/>
  <c r="X69" i="99"/>
  <c r="W69" i="99"/>
  <c r="V69" i="99"/>
  <c r="R69" i="99"/>
  <c r="M69" i="99"/>
  <c r="I69" i="99"/>
  <c r="N69" i="99" s="1"/>
  <c r="CQ68" i="99"/>
  <c r="CO68" i="99"/>
  <c r="CK68" i="99"/>
  <c r="CG68" i="99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N68" i="99"/>
  <c r="M68" i="99"/>
  <c r="I68" i="99"/>
  <c r="CO67" i="99"/>
  <c r="CK67" i="99"/>
  <c r="CG67" i="99"/>
  <c r="CA67" i="99"/>
  <c r="BW67" i="99"/>
  <c r="CC67" i="99" s="1"/>
  <c r="BS67" i="99"/>
  <c r="BM67" i="99"/>
  <c r="CU67" i="99" s="1"/>
  <c r="BI67" i="99"/>
  <c r="BG67" i="99"/>
  <c r="BK67" i="99" s="1"/>
  <c r="BE67" i="99"/>
  <c r="BC67" i="99"/>
  <c r="BA67" i="99"/>
  <c r="AY67" i="99"/>
  <c r="AW67" i="99"/>
  <c r="AU67" i="99"/>
  <c r="AR67" i="99"/>
  <c r="AQ67" i="99"/>
  <c r="AO67" i="99"/>
  <c r="AK67" i="99"/>
  <c r="AP67" i="99" s="1"/>
  <c r="AG67" i="99"/>
  <c r="AF67" i="99"/>
  <c r="AB67" i="99"/>
  <c r="X67" i="99"/>
  <c r="W67" i="99"/>
  <c r="V67" i="99"/>
  <c r="R67" i="99"/>
  <c r="N67" i="99"/>
  <c r="M67" i="99"/>
  <c r="I67" i="99"/>
  <c r="CQ66" i="99"/>
  <c r="CO66" i="99"/>
  <c r="CK66" i="99"/>
  <c r="CG66" i="99"/>
  <c r="CA66" i="99"/>
  <c r="BW66" i="99"/>
  <c r="BS66" i="99"/>
  <c r="BO66" i="99"/>
  <c r="BM66" i="99"/>
  <c r="BI66" i="99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W66" i="99" s="1"/>
  <c r="N66" i="99"/>
  <c r="M66" i="99"/>
  <c r="I66" i="99"/>
  <c r="CO65" i="99"/>
  <c r="CK65" i="99"/>
  <c r="CG65" i="99"/>
  <c r="CA65" i="99"/>
  <c r="BW65" i="99"/>
  <c r="CC65" i="99" s="1"/>
  <c r="BS65" i="99"/>
  <c r="BO65" i="99"/>
  <c r="BM65" i="99"/>
  <c r="BI65" i="99"/>
  <c r="BE65" i="99"/>
  <c r="BA65" i="99"/>
  <c r="CU65" i="99" s="1"/>
  <c r="AY65" i="99"/>
  <c r="AW65" i="99"/>
  <c r="BC65" i="99" s="1"/>
  <c r="AU65" i="99"/>
  <c r="AQ65" i="99"/>
  <c r="AP65" i="99"/>
  <c r="AO65" i="99"/>
  <c r="AK65" i="99"/>
  <c r="AF65" i="99"/>
  <c r="AB65" i="99"/>
  <c r="AG65" i="99" s="1"/>
  <c r="X65" i="99"/>
  <c r="AR65" i="99" s="1"/>
  <c r="W65" i="99"/>
  <c r="V65" i="99"/>
  <c r="R65" i="99"/>
  <c r="M65" i="99"/>
  <c r="N65" i="99" s="1"/>
  <c r="I65" i="99"/>
  <c r="CO64" i="99"/>
  <c r="CK64" i="99"/>
  <c r="CG64" i="99"/>
  <c r="CQ64" i="99" s="1"/>
  <c r="CA64" i="99"/>
  <c r="CC64" i="99" s="1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W64" i="99" s="1"/>
  <c r="M64" i="99"/>
  <c r="N64" i="99" s="1"/>
  <c r="I64" i="99"/>
  <c r="CO63" i="99"/>
  <c r="CK63" i="99"/>
  <c r="CG63" i="99"/>
  <c r="CA63" i="99"/>
  <c r="BW63" i="99"/>
  <c r="CC63" i="99" s="1"/>
  <c r="BS63" i="99"/>
  <c r="BM63" i="99"/>
  <c r="BI63" i="99"/>
  <c r="BE63" i="99"/>
  <c r="BO63" i="99" s="1"/>
  <c r="BA63" i="99"/>
  <c r="AW63" i="99"/>
  <c r="BC63" i="99" s="1"/>
  <c r="AU63" i="99"/>
  <c r="AQ63" i="99"/>
  <c r="AO63" i="99"/>
  <c r="AK63" i="99"/>
  <c r="AP63" i="99" s="1"/>
  <c r="AF63" i="99"/>
  <c r="AG63" i="99" s="1"/>
  <c r="AB63" i="99"/>
  <c r="X63" i="99"/>
  <c r="AR63" i="99" s="1"/>
  <c r="V63" i="99"/>
  <c r="W63" i="99" s="1"/>
  <c r="R63" i="99"/>
  <c r="M63" i="99"/>
  <c r="N63" i="99" s="1"/>
  <c r="I63" i="99"/>
  <c r="CO62" i="99"/>
  <c r="CK62" i="99"/>
  <c r="CG62" i="99"/>
  <c r="CC62" i="99"/>
  <c r="CA62" i="99"/>
  <c r="BW62" i="99"/>
  <c r="BS62" i="99"/>
  <c r="BM62" i="99"/>
  <c r="BO62" i="99" s="1"/>
  <c r="BI62" i="99"/>
  <c r="BE62" i="99"/>
  <c r="BC62" i="99"/>
  <c r="BG62" i="99" s="1"/>
  <c r="BK62" i="99" s="1"/>
  <c r="BA62" i="99"/>
  <c r="AW62" i="99"/>
  <c r="AU62" i="99"/>
  <c r="AQ62" i="99"/>
  <c r="AO62" i="99"/>
  <c r="AK62" i="99"/>
  <c r="AF62" i="99"/>
  <c r="AB62" i="99"/>
  <c r="AG62" i="99" s="1"/>
  <c r="X62" i="99"/>
  <c r="AR62" i="99" s="1"/>
  <c r="V62" i="99"/>
  <c r="R62" i="99"/>
  <c r="M62" i="99"/>
  <c r="N62" i="99" s="1"/>
  <c r="I62" i="99"/>
  <c r="CO61" i="99"/>
  <c r="CK61" i="99"/>
  <c r="CG61" i="99"/>
  <c r="CC61" i="99"/>
  <c r="CA61" i="99"/>
  <c r="BW61" i="99"/>
  <c r="BS61" i="99"/>
  <c r="BM61" i="99"/>
  <c r="BO61" i="99" s="1"/>
  <c r="BI61" i="99"/>
  <c r="BE61" i="99"/>
  <c r="BC61" i="99"/>
  <c r="BG61" i="99" s="1"/>
  <c r="BK61" i="99" s="1"/>
  <c r="BA61" i="99"/>
  <c r="AW61" i="99"/>
  <c r="AY61" i="99" s="1"/>
  <c r="AU61" i="99"/>
  <c r="AQ61" i="99"/>
  <c r="AP61" i="99"/>
  <c r="AO61" i="99"/>
  <c r="AK61" i="99"/>
  <c r="AF61" i="99"/>
  <c r="AB61" i="99"/>
  <c r="AG61" i="99" s="1"/>
  <c r="X61" i="99"/>
  <c r="AR61" i="99" s="1"/>
  <c r="V61" i="99"/>
  <c r="W61" i="99" s="1"/>
  <c r="R61" i="99"/>
  <c r="M61" i="99"/>
  <c r="I61" i="99"/>
  <c r="N61" i="99" s="1"/>
  <c r="CS60" i="99"/>
  <c r="CO60" i="99"/>
  <c r="CK60" i="99"/>
  <c r="CQ60" i="99" s="1"/>
  <c r="CG60" i="99"/>
  <c r="CA60" i="99"/>
  <c r="BW60" i="99"/>
  <c r="BS60" i="99"/>
  <c r="CC60" i="99" s="1"/>
  <c r="BM60" i="99"/>
  <c r="BO60" i="99" s="1"/>
  <c r="BK60" i="99"/>
  <c r="BI60" i="99"/>
  <c r="BE60" i="99"/>
  <c r="BC60" i="99"/>
  <c r="BG60" i="99" s="1"/>
  <c r="BA60" i="99"/>
  <c r="AW60" i="99"/>
  <c r="AU60" i="99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U59" i="99"/>
  <c r="CO59" i="99"/>
  <c r="CK59" i="99"/>
  <c r="CG59" i="99"/>
  <c r="CC59" i="99"/>
  <c r="CA59" i="99"/>
  <c r="BW59" i="99"/>
  <c r="BS59" i="99"/>
  <c r="BM59" i="99"/>
  <c r="BI59" i="99"/>
  <c r="BO59" i="99" s="1"/>
  <c r="BG59" i="99"/>
  <c r="BE59" i="99"/>
  <c r="BC59" i="99"/>
  <c r="BQ59" i="99" s="1"/>
  <c r="BU59" i="99" s="1"/>
  <c r="BY59" i="99" s="1"/>
  <c r="CE59" i="99" s="1"/>
  <c r="BA59" i="99"/>
  <c r="AY59" i="99"/>
  <c r="AW59" i="99"/>
  <c r="AU59" i="99"/>
  <c r="AR59" i="99"/>
  <c r="AQ59" i="99"/>
  <c r="AO59" i="99"/>
  <c r="AK59" i="99"/>
  <c r="AP59" i="99" s="1"/>
  <c r="AG59" i="99"/>
  <c r="AF59" i="99"/>
  <c r="AB59" i="99"/>
  <c r="X59" i="99"/>
  <c r="W59" i="99"/>
  <c r="V59" i="99"/>
  <c r="R59" i="99"/>
  <c r="N59" i="99"/>
  <c r="M59" i="99"/>
  <c r="I59" i="99"/>
  <c r="CQ58" i="99"/>
  <c r="CO58" i="99"/>
  <c r="CK58" i="99"/>
  <c r="CG58" i="99"/>
  <c r="CA58" i="99"/>
  <c r="BW58" i="99"/>
  <c r="BS58" i="99"/>
  <c r="BO58" i="99"/>
  <c r="BM58" i="99"/>
  <c r="BI58" i="99"/>
  <c r="BE58" i="99"/>
  <c r="BA58" i="99"/>
  <c r="AW58" i="99"/>
  <c r="AU58" i="99"/>
  <c r="AQ58" i="99"/>
  <c r="AR58" i="99" s="1"/>
  <c r="AP58" i="99"/>
  <c r="AO58" i="99"/>
  <c r="AK58" i="99"/>
  <c r="AF58" i="99"/>
  <c r="AB58" i="99"/>
  <c r="X58" i="99"/>
  <c r="V58" i="99"/>
  <c r="R58" i="99"/>
  <c r="W58" i="99" s="1"/>
  <c r="N58" i="99"/>
  <c r="M58" i="99"/>
  <c r="I58" i="99"/>
  <c r="CO57" i="99"/>
  <c r="CK57" i="99"/>
  <c r="CG57" i="99"/>
  <c r="CA57" i="99"/>
  <c r="BW57" i="99"/>
  <c r="CC57" i="99" s="1"/>
  <c r="BS57" i="99"/>
  <c r="BO57" i="99"/>
  <c r="BM57" i="99"/>
  <c r="BI57" i="99"/>
  <c r="BE57" i="99"/>
  <c r="BA57" i="99"/>
  <c r="CU57" i="99" s="1"/>
  <c r="AY57" i="99"/>
  <c r="AW57" i="99"/>
  <c r="BC57" i="99" s="1"/>
  <c r="AU57" i="99"/>
  <c r="AQ57" i="99"/>
  <c r="AP57" i="99"/>
  <c r="AO57" i="99"/>
  <c r="AK57" i="99"/>
  <c r="AF57" i="99"/>
  <c r="AB57" i="99"/>
  <c r="AG57" i="99" s="1"/>
  <c r="X57" i="99"/>
  <c r="AR57" i="99" s="1"/>
  <c r="W57" i="99"/>
  <c r="V57" i="99"/>
  <c r="R57" i="99"/>
  <c r="M57" i="99"/>
  <c r="N57" i="99" s="1"/>
  <c r="I57" i="99"/>
  <c r="CO56" i="99"/>
  <c r="CK56" i="99"/>
  <c r="CG56" i="99"/>
  <c r="CA56" i="99"/>
  <c r="CC56" i="99" s="1"/>
  <c r="BW56" i="99"/>
  <c r="BS56" i="99"/>
  <c r="BM56" i="99"/>
  <c r="BI56" i="99"/>
  <c r="BE56" i="99"/>
  <c r="BO56" i="99" s="1"/>
  <c r="BA56" i="99"/>
  <c r="AW56" i="99"/>
  <c r="AU56" i="99"/>
  <c r="AQ56" i="99"/>
  <c r="AP56" i="99"/>
  <c r="AO56" i="99"/>
  <c r="AK56" i="99"/>
  <c r="AF56" i="99"/>
  <c r="AB56" i="99"/>
  <c r="AG56" i="99" s="1"/>
  <c r="X56" i="99"/>
  <c r="AR56" i="99" s="1"/>
  <c r="V56" i="99"/>
  <c r="R56" i="99"/>
  <c r="W56" i="99" s="1"/>
  <c r="M56" i="99"/>
  <c r="N56" i="99" s="1"/>
  <c r="I56" i="99"/>
  <c r="CO55" i="99"/>
  <c r="CK55" i="99"/>
  <c r="CG55" i="99"/>
  <c r="CA55" i="99"/>
  <c r="BW55" i="99"/>
  <c r="CC55" i="99" s="1"/>
  <c r="BS55" i="99"/>
  <c r="BM55" i="99"/>
  <c r="BI55" i="99"/>
  <c r="BG55" i="99"/>
  <c r="BK55" i="99" s="1"/>
  <c r="BE55" i="99"/>
  <c r="BO55" i="99" s="1"/>
  <c r="BA55" i="99"/>
  <c r="AW55" i="99"/>
  <c r="BC55" i="99" s="1"/>
  <c r="AU55" i="99"/>
  <c r="AQ55" i="99"/>
  <c r="AO55" i="99"/>
  <c r="AK55" i="99"/>
  <c r="AP55" i="99" s="1"/>
  <c r="AG55" i="99"/>
  <c r="AF55" i="99"/>
  <c r="AB55" i="99"/>
  <c r="X55" i="99"/>
  <c r="AR55" i="99" s="1"/>
  <c r="V55" i="99"/>
  <c r="W55" i="99" s="1"/>
  <c r="R55" i="99"/>
  <c r="M55" i="99"/>
  <c r="N55" i="99" s="1"/>
  <c r="I55" i="99"/>
  <c r="CO54" i="99"/>
  <c r="CK54" i="99"/>
  <c r="CG54" i="99"/>
  <c r="CQ54" i="99" s="1"/>
  <c r="CC54" i="99"/>
  <c r="CA54" i="99"/>
  <c r="BW54" i="99"/>
  <c r="BS54" i="99"/>
  <c r="BM54" i="99"/>
  <c r="BO54" i="99" s="1"/>
  <c r="BI54" i="99"/>
  <c r="BE54" i="99"/>
  <c r="BC54" i="99"/>
  <c r="BA54" i="99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G53" i="99"/>
  <c r="BK53" i="99" s="1"/>
  <c r="BE53" i="99"/>
  <c r="BO53" i="99" s="1"/>
  <c r="BC53" i="99"/>
  <c r="BA53" i="99"/>
  <c r="AW53" i="99"/>
  <c r="AY53" i="99" s="1"/>
  <c r="AU53" i="99"/>
  <c r="AQ53" i="99"/>
  <c r="AP53" i="99"/>
  <c r="AO53" i="99"/>
  <c r="AK53" i="99"/>
  <c r="AF53" i="99"/>
  <c r="AB53" i="99"/>
  <c r="X53" i="99"/>
  <c r="AR53" i="99" s="1"/>
  <c r="V53" i="99"/>
  <c r="W53" i="99" s="1"/>
  <c r="R53" i="99"/>
  <c r="M53" i="99"/>
  <c r="I53" i="99"/>
  <c r="N53" i="99" s="1"/>
  <c r="CO52" i="99"/>
  <c r="CK52" i="99"/>
  <c r="CG52" i="99"/>
  <c r="CA52" i="99"/>
  <c r="BW52" i="99"/>
  <c r="BS52" i="99"/>
  <c r="CC52" i="99" s="1"/>
  <c r="BO52" i="99"/>
  <c r="BM52" i="99"/>
  <c r="BK52" i="99"/>
  <c r="BI52" i="99"/>
  <c r="BE52" i="99"/>
  <c r="BC52" i="99"/>
  <c r="BG52" i="99" s="1"/>
  <c r="BA52" i="99"/>
  <c r="AW52" i="99"/>
  <c r="AU52" i="99"/>
  <c r="AR52" i="99"/>
  <c r="AQ52" i="99"/>
  <c r="AO52" i="99"/>
  <c r="AK52" i="99"/>
  <c r="AP52" i="99" s="1"/>
  <c r="AF52" i="99"/>
  <c r="AB52" i="99"/>
  <c r="X52" i="99"/>
  <c r="V52" i="99"/>
  <c r="R52" i="99"/>
  <c r="M52" i="99"/>
  <c r="I52" i="99"/>
  <c r="N52" i="99" s="1"/>
  <c r="CU51" i="99"/>
  <c r="CO51" i="99"/>
  <c r="CK51" i="99"/>
  <c r="CG51" i="99"/>
  <c r="CC51" i="99"/>
  <c r="CA51" i="99"/>
  <c r="BW51" i="99"/>
  <c r="BS51" i="99"/>
  <c r="BM51" i="99"/>
  <c r="BI51" i="99"/>
  <c r="BO51" i="99" s="1"/>
  <c r="BG51" i="99"/>
  <c r="BE51" i="99"/>
  <c r="BC51" i="99"/>
  <c r="BA51" i="99"/>
  <c r="AY51" i="99"/>
  <c r="AW51" i="99"/>
  <c r="AU51" i="99"/>
  <c r="AR51" i="99"/>
  <c r="AQ51" i="99"/>
  <c r="AO51" i="99"/>
  <c r="AK51" i="99"/>
  <c r="AP51" i="99" s="1"/>
  <c r="AG51" i="99"/>
  <c r="AF51" i="99"/>
  <c r="AB51" i="99"/>
  <c r="X51" i="99"/>
  <c r="W51" i="99"/>
  <c r="V51" i="99"/>
  <c r="R51" i="99"/>
  <c r="N51" i="99"/>
  <c r="M51" i="99"/>
  <c r="I51" i="99"/>
  <c r="CQ50" i="99"/>
  <c r="CO50" i="99"/>
  <c r="CK50" i="99"/>
  <c r="CG50" i="99"/>
  <c r="CA50" i="99"/>
  <c r="BW50" i="99"/>
  <c r="BS50" i="99"/>
  <c r="BO50" i="99"/>
  <c r="BM50" i="99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P50" i="99" s="1"/>
  <c r="AK50" i="99"/>
  <c r="AF50" i="99"/>
  <c r="AB50" i="99"/>
  <c r="X50" i="99"/>
  <c r="V50" i="99"/>
  <c r="R50" i="99"/>
  <c r="W50" i="99" s="1"/>
  <c r="N50" i="99"/>
  <c r="M50" i="99"/>
  <c r="I50" i="99"/>
  <c r="CU49" i="99"/>
  <c r="CO49" i="99"/>
  <c r="CK49" i="99"/>
  <c r="CG49" i="99"/>
  <c r="CA49" i="99"/>
  <c r="BW49" i="99"/>
  <c r="CC49" i="99" s="1"/>
  <c r="BS49" i="99"/>
  <c r="BQ49" i="99"/>
  <c r="BU49" i="99" s="1"/>
  <c r="BY49" i="99" s="1"/>
  <c r="CE49" i="99" s="1"/>
  <c r="BO49" i="99"/>
  <c r="BM49" i="99"/>
  <c r="BI49" i="99"/>
  <c r="BE49" i="99"/>
  <c r="BA49" i="99"/>
  <c r="AY49" i="99"/>
  <c r="AW49" i="99"/>
  <c r="BC49" i="99" s="1"/>
  <c r="BG49" i="99" s="1"/>
  <c r="BK49" i="99" s="1"/>
  <c r="AU49" i="99"/>
  <c r="AR49" i="99"/>
  <c r="AQ49" i="99"/>
  <c r="AP49" i="99"/>
  <c r="AO49" i="99"/>
  <c r="AK49" i="99"/>
  <c r="AF49" i="99"/>
  <c r="AB49" i="99"/>
  <c r="AG49" i="99" s="1"/>
  <c r="X49" i="99"/>
  <c r="W49" i="99"/>
  <c r="V49" i="99"/>
  <c r="R49" i="99"/>
  <c r="N49" i="99"/>
  <c r="M49" i="99"/>
  <c r="I49" i="99"/>
  <c r="CO48" i="99"/>
  <c r="CK48" i="99"/>
  <c r="CG48" i="99"/>
  <c r="CQ48" i="99" s="1"/>
  <c r="CA48" i="99"/>
  <c r="CC48" i="99" s="1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AR48" i="99" s="1"/>
  <c r="V48" i="99"/>
  <c r="R48" i="99"/>
  <c r="W48" i="99" s="1"/>
  <c r="N48" i="99"/>
  <c r="M48" i="99"/>
  <c r="I48" i="99"/>
  <c r="CO47" i="99"/>
  <c r="CK47" i="99"/>
  <c r="CG47" i="99"/>
  <c r="CA47" i="99"/>
  <c r="BW47" i="99"/>
  <c r="CC47" i="99" s="1"/>
  <c r="BS47" i="99"/>
  <c r="BM47" i="99"/>
  <c r="BI47" i="99"/>
  <c r="BE47" i="99"/>
  <c r="BO47" i="99" s="1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W47" i="99" s="1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W46" i="99" s="1"/>
  <c r="M46" i="99"/>
  <c r="N46" i="99" s="1"/>
  <c r="I46" i="99"/>
  <c r="CO45" i="99"/>
  <c r="CK45" i="99"/>
  <c r="CG45" i="99"/>
  <c r="CC45" i="99"/>
  <c r="CA45" i="99"/>
  <c r="BW45" i="99"/>
  <c r="BS45" i="99"/>
  <c r="BO45" i="99"/>
  <c r="BM45" i="99"/>
  <c r="BI45" i="99"/>
  <c r="BE45" i="99"/>
  <c r="BA45" i="99"/>
  <c r="BC45" i="99" s="1"/>
  <c r="AW45" i="99"/>
  <c r="AY45" i="99" s="1"/>
  <c r="AU45" i="99"/>
  <c r="AQ45" i="99"/>
  <c r="AP45" i="99"/>
  <c r="AO45" i="99"/>
  <c r="AK45" i="99"/>
  <c r="AG45" i="99"/>
  <c r="AF45" i="99"/>
  <c r="AB45" i="99"/>
  <c r="X45" i="99"/>
  <c r="AR45" i="99" s="1"/>
  <c r="V45" i="99"/>
  <c r="W45" i="99" s="1"/>
  <c r="R45" i="99"/>
  <c r="M45" i="99"/>
  <c r="I45" i="99"/>
  <c r="N45" i="99" s="1"/>
  <c r="CO44" i="99"/>
  <c r="CK44" i="99"/>
  <c r="CQ44" i="99" s="1"/>
  <c r="CG44" i="99"/>
  <c r="CA44" i="99"/>
  <c r="BW44" i="99"/>
  <c r="BS44" i="99"/>
  <c r="CC44" i="99" s="1"/>
  <c r="BM44" i="99"/>
  <c r="BO44" i="99" s="1"/>
  <c r="BI44" i="99"/>
  <c r="BK44" i="99" s="1"/>
  <c r="BE44" i="99"/>
  <c r="BC44" i="99"/>
  <c r="BG44" i="99" s="1"/>
  <c r="BA44" i="99"/>
  <c r="AW44" i="99"/>
  <c r="AU44" i="99"/>
  <c r="AR44" i="99"/>
  <c r="AQ44" i="99"/>
  <c r="AP44" i="99"/>
  <c r="AO44" i="99"/>
  <c r="AK44" i="99"/>
  <c r="AF44" i="99"/>
  <c r="AB44" i="99"/>
  <c r="AG44" i="99" s="1"/>
  <c r="X44" i="99"/>
  <c r="V44" i="99"/>
  <c r="R44" i="99"/>
  <c r="M44" i="99"/>
  <c r="I44" i="99"/>
  <c r="N44" i="99" s="1"/>
  <c r="CU43" i="99"/>
  <c r="CO43" i="99"/>
  <c r="CK43" i="99"/>
  <c r="CG43" i="99"/>
  <c r="CC43" i="99"/>
  <c r="CA43" i="99"/>
  <c r="BW43" i="99"/>
  <c r="BS43" i="99"/>
  <c r="BM43" i="99"/>
  <c r="BI43" i="99"/>
  <c r="BO43" i="99" s="1"/>
  <c r="BQ43" i="99" s="1"/>
  <c r="BU43" i="99" s="1"/>
  <c r="BY43" i="99" s="1"/>
  <c r="CE43" i="99" s="1"/>
  <c r="BG43" i="99"/>
  <c r="BE43" i="99"/>
  <c r="BC43" i="99"/>
  <c r="BA43" i="99"/>
  <c r="AY43" i="99"/>
  <c r="AW43" i="99"/>
  <c r="AU43" i="99"/>
  <c r="AR43" i="99"/>
  <c r="AQ43" i="99"/>
  <c r="AO43" i="99"/>
  <c r="AK43" i="99"/>
  <c r="AP43" i="99" s="1"/>
  <c r="AG43" i="99"/>
  <c r="AF43" i="99"/>
  <c r="AB43" i="99"/>
  <c r="X43" i="99"/>
  <c r="W43" i="99"/>
  <c r="V43" i="99"/>
  <c r="R43" i="99"/>
  <c r="M43" i="99"/>
  <c r="I43" i="99"/>
  <c r="N43" i="99" s="1"/>
  <c r="CQ42" i="99"/>
  <c r="CO42" i="99"/>
  <c r="CK42" i="99"/>
  <c r="CG42" i="99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CC41" i="99" s="1"/>
  <c r="BS41" i="99"/>
  <c r="BO41" i="99"/>
  <c r="BM41" i="99"/>
  <c r="BI41" i="99"/>
  <c r="BE41" i="99"/>
  <c r="BA41" i="99"/>
  <c r="CU41" i="99" s="1"/>
  <c r="AW41" i="99"/>
  <c r="AU41" i="99"/>
  <c r="AR41" i="99"/>
  <c r="AQ41" i="99"/>
  <c r="AO41" i="99"/>
  <c r="AP41" i="99" s="1"/>
  <c r="AK41" i="99"/>
  <c r="AF41" i="99"/>
  <c r="AB41" i="99"/>
  <c r="AG41" i="99" s="1"/>
  <c r="X41" i="99"/>
  <c r="V41" i="99"/>
  <c r="W41" i="99" s="1"/>
  <c r="R41" i="99"/>
  <c r="N41" i="99"/>
  <c r="M41" i="99"/>
  <c r="I41" i="99"/>
  <c r="CO40" i="99"/>
  <c r="CK40" i="99"/>
  <c r="CG40" i="99"/>
  <c r="CQ40" i="99" s="1"/>
  <c r="CA40" i="99"/>
  <c r="CC40" i="99" s="1"/>
  <c r="BW40" i="99"/>
  <c r="BS40" i="99"/>
  <c r="BM40" i="99"/>
  <c r="BI40" i="99"/>
  <c r="BE40" i="99"/>
  <c r="BC40" i="99"/>
  <c r="BA40" i="99"/>
  <c r="AY40" i="99"/>
  <c r="AW40" i="99"/>
  <c r="AU40" i="99"/>
  <c r="AQ40" i="99"/>
  <c r="AO40" i="99"/>
  <c r="AP40" i="99" s="1"/>
  <c r="AK40" i="99"/>
  <c r="AF40" i="99"/>
  <c r="AB40" i="99"/>
  <c r="AG40" i="99" s="1"/>
  <c r="X40" i="99"/>
  <c r="AR40" i="99" s="1"/>
  <c r="W40" i="99"/>
  <c r="V40" i="99"/>
  <c r="R40" i="99"/>
  <c r="M40" i="99"/>
  <c r="I40" i="99"/>
  <c r="N40" i="99" s="1"/>
  <c r="CO39" i="99"/>
  <c r="CQ39" i="99" s="1"/>
  <c r="CK39" i="99"/>
  <c r="CG39" i="99"/>
  <c r="CA39" i="99"/>
  <c r="BW39" i="99"/>
  <c r="BS39" i="99"/>
  <c r="CC39" i="99" s="1"/>
  <c r="CS39" i="99" s="1"/>
  <c r="BO39" i="99"/>
  <c r="BM39" i="99"/>
  <c r="BI39" i="99"/>
  <c r="BE39" i="99"/>
  <c r="BC39" i="99"/>
  <c r="BA39" i="99"/>
  <c r="AW39" i="99"/>
  <c r="AU39" i="99"/>
  <c r="AQ39" i="99"/>
  <c r="AO39" i="99"/>
  <c r="AP39" i="99" s="1"/>
  <c r="AK39" i="99"/>
  <c r="AF39" i="99"/>
  <c r="AB39" i="99"/>
  <c r="AG39" i="99" s="1"/>
  <c r="X39" i="99"/>
  <c r="AR39" i="99" s="1"/>
  <c r="W39" i="99"/>
  <c r="V39" i="99"/>
  <c r="R39" i="99"/>
  <c r="M39" i="99"/>
  <c r="N39" i="99" s="1"/>
  <c r="I39" i="99"/>
  <c r="CO38" i="99"/>
  <c r="CK38" i="99"/>
  <c r="CG38" i="99"/>
  <c r="CA38" i="99"/>
  <c r="CC38" i="99" s="1"/>
  <c r="BW38" i="99"/>
  <c r="BS38" i="99"/>
  <c r="BO38" i="99"/>
  <c r="BM38" i="99"/>
  <c r="BI38" i="99"/>
  <c r="BG38" i="99"/>
  <c r="BK38" i="99" s="1"/>
  <c r="BE38" i="99"/>
  <c r="BC38" i="99"/>
  <c r="BA38" i="99"/>
  <c r="AY38" i="99"/>
  <c r="AW38" i="99"/>
  <c r="AU38" i="99"/>
  <c r="AQ38" i="99"/>
  <c r="AP38" i="99"/>
  <c r="AO38" i="99"/>
  <c r="AK38" i="99"/>
  <c r="AF38" i="99"/>
  <c r="AG38" i="99" s="1"/>
  <c r="AB38" i="99"/>
  <c r="X38" i="99"/>
  <c r="AR38" i="99" s="1"/>
  <c r="W38" i="99"/>
  <c r="V38" i="99"/>
  <c r="R38" i="99"/>
  <c r="M38" i="99"/>
  <c r="I38" i="99"/>
  <c r="CQ37" i="99"/>
  <c r="CO37" i="99"/>
  <c r="CK37" i="99"/>
  <c r="CG37" i="99"/>
  <c r="CA37" i="99"/>
  <c r="BW37" i="99"/>
  <c r="BS37" i="99"/>
  <c r="BO37" i="99"/>
  <c r="BM37" i="99"/>
  <c r="BI37" i="99"/>
  <c r="BE37" i="99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N37" i="99" s="1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CU36" i="99" s="1"/>
  <c r="BC36" i="99"/>
  <c r="BA36" i="99"/>
  <c r="AY36" i="99"/>
  <c r="AW36" i="99"/>
  <c r="AU36" i="99"/>
  <c r="AQ36" i="99"/>
  <c r="AO36" i="99"/>
  <c r="AP36" i="99" s="1"/>
  <c r="AK36" i="99"/>
  <c r="AF36" i="99"/>
  <c r="AB36" i="99"/>
  <c r="AG36" i="99" s="1"/>
  <c r="X36" i="99"/>
  <c r="W36" i="99"/>
  <c r="V36" i="99"/>
  <c r="R36" i="99"/>
  <c r="M36" i="99"/>
  <c r="I36" i="99"/>
  <c r="N36" i="99" s="1"/>
  <c r="CO35" i="99"/>
  <c r="CQ35" i="99" s="1"/>
  <c r="CK35" i="99"/>
  <c r="CG35" i="99"/>
  <c r="CA35" i="99"/>
  <c r="CU35" i="99" s="1"/>
  <c r="BW35" i="99"/>
  <c r="BS35" i="99"/>
  <c r="BO35" i="99"/>
  <c r="BM35" i="99"/>
  <c r="BI35" i="99"/>
  <c r="BE35" i="99"/>
  <c r="BC35" i="99"/>
  <c r="BG35" i="99" s="1"/>
  <c r="BK35" i="99" s="1"/>
  <c r="BA35" i="99"/>
  <c r="AY35" i="99"/>
  <c r="AW35" i="99"/>
  <c r="AU35" i="99"/>
  <c r="AQ35" i="99"/>
  <c r="AR35" i="99" s="1"/>
  <c r="AO35" i="99"/>
  <c r="AP35" i="99" s="1"/>
  <c r="AK35" i="99"/>
  <c r="AF35" i="99"/>
  <c r="AB35" i="99"/>
  <c r="AG35" i="99" s="1"/>
  <c r="X35" i="99"/>
  <c r="W35" i="99"/>
  <c r="V35" i="99"/>
  <c r="R35" i="99"/>
  <c r="M35" i="99"/>
  <c r="N35" i="99" s="1"/>
  <c r="I35" i="99"/>
  <c r="CO34" i="99"/>
  <c r="CK34" i="99"/>
  <c r="CG34" i="99"/>
  <c r="CC34" i="99"/>
  <c r="CA34" i="99"/>
  <c r="BW34" i="99"/>
  <c r="BS34" i="99"/>
  <c r="BM34" i="99"/>
  <c r="BI34" i="99"/>
  <c r="BK34" i="99" s="1"/>
  <c r="BG34" i="99"/>
  <c r="BE34" i="99"/>
  <c r="BO34" i="99" s="1"/>
  <c r="BC34" i="99"/>
  <c r="BA34" i="99"/>
  <c r="AY34" i="99"/>
  <c r="AW34" i="99"/>
  <c r="AU34" i="99"/>
  <c r="CU34" i="99" s="1"/>
  <c r="AQ34" i="99"/>
  <c r="AO34" i="99"/>
  <c r="AK34" i="99"/>
  <c r="AP34" i="99" s="1"/>
  <c r="AF34" i="99"/>
  <c r="AG34" i="99" s="1"/>
  <c r="AB34" i="99"/>
  <c r="X34" i="99"/>
  <c r="AR34" i="99" s="1"/>
  <c r="W34" i="99"/>
  <c r="V34" i="99"/>
  <c r="R34" i="99"/>
  <c r="M34" i="99"/>
  <c r="I34" i="99"/>
  <c r="CQ33" i="99"/>
  <c r="CO33" i="99"/>
  <c r="CK33" i="99"/>
  <c r="CG33" i="99"/>
  <c r="CA33" i="99"/>
  <c r="BW33" i="99"/>
  <c r="BS33" i="99"/>
  <c r="BM33" i="99"/>
  <c r="BO33" i="99" s="1"/>
  <c r="BI33" i="99"/>
  <c r="BE33" i="99"/>
  <c r="BA33" i="99"/>
  <c r="AW33" i="99"/>
  <c r="AU33" i="99"/>
  <c r="AR33" i="99"/>
  <c r="AQ33" i="99"/>
  <c r="AP33" i="99"/>
  <c r="AO33" i="99"/>
  <c r="AK33" i="99"/>
  <c r="AF33" i="99"/>
  <c r="AB33" i="99"/>
  <c r="AG33" i="99" s="1"/>
  <c r="X33" i="99"/>
  <c r="W33" i="99"/>
  <c r="V33" i="99"/>
  <c r="R33" i="99"/>
  <c r="M33" i="99"/>
  <c r="N33" i="99" s="1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BC32" i="99" s="1"/>
  <c r="AW32" i="99"/>
  <c r="AU32" i="99"/>
  <c r="AQ32" i="99"/>
  <c r="AO32" i="99"/>
  <c r="AK32" i="99"/>
  <c r="AP32" i="99" s="1"/>
  <c r="AG32" i="99"/>
  <c r="AF32" i="99"/>
  <c r="AB32" i="99"/>
  <c r="X32" i="99"/>
  <c r="V32" i="99"/>
  <c r="R32" i="99"/>
  <c r="W32" i="99" s="1"/>
  <c r="M32" i="99"/>
  <c r="I32" i="99"/>
  <c r="N32" i="99" s="1"/>
  <c r="CO31" i="99"/>
  <c r="CK31" i="99"/>
  <c r="CQ31" i="99" s="1"/>
  <c r="CG31" i="99"/>
  <c r="CA31" i="99"/>
  <c r="BW31" i="99"/>
  <c r="BS31" i="99"/>
  <c r="BO31" i="99"/>
  <c r="BM31" i="99"/>
  <c r="BK31" i="99"/>
  <c r="BI31" i="99"/>
  <c r="BG31" i="99"/>
  <c r="BE31" i="99"/>
  <c r="BC31" i="99"/>
  <c r="BA31" i="99"/>
  <c r="AY31" i="99"/>
  <c r="AW31" i="99"/>
  <c r="AU31" i="99"/>
  <c r="AQ31" i="99"/>
  <c r="AP31" i="99"/>
  <c r="AO31" i="99"/>
  <c r="AK31" i="99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CU30" i="99" s="1"/>
  <c r="BA30" i="99"/>
  <c r="AW30" i="99"/>
  <c r="AU30" i="99"/>
  <c r="AQ30" i="99"/>
  <c r="AO30" i="99"/>
  <c r="AP30" i="99" s="1"/>
  <c r="AK30" i="99"/>
  <c r="AF30" i="99"/>
  <c r="AB30" i="99"/>
  <c r="AG30" i="99" s="1"/>
  <c r="X30" i="99"/>
  <c r="V30" i="99"/>
  <c r="R30" i="99"/>
  <c r="W30" i="99" s="1"/>
  <c r="M30" i="99"/>
  <c r="I30" i="99"/>
  <c r="N30" i="99" s="1"/>
  <c r="CO29" i="99"/>
  <c r="CK29" i="99"/>
  <c r="CG29" i="99"/>
  <c r="CA29" i="99"/>
  <c r="BW29" i="99"/>
  <c r="BS29" i="99"/>
  <c r="CC29" i="99" s="1"/>
  <c r="BO29" i="99"/>
  <c r="BM29" i="99"/>
  <c r="BI29" i="99"/>
  <c r="BE29" i="99"/>
  <c r="BC29" i="99"/>
  <c r="BA29" i="99"/>
  <c r="AW29" i="99"/>
  <c r="AU29" i="99"/>
  <c r="AQ29" i="99"/>
  <c r="AO29" i="99"/>
  <c r="AP29" i="99" s="1"/>
  <c r="AK29" i="99"/>
  <c r="AF29" i="99"/>
  <c r="AB29" i="99"/>
  <c r="AG29" i="99" s="1"/>
  <c r="X29" i="99"/>
  <c r="W29" i="99"/>
  <c r="V29" i="99"/>
  <c r="R29" i="99"/>
  <c r="M29" i="99"/>
  <c r="I29" i="99"/>
  <c r="N29" i="99" s="1"/>
  <c r="CO28" i="99"/>
  <c r="CK28" i="99"/>
  <c r="CG28" i="99"/>
  <c r="CC28" i="99"/>
  <c r="CA28" i="99"/>
  <c r="BW28" i="99"/>
  <c r="BS28" i="99"/>
  <c r="BM28" i="99"/>
  <c r="BI28" i="99"/>
  <c r="BE28" i="99"/>
  <c r="BO28" i="99" s="1"/>
  <c r="BA28" i="99"/>
  <c r="CU28" i="99" s="1"/>
  <c r="AW28" i="99"/>
  <c r="AU28" i="99"/>
  <c r="AQ28" i="99"/>
  <c r="AO28" i="99"/>
  <c r="AK28" i="99"/>
  <c r="AP28" i="99" s="1"/>
  <c r="AG28" i="99"/>
  <c r="AF28" i="99"/>
  <c r="AB28" i="99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K27" i="99"/>
  <c r="BI27" i="99"/>
  <c r="BG27" i="99"/>
  <c r="BE27" i="99"/>
  <c r="BC27" i="99"/>
  <c r="BA27" i="99"/>
  <c r="AY27" i="99"/>
  <c r="AW27" i="99"/>
  <c r="AU27" i="99"/>
  <c r="AQ27" i="99"/>
  <c r="AO27" i="99"/>
  <c r="AP27" i="99" s="1"/>
  <c r="AK27" i="99"/>
  <c r="AF27" i="99"/>
  <c r="AB27" i="99"/>
  <c r="AG27" i="99" s="1"/>
  <c r="X27" i="99"/>
  <c r="W27" i="99"/>
  <c r="V27" i="99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P26" i="99" s="1"/>
  <c r="AK26" i="99"/>
  <c r="AG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O25" i="99"/>
  <c r="BM25" i="99"/>
  <c r="BI25" i="99"/>
  <c r="BE25" i="99"/>
  <c r="BC25" i="99"/>
  <c r="BA25" i="99"/>
  <c r="AY25" i="99"/>
  <c r="AW25" i="99"/>
  <c r="AU25" i="99"/>
  <c r="AQ25" i="99"/>
  <c r="AO25" i="99"/>
  <c r="AP25" i="99" s="1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CC24" i="99" s="1"/>
  <c r="BM24" i="99"/>
  <c r="BI24" i="99"/>
  <c r="CU24" i="99" s="1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O23" i="99" s="1"/>
  <c r="BI23" i="99"/>
  <c r="BG23" i="99"/>
  <c r="BK23" i="99" s="1"/>
  <c r="BE23" i="99"/>
  <c r="BC23" i="99"/>
  <c r="BA23" i="99"/>
  <c r="AY23" i="99"/>
  <c r="AW23" i="99"/>
  <c r="AU23" i="99"/>
  <c r="AQ23" i="99"/>
  <c r="AO23" i="99"/>
  <c r="AP23" i="99" s="1"/>
  <c r="AK23" i="99"/>
  <c r="AG23" i="99"/>
  <c r="AF23" i="99"/>
  <c r="AB23" i="99"/>
  <c r="X23" i="99"/>
  <c r="AR23" i="99" s="1"/>
  <c r="W23" i="99"/>
  <c r="V23" i="99"/>
  <c r="R23" i="99"/>
  <c r="M23" i="99"/>
  <c r="I23" i="99"/>
  <c r="CO22" i="99"/>
  <c r="CK22" i="99"/>
  <c r="CQ22" i="99" s="1"/>
  <c r="CG22" i="99"/>
  <c r="CA22" i="99"/>
  <c r="BW22" i="99"/>
  <c r="BS22" i="99"/>
  <c r="BO22" i="99"/>
  <c r="BM22" i="99"/>
  <c r="BI22" i="99"/>
  <c r="BE22" i="99"/>
  <c r="BA22" i="99"/>
  <c r="AW22" i="99"/>
  <c r="AU22" i="99"/>
  <c r="CU22" i="99" s="1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O21" i="99" s="1"/>
  <c r="BI21" i="99"/>
  <c r="BE21" i="99"/>
  <c r="BA21" i="99"/>
  <c r="AW21" i="99"/>
  <c r="BC21" i="99" s="1"/>
  <c r="AU21" i="99"/>
  <c r="AY21" i="99" s="1"/>
  <c r="AQ21" i="99"/>
  <c r="AP21" i="99"/>
  <c r="AO21" i="99"/>
  <c r="AK21" i="99"/>
  <c r="AF21" i="99"/>
  <c r="AB21" i="99"/>
  <c r="AG21" i="99" s="1"/>
  <c r="X21" i="99"/>
  <c r="W21" i="99"/>
  <c r="V21" i="99"/>
  <c r="R21" i="99"/>
  <c r="M21" i="99"/>
  <c r="I21" i="99"/>
  <c r="CU20" i="99"/>
  <c r="CO20" i="99"/>
  <c r="CK20" i="99"/>
  <c r="CG20" i="99"/>
  <c r="CQ20" i="99" s="1"/>
  <c r="CA20" i="99"/>
  <c r="BW20" i="99"/>
  <c r="BS20" i="99"/>
  <c r="CC20" i="99" s="1"/>
  <c r="CS20" i="99" s="1"/>
  <c r="BM20" i="99"/>
  <c r="BI20" i="99"/>
  <c r="BG20" i="99"/>
  <c r="BK20" i="99" s="1"/>
  <c r="BE20" i="99"/>
  <c r="BC20" i="99"/>
  <c r="BA20" i="99"/>
  <c r="AW20" i="99"/>
  <c r="AU20" i="99"/>
  <c r="AY20" i="99" s="1"/>
  <c r="AQ20" i="99"/>
  <c r="AO20" i="99"/>
  <c r="AK20" i="99"/>
  <c r="AP20" i="99" s="1"/>
  <c r="AF20" i="99"/>
  <c r="AG20" i="99" s="1"/>
  <c r="AB20" i="99"/>
  <c r="X20" i="99"/>
  <c r="AR20" i="99" s="1"/>
  <c r="V20" i="99"/>
  <c r="R20" i="99"/>
  <c r="W20" i="99" s="1"/>
  <c r="N20" i="99"/>
  <c r="M20" i="99"/>
  <c r="I20" i="99"/>
  <c r="CO19" i="99"/>
  <c r="CK19" i="99"/>
  <c r="CQ19" i="99" s="1"/>
  <c r="CG19" i="99"/>
  <c r="CC19" i="99"/>
  <c r="CA19" i="99"/>
  <c r="BW19" i="99"/>
  <c r="BS19" i="99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G19" i="99" s="1"/>
  <c r="AB19" i="99"/>
  <c r="X19" i="99"/>
  <c r="AR19" i="99" s="1"/>
  <c r="V19" i="99"/>
  <c r="R19" i="99"/>
  <c r="W19" i="99" s="1"/>
  <c r="M19" i="99"/>
  <c r="N19" i="99" s="1"/>
  <c r="I19" i="99"/>
  <c r="CO18" i="99"/>
  <c r="CQ18" i="99" s="1"/>
  <c r="CK18" i="99"/>
  <c r="CG18" i="99"/>
  <c r="CA18" i="99"/>
  <c r="BW18" i="99"/>
  <c r="CC18" i="99" s="1"/>
  <c r="BS18" i="99"/>
  <c r="BM18" i="99"/>
  <c r="BI18" i="99"/>
  <c r="BE18" i="99"/>
  <c r="BO18" i="99" s="1"/>
  <c r="BA18" i="99"/>
  <c r="BC18" i="99" s="1"/>
  <c r="AY18" i="99"/>
  <c r="AW18" i="99"/>
  <c r="AU18" i="99"/>
  <c r="AR18" i="99"/>
  <c r="AQ18" i="99"/>
  <c r="AO18" i="99"/>
  <c r="AK18" i="99"/>
  <c r="AP18" i="99" s="1"/>
  <c r="AF18" i="99"/>
  <c r="AB18" i="99"/>
  <c r="AG18" i="99" s="1"/>
  <c r="X18" i="99"/>
  <c r="W18" i="99"/>
  <c r="V18" i="99"/>
  <c r="R18" i="99"/>
  <c r="M18" i="99"/>
  <c r="N18" i="99" s="1"/>
  <c r="I18" i="99"/>
  <c r="CO17" i="99"/>
  <c r="CK17" i="99"/>
  <c r="CQ17" i="99" s="1"/>
  <c r="CG17" i="99"/>
  <c r="CC17" i="99"/>
  <c r="CS17" i="99" s="1"/>
  <c r="CA17" i="99"/>
  <c r="BW17" i="99"/>
  <c r="BS17" i="99"/>
  <c r="BO17" i="99"/>
  <c r="BM17" i="99"/>
  <c r="BI17" i="99"/>
  <c r="BE17" i="99"/>
  <c r="BC17" i="99"/>
  <c r="BG17" i="99" s="1"/>
  <c r="BK17" i="99" s="1"/>
  <c r="BA17" i="99"/>
  <c r="AW17" i="99"/>
  <c r="AU17" i="99"/>
  <c r="AR17" i="99"/>
  <c r="AQ17" i="99"/>
  <c r="AO17" i="99"/>
  <c r="AP17" i="99" s="1"/>
  <c r="AK17" i="99"/>
  <c r="AF17" i="99"/>
  <c r="AB17" i="99"/>
  <c r="AG17" i="99" s="1"/>
  <c r="X17" i="99"/>
  <c r="V17" i="99"/>
  <c r="R17" i="99"/>
  <c r="N17" i="99"/>
  <c r="M17" i="99"/>
  <c r="I17" i="99"/>
  <c r="CO16" i="99"/>
  <c r="CK16" i="99"/>
  <c r="CQ16" i="99" s="1"/>
  <c r="CG16" i="99"/>
  <c r="CA16" i="99"/>
  <c r="BW16" i="99"/>
  <c r="BS16" i="99"/>
  <c r="CC16" i="99" s="1"/>
  <c r="BM16" i="99"/>
  <c r="BI16" i="99"/>
  <c r="BE16" i="99"/>
  <c r="BO16" i="99" s="1"/>
  <c r="BA16" i="99"/>
  <c r="AW16" i="99"/>
  <c r="AU16" i="99"/>
  <c r="CU16" i="99" s="1"/>
  <c r="AQ16" i="99"/>
  <c r="AP16" i="99"/>
  <c r="AO16" i="99"/>
  <c r="AK16" i="99"/>
  <c r="AF16" i="99"/>
  <c r="AB16" i="99"/>
  <c r="X16" i="99"/>
  <c r="AR16" i="99" s="1"/>
  <c r="W16" i="99"/>
  <c r="V16" i="99"/>
  <c r="R16" i="99"/>
  <c r="N16" i="99"/>
  <c r="M16" i="99"/>
  <c r="I16" i="99"/>
  <c r="CO15" i="99"/>
  <c r="CK15" i="99"/>
  <c r="CQ15" i="99" s="1"/>
  <c r="CG15" i="99"/>
  <c r="CA15" i="99"/>
  <c r="BW15" i="99"/>
  <c r="CC15" i="99" s="1"/>
  <c r="CS15" i="99" s="1"/>
  <c r="BS15" i="99"/>
  <c r="BM15" i="99"/>
  <c r="BI15" i="99"/>
  <c r="BE15" i="99"/>
  <c r="BO15" i="99" s="1"/>
  <c r="BA15" i="99"/>
  <c r="CU15" i="99" s="1"/>
  <c r="AY15" i="99"/>
  <c r="AW15" i="99"/>
  <c r="AU15" i="99"/>
  <c r="AQ15" i="99"/>
  <c r="AO15" i="99"/>
  <c r="AP15" i="99" s="1"/>
  <c r="AK15" i="99"/>
  <c r="AF15" i="99"/>
  <c r="AG15" i="99" s="1"/>
  <c r="AB15" i="99"/>
  <c r="X15" i="99"/>
  <c r="AR15" i="99" s="1"/>
  <c r="W15" i="99"/>
  <c r="V15" i="99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Y14" i="99"/>
  <c r="AW14" i="99"/>
  <c r="AU14" i="99"/>
  <c r="AQ14" i="99"/>
  <c r="AO14" i="99"/>
  <c r="AK14" i="99"/>
  <c r="AP14" i="99" s="1"/>
  <c r="AF14" i="99"/>
  <c r="AG14" i="99" s="1"/>
  <c r="AB14" i="99"/>
  <c r="X14" i="99"/>
  <c r="AR14" i="99" s="1"/>
  <c r="W14" i="99"/>
  <c r="V14" i="99"/>
  <c r="R14" i="99"/>
  <c r="N14" i="99"/>
  <c r="M14" i="99"/>
  <c r="I14" i="99"/>
  <c r="CO13" i="99"/>
  <c r="CK13" i="99"/>
  <c r="CQ13" i="99" s="1"/>
  <c r="CG13" i="99"/>
  <c r="CA13" i="99"/>
  <c r="BW13" i="99"/>
  <c r="BS13" i="99"/>
  <c r="CC13" i="99" s="1"/>
  <c r="CS13" i="99" s="1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G13" i="99" s="1"/>
  <c r="AB13" i="99"/>
  <c r="X13" i="99"/>
  <c r="AR13" i="99" s="1"/>
  <c r="V13" i="99"/>
  <c r="R13" i="99"/>
  <c r="W13" i="99" s="1"/>
  <c r="M13" i="99"/>
  <c r="I13" i="99"/>
  <c r="N13" i="99" s="1"/>
  <c r="CO12" i="99"/>
  <c r="CK12" i="99"/>
  <c r="CQ12" i="99" s="1"/>
  <c r="CG12" i="99"/>
  <c r="CA12" i="99"/>
  <c r="BW12" i="99"/>
  <c r="BS12" i="99"/>
  <c r="CC12" i="99" s="1"/>
  <c r="CS12" i="99" s="1"/>
  <c r="BM12" i="99"/>
  <c r="BI12" i="99"/>
  <c r="BK12" i="99" s="1"/>
  <c r="BE12" i="99"/>
  <c r="CU12" i="99" s="1"/>
  <c r="BC12" i="99"/>
  <c r="BG12" i="99" s="1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N12" i="99"/>
  <c r="M12" i="99"/>
  <c r="I12" i="99"/>
  <c r="CO11" i="99"/>
  <c r="CK11" i="99"/>
  <c r="CG11" i="99"/>
  <c r="CC11" i="99"/>
  <c r="CA11" i="99"/>
  <c r="BW11" i="99"/>
  <c r="BS11" i="99"/>
  <c r="BM11" i="99"/>
  <c r="CU11" i="99" s="1"/>
  <c r="BI11" i="99"/>
  <c r="BG11" i="99"/>
  <c r="BK11" i="99" s="1"/>
  <c r="BE11" i="99"/>
  <c r="BC11" i="99"/>
  <c r="BA11" i="99"/>
  <c r="AY11" i="99"/>
  <c r="AW11" i="99"/>
  <c r="AU11" i="99"/>
  <c r="AR11" i="99"/>
  <c r="AQ11" i="99"/>
  <c r="AP11" i="99"/>
  <c r="AO11" i="99"/>
  <c r="AK11" i="99"/>
  <c r="AG11" i="99"/>
  <c r="AF11" i="99"/>
  <c r="AB11" i="99"/>
  <c r="X11" i="99"/>
  <c r="W11" i="99"/>
  <c r="V11" i="99"/>
  <c r="R11" i="99"/>
  <c r="M11" i="99"/>
  <c r="I11" i="99"/>
  <c r="N11" i="99" s="1"/>
  <c r="CQ10" i="99"/>
  <c r="CO10" i="99"/>
  <c r="CK10" i="99"/>
  <c r="CG10" i="99"/>
  <c r="CA10" i="99"/>
  <c r="BW10" i="99"/>
  <c r="CC10" i="99" s="1"/>
  <c r="CS10" i="99" s="1"/>
  <c r="BS10" i="99"/>
  <c r="BM10" i="99"/>
  <c r="BO10" i="99" s="1"/>
  <c r="BI10" i="99"/>
  <c r="BE10" i="99"/>
  <c r="BA10" i="99"/>
  <c r="AY10" i="99"/>
  <c r="AW10" i="99"/>
  <c r="BC10" i="99" s="1"/>
  <c r="AU10" i="99"/>
  <c r="AR10" i="99"/>
  <c r="AQ10" i="99"/>
  <c r="AP10" i="99"/>
  <c r="AO10" i="99"/>
  <c r="AK10" i="99"/>
  <c r="AF10" i="99"/>
  <c r="AG10" i="99" s="1"/>
  <c r="AB10" i="99"/>
  <c r="X10" i="99"/>
  <c r="W10" i="99"/>
  <c r="V10" i="99"/>
  <c r="R10" i="99"/>
  <c r="N10" i="99"/>
  <c r="M10" i="99"/>
  <c r="I10" i="99"/>
  <c r="CO9" i="99"/>
  <c r="CK9" i="99"/>
  <c r="CG9" i="99"/>
  <c r="CQ9" i="99" s="1"/>
  <c r="CA9" i="99"/>
  <c r="BW9" i="99"/>
  <c r="CC9" i="99" s="1"/>
  <c r="CS9" i="99" s="1"/>
  <c r="BS9" i="99"/>
  <c r="BM9" i="99"/>
  <c r="BI9" i="99"/>
  <c r="BO9" i="99" s="1"/>
  <c r="BE9" i="99"/>
  <c r="BA9" i="99"/>
  <c r="AW9" i="99"/>
  <c r="AY9" i="99" s="1"/>
  <c r="AU9" i="99"/>
  <c r="CU9" i="99" s="1"/>
  <c r="AQ9" i="99"/>
  <c r="AP9" i="99"/>
  <c r="AO9" i="99"/>
  <c r="AK9" i="99"/>
  <c r="AF9" i="99"/>
  <c r="AB9" i="99"/>
  <c r="X9" i="99"/>
  <c r="AR9" i="99" s="1"/>
  <c r="W9" i="99"/>
  <c r="V9" i="99"/>
  <c r="R9" i="99"/>
  <c r="M9" i="99"/>
  <c r="N9" i="99" s="1"/>
  <c r="I9" i="99"/>
  <c r="CO8" i="99"/>
  <c r="CK8" i="99"/>
  <c r="CG8" i="99"/>
  <c r="CQ8" i="99" s="1"/>
  <c r="CC8" i="99"/>
  <c r="CS8" i="99" s="1"/>
  <c r="CA8" i="99"/>
  <c r="BW8" i="99"/>
  <c r="BS8" i="99"/>
  <c r="BM8" i="99"/>
  <c r="BI8" i="99"/>
  <c r="BE8" i="99"/>
  <c r="BO8" i="99" s="1"/>
  <c r="BA8" i="99"/>
  <c r="BC8" i="99" s="1"/>
  <c r="AW8" i="99"/>
  <c r="AY8" i="99" s="1"/>
  <c r="AU8" i="99"/>
  <c r="AQ8" i="99"/>
  <c r="AO8" i="99"/>
  <c r="AK8" i="99"/>
  <c r="AP8" i="99" s="1"/>
  <c r="AF8" i="99"/>
  <c r="AG8" i="99" s="1"/>
  <c r="AB8" i="99"/>
  <c r="X8" i="99"/>
  <c r="AR8" i="99" s="1"/>
  <c r="V8" i="99"/>
  <c r="W8" i="99" s="1"/>
  <c r="R8" i="99"/>
  <c r="M8" i="99"/>
  <c r="I8" i="99"/>
  <c r="N8" i="99" s="1"/>
  <c r="CO7" i="99"/>
  <c r="CQ7" i="99" s="1"/>
  <c r="CK7" i="99"/>
  <c r="CG7" i="99"/>
  <c r="CA7" i="99"/>
  <c r="BW7" i="99"/>
  <c r="BS7" i="99"/>
  <c r="CU7" i="99" s="1"/>
  <c r="BO7" i="99"/>
  <c r="BM7" i="99"/>
  <c r="BI7" i="99"/>
  <c r="BE7" i="99"/>
  <c r="BA7" i="99"/>
  <c r="AW7" i="99"/>
  <c r="AU7" i="99"/>
  <c r="BC7" i="99" s="1"/>
  <c r="AR7" i="99"/>
  <c r="AQ7" i="99"/>
  <c r="AP7" i="99"/>
  <c r="AO7" i="99"/>
  <c r="AK7" i="99"/>
  <c r="AF7" i="99"/>
  <c r="AB7" i="99"/>
  <c r="AG7" i="99" s="1"/>
  <c r="X7" i="99"/>
  <c r="V7" i="99"/>
  <c r="R7" i="99"/>
  <c r="W7" i="99" s="1"/>
  <c r="M7" i="99"/>
  <c r="N7" i="99" s="1"/>
  <c r="I7" i="99"/>
  <c r="CO6" i="99"/>
  <c r="CK6" i="99"/>
  <c r="CG6" i="99"/>
  <c r="CA6" i="99"/>
  <c r="BW6" i="99"/>
  <c r="CC6" i="99" s="1"/>
  <c r="BS6" i="99"/>
  <c r="BM6" i="99"/>
  <c r="BI6" i="99"/>
  <c r="BE6" i="99"/>
  <c r="BO6" i="99" s="1"/>
  <c r="BA6" i="99"/>
  <c r="BA74" i="99" s="1"/>
  <c r="BA76" i="99" s="1"/>
  <c r="AW6" i="99"/>
  <c r="AW74" i="99" s="1"/>
  <c r="AW76" i="99" s="1"/>
  <c r="AU6" i="99"/>
  <c r="AQ6" i="99"/>
  <c r="AP6" i="99"/>
  <c r="AO6" i="99"/>
  <c r="AK6" i="99"/>
  <c r="AF6" i="99"/>
  <c r="AB6" i="99"/>
  <c r="X6" i="99"/>
  <c r="X74" i="99" s="1"/>
  <c r="V6" i="99"/>
  <c r="V74" i="99" s="1"/>
  <c r="R6" i="99"/>
  <c r="N6" i="99"/>
  <c r="M6" i="99"/>
  <c r="I6" i="99"/>
  <c r="CO49" i="71"/>
  <c r="CK49" i="71"/>
  <c r="CG49" i="71"/>
  <c r="CA49" i="71"/>
  <c r="BW49" i="71"/>
  <c r="BS49" i="71"/>
  <c r="BM49" i="71"/>
  <c r="BI49" i="71"/>
  <c r="BE49" i="71"/>
  <c r="BA49" i="71"/>
  <c r="AQ21" i="72" l="1"/>
  <c r="AU19" i="72"/>
  <c r="CQ48" i="71"/>
  <c r="BM48" i="71"/>
  <c r="CU48" i="71" s="1"/>
  <c r="CC48" i="71"/>
  <c r="CS48" i="71" s="1"/>
  <c r="BC48" i="71"/>
  <c r="CU49" i="71"/>
  <c r="BO49" i="71"/>
  <c r="CQ49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CS11" i="99"/>
  <c r="BG13" i="99"/>
  <c r="BK13" i="99" s="1"/>
  <c r="BQ13" i="99"/>
  <c r="BU13" i="99" s="1"/>
  <c r="BY13" i="99" s="1"/>
  <c r="CE13" i="99" s="1"/>
  <c r="CI13" i="99" s="1"/>
  <c r="CM13" i="99" s="1"/>
  <c r="CS18" i="99"/>
  <c r="CI7" i="99"/>
  <c r="CM7" i="99" s="1"/>
  <c r="CS19" i="99"/>
  <c r="BG7" i="99"/>
  <c r="BK7" i="99" s="1"/>
  <c r="BQ7" i="99"/>
  <c r="BU7" i="99" s="1"/>
  <c r="BY7" i="99" s="1"/>
  <c r="CE7" i="99" s="1"/>
  <c r="BG8" i="99"/>
  <c r="BK8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CS30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N74" i="99" s="1"/>
  <c r="BC24" i="99"/>
  <c r="CQ29" i="99"/>
  <c r="CS29" i="99" s="1"/>
  <c r="CQ30" i="99"/>
  <c r="BQ34" i="99"/>
  <c r="BU34" i="99" s="1"/>
  <c r="BY34" i="99" s="1"/>
  <c r="CE34" i="99" s="1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AP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W74" i="99" s="1"/>
  <c r="AY6" i="99"/>
  <c r="BW74" i="99"/>
  <c r="BW76" i="99" s="1"/>
  <c r="CQ11" i="99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Q69" i="99"/>
  <c r="BU69" i="99" s="1"/>
  <c r="BY69" i="99" s="1"/>
  <c r="CE69" i="99" s="1"/>
  <c r="CI69" i="99" s="1"/>
  <c r="CM69" i="99" s="1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CI50" i="99"/>
  <c r="CM50" i="99" s="1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S62" i="99"/>
  <c r="CC71" i="99"/>
  <c r="BO48" i="99"/>
  <c r="CS55" i="99"/>
  <c r="CI62" i="99"/>
  <c r="CM62" i="99" s="1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Q62" i="99"/>
  <c r="CU45" i="99"/>
  <c r="CU53" i="99"/>
  <c r="CU61" i="99"/>
  <c r="CQ41" i="99"/>
  <c r="CS41" i="99" s="1"/>
  <c r="AG42" i="99"/>
  <c r="W44" i="99"/>
  <c r="CQ49" i="99"/>
  <c r="CS49" i="99" s="1"/>
  <c r="CI49" i="99"/>
  <c r="CM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CI59" i="99"/>
  <c r="CM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49" i="71"/>
  <c r="BC49" i="71"/>
  <c r="AU21" i="72" l="1"/>
  <c r="BC19" i="72"/>
  <c r="BC21" i="72" s="1"/>
  <c r="BO48" i="71"/>
  <c r="BG48" i="71"/>
  <c r="BK48" i="71" s="1"/>
  <c r="BQ48" i="71"/>
  <c r="BU48" i="71" s="1"/>
  <c r="BY48" i="71" s="1"/>
  <c r="CE48" i="71" s="1"/>
  <c r="CI48" i="71" s="1"/>
  <c r="CM48" i="71" s="1"/>
  <c r="CS49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S74" i="99" s="1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49" i="71"/>
  <c r="BU49" i="71" s="1"/>
  <c r="BY49" i="71" s="1"/>
  <c r="CE49" i="71" s="1"/>
  <c r="CI49" i="71" s="1"/>
  <c r="CM49" i="71" s="1"/>
  <c r="BG49" i="71"/>
  <c r="BK49" i="71" s="1"/>
  <c r="BG74" i="99" l="1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A7" i="71"/>
  <c r="BE7" i="71"/>
  <c r="BI7" i="71"/>
  <c r="BM7" i="71"/>
  <c r="BS7" i="71"/>
  <c r="BW7" i="71"/>
  <c r="CA7" i="71"/>
  <c r="CG7" i="71"/>
  <c r="CK7" i="71"/>
  <c r="CO7" i="71"/>
  <c r="BA11" i="71"/>
  <c r="BE11" i="71"/>
  <c r="BI11" i="71"/>
  <c r="BM11" i="71"/>
  <c r="BS11" i="71"/>
  <c r="BW11" i="71"/>
  <c r="CA11" i="71"/>
  <c r="CG11" i="71"/>
  <c r="CK11" i="71"/>
  <c r="CO11" i="71"/>
  <c r="BA12" i="71"/>
  <c r="BE12" i="71"/>
  <c r="BI12" i="71"/>
  <c r="BM12" i="71"/>
  <c r="BS12" i="71"/>
  <c r="BW12" i="71"/>
  <c r="CA12" i="71"/>
  <c r="CG12" i="71"/>
  <c r="CK12" i="71"/>
  <c r="CO12" i="71"/>
  <c r="BA14" i="71"/>
  <c r="BE14" i="71"/>
  <c r="BI14" i="71"/>
  <c r="BM14" i="71"/>
  <c r="BS14" i="71"/>
  <c r="BW14" i="71"/>
  <c r="CA14" i="71"/>
  <c r="CG14" i="71"/>
  <c r="CK14" i="71"/>
  <c r="CO14" i="71"/>
  <c r="BA15" i="71"/>
  <c r="BE15" i="71"/>
  <c r="BI15" i="71"/>
  <c r="BM15" i="71"/>
  <c r="BS15" i="71"/>
  <c r="BW15" i="71"/>
  <c r="CA15" i="71"/>
  <c r="CG15" i="71"/>
  <c r="CK15" i="71"/>
  <c r="CO15" i="71"/>
  <c r="BA16" i="71"/>
  <c r="BE16" i="71"/>
  <c r="BI16" i="71"/>
  <c r="BM16" i="71"/>
  <c r="BS16" i="71"/>
  <c r="BW16" i="71"/>
  <c r="CA16" i="71"/>
  <c r="CG16" i="71"/>
  <c r="CK16" i="71"/>
  <c r="CO16" i="71"/>
  <c r="BA17" i="71"/>
  <c r="BE17" i="71"/>
  <c r="BI17" i="71"/>
  <c r="BM17" i="71"/>
  <c r="BS17" i="71"/>
  <c r="BW17" i="71"/>
  <c r="CA17" i="71"/>
  <c r="CG17" i="71"/>
  <c r="CK17" i="71"/>
  <c r="CO17" i="71"/>
  <c r="BA18" i="71"/>
  <c r="BE18" i="71"/>
  <c r="BI18" i="71"/>
  <c r="BM18" i="71"/>
  <c r="BS18" i="71"/>
  <c r="BW18" i="71"/>
  <c r="CA18" i="71"/>
  <c r="CG18" i="71"/>
  <c r="CK18" i="71"/>
  <c r="CO18" i="71"/>
  <c r="BA19" i="71"/>
  <c r="BE19" i="71"/>
  <c r="BI19" i="71"/>
  <c r="BM19" i="71"/>
  <c r="BS19" i="71"/>
  <c r="BW19" i="71"/>
  <c r="CA19" i="71"/>
  <c r="CG19" i="71"/>
  <c r="CK19" i="71"/>
  <c r="CO19" i="71"/>
  <c r="BA20" i="71"/>
  <c r="BE20" i="71"/>
  <c r="BI20" i="71"/>
  <c r="BM20" i="71"/>
  <c r="BS20" i="71"/>
  <c r="BW20" i="71"/>
  <c r="CA20" i="71"/>
  <c r="CG20" i="71"/>
  <c r="CK20" i="71"/>
  <c r="CO20" i="71"/>
  <c r="BA21" i="71"/>
  <c r="BE21" i="71"/>
  <c r="BI21" i="71"/>
  <c r="BM21" i="71"/>
  <c r="BS21" i="71"/>
  <c r="BW21" i="71"/>
  <c r="CA21" i="71"/>
  <c r="CG21" i="71"/>
  <c r="CK21" i="71"/>
  <c r="CO21" i="71"/>
  <c r="BA22" i="71"/>
  <c r="BE22" i="71"/>
  <c r="BI22" i="71"/>
  <c r="BM22" i="71"/>
  <c r="BS22" i="71"/>
  <c r="BW22" i="71"/>
  <c r="CA22" i="71"/>
  <c r="CG22" i="71"/>
  <c r="CK22" i="71"/>
  <c r="CO22" i="71"/>
  <c r="BA23" i="71"/>
  <c r="BE23" i="71"/>
  <c r="BI23" i="71"/>
  <c r="BM23" i="71"/>
  <c r="BS23" i="71"/>
  <c r="BW23" i="71"/>
  <c r="CA23" i="71"/>
  <c r="CG23" i="71"/>
  <c r="CK23" i="71"/>
  <c r="CO23" i="71"/>
  <c r="BA24" i="71"/>
  <c r="BE24" i="71"/>
  <c r="BI24" i="71"/>
  <c r="BM24" i="71"/>
  <c r="BS24" i="71"/>
  <c r="BW24" i="71"/>
  <c r="CA24" i="71"/>
  <c r="CG24" i="71"/>
  <c r="CK24" i="71"/>
  <c r="CO24" i="71"/>
  <c r="BA25" i="71"/>
  <c r="BE25" i="71"/>
  <c r="BI25" i="71"/>
  <c r="BM25" i="71"/>
  <c r="BS25" i="71"/>
  <c r="BW25" i="71"/>
  <c r="CA25" i="71"/>
  <c r="CG25" i="71"/>
  <c r="CK25" i="71"/>
  <c r="CO25" i="71"/>
  <c r="BA26" i="71"/>
  <c r="BE26" i="71"/>
  <c r="BI26" i="71"/>
  <c r="BM26" i="71"/>
  <c r="BS26" i="71"/>
  <c r="BW26" i="71"/>
  <c r="CA26" i="71"/>
  <c r="CG26" i="71"/>
  <c r="CK26" i="71"/>
  <c r="CO26" i="71"/>
  <c r="BA27" i="71"/>
  <c r="BE27" i="71"/>
  <c r="BI27" i="71"/>
  <c r="BM27" i="71"/>
  <c r="BS27" i="71"/>
  <c r="BW27" i="71"/>
  <c r="CA27" i="71"/>
  <c r="CG27" i="71"/>
  <c r="CK27" i="71"/>
  <c r="CO27" i="71"/>
  <c r="BA28" i="71"/>
  <c r="BE28" i="71"/>
  <c r="BI28" i="71"/>
  <c r="BM28" i="71"/>
  <c r="BS28" i="71"/>
  <c r="BW28" i="71"/>
  <c r="CA28" i="71"/>
  <c r="CG28" i="71"/>
  <c r="CK28" i="71"/>
  <c r="CO28" i="71"/>
  <c r="BA29" i="71"/>
  <c r="BE29" i="71"/>
  <c r="BI29" i="71"/>
  <c r="BM29" i="71"/>
  <c r="BS29" i="71"/>
  <c r="BW29" i="71"/>
  <c r="CA29" i="71"/>
  <c r="CG29" i="71"/>
  <c r="CK29" i="71"/>
  <c r="CO29" i="71"/>
  <c r="BA30" i="71"/>
  <c r="BE30" i="71"/>
  <c r="BI30" i="71"/>
  <c r="BM30" i="71"/>
  <c r="BS30" i="71"/>
  <c r="BW30" i="71"/>
  <c r="CA30" i="71"/>
  <c r="CG30" i="71"/>
  <c r="CK30" i="71"/>
  <c r="CO30" i="71"/>
  <c r="BA31" i="71"/>
  <c r="BE31" i="71"/>
  <c r="BI31" i="71"/>
  <c r="BM31" i="71"/>
  <c r="BS31" i="71"/>
  <c r="BW31" i="71"/>
  <c r="CA31" i="71"/>
  <c r="CG31" i="71"/>
  <c r="CK31" i="71"/>
  <c r="CO31" i="71"/>
  <c r="BA33" i="71"/>
  <c r="BE33" i="71"/>
  <c r="BI33" i="71"/>
  <c r="BM33" i="71"/>
  <c r="BS33" i="71"/>
  <c r="BW33" i="71"/>
  <c r="CA33" i="71"/>
  <c r="CG33" i="71"/>
  <c r="CK33" i="71"/>
  <c r="CO33" i="71"/>
  <c r="BA34" i="71"/>
  <c r="BE34" i="71"/>
  <c r="BI34" i="71"/>
  <c r="BM34" i="71"/>
  <c r="BS34" i="71"/>
  <c r="BW34" i="71"/>
  <c r="CA34" i="71"/>
  <c r="CG34" i="71"/>
  <c r="CK34" i="71"/>
  <c r="CO34" i="71"/>
  <c r="BA35" i="71"/>
  <c r="BE35" i="71"/>
  <c r="BI35" i="71"/>
  <c r="BM35" i="71"/>
  <c r="BS35" i="71"/>
  <c r="BW35" i="71"/>
  <c r="CA35" i="71"/>
  <c r="CG35" i="71"/>
  <c r="CK35" i="71"/>
  <c r="CO35" i="71"/>
  <c r="BA37" i="71"/>
  <c r="BE37" i="71"/>
  <c r="BI37" i="71"/>
  <c r="BM37" i="71"/>
  <c r="BS37" i="71"/>
  <c r="BW37" i="71"/>
  <c r="CA37" i="71"/>
  <c r="CG37" i="71"/>
  <c r="CK37" i="71"/>
  <c r="CO37" i="71"/>
  <c r="BA38" i="71"/>
  <c r="BE38" i="71"/>
  <c r="BI38" i="71"/>
  <c r="BM38" i="71"/>
  <c r="BS38" i="71"/>
  <c r="BW38" i="71"/>
  <c r="CA38" i="71"/>
  <c r="CG38" i="71"/>
  <c r="CK38" i="71"/>
  <c r="CO38" i="71"/>
  <c r="BA39" i="71"/>
  <c r="BE39" i="71"/>
  <c r="BI39" i="71"/>
  <c r="BM39" i="71"/>
  <c r="BS39" i="71"/>
  <c r="BW39" i="71"/>
  <c r="CA39" i="71"/>
  <c r="CG39" i="71"/>
  <c r="CK39" i="71"/>
  <c r="CO39" i="71"/>
  <c r="BA42" i="71"/>
  <c r="BE42" i="71"/>
  <c r="BI42" i="71"/>
  <c r="BM42" i="71"/>
  <c r="BS42" i="71"/>
  <c r="BW42" i="71"/>
  <c r="CA42" i="71"/>
  <c r="CG42" i="71"/>
  <c r="CK42" i="71"/>
  <c r="CO42" i="71"/>
  <c r="BA43" i="71"/>
  <c r="BE43" i="71"/>
  <c r="BI43" i="71"/>
  <c r="BM43" i="71"/>
  <c r="BS43" i="71"/>
  <c r="BW43" i="71"/>
  <c r="CA43" i="71"/>
  <c r="CG43" i="71"/>
  <c r="CK43" i="71"/>
  <c r="CO43" i="71"/>
  <c r="BA44" i="71"/>
  <c r="BE44" i="71"/>
  <c r="BI44" i="71"/>
  <c r="BM44" i="71"/>
  <c r="BS44" i="71"/>
  <c r="BW44" i="71"/>
  <c r="CA44" i="71"/>
  <c r="CG44" i="71"/>
  <c r="CK44" i="71"/>
  <c r="CO44" i="71"/>
  <c r="BA45" i="71"/>
  <c r="BE45" i="71"/>
  <c r="BI45" i="71"/>
  <c r="BM45" i="71"/>
  <c r="BS45" i="71"/>
  <c r="BW45" i="71"/>
  <c r="CA45" i="71"/>
  <c r="CG45" i="71"/>
  <c r="CK45" i="71"/>
  <c r="CO45" i="71"/>
  <c r="BA47" i="71"/>
  <c r="BE47" i="71"/>
  <c r="BI47" i="71"/>
  <c r="BM47" i="71"/>
  <c r="BS47" i="71"/>
  <c r="BW47" i="71"/>
  <c r="CA47" i="71"/>
  <c r="CG47" i="71"/>
  <c r="CK47" i="71"/>
  <c r="CO47" i="71"/>
  <c r="AO6" i="71"/>
  <c r="BO11" i="71" l="1"/>
  <c r="BO7" i="71"/>
  <c r="CQ15" i="71"/>
  <c r="CQ7" i="71"/>
  <c r="CC45" i="71"/>
  <c r="CC42" i="71"/>
  <c r="CC35" i="71"/>
  <c r="CC30" i="71"/>
  <c r="CC22" i="71"/>
  <c r="BO30" i="71"/>
  <c r="CC18" i="71"/>
  <c r="CC17" i="71"/>
  <c r="BC34" i="71"/>
  <c r="BG34" i="71" s="1"/>
  <c r="BK34" i="71" s="1"/>
  <c r="BC42" i="71"/>
  <c r="BG42" i="71" s="1"/>
  <c r="BK42" i="71" s="1"/>
  <c r="CQ37" i="71"/>
  <c r="CQ35" i="71"/>
  <c r="CQ31" i="71"/>
  <c r="CC34" i="71"/>
  <c r="CU31" i="71"/>
  <c r="BO24" i="71"/>
  <c r="BO38" i="71"/>
  <c r="CC14" i="71"/>
  <c r="CQ26" i="71"/>
  <c r="CQ23" i="71"/>
  <c r="CU15" i="71"/>
  <c r="BO28" i="71"/>
  <c r="CC26" i="71"/>
  <c r="CC25" i="71"/>
  <c r="CU23" i="71"/>
  <c r="BO20" i="71"/>
  <c r="CQ6" i="71"/>
  <c r="CU7" i="71"/>
  <c r="CC39" i="71"/>
  <c r="CC38" i="71"/>
  <c r="BO15" i="71"/>
  <c r="CC12" i="71"/>
  <c r="BO44" i="71"/>
  <c r="BO43" i="71"/>
  <c r="CQ19" i="71"/>
  <c r="BC17" i="71"/>
  <c r="BG17" i="71" s="1"/>
  <c r="BK17" i="71" s="1"/>
  <c r="CQ30" i="71"/>
  <c r="CQ18" i="71"/>
  <c r="BO14" i="71"/>
  <c r="BC45" i="71"/>
  <c r="BG45" i="71" s="1"/>
  <c r="BK45" i="71" s="1"/>
  <c r="BO33" i="71"/>
  <c r="BO23" i="71"/>
  <c r="CC21" i="71"/>
  <c r="CC20" i="71"/>
  <c r="BO6" i="71"/>
  <c r="CQ43" i="71"/>
  <c r="CQ27" i="71"/>
  <c r="BC25" i="71"/>
  <c r="BG25" i="71" s="1"/>
  <c r="BK25" i="71" s="1"/>
  <c r="BO22" i="71"/>
  <c r="BC12" i="71"/>
  <c r="BG12" i="71" s="1"/>
  <c r="BK12" i="71" s="1"/>
  <c r="CC47" i="71"/>
  <c r="BO31" i="71"/>
  <c r="CC29" i="71"/>
  <c r="CC28" i="71"/>
  <c r="BO16" i="71"/>
  <c r="CC11" i="71"/>
  <c r="CQ47" i="71"/>
  <c r="CC6" i="71"/>
  <c r="CQ34" i="71"/>
  <c r="CU30" i="71"/>
  <c r="CC27" i="71"/>
  <c r="CQ25" i="71"/>
  <c r="CQ24" i="71"/>
  <c r="CU22" i="71"/>
  <c r="CC19" i="71"/>
  <c r="CQ17" i="71"/>
  <c r="CQ16" i="71"/>
  <c r="CU14" i="71"/>
  <c r="CC7" i="71"/>
  <c r="BC43" i="71"/>
  <c r="BG43" i="71" s="1"/>
  <c r="BK43" i="71" s="1"/>
  <c r="BO39" i="71"/>
  <c r="BC23" i="71"/>
  <c r="BG23" i="71" s="1"/>
  <c r="BK23" i="71" s="1"/>
  <c r="BO21" i="71"/>
  <c r="BC15" i="71"/>
  <c r="BO12" i="71"/>
  <c r="BC31" i="71"/>
  <c r="CQ14" i="71"/>
  <c r="BO29" i="71"/>
  <c r="BO37" i="71"/>
  <c r="BO27" i="71"/>
  <c r="BO19" i="71"/>
  <c r="CQ42" i="71"/>
  <c r="BC39" i="71"/>
  <c r="BG39" i="71" s="1"/>
  <c r="BK39" i="71" s="1"/>
  <c r="CC33" i="71"/>
  <c r="BC29" i="71"/>
  <c r="BG29" i="71" s="1"/>
  <c r="BK29" i="71" s="1"/>
  <c r="CC24" i="71"/>
  <c r="CQ22" i="71"/>
  <c r="BC21" i="71"/>
  <c r="CC16" i="71"/>
  <c r="CU37" i="71"/>
  <c r="CU27" i="71"/>
  <c r="BO26" i="71"/>
  <c r="CU19" i="71"/>
  <c r="BO18" i="71"/>
  <c r="CU6" i="71"/>
  <c r="CC44" i="71"/>
  <c r="BO47" i="71"/>
  <c r="CQ39" i="71"/>
  <c r="BC35" i="71"/>
  <c r="BG35" i="71" s="1"/>
  <c r="BK35" i="71" s="1"/>
  <c r="CC31" i="71"/>
  <c r="CQ29" i="71"/>
  <c r="CQ28" i="71"/>
  <c r="CU26" i="71"/>
  <c r="CC23" i="71"/>
  <c r="CQ21" i="71"/>
  <c r="CQ20" i="71"/>
  <c r="CU18" i="71"/>
  <c r="CC15" i="71"/>
  <c r="CQ12" i="71"/>
  <c r="CQ11" i="71"/>
  <c r="BC47" i="71"/>
  <c r="BC37" i="71"/>
  <c r="BO34" i="71"/>
  <c r="BC27" i="71"/>
  <c r="BG27" i="71" s="1"/>
  <c r="BK27" i="71" s="1"/>
  <c r="BO25" i="71"/>
  <c r="BC19" i="71"/>
  <c r="BG19" i="71" s="1"/>
  <c r="BK19" i="71" s="1"/>
  <c r="BO17" i="71"/>
  <c r="CQ45" i="71"/>
  <c r="CU43" i="71"/>
  <c r="BO45" i="71"/>
  <c r="CC37" i="71"/>
  <c r="CC43" i="71"/>
  <c r="CQ33" i="71"/>
  <c r="CU47" i="71"/>
  <c r="CQ44" i="71"/>
  <c r="CQ38" i="71"/>
  <c r="CU35" i="71"/>
  <c r="BO35" i="71"/>
  <c r="CU42" i="71"/>
  <c r="BO42" i="71"/>
  <c r="CU45" i="71"/>
  <c r="CU39" i="71"/>
  <c r="CU34" i="71"/>
  <c r="CU29" i="71"/>
  <c r="CU25" i="71"/>
  <c r="CU21" i="71"/>
  <c r="CU17" i="71"/>
  <c r="CU12" i="71"/>
  <c r="BC44" i="71"/>
  <c r="BC38" i="71"/>
  <c r="BC33" i="71"/>
  <c r="BC28" i="71"/>
  <c r="BC24" i="71"/>
  <c r="BC20" i="71"/>
  <c r="BC16" i="71"/>
  <c r="BC11" i="71"/>
  <c r="CU44" i="71"/>
  <c r="CU38" i="71"/>
  <c r="CU33" i="71"/>
  <c r="CU28" i="71"/>
  <c r="CU24" i="71"/>
  <c r="CU20" i="71"/>
  <c r="CU16" i="71"/>
  <c r="CU11" i="71"/>
  <c r="BC7" i="71"/>
  <c r="BC30" i="71"/>
  <c r="BC26" i="71"/>
  <c r="BC22" i="71"/>
  <c r="BC18" i="71"/>
  <c r="BC14" i="71"/>
  <c r="BC6" i="71"/>
  <c r="BQ42" i="71" l="1"/>
  <c r="BU42" i="71" s="1"/>
  <c r="BY42" i="71" s="1"/>
  <c r="CE42" i="71" s="1"/>
  <c r="CI42" i="71" s="1"/>
  <c r="CM42" i="71" s="1"/>
  <c r="CS15" i="71"/>
  <c r="CS37" i="71"/>
  <c r="CS18" i="71"/>
  <c r="CS34" i="71"/>
  <c r="CS17" i="71"/>
  <c r="BQ34" i="71"/>
  <c r="BU34" i="71" s="1"/>
  <c r="BY34" i="71" s="1"/>
  <c r="CE34" i="71" s="1"/>
  <c r="CI34" i="71" s="1"/>
  <c r="CM34" i="71" s="1"/>
  <c r="CS23" i="71"/>
  <c r="CS22" i="71"/>
  <c r="CS21" i="71"/>
  <c r="CS42" i="71"/>
  <c r="BQ17" i="71"/>
  <c r="BU17" i="71" s="1"/>
  <c r="BY17" i="71" s="1"/>
  <c r="CE17" i="71" s="1"/>
  <c r="CI17" i="71" s="1"/>
  <c r="CM17" i="71" s="1"/>
  <c r="CS7" i="71"/>
  <c r="CS45" i="71"/>
  <c r="BQ15" i="71"/>
  <c r="BU15" i="71" s="1"/>
  <c r="BY15" i="71" s="1"/>
  <c r="CE15" i="71" s="1"/>
  <c r="CI15" i="71" s="1"/>
  <c r="CM15" i="71" s="1"/>
  <c r="CS44" i="71"/>
  <c r="CS35" i="71"/>
  <c r="CS30" i="71"/>
  <c r="BG15" i="71"/>
  <c r="BK15" i="71" s="1"/>
  <c r="BQ29" i="71"/>
  <c r="BU29" i="71" s="1"/>
  <c r="BY29" i="71" s="1"/>
  <c r="CE29" i="71" s="1"/>
  <c r="CI29" i="71" s="1"/>
  <c r="CM29" i="71" s="1"/>
  <c r="BQ37" i="71"/>
  <c r="BU37" i="71" s="1"/>
  <c r="BY37" i="71" s="1"/>
  <c r="CE37" i="71" s="1"/>
  <c r="CI37" i="71" s="1"/>
  <c r="CM37" i="71" s="1"/>
  <c r="CS14" i="71"/>
  <c r="BQ45" i="71"/>
  <c r="BU45" i="71" s="1"/>
  <c r="BY45" i="71" s="1"/>
  <c r="CE45" i="71" s="1"/>
  <c r="CI45" i="71" s="1"/>
  <c r="CM45" i="71" s="1"/>
  <c r="CS19" i="71"/>
  <c r="BQ35" i="71"/>
  <c r="BU35" i="71" s="1"/>
  <c r="BY35" i="71" s="1"/>
  <c r="CE35" i="71" s="1"/>
  <c r="CI35" i="71" s="1"/>
  <c r="CM35" i="71" s="1"/>
  <c r="CS26" i="71"/>
  <c r="CS31" i="71"/>
  <c r="BQ23" i="71"/>
  <c r="BU23" i="71" s="1"/>
  <c r="BY23" i="71" s="1"/>
  <c r="CE23" i="71" s="1"/>
  <c r="CI23" i="71" s="1"/>
  <c r="CM23" i="71" s="1"/>
  <c r="BG37" i="71"/>
  <c r="BK37" i="71" s="1"/>
  <c r="CS38" i="71"/>
  <c r="CS39" i="71"/>
  <c r="BQ19" i="71"/>
  <c r="BU19" i="71" s="1"/>
  <c r="BY19" i="71" s="1"/>
  <c r="CE19" i="71" s="1"/>
  <c r="CI19" i="71" s="1"/>
  <c r="CM19" i="71" s="1"/>
  <c r="CS47" i="71"/>
  <c r="BQ31" i="71"/>
  <c r="BU31" i="71" s="1"/>
  <c r="BY31" i="71" s="1"/>
  <c r="CE31" i="71" s="1"/>
  <c r="CI31" i="71" s="1"/>
  <c r="CM31" i="71" s="1"/>
  <c r="CS16" i="71"/>
  <c r="BQ47" i="71"/>
  <c r="BU47" i="71" s="1"/>
  <c r="BY47" i="71" s="1"/>
  <c r="CE47" i="71" s="1"/>
  <c r="CI47" i="71" s="1"/>
  <c r="CM47" i="71" s="1"/>
  <c r="CS20" i="71"/>
  <c r="CS25" i="71"/>
  <c r="CS43" i="71"/>
  <c r="BG47" i="71"/>
  <c r="BK47" i="71" s="1"/>
  <c r="CS27" i="71"/>
  <c r="CS12" i="71"/>
  <c r="CS33" i="71"/>
  <c r="BQ43" i="71"/>
  <c r="BU43" i="71" s="1"/>
  <c r="BY43" i="71" s="1"/>
  <c r="CE43" i="71" s="1"/>
  <c r="CI43" i="71" s="1"/>
  <c r="CM43" i="71" s="1"/>
  <c r="CS11" i="71"/>
  <c r="CS24" i="71"/>
  <c r="BQ25" i="71"/>
  <c r="BU25" i="71" s="1"/>
  <c r="BY25" i="71" s="1"/>
  <c r="CE25" i="71" s="1"/>
  <c r="CI25" i="71" s="1"/>
  <c r="CM25" i="71" s="1"/>
  <c r="BQ39" i="71"/>
  <c r="BU39" i="71" s="1"/>
  <c r="BY39" i="71" s="1"/>
  <c r="CE39" i="71" s="1"/>
  <c r="CI39" i="71" s="1"/>
  <c r="CM39" i="71" s="1"/>
  <c r="BQ27" i="71"/>
  <c r="BU27" i="71" s="1"/>
  <c r="BY27" i="71" s="1"/>
  <c r="CE27" i="71" s="1"/>
  <c r="CI27" i="71" s="1"/>
  <c r="CM27" i="71" s="1"/>
  <c r="CS28" i="71"/>
  <c r="CS6" i="71"/>
  <c r="BQ12" i="71"/>
  <c r="BU12" i="71" s="1"/>
  <c r="BY12" i="71" s="1"/>
  <c r="CE12" i="71" s="1"/>
  <c r="CI12" i="71" s="1"/>
  <c r="CM12" i="71" s="1"/>
  <c r="CS29" i="71"/>
  <c r="BQ21" i="71"/>
  <c r="BU21" i="71" s="1"/>
  <c r="BY21" i="71" s="1"/>
  <c r="CE21" i="71" s="1"/>
  <c r="CI21" i="71" s="1"/>
  <c r="CM21" i="71" s="1"/>
  <c r="BG21" i="71"/>
  <c r="BK21" i="71" s="1"/>
  <c r="BG31" i="71"/>
  <c r="BK31" i="71" s="1"/>
  <c r="BG30" i="71"/>
  <c r="BK30" i="71" s="1"/>
  <c r="BQ30" i="71"/>
  <c r="BU30" i="71" s="1"/>
  <c r="BY30" i="71" s="1"/>
  <c r="CE30" i="71" s="1"/>
  <c r="CI30" i="71" s="1"/>
  <c r="CM30" i="71" s="1"/>
  <c r="BQ7" i="71"/>
  <c r="BU7" i="71" s="1"/>
  <c r="BY7" i="71" s="1"/>
  <c r="CE7" i="71" s="1"/>
  <c r="CI7" i="71" s="1"/>
  <c r="CM7" i="71" s="1"/>
  <c r="BG7" i="71"/>
  <c r="BK7" i="71" s="1"/>
  <c r="BG24" i="71"/>
  <c r="BK24" i="71" s="1"/>
  <c r="BQ24" i="71"/>
  <c r="BU24" i="71" s="1"/>
  <c r="BY24" i="71" s="1"/>
  <c r="CE24" i="71" s="1"/>
  <c r="CI24" i="71" s="1"/>
  <c r="CM24" i="71" s="1"/>
  <c r="BG33" i="71"/>
  <c r="BK33" i="71" s="1"/>
  <c r="BQ33" i="71"/>
  <c r="BU33" i="71" s="1"/>
  <c r="BY33" i="71" s="1"/>
  <c r="CE33" i="71" s="1"/>
  <c r="CI33" i="71" s="1"/>
  <c r="CM33" i="71" s="1"/>
  <c r="BG38" i="71"/>
  <c r="BK38" i="71" s="1"/>
  <c r="BQ38" i="71"/>
  <c r="BU38" i="71" s="1"/>
  <c r="BY38" i="71" s="1"/>
  <c r="CE38" i="71" s="1"/>
  <c r="CI38" i="71" s="1"/>
  <c r="CM38" i="71" s="1"/>
  <c r="BG14" i="71"/>
  <c r="BK14" i="71" s="1"/>
  <c r="BQ14" i="71"/>
  <c r="BU14" i="71" s="1"/>
  <c r="BY14" i="71" s="1"/>
  <c r="CE14" i="71" s="1"/>
  <c r="CI14" i="71" s="1"/>
  <c r="CM14" i="71" s="1"/>
  <c r="BG28" i="71"/>
  <c r="BK28" i="71" s="1"/>
  <c r="BQ28" i="71"/>
  <c r="BU28" i="71" s="1"/>
  <c r="BY28" i="71" s="1"/>
  <c r="CE28" i="71" s="1"/>
  <c r="CI28" i="71" s="1"/>
  <c r="CM28" i="71" s="1"/>
  <c r="BG44" i="71"/>
  <c r="BK44" i="71" s="1"/>
  <c r="BQ44" i="71"/>
  <c r="BU44" i="71" s="1"/>
  <c r="BY44" i="71" s="1"/>
  <c r="CE44" i="71" s="1"/>
  <c r="CI44" i="71" s="1"/>
  <c r="CM44" i="71" s="1"/>
  <c r="BG6" i="71"/>
  <c r="BK6" i="71" s="1"/>
  <c r="BQ6" i="71"/>
  <c r="BU6" i="71" s="1"/>
  <c r="BY6" i="71" s="1"/>
  <c r="CE6" i="71" s="1"/>
  <c r="CI6" i="71" s="1"/>
  <c r="CM6" i="71" s="1"/>
  <c r="BG18" i="71"/>
  <c r="BK18" i="71" s="1"/>
  <c r="BQ18" i="71"/>
  <c r="BU18" i="71" s="1"/>
  <c r="BY18" i="71" s="1"/>
  <c r="CE18" i="71" s="1"/>
  <c r="CI18" i="71" s="1"/>
  <c r="CM18" i="71" s="1"/>
  <c r="BG22" i="71"/>
  <c r="BK22" i="71" s="1"/>
  <c r="BQ22" i="71"/>
  <c r="BU22" i="71" s="1"/>
  <c r="BY22" i="71" s="1"/>
  <c r="CE22" i="71" s="1"/>
  <c r="CI22" i="71" s="1"/>
  <c r="CM22" i="71" s="1"/>
  <c r="BG11" i="71"/>
  <c r="BK11" i="71" s="1"/>
  <c r="BQ11" i="71"/>
  <c r="BU11" i="71" s="1"/>
  <c r="BY11" i="71" s="1"/>
  <c r="CE11" i="71" s="1"/>
  <c r="CI11" i="71" s="1"/>
  <c r="CM11" i="71" s="1"/>
  <c r="BG26" i="71"/>
  <c r="BK26" i="71" s="1"/>
  <c r="BQ26" i="71"/>
  <c r="BU26" i="71" s="1"/>
  <c r="BY26" i="71" s="1"/>
  <c r="CE26" i="71" s="1"/>
  <c r="CI26" i="71" s="1"/>
  <c r="CM26" i="71" s="1"/>
  <c r="BG16" i="71"/>
  <c r="BK16" i="71" s="1"/>
  <c r="BQ16" i="71"/>
  <c r="BU16" i="71" s="1"/>
  <c r="BY16" i="71" s="1"/>
  <c r="CE16" i="71" s="1"/>
  <c r="CI16" i="71" s="1"/>
  <c r="CM16" i="71" s="1"/>
  <c r="BG20" i="71"/>
  <c r="BK20" i="71" s="1"/>
  <c r="BQ20" i="71"/>
  <c r="BU20" i="71" s="1"/>
  <c r="BY20" i="71" s="1"/>
  <c r="CE20" i="71" s="1"/>
  <c r="CI20" i="71" s="1"/>
  <c r="CM20" i="71" s="1"/>
  <c r="AK6" i="71" l="1"/>
  <c r="AP6" i="71" s="1"/>
  <c r="AF6" i="71"/>
  <c r="AB6" i="71"/>
  <c r="AQ6" i="71" s="1"/>
  <c r="AR6" i="71" s="1"/>
  <c r="BA67" i="77"/>
  <c r="AZ67" i="77"/>
  <c r="AM67" i="77"/>
  <c r="AL67" i="77"/>
  <c r="Y67" i="77"/>
  <c r="X67" i="77"/>
  <c r="M67" i="77"/>
  <c r="L67" i="77"/>
  <c r="P67" i="77" s="1"/>
  <c r="T67" i="77" s="1"/>
  <c r="BA66" i="77"/>
  <c r="AZ66" i="77"/>
  <c r="AM66" i="77"/>
  <c r="BC66" i="77" s="1"/>
  <c r="AL66" i="77"/>
  <c r="BB66" i="77" s="1"/>
  <c r="Y66" i="77"/>
  <c r="X66" i="77"/>
  <c r="M66" i="77"/>
  <c r="Q66" i="77" s="1"/>
  <c r="U66" i="77" s="1"/>
  <c r="L66" i="77"/>
  <c r="BA65" i="77"/>
  <c r="AZ65" i="77"/>
  <c r="AM65" i="77"/>
  <c r="AL65" i="77"/>
  <c r="Y65" i="77"/>
  <c r="X65" i="77"/>
  <c r="M65" i="77"/>
  <c r="Q65" i="77" s="1"/>
  <c r="U65" i="77" s="1"/>
  <c r="L65" i="77"/>
  <c r="P65" i="77" s="1"/>
  <c r="T65" i="77" s="1"/>
  <c r="BA64" i="77"/>
  <c r="AZ64" i="77"/>
  <c r="AM64" i="77"/>
  <c r="AL64" i="77"/>
  <c r="Y64" i="77"/>
  <c r="X64" i="77"/>
  <c r="M64" i="77"/>
  <c r="Q64" i="77" s="1"/>
  <c r="U64" i="77" s="1"/>
  <c r="L64" i="77"/>
  <c r="P64" i="77" s="1"/>
  <c r="T64" i="77" s="1"/>
  <c r="BA63" i="77"/>
  <c r="AZ63" i="77"/>
  <c r="AM63" i="77"/>
  <c r="AL63" i="77"/>
  <c r="Y63" i="77"/>
  <c r="X63" i="77"/>
  <c r="M63" i="77"/>
  <c r="L63" i="77"/>
  <c r="P63" i="77" s="1"/>
  <c r="T63" i="77" s="1"/>
  <c r="AY62" i="77"/>
  <c r="AX62" i="77"/>
  <c r="AU62" i="77"/>
  <c r="AT62" i="77"/>
  <c r="AQ62" i="77"/>
  <c r="AP62" i="77"/>
  <c r="AK62" i="77"/>
  <c r="AJ62" i="77"/>
  <c r="AG62" i="77"/>
  <c r="AF62" i="77"/>
  <c r="AC62" i="77"/>
  <c r="AB62" i="77"/>
  <c r="W62" i="77"/>
  <c r="V62" i="77"/>
  <c r="S62" i="77"/>
  <c r="R62" i="77"/>
  <c r="O62" i="77"/>
  <c r="N62" i="77"/>
  <c r="K62" i="77"/>
  <c r="J62" i="77"/>
  <c r="E62" i="77"/>
  <c r="D62" i="77"/>
  <c r="BA61" i="77"/>
  <c r="AZ61" i="77"/>
  <c r="AM61" i="77"/>
  <c r="AL61" i="77"/>
  <c r="Y61" i="77"/>
  <c r="X61" i="77"/>
  <c r="M61" i="77"/>
  <c r="Q61" i="77" s="1"/>
  <c r="U61" i="77" s="1"/>
  <c r="L61" i="77"/>
  <c r="P61" i="77" s="1"/>
  <c r="T61" i="77" s="1"/>
  <c r="BA60" i="77"/>
  <c r="AZ60" i="77"/>
  <c r="AM60" i="77"/>
  <c r="AL60" i="77"/>
  <c r="Y60" i="77"/>
  <c r="X60" i="77"/>
  <c r="M60" i="77"/>
  <c r="Q60" i="77" s="1"/>
  <c r="U60" i="77" s="1"/>
  <c r="L60" i="77"/>
  <c r="BA59" i="77"/>
  <c r="BC59" i="77" s="1"/>
  <c r="AZ59" i="77"/>
  <c r="AM59" i="77"/>
  <c r="AL59" i="77"/>
  <c r="Y59" i="77"/>
  <c r="X59" i="77"/>
  <c r="M59" i="77"/>
  <c r="Q59" i="77" s="1"/>
  <c r="U59" i="77" s="1"/>
  <c r="L59" i="77"/>
  <c r="P59" i="77" s="1"/>
  <c r="T59" i="77" s="1"/>
  <c r="BA58" i="77"/>
  <c r="AZ58" i="77"/>
  <c r="AM58" i="77"/>
  <c r="AL58" i="77"/>
  <c r="BB58" i="77" s="1"/>
  <c r="Y58" i="77"/>
  <c r="X58" i="77"/>
  <c r="M58" i="77"/>
  <c r="L58" i="77"/>
  <c r="BA57" i="77"/>
  <c r="AZ57" i="77"/>
  <c r="AM57" i="77"/>
  <c r="AL57" i="77"/>
  <c r="Y57" i="77"/>
  <c r="X57" i="77"/>
  <c r="M57" i="77"/>
  <c r="Q57" i="77" s="1"/>
  <c r="U57" i="77" s="1"/>
  <c r="L57" i="77"/>
  <c r="P57" i="77" s="1"/>
  <c r="T57" i="77" s="1"/>
  <c r="BA56" i="77"/>
  <c r="AZ56" i="77"/>
  <c r="AM56" i="77"/>
  <c r="AL56" i="77"/>
  <c r="Y56" i="77"/>
  <c r="X56" i="77"/>
  <c r="M56" i="77"/>
  <c r="Q56" i="77" s="1"/>
  <c r="U56" i="77" s="1"/>
  <c r="L56" i="77"/>
  <c r="BA55" i="77"/>
  <c r="AZ55" i="77"/>
  <c r="AM55" i="77"/>
  <c r="AL55" i="77"/>
  <c r="Y55" i="77"/>
  <c r="X55" i="77"/>
  <c r="M55" i="77"/>
  <c r="L55" i="77"/>
  <c r="P55" i="77" s="1"/>
  <c r="T55" i="77" s="1"/>
  <c r="BA54" i="77"/>
  <c r="AZ54" i="77"/>
  <c r="AM54" i="77"/>
  <c r="BC54" i="77" s="1"/>
  <c r="AL54" i="77"/>
  <c r="Y54" i="77"/>
  <c r="X54" i="77"/>
  <c r="M54" i="77"/>
  <c r="L54" i="77"/>
  <c r="BA53" i="77"/>
  <c r="AZ53" i="77"/>
  <c r="AM53" i="77"/>
  <c r="AL53" i="77"/>
  <c r="BB53" i="77" s="1"/>
  <c r="Y53" i="77"/>
  <c r="X53" i="77"/>
  <c r="M53" i="77"/>
  <c r="Q53" i="77" s="1"/>
  <c r="U53" i="77" s="1"/>
  <c r="L53" i="77"/>
  <c r="BA52" i="77"/>
  <c r="AZ52" i="77"/>
  <c r="AM52" i="77"/>
  <c r="AL52" i="77"/>
  <c r="Y52" i="77"/>
  <c r="X52" i="77"/>
  <c r="M52" i="77"/>
  <c r="Q52" i="77" s="1"/>
  <c r="U52" i="77" s="1"/>
  <c r="L52" i="77"/>
  <c r="P52" i="77" s="1"/>
  <c r="T52" i="77" s="1"/>
  <c r="BA51" i="77"/>
  <c r="AZ51" i="77"/>
  <c r="AM51" i="77"/>
  <c r="AL51" i="77"/>
  <c r="BB51" i="77" s="1"/>
  <c r="Y51" i="77"/>
  <c r="X51" i="77"/>
  <c r="M51" i="77"/>
  <c r="L51" i="77"/>
  <c r="P51" i="77" s="1"/>
  <c r="T51" i="77" s="1"/>
  <c r="BA50" i="77"/>
  <c r="AZ50" i="77"/>
  <c r="AM50" i="77"/>
  <c r="AL50" i="77"/>
  <c r="Y50" i="77"/>
  <c r="X50" i="77"/>
  <c r="M50" i="77"/>
  <c r="L50" i="77"/>
  <c r="BA49" i="77"/>
  <c r="AZ49" i="77"/>
  <c r="AM49" i="77"/>
  <c r="AL49" i="77"/>
  <c r="Y49" i="77"/>
  <c r="X49" i="77"/>
  <c r="M49" i="77"/>
  <c r="L49" i="77"/>
  <c r="BA48" i="77"/>
  <c r="AZ48" i="77"/>
  <c r="AM48" i="77"/>
  <c r="AL48" i="77"/>
  <c r="Y48" i="77"/>
  <c r="X48" i="77"/>
  <c r="M48" i="77"/>
  <c r="L48" i="77"/>
  <c r="BA47" i="77"/>
  <c r="AZ47" i="77"/>
  <c r="AM47" i="77"/>
  <c r="BC47" i="77" s="1"/>
  <c r="AL47" i="77"/>
  <c r="Y47" i="77"/>
  <c r="X47" i="77"/>
  <c r="M47" i="77"/>
  <c r="Q47" i="77" s="1"/>
  <c r="U47" i="77" s="1"/>
  <c r="L47" i="77"/>
  <c r="P47" i="77" s="1"/>
  <c r="T47" i="77" s="1"/>
  <c r="AY46" i="77"/>
  <c r="AX46" i="77"/>
  <c r="AU46" i="77"/>
  <c r="AT46" i="77"/>
  <c r="AQ46" i="77"/>
  <c r="AP46" i="77"/>
  <c r="AK46" i="77"/>
  <c r="AJ46" i="77"/>
  <c r="AG46" i="77"/>
  <c r="AF46" i="77"/>
  <c r="AC46" i="77"/>
  <c r="AB46" i="77"/>
  <c r="W46" i="77"/>
  <c r="V46" i="77"/>
  <c r="S46" i="77"/>
  <c r="R46" i="77"/>
  <c r="O46" i="77"/>
  <c r="N46" i="77"/>
  <c r="K46" i="77"/>
  <c r="J46" i="77"/>
  <c r="E46" i="77"/>
  <c r="D46" i="77"/>
  <c r="BA45" i="77"/>
  <c r="AZ45" i="77"/>
  <c r="AM45" i="77"/>
  <c r="AL45" i="77"/>
  <c r="Y45" i="77"/>
  <c r="X45" i="77"/>
  <c r="M45" i="77"/>
  <c r="Q45" i="77" s="1"/>
  <c r="U45" i="77" s="1"/>
  <c r="L45" i="77"/>
  <c r="BA44" i="77"/>
  <c r="AZ44" i="77"/>
  <c r="AM44" i="77"/>
  <c r="AL44" i="77"/>
  <c r="Y44" i="77"/>
  <c r="X44" i="77"/>
  <c r="M44" i="77"/>
  <c r="L44" i="77"/>
  <c r="P44" i="77" s="1"/>
  <c r="T44" i="77" s="1"/>
  <c r="BA43" i="77"/>
  <c r="AZ43" i="77"/>
  <c r="AM43" i="77"/>
  <c r="AL43" i="77"/>
  <c r="Y43" i="77"/>
  <c r="X43" i="77"/>
  <c r="M43" i="77"/>
  <c r="L43" i="77"/>
  <c r="P43" i="77" s="1"/>
  <c r="T43" i="77" s="1"/>
  <c r="BA42" i="77"/>
  <c r="AZ42" i="77"/>
  <c r="AM42" i="77"/>
  <c r="AL42" i="77"/>
  <c r="Y42" i="77"/>
  <c r="X42" i="77"/>
  <c r="M42" i="77"/>
  <c r="Q42" i="77" s="1"/>
  <c r="U42" i="77" s="1"/>
  <c r="L42" i="77"/>
  <c r="P42" i="77" s="1"/>
  <c r="T42" i="77" s="1"/>
  <c r="BA41" i="77"/>
  <c r="AZ41" i="77"/>
  <c r="AM41" i="77"/>
  <c r="AL41" i="77"/>
  <c r="Y41" i="77"/>
  <c r="X41" i="77"/>
  <c r="M41" i="77"/>
  <c r="Q41" i="77" s="1"/>
  <c r="U41" i="77" s="1"/>
  <c r="L41" i="77"/>
  <c r="P41" i="77" s="1"/>
  <c r="T41" i="77" s="1"/>
  <c r="BA40" i="77"/>
  <c r="AZ40" i="77"/>
  <c r="AM40" i="77"/>
  <c r="AL40" i="77"/>
  <c r="Y40" i="77"/>
  <c r="X40" i="77"/>
  <c r="M40" i="77"/>
  <c r="L40" i="77"/>
  <c r="P40" i="77" s="1"/>
  <c r="T40" i="77" s="1"/>
  <c r="BA39" i="77"/>
  <c r="AZ39" i="77"/>
  <c r="AM39" i="77"/>
  <c r="AL39" i="77"/>
  <c r="Y39" i="77"/>
  <c r="X39" i="77"/>
  <c r="M39" i="77"/>
  <c r="L39" i="77"/>
  <c r="P39" i="77" s="1"/>
  <c r="T39" i="77" s="1"/>
  <c r="BA38" i="77"/>
  <c r="AZ38" i="77"/>
  <c r="AM38" i="77"/>
  <c r="AL38" i="77"/>
  <c r="Y38" i="77"/>
  <c r="X38" i="77"/>
  <c r="M38" i="77"/>
  <c r="L38" i="77"/>
  <c r="P38" i="77" s="1"/>
  <c r="T38" i="77" s="1"/>
  <c r="BA37" i="77"/>
  <c r="AZ37" i="77"/>
  <c r="AM37" i="77"/>
  <c r="AL37" i="77"/>
  <c r="Y37" i="77"/>
  <c r="X37" i="77"/>
  <c r="M37" i="77"/>
  <c r="L37" i="77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W36" i="77"/>
  <c r="V36" i="77"/>
  <c r="S36" i="77"/>
  <c r="R36" i="77"/>
  <c r="O36" i="77"/>
  <c r="N36" i="77"/>
  <c r="K36" i="77"/>
  <c r="J36" i="77"/>
  <c r="E36" i="77"/>
  <c r="D36" i="77"/>
  <c r="BA35" i="77"/>
  <c r="AZ35" i="77"/>
  <c r="AM35" i="77"/>
  <c r="AL35" i="77"/>
  <c r="Y35" i="77"/>
  <c r="X35" i="77"/>
  <c r="M35" i="77"/>
  <c r="L35" i="77"/>
  <c r="P35" i="77" s="1"/>
  <c r="T35" i="77" s="1"/>
  <c r="BA34" i="77"/>
  <c r="AZ34" i="77"/>
  <c r="AM34" i="77"/>
  <c r="AL34" i="77"/>
  <c r="Y34" i="77"/>
  <c r="X34" i="77"/>
  <c r="M34" i="77"/>
  <c r="L34" i="77"/>
  <c r="P34" i="77" s="1"/>
  <c r="T34" i="77" s="1"/>
  <c r="BA33" i="77"/>
  <c r="AZ33" i="77"/>
  <c r="AM33" i="77"/>
  <c r="AL33" i="77"/>
  <c r="Y33" i="77"/>
  <c r="X33" i="77"/>
  <c r="M33" i="77"/>
  <c r="Q33" i="77" s="1"/>
  <c r="U33" i="77" s="1"/>
  <c r="L33" i="77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W32" i="77"/>
  <c r="V32" i="77"/>
  <c r="S32" i="77"/>
  <c r="R32" i="77"/>
  <c r="O32" i="77"/>
  <c r="N32" i="77"/>
  <c r="K32" i="77"/>
  <c r="J32" i="77"/>
  <c r="E32" i="77"/>
  <c r="D32" i="77"/>
  <c r="BA31" i="77"/>
  <c r="AZ31" i="77"/>
  <c r="AM31" i="77"/>
  <c r="AL31" i="77"/>
  <c r="BB31" i="77" s="1"/>
  <c r="Y31" i="77"/>
  <c r="X31" i="77"/>
  <c r="M31" i="77"/>
  <c r="L31" i="77"/>
  <c r="BA30" i="77"/>
  <c r="BC30" i="77" s="1"/>
  <c r="AZ30" i="77"/>
  <c r="AM30" i="77"/>
  <c r="AL30" i="77"/>
  <c r="Y30" i="77"/>
  <c r="X30" i="77"/>
  <c r="M30" i="77"/>
  <c r="Q30" i="77" s="1"/>
  <c r="U30" i="77" s="1"/>
  <c r="L30" i="77"/>
  <c r="P30" i="77" s="1"/>
  <c r="T30" i="77" s="1"/>
  <c r="BA29" i="77"/>
  <c r="AZ29" i="77"/>
  <c r="AM29" i="77"/>
  <c r="AL29" i="77"/>
  <c r="Y29" i="77"/>
  <c r="X29" i="77"/>
  <c r="M29" i="77"/>
  <c r="L29" i="77"/>
  <c r="BA28" i="77"/>
  <c r="AZ28" i="77"/>
  <c r="AM28" i="77"/>
  <c r="AL28" i="77"/>
  <c r="Y28" i="77"/>
  <c r="X28" i="77"/>
  <c r="M28" i="77"/>
  <c r="Q28" i="77" s="1"/>
  <c r="U28" i="77" s="1"/>
  <c r="L28" i="77"/>
  <c r="P28" i="77" s="1"/>
  <c r="T28" i="77" s="1"/>
  <c r="BA27" i="77"/>
  <c r="AZ27" i="77"/>
  <c r="AM27" i="77"/>
  <c r="AL27" i="77"/>
  <c r="Y27" i="77"/>
  <c r="X27" i="77"/>
  <c r="M27" i="77"/>
  <c r="Q27" i="77" s="1"/>
  <c r="U27" i="77" s="1"/>
  <c r="L27" i="77"/>
  <c r="P27" i="77" s="1"/>
  <c r="T27" i="77" s="1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W26" i="77"/>
  <c r="V26" i="77"/>
  <c r="S26" i="77"/>
  <c r="R26" i="77"/>
  <c r="O26" i="77"/>
  <c r="N26" i="77"/>
  <c r="K26" i="77"/>
  <c r="J26" i="77"/>
  <c r="E26" i="77"/>
  <c r="D26" i="77"/>
  <c r="BA25" i="77"/>
  <c r="AZ25" i="77"/>
  <c r="AM25" i="77"/>
  <c r="BC25" i="77" s="1"/>
  <c r="AL25" i="77"/>
  <c r="Y25" i="77"/>
  <c r="X25" i="77"/>
  <c r="M25" i="77"/>
  <c r="L25" i="77"/>
  <c r="BA24" i="77"/>
  <c r="BC24" i="77" s="1"/>
  <c r="AZ24" i="77"/>
  <c r="AM24" i="77"/>
  <c r="AL24" i="77"/>
  <c r="Y24" i="77"/>
  <c r="X24" i="77"/>
  <c r="M24" i="77"/>
  <c r="L24" i="77"/>
  <c r="P24" i="77" s="1"/>
  <c r="T24" i="77" s="1"/>
  <c r="BA23" i="77"/>
  <c r="AZ23" i="77"/>
  <c r="AM23" i="77"/>
  <c r="AL23" i="77"/>
  <c r="Y23" i="77"/>
  <c r="X23" i="77"/>
  <c r="M23" i="77"/>
  <c r="Q23" i="77" s="1"/>
  <c r="U23" i="77" s="1"/>
  <c r="L23" i="77"/>
  <c r="BA22" i="77"/>
  <c r="AZ22" i="77"/>
  <c r="AM22" i="77"/>
  <c r="AL22" i="77"/>
  <c r="Y22" i="77"/>
  <c r="X22" i="77"/>
  <c r="M22" i="77"/>
  <c r="L22" i="77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W21" i="77"/>
  <c r="V21" i="77"/>
  <c r="S21" i="77"/>
  <c r="R21" i="77"/>
  <c r="O21" i="77"/>
  <c r="N21" i="77"/>
  <c r="K21" i="77"/>
  <c r="J21" i="77"/>
  <c r="D21" i="77"/>
  <c r="BA20" i="77"/>
  <c r="AZ20" i="77"/>
  <c r="AM20" i="77"/>
  <c r="AL20" i="77"/>
  <c r="Y20" i="77"/>
  <c r="X20" i="77"/>
  <c r="M20" i="77"/>
  <c r="Q20" i="77" s="1"/>
  <c r="U20" i="77" s="1"/>
  <c r="L20" i="77"/>
  <c r="P20" i="77" s="1"/>
  <c r="T20" i="77" s="1"/>
  <c r="BA19" i="77"/>
  <c r="AZ19" i="77"/>
  <c r="AM19" i="77"/>
  <c r="AL19" i="77"/>
  <c r="Y19" i="77"/>
  <c r="X19" i="77"/>
  <c r="M19" i="77"/>
  <c r="L19" i="77"/>
  <c r="P19" i="77" s="1"/>
  <c r="T19" i="77" s="1"/>
  <c r="BA15" i="77"/>
  <c r="AZ15" i="77"/>
  <c r="AM15" i="77"/>
  <c r="AL15" i="77"/>
  <c r="Y15" i="77"/>
  <c r="X15" i="77"/>
  <c r="M15" i="77"/>
  <c r="Q15" i="77" s="1"/>
  <c r="U15" i="77" s="1"/>
  <c r="L15" i="77"/>
  <c r="P15" i="77" s="1"/>
  <c r="T15" i="77" s="1"/>
  <c r="BA14" i="77"/>
  <c r="AZ14" i="77"/>
  <c r="AM14" i="77"/>
  <c r="AL14" i="77"/>
  <c r="Y14" i="77"/>
  <c r="X14" i="77"/>
  <c r="M14" i="77"/>
  <c r="Q14" i="77" s="1"/>
  <c r="U14" i="77" s="1"/>
  <c r="L14" i="77"/>
  <c r="P14" i="77" s="1"/>
  <c r="T14" i="77" s="1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W13" i="77"/>
  <c r="V13" i="77"/>
  <c r="S13" i="77"/>
  <c r="R13" i="77"/>
  <c r="O13" i="77"/>
  <c r="N13" i="77"/>
  <c r="K13" i="77"/>
  <c r="J13" i="77"/>
  <c r="E13" i="77"/>
  <c r="D13" i="77"/>
  <c r="BA12" i="77"/>
  <c r="AZ12" i="77"/>
  <c r="AM12" i="77"/>
  <c r="AL12" i="77"/>
  <c r="Y12" i="77"/>
  <c r="X12" i="77"/>
  <c r="M12" i="77"/>
  <c r="Q12" i="77" s="1"/>
  <c r="U12" i="77" s="1"/>
  <c r="L12" i="77"/>
  <c r="BA11" i="77"/>
  <c r="AZ11" i="77"/>
  <c r="AM11" i="77"/>
  <c r="AL11" i="77"/>
  <c r="Y11" i="77"/>
  <c r="X11" i="77"/>
  <c r="M11" i="77"/>
  <c r="L11" i="77"/>
  <c r="BA10" i="77"/>
  <c r="AZ10" i="77"/>
  <c r="AM10" i="77"/>
  <c r="AL10" i="77"/>
  <c r="Y10" i="77"/>
  <c r="X10" i="77"/>
  <c r="M10" i="77"/>
  <c r="Q10" i="77" s="1"/>
  <c r="U10" i="77" s="1"/>
  <c r="L10" i="77"/>
  <c r="P10" i="77" s="1"/>
  <c r="T10" i="77" s="1"/>
  <c r="BA9" i="77"/>
  <c r="AZ9" i="77"/>
  <c r="AM9" i="77"/>
  <c r="AL9" i="77"/>
  <c r="Y9" i="77"/>
  <c r="X9" i="77"/>
  <c r="M9" i="77"/>
  <c r="Q9" i="77" s="1"/>
  <c r="U9" i="77" s="1"/>
  <c r="L9" i="77"/>
  <c r="BA8" i="77"/>
  <c r="AZ8" i="77"/>
  <c r="AM8" i="77"/>
  <c r="AL8" i="77"/>
  <c r="Y8" i="77"/>
  <c r="X8" i="77"/>
  <c r="M8" i="77"/>
  <c r="Q8" i="77" s="1"/>
  <c r="U8" i="77" s="1"/>
  <c r="L8" i="77"/>
  <c r="P8" i="77" s="1"/>
  <c r="T8" i="77" s="1"/>
  <c r="AY7" i="77"/>
  <c r="AX7" i="77"/>
  <c r="AU7" i="77"/>
  <c r="AT7" i="77"/>
  <c r="AQ7" i="77"/>
  <c r="AP7" i="77"/>
  <c r="AK7" i="77"/>
  <c r="AJ7" i="77"/>
  <c r="AG7" i="77"/>
  <c r="AF7" i="77"/>
  <c r="AC7" i="77"/>
  <c r="AB7" i="77"/>
  <c r="W7" i="77"/>
  <c r="V7" i="77"/>
  <c r="S7" i="77"/>
  <c r="R7" i="77"/>
  <c r="O7" i="77"/>
  <c r="N7" i="77"/>
  <c r="K7" i="77"/>
  <c r="J7" i="77"/>
  <c r="E7" i="77"/>
  <c r="D7" i="77"/>
  <c r="BA6" i="77"/>
  <c r="AZ6" i="77"/>
  <c r="AM6" i="77"/>
  <c r="AL6" i="77"/>
  <c r="Y6" i="77"/>
  <c r="X6" i="77"/>
  <c r="M6" i="77"/>
  <c r="Q6" i="77" s="1"/>
  <c r="U6" i="77" s="1"/>
  <c r="L6" i="77"/>
  <c r="P6" i="77" s="1"/>
  <c r="T6" i="77" s="1"/>
  <c r="BA5" i="77"/>
  <c r="AZ5" i="77"/>
  <c r="AM5" i="77"/>
  <c r="AL5" i="77"/>
  <c r="Y5" i="77"/>
  <c r="X5" i="77"/>
  <c r="M5" i="77"/>
  <c r="Q5" i="77" s="1"/>
  <c r="U5" i="77" s="1"/>
  <c r="L5" i="77"/>
  <c r="P5" i="77" s="1"/>
  <c r="T5" i="77" s="1"/>
  <c r="BA4" i="77"/>
  <c r="AZ4" i="77"/>
  <c r="AM4" i="77"/>
  <c r="AL4" i="77"/>
  <c r="Y4" i="77"/>
  <c r="X4" i="77"/>
  <c r="M4" i="77"/>
  <c r="L4" i="77"/>
  <c r="I4" i="77"/>
  <c r="H4" i="77"/>
  <c r="BB29" i="77" l="1"/>
  <c r="BC27" i="77"/>
  <c r="BC37" i="77"/>
  <c r="AA38" i="77"/>
  <c r="AE38" i="77" s="1"/>
  <c r="AI38" i="77" s="1"/>
  <c r="AO38" i="77" s="1"/>
  <c r="AS38" i="77" s="1"/>
  <c r="AW38" i="77" s="1"/>
  <c r="BE38" i="77" s="1"/>
  <c r="BC39" i="77"/>
  <c r="AA40" i="77"/>
  <c r="AE40" i="77" s="1"/>
  <c r="AI40" i="77" s="1"/>
  <c r="AO40" i="77" s="1"/>
  <c r="AS40" i="77" s="1"/>
  <c r="AW40" i="77" s="1"/>
  <c r="BE40" i="77" s="1"/>
  <c r="BB48" i="77"/>
  <c r="Y21" i="77"/>
  <c r="BB22" i="77"/>
  <c r="Z31" i="77"/>
  <c r="AD31" i="77" s="1"/>
  <c r="AH31" i="77" s="1"/>
  <c r="AN31" i="77" s="1"/>
  <c r="AR31" i="77" s="1"/>
  <c r="AV31" i="77" s="1"/>
  <c r="BD31" i="77" s="1"/>
  <c r="BB49" i="77"/>
  <c r="BC4" i="77"/>
  <c r="Z15" i="77"/>
  <c r="AD15" i="77" s="1"/>
  <c r="AH15" i="77" s="1"/>
  <c r="AN15" i="77" s="1"/>
  <c r="AR15" i="77" s="1"/>
  <c r="AV15" i="77" s="1"/>
  <c r="BD15" i="77" s="1"/>
  <c r="BB19" i="77"/>
  <c r="BB67" i="77"/>
  <c r="BC10" i="77"/>
  <c r="Y32" i="77"/>
  <c r="BB43" i="77"/>
  <c r="BC23" i="77"/>
  <c r="BC38" i="77"/>
  <c r="BB63" i="77"/>
  <c r="BB25" i="77"/>
  <c r="BB40" i="77"/>
  <c r="BB44" i="77"/>
  <c r="M7" i="77"/>
  <c r="Q7" i="77" s="1"/>
  <c r="U7" i="77" s="1"/>
  <c r="BB6" i="77"/>
  <c r="BA7" i="77"/>
  <c r="X7" i="77"/>
  <c r="BC20" i="77"/>
  <c r="Z57" i="77"/>
  <c r="AD57" i="77" s="1"/>
  <c r="AH57" i="77" s="1"/>
  <c r="AN57" i="77" s="1"/>
  <c r="AR57" i="77" s="1"/>
  <c r="AV57" i="77" s="1"/>
  <c r="BD57" i="77" s="1"/>
  <c r="BB9" i="77"/>
  <c r="AA43" i="77"/>
  <c r="AE43" i="77" s="1"/>
  <c r="AI43" i="77" s="1"/>
  <c r="AO43" i="77" s="1"/>
  <c r="AS43" i="77" s="1"/>
  <c r="AW43" i="77" s="1"/>
  <c r="BE43" i="77" s="1"/>
  <c r="AA50" i="77"/>
  <c r="AE50" i="77" s="1"/>
  <c r="AI50" i="77" s="1"/>
  <c r="AO50" i="77" s="1"/>
  <c r="AS50" i="77" s="1"/>
  <c r="AW50" i="77" s="1"/>
  <c r="BE50" i="77" s="1"/>
  <c r="BA21" i="77"/>
  <c r="Z37" i="77"/>
  <c r="AA30" i="77"/>
  <c r="AE30" i="77" s="1"/>
  <c r="AI30" i="77" s="1"/>
  <c r="AO30" i="77" s="1"/>
  <c r="AS30" i="77" s="1"/>
  <c r="AW30" i="77" s="1"/>
  <c r="BE30" i="77" s="1"/>
  <c r="AA37" i="77"/>
  <c r="AE37" i="77" s="1"/>
  <c r="AA51" i="77"/>
  <c r="AE51" i="77" s="1"/>
  <c r="AI51" i="77" s="1"/>
  <c r="AO51" i="77" s="1"/>
  <c r="AS51" i="77" s="1"/>
  <c r="AW51" i="77" s="1"/>
  <c r="BE51" i="77" s="1"/>
  <c r="BC5" i="77"/>
  <c r="Z12" i="77"/>
  <c r="AD12" i="77" s="1"/>
  <c r="AH12" i="77" s="1"/>
  <c r="AN12" i="77" s="1"/>
  <c r="AR12" i="77" s="1"/>
  <c r="AV12" i="77" s="1"/>
  <c r="BD12" i="77" s="1"/>
  <c r="Z51" i="77"/>
  <c r="AD51" i="77" s="1"/>
  <c r="AH51" i="77" s="1"/>
  <c r="AN51" i="77" s="1"/>
  <c r="AR51" i="77" s="1"/>
  <c r="AV51" i="77" s="1"/>
  <c r="BD51" i="77" s="1"/>
  <c r="Z59" i="77"/>
  <c r="AD59" i="77" s="1"/>
  <c r="AH59" i="77" s="1"/>
  <c r="AN59" i="77" s="1"/>
  <c r="AR59" i="77" s="1"/>
  <c r="AV59" i="77" s="1"/>
  <c r="BD59" i="77" s="1"/>
  <c r="BB10" i="77"/>
  <c r="Z11" i="77"/>
  <c r="AD11" i="77" s="1"/>
  <c r="AH11" i="77" s="1"/>
  <c r="AN11" i="77" s="1"/>
  <c r="AR11" i="77" s="1"/>
  <c r="AV11" i="77" s="1"/>
  <c r="BD11" i="77" s="1"/>
  <c r="Z58" i="77"/>
  <c r="AD58" i="77" s="1"/>
  <c r="AH58" i="77" s="1"/>
  <c r="AN58" i="77" s="1"/>
  <c r="AR58" i="77" s="1"/>
  <c r="AV58" i="77" s="1"/>
  <c r="BD58" i="77" s="1"/>
  <c r="M21" i="77"/>
  <c r="Q21" i="77" s="1"/>
  <c r="U21" i="77" s="1"/>
  <c r="Z55" i="77"/>
  <c r="AD55" i="77" s="1"/>
  <c r="AH55" i="77" s="1"/>
  <c r="AN55" i="77" s="1"/>
  <c r="AR55" i="77" s="1"/>
  <c r="AV55" i="77" s="1"/>
  <c r="BD55" i="77" s="1"/>
  <c r="Z30" i="77"/>
  <c r="AD30" i="77" s="1"/>
  <c r="AH30" i="77" s="1"/>
  <c r="AN30" i="77" s="1"/>
  <c r="AR30" i="77" s="1"/>
  <c r="AV30" i="77" s="1"/>
  <c r="BD30" i="77" s="1"/>
  <c r="Z19" i="77"/>
  <c r="AD19" i="77" s="1"/>
  <c r="AA65" i="77"/>
  <c r="AE65" i="77" s="1"/>
  <c r="AI65" i="77" s="1"/>
  <c r="AO65" i="77" s="1"/>
  <c r="AS65" i="77" s="1"/>
  <c r="AW65" i="77" s="1"/>
  <c r="BE65" i="77" s="1"/>
  <c r="Z6" i="77"/>
  <c r="AD6" i="77" s="1"/>
  <c r="AH6" i="77" s="1"/>
  <c r="AN6" i="77" s="1"/>
  <c r="AR6" i="77" s="1"/>
  <c r="AV6" i="77" s="1"/>
  <c r="BD6" i="77" s="1"/>
  <c r="Y13" i="77"/>
  <c r="BC14" i="77"/>
  <c r="BB15" i="77"/>
  <c r="AA25" i="77"/>
  <c r="AE25" i="77" s="1"/>
  <c r="AI25" i="77" s="1"/>
  <c r="AO25" i="77" s="1"/>
  <c r="AS25" i="77" s="1"/>
  <c r="AW25" i="77" s="1"/>
  <c r="BE25" i="77" s="1"/>
  <c r="BB37" i="77"/>
  <c r="BC43" i="77"/>
  <c r="AA44" i="77"/>
  <c r="AE44" i="77" s="1"/>
  <c r="AI44" i="77" s="1"/>
  <c r="AO44" i="77" s="1"/>
  <c r="AS44" i="77" s="1"/>
  <c r="AW44" i="77" s="1"/>
  <c r="BE44" i="77" s="1"/>
  <c r="BB47" i="77"/>
  <c r="Z48" i="77"/>
  <c r="AD48" i="77" s="1"/>
  <c r="AH48" i="77" s="1"/>
  <c r="AN48" i="77" s="1"/>
  <c r="AR48" i="77" s="1"/>
  <c r="AV48" i="77" s="1"/>
  <c r="BD48" i="77" s="1"/>
  <c r="BB50" i="77"/>
  <c r="X32" i="77"/>
  <c r="BA46" i="77"/>
  <c r="P12" i="77"/>
  <c r="T12" i="77" s="1"/>
  <c r="BB20" i="77"/>
  <c r="BB21" i="77" s="1"/>
  <c r="Z24" i="77"/>
  <c r="AD24" i="77" s="1"/>
  <c r="AH24" i="77" s="1"/>
  <c r="AN24" i="77" s="1"/>
  <c r="AR24" i="77" s="1"/>
  <c r="AV24" i="77" s="1"/>
  <c r="BD24" i="77" s="1"/>
  <c r="AL32" i="77"/>
  <c r="BC28" i="77"/>
  <c r="P37" i="77"/>
  <c r="T37" i="77" s="1"/>
  <c r="BB61" i="77"/>
  <c r="AM13" i="77"/>
  <c r="BC11" i="77"/>
  <c r="Z14" i="77"/>
  <c r="AD14" i="77" s="1"/>
  <c r="AH14" i="77" s="1"/>
  <c r="AN14" i="77" s="1"/>
  <c r="AR14" i="77" s="1"/>
  <c r="AV14" i="77" s="1"/>
  <c r="BD14" i="77" s="1"/>
  <c r="AM26" i="77"/>
  <c r="Z28" i="77"/>
  <c r="AD28" i="77" s="1"/>
  <c r="AH28" i="77" s="1"/>
  <c r="AN28" i="77" s="1"/>
  <c r="AR28" i="77" s="1"/>
  <c r="AV28" i="77" s="1"/>
  <c r="BD28" i="77" s="1"/>
  <c r="AA31" i="77"/>
  <c r="AE31" i="77" s="1"/>
  <c r="AI31" i="77" s="1"/>
  <c r="AO31" i="77" s="1"/>
  <c r="AS31" i="77" s="1"/>
  <c r="AW31" i="77" s="1"/>
  <c r="BE31" i="77" s="1"/>
  <c r="BC34" i="77"/>
  <c r="Z38" i="77"/>
  <c r="AD38" i="77" s="1"/>
  <c r="AH38" i="77" s="1"/>
  <c r="AN38" i="77" s="1"/>
  <c r="AR38" i="77" s="1"/>
  <c r="AV38" i="77" s="1"/>
  <c r="BD38" i="77" s="1"/>
  <c r="AA41" i="77"/>
  <c r="AE41" i="77" s="1"/>
  <c r="AI41" i="77" s="1"/>
  <c r="AO41" i="77" s="1"/>
  <c r="AS41" i="77" s="1"/>
  <c r="AW41" i="77" s="1"/>
  <c r="BE41" i="77" s="1"/>
  <c r="BB52" i="77"/>
  <c r="AA58" i="77"/>
  <c r="AE58" i="77" s="1"/>
  <c r="AI58" i="77" s="1"/>
  <c r="AO58" i="77" s="1"/>
  <c r="AS58" i="77" s="1"/>
  <c r="AW58" i="77" s="1"/>
  <c r="BE58" i="77" s="1"/>
  <c r="Y7" i="77"/>
  <c r="BB5" i="77"/>
  <c r="BB14" i="77"/>
  <c r="BC15" i="77"/>
  <c r="X21" i="77"/>
  <c r="Z22" i="77"/>
  <c r="AD22" i="77" s="1"/>
  <c r="AH22" i="77" s="1"/>
  <c r="AN22" i="77" s="1"/>
  <c r="AR22" i="77" s="1"/>
  <c r="BB23" i="77"/>
  <c r="BB24" i="77"/>
  <c r="AZ32" i="77"/>
  <c r="AA28" i="77"/>
  <c r="AE28" i="77" s="1"/>
  <c r="AI28" i="77" s="1"/>
  <c r="AO28" i="77" s="1"/>
  <c r="AS28" i="77" s="1"/>
  <c r="AW28" i="77" s="1"/>
  <c r="BE28" i="77" s="1"/>
  <c r="BC29" i="77"/>
  <c r="BB33" i="77"/>
  <c r="BB38" i="77"/>
  <c r="AA39" i="77"/>
  <c r="AE39" i="77" s="1"/>
  <c r="AI39" i="77" s="1"/>
  <c r="AO39" i="77" s="1"/>
  <c r="AS39" i="77" s="1"/>
  <c r="AW39" i="77" s="1"/>
  <c r="BE39" i="77" s="1"/>
  <c r="BB42" i="77"/>
  <c r="AA47" i="77"/>
  <c r="AE47" i="77" s="1"/>
  <c r="AI47" i="77" s="1"/>
  <c r="AO47" i="77" s="1"/>
  <c r="AS47" i="77" s="1"/>
  <c r="AW47" i="77" s="1"/>
  <c r="BE47" i="77" s="1"/>
  <c r="BC48" i="77"/>
  <c r="X62" i="77"/>
  <c r="BB55" i="77"/>
  <c r="AA12" i="77"/>
  <c r="AE12" i="77" s="1"/>
  <c r="AI12" i="77" s="1"/>
  <c r="AO12" i="77" s="1"/>
  <c r="AS12" i="77" s="1"/>
  <c r="AW12" i="77" s="1"/>
  <c r="BE12" i="77" s="1"/>
  <c r="L21" i="77"/>
  <c r="P21" i="77" s="1"/>
  <c r="T21" i="77" s="1"/>
  <c r="BA32" i="77"/>
  <c r="L46" i="77"/>
  <c r="P46" i="77" s="1"/>
  <c r="T46" i="77" s="1"/>
  <c r="AM32" i="77"/>
  <c r="BC6" i="77"/>
  <c r="L7" i="77"/>
  <c r="P7" i="77" s="1"/>
  <c r="T7" i="77" s="1"/>
  <c r="Z5" i="77"/>
  <c r="AD5" i="77" s="1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Z40" i="77"/>
  <c r="AD40" i="77" s="1"/>
  <c r="AH40" i="77" s="1"/>
  <c r="AN40" i="77" s="1"/>
  <c r="AR40" i="77" s="1"/>
  <c r="AV40" i="77" s="1"/>
  <c r="BD40" i="77" s="1"/>
  <c r="BC55" i="77"/>
  <c r="P58" i="77"/>
  <c r="T58" i="77" s="1"/>
  <c r="BC67" i="77"/>
  <c r="Z20" i="77"/>
  <c r="AD20" i="77" s="1"/>
  <c r="AH20" i="77" s="1"/>
  <c r="AN20" i="77" s="1"/>
  <c r="AR20" i="77" s="1"/>
  <c r="AV20" i="77" s="1"/>
  <c r="BD20" i="77" s="1"/>
  <c r="AA27" i="77"/>
  <c r="AE27" i="77" s="1"/>
  <c r="Z33" i="77"/>
  <c r="AD33" i="77" s="1"/>
  <c r="AZ36" i="77"/>
  <c r="Z43" i="77"/>
  <c r="AD43" i="77" s="1"/>
  <c r="AH43" i="77" s="1"/>
  <c r="AN43" i="77" s="1"/>
  <c r="AR43" i="77" s="1"/>
  <c r="AV43" i="77" s="1"/>
  <c r="BD43" i="77" s="1"/>
  <c r="Q44" i="77"/>
  <c r="U44" i="77" s="1"/>
  <c r="AA45" i="77"/>
  <c r="AE45" i="77" s="1"/>
  <c r="AI45" i="77" s="1"/>
  <c r="AO45" i="77" s="1"/>
  <c r="AS45" i="77" s="1"/>
  <c r="AW45" i="77" s="1"/>
  <c r="BE45" i="77" s="1"/>
  <c r="Z47" i="77"/>
  <c r="AD47" i="77" s="1"/>
  <c r="AH47" i="77" s="1"/>
  <c r="AN47" i="77" s="1"/>
  <c r="AR47" i="77" s="1"/>
  <c r="AV47" i="77" s="1"/>
  <c r="BD47" i="77" s="1"/>
  <c r="BC51" i="77"/>
  <c r="AA52" i="77"/>
  <c r="AE52" i="77" s="1"/>
  <c r="AI52" i="77" s="1"/>
  <c r="AO52" i="77" s="1"/>
  <c r="AS52" i="77" s="1"/>
  <c r="AW52" i="77" s="1"/>
  <c r="BE52" i="77" s="1"/>
  <c r="BC57" i="77"/>
  <c r="Q58" i="77"/>
  <c r="U58" i="77" s="1"/>
  <c r="Z60" i="77"/>
  <c r="AD60" i="77" s="1"/>
  <c r="AH60" i="77" s="1"/>
  <c r="AN60" i="77" s="1"/>
  <c r="AR60" i="77" s="1"/>
  <c r="AV60" i="77" s="1"/>
  <c r="BD60" i="77" s="1"/>
  <c r="Z61" i="77"/>
  <c r="AD61" i="77" s="1"/>
  <c r="AH61" i="77" s="1"/>
  <c r="AN61" i="77" s="1"/>
  <c r="AR61" i="77" s="1"/>
  <c r="AV61" i="77" s="1"/>
  <c r="BD61" i="77" s="1"/>
  <c r="BC8" i="77"/>
  <c r="X13" i="77"/>
  <c r="BC12" i="77"/>
  <c r="AA22" i="77"/>
  <c r="AE22" i="77" s="1"/>
  <c r="AI22" i="77" s="1"/>
  <c r="AO22" i="77" s="1"/>
  <c r="BA26" i="77"/>
  <c r="BB30" i="77"/>
  <c r="BB45" i="77"/>
  <c r="BC50" i="77"/>
  <c r="BC53" i="77"/>
  <c r="Z54" i="77"/>
  <c r="AD54" i="77" s="1"/>
  <c r="AH54" i="77" s="1"/>
  <c r="AN54" i="77" s="1"/>
  <c r="AR54" i="77" s="1"/>
  <c r="AV54" i="77" s="1"/>
  <c r="BD54" i="77" s="1"/>
  <c r="BB60" i="77"/>
  <c r="BB64" i="77"/>
  <c r="P4" i="77"/>
  <c r="T4" i="77" s="1"/>
  <c r="Z8" i="77"/>
  <c r="AD8" i="77" s="1"/>
  <c r="AH8" i="77" s="1"/>
  <c r="AN8" i="77" s="1"/>
  <c r="AR8" i="77" s="1"/>
  <c r="AV8" i="77" s="1"/>
  <c r="BD8" i="77" s="1"/>
  <c r="AZ21" i="77"/>
  <c r="X26" i="77"/>
  <c r="Z23" i="77"/>
  <c r="AD23" i="77" s="1"/>
  <c r="AH23" i="77" s="1"/>
  <c r="AN23" i="77" s="1"/>
  <c r="AR23" i="77" s="1"/>
  <c r="AV23" i="77" s="1"/>
  <c r="BD23" i="77" s="1"/>
  <c r="AA24" i="77"/>
  <c r="AE24" i="77" s="1"/>
  <c r="AI24" i="77" s="1"/>
  <c r="AO24" i="77" s="1"/>
  <c r="AS24" i="77" s="1"/>
  <c r="AW24" i="77" s="1"/>
  <c r="BE24" i="77" s="1"/>
  <c r="P33" i="77"/>
  <c r="T33" i="77" s="1"/>
  <c r="BB35" i="77"/>
  <c r="BC42" i="77"/>
  <c r="BC49" i="77"/>
  <c r="BC52" i="77"/>
  <c r="BB56" i="77"/>
  <c r="BB57" i="77"/>
  <c r="P60" i="77"/>
  <c r="T60" i="77" s="1"/>
  <c r="BC60" i="77"/>
  <c r="AA64" i="77"/>
  <c r="AE64" i="77" s="1"/>
  <c r="AI64" i="77" s="1"/>
  <c r="AO64" i="77" s="1"/>
  <c r="AS64" i="77" s="1"/>
  <c r="AW64" i="77" s="1"/>
  <c r="BE64" i="77" s="1"/>
  <c r="BC64" i="77"/>
  <c r="AA57" i="77"/>
  <c r="AE57" i="77" s="1"/>
  <c r="AI57" i="77" s="1"/>
  <c r="AO57" i="77" s="1"/>
  <c r="AS57" i="77" s="1"/>
  <c r="AW57" i="77" s="1"/>
  <c r="BE57" i="77" s="1"/>
  <c r="AA60" i="77"/>
  <c r="AE60" i="77" s="1"/>
  <c r="AI60" i="77" s="1"/>
  <c r="AO60" i="77" s="1"/>
  <c r="AS60" i="77" s="1"/>
  <c r="AW60" i="77" s="1"/>
  <c r="BE60" i="77" s="1"/>
  <c r="Q51" i="77"/>
  <c r="U51" i="77" s="1"/>
  <c r="Q38" i="77"/>
  <c r="U38" i="77" s="1"/>
  <c r="AA42" i="77"/>
  <c r="AE42" i="77" s="1"/>
  <c r="AI42" i="77" s="1"/>
  <c r="AO42" i="77" s="1"/>
  <c r="AS42" i="77" s="1"/>
  <c r="AW42" i="77" s="1"/>
  <c r="BE42" i="77" s="1"/>
  <c r="AA33" i="77"/>
  <c r="AE33" i="77" s="1"/>
  <c r="M32" i="77"/>
  <c r="Q32" i="77" s="1"/>
  <c r="U32" i="77" s="1"/>
  <c r="Q31" i="77"/>
  <c r="U31" i="77" s="1"/>
  <c r="Q25" i="77"/>
  <c r="U25" i="77" s="1"/>
  <c r="AA20" i="77"/>
  <c r="AE20" i="77" s="1"/>
  <c r="AI20" i="77" s="1"/>
  <c r="AO20" i="77" s="1"/>
  <c r="AS20" i="77" s="1"/>
  <c r="AW20" i="77" s="1"/>
  <c r="BE20" i="77" s="1"/>
  <c r="AA10" i="77"/>
  <c r="AE10" i="77" s="1"/>
  <c r="M13" i="77"/>
  <c r="Q13" i="77" s="1"/>
  <c r="U13" i="77" s="1"/>
  <c r="AA8" i="77"/>
  <c r="AE8" i="77" s="1"/>
  <c r="AI8" i="77" s="1"/>
  <c r="AO8" i="77" s="1"/>
  <c r="AS8" i="77" s="1"/>
  <c r="AW8" i="77" s="1"/>
  <c r="BE8" i="77" s="1"/>
  <c r="Q4" i="77"/>
  <c r="U4" i="77" s="1"/>
  <c r="AA6" i="77"/>
  <c r="AE6" i="77" s="1"/>
  <c r="AI6" i="77" s="1"/>
  <c r="AO6" i="77" s="1"/>
  <c r="AS6" i="77" s="1"/>
  <c r="AW6" i="77" s="1"/>
  <c r="BE6" i="77" s="1"/>
  <c r="AA5" i="77"/>
  <c r="AE5" i="77" s="1"/>
  <c r="AI5" i="77" s="1"/>
  <c r="AO5" i="77" s="1"/>
  <c r="AS5" i="77" s="1"/>
  <c r="AW5" i="77" s="1"/>
  <c r="BE5" i="77" s="1"/>
  <c r="AG6" i="71"/>
  <c r="Z65" i="77"/>
  <c r="AD65" i="77" s="1"/>
  <c r="AH65" i="77" s="1"/>
  <c r="AN65" i="77" s="1"/>
  <c r="AR65" i="77" s="1"/>
  <c r="AV65" i="77" s="1"/>
  <c r="BD65" i="77" s="1"/>
  <c r="BB65" i="77"/>
  <c r="BC65" i="77"/>
  <c r="AA61" i="77"/>
  <c r="AE61" i="77" s="1"/>
  <c r="AI61" i="77" s="1"/>
  <c r="AO61" i="77" s="1"/>
  <c r="AS61" i="77" s="1"/>
  <c r="AW61" i="77" s="1"/>
  <c r="BE61" i="77" s="1"/>
  <c r="BC61" i="77"/>
  <c r="BB59" i="77"/>
  <c r="AA56" i="77"/>
  <c r="AE56" i="77" s="1"/>
  <c r="AI56" i="77" s="1"/>
  <c r="AO56" i="77" s="1"/>
  <c r="AS56" i="77" s="1"/>
  <c r="AW56" i="77" s="1"/>
  <c r="BE56" i="77" s="1"/>
  <c r="AZ62" i="77"/>
  <c r="AA49" i="77"/>
  <c r="AE49" i="77" s="1"/>
  <c r="AI49" i="77" s="1"/>
  <c r="AO49" i="77" s="1"/>
  <c r="AS49" i="77" s="1"/>
  <c r="AW49" i="77" s="1"/>
  <c r="BE49" i="77" s="1"/>
  <c r="BC45" i="77"/>
  <c r="AZ46" i="77"/>
  <c r="Q40" i="77"/>
  <c r="U40" i="77" s="1"/>
  <c r="X46" i="77"/>
  <c r="BC40" i="77"/>
  <c r="AL26" i="77"/>
  <c r="P23" i="77"/>
  <c r="T23" i="77" s="1"/>
  <c r="Y26" i="77"/>
  <c r="P22" i="77"/>
  <c r="T22" i="77" s="1"/>
  <c r="P11" i="77"/>
  <c r="T11" i="77" s="1"/>
  <c r="Q29" i="77"/>
  <c r="U29" i="77" s="1"/>
  <c r="Z34" i="77"/>
  <c r="AD34" i="77" s="1"/>
  <c r="AH34" i="77" s="1"/>
  <c r="AN34" i="77" s="1"/>
  <c r="AR34" i="77" s="1"/>
  <c r="AV34" i="77" s="1"/>
  <c r="BD34" i="77" s="1"/>
  <c r="X36" i="77"/>
  <c r="Q50" i="77"/>
  <c r="U50" i="77" s="1"/>
  <c r="AL7" i="77"/>
  <c r="BB4" i="77"/>
  <c r="BC33" i="77"/>
  <c r="AM36" i="77"/>
  <c r="Z9" i="77"/>
  <c r="AD9" i="77" s="1"/>
  <c r="AH9" i="77" s="1"/>
  <c r="AN9" i="77" s="1"/>
  <c r="AR9" i="77" s="1"/>
  <c r="AV9" i="77" s="1"/>
  <c r="BD9" i="77" s="1"/>
  <c r="P9" i="77"/>
  <c r="T9" i="77" s="1"/>
  <c r="P48" i="77"/>
  <c r="T48" i="77" s="1"/>
  <c r="P56" i="77"/>
  <c r="T56" i="77" s="1"/>
  <c r="Z56" i="77"/>
  <c r="AD56" i="77" s="1"/>
  <c r="AH56" i="77" s="1"/>
  <c r="AN56" i="77" s="1"/>
  <c r="AR56" i="77" s="1"/>
  <c r="AV56" i="77" s="1"/>
  <c r="BD56" i="77" s="1"/>
  <c r="M26" i="77"/>
  <c r="Q26" i="77" s="1"/>
  <c r="U26" i="77" s="1"/>
  <c r="Q22" i="77"/>
  <c r="U22" i="77" s="1"/>
  <c r="BB34" i="77"/>
  <c r="AL36" i="77"/>
  <c r="Z35" i="77"/>
  <c r="AD35" i="77" s="1"/>
  <c r="AH35" i="77" s="1"/>
  <c r="AN35" i="77" s="1"/>
  <c r="AR35" i="77" s="1"/>
  <c r="AV35" i="77" s="1"/>
  <c r="BD35" i="77" s="1"/>
  <c r="Q37" i="77"/>
  <c r="U37" i="77" s="1"/>
  <c r="Y62" i="77"/>
  <c r="AA59" i="77"/>
  <c r="AE59" i="77" s="1"/>
  <c r="AI59" i="77" s="1"/>
  <c r="AO59" i="77" s="1"/>
  <c r="AS59" i="77" s="1"/>
  <c r="AW59" i="77" s="1"/>
  <c r="BE59" i="77" s="1"/>
  <c r="AM62" i="77"/>
  <c r="AA34" i="77"/>
  <c r="AE34" i="77" s="1"/>
  <c r="AI34" i="77" s="1"/>
  <c r="AO34" i="77" s="1"/>
  <c r="AS34" i="77" s="1"/>
  <c r="AW34" i="77" s="1"/>
  <c r="BE34" i="77" s="1"/>
  <c r="M36" i="77"/>
  <c r="Q36" i="77" s="1"/>
  <c r="U36" i="77" s="1"/>
  <c r="Q34" i="77"/>
  <c r="U34" i="77" s="1"/>
  <c r="AA19" i="77"/>
  <c r="AA29" i="77"/>
  <c r="AE29" i="77" s="1"/>
  <c r="AI29" i="77" s="1"/>
  <c r="AO29" i="77" s="1"/>
  <c r="AS29" i="77" s="1"/>
  <c r="AW29" i="77" s="1"/>
  <c r="BE29" i="77" s="1"/>
  <c r="BA36" i="77"/>
  <c r="BB11" i="77"/>
  <c r="BC22" i="77"/>
  <c r="BC26" i="77" s="1"/>
  <c r="AZ7" i="77"/>
  <c r="Q49" i="77"/>
  <c r="U49" i="77" s="1"/>
  <c r="P29" i="77"/>
  <c r="T29" i="77" s="1"/>
  <c r="Z29" i="77"/>
  <c r="AD29" i="77" s="1"/>
  <c r="AH29" i="77" s="1"/>
  <c r="AN29" i="77" s="1"/>
  <c r="AR29" i="77" s="1"/>
  <c r="AV29" i="77" s="1"/>
  <c r="BD29" i="77" s="1"/>
  <c r="Y46" i="77"/>
  <c r="P49" i="77"/>
  <c r="T49" i="77" s="1"/>
  <c r="Z49" i="77"/>
  <c r="AD49" i="77" s="1"/>
  <c r="AH49" i="77" s="1"/>
  <c r="AN49" i="77" s="1"/>
  <c r="AR49" i="77" s="1"/>
  <c r="AV49" i="77" s="1"/>
  <c r="BD49" i="77" s="1"/>
  <c r="AL13" i="77"/>
  <c r="BA13" i="77"/>
  <c r="Y36" i="77"/>
  <c r="AA14" i="77"/>
  <c r="AE14" i="77" s="1"/>
  <c r="AI14" i="77" s="1"/>
  <c r="AO14" i="77" s="1"/>
  <c r="AS14" i="77" s="1"/>
  <c r="AW14" i="77" s="1"/>
  <c r="BE14" i="77" s="1"/>
  <c r="BC41" i="77"/>
  <c r="M46" i="77"/>
  <c r="Q46" i="77" s="1"/>
  <c r="U46" i="77" s="1"/>
  <c r="AM21" i="77"/>
  <c r="BC19" i="77"/>
  <c r="BC31" i="77"/>
  <c r="BC35" i="77"/>
  <c r="L36" i="77"/>
  <c r="P36" i="77" s="1"/>
  <c r="T36" i="77" s="1"/>
  <c r="AD37" i="77"/>
  <c r="P53" i="77"/>
  <c r="T53" i="77" s="1"/>
  <c r="Z53" i="77"/>
  <c r="L62" i="77"/>
  <c r="P62" i="77" s="1"/>
  <c r="T62" i="77" s="1"/>
  <c r="Q67" i="77"/>
  <c r="U67" i="77" s="1"/>
  <c r="AA67" i="77"/>
  <c r="AE67" i="77" s="1"/>
  <c r="AI67" i="77" s="1"/>
  <c r="AO67" i="77" s="1"/>
  <c r="AS67" i="77" s="1"/>
  <c r="AW67" i="77" s="1"/>
  <c r="BE67" i="77" s="1"/>
  <c r="Z27" i="77"/>
  <c r="L32" i="77"/>
  <c r="P32" i="77" s="1"/>
  <c r="T32" i="77" s="1"/>
  <c r="M62" i="77"/>
  <c r="Q62" i="77" s="1"/>
  <c r="U62" i="77" s="1"/>
  <c r="Z50" i="77"/>
  <c r="AD50" i="77" s="1"/>
  <c r="AH50" i="77" s="1"/>
  <c r="AN50" i="77" s="1"/>
  <c r="AR50" i="77" s="1"/>
  <c r="AV50" i="77" s="1"/>
  <c r="BD50" i="77" s="1"/>
  <c r="P50" i="77"/>
  <c r="T50" i="77" s="1"/>
  <c r="AA4" i="77"/>
  <c r="BA62" i="77"/>
  <c r="BC56" i="77"/>
  <c r="AA11" i="77"/>
  <c r="AE11" i="77" s="1"/>
  <c r="AI11" i="77" s="1"/>
  <c r="AO11" i="77" s="1"/>
  <c r="AS11" i="77" s="1"/>
  <c r="AW11" i="77" s="1"/>
  <c r="BE11" i="77" s="1"/>
  <c r="Q11" i="77"/>
  <c r="U11" i="77" s="1"/>
  <c r="Q19" i="77"/>
  <c r="U19" i="77" s="1"/>
  <c r="Q35" i="77"/>
  <c r="U35" i="77" s="1"/>
  <c r="AA35" i="77"/>
  <c r="AE35" i="77" s="1"/>
  <c r="AI35" i="77" s="1"/>
  <c r="AO35" i="77" s="1"/>
  <c r="AS35" i="77" s="1"/>
  <c r="AW35" i="77" s="1"/>
  <c r="BE35" i="77" s="1"/>
  <c r="AA53" i="77"/>
  <c r="Q54" i="77"/>
  <c r="U54" i="77" s="1"/>
  <c r="AA54" i="77"/>
  <c r="AE54" i="77" s="1"/>
  <c r="AI54" i="77" s="1"/>
  <c r="AO54" i="77" s="1"/>
  <c r="AS54" i="77" s="1"/>
  <c r="AW54" i="77" s="1"/>
  <c r="BE54" i="77" s="1"/>
  <c r="AM7" i="77"/>
  <c r="L13" i="77"/>
  <c r="P13" i="77" s="1"/>
  <c r="T13" i="77" s="1"/>
  <c r="Q39" i="77"/>
  <c r="U39" i="77" s="1"/>
  <c r="AM46" i="77"/>
  <c r="AA48" i="77"/>
  <c r="AE48" i="77" s="1"/>
  <c r="AI48" i="77" s="1"/>
  <c r="AO48" i="77" s="1"/>
  <c r="AS48" i="77" s="1"/>
  <c r="AW48" i="77" s="1"/>
  <c r="BE48" i="77" s="1"/>
  <c r="Q48" i="77"/>
  <c r="U48" i="77" s="1"/>
  <c r="P54" i="77"/>
  <c r="T54" i="77" s="1"/>
  <c r="Q55" i="77"/>
  <c r="U55" i="77" s="1"/>
  <c r="AA55" i="77"/>
  <c r="AE55" i="77" s="1"/>
  <c r="AI55" i="77" s="1"/>
  <c r="AO55" i="77" s="1"/>
  <c r="AS55" i="77" s="1"/>
  <c r="AW55" i="77" s="1"/>
  <c r="BE55" i="77" s="1"/>
  <c r="Z25" i="77"/>
  <c r="AD25" i="77" s="1"/>
  <c r="AH25" i="77" s="1"/>
  <c r="AN25" i="77" s="1"/>
  <c r="AR25" i="77" s="1"/>
  <c r="AV25" i="77" s="1"/>
  <c r="BD25" i="77" s="1"/>
  <c r="P25" i="77"/>
  <c r="T25" i="77" s="1"/>
  <c r="Z4" i="77"/>
  <c r="BB8" i="77"/>
  <c r="Z10" i="77"/>
  <c r="AA23" i="77"/>
  <c r="AE23" i="77" s="1"/>
  <c r="AI23" i="77" s="1"/>
  <c r="AO23" i="77" s="1"/>
  <c r="AS23" i="77" s="1"/>
  <c r="AW23" i="77" s="1"/>
  <c r="BE23" i="77" s="1"/>
  <c r="Q24" i="77"/>
  <c r="U24" i="77" s="1"/>
  <c r="BC63" i="77"/>
  <c r="Z44" i="77"/>
  <c r="AD44" i="77" s="1"/>
  <c r="AH44" i="77" s="1"/>
  <c r="AN44" i="77" s="1"/>
  <c r="AR44" i="77" s="1"/>
  <c r="AV44" i="77" s="1"/>
  <c r="BD44" i="77" s="1"/>
  <c r="BC44" i="77"/>
  <c r="P45" i="77"/>
  <c r="T45" i="77" s="1"/>
  <c r="Z45" i="77"/>
  <c r="AD45" i="77" s="1"/>
  <c r="AH45" i="77" s="1"/>
  <c r="AN45" i="77" s="1"/>
  <c r="AR45" i="77" s="1"/>
  <c r="AV45" i="77" s="1"/>
  <c r="BD45" i="77" s="1"/>
  <c r="BB54" i="77"/>
  <c r="BC58" i="77"/>
  <c r="AA63" i="77"/>
  <c r="AE63" i="77" s="1"/>
  <c r="AI63" i="77" s="1"/>
  <c r="AO63" i="77" s="1"/>
  <c r="AS63" i="77" s="1"/>
  <c r="AW63" i="77" s="1"/>
  <c r="BE63" i="77" s="1"/>
  <c r="AA66" i="77"/>
  <c r="AE66" i="77" s="1"/>
  <c r="AI66" i="77" s="1"/>
  <c r="AO66" i="77" s="1"/>
  <c r="AS66" i="77" s="1"/>
  <c r="AW66" i="77" s="1"/>
  <c r="BE66" i="77" s="1"/>
  <c r="BB39" i="77"/>
  <c r="AA9" i="77"/>
  <c r="AE9" i="77" s="1"/>
  <c r="AI9" i="77" s="1"/>
  <c r="AO9" i="77" s="1"/>
  <c r="AS9" i="77" s="1"/>
  <c r="AW9" i="77" s="1"/>
  <c r="BE9" i="77" s="1"/>
  <c r="L26" i="77"/>
  <c r="P26" i="77" s="1"/>
  <c r="T26" i="77" s="1"/>
  <c r="AA15" i="77"/>
  <c r="AE15" i="77" s="1"/>
  <c r="AI15" i="77" s="1"/>
  <c r="AO15" i="77" s="1"/>
  <c r="AS15" i="77" s="1"/>
  <c r="AW15" i="77" s="1"/>
  <c r="BE15" i="77" s="1"/>
  <c r="BB28" i="77"/>
  <c r="AL46" i="77"/>
  <c r="Z39" i="77"/>
  <c r="AD39" i="77" s="1"/>
  <c r="AH39" i="77" s="1"/>
  <c r="AN39" i="77" s="1"/>
  <c r="AR39" i="77" s="1"/>
  <c r="AV39" i="77" s="1"/>
  <c r="BD39" i="77" s="1"/>
  <c r="Q43" i="77"/>
  <c r="U43" i="77" s="1"/>
  <c r="AL62" i="77"/>
  <c r="Q63" i="77"/>
  <c r="U63" i="77" s="1"/>
  <c r="BB12" i="77"/>
  <c r="Z42" i="77"/>
  <c r="AD42" i="77" s="1"/>
  <c r="AH42" i="77" s="1"/>
  <c r="AN42" i="77" s="1"/>
  <c r="AR42" i="77" s="1"/>
  <c r="AV42" i="77" s="1"/>
  <c r="BD42" i="77" s="1"/>
  <c r="Z64" i="77"/>
  <c r="AD64" i="77" s="1"/>
  <c r="AH64" i="77" s="1"/>
  <c r="AN64" i="77" s="1"/>
  <c r="AR64" i="77" s="1"/>
  <c r="AV64" i="77" s="1"/>
  <c r="BD64" i="77" s="1"/>
  <c r="P66" i="77"/>
  <c r="T66" i="77" s="1"/>
  <c r="Z66" i="77"/>
  <c r="AD66" i="77" s="1"/>
  <c r="AH66" i="77" s="1"/>
  <c r="AN66" i="77" s="1"/>
  <c r="AR66" i="77" s="1"/>
  <c r="AV66" i="77" s="1"/>
  <c r="BD66" i="77" s="1"/>
  <c r="AZ26" i="77"/>
  <c r="Z41" i="77"/>
  <c r="AD41" i="77" s="1"/>
  <c r="AH41" i="77" s="1"/>
  <c r="AN41" i="77" s="1"/>
  <c r="AR41" i="77" s="1"/>
  <c r="AV41" i="77" s="1"/>
  <c r="BD41" i="77" s="1"/>
  <c r="BB41" i="77"/>
  <c r="Z67" i="77"/>
  <c r="AD67" i="77" s="1"/>
  <c r="AH67" i="77" s="1"/>
  <c r="AN67" i="77" s="1"/>
  <c r="AR67" i="77" s="1"/>
  <c r="AV67" i="77" s="1"/>
  <c r="BD67" i="77" s="1"/>
  <c r="Z52" i="77"/>
  <c r="AD52" i="77" s="1"/>
  <c r="AH52" i="77" s="1"/>
  <c r="AN52" i="77" s="1"/>
  <c r="AR52" i="77" s="1"/>
  <c r="AV52" i="77" s="1"/>
  <c r="BD52" i="77" s="1"/>
  <c r="Z63" i="77"/>
  <c r="AD63" i="77" s="1"/>
  <c r="AH63" i="77" s="1"/>
  <c r="AN63" i="77" s="1"/>
  <c r="AR63" i="77" s="1"/>
  <c r="AV63" i="77" s="1"/>
  <c r="BD63" i="77" s="1"/>
  <c r="AD21" i="77" l="1"/>
  <c r="AH19" i="77"/>
  <c r="AH21" i="77" s="1"/>
  <c r="BC21" i="77"/>
  <c r="BC13" i="77"/>
  <c r="BC46" i="77"/>
  <c r="BC7" i="77"/>
  <c r="BB26" i="77"/>
  <c r="BB62" i="77"/>
  <c r="BC32" i="77"/>
  <c r="AA46" i="77"/>
  <c r="BB13" i="77"/>
  <c r="BB36" i="77"/>
  <c r="BB32" i="77"/>
  <c r="BB7" i="77"/>
  <c r="Z21" i="77"/>
  <c r="BB46" i="77"/>
  <c r="BC62" i="77"/>
  <c r="AA13" i="77"/>
  <c r="AA36" i="77"/>
  <c r="Z13" i="77"/>
  <c r="AD10" i="77"/>
  <c r="AI37" i="77"/>
  <c r="AE46" i="77"/>
  <c r="Z46" i="77"/>
  <c r="AD4" i="77"/>
  <c r="Z7" i="77"/>
  <c r="AE36" i="77"/>
  <c r="AI33" i="77"/>
  <c r="AE32" i="77"/>
  <c r="AI27" i="77"/>
  <c r="AE13" i="77"/>
  <c r="AI10" i="77"/>
  <c r="Z32" i="77"/>
  <c r="AD27" i="77"/>
  <c r="Z26" i="77"/>
  <c r="AA32" i="77"/>
  <c r="AA26" i="77"/>
  <c r="AE53" i="77"/>
  <c r="AA62" i="77"/>
  <c r="AE19" i="77"/>
  <c r="AA21" i="77"/>
  <c r="Z36" i="77"/>
  <c r="AO26" i="77"/>
  <c r="AS22" i="77"/>
  <c r="AD36" i="77"/>
  <c r="AH33" i="77"/>
  <c r="AH26" i="77"/>
  <c r="AH37" i="77"/>
  <c r="AD46" i="77"/>
  <c r="AR26" i="77"/>
  <c r="AV22" i="77"/>
  <c r="AA7" i="77"/>
  <c r="AE4" i="77"/>
  <c r="AI26" i="77"/>
  <c r="BC36" i="77"/>
  <c r="AN26" i="77"/>
  <c r="Z62" i="77"/>
  <c r="AD53" i="77"/>
  <c r="AE26" i="77"/>
  <c r="AD26" i="77"/>
  <c r="AN19" i="77" l="1"/>
  <c r="AN21" i="77" s="1"/>
  <c r="AD62" i="77"/>
  <c r="AH53" i="77"/>
  <c r="AD32" i="77"/>
  <c r="AH27" i="77"/>
  <c r="AO37" i="77"/>
  <c r="AI46" i="77"/>
  <c r="AH10" i="77"/>
  <c r="AD13" i="77"/>
  <c r="AI32" i="77"/>
  <c r="AO27" i="77"/>
  <c r="AE7" i="77"/>
  <c r="AI4" i="77"/>
  <c r="AH46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3" i="77"/>
  <c r="AE62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2" i="77"/>
  <c r="AO53" i="77"/>
  <c r="AH62" i="77"/>
  <c r="AN53" i="77"/>
  <c r="AS33" i="77"/>
  <c r="AO36" i="77"/>
  <c r="AO4" i="77"/>
  <c r="AI7" i="77"/>
  <c r="AR21" i="77"/>
  <c r="AS27" i="77"/>
  <c r="AO32" i="77"/>
  <c r="AO46" i="77"/>
  <c r="AS37" i="77"/>
  <c r="AR33" i="77"/>
  <c r="AN36" i="77"/>
  <c r="AR37" i="77"/>
  <c r="AN46" i="77"/>
  <c r="AO19" i="77"/>
  <c r="AI21" i="77"/>
  <c r="AS10" i="77"/>
  <c r="AO13" i="77"/>
  <c r="AH13" i="77"/>
  <c r="AN10" i="77"/>
  <c r="AN13" i="77" l="1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6" i="77"/>
  <c r="AS36" i="77"/>
  <c r="AW33" i="77"/>
  <c r="AN62" i="77"/>
  <c r="AR53" i="77"/>
  <c r="AR36" i="77"/>
  <c r="AV33" i="77"/>
  <c r="AW37" i="77"/>
  <c r="AS46" i="77"/>
  <c r="AO62" i="77"/>
  <c r="AS53" i="77"/>
  <c r="BD37" i="77" l="1"/>
  <c r="BD46" i="77" s="1"/>
  <c r="AV46" i="77"/>
  <c r="AW53" i="77"/>
  <c r="AS62" i="77"/>
  <c r="BE27" i="77"/>
  <c r="BE32" i="77" s="1"/>
  <c r="AW32" i="77"/>
  <c r="AW46" i="77"/>
  <c r="BE37" i="77"/>
  <c r="BE46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3" i="77"/>
  <c r="AR62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3" i="77"/>
  <c r="BD62" i="77" s="1"/>
  <c r="AV62" i="77"/>
  <c r="AV32" i="77"/>
  <c r="BD27" i="77"/>
  <c r="BD32" i="77" s="1"/>
  <c r="AV13" i="77"/>
  <c r="BD10" i="77"/>
  <c r="BD13" i="77" s="1"/>
  <c r="BE53" i="77"/>
  <c r="BE62" i="77" s="1"/>
  <c r="AW62" i="77"/>
  <c r="BE19" i="77"/>
  <c r="BE21" i="77" s="1"/>
  <c r="AW21" i="77"/>
  <c r="AZ10" i="11" l="1"/>
  <c r="AL25" i="11"/>
  <c r="AD28" i="11"/>
  <c r="X33" i="11"/>
  <c r="X32" i="11"/>
  <c r="X12" i="11"/>
  <c r="P27" i="11"/>
  <c r="P33" i="11"/>
  <c r="L38" i="11"/>
  <c r="AD37" i="10" l="1"/>
  <c r="AD136" i="10"/>
  <c r="AH30" i="10" l="1"/>
  <c r="AH23" i="10"/>
  <c r="T65" i="10"/>
  <c r="L65" i="10" l="1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5" i="45"/>
  <c r="BC26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8" i="45"/>
  <c r="BC59" i="45"/>
  <c r="BC60" i="45"/>
  <c r="BC61" i="45"/>
  <c r="BC62" i="45"/>
  <c r="BC63" i="45"/>
  <c r="BC64" i="45"/>
  <c r="BC65" i="45"/>
  <c r="BC66" i="45"/>
  <c r="BC67" i="45"/>
  <c r="BC68" i="45"/>
  <c r="BC69" i="45"/>
  <c r="BC70" i="45"/>
  <c r="BC71" i="45"/>
  <c r="BC72" i="45"/>
  <c r="BC73" i="45"/>
  <c r="BC74" i="45"/>
  <c r="BC75" i="45"/>
  <c r="BC76" i="45"/>
  <c r="BC77" i="45"/>
  <c r="BC78" i="45"/>
  <c r="BC79" i="45"/>
  <c r="BC80" i="45"/>
  <c r="BC81" i="45"/>
  <c r="BC82" i="45"/>
  <c r="BC83" i="45"/>
  <c r="BC84" i="45"/>
  <c r="BC85" i="45"/>
  <c r="BC86" i="45"/>
  <c r="BC87" i="45"/>
  <c r="AO7" i="45"/>
  <c r="BE7" i="45" s="1"/>
  <c r="AO8" i="45"/>
  <c r="AO9" i="45"/>
  <c r="BE9" i="45" s="1"/>
  <c r="AO10" i="45"/>
  <c r="BE10" i="45" s="1"/>
  <c r="AO11" i="45"/>
  <c r="BE11" i="45" s="1"/>
  <c r="AO12" i="45"/>
  <c r="AO13" i="45"/>
  <c r="AO14" i="45"/>
  <c r="AO15" i="45"/>
  <c r="AO16" i="45"/>
  <c r="AO17" i="45"/>
  <c r="AO18" i="45"/>
  <c r="BE18" i="45" s="1"/>
  <c r="AO19" i="45"/>
  <c r="BE19" i="45" s="1"/>
  <c r="AO20" i="45"/>
  <c r="AO21" i="45"/>
  <c r="BE21" i="45" s="1"/>
  <c r="AO22" i="45"/>
  <c r="AO23" i="45"/>
  <c r="BE23" i="45" s="1"/>
  <c r="AO24" i="45"/>
  <c r="AO25" i="45"/>
  <c r="BE25" i="45" s="1"/>
  <c r="AO26" i="45"/>
  <c r="AO27" i="45"/>
  <c r="AO28" i="45"/>
  <c r="BE28" i="45" s="1"/>
  <c r="AO29" i="45"/>
  <c r="AO30" i="45"/>
  <c r="BE30" i="45" s="1"/>
  <c r="AO31" i="45"/>
  <c r="BE31" i="45" s="1"/>
  <c r="AO32" i="45"/>
  <c r="AO33" i="45"/>
  <c r="BE33" i="45" s="1"/>
  <c r="AO34" i="45"/>
  <c r="BE34" i="45" s="1"/>
  <c r="AO35" i="45"/>
  <c r="BE35" i="45" s="1"/>
  <c r="AO36" i="45"/>
  <c r="AO37" i="45"/>
  <c r="BE37" i="45" s="1"/>
  <c r="AO38" i="45"/>
  <c r="AO39" i="45"/>
  <c r="AO40" i="45"/>
  <c r="BE40" i="45" s="1"/>
  <c r="AO41" i="45"/>
  <c r="BE41" i="45" s="1"/>
  <c r="AO42" i="45"/>
  <c r="BE42" i="45" s="1"/>
  <c r="AO43" i="45"/>
  <c r="BE43" i="45" s="1"/>
  <c r="AO44" i="45"/>
  <c r="AO45" i="45"/>
  <c r="AO46" i="45"/>
  <c r="BE46" i="45" s="1"/>
  <c r="AO47" i="45"/>
  <c r="BE47" i="45" s="1"/>
  <c r="AO48" i="45"/>
  <c r="AO49" i="45"/>
  <c r="AO50" i="45"/>
  <c r="AO51" i="45"/>
  <c r="AO52" i="45"/>
  <c r="BE52" i="45" s="1"/>
  <c r="AO53" i="45"/>
  <c r="AO54" i="45"/>
  <c r="BE54" i="45" s="1"/>
  <c r="AO55" i="45"/>
  <c r="BE55" i="45" s="1"/>
  <c r="AO56" i="45"/>
  <c r="AO57" i="45"/>
  <c r="BE57" i="45" s="1"/>
  <c r="AO58" i="45"/>
  <c r="BE58" i="45" s="1"/>
  <c r="AO59" i="45"/>
  <c r="BE59" i="45" s="1"/>
  <c r="AO60" i="45"/>
  <c r="AO61" i="45"/>
  <c r="BE61" i="45" s="1"/>
  <c r="AO62" i="45"/>
  <c r="AO63" i="45"/>
  <c r="AO64" i="45"/>
  <c r="AO65" i="45"/>
  <c r="BE65" i="45" s="1"/>
  <c r="AO66" i="45"/>
  <c r="AO67" i="45"/>
  <c r="BE67" i="45" s="1"/>
  <c r="AO68" i="45"/>
  <c r="AO69" i="45"/>
  <c r="BE69" i="45" s="1"/>
  <c r="AO70" i="45"/>
  <c r="BE70" i="45" s="1"/>
  <c r="AO71" i="45"/>
  <c r="BE71" i="45" s="1"/>
  <c r="AO72" i="45"/>
  <c r="AO73" i="45"/>
  <c r="BE73" i="45" s="1"/>
  <c r="AO74" i="45"/>
  <c r="AO75" i="45"/>
  <c r="AO76" i="45"/>
  <c r="AO77" i="45"/>
  <c r="AO78" i="45"/>
  <c r="AO79" i="45"/>
  <c r="BE79" i="45" s="1"/>
  <c r="AO80" i="45"/>
  <c r="BE80" i="45" s="1"/>
  <c r="AO81" i="45"/>
  <c r="BE81" i="45" s="1"/>
  <c r="AO82" i="45"/>
  <c r="BE82" i="45" s="1"/>
  <c r="AO83" i="45"/>
  <c r="BE83" i="45" s="1"/>
  <c r="AO84" i="45"/>
  <c r="AO85" i="45"/>
  <c r="BE85" i="45" s="1"/>
  <c r="AO86" i="45"/>
  <c r="AO87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O7" i="45"/>
  <c r="S7" i="45" s="1"/>
  <c r="W7" i="45" s="1"/>
  <c r="O8" i="45"/>
  <c r="S8" i="45" s="1"/>
  <c r="W8" i="45" s="1"/>
  <c r="O9" i="45"/>
  <c r="S9" i="45" s="1"/>
  <c r="W9" i="45" s="1"/>
  <c r="O10" i="45"/>
  <c r="S10" i="45" s="1"/>
  <c r="W10" i="45" s="1"/>
  <c r="O11" i="45"/>
  <c r="S11" i="45" s="1"/>
  <c r="W11" i="45" s="1"/>
  <c r="O12" i="45"/>
  <c r="S12" i="45" s="1"/>
  <c r="W12" i="45" s="1"/>
  <c r="O13" i="45"/>
  <c r="S13" i="45" s="1"/>
  <c r="W13" i="45" s="1"/>
  <c r="O14" i="45"/>
  <c r="S14" i="45" s="1"/>
  <c r="W14" i="45" s="1"/>
  <c r="O15" i="45"/>
  <c r="S15" i="45" s="1"/>
  <c r="W15" i="45" s="1"/>
  <c r="O16" i="45"/>
  <c r="S16" i="45" s="1"/>
  <c r="W16" i="45" s="1"/>
  <c r="O17" i="45"/>
  <c r="S17" i="45" s="1"/>
  <c r="W17" i="45" s="1"/>
  <c r="O18" i="45"/>
  <c r="S18" i="45" s="1"/>
  <c r="W18" i="45" s="1"/>
  <c r="O19" i="45"/>
  <c r="S19" i="45" s="1"/>
  <c r="W19" i="45" s="1"/>
  <c r="O20" i="45"/>
  <c r="S20" i="45" s="1"/>
  <c r="W20" i="45" s="1"/>
  <c r="O21" i="45"/>
  <c r="S21" i="45" s="1"/>
  <c r="W21" i="45" s="1"/>
  <c r="O22" i="45"/>
  <c r="S22" i="45" s="1"/>
  <c r="W22" i="45" s="1"/>
  <c r="O23" i="45"/>
  <c r="S23" i="45" s="1"/>
  <c r="W23" i="45" s="1"/>
  <c r="O24" i="45"/>
  <c r="S24" i="45" s="1"/>
  <c r="W24" i="45" s="1"/>
  <c r="O25" i="45"/>
  <c r="S25" i="45" s="1"/>
  <c r="W25" i="45" s="1"/>
  <c r="O26" i="45"/>
  <c r="S26" i="45" s="1"/>
  <c r="W26" i="45" s="1"/>
  <c r="O27" i="45"/>
  <c r="S27" i="45" s="1"/>
  <c r="W27" i="45" s="1"/>
  <c r="O28" i="45"/>
  <c r="S28" i="45" s="1"/>
  <c r="W28" i="45" s="1"/>
  <c r="O29" i="45"/>
  <c r="S29" i="45" s="1"/>
  <c r="W29" i="45" s="1"/>
  <c r="O30" i="45"/>
  <c r="S30" i="45" s="1"/>
  <c r="W30" i="45" s="1"/>
  <c r="O31" i="45"/>
  <c r="S31" i="45" s="1"/>
  <c r="W31" i="45" s="1"/>
  <c r="O32" i="45"/>
  <c r="S32" i="45" s="1"/>
  <c r="W32" i="45" s="1"/>
  <c r="O33" i="45"/>
  <c r="S33" i="45" s="1"/>
  <c r="W33" i="45" s="1"/>
  <c r="O34" i="45"/>
  <c r="S34" i="45" s="1"/>
  <c r="W34" i="45" s="1"/>
  <c r="O35" i="45"/>
  <c r="S35" i="45" s="1"/>
  <c r="W35" i="45" s="1"/>
  <c r="O36" i="45"/>
  <c r="S36" i="45" s="1"/>
  <c r="W36" i="45" s="1"/>
  <c r="O37" i="45"/>
  <c r="S37" i="45" s="1"/>
  <c r="W37" i="45" s="1"/>
  <c r="O38" i="45"/>
  <c r="S38" i="45" s="1"/>
  <c r="W38" i="45" s="1"/>
  <c r="O39" i="45"/>
  <c r="S39" i="45" s="1"/>
  <c r="W39" i="45" s="1"/>
  <c r="O40" i="45"/>
  <c r="S40" i="45" s="1"/>
  <c r="W40" i="45" s="1"/>
  <c r="O41" i="45"/>
  <c r="S41" i="45" s="1"/>
  <c r="W41" i="45" s="1"/>
  <c r="O42" i="45"/>
  <c r="S42" i="45" s="1"/>
  <c r="W42" i="45" s="1"/>
  <c r="O43" i="45"/>
  <c r="S43" i="45" s="1"/>
  <c r="W43" i="45" s="1"/>
  <c r="O44" i="45"/>
  <c r="S44" i="45" s="1"/>
  <c r="W44" i="45" s="1"/>
  <c r="O45" i="45"/>
  <c r="S45" i="45" s="1"/>
  <c r="W45" i="45" s="1"/>
  <c r="O46" i="45"/>
  <c r="S46" i="45" s="1"/>
  <c r="W46" i="45" s="1"/>
  <c r="O47" i="45"/>
  <c r="S47" i="45" s="1"/>
  <c r="W47" i="45" s="1"/>
  <c r="O48" i="45"/>
  <c r="S48" i="45" s="1"/>
  <c r="W48" i="45" s="1"/>
  <c r="O49" i="45"/>
  <c r="S49" i="45" s="1"/>
  <c r="W49" i="45" s="1"/>
  <c r="O50" i="45"/>
  <c r="S50" i="45" s="1"/>
  <c r="W50" i="45" s="1"/>
  <c r="O51" i="45"/>
  <c r="S51" i="45" s="1"/>
  <c r="W51" i="45" s="1"/>
  <c r="O52" i="45"/>
  <c r="S52" i="45" s="1"/>
  <c r="W52" i="45" s="1"/>
  <c r="O53" i="45"/>
  <c r="O54" i="45"/>
  <c r="S54" i="45" s="1"/>
  <c r="W54" i="45" s="1"/>
  <c r="O55" i="45"/>
  <c r="S55" i="45" s="1"/>
  <c r="W55" i="45" s="1"/>
  <c r="O56" i="45"/>
  <c r="S56" i="45" s="1"/>
  <c r="W56" i="45" s="1"/>
  <c r="O57" i="45"/>
  <c r="S57" i="45" s="1"/>
  <c r="W57" i="45" s="1"/>
  <c r="O58" i="45"/>
  <c r="S58" i="45" s="1"/>
  <c r="W58" i="45" s="1"/>
  <c r="O59" i="45"/>
  <c r="S59" i="45" s="1"/>
  <c r="W59" i="45" s="1"/>
  <c r="O60" i="45"/>
  <c r="O61" i="45"/>
  <c r="S61" i="45" s="1"/>
  <c r="W61" i="45" s="1"/>
  <c r="O62" i="45"/>
  <c r="S62" i="45" s="1"/>
  <c r="W62" i="45" s="1"/>
  <c r="O63" i="45"/>
  <c r="S63" i="45" s="1"/>
  <c r="W63" i="45" s="1"/>
  <c r="O64" i="45"/>
  <c r="O65" i="45"/>
  <c r="S65" i="45" s="1"/>
  <c r="W65" i="45" s="1"/>
  <c r="O66" i="45"/>
  <c r="O67" i="45"/>
  <c r="S67" i="45" s="1"/>
  <c r="W67" i="45" s="1"/>
  <c r="O68" i="45"/>
  <c r="S68" i="45" s="1"/>
  <c r="W68" i="45" s="1"/>
  <c r="O69" i="45"/>
  <c r="S69" i="45" s="1"/>
  <c r="W69" i="45" s="1"/>
  <c r="O70" i="45"/>
  <c r="S70" i="45" s="1"/>
  <c r="W70" i="45" s="1"/>
  <c r="O71" i="45"/>
  <c r="S71" i="45" s="1"/>
  <c r="W71" i="45" s="1"/>
  <c r="O72" i="45"/>
  <c r="S72" i="45" s="1"/>
  <c r="W72" i="45" s="1"/>
  <c r="O73" i="45"/>
  <c r="S73" i="45" s="1"/>
  <c r="W73" i="45" s="1"/>
  <c r="O74" i="45"/>
  <c r="S74" i="45" s="1"/>
  <c r="W74" i="45" s="1"/>
  <c r="O75" i="45"/>
  <c r="S75" i="45" s="1"/>
  <c r="W75" i="45" s="1"/>
  <c r="O76" i="45"/>
  <c r="S76" i="45" s="1"/>
  <c r="W76" i="45" s="1"/>
  <c r="O77" i="45"/>
  <c r="S77" i="45" s="1"/>
  <c r="W77" i="45" s="1"/>
  <c r="O78" i="45"/>
  <c r="S78" i="45" s="1"/>
  <c r="W78" i="45" s="1"/>
  <c r="O79" i="45"/>
  <c r="S79" i="45" s="1"/>
  <c r="W79" i="45" s="1"/>
  <c r="O80" i="45"/>
  <c r="S80" i="45" s="1"/>
  <c r="W80" i="45" s="1"/>
  <c r="O81" i="45"/>
  <c r="S81" i="45" s="1"/>
  <c r="W81" i="45" s="1"/>
  <c r="O82" i="45"/>
  <c r="S82" i="45" s="1"/>
  <c r="W82" i="45" s="1"/>
  <c r="O83" i="45"/>
  <c r="S83" i="45" s="1"/>
  <c r="W83" i="45" s="1"/>
  <c r="O84" i="45"/>
  <c r="S84" i="45" s="1"/>
  <c r="W84" i="45" s="1"/>
  <c r="O85" i="45"/>
  <c r="S85" i="45" s="1"/>
  <c r="W85" i="45" s="1"/>
  <c r="O86" i="45"/>
  <c r="S86" i="45" s="1"/>
  <c r="W86" i="45" s="1"/>
  <c r="O87" i="45"/>
  <c r="S87" i="45" s="1"/>
  <c r="W87" i="45" s="1"/>
  <c r="BE53" i="45" l="1"/>
  <c r="AO140" i="45"/>
  <c r="BE64" i="45"/>
  <c r="BE142" i="45" s="1"/>
  <c r="AO142" i="45"/>
  <c r="BC141" i="45"/>
  <c r="AA141" i="45"/>
  <c r="BC140" i="45"/>
  <c r="BC142" i="45"/>
  <c r="AA142" i="45"/>
  <c r="BE66" i="45"/>
  <c r="AO141" i="45"/>
  <c r="K141" i="45"/>
  <c r="S64" i="45"/>
  <c r="O142" i="45"/>
  <c r="K142" i="45"/>
  <c r="S66" i="45"/>
  <c r="O141" i="45"/>
  <c r="S53" i="45"/>
  <c r="O140" i="45"/>
  <c r="K140" i="45"/>
  <c r="BE68" i="45"/>
  <c r="BE56" i="45"/>
  <c r="BE44" i="45"/>
  <c r="BE32" i="45"/>
  <c r="BE20" i="45"/>
  <c r="BE8" i="45"/>
  <c r="AC49" i="45"/>
  <c r="AC25" i="45"/>
  <c r="AC13" i="45"/>
  <c r="AC24" i="45"/>
  <c r="AC59" i="45"/>
  <c r="AC47" i="45"/>
  <c r="AC23" i="45"/>
  <c r="AC11" i="45"/>
  <c r="AC71" i="45"/>
  <c r="AC58" i="45"/>
  <c r="AC46" i="45"/>
  <c r="AC34" i="45"/>
  <c r="AC10" i="45"/>
  <c r="AC57" i="45"/>
  <c r="AC33" i="45"/>
  <c r="AC21" i="45"/>
  <c r="AC9" i="45"/>
  <c r="AC69" i="45"/>
  <c r="AC55" i="45"/>
  <c r="AC31" i="45"/>
  <c r="AC19" i="45"/>
  <c r="AC63" i="45"/>
  <c r="AC38" i="45"/>
  <c r="AC26" i="45"/>
  <c r="AC14" i="45"/>
  <c r="AC62" i="45"/>
  <c r="AC61" i="45"/>
  <c r="AC48" i="45"/>
  <c r="AC36" i="45"/>
  <c r="AC12" i="45"/>
  <c r="AC56" i="45"/>
  <c r="AC44" i="45"/>
  <c r="AC32" i="45"/>
  <c r="AC20" i="45"/>
  <c r="AC8" i="45"/>
  <c r="BE29" i="45"/>
  <c r="BE17" i="45"/>
  <c r="AC68" i="45"/>
  <c r="BE16" i="45"/>
  <c r="AC67" i="45"/>
  <c r="AC42" i="45"/>
  <c r="AC30" i="45"/>
  <c r="AC18" i="45"/>
  <c r="BE87" i="45"/>
  <c r="BE75" i="45"/>
  <c r="BE63" i="45"/>
  <c r="BE51" i="45"/>
  <c r="BE39" i="45"/>
  <c r="BE27" i="45"/>
  <c r="BE15" i="45"/>
  <c r="AC53" i="45"/>
  <c r="AC41" i="45"/>
  <c r="AC29" i="45"/>
  <c r="AC17" i="45"/>
  <c r="BE86" i="45"/>
  <c r="BE74" i="45"/>
  <c r="BE62" i="45"/>
  <c r="BE50" i="45"/>
  <c r="BE38" i="45"/>
  <c r="BE26" i="45"/>
  <c r="BE14" i="45"/>
  <c r="BE13" i="45"/>
  <c r="AC65" i="45"/>
  <c r="AC52" i="45"/>
  <c r="AC40" i="45"/>
  <c r="AC28" i="45"/>
  <c r="AC16" i="45"/>
  <c r="AC64" i="45"/>
  <c r="AC51" i="45"/>
  <c r="AC39" i="45"/>
  <c r="AC15" i="45"/>
  <c r="BE84" i="45"/>
  <c r="BE72" i="45"/>
  <c r="BE60" i="45"/>
  <c r="BE48" i="45"/>
  <c r="BE36" i="45"/>
  <c r="BE24" i="45"/>
  <c r="BE12" i="45"/>
  <c r="AC73" i="45"/>
  <c r="AC37" i="45"/>
  <c r="AC72" i="45"/>
  <c r="AC50" i="45"/>
  <c r="AC35" i="45"/>
  <c r="BE49" i="45"/>
  <c r="AC70" i="45"/>
  <c r="AC45" i="45"/>
  <c r="BE22" i="45"/>
  <c r="AC43" i="45"/>
  <c r="AC7" i="45"/>
  <c r="BE45" i="45"/>
  <c r="AC66" i="45"/>
  <c r="AC54" i="45"/>
  <c r="AC27" i="45"/>
  <c r="AC85" i="45"/>
  <c r="BE78" i="45"/>
  <c r="BE77" i="45"/>
  <c r="AC81" i="45"/>
  <c r="AC80" i="45"/>
  <c r="AC87" i="45"/>
  <c r="AC75" i="45"/>
  <c r="AC78" i="45"/>
  <c r="AC77" i="45"/>
  <c r="AC86" i="45"/>
  <c r="AC74" i="45"/>
  <c r="AC84" i="45"/>
  <c r="AC83" i="45"/>
  <c r="AC82" i="45"/>
  <c r="AC22" i="45"/>
  <c r="BE76" i="45"/>
  <c r="AC79" i="45"/>
  <c r="AC76" i="45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N9" i="11"/>
  <c r="N10" i="11"/>
  <c r="BE141" i="45" l="1"/>
  <c r="BE140" i="45"/>
  <c r="AC142" i="45"/>
  <c r="W64" i="45"/>
  <c r="W142" i="45" s="1"/>
  <c r="S142" i="45"/>
  <c r="AC141" i="45"/>
  <c r="W66" i="45"/>
  <c r="W141" i="45" s="1"/>
  <c r="S141" i="45"/>
  <c r="W53" i="45"/>
  <c r="F135" i="90"/>
  <c r="H135" i="90"/>
  <c r="J135" i="90"/>
  <c r="L135" i="90"/>
  <c r="N135" i="90"/>
  <c r="P135" i="90"/>
  <c r="R135" i="90"/>
  <c r="T135" i="90"/>
  <c r="V135" i="90"/>
  <c r="X135" i="90"/>
  <c r="Z135" i="90"/>
  <c r="AB135" i="90"/>
  <c r="AD135" i="90"/>
  <c r="AF135" i="90"/>
  <c r="AH135" i="90"/>
  <c r="AJ135" i="90"/>
  <c r="AL135" i="90"/>
  <c r="AN135" i="90"/>
  <c r="AP135" i="90"/>
  <c r="AR135" i="90"/>
  <c r="AT135" i="90"/>
  <c r="AV135" i="90"/>
  <c r="AX135" i="90"/>
  <c r="AZ135" i="90"/>
  <c r="BB135" i="90"/>
  <c r="BD135" i="90"/>
  <c r="F130" i="90"/>
  <c r="H130" i="90"/>
  <c r="J130" i="90"/>
  <c r="L130" i="90"/>
  <c r="N130" i="90"/>
  <c r="P130" i="90"/>
  <c r="R130" i="90"/>
  <c r="T130" i="90"/>
  <c r="V130" i="90"/>
  <c r="X130" i="90"/>
  <c r="Z130" i="90"/>
  <c r="AB130" i="90"/>
  <c r="AD130" i="90"/>
  <c r="AF130" i="90"/>
  <c r="AH130" i="90"/>
  <c r="AJ130" i="90"/>
  <c r="AL130" i="90"/>
  <c r="AN130" i="90"/>
  <c r="AP130" i="90"/>
  <c r="AR130" i="90"/>
  <c r="AT130" i="90"/>
  <c r="AV130" i="90"/>
  <c r="AX130" i="90"/>
  <c r="AZ130" i="90"/>
  <c r="BB130" i="90"/>
  <c r="BD130" i="90"/>
  <c r="F107" i="90"/>
  <c r="H107" i="90"/>
  <c r="J107" i="90"/>
  <c r="L107" i="90"/>
  <c r="N107" i="90"/>
  <c r="P107" i="90"/>
  <c r="R107" i="90"/>
  <c r="T107" i="90"/>
  <c r="V107" i="90"/>
  <c r="X107" i="90"/>
  <c r="Z107" i="90"/>
  <c r="AB107" i="90"/>
  <c r="AD107" i="90"/>
  <c r="AF107" i="90"/>
  <c r="AH107" i="90"/>
  <c r="AJ107" i="90"/>
  <c r="AL107" i="90"/>
  <c r="AN107" i="90"/>
  <c r="AP107" i="90"/>
  <c r="AR107" i="90"/>
  <c r="AT107" i="90"/>
  <c r="AV107" i="90"/>
  <c r="AX107" i="90"/>
  <c r="AZ107" i="90"/>
  <c r="BB107" i="90"/>
  <c r="BD107" i="90"/>
  <c r="BA99" i="90"/>
  <c r="AO99" i="90"/>
  <c r="AS99" i="90" s="1"/>
  <c r="AW99" i="90" s="1"/>
  <c r="AM99" i="90"/>
  <c r="BC99" i="90" s="1"/>
  <c r="AI99" i="90"/>
  <c r="AE99" i="90"/>
  <c r="AA99" i="90"/>
  <c r="Y99" i="90"/>
  <c r="U99" i="90"/>
  <c r="Q99" i="90"/>
  <c r="AY96" i="90"/>
  <c r="AU96" i="90"/>
  <c r="AQ96" i="90"/>
  <c r="AK96" i="90"/>
  <c r="AG96" i="90"/>
  <c r="AC96" i="90"/>
  <c r="W96" i="90"/>
  <c r="S96" i="90"/>
  <c r="O96" i="90"/>
  <c r="K96" i="90"/>
  <c r="G96" i="90"/>
  <c r="M96" i="90" s="1"/>
  <c r="E96" i="90"/>
  <c r="M99" i="90"/>
  <c r="I99" i="90"/>
  <c r="I100" i="90"/>
  <c r="BA97" i="90"/>
  <c r="BA98" i="90"/>
  <c r="BA100" i="90"/>
  <c r="BA103" i="90"/>
  <c r="BA104" i="90"/>
  <c r="AO97" i="90"/>
  <c r="AS97" i="90" s="1"/>
  <c r="AW97" i="90" s="1"/>
  <c r="AO98" i="90"/>
  <c r="AS98" i="90" s="1"/>
  <c r="AW98" i="90" s="1"/>
  <c r="AO100" i="90"/>
  <c r="AS100" i="90" s="1"/>
  <c r="AW100" i="90" s="1"/>
  <c r="AO103" i="90"/>
  <c r="AS103" i="90" s="1"/>
  <c r="AW103" i="90" s="1"/>
  <c r="AO104" i="90"/>
  <c r="AS104" i="90" s="1"/>
  <c r="AW104" i="90" s="1"/>
  <c r="AM97" i="90"/>
  <c r="AM98" i="90"/>
  <c r="BC98" i="90" s="1"/>
  <c r="AM100" i="90"/>
  <c r="BC100" i="90" s="1"/>
  <c r="AM103" i="90"/>
  <c r="AM104" i="90"/>
  <c r="AI97" i="90"/>
  <c r="AI98" i="90"/>
  <c r="AI100" i="90"/>
  <c r="AI103" i="90"/>
  <c r="AI104" i="90"/>
  <c r="AE97" i="90"/>
  <c r="AE98" i="90"/>
  <c r="AE100" i="90"/>
  <c r="AE103" i="90"/>
  <c r="AE104" i="90"/>
  <c r="AA97" i="90"/>
  <c r="AA98" i="90"/>
  <c r="AA100" i="90"/>
  <c r="AA103" i="90"/>
  <c r="AA104" i="90"/>
  <c r="Y97" i="90"/>
  <c r="Y98" i="90"/>
  <c r="Y100" i="90"/>
  <c r="Y103" i="90"/>
  <c r="Y104" i="90"/>
  <c r="U97" i="90"/>
  <c r="U98" i="90"/>
  <c r="U100" i="90"/>
  <c r="U103" i="90"/>
  <c r="U104" i="90"/>
  <c r="Q97" i="90"/>
  <c r="Q98" i="90"/>
  <c r="Q100" i="90"/>
  <c r="Q103" i="90"/>
  <c r="Q104" i="90"/>
  <c r="M97" i="90"/>
  <c r="M98" i="90"/>
  <c r="M100" i="90"/>
  <c r="M103" i="90"/>
  <c r="M104" i="90"/>
  <c r="I103" i="90"/>
  <c r="I104" i="90"/>
  <c r="I97" i="90"/>
  <c r="I98" i="90"/>
  <c r="AY128" i="90"/>
  <c r="AY123" i="90"/>
  <c r="AY120" i="90"/>
  <c r="AY119" i="90"/>
  <c r="AY118" i="90"/>
  <c r="AY117" i="90"/>
  <c r="AY116" i="90"/>
  <c r="AY115" i="90"/>
  <c r="AY114" i="90"/>
  <c r="AY113" i="90"/>
  <c r="AY112" i="90"/>
  <c r="AU128" i="90"/>
  <c r="AU123" i="90"/>
  <c r="AU120" i="90"/>
  <c r="AU119" i="90"/>
  <c r="AU118" i="90"/>
  <c r="AU117" i="90"/>
  <c r="AU116" i="90"/>
  <c r="AU115" i="90"/>
  <c r="AU114" i="90"/>
  <c r="AU113" i="90"/>
  <c r="AU112" i="90"/>
  <c r="AQ128" i="90"/>
  <c r="AQ123" i="90"/>
  <c r="AQ120" i="90"/>
  <c r="AQ119" i="90"/>
  <c r="AQ118" i="90"/>
  <c r="AQ117" i="90"/>
  <c r="AQ116" i="90"/>
  <c r="AQ115" i="90"/>
  <c r="AQ114" i="90"/>
  <c r="AQ113" i="90"/>
  <c r="AQ112" i="90"/>
  <c r="AK128" i="90"/>
  <c r="AK123" i="90"/>
  <c r="AK120" i="90"/>
  <c r="AK119" i="90"/>
  <c r="AK118" i="90"/>
  <c r="AK117" i="90"/>
  <c r="AK116" i="90"/>
  <c r="AK115" i="90"/>
  <c r="AK114" i="90"/>
  <c r="AK113" i="90"/>
  <c r="AK112" i="90"/>
  <c r="AG128" i="90"/>
  <c r="AG123" i="90"/>
  <c r="AG120" i="90"/>
  <c r="AG119" i="90"/>
  <c r="AG118" i="90"/>
  <c r="AG117" i="90"/>
  <c r="AG116" i="90"/>
  <c r="AG115" i="90"/>
  <c r="AG114" i="90"/>
  <c r="AG113" i="90"/>
  <c r="AG112" i="90"/>
  <c r="AC128" i="90"/>
  <c r="AC123" i="90"/>
  <c r="AC120" i="90"/>
  <c r="AC119" i="90"/>
  <c r="AC118" i="90"/>
  <c r="AC117" i="90"/>
  <c r="AC116" i="90"/>
  <c r="AC115" i="90"/>
  <c r="AC114" i="90"/>
  <c r="AC113" i="90"/>
  <c r="AC112" i="90"/>
  <c r="W128" i="90"/>
  <c r="W123" i="90"/>
  <c r="W120" i="90"/>
  <c r="W119" i="90"/>
  <c r="W118" i="90"/>
  <c r="W117" i="90"/>
  <c r="W116" i="90"/>
  <c r="W115" i="90"/>
  <c r="W114" i="90"/>
  <c r="W113" i="90"/>
  <c r="W112" i="90"/>
  <c r="S128" i="90"/>
  <c r="S123" i="90"/>
  <c r="S120" i="90"/>
  <c r="S119" i="90"/>
  <c r="S118" i="90"/>
  <c r="S117" i="90"/>
  <c r="S116" i="90"/>
  <c r="S115" i="90"/>
  <c r="S114" i="90"/>
  <c r="S113" i="90"/>
  <c r="S112" i="90"/>
  <c r="O128" i="90"/>
  <c r="O123" i="90"/>
  <c r="O120" i="90"/>
  <c r="O119" i="90"/>
  <c r="O118" i="90"/>
  <c r="O117" i="90"/>
  <c r="O116" i="90"/>
  <c r="O115" i="90"/>
  <c r="O114" i="90"/>
  <c r="O113" i="90"/>
  <c r="O112" i="90"/>
  <c r="K128" i="90"/>
  <c r="K123" i="90"/>
  <c r="K120" i="90"/>
  <c r="K119" i="90"/>
  <c r="K118" i="90"/>
  <c r="K117" i="90"/>
  <c r="K116" i="90"/>
  <c r="K115" i="90"/>
  <c r="K114" i="90"/>
  <c r="K113" i="90"/>
  <c r="K112" i="90"/>
  <c r="G123" i="90"/>
  <c r="G120" i="90"/>
  <c r="G119" i="90"/>
  <c r="G118" i="90"/>
  <c r="G117" i="90"/>
  <c r="G116" i="90"/>
  <c r="G115" i="90"/>
  <c r="G114" i="90"/>
  <c r="G113" i="90"/>
  <c r="G112" i="90"/>
  <c r="AY105" i="90"/>
  <c r="AU105" i="90"/>
  <c r="AQ105" i="90"/>
  <c r="AK105" i="90"/>
  <c r="AG105" i="90"/>
  <c r="AC105" i="90"/>
  <c r="W105" i="90"/>
  <c r="S105" i="90"/>
  <c r="O105" i="90"/>
  <c r="K105" i="90"/>
  <c r="K133" i="90" s="1"/>
  <c r="G105" i="90"/>
  <c r="G95" i="90"/>
  <c r="E118" i="90"/>
  <c r="E117" i="90"/>
  <c r="E120" i="90"/>
  <c r="E119" i="90"/>
  <c r="BF92" i="8"/>
  <c r="BD92" i="8"/>
  <c r="AX92" i="8"/>
  <c r="AT92" i="8"/>
  <c r="AP92" i="8"/>
  <c r="AN92" i="8"/>
  <c r="AJ92" i="8"/>
  <c r="I96" i="90" l="1"/>
  <c r="O133" i="90"/>
  <c r="Y105" i="90"/>
  <c r="M117" i="90"/>
  <c r="M118" i="90"/>
  <c r="AI117" i="90"/>
  <c r="Y117" i="90"/>
  <c r="AO118" i="90"/>
  <c r="AS118" i="90" s="1"/>
  <c r="AW118" i="90" s="1"/>
  <c r="Q118" i="90"/>
  <c r="U118" i="90"/>
  <c r="Y118" i="90"/>
  <c r="AM118" i="90"/>
  <c r="BA118" i="90"/>
  <c r="BA116" i="90"/>
  <c r="BA117" i="90"/>
  <c r="Q119" i="90"/>
  <c r="Y119" i="90"/>
  <c r="BA119" i="90"/>
  <c r="Q120" i="90"/>
  <c r="I117" i="90"/>
  <c r="AM114" i="90"/>
  <c r="AA118" i="90"/>
  <c r="Y115" i="90"/>
  <c r="BC104" i="90"/>
  <c r="BE104" i="90" s="1"/>
  <c r="BE99" i="90"/>
  <c r="BC97" i="90"/>
  <c r="BE97" i="90" s="1"/>
  <c r="BA96" i="90"/>
  <c r="AM96" i="90"/>
  <c r="AE96" i="90"/>
  <c r="U96" i="90"/>
  <c r="BE98" i="90"/>
  <c r="Y96" i="90"/>
  <c r="AA96" i="90"/>
  <c r="Q96" i="90"/>
  <c r="AI96" i="90"/>
  <c r="AO96" i="90"/>
  <c r="AS96" i="90" s="1"/>
  <c r="AW96" i="90" s="1"/>
  <c r="BA123" i="90"/>
  <c r="AE117" i="90"/>
  <c r="AM116" i="90"/>
  <c r="AM119" i="90"/>
  <c r="AO119" i="90"/>
  <c r="AS119" i="90" s="1"/>
  <c r="AW119" i="90" s="1"/>
  <c r="Y123" i="90"/>
  <c r="AM123" i="90"/>
  <c r="M119" i="90"/>
  <c r="AA119" i="90"/>
  <c r="G121" i="90"/>
  <c r="K121" i="90"/>
  <c r="S133" i="90"/>
  <c r="W133" i="90"/>
  <c r="Y128" i="90"/>
  <c r="AC133" i="90"/>
  <c r="AG133" i="90"/>
  <c r="AK133" i="90"/>
  <c r="AM128" i="90"/>
  <c r="AQ133" i="90"/>
  <c r="AU133" i="90"/>
  <c r="AY133" i="90"/>
  <c r="BA128" i="90"/>
  <c r="I118" i="90"/>
  <c r="AE118" i="90"/>
  <c r="BA115" i="90"/>
  <c r="AA117" i="90"/>
  <c r="I120" i="90"/>
  <c r="M120" i="90"/>
  <c r="S121" i="90"/>
  <c r="W121" i="90"/>
  <c r="AC121" i="90"/>
  <c r="AG121" i="90"/>
  <c r="AK121" i="90"/>
  <c r="AM112" i="90"/>
  <c r="AQ121" i="90"/>
  <c r="AY121" i="90"/>
  <c r="BA112" i="90"/>
  <c r="I119" i="90"/>
  <c r="Y112" i="90"/>
  <c r="AI119" i="90"/>
  <c r="AM105" i="90"/>
  <c r="O121" i="90"/>
  <c r="Y113" i="90"/>
  <c r="AM113" i="90"/>
  <c r="AU121" i="90"/>
  <c r="BA113" i="90"/>
  <c r="AA120" i="90"/>
  <c r="BC103" i="90"/>
  <c r="BE103" i="90" s="1"/>
  <c r="AM115" i="90"/>
  <c r="AE119" i="90"/>
  <c r="Y114" i="90"/>
  <c r="BA114" i="90"/>
  <c r="AI118" i="90"/>
  <c r="Q117" i="90"/>
  <c r="AM117" i="90"/>
  <c r="U117" i="90"/>
  <c r="Y116" i="90"/>
  <c r="BA105" i="90"/>
  <c r="U119" i="90"/>
  <c r="U120" i="90"/>
  <c r="Y120" i="90"/>
  <c r="AE120" i="90"/>
  <c r="AI120" i="90"/>
  <c r="AM120" i="90"/>
  <c r="AO120" i="90"/>
  <c r="AS120" i="90" s="1"/>
  <c r="AW120" i="90" s="1"/>
  <c r="BA120" i="90"/>
  <c r="AO117" i="90"/>
  <c r="AS117" i="90" s="1"/>
  <c r="AW117" i="90" s="1"/>
  <c r="BE100" i="90"/>
  <c r="Y133" i="90" l="1"/>
  <c r="BC120" i="90"/>
  <c r="BC116" i="90"/>
  <c r="BC128" i="90"/>
  <c r="BC117" i="90"/>
  <c r="BE117" i="90" s="1"/>
  <c r="BC118" i="90"/>
  <c r="BE118" i="90"/>
  <c r="BE120" i="90"/>
  <c r="BC114" i="90"/>
  <c r="BC119" i="90"/>
  <c r="BE119" i="90" s="1"/>
  <c r="BC112" i="90"/>
  <c r="BC105" i="90"/>
  <c r="BC96" i="90"/>
  <c r="BE96" i="90" s="1"/>
  <c r="BC115" i="90"/>
  <c r="BA121" i="90"/>
  <c r="AM133" i="90"/>
  <c r="BC123" i="90"/>
  <c r="BC113" i="90"/>
  <c r="AM121" i="90"/>
  <c r="Y121" i="90"/>
  <c r="BA133" i="90"/>
  <c r="BC121" i="90" l="1"/>
  <c r="BC133" i="90"/>
  <c r="BF234" i="28" l="1"/>
  <c r="BB234" i="28"/>
  <c r="BD234" i="28" s="1"/>
  <c r="BB377" i="28"/>
  <c r="BF381" i="28"/>
  <c r="BF403" i="28"/>
  <c r="BB379" i="28"/>
  <c r="BB380" i="28"/>
  <c r="BB381" i="28"/>
  <c r="BB382" i="28"/>
  <c r="BB383" i="28"/>
  <c r="BB384" i="28"/>
  <c r="BB385" i="28"/>
  <c r="BB386" i="28"/>
  <c r="BB387" i="28"/>
  <c r="BB388" i="28"/>
  <c r="BB389" i="28"/>
  <c r="BB390" i="28"/>
  <c r="BB391" i="28"/>
  <c r="BB392" i="28"/>
  <c r="BB393" i="28"/>
  <c r="BB395" i="28"/>
  <c r="BB396" i="28"/>
  <c r="BB397" i="28"/>
  <c r="BB398" i="28"/>
  <c r="BB399" i="28"/>
  <c r="BB400" i="28"/>
  <c r="BB401" i="28"/>
  <c r="BB402" i="28"/>
  <c r="BB403" i="28"/>
  <c r="BD403" i="28" s="1"/>
  <c r="BB404" i="28"/>
  <c r="BB405" i="28"/>
  <c r="BB406" i="28"/>
  <c r="BB407" i="28"/>
  <c r="BB277" i="28"/>
  <c r="BB278" i="28"/>
  <c r="BB279" i="28"/>
  <c r="BD279" i="28" s="1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56" i="28"/>
  <c r="BB236" i="28"/>
  <c r="BB237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18" i="28"/>
  <c r="BB220" i="28"/>
  <c r="BB222" i="28"/>
  <c r="BB224" i="28"/>
  <c r="BB226" i="28"/>
  <c r="BB227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2" i="28"/>
  <c r="AM67" i="39"/>
  <c r="AM66" i="39"/>
  <c r="Y67" i="39"/>
  <c r="Y66" i="39"/>
  <c r="M67" i="39"/>
  <c r="M66" i="39"/>
  <c r="BA67" i="39"/>
  <c r="BA66" i="39"/>
  <c r="BC66" i="39" l="1"/>
  <c r="AA66" i="39"/>
  <c r="BE66" i="39" s="1"/>
  <c r="AA67" i="39"/>
  <c r="BC67" i="39"/>
  <c r="AZ3" i="8"/>
  <c r="BB3" i="8" s="1"/>
  <c r="AV3" i="8"/>
  <c r="AR3" i="8"/>
  <c r="BE67" i="39" l="1"/>
  <c r="BD198" i="6"/>
  <c r="BB198" i="6"/>
  <c r="AZ198" i="6"/>
  <c r="BB157" i="6"/>
  <c r="BD366" i="28"/>
  <c r="BB360" i="28"/>
  <c r="BB361" i="28"/>
  <c r="BD361" i="28" s="1"/>
  <c r="BB362" i="28"/>
  <c r="BB363" i="28"/>
  <c r="BB364" i="28"/>
  <c r="BB365" i="28"/>
  <c r="BB366" i="28"/>
  <c r="BB367" i="28"/>
  <c r="BB368" i="28"/>
  <c r="BB369" i="28"/>
  <c r="BB370" i="28"/>
  <c r="R89" i="28"/>
  <c r="V89" i="28" s="1"/>
  <c r="AN87" i="28"/>
  <c r="BD87" i="28" s="1"/>
  <c r="Z87" i="28"/>
  <c r="N87" i="28"/>
  <c r="R87" i="28" s="1"/>
  <c r="V87" i="28" s="1"/>
  <c r="AB87" i="28" l="1"/>
  <c r="AF87" i="28" s="1"/>
  <c r="AJ87" i="28" s="1"/>
  <c r="AP87" i="28" s="1"/>
  <c r="AT87" i="28" s="1"/>
  <c r="AX87" i="28" s="1"/>
  <c r="BF87" i="28" s="1"/>
  <c r="J60" i="11" l="1"/>
  <c r="J59" i="11"/>
  <c r="AA96" i="45"/>
  <c r="AA95" i="45"/>
  <c r="K96" i="45"/>
  <c r="K95" i="45"/>
  <c r="BA97" i="45" l="1"/>
  <c r="AW97" i="45"/>
  <c r="AS97" i="45"/>
  <c r="AS94" i="45" s="1"/>
  <c r="AM97" i="45"/>
  <c r="AM94" i="45" s="1"/>
  <c r="AI97" i="45"/>
  <c r="AE97" i="45"/>
  <c r="AE94" i="45" s="1"/>
  <c r="Y97" i="45"/>
  <c r="Y94" i="45" s="1"/>
  <c r="U97" i="45"/>
  <c r="U94" i="45" s="1"/>
  <c r="Q97" i="45"/>
  <c r="M97" i="45"/>
  <c r="M94" i="45" s="1"/>
  <c r="G97" i="45"/>
  <c r="BC96" i="45"/>
  <c r="AO96" i="45"/>
  <c r="O96" i="45"/>
  <c r="BC95" i="45"/>
  <c r="AO95" i="45"/>
  <c r="O95" i="45"/>
  <c r="BA94" i="45"/>
  <c r="AW94" i="45"/>
  <c r="AZ61" i="11"/>
  <c r="AA97" i="45" l="1"/>
  <c r="BE96" i="45"/>
  <c r="AO97" i="45"/>
  <c r="S96" i="45"/>
  <c r="W96" i="45" s="1"/>
  <c r="AC96" i="45"/>
  <c r="AC95" i="45"/>
  <c r="AG95" i="45" s="1"/>
  <c r="AK95" i="45" s="1"/>
  <c r="G94" i="45"/>
  <c r="K97" i="45"/>
  <c r="K94" i="45" s="1"/>
  <c r="BC97" i="45"/>
  <c r="BC94" i="45"/>
  <c r="AI94" i="45"/>
  <c r="Q94" i="45"/>
  <c r="O97" i="45"/>
  <c r="S97" i="45" s="1"/>
  <c r="W97" i="45" s="1"/>
  <c r="AA94" i="45"/>
  <c r="BE95" i="45"/>
  <c r="S95" i="45"/>
  <c r="AY129" i="26"/>
  <c r="AX129" i="26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5" i="6"/>
  <c r="BB163" i="6"/>
  <c r="BB190" i="6"/>
  <c r="BB188" i="6"/>
  <c r="BE97" i="45" l="1"/>
  <c r="AO94" i="45"/>
  <c r="AX83" i="26"/>
  <c r="AX114" i="26"/>
  <c r="AX82" i="26"/>
  <c r="AX75" i="26"/>
  <c r="AX56" i="26"/>
  <c r="AX57" i="26"/>
  <c r="AX45" i="26"/>
  <c r="AX12" i="26"/>
  <c r="AX18" i="26" s="1"/>
  <c r="AC97" i="45"/>
  <c r="AC94" i="45" s="1"/>
  <c r="AG96" i="45"/>
  <c r="AK96" i="45" s="1"/>
  <c r="AQ96" i="45" s="1"/>
  <c r="AU96" i="45" s="1"/>
  <c r="AY96" i="45" s="1"/>
  <c r="BG96" i="45" s="1"/>
  <c r="O94" i="45"/>
  <c r="BE94" i="45"/>
  <c r="S94" i="45"/>
  <c r="W95" i="45"/>
  <c r="W94" i="45" s="1"/>
  <c r="AY57" i="26"/>
  <c r="AY51" i="26"/>
  <c r="AY13" i="26"/>
  <c r="AY19" i="26"/>
  <c r="AX85" i="26"/>
  <c r="AX94" i="26" s="1"/>
  <c r="AG97" i="45" l="1"/>
  <c r="AK97" i="45" s="1"/>
  <c r="AQ97" i="45" s="1"/>
  <c r="AU97" i="45" s="1"/>
  <c r="AY97" i="45" s="1"/>
  <c r="BG97" i="45" s="1"/>
  <c r="AX19" i="26"/>
  <c r="AX13" i="26"/>
  <c r="AG94" i="45"/>
  <c r="AQ95" i="45"/>
  <c r="AU95" i="45" s="1"/>
  <c r="AY95" i="45" s="1"/>
  <c r="BG95" i="45" s="1"/>
  <c r="AK94" i="45"/>
  <c r="BA69" i="83"/>
  <c r="BA70" i="83"/>
  <c r="BA71" i="83"/>
  <c r="BA72" i="83"/>
  <c r="BA68" i="83"/>
  <c r="BA51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50" i="83"/>
  <c r="BA46" i="83"/>
  <c r="BA47" i="83"/>
  <c r="BA48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Q94" i="45" l="1"/>
  <c r="BA44" i="83"/>
  <c r="BA73" i="83"/>
  <c r="BA67" i="83"/>
  <c r="BA49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94" i="45"/>
  <c r="BA74" i="83"/>
  <c r="BD16" i="38"/>
  <c r="BD65" i="38" s="1"/>
  <c r="BC89" i="38"/>
  <c r="BC66" i="38" s="1"/>
  <c r="BC98" i="38" s="1"/>
  <c r="BC43" i="38"/>
  <c r="BC40" i="38"/>
  <c r="BC35" i="38"/>
  <c r="BC19" i="38"/>
  <c r="BC18" i="38" s="1"/>
  <c r="BC17" i="38" s="1"/>
  <c r="BC6" i="38"/>
  <c r="BC16" i="38" s="1"/>
  <c r="BD18" i="38"/>
  <c r="BD67" i="38" s="1"/>
  <c r="BD55" i="38"/>
  <c r="BD40" i="38"/>
  <c r="AN109" i="9"/>
  <c r="Z109" i="9"/>
  <c r="N109" i="9"/>
  <c r="R109" i="9" s="1"/>
  <c r="V109" i="9" s="1"/>
  <c r="BB109" i="9"/>
  <c r="BD109" i="9" s="1"/>
  <c r="AB109" i="9" l="1"/>
  <c r="AF109" i="9" s="1"/>
  <c r="AJ109" i="9" s="1"/>
  <c r="AP109" i="9" s="1"/>
  <c r="AT109" i="9" s="1"/>
  <c r="BG94" i="45"/>
  <c r="AY94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6" i="77" l="1"/>
  <c r="BA75" i="77"/>
  <c r="J85" i="77"/>
  <c r="K85" i="77"/>
  <c r="L85" i="77"/>
  <c r="M85" i="77"/>
  <c r="N85" i="77"/>
  <c r="O85" i="77"/>
  <c r="P85" i="77"/>
  <c r="Q85" i="77"/>
  <c r="R85" i="77"/>
  <c r="S85" i="77"/>
  <c r="T85" i="77"/>
  <c r="U85" i="77"/>
  <c r="V85" i="77"/>
  <c r="W85" i="77"/>
  <c r="X85" i="77"/>
  <c r="Y85" i="77"/>
  <c r="Z85" i="77"/>
  <c r="AA85" i="77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I85" i="77" s="1"/>
  <c r="J84" i="77"/>
  <c r="K84" i="77"/>
  <c r="L84" i="77"/>
  <c r="M84" i="77"/>
  <c r="N84" i="77"/>
  <c r="O84" i="77"/>
  <c r="P84" i="77"/>
  <c r="Q84" i="77"/>
  <c r="R84" i="77"/>
  <c r="S84" i="77"/>
  <c r="T84" i="77"/>
  <c r="U84" i="77"/>
  <c r="V84" i="77"/>
  <c r="W84" i="77"/>
  <c r="X84" i="77"/>
  <c r="Y84" i="77"/>
  <c r="Z84" i="77"/>
  <c r="AA84" i="77"/>
  <c r="AB84" i="77"/>
  <c r="AC84" i="77"/>
  <c r="AD84" i="77"/>
  <c r="AE84" i="77"/>
  <c r="AF84" i="77"/>
  <c r="AG84" i="77"/>
  <c r="AH84" i="77"/>
  <c r="AI84" i="77"/>
  <c r="AJ84" i="77"/>
  <c r="AK84" i="77"/>
  <c r="AL84" i="77"/>
  <c r="AM84" i="77"/>
  <c r="AN84" i="77"/>
  <c r="AO84" i="77"/>
  <c r="AP84" i="77"/>
  <c r="AP83" i="77" s="1"/>
  <c r="AQ84" i="77"/>
  <c r="AR84" i="77"/>
  <c r="AS84" i="77"/>
  <c r="AT84" i="77"/>
  <c r="AU84" i="77"/>
  <c r="AV84" i="77"/>
  <c r="AW84" i="77"/>
  <c r="AX84" i="77"/>
  <c r="AY84" i="77"/>
  <c r="AZ84" i="77"/>
  <c r="BA84" i="77"/>
  <c r="BB84" i="77"/>
  <c r="BC84" i="77"/>
  <c r="BD84" i="77"/>
  <c r="BE84" i="77"/>
  <c r="E84" i="77"/>
  <c r="I84" i="77" s="1"/>
  <c r="E72" i="77"/>
  <c r="I72" i="77" s="1"/>
  <c r="J72" i="77"/>
  <c r="K72" i="77"/>
  <c r="L72" i="77"/>
  <c r="M72" i="77"/>
  <c r="N72" i="77"/>
  <c r="O72" i="77"/>
  <c r="P72" i="77"/>
  <c r="Q72" i="77"/>
  <c r="R72" i="77"/>
  <c r="S72" i="77"/>
  <c r="T72" i="77"/>
  <c r="U72" i="77"/>
  <c r="V72" i="77"/>
  <c r="W72" i="77"/>
  <c r="X72" i="77"/>
  <c r="Y72" i="77"/>
  <c r="Z72" i="77"/>
  <c r="AA72" i="77"/>
  <c r="AB72" i="77"/>
  <c r="AC72" i="77"/>
  <c r="AD72" i="77"/>
  <c r="AE72" i="77"/>
  <c r="AF72" i="77"/>
  <c r="AG72" i="77"/>
  <c r="AH72" i="77"/>
  <c r="AI72" i="77"/>
  <c r="AJ72" i="77"/>
  <c r="AK72" i="77"/>
  <c r="AL72" i="77"/>
  <c r="AM72" i="77"/>
  <c r="AN72" i="77"/>
  <c r="AO72" i="77"/>
  <c r="AP72" i="77"/>
  <c r="AQ72" i="77"/>
  <c r="AR72" i="77"/>
  <c r="AS72" i="77"/>
  <c r="AT72" i="77"/>
  <c r="AU72" i="77"/>
  <c r="AV72" i="77"/>
  <c r="AW72" i="77"/>
  <c r="AX72" i="77"/>
  <c r="AY72" i="77"/>
  <c r="AZ72" i="77"/>
  <c r="BA72" i="77"/>
  <c r="BB72" i="77"/>
  <c r="BC72" i="77"/>
  <c r="BD72" i="77"/>
  <c r="BE72" i="77"/>
  <c r="E73" i="77"/>
  <c r="I73" i="77" s="1"/>
  <c r="J73" i="77"/>
  <c r="K73" i="77"/>
  <c r="L73" i="77"/>
  <c r="M73" i="77"/>
  <c r="N73" i="77"/>
  <c r="O73" i="77"/>
  <c r="P73" i="77"/>
  <c r="Q73" i="77"/>
  <c r="R73" i="77"/>
  <c r="S73" i="77"/>
  <c r="T73" i="77"/>
  <c r="U73" i="77"/>
  <c r="V73" i="77"/>
  <c r="W73" i="77"/>
  <c r="X73" i="77"/>
  <c r="Y73" i="77"/>
  <c r="Z73" i="77"/>
  <c r="AA73" i="77"/>
  <c r="AB73" i="77"/>
  <c r="AC73" i="77"/>
  <c r="AD73" i="77"/>
  <c r="AE73" i="77"/>
  <c r="AF73" i="77"/>
  <c r="AG73" i="77"/>
  <c r="AH73" i="77"/>
  <c r="AI73" i="77"/>
  <c r="AJ73" i="77"/>
  <c r="AK73" i="77"/>
  <c r="AL73" i="77"/>
  <c r="AM73" i="77"/>
  <c r="AN73" i="77"/>
  <c r="AO73" i="77"/>
  <c r="AP73" i="77"/>
  <c r="AQ73" i="77"/>
  <c r="AR73" i="77"/>
  <c r="AS73" i="77"/>
  <c r="AT73" i="77"/>
  <c r="AU73" i="77"/>
  <c r="AV73" i="77"/>
  <c r="AW73" i="77"/>
  <c r="AX73" i="77"/>
  <c r="AY73" i="77"/>
  <c r="AZ73" i="77"/>
  <c r="BA73" i="77"/>
  <c r="BB73" i="77"/>
  <c r="BC73" i="77"/>
  <c r="BD73" i="77"/>
  <c r="BE73" i="77"/>
  <c r="J71" i="77"/>
  <c r="K71" i="77"/>
  <c r="L71" i="77"/>
  <c r="M71" i="77"/>
  <c r="N71" i="77"/>
  <c r="O71" i="77"/>
  <c r="P71" i="77"/>
  <c r="Q71" i="77"/>
  <c r="R71" i="77"/>
  <c r="S71" i="77"/>
  <c r="T71" i="77"/>
  <c r="U71" i="77"/>
  <c r="V71" i="77"/>
  <c r="W71" i="77"/>
  <c r="X71" i="77"/>
  <c r="Y71" i="77"/>
  <c r="Z71" i="77"/>
  <c r="AA71" i="77"/>
  <c r="AB71" i="77"/>
  <c r="AC71" i="77"/>
  <c r="AD71" i="77"/>
  <c r="AE71" i="77"/>
  <c r="AE70" i="77" s="1"/>
  <c r="AF71" i="77"/>
  <c r="AG71" i="77"/>
  <c r="AH71" i="77"/>
  <c r="AI71" i="77"/>
  <c r="AJ71" i="77"/>
  <c r="AK71" i="77"/>
  <c r="AL71" i="77"/>
  <c r="AM71" i="77"/>
  <c r="AN71" i="77"/>
  <c r="AO71" i="77"/>
  <c r="AP71" i="77"/>
  <c r="AQ71" i="77"/>
  <c r="AR71" i="77"/>
  <c r="AS71" i="77"/>
  <c r="AT71" i="77"/>
  <c r="AU71" i="77"/>
  <c r="AV71" i="77"/>
  <c r="AW71" i="77"/>
  <c r="AX71" i="77"/>
  <c r="AY71" i="77"/>
  <c r="AZ71" i="77"/>
  <c r="BA71" i="77"/>
  <c r="BB71" i="77"/>
  <c r="BC71" i="77"/>
  <c r="BD71" i="77"/>
  <c r="BE71" i="77"/>
  <c r="E71" i="77"/>
  <c r="I71" i="77" s="1"/>
  <c r="BA89" i="77"/>
  <c r="AP89" i="77"/>
  <c r="AK89" i="77"/>
  <c r="AJ89" i="77"/>
  <c r="AG89" i="77"/>
  <c r="AF89" i="77"/>
  <c r="AC89" i="77"/>
  <c r="W89" i="77"/>
  <c r="V89" i="77"/>
  <c r="S89" i="77"/>
  <c r="R89" i="77"/>
  <c r="O89" i="77"/>
  <c r="L89" i="77"/>
  <c r="K89" i="77"/>
  <c r="X83" i="77"/>
  <c r="R83" i="77"/>
  <c r="BA82" i="77"/>
  <c r="AZ82" i="77"/>
  <c r="AM82" i="77"/>
  <c r="AL82" i="77"/>
  <c r="Y82" i="77"/>
  <c r="X82" i="77"/>
  <c r="M82" i="77"/>
  <c r="L82" i="77"/>
  <c r="P82" i="77" s="1"/>
  <c r="T82" i="77" s="1"/>
  <c r="BA81" i="77"/>
  <c r="AZ81" i="77"/>
  <c r="AM81" i="77"/>
  <c r="AL81" i="77"/>
  <c r="Y81" i="77"/>
  <c r="X81" i="77"/>
  <c r="M81" i="77"/>
  <c r="L81" i="77"/>
  <c r="BA80" i="77"/>
  <c r="AZ80" i="77"/>
  <c r="AM80" i="77"/>
  <c r="AL80" i="77"/>
  <c r="Y80" i="77"/>
  <c r="X80" i="77"/>
  <c r="M80" i="77"/>
  <c r="L80" i="77"/>
  <c r="BA79" i="77"/>
  <c r="AZ79" i="77"/>
  <c r="AM79" i="77"/>
  <c r="AL79" i="77"/>
  <c r="Y79" i="77"/>
  <c r="X79" i="77"/>
  <c r="M79" i="77"/>
  <c r="L79" i="77"/>
  <c r="P79" i="77" s="1"/>
  <c r="T79" i="77" s="1"/>
  <c r="BA78" i="77"/>
  <c r="AZ78" i="77"/>
  <c r="AM78" i="77"/>
  <c r="AL78" i="77"/>
  <c r="Y78" i="77"/>
  <c r="X78" i="77"/>
  <c r="M78" i="77"/>
  <c r="L78" i="77"/>
  <c r="AY77" i="77"/>
  <c r="AX77" i="77"/>
  <c r="AU77" i="77"/>
  <c r="AT77" i="77"/>
  <c r="AQ77" i="77"/>
  <c r="AP77" i="77"/>
  <c r="AK77" i="77"/>
  <c r="AJ77" i="77"/>
  <c r="AG77" i="77"/>
  <c r="AF77" i="77"/>
  <c r="AC77" i="77"/>
  <c r="AB77" i="77"/>
  <c r="W77" i="77"/>
  <c r="V77" i="77"/>
  <c r="S77" i="77"/>
  <c r="R77" i="77"/>
  <c r="O77" i="77"/>
  <c r="N77" i="77"/>
  <c r="K77" i="77"/>
  <c r="J77" i="77"/>
  <c r="E77" i="77"/>
  <c r="I77" i="77" s="1"/>
  <c r="AR76" i="77"/>
  <c r="AV76" i="77" s="1"/>
  <c r="AZ76" i="77" s="1"/>
  <c r="BB76" i="77" s="1"/>
  <c r="AM76" i="77"/>
  <c r="BC76" i="77" s="1"/>
  <c r="AL76" i="77"/>
  <c r="Y76" i="77"/>
  <c r="T76" i="77"/>
  <c r="M76" i="77"/>
  <c r="Q76" i="77" s="1"/>
  <c r="U76" i="77" s="1"/>
  <c r="L76" i="77"/>
  <c r="AM75" i="77"/>
  <c r="BC75" i="77" s="1"/>
  <c r="AL75" i="77"/>
  <c r="Y75" i="77"/>
  <c r="X75" i="77"/>
  <c r="M75" i="77"/>
  <c r="L75" i="77"/>
  <c r="P75" i="77" s="1"/>
  <c r="T75" i="77" s="1"/>
  <c r="BA69" i="77"/>
  <c r="BA68" i="77" s="1"/>
  <c r="AM69" i="77"/>
  <c r="AM68" i="77" s="1"/>
  <c r="Y69" i="77"/>
  <c r="Y68" i="77" s="1"/>
  <c r="X69" i="77"/>
  <c r="X68" i="77" s="1"/>
  <c r="M69" i="77"/>
  <c r="Q69" i="77" s="1"/>
  <c r="U69" i="77" s="1"/>
  <c r="L69" i="77"/>
  <c r="BB68" i="77"/>
  <c r="AZ68" i="77"/>
  <c r="AU68" i="77"/>
  <c r="AT68" i="77"/>
  <c r="AQ68" i="77"/>
  <c r="AP68" i="77"/>
  <c r="AL68" i="77"/>
  <c r="AK68" i="77"/>
  <c r="AJ68" i="77"/>
  <c r="AG68" i="77"/>
  <c r="AF68" i="77"/>
  <c r="AC68" i="77"/>
  <c r="AB68" i="77"/>
  <c r="W68" i="77"/>
  <c r="V68" i="77"/>
  <c r="S68" i="77"/>
  <c r="R68" i="77"/>
  <c r="O68" i="77"/>
  <c r="N68" i="77"/>
  <c r="K68" i="77"/>
  <c r="J68" i="77"/>
  <c r="E68" i="77"/>
  <c r="I68" i="77" s="1"/>
  <c r="D68" i="77"/>
  <c r="H68" i="77" s="1"/>
  <c r="BA137" i="73"/>
  <c r="I138" i="73"/>
  <c r="M138" i="73"/>
  <c r="Y138" i="73"/>
  <c r="AM138" i="73"/>
  <c r="BA138" i="73"/>
  <c r="I139" i="73"/>
  <c r="M139" i="73"/>
  <c r="Q139" i="73" s="1"/>
  <c r="U139" i="73" s="1"/>
  <c r="Y139" i="73"/>
  <c r="AA139" i="73" s="1"/>
  <c r="AE139" i="73" s="1"/>
  <c r="AI139" i="73" s="1"/>
  <c r="AO139" i="73" s="1"/>
  <c r="AS139" i="73" s="1"/>
  <c r="AW139" i="73" s="1"/>
  <c r="BE139" i="73" s="1"/>
  <c r="AM139" i="73"/>
  <c r="BA139" i="73"/>
  <c r="BC139" i="73" s="1"/>
  <c r="I140" i="73"/>
  <c r="M140" i="73"/>
  <c r="Q140" i="73"/>
  <c r="U140" i="73" s="1"/>
  <c r="Y140" i="73"/>
  <c r="AM140" i="73"/>
  <c r="BA140" i="73"/>
  <c r="I141" i="73"/>
  <c r="M141" i="73"/>
  <c r="Q141" i="73" s="1"/>
  <c r="U141" i="73" s="1"/>
  <c r="Y141" i="73"/>
  <c r="AM141" i="73"/>
  <c r="BA141" i="73"/>
  <c r="BC141" i="73" s="1"/>
  <c r="I142" i="73"/>
  <c r="M142" i="73"/>
  <c r="Y142" i="73"/>
  <c r="AM142" i="73"/>
  <c r="BC142" i="73" s="1"/>
  <c r="BA142" i="73"/>
  <c r="I143" i="73"/>
  <c r="M143" i="73"/>
  <c r="AA143" i="73" s="1"/>
  <c r="AE143" i="73" s="1"/>
  <c r="AI143" i="73" s="1"/>
  <c r="AO143" i="73" s="1"/>
  <c r="AS143" i="73" s="1"/>
  <c r="AW143" i="73" s="1"/>
  <c r="BE143" i="73" s="1"/>
  <c r="Y143" i="73"/>
  <c r="AM143" i="73"/>
  <c r="BA143" i="73"/>
  <c r="I144" i="73"/>
  <c r="M144" i="73"/>
  <c r="AA144" i="73" s="1"/>
  <c r="AE144" i="73" s="1"/>
  <c r="AI144" i="73" s="1"/>
  <c r="AO144" i="73" s="1"/>
  <c r="AS144" i="73" s="1"/>
  <c r="AW144" i="73" s="1"/>
  <c r="BE144" i="73" s="1"/>
  <c r="Y144" i="73"/>
  <c r="AM144" i="73"/>
  <c r="BA144" i="73"/>
  <c r="I145" i="73"/>
  <c r="M145" i="73"/>
  <c r="AA145" i="73" s="1"/>
  <c r="AE145" i="73" s="1"/>
  <c r="AI145" i="73" s="1"/>
  <c r="AO145" i="73" s="1"/>
  <c r="AS145" i="73" s="1"/>
  <c r="AW145" i="73" s="1"/>
  <c r="BE145" i="73" s="1"/>
  <c r="Q145" i="73"/>
  <c r="U145" i="73" s="1"/>
  <c r="Y145" i="73"/>
  <c r="AM145" i="73"/>
  <c r="BA145" i="73"/>
  <c r="BC145" i="73" s="1"/>
  <c r="I146" i="73"/>
  <c r="M146" i="73"/>
  <c r="Q146" i="73" s="1"/>
  <c r="U146" i="73" s="1"/>
  <c r="Y146" i="73"/>
  <c r="AI146" i="73"/>
  <c r="AO146" i="73" s="1"/>
  <c r="AS146" i="73" s="1"/>
  <c r="AW146" i="73" s="1"/>
  <c r="BE146" i="73" s="1"/>
  <c r="AM146" i="73"/>
  <c r="BA146" i="73"/>
  <c r="I147" i="73"/>
  <c r="M147" i="73"/>
  <c r="Y147" i="73"/>
  <c r="AM147" i="73"/>
  <c r="BA147" i="73"/>
  <c r="I148" i="73"/>
  <c r="M148" i="73"/>
  <c r="Y148" i="73"/>
  <c r="AM148" i="73"/>
  <c r="BC148" i="73" s="1"/>
  <c r="BA148" i="73"/>
  <c r="I149" i="73"/>
  <c r="M149" i="73"/>
  <c r="AA149" i="73" s="1"/>
  <c r="AE149" i="73" s="1"/>
  <c r="AI149" i="73" s="1"/>
  <c r="AO149" i="73" s="1"/>
  <c r="AS149" i="73" s="1"/>
  <c r="AW149" i="73" s="1"/>
  <c r="BE149" i="73" s="1"/>
  <c r="Y149" i="73"/>
  <c r="AM149" i="73"/>
  <c r="BA149" i="73"/>
  <c r="BC149" i="73" s="1"/>
  <c r="I150" i="73"/>
  <c r="M150" i="73"/>
  <c r="Q150" i="73" s="1"/>
  <c r="U150" i="73" s="1"/>
  <c r="Y150" i="73"/>
  <c r="AM150" i="73"/>
  <c r="BA150" i="73"/>
  <c r="I151" i="73"/>
  <c r="M151" i="73"/>
  <c r="Y151" i="73"/>
  <c r="AM151" i="73"/>
  <c r="BC151" i="73" s="1"/>
  <c r="M152" i="73"/>
  <c r="Y152" i="73"/>
  <c r="AM152" i="73"/>
  <c r="BC152" i="73" s="1"/>
  <c r="M153" i="73"/>
  <c r="U153" i="73"/>
  <c r="Y153" i="73"/>
  <c r="AM153" i="73"/>
  <c r="BC153" i="73" s="1"/>
  <c r="M154" i="73"/>
  <c r="U154" i="73"/>
  <c r="Y154" i="73"/>
  <c r="AM154" i="73"/>
  <c r="BC154" i="73" s="1"/>
  <c r="M155" i="73"/>
  <c r="U155" i="73"/>
  <c r="Y155" i="73"/>
  <c r="AM155" i="73"/>
  <c r="BC155" i="73" s="1"/>
  <c r="M156" i="73"/>
  <c r="U156" i="73"/>
  <c r="Y156" i="73"/>
  <c r="AA156" i="73" s="1"/>
  <c r="AE156" i="73" s="1"/>
  <c r="AI156" i="73" s="1"/>
  <c r="AO156" i="73" s="1"/>
  <c r="AS156" i="73" s="1"/>
  <c r="AW156" i="73" s="1"/>
  <c r="BE156" i="73" s="1"/>
  <c r="AM156" i="73"/>
  <c r="BC156" i="73" s="1"/>
  <c r="M157" i="73"/>
  <c r="AA157" i="73" s="1"/>
  <c r="AE157" i="73" s="1"/>
  <c r="AI157" i="73" s="1"/>
  <c r="AO157" i="73" s="1"/>
  <c r="AS157" i="73" s="1"/>
  <c r="AW157" i="73" s="1"/>
  <c r="BE157" i="73" s="1"/>
  <c r="U157" i="73"/>
  <c r="Y157" i="73"/>
  <c r="AM157" i="73"/>
  <c r="BC157" i="73" s="1"/>
  <c r="M158" i="73"/>
  <c r="U158" i="73"/>
  <c r="Y158" i="73"/>
  <c r="AM158" i="73"/>
  <c r="BC158" i="73" s="1"/>
  <c r="M159" i="73"/>
  <c r="U159" i="73"/>
  <c r="Y159" i="73"/>
  <c r="AM159" i="73"/>
  <c r="BC159" i="73" s="1"/>
  <c r="M160" i="73"/>
  <c r="U160" i="73"/>
  <c r="Y160" i="73"/>
  <c r="AM160" i="73"/>
  <c r="BC160" i="73" s="1"/>
  <c r="I161" i="73"/>
  <c r="M161" i="73"/>
  <c r="Y161" i="73"/>
  <c r="AM161" i="73"/>
  <c r="BA161" i="73"/>
  <c r="I162" i="73"/>
  <c r="M162" i="73"/>
  <c r="Q162" i="73" s="1"/>
  <c r="U162" i="73" s="1"/>
  <c r="Y162" i="73"/>
  <c r="AM162" i="73"/>
  <c r="BC162" i="73" s="1"/>
  <c r="BA162" i="73"/>
  <c r="I163" i="73"/>
  <c r="M163" i="73"/>
  <c r="Y163" i="73"/>
  <c r="AM163" i="73"/>
  <c r="BA163" i="73"/>
  <c r="I164" i="73"/>
  <c r="M164" i="73"/>
  <c r="Q164" i="73"/>
  <c r="U164" i="73" s="1"/>
  <c r="Y164" i="73"/>
  <c r="AM164" i="73"/>
  <c r="BA164" i="73"/>
  <c r="I165" i="73"/>
  <c r="M165" i="73"/>
  <c r="Y165" i="73"/>
  <c r="AM165" i="73"/>
  <c r="BA165" i="73"/>
  <c r="I166" i="73"/>
  <c r="M166" i="73"/>
  <c r="Q166" i="73"/>
  <c r="U166" i="73" s="1"/>
  <c r="Y166" i="73"/>
  <c r="AM166" i="73"/>
  <c r="BA166" i="73"/>
  <c r="I167" i="73"/>
  <c r="M167" i="73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Y169" i="73"/>
  <c r="AM169" i="73"/>
  <c r="BA169" i="73"/>
  <c r="I170" i="73"/>
  <c r="M170" i="73"/>
  <c r="Q170" i="73" s="1"/>
  <c r="U170" i="73" s="1"/>
  <c r="Y170" i="73"/>
  <c r="AM170" i="73"/>
  <c r="BC170" i="73" s="1"/>
  <c r="BA170" i="73"/>
  <c r="I171" i="73"/>
  <c r="M171" i="73"/>
  <c r="Y171" i="73"/>
  <c r="AM171" i="73"/>
  <c r="BA171" i="73"/>
  <c r="I172" i="73"/>
  <c r="M172" i="73"/>
  <c r="Y172" i="73"/>
  <c r="AM172" i="73"/>
  <c r="BA172" i="73"/>
  <c r="I173" i="73"/>
  <c r="M173" i="73"/>
  <c r="Y173" i="73"/>
  <c r="AM173" i="73"/>
  <c r="BA173" i="73"/>
  <c r="I174" i="73"/>
  <c r="M174" i="73"/>
  <c r="Q174" i="73" s="1"/>
  <c r="U174" i="73" s="1"/>
  <c r="Y174" i="73"/>
  <c r="AM174" i="73"/>
  <c r="BA174" i="73"/>
  <c r="AA169" i="73" l="1"/>
  <c r="AE169" i="73" s="1"/>
  <c r="AI169" i="73" s="1"/>
  <c r="AO169" i="73" s="1"/>
  <c r="AS169" i="73" s="1"/>
  <c r="AW169" i="73" s="1"/>
  <c r="BE169" i="73" s="1"/>
  <c r="AA152" i="73"/>
  <c r="AE152" i="73" s="1"/>
  <c r="AI152" i="73" s="1"/>
  <c r="AO152" i="73" s="1"/>
  <c r="AS152" i="73" s="1"/>
  <c r="AW152" i="73" s="1"/>
  <c r="BE152" i="73" s="1"/>
  <c r="BC140" i="73"/>
  <c r="BC138" i="73"/>
  <c r="BC166" i="73"/>
  <c r="AA158" i="73"/>
  <c r="AE158" i="73" s="1"/>
  <c r="AI158" i="73" s="1"/>
  <c r="AO158" i="73" s="1"/>
  <c r="AS158" i="73" s="1"/>
  <c r="AW158" i="73" s="1"/>
  <c r="BE158" i="73" s="1"/>
  <c r="AA148" i="73"/>
  <c r="AE148" i="73" s="1"/>
  <c r="AI148" i="73" s="1"/>
  <c r="AO148" i="73" s="1"/>
  <c r="AS148" i="73" s="1"/>
  <c r="AW148" i="73" s="1"/>
  <c r="BE148" i="73" s="1"/>
  <c r="BC167" i="73"/>
  <c r="AA138" i="73"/>
  <c r="AE138" i="73" s="1"/>
  <c r="AI138" i="73" s="1"/>
  <c r="AO138" i="73" s="1"/>
  <c r="AS138" i="73" s="1"/>
  <c r="AW138" i="73" s="1"/>
  <c r="BE138" i="73" s="1"/>
  <c r="BC172" i="73"/>
  <c r="BC174" i="73"/>
  <c r="AA172" i="73"/>
  <c r="AE172" i="73" s="1"/>
  <c r="AI172" i="73" s="1"/>
  <c r="AO172" i="73" s="1"/>
  <c r="AS172" i="73" s="1"/>
  <c r="AW172" i="73" s="1"/>
  <c r="BE172" i="73" s="1"/>
  <c r="BC168" i="73"/>
  <c r="AA164" i="73"/>
  <c r="AE164" i="73" s="1"/>
  <c r="AI164" i="73" s="1"/>
  <c r="AO164" i="73" s="1"/>
  <c r="AS164" i="73" s="1"/>
  <c r="AW164" i="73" s="1"/>
  <c r="BE164" i="73" s="1"/>
  <c r="BC144" i="73"/>
  <c r="AA140" i="73"/>
  <c r="AE140" i="73" s="1"/>
  <c r="AI140" i="73" s="1"/>
  <c r="AO140" i="73" s="1"/>
  <c r="AS140" i="73" s="1"/>
  <c r="AW140" i="73" s="1"/>
  <c r="BE140" i="73" s="1"/>
  <c r="BC171" i="73"/>
  <c r="AA163" i="73"/>
  <c r="AE163" i="73" s="1"/>
  <c r="AI163" i="73" s="1"/>
  <c r="AO163" i="73" s="1"/>
  <c r="AS163" i="73" s="1"/>
  <c r="AW163" i="73" s="1"/>
  <c r="BE163" i="73" s="1"/>
  <c r="AA173" i="73"/>
  <c r="AE173" i="73" s="1"/>
  <c r="AI173" i="73" s="1"/>
  <c r="AO173" i="73" s="1"/>
  <c r="AS173" i="73" s="1"/>
  <c r="AW173" i="73" s="1"/>
  <c r="BE173" i="73" s="1"/>
  <c r="AA166" i="73"/>
  <c r="AE166" i="73" s="1"/>
  <c r="AI166" i="73" s="1"/>
  <c r="AO166" i="73" s="1"/>
  <c r="AS166" i="73" s="1"/>
  <c r="AW166" i="73" s="1"/>
  <c r="BE166" i="73" s="1"/>
  <c r="BC147" i="73"/>
  <c r="Q143" i="73"/>
  <c r="U143" i="73" s="1"/>
  <c r="AA142" i="73"/>
  <c r="AE142" i="73" s="1"/>
  <c r="AI142" i="73" s="1"/>
  <c r="AO142" i="73" s="1"/>
  <c r="AS142" i="73" s="1"/>
  <c r="AW142" i="73" s="1"/>
  <c r="BE142" i="73" s="1"/>
  <c r="Q138" i="73"/>
  <c r="U138" i="73" s="1"/>
  <c r="AA141" i="73"/>
  <c r="AE141" i="73" s="1"/>
  <c r="AI141" i="73" s="1"/>
  <c r="AO141" i="73" s="1"/>
  <c r="AS141" i="73" s="1"/>
  <c r="AW141" i="73" s="1"/>
  <c r="BE141" i="73" s="1"/>
  <c r="AV83" i="77"/>
  <c r="AU83" i="77"/>
  <c r="AU86" i="77" s="1"/>
  <c r="AU88" i="77" s="1"/>
  <c r="AI83" i="77"/>
  <c r="W83" i="77"/>
  <c r="W86" i="77" s="1"/>
  <c r="W88" i="77" s="1"/>
  <c r="K83" i="77"/>
  <c r="AA159" i="73"/>
  <c r="AE159" i="73" s="1"/>
  <c r="AI159" i="73" s="1"/>
  <c r="AO159" i="73" s="1"/>
  <c r="AS159" i="73" s="1"/>
  <c r="AW159" i="73" s="1"/>
  <c r="BE159" i="73" s="1"/>
  <c r="AA154" i="73"/>
  <c r="AE154" i="73" s="1"/>
  <c r="AI154" i="73" s="1"/>
  <c r="AO154" i="73" s="1"/>
  <c r="AS154" i="73" s="1"/>
  <c r="AW154" i="73" s="1"/>
  <c r="BE154" i="73" s="1"/>
  <c r="BC169" i="73"/>
  <c r="Q169" i="73"/>
  <c r="U169" i="73" s="1"/>
  <c r="BC161" i="73"/>
  <c r="AA151" i="73"/>
  <c r="AE151" i="73" s="1"/>
  <c r="AI151" i="73" s="1"/>
  <c r="AO151" i="73" s="1"/>
  <c r="AS151" i="73" s="1"/>
  <c r="AW151" i="73" s="1"/>
  <c r="BE151" i="73" s="1"/>
  <c r="AA146" i="73"/>
  <c r="BC173" i="73"/>
  <c r="AA171" i="73"/>
  <c r="AE171" i="73" s="1"/>
  <c r="AI171" i="73" s="1"/>
  <c r="AO171" i="73" s="1"/>
  <c r="AS171" i="73" s="1"/>
  <c r="AW171" i="73" s="1"/>
  <c r="BE171" i="73" s="1"/>
  <c r="AA167" i="73"/>
  <c r="AE167" i="73" s="1"/>
  <c r="AI167" i="73" s="1"/>
  <c r="AO167" i="73" s="1"/>
  <c r="AS167" i="73" s="1"/>
  <c r="AW167" i="73" s="1"/>
  <c r="BE167" i="73" s="1"/>
  <c r="BC163" i="73"/>
  <c r="AA161" i="73"/>
  <c r="AE161" i="73" s="1"/>
  <c r="AI161" i="73" s="1"/>
  <c r="AO161" i="73" s="1"/>
  <c r="AS161" i="73" s="1"/>
  <c r="AW161" i="73" s="1"/>
  <c r="BE161" i="73" s="1"/>
  <c r="AA165" i="73"/>
  <c r="AE165" i="73" s="1"/>
  <c r="AI165" i="73" s="1"/>
  <c r="AO165" i="73" s="1"/>
  <c r="AS165" i="73" s="1"/>
  <c r="AW165" i="73" s="1"/>
  <c r="BE165" i="73" s="1"/>
  <c r="AA153" i="73"/>
  <c r="AE153" i="73" s="1"/>
  <c r="AI153" i="73" s="1"/>
  <c r="AO153" i="73" s="1"/>
  <c r="AS153" i="73" s="1"/>
  <c r="AW153" i="73" s="1"/>
  <c r="BE153" i="73" s="1"/>
  <c r="BC150" i="73"/>
  <c r="AA147" i="73"/>
  <c r="AE147" i="73" s="1"/>
  <c r="AI147" i="73" s="1"/>
  <c r="AO147" i="73" s="1"/>
  <c r="AS147" i="73" s="1"/>
  <c r="AW147" i="73" s="1"/>
  <c r="BE147" i="73" s="1"/>
  <c r="Q144" i="73"/>
  <c r="U144" i="73" s="1"/>
  <c r="AA168" i="73"/>
  <c r="AE168" i="73" s="1"/>
  <c r="AI168" i="73" s="1"/>
  <c r="AO168" i="73" s="1"/>
  <c r="AS168" i="73" s="1"/>
  <c r="AW168" i="73" s="1"/>
  <c r="BE168" i="73" s="1"/>
  <c r="BC164" i="73"/>
  <c r="AA160" i="73"/>
  <c r="AE160" i="73" s="1"/>
  <c r="AI160" i="73" s="1"/>
  <c r="AO160" i="73" s="1"/>
  <c r="AS160" i="73" s="1"/>
  <c r="AW160" i="73" s="1"/>
  <c r="BE160" i="73" s="1"/>
  <c r="AA155" i="73"/>
  <c r="AE155" i="73" s="1"/>
  <c r="AI155" i="73" s="1"/>
  <c r="AO155" i="73" s="1"/>
  <c r="AS155" i="73" s="1"/>
  <c r="AW155" i="73" s="1"/>
  <c r="BE155" i="73" s="1"/>
  <c r="AA150" i="73"/>
  <c r="AE150" i="73" s="1"/>
  <c r="AI150" i="73" s="1"/>
  <c r="AO150" i="73" s="1"/>
  <c r="AS150" i="73" s="1"/>
  <c r="AW150" i="73" s="1"/>
  <c r="BE150" i="73" s="1"/>
  <c r="BC143" i="73"/>
  <c r="Q148" i="73"/>
  <c r="U148" i="73" s="1"/>
  <c r="BC146" i="73"/>
  <c r="Q142" i="73"/>
  <c r="U142" i="73" s="1"/>
  <c r="AC70" i="77"/>
  <c r="AC74" i="77" s="1"/>
  <c r="AF83" i="77"/>
  <c r="AF86" i="77" s="1"/>
  <c r="AF88" i="77" s="1"/>
  <c r="Z83" i="77"/>
  <c r="BC79" i="77"/>
  <c r="AF70" i="77"/>
  <c r="AF74" i="77" s="1"/>
  <c r="AA170" i="73"/>
  <c r="AE170" i="73" s="1"/>
  <c r="AI170" i="73" s="1"/>
  <c r="AO170" i="73" s="1"/>
  <c r="AS170" i="73" s="1"/>
  <c r="AW170" i="73" s="1"/>
  <c r="BE170" i="73" s="1"/>
  <c r="Z81" i="77"/>
  <c r="AD81" i="77" s="1"/>
  <c r="AH81" i="77" s="1"/>
  <c r="AN81" i="77" s="1"/>
  <c r="AR81" i="77" s="1"/>
  <c r="AV81" i="77" s="1"/>
  <c r="BD81" i="77" s="1"/>
  <c r="BB78" i="77"/>
  <c r="BB83" i="77"/>
  <c r="AD83" i="77"/>
  <c r="BE89" i="77"/>
  <c r="BD76" i="77"/>
  <c r="AL77" i="77"/>
  <c r="Z80" i="77"/>
  <c r="AD80" i="77" s="1"/>
  <c r="AV70" i="77"/>
  <c r="X70" i="77"/>
  <c r="X74" i="77" s="1"/>
  <c r="L70" i="77"/>
  <c r="T83" i="77"/>
  <c r="Q172" i="73"/>
  <c r="U172" i="73" s="1"/>
  <c r="Q171" i="73"/>
  <c r="U171" i="73" s="1"/>
  <c r="AA174" i="73"/>
  <c r="AE174" i="73" s="1"/>
  <c r="AI174" i="73" s="1"/>
  <c r="AO174" i="73" s="1"/>
  <c r="AS174" i="73" s="1"/>
  <c r="AW174" i="73" s="1"/>
  <c r="BE174" i="73" s="1"/>
  <c r="Q173" i="73"/>
  <c r="U173" i="73" s="1"/>
  <c r="AA162" i="73"/>
  <c r="AE162" i="73" s="1"/>
  <c r="AI162" i="73" s="1"/>
  <c r="AO162" i="73" s="1"/>
  <c r="AS162" i="73" s="1"/>
  <c r="AW162" i="73" s="1"/>
  <c r="BE162" i="73" s="1"/>
  <c r="Q163" i="73"/>
  <c r="U163" i="73" s="1"/>
  <c r="Q161" i="73"/>
  <c r="U161" i="73" s="1"/>
  <c r="L83" i="77"/>
  <c r="Z69" i="77"/>
  <c r="Z68" i="77" s="1"/>
  <c r="BC82" i="77"/>
  <c r="AD70" i="77"/>
  <c r="AU70" i="77"/>
  <c r="AI70" i="77"/>
  <c r="W70" i="77"/>
  <c r="W74" i="77" s="1"/>
  <c r="BA83" i="77"/>
  <c r="AO83" i="77"/>
  <c r="AC83" i="77"/>
  <c r="AC86" i="77" s="1"/>
  <c r="AC88" i="77" s="1"/>
  <c r="Q83" i="77"/>
  <c r="BB81" i="77"/>
  <c r="AW70" i="77"/>
  <c r="AS83" i="77"/>
  <c r="Z78" i="77"/>
  <c r="AD78" i="77" s="1"/>
  <c r="K70" i="77"/>
  <c r="E70" i="77"/>
  <c r="AM83" i="77"/>
  <c r="BC78" i="77"/>
  <c r="BB70" i="77"/>
  <c r="BB74" i="77" s="1"/>
  <c r="AP70" i="77"/>
  <c r="AP74" i="77" s="1"/>
  <c r="AX83" i="77"/>
  <c r="AX86" i="77" s="1"/>
  <c r="AX88" i="77" s="1"/>
  <c r="AL83" i="77"/>
  <c r="N83" i="77"/>
  <c r="N86" i="77" s="1"/>
  <c r="N88" i="77" s="1"/>
  <c r="Y77" i="77"/>
  <c r="AO70" i="77"/>
  <c r="Q167" i="73"/>
  <c r="U167" i="73" s="1"/>
  <c r="BC165" i="73"/>
  <c r="Q165" i="73"/>
  <c r="U165" i="73" s="1"/>
  <c r="AA75" i="77"/>
  <c r="AE75" i="77" s="1"/>
  <c r="AI75" i="77" s="1"/>
  <c r="AO75" i="77" s="1"/>
  <c r="AS75" i="77" s="1"/>
  <c r="AW75" i="77" s="1"/>
  <c r="BE75" i="77" s="1"/>
  <c r="X77" i="77"/>
  <c r="X86" i="77" s="1"/>
  <c r="X88" i="77" s="1"/>
  <c r="P80" i="77"/>
  <c r="T80" i="77" s="1"/>
  <c r="AP86" i="77"/>
  <c r="AP88" i="77" s="1"/>
  <c r="AA70" i="77"/>
  <c r="AX70" i="77"/>
  <c r="AX74" i="77" s="1"/>
  <c r="Q75" i="77"/>
  <c r="U75" i="77" s="1"/>
  <c r="Z82" i="77"/>
  <c r="AD82" i="77" s="1"/>
  <c r="AH82" i="77" s="1"/>
  <c r="AN82" i="77" s="1"/>
  <c r="AR82" i="77" s="1"/>
  <c r="AV82" i="77" s="1"/>
  <c r="BD82" i="77" s="1"/>
  <c r="Z79" i="77"/>
  <c r="AD79" i="77" s="1"/>
  <c r="AH79" i="77" s="1"/>
  <c r="AN79" i="77" s="1"/>
  <c r="AR79" i="77" s="1"/>
  <c r="AV79" i="77" s="1"/>
  <c r="BD79" i="77" s="1"/>
  <c r="BB82" i="77"/>
  <c r="AG70" i="77"/>
  <c r="AG74" i="77" s="1"/>
  <c r="O70" i="77"/>
  <c r="O74" i="77" s="1"/>
  <c r="R70" i="77"/>
  <c r="R74" i="77" s="1"/>
  <c r="AZ77" i="77"/>
  <c r="BA77" i="77"/>
  <c r="P81" i="77"/>
  <c r="T81" i="77" s="1"/>
  <c r="BD70" i="77"/>
  <c r="AR70" i="77"/>
  <c r="Z70" i="77"/>
  <c r="T70" i="77"/>
  <c r="AL89" i="77"/>
  <c r="AK70" i="77"/>
  <c r="AK74" i="77" s="1"/>
  <c r="M70" i="77"/>
  <c r="K86" i="77"/>
  <c r="K88" i="77" s="1"/>
  <c r="AY83" i="77"/>
  <c r="AY86" i="77" s="1"/>
  <c r="AY88" i="77" s="1"/>
  <c r="AG83" i="77"/>
  <c r="AG86" i="77" s="1"/>
  <c r="AG88" i="77" s="1"/>
  <c r="U83" i="77"/>
  <c r="O83" i="77"/>
  <c r="O86" i="77" s="1"/>
  <c r="BD83" i="77"/>
  <c r="AR83" i="77"/>
  <c r="AJ83" i="77"/>
  <c r="AJ86" i="77" s="1"/>
  <c r="AJ88" i="77" s="1"/>
  <c r="BE83" i="77"/>
  <c r="E83" i="77"/>
  <c r="I83" i="77" s="1"/>
  <c r="BE70" i="77"/>
  <c r="AL70" i="77"/>
  <c r="AL74" i="77" s="1"/>
  <c r="N70" i="77"/>
  <c r="N74" i="77" s="1"/>
  <c r="BC70" i="77"/>
  <c r="AQ70" i="77"/>
  <c r="AQ74" i="77" s="1"/>
  <c r="Y70" i="77"/>
  <c r="Y74" i="77" s="1"/>
  <c r="S70" i="77"/>
  <c r="S74" i="77" s="1"/>
  <c r="AJ70" i="77"/>
  <c r="AJ74" i="77" s="1"/>
  <c r="U70" i="77"/>
  <c r="AM70" i="77"/>
  <c r="AM74" i="77" s="1"/>
  <c r="AY70" i="77"/>
  <c r="AY74" i="77" s="1"/>
  <c r="AM77" i="77"/>
  <c r="P69" i="77"/>
  <c r="T69" i="77" s="1"/>
  <c r="BC69" i="77"/>
  <c r="BC68" i="77" s="1"/>
  <c r="P78" i="77"/>
  <c r="T78" i="77" s="1"/>
  <c r="BB79" i="77"/>
  <c r="BC80" i="77"/>
  <c r="L77" i="77"/>
  <c r="BC81" i="77"/>
  <c r="M77" i="77"/>
  <c r="M68" i="77"/>
  <c r="Q68" i="77" s="1"/>
  <c r="R86" i="77"/>
  <c r="R88" i="77" s="1"/>
  <c r="M89" i="77"/>
  <c r="AH78" i="77"/>
  <c r="AU74" i="77"/>
  <c r="AA69" i="77"/>
  <c r="S83" i="77"/>
  <c r="S86" i="77" s="1"/>
  <c r="S88" i="77" s="1"/>
  <c r="AE83" i="77"/>
  <c r="AK83" i="77"/>
  <c r="AK86" i="77" s="1"/>
  <c r="AK88" i="77" s="1"/>
  <c r="AW83" i="77"/>
  <c r="K74" i="77"/>
  <c r="J70" i="77"/>
  <c r="J74" i="77" s="1"/>
  <c r="V70" i="77"/>
  <c r="V74" i="77" s="1"/>
  <c r="AB70" i="77"/>
  <c r="AB74" i="77" s="1"/>
  <c r="AN70" i="77"/>
  <c r="AT70" i="77"/>
  <c r="AT74" i="77" s="1"/>
  <c r="Q70" i="77"/>
  <c r="BA70" i="77"/>
  <c r="BA74" i="77" s="1"/>
  <c r="Z75" i="77"/>
  <c r="AD75" i="77" s="1"/>
  <c r="AH75" i="77" s="1"/>
  <c r="AN75" i="77" s="1"/>
  <c r="AR75" i="77" s="1"/>
  <c r="AV75" i="77" s="1"/>
  <c r="AA76" i="77"/>
  <c r="AE76" i="77" s="1"/>
  <c r="AI76" i="77" s="1"/>
  <c r="AO76" i="77" s="1"/>
  <c r="AS76" i="77" s="1"/>
  <c r="AW76" i="77" s="1"/>
  <c r="BE76" i="77" s="1"/>
  <c r="Y89" i="77"/>
  <c r="AM89" i="77"/>
  <c r="BC89" i="77" s="1"/>
  <c r="AA82" i="77"/>
  <c r="AE82" i="77" s="1"/>
  <c r="AI82" i="77" s="1"/>
  <c r="AO82" i="77" s="1"/>
  <c r="AS82" i="77" s="1"/>
  <c r="AW82" i="77" s="1"/>
  <c r="BE82" i="77" s="1"/>
  <c r="Q82" i="77"/>
  <c r="U82" i="77" s="1"/>
  <c r="AA79" i="77"/>
  <c r="AE79" i="77" s="1"/>
  <c r="AI79" i="77" s="1"/>
  <c r="AO79" i="77" s="1"/>
  <c r="AS79" i="77" s="1"/>
  <c r="AW79" i="77" s="1"/>
  <c r="BE79" i="77" s="1"/>
  <c r="Q79" i="77"/>
  <c r="U79" i="77" s="1"/>
  <c r="AH80" i="77"/>
  <c r="AA78" i="77"/>
  <c r="Q78" i="77"/>
  <c r="D74" i="77"/>
  <c r="H74" i="77" s="1"/>
  <c r="L68" i="77"/>
  <c r="AS70" i="77"/>
  <c r="AA81" i="77"/>
  <c r="AE81" i="77" s="1"/>
  <c r="AI81" i="77" s="1"/>
  <c r="AO81" i="77" s="1"/>
  <c r="AS81" i="77" s="1"/>
  <c r="AW81" i="77" s="1"/>
  <c r="BE81" i="77" s="1"/>
  <c r="Q81" i="77"/>
  <c r="U81" i="77" s="1"/>
  <c r="AQ83" i="77"/>
  <c r="AQ86" i="77" s="1"/>
  <c r="AQ88" i="77" s="1"/>
  <c r="BC83" i="77"/>
  <c r="P70" i="77"/>
  <c r="AH70" i="77"/>
  <c r="AZ70" i="77"/>
  <c r="AZ74" i="77" s="1"/>
  <c r="BB80" i="77"/>
  <c r="J83" i="77"/>
  <c r="J86" i="77" s="1"/>
  <c r="J88" i="77" s="1"/>
  <c r="P83" i="77"/>
  <c r="V83" i="77"/>
  <c r="V86" i="77" s="1"/>
  <c r="V88" i="77" s="1"/>
  <c r="AH83" i="77"/>
  <c r="AN83" i="77"/>
  <c r="AT83" i="77"/>
  <c r="AT86" i="77" s="1"/>
  <c r="AT88" i="77" s="1"/>
  <c r="AZ83" i="77"/>
  <c r="AA80" i="77"/>
  <c r="AE80" i="77" s="1"/>
  <c r="Q80" i="77"/>
  <c r="AB83" i="77"/>
  <c r="AB86" i="77" s="1"/>
  <c r="AB88" i="77" s="1"/>
  <c r="Q151" i="73"/>
  <c r="U151" i="73" s="1"/>
  <c r="Q149" i="73"/>
  <c r="U149" i="73" s="1"/>
  <c r="Q147" i="73"/>
  <c r="U147" i="73" s="1"/>
  <c r="BA191" i="73"/>
  <c r="BA192" i="73"/>
  <c r="BA193" i="73"/>
  <c r="BA194" i="73"/>
  <c r="BA195" i="73"/>
  <c r="BA196" i="73"/>
  <c r="BA197" i="73"/>
  <c r="BA198" i="73"/>
  <c r="BF110" i="45"/>
  <c r="BB110" i="45"/>
  <c r="E74" i="77" l="1"/>
  <c r="I74" i="77" s="1"/>
  <c r="I70" i="77"/>
  <c r="AA89" i="77"/>
  <c r="T89" i="77"/>
  <c r="BA86" i="77"/>
  <c r="BA88" i="77" s="1"/>
  <c r="AM86" i="77"/>
  <c r="AM88" i="77" s="1"/>
  <c r="Z74" i="77"/>
  <c r="AD69" i="77"/>
  <c r="AD68" i="77" s="1"/>
  <c r="AD74" i="77" s="1"/>
  <c r="BC77" i="77"/>
  <c r="BC86" i="77" s="1"/>
  <c r="BC88" i="77" s="1"/>
  <c r="AL86" i="77"/>
  <c r="AL88" i="77" s="1"/>
  <c r="T77" i="77"/>
  <c r="T86" i="77" s="1"/>
  <c r="T88" i="77" s="1"/>
  <c r="AZ75" i="77"/>
  <c r="BB75" i="77" s="1"/>
  <c r="BD75" i="77"/>
  <c r="P77" i="77"/>
  <c r="P86" i="77" s="1"/>
  <c r="L86" i="77"/>
  <c r="L88" i="77" s="1"/>
  <c r="M74" i="77"/>
  <c r="Z77" i="77"/>
  <c r="Z86" i="77" s="1"/>
  <c r="Z88" i="77" s="1"/>
  <c r="AD77" i="77"/>
  <c r="AD86" i="77" s="1"/>
  <c r="AZ86" i="77"/>
  <c r="AZ88" i="77" s="1"/>
  <c r="AD89" i="77"/>
  <c r="BB77" i="77"/>
  <c r="BB86" i="77" s="1"/>
  <c r="BB88" i="77" s="1"/>
  <c r="P89" i="77"/>
  <c r="M83" i="77"/>
  <c r="BC74" i="77"/>
  <c r="AH77" i="77"/>
  <c r="AH86" i="77" s="1"/>
  <c r="AN78" i="77"/>
  <c r="P68" i="77"/>
  <c r="L74" i="77"/>
  <c r="AH89" i="77"/>
  <c r="AN89" i="77" s="1"/>
  <c r="AR89" i="77" s="1"/>
  <c r="AN80" i="77"/>
  <c r="AR80" i="77" s="1"/>
  <c r="AV80" i="77" s="1"/>
  <c r="BD80" i="77" s="1"/>
  <c r="AE69" i="77"/>
  <c r="AA68" i="77"/>
  <c r="AA74" i="77" s="1"/>
  <c r="Q89" i="77"/>
  <c r="U80" i="77"/>
  <c r="U89" i="77" s="1"/>
  <c r="Y86" i="77"/>
  <c r="Y88" i="77" s="1"/>
  <c r="O88" i="77"/>
  <c r="AI80" i="77"/>
  <c r="AE89" i="77"/>
  <c r="Q77" i="77"/>
  <c r="Q86" i="77" s="1"/>
  <c r="U78" i="77"/>
  <c r="Y83" i="77"/>
  <c r="AA77" i="77"/>
  <c r="AE78" i="77"/>
  <c r="U68" i="77"/>
  <c r="U74" i="77" s="1"/>
  <c r="Q74" i="77"/>
  <c r="AX10" i="11"/>
  <c r="BE74" i="11"/>
  <c r="BA74" i="11"/>
  <c r="BB60" i="11"/>
  <c r="BB59" i="11"/>
  <c r="BE168" i="10"/>
  <c r="BA168" i="10"/>
  <c r="AH69" i="77" l="1"/>
  <c r="P88" i="77"/>
  <c r="BE88" i="77"/>
  <c r="AD88" i="77"/>
  <c r="AH88" i="77"/>
  <c r="M86" i="77"/>
  <c r="AA86" i="77" s="1"/>
  <c r="AA88" i="77" s="1"/>
  <c r="AA83" i="77"/>
  <c r="AN69" i="77"/>
  <c r="AH68" i="77"/>
  <c r="AH74" i="77" s="1"/>
  <c r="AI89" i="77"/>
  <c r="AO89" i="77" s="1"/>
  <c r="AS89" i="77" s="1"/>
  <c r="AO80" i="77"/>
  <c r="AS80" i="77" s="1"/>
  <c r="AW80" i="77" s="1"/>
  <c r="BE80" i="77" s="1"/>
  <c r="P74" i="77"/>
  <c r="T68" i="77"/>
  <c r="T74" i="77" s="1"/>
  <c r="AR78" i="77"/>
  <c r="AN77" i="77"/>
  <c r="AN86" i="77" s="1"/>
  <c r="AN88" i="77" s="1"/>
  <c r="AE68" i="77"/>
  <c r="AE74" i="77" s="1"/>
  <c r="AI69" i="77"/>
  <c r="AE77" i="77"/>
  <c r="AE86" i="77" s="1"/>
  <c r="AE88" i="77" s="1"/>
  <c r="AI78" i="77"/>
  <c r="U77" i="77"/>
  <c r="U86" i="77" s="1"/>
  <c r="U88" i="77" s="1"/>
  <c r="Q88" i="77"/>
  <c r="BB225" i="6"/>
  <c r="BD225" i="6" s="1"/>
  <c r="J225" i="6"/>
  <c r="N225" i="6"/>
  <c r="R225" i="6" s="1"/>
  <c r="V225" i="6" s="1"/>
  <c r="Z225" i="6"/>
  <c r="AN225" i="6"/>
  <c r="Y130" i="6"/>
  <c r="Z130" i="6"/>
  <c r="AB130" i="6" s="1"/>
  <c r="AA130" i="6"/>
  <c r="BA112" i="6"/>
  <c r="BB112" i="6"/>
  <c r="BA94" i="6"/>
  <c r="BB94" i="6"/>
  <c r="M88" i="77" l="1"/>
  <c r="AB225" i="6"/>
  <c r="AO69" i="77"/>
  <c r="AI68" i="77"/>
  <c r="AI74" i="77" s="1"/>
  <c r="AR77" i="77"/>
  <c r="AR86" i="77" s="1"/>
  <c r="AR88" i="77" s="1"/>
  <c r="AV78" i="77"/>
  <c r="BD78" i="77" s="1"/>
  <c r="AI77" i="77"/>
  <c r="AI86" i="77" s="1"/>
  <c r="AI88" i="77" s="1"/>
  <c r="AO78" i="77"/>
  <c r="AR69" i="77"/>
  <c r="AN68" i="77"/>
  <c r="AN74" i="77" s="1"/>
  <c r="AF225" i="6"/>
  <c r="AJ225" i="6"/>
  <c r="AP225" i="6" s="1"/>
  <c r="AT225" i="6" s="1"/>
  <c r="AX225" i="6" s="1"/>
  <c r="BF225" i="6" s="1"/>
  <c r="AR68" i="77" l="1"/>
  <c r="AR74" i="77" s="1"/>
  <c r="AV69" i="77"/>
  <c r="AO68" i="77"/>
  <c r="AO74" i="77" s="1"/>
  <c r="AS69" i="77"/>
  <c r="AS78" i="77"/>
  <c r="AO77" i="77"/>
  <c r="AO86" i="77" s="1"/>
  <c r="AO88" i="77" s="1"/>
  <c r="AV77" i="77"/>
  <c r="AV86" i="77" s="1"/>
  <c r="AV88" i="77" s="1"/>
  <c r="BD77" i="77"/>
  <c r="BD86" i="77" s="1"/>
  <c r="BD88" i="77" s="1"/>
  <c r="AZ43" i="7"/>
  <c r="AV43" i="7"/>
  <c r="AR43" i="7"/>
  <c r="AL43" i="7"/>
  <c r="AH43" i="7"/>
  <c r="AD43" i="7"/>
  <c r="X43" i="7"/>
  <c r="T43" i="7"/>
  <c r="P43" i="7"/>
  <c r="L43" i="7"/>
  <c r="AV68" i="77" l="1"/>
  <c r="AV74" i="77" s="1"/>
  <c r="BD69" i="77"/>
  <c r="BD68" i="77" s="1"/>
  <c r="BD74" i="77" s="1"/>
  <c r="AW78" i="77"/>
  <c r="BE78" i="77" s="1"/>
  <c r="AS77" i="77"/>
  <c r="AS86" i="77" s="1"/>
  <c r="AS88" i="77" s="1"/>
  <c r="AS68" i="77"/>
  <c r="AS74" i="77" s="1"/>
  <c r="AW69" i="77"/>
  <c r="BE69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68" i="77" l="1"/>
  <c r="BE74" i="77" s="1"/>
  <c r="AW68" i="77"/>
  <c r="AW74" i="77" s="1"/>
  <c r="BE77" i="77"/>
  <c r="BE86" i="77" s="1"/>
  <c r="AW77" i="77"/>
  <c r="AW86" i="77" s="1"/>
  <c r="AW88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5" i="17"/>
  <c r="AX113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Y115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29" i="50"/>
  <c r="BD111" i="50"/>
  <c r="BD89" i="50"/>
  <c r="BD77" i="50"/>
  <c r="BD53" i="50"/>
  <c r="BD46" i="50"/>
  <c r="BD38" i="50"/>
  <c r="BC88" i="50"/>
  <c r="BC87" i="50"/>
  <c r="BC86" i="50"/>
  <c r="BC85" i="50"/>
  <c r="BC84" i="50"/>
  <c r="BC83" i="50"/>
  <c r="BC82" i="50"/>
  <c r="BC81" i="50"/>
  <c r="BC80" i="50"/>
  <c r="BC79" i="50"/>
  <c r="BC78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1" i="50"/>
  <c r="BC59" i="50"/>
  <c r="BC58" i="50"/>
  <c r="BC57" i="50"/>
  <c r="BC56" i="50"/>
  <c r="BC55" i="50"/>
  <c r="BC54" i="50"/>
  <c r="BA138" i="50"/>
  <c r="BA136" i="50"/>
  <c r="BA135" i="50"/>
  <c r="BA131" i="50"/>
  <c r="BF129" i="50"/>
  <c r="AZ129" i="50"/>
  <c r="AZ127" i="50"/>
  <c r="AZ126" i="50"/>
  <c r="AZ125" i="50"/>
  <c r="BA121" i="50"/>
  <c r="BF111" i="50"/>
  <c r="AZ111" i="50"/>
  <c r="BA109" i="50"/>
  <c r="AZ109" i="50"/>
  <c r="BA108" i="50"/>
  <c r="AZ108" i="50"/>
  <c r="BA107" i="50"/>
  <c r="AZ107" i="50"/>
  <c r="BF99" i="50"/>
  <c r="AZ99" i="50"/>
  <c r="BA98" i="50"/>
  <c r="BA97" i="50"/>
  <c r="BF89" i="50"/>
  <c r="BA89" i="50"/>
  <c r="BA132" i="50" s="1"/>
  <c r="AZ89" i="50"/>
  <c r="BF77" i="50"/>
  <c r="BA77" i="50"/>
  <c r="BA122" i="50" s="1"/>
  <c r="AZ77" i="50"/>
  <c r="BF53" i="50"/>
  <c r="AZ53" i="50"/>
  <c r="BA52" i="50"/>
  <c r="BA51" i="50"/>
  <c r="BA50" i="50"/>
  <c r="BA49" i="50"/>
  <c r="BA48" i="50"/>
  <c r="BA47" i="50"/>
  <c r="BF46" i="50"/>
  <c r="AZ46" i="50"/>
  <c r="BF38" i="50"/>
  <c r="AZ38" i="50"/>
  <c r="BD90" i="50" l="1"/>
  <c r="BC89" i="50"/>
  <c r="AX33" i="17"/>
  <c r="AY33" i="17"/>
  <c r="AY11" i="17"/>
  <c r="AY15" i="17"/>
  <c r="BA38" i="50"/>
  <c r="BA104" i="50" s="1"/>
  <c r="BA16" i="61"/>
  <c r="AY31" i="15"/>
  <c r="AY35" i="15" s="1"/>
  <c r="AX59" i="17"/>
  <c r="AX60" i="17" s="1"/>
  <c r="AX50" i="17"/>
  <c r="AX54" i="17"/>
  <c r="AX117" i="17"/>
  <c r="AX114" i="17"/>
  <c r="AY51" i="17"/>
  <c r="AY55" i="17" s="1"/>
  <c r="AY54" i="17"/>
  <c r="AY112" i="17"/>
  <c r="AY34" i="17"/>
  <c r="AY31" i="17"/>
  <c r="AY30" i="17"/>
  <c r="AY32" i="17"/>
  <c r="AY60" i="17"/>
  <c r="AY114" i="17"/>
  <c r="AX62" i="17"/>
  <c r="AX112" i="17"/>
  <c r="AX31" i="17"/>
  <c r="AX34" i="17"/>
  <c r="AY45" i="17"/>
  <c r="BC77" i="50"/>
  <c r="AZ100" i="50"/>
  <c r="BF100" i="50"/>
  <c r="BA110" i="50"/>
  <c r="AZ90" i="50"/>
  <c r="BF90" i="50"/>
  <c r="BA53" i="50"/>
  <c r="BA118" i="50" s="1"/>
  <c r="BA133" i="50"/>
  <c r="BA123" i="50"/>
  <c r="BA46" i="50"/>
  <c r="BA114" i="50" s="1"/>
  <c r="BA124" i="50"/>
  <c r="BA134" i="50"/>
  <c r="AY15" i="15" l="1"/>
  <c r="AY16" i="15" s="1"/>
  <c r="AX116" i="17"/>
  <c r="AY113" i="17"/>
  <c r="AY117" i="17" s="1"/>
  <c r="AY116" i="17"/>
  <c r="BA90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BA125" i="45"/>
  <c r="BA124" i="45"/>
  <c r="BA122" i="45"/>
  <c r="BA116" i="45"/>
  <c r="BA117" i="45" s="1"/>
  <c r="BA111" i="45"/>
  <c r="AZ111" i="45"/>
  <c r="BA110" i="45"/>
  <c r="AZ110" i="45"/>
  <c r="BA109" i="45"/>
  <c r="AZ109" i="45"/>
  <c r="BA108" i="45"/>
  <c r="AZ108" i="45"/>
  <c r="BA106" i="45"/>
  <c r="BA104" i="45"/>
  <c r="AZ104" i="45"/>
  <c r="BA102" i="45"/>
  <c r="AZ102" i="45"/>
  <c r="BA99" i="45"/>
  <c r="BA100" i="45" s="1"/>
  <c r="AZ99" i="45"/>
  <c r="AZ100" i="45" s="1"/>
  <c r="BA90" i="45"/>
  <c r="BA89" i="45"/>
  <c r="AZ89" i="45"/>
  <c r="AZ92" i="45" s="1"/>
  <c r="BA88" i="45"/>
  <c r="AZ88" i="11"/>
  <c r="AZ86" i="11"/>
  <c r="AZ80" i="11"/>
  <c r="AZ87" i="11" s="1"/>
  <c r="AZ75" i="11"/>
  <c r="AY75" i="11"/>
  <c r="AZ74" i="11"/>
  <c r="AY74" i="11"/>
  <c r="AZ73" i="11"/>
  <c r="AY73" i="11"/>
  <c r="AZ72" i="11"/>
  <c r="AY72" i="11"/>
  <c r="AZ70" i="11"/>
  <c r="AZ68" i="11"/>
  <c r="AY68" i="11"/>
  <c r="AZ66" i="11"/>
  <c r="AY66" i="11"/>
  <c r="AZ63" i="11"/>
  <c r="AZ64" i="11" s="1"/>
  <c r="AY63" i="11"/>
  <c r="AY64" i="11" s="1"/>
  <c r="AZ58" i="11"/>
  <c r="AZ56" i="11"/>
  <c r="AZ54" i="11"/>
  <c r="AZ90" i="11" s="1"/>
  <c r="AZ53" i="11"/>
  <c r="BA113" i="50" s="1"/>
  <c r="BA115" i="50" s="1"/>
  <c r="AY53" i="11"/>
  <c r="AY55" i="11" s="1"/>
  <c r="AZ52" i="11"/>
  <c r="AZ89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2" i="10"/>
  <c r="BB23" i="10"/>
  <c r="BB24" i="10"/>
  <c r="BB25" i="10"/>
  <c r="BB26" i="10"/>
  <c r="BD26" i="10" s="1"/>
  <c r="BB27" i="10"/>
  <c r="BB28" i="10"/>
  <c r="BB29" i="10"/>
  <c r="BB30" i="10"/>
  <c r="BB31" i="10"/>
  <c r="BB32" i="10"/>
  <c r="BB33" i="10"/>
  <c r="BB34" i="10"/>
  <c r="BB35" i="10"/>
  <c r="BB36" i="10"/>
  <c r="BB37" i="10"/>
  <c r="BB38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3" i="10"/>
  <c r="BB54" i="10"/>
  <c r="BB55" i="10"/>
  <c r="BB58" i="10"/>
  <c r="BB59" i="10"/>
  <c r="BB60" i="10"/>
  <c r="BB61" i="10"/>
  <c r="BB62" i="10"/>
  <c r="BB63" i="10"/>
  <c r="BB64" i="10"/>
  <c r="BB65" i="10"/>
  <c r="BB66" i="10"/>
  <c r="BB67" i="10"/>
  <c r="BB68" i="10"/>
  <c r="BB69" i="10"/>
  <c r="BB70" i="10"/>
  <c r="BB71" i="10"/>
  <c r="BB72" i="10"/>
  <c r="BB73" i="10"/>
  <c r="BB74" i="10"/>
  <c r="BB75" i="10"/>
  <c r="BD75" i="10" s="1"/>
  <c r="BB76" i="10"/>
  <c r="BB77" i="10"/>
  <c r="BB78" i="10"/>
  <c r="BB79" i="10"/>
  <c r="BB80" i="10"/>
  <c r="BB81" i="10"/>
  <c r="BB82" i="10"/>
  <c r="BB83" i="10"/>
  <c r="BD83" i="10" s="1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2" i="10"/>
  <c r="BB143" i="10"/>
  <c r="BB144" i="10"/>
  <c r="BB145" i="10"/>
  <c r="AZ182" i="10"/>
  <c r="AZ180" i="10"/>
  <c r="AZ174" i="10"/>
  <c r="AZ175" i="10" s="1"/>
  <c r="AZ169" i="10"/>
  <c r="AY169" i="10"/>
  <c r="AZ168" i="10"/>
  <c r="AY168" i="10"/>
  <c r="AZ167" i="10"/>
  <c r="AY167" i="10"/>
  <c r="AZ166" i="10"/>
  <c r="AY166" i="10"/>
  <c r="AZ164" i="10"/>
  <c r="AZ162" i="10"/>
  <c r="AY162" i="10"/>
  <c r="AZ160" i="10"/>
  <c r="AY160" i="10"/>
  <c r="AZ157" i="10"/>
  <c r="AZ158" i="10" s="1"/>
  <c r="AY157" i="10"/>
  <c r="AY158" i="10" s="1"/>
  <c r="AZ154" i="10"/>
  <c r="AZ152" i="10"/>
  <c r="AZ176" i="10" s="1"/>
  <c r="AZ192" i="10"/>
  <c r="AZ150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95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Z16" i="8" s="1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71" i="7"/>
  <c r="AY71" i="7"/>
  <c r="AZ69" i="7"/>
  <c r="AY69" i="7"/>
  <c r="AZ65" i="7"/>
  <c r="AZ76" i="7" s="1"/>
  <c r="AY65" i="7"/>
  <c r="AY59" i="7" s="1"/>
  <c r="AZ53" i="7"/>
  <c r="AY53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Y29" i="8" l="1"/>
  <c r="BA127" i="45"/>
  <c r="BA126" i="45"/>
  <c r="BA128" i="45" s="1"/>
  <c r="AZ91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1" i="26"/>
  <c r="AZ33" i="22"/>
  <c r="AZ89" i="9"/>
  <c r="AZ90" i="9"/>
  <c r="AY25" i="9"/>
  <c r="AY88" i="9" s="1"/>
  <c r="AZ48" i="9"/>
  <c r="AZ49" i="9" s="1"/>
  <c r="AZ52" i="9" s="1"/>
  <c r="BA127" i="50"/>
  <c r="BA112" i="45"/>
  <c r="BA117" i="50"/>
  <c r="BA119" i="50" s="1"/>
  <c r="AZ91" i="45"/>
  <c r="AZ112" i="45"/>
  <c r="AZ88" i="45"/>
  <c r="BA123" i="45"/>
  <c r="AY52" i="11"/>
  <c r="AY95" i="11"/>
  <c r="AY76" i="11"/>
  <c r="AZ94" i="9"/>
  <c r="AY18" i="15" s="1"/>
  <c r="AZ100" i="9"/>
  <c r="AZ62" i="9"/>
  <c r="AZ14" i="9"/>
  <c r="AY49" i="39"/>
  <c r="AZ28" i="7"/>
  <c r="AZ91" i="7" s="1"/>
  <c r="AZ58" i="8"/>
  <c r="AZ42" i="8"/>
  <c r="BA91" i="45"/>
  <c r="BA92" i="45"/>
  <c r="BA93" i="45" s="1"/>
  <c r="BA118" i="45"/>
  <c r="AZ82" i="11"/>
  <c r="AZ57" i="11"/>
  <c r="AZ93" i="11"/>
  <c r="AZ81" i="11"/>
  <c r="AZ55" i="11"/>
  <c r="AZ76" i="11"/>
  <c r="AZ181" i="10"/>
  <c r="AZ183" i="10"/>
  <c r="AZ189" i="10"/>
  <c r="AZ184" i="10"/>
  <c r="AZ151" i="10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34" i="7"/>
  <c r="AZ88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34" i="7"/>
  <c r="AY88" i="7" s="1"/>
  <c r="AY52" i="7"/>
  <c r="AY55" i="7"/>
  <c r="AY98" i="7" s="1"/>
  <c r="AY58" i="7"/>
  <c r="AY74" i="7"/>
  <c r="AY45" i="39"/>
  <c r="AX24" i="39"/>
  <c r="AY50" i="39"/>
  <c r="AY23" i="39"/>
  <c r="BA130" i="45" l="1"/>
  <c r="AX2" i="26"/>
  <c r="AX2" i="17"/>
  <c r="AY108" i="8"/>
  <c r="AY110" i="8" s="1"/>
  <c r="AZ69" i="8"/>
  <c r="AY35" i="8"/>
  <c r="AZ70" i="8"/>
  <c r="AZ91" i="9"/>
  <c r="AZ155" i="10"/>
  <c r="BA103" i="50"/>
  <c r="AZ187" i="1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5" i="10"/>
  <c r="AZ193" i="10"/>
  <c r="AZ153" i="10"/>
  <c r="AZ170" i="10"/>
  <c r="AZ85" i="9"/>
  <c r="AZ87" i="9"/>
  <c r="AZ76" i="9"/>
  <c r="AY26" i="8"/>
  <c r="AY64" i="8"/>
  <c r="AY34" i="8" s="1"/>
  <c r="AZ98" i="7"/>
  <c r="AY86" i="7"/>
  <c r="AZ86" i="7"/>
  <c r="AZ101" i="7" s="1"/>
  <c r="AZ36" i="7"/>
  <c r="AZ51" i="7" s="1"/>
  <c r="AY51" i="39"/>
  <c r="AY24" i="39"/>
  <c r="AY109" i="8" l="1"/>
  <c r="AY111" i="8" s="1"/>
  <c r="BA105" i="50"/>
  <c r="BA106" i="50"/>
  <c r="AZ77" i="9"/>
  <c r="AZ74" i="9"/>
  <c r="AZ79" i="9" s="1"/>
  <c r="AZ75" i="7"/>
  <c r="AZ61" i="7"/>
  <c r="BA111" i="50" l="1"/>
  <c r="AY28" i="7"/>
  <c r="AY20" i="7"/>
  <c r="AY39" i="7" s="1"/>
  <c r="AY49" i="7" s="1"/>
  <c r="AY91" i="7" l="1"/>
  <c r="AY101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BC112" i="6"/>
  <c r="BD112" i="6"/>
  <c r="BC94" i="6"/>
  <c r="BD94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31" i="6"/>
  <c r="AY131" i="6"/>
  <c r="AZ130" i="6"/>
  <c r="AY130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Z212" i="6" s="1"/>
  <c r="AY147" i="6"/>
  <c r="BA103" i="6"/>
  <c r="AY84" i="6"/>
  <c r="AY139" i="6"/>
  <c r="AY143" i="6" s="1"/>
  <c r="AY23" i="6"/>
  <c r="AZ147" i="6"/>
  <c r="AZ173" i="6"/>
  <c r="AZ174" i="6" s="1"/>
  <c r="AZ148" i="6"/>
  <c r="AZ175" i="6"/>
  <c r="AY149" i="6"/>
  <c r="AY34" i="6"/>
  <c r="AY33" i="6"/>
  <c r="AY29" i="6"/>
  <c r="BA125" i="6" l="1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/>
  <c r="AY220" i="6" s="1"/>
  <c r="AZ220" i="6" l="1"/>
  <c r="AY458" i="28" l="1"/>
  <c r="AZ446" i="28"/>
  <c r="AZ415" i="28"/>
  <c r="AZ411" i="28"/>
  <c r="AZ380" i="28"/>
  <c r="AZ409" i="28" s="1"/>
  <c r="AZ372" i="28"/>
  <c r="AZ450" i="28" s="1"/>
  <c r="AY372" i="28"/>
  <c r="AZ357" i="28"/>
  <c r="AZ356" i="28"/>
  <c r="AZ273" i="28"/>
  <c r="AY273" i="28"/>
  <c r="AZ267" i="28"/>
  <c r="AZ268" i="28" s="1"/>
  <c r="AY267" i="28"/>
  <c r="AZ266" i="28"/>
  <c r="AY266" i="28"/>
  <c r="AZ229" i="28"/>
  <c r="AZ442" i="28" s="1"/>
  <c r="AY229" i="28"/>
  <c r="AZ212" i="28"/>
  <c r="AZ211" i="28"/>
  <c r="AZ213" i="28" s="1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426" i="28" l="1"/>
  <c r="AZ443" i="28"/>
  <c r="AZ449" i="28"/>
  <c r="AZ458" i="28"/>
  <c r="AZ33" i="28"/>
  <c r="AZ61" i="28" s="1"/>
  <c r="AZ62" i="28" s="1"/>
  <c r="AZ448" i="28"/>
  <c r="AZ444" i="28"/>
  <c r="AZ447" i="28"/>
  <c r="AZ59" i="28"/>
  <c r="AZ440" i="28"/>
  <c r="AZ441" i="28"/>
  <c r="AZ439" i="28"/>
  <c r="AY357" i="28"/>
  <c r="AY449" i="28" s="1"/>
  <c r="AY60" i="28"/>
  <c r="AY73" i="28" s="1"/>
  <c r="AY447" i="28" s="1"/>
  <c r="AZ55" i="28"/>
  <c r="AZ445" i="28"/>
  <c r="AZ436" i="28"/>
  <c r="AZ437" i="28"/>
  <c r="AY268" i="28"/>
  <c r="AY445" i="28" s="1"/>
  <c r="AY59" i="28"/>
  <c r="AY69" i="28" s="1"/>
  <c r="AY443" i="28" s="1"/>
  <c r="AZ459" i="28"/>
  <c r="AZ427" i="28"/>
  <c r="AZ83" i="28"/>
  <c r="AZ84" i="28" s="1"/>
  <c r="AZ451" i="28" l="1"/>
  <c r="AZ453" i="28"/>
  <c r="AY437" i="28"/>
  <c r="AY436" i="28"/>
  <c r="AZ56" i="28"/>
  <c r="AZ431" i="28"/>
  <c r="AZ452" i="28"/>
  <c r="AZ430" i="28"/>
  <c r="AY444" i="28"/>
  <c r="AY448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88" i="73"/>
  <c r="AY177" i="73"/>
  <c r="AY186" i="73" s="1"/>
  <c r="AY131" i="73"/>
  <c r="AY127" i="73"/>
  <c r="AY124" i="73"/>
  <c r="AY120" i="73"/>
  <c r="AY134" i="73" s="1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1" i="73"/>
  <c r="BA122" i="73"/>
  <c r="BA123" i="73"/>
  <c r="AX124" i="73"/>
  <c r="AZ124" i="73"/>
  <c r="BB124" i="73"/>
  <c r="BA125" i="73"/>
  <c r="BA126" i="73"/>
  <c r="AX127" i="73"/>
  <c r="AZ127" i="73"/>
  <c r="BB127" i="73"/>
  <c r="BA128" i="73"/>
  <c r="AX131" i="73"/>
  <c r="AZ131" i="73"/>
  <c r="BB131" i="73"/>
  <c r="BA132" i="73"/>
  <c r="BA133" i="73"/>
  <c r="BA175" i="73"/>
  <c r="BA176" i="73"/>
  <c r="BA178" i="73"/>
  <c r="BA179" i="73"/>
  <c r="BA180" i="73"/>
  <c r="BA181" i="73"/>
  <c r="BA182" i="73"/>
  <c r="BA183" i="73"/>
  <c r="BA184" i="73"/>
  <c r="BA185" i="73"/>
  <c r="AX186" i="73"/>
  <c r="AZ186" i="73"/>
  <c r="BB186" i="73"/>
  <c r="BA189" i="73"/>
  <c r="BA190" i="73"/>
  <c r="BA199" i="73"/>
  <c r="BA200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134" i="73" l="1"/>
  <c r="AZ134" i="73"/>
  <c r="AX134" i="73"/>
  <c r="AY124" i="90"/>
  <c r="BA137" i="50"/>
  <c r="BA139" i="50" s="1"/>
  <c r="BA140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1" i="10"/>
  <c r="AY7" i="28"/>
  <c r="AX17" i="15"/>
  <c r="AX14" i="15" s="1"/>
  <c r="AX15" i="15" s="1"/>
  <c r="AY5" i="9"/>
  <c r="AY32" i="36"/>
  <c r="AY126" i="90"/>
  <c r="AX5" i="15"/>
  <c r="BB77" i="59"/>
  <c r="AX6" i="15"/>
  <c r="BB78" i="59"/>
  <c r="AX7" i="15"/>
  <c r="BB79" i="59"/>
  <c r="AY39" i="36"/>
  <c r="AY90" i="9"/>
  <c r="BB55" i="59"/>
  <c r="AY38" i="36"/>
  <c r="AY89" i="9"/>
  <c r="BB54" i="59"/>
  <c r="BB6" i="59"/>
  <c r="AY13" i="49"/>
  <c r="AY14" i="49" s="1"/>
  <c r="AZ50" i="36"/>
  <c r="AZ45" i="36"/>
  <c r="AZ456" i="28"/>
  <c r="AZ457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57" i="9" s="1"/>
  <c r="AY67" i="9"/>
  <c r="AY70" i="9"/>
  <c r="AY27" i="9"/>
  <c r="AY65" i="9"/>
  <c r="AY68" i="9"/>
  <c r="AX131" i="26"/>
  <c r="AY95" i="9"/>
  <c r="AY12" i="28"/>
  <c r="AY153" i="10"/>
  <c r="AY170" i="10"/>
  <c r="BB66" i="59" s="1"/>
  <c r="AY150" i="10"/>
  <c r="AY19" i="9"/>
  <c r="AY91" i="9"/>
  <c r="AZ19" i="36"/>
  <c r="BC57" i="59" s="1"/>
  <c r="AY130" i="90"/>
  <c r="AY15" i="49"/>
  <c r="AY16" i="49" s="1"/>
  <c r="AY19" i="49" s="1"/>
  <c r="AY20" i="49" s="1"/>
  <c r="AY42" i="35"/>
  <c r="AZ40" i="35"/>
  <c r="AZ39" i="35"/>
  <c r="AY39" i="35"/>
  <c r="AZ36" i="35"/>
  <c r="AZ46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21" i="22" l="1"/>
  <c r="AY7" i="22"/>
  <c r="AY8" i="22" s="1"/>
  <c r="AY10" i="22" s="1"/>
  <c r="AY11" i="22" s="1"/>
  <c r="AY13" i="22" s="1"/>
  <c r="AY46" i="35"/>
  <c r="AY28" i="28"/>
  <c r="AY13" i="35"/>
  <c r="AY15" i="35" s="1"/>
  <c r="AY8" i="6"/>
  <c r="AY14" i="35"/>
  <c r="AY9" i="6"/>
  <c r="AY213" i="28"/>
  <c r="AY441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7" i="35" s="1"/>
  <c r="AZ95" i="11"/>
  <c r="AZ33" i="35"/>
  <c r="AZ37" i="35" s="1"/>
  <c r="AZ15" i="35"/>
  <c r="AZ5" i="36"/>
  <c r="AZ8" i="35"/>
  <c r="AY37" i="35"/>
  <c r="AZ93" i="50" s="1"/>
  <c r="AZ91" i="50" s="1"/>
  <c r="AY41" i="35"/>
  <c r="AY47" i="35" s="1"/>
  <c r="AY11" i="35"/>
  <c r="AY10" i="6" s="1"/>
  <c r="AY33" i="28" l="1"/>
  <c r="AY50" i="28"/>
  <c r="AY55" i="28" s="1"/>
  <c r="AY456" i="28" s="1"/>
  <c r="AY65" i="28"/>
  <c r="AY22" i="22"/>
  <c r="AY24" i="22" s="1"/>
  <c r="AY25" i="22" s="1"/>
  <c r="AY27" i="22" s="1"/>
  <c r="BA93" i="50"/>
  <c r="BA91" i="50" s="1"/>
  <c r="BA77" i="83"/>
  <c r="BA75" i="83" s="1"/>
  <c r="AZ189" i="6"/>
  <c r="AZ194" i="6"/>
  <c r="AZ168" i="6"/>
  <c r="AZ164" i="6"/>
  <c r="AZ19" i="6"/>
  <c r="AZ81" i="6" s="1"/>
  <c r="AZ84" i="6"/>
  <c r="AZ13" i="49"/>
  <c r="BC6" i="59"/>
  <c r="AZ53" i="35"/>
  <c r="AY53" i="35"/>
  <c r="AY440" i="28" l="1"/>
  <c r="AY439" i="28"/>
  <c r="AY61" i="28"/>
  <c r="AY427" i="28"/>
  <c r="AZ38" i="6"/>
  <c r="AZ40" i="6"/>
  <c r="AZ39" i="6"/>
  <c r="AZ37" i="6"/>
  <c r="AY453" i="28" l="1"/>
  <c r="AY430" i="28"/>
  <c r="AY77" i="28"/>
  <c r="AY62" i="28"/>
  <c r="AY457" i="28" s="1"/>
  <c r="AZ41" i="6"/>
  <c r="AY452" i="28" l="1"/>
  <c r="AY81" i="28"/>
  <c r="AY451" i="28"/>
  <c r="AY431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BB13" i="86" s="1"/>
  <c r="AL14" i="86"/>
  <c r="BB14" i="86" s="1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8" i="86" l="1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69" i="83" l="1"/>
  <c r="AW70" i="83"/>
  <c r="AW71" i="83"/>
  <c r="AW72" i="83"/>
  <c r="AW68" i="83"/>
  <c r="AW51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50" i="83"/>
  <c r="AW46" i="83"/>
  <c r="AW47" i="83"/>
  <c r="AW48" i="83"/>
  <c r="AW45" i="83"/>
  <c r="AW39" i="83"/>
  <c r="AW40" i="83"/>
  <c r="AW41" i="83"/>
  <c r="AW42" i="83"/>
  <c r="AW43" i="83"/>
  <c r="AW38" i="83"/>
  <c r="AW5" i="83"/>
  <c r="AW6" i="83"/>
  <c r="AW7" i="83"/>
  <c r="AW8" i="83"/>
  <c r="AW9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4" i="83"/>
  <c r="AW25" i="83"/>
  <c r="AW26" i="83"/>
  <c r="AW27" i="83"/>
  <c r="AW28" i="83"/>
  <c r="AW29" i="83"/>
  <c r="AW30" i="83"/>
  <c r="AW31" i="83"/>
  <c r="AW32" i="83"/>
  <c r="AW33" i="83"/>
  <c r="AW34" i="83"/>
  <c r="AW35" i="83"/>
  <c r="AW36" i="83"/>
  <c r="AW4" i="83"/>
  <c r="AV103" i="9"/>
  <c r="AW129" i="26"/>
  <c r="AW73" i="83" l="1"/>
  <c r="AW67" i="83"/>
  <c r="AW49" i="83"/>
  <c r="AW37" i="83"/>
  <c r="AW44" i="83"/>
  <c r="AR138" i="10"/>
  <c r="AR124" i="10"/>
  <c r="AR65" i="10"/>
  <c r="AR62" i="10"/>
  <c r="AW74" i="83" l="1"/>
  <c r="AV65" i="10"/>
  <c r="AV37" i="10"/>
  <c r="AV22" i="10"/>
  <c r="AV23" i="10"/>
  <c r="AV30" i="10"/>
  <c r="K72" i="50" l="1"/>
  <c r="O72" i="50"/>
  <c r="S72" i="50" s="1"/>
  <c r="W72" i="50" s="1"/>
  <c r="AA72" i="50"/>
  <c r="AO72" i="50"/>
  <c r="BE72" i="50" s="1"/>
  <c r="AW48" i="50"/>
  <c r="AW49" i="50"/>
  <c r="AW50" i="50"/>
  <c r="AW51" i="50"/>
  <c r="AW52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8" i="50"/>
  <c r="AW136" i="50"/>
  <c r="AW135" i="50"/>
  <c r="AW131" i="50"/>
  <c r="AX129" i="50"/>
  <c r="AV129" i="50"/>
  <c r="AV127" i="50"/>
  <c r="AV126" i="50"/>
  <c r="AV125" i="50"/>
  <c r="AW121" i="50"/>
  <c r="AX111" i="50"/>
  <c r="AV111" i="50"/>
  <c r="AW109" i="50"/>
  <c r="AV109" i="50"/>
  <c r="AW108" i="50"/>
  <c r="AV108" i="50"/>
  <c r="AW107" i="50"/>
  <c r="AV107" i="50"/>
  <c r="AX99" i="50"/>
  <c r="AV99" i="50"/>
  <c r="AW98" i="50"/>
  <c r="BG98" i="50" s="1"/>
  <c r="AW97" i="50"/>
  <c r="BG97" i="50" s="1"/>
  <c r="AX89" i="50"/>
  <c r="AW89" i="50"/>
  <c r="AW132" i="50" s="1"/>
  <c r="AV89" i="50"/>
  <c r="AX77" i="50"/>
  <c r="AW77" i="50"/>
  <c r="AW122" i="50" s="1"/>
  <c r="AV77" i="50"/>
  <c r="AX53" i="50"/>
  <c r="AV53" i="50"/>
  <c r="AW47" i="50"/>
  <c r="AX46" i="50"/>
  <c r="AV46" i="50"/>
  <c r="AX38" i="50"/>
  <c r="AV38" i="50"/>
  <c r="G32" i="50"/>
  <c r="I32" i="50"/>
  <c r="M32" i="50"/>
  <c r="Q32" i="50"/>
  <c r="U32" i="50"/>
  <c r="Y32" i="50"/>
  <c r="AE32" i="50"/>
  <c r="AI32" i="50"/>
  <c r="AM32" i="50"/>
  <c r="AS32" i="50"/>
  <c r="G33" i="50"/>
  <c r="I33" i="50"/>
  <c r="M33" i="50"/>
  <c r="Q33" i="50"/>
  <c r="U33" i="50"/>
  <c r="Y33" i="50"/>
  <c r="AE33" i="50"/>
  <c r="AI33" i="50"/>
  <c r="AM33" i="50"/>
  <c r="AS33" i="50"/>
  <c r="G34" i="50"/>
  <c r="I34" i="50"/>
  <c r="M34" i="50"/>
  <c r="Q34" i="50"/>
  <c r="U34" i="50"/>
  <c r="Y34" i="50"/>
  <c r="AE34" i="50"/>
  <c r="AI34" i="50"/>
  <c r="AM34" i="50"/>
  <c r="AS34" i="50"/>
  <c r="BC34" i="50" s="1"/>
  <c r="G35" i="50"/>
  <c r="I35" i="50"/>
  <c r="M35" i="50"/>
  <c r="Q35" i="50"/>
  <c r="U35" i="50"/>
  <c r="Y35" i="50"/>
  <c r="AE35" i="50"/>
  <c r="AI35" i="50"/>
  <c r="AM35" i="50"/>
  <c r="AS35" i="50"/>
  <c r="G36" i="50"/>
  <c r="I36" i="50"/>
  <c r="M36" i="50"/>
  <c r="Q36" i="50"/>
  <c r="U36" i="50"/>
  <c r="Y36" i="50"/>
  <c r="AE36" i="50"/>
  <c r="AI36" i="50"/>
  <c r="AM36" i="50"/>
  <c r="AS36" i="50"/>
  <c r="BC36" i="50" s="1"/>
  <c r="G37" i="50"/>
  <c r="I37" i="50"/>
  <c r="M37" i="50"/>
  <c r="Q37" i="50"/>
  <c r="U37" i="50"/>
  <c r="Y37" i="50"/>
  <c r="AE37" i="50"/>
  <c r="AI37" i="50"/>
  <c r="AM37" i="50"/>
  <c r="AS37" i="50"/>
  <c r="BC37" i="50" s="1"/>
  <c r="AW133" i="50" l="1"/>
  <c r="BC33" i="50"/>
  <c r="BC32" i="50"/>
  <c r="BC35" i="50"/>
  <c r="AW16" i="61"/>
  <c r="AC72" i="50"/>
  <c r="AG72" i="50" s="1"/>
  <c r="AK72" i="50" s="1"/>
  <c r="AQ72" i="50" s="1"/>
  <c r="AU72" i="50" s="1"/>
  <c r="AY72" i="50" s="1"/>
  <c r="BG72" i="50" s="1"/>
  <c r="AA32" i="50"/>
  <c r="AV100" i="50"/>
  <c r="AW110" i="50"/>
  <c r="AW53" i="50"/>
  <c r="AW118" i="50" s="1"/>
  <c r="AV90" i="50"/>
  <c r="AX100" i="50"/>
  <c r="AO36" i="50"/>
  <c r="BE36" i="50" s="1"/>
  <c r="K36" i="50"/>
  <c r="AO33" i="50"/>
  <c r="BE33" i="50" s="1"/>
  <c r="O33" i="50"/>
  <c r="S33" i="50" s="1"/>
  <c r="W33" i="50" s="1"/>
  <c r="AX90" i="50"/>
  <c r="AW46" i="50"/>
  <c r="AW114" i="50" s="1"/>
  <c r="AW123" i="50"/>
  <c r="AW38" i="50"/>
  <c r="AW104" i="50" s="1"/>
  <c r="AW124" i="50"/>
  <c r="AW134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A33" i="50"/>
  <c r="AA37" i="50"/>
  <c r="AO35" i="50"/>
  <c r="O35" i="50"/>
  <c r="S35" i="50" s="1"/>
  <c r="W35" i="50" s="1"/>
  <c r="AA34" i="50"/>
  <c r="AO32" i="50"/>
  <c r="K32" i="50"/>
  <c r="K35" i="50"/>
  <c r="K33" i="50"/>
  <c r="O36" i="50"/>
  <c r="O34" i="50"/>
  <c r="O32" i="50"/>
  <c r="BE35" i="50" l="1"/>
  <c r="BE32" i="50"/>
  <c r="AC37" i="50"/>
  <c r="AG37" i="50" s="1"/>
  <c r="AK37" i="50" s="1"/>
  <c r="AQ37" i="50" s="1"/>
  <c r="AU37" i="50" s="1"/>
  <c r="AY37" i="50" s="1"/>
  <c r="BG37" i="50" s="1"/>
  <c r="AC33" i="50"/>
  <c r="AG33" i="50" s="1"/>
  <c r="AK33" i="50" s="1"/>
  <c r="AQ33" i="50" s="1"/>
  <c r="AU33" i="50" s="1"/>
  <c r="AY33" i="50" s="1"/>
  <c r="BG33" i="50" s="1"/>
  <c r="AC35" i="50"/>
  <c r="AG35" i="50" s="1"/>
  <c r="AK35" i="50" s="1"/>
  <c r="AQ35" i="50" s="1"/>
  <c r="AU35" i="50" s="1"/>
  <c r="AY35" i="50" s="1"/>
  <c r="BG35" i="50" s="1"/>
  <c r="AW90" i="50"/>
  <c r="S32" i="50"/>
  <c r="W32" i="50" s="1"/>
  <c r="AC32" i="50"/>
  <c r="AG32" i="50" s="1"/>
  <c r="AK32" i="50" s="1"/>
  <c r="AQ32" i="50" s="1"/>
  <c r="AU32" i="50" s="1"/>
  <c r="AY32" i="50" s="1"/>
  <c r="BG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29" i="26"/>
  <c r="AT129" i="26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2" i="83"/>
  <c r="I62" i="83"/>
  <c r="M62" i="83"/>
  <c r="Q62" i="83"/>
  <c r="S62" i="83" s="1"/>
  <c r="U62" i="83"/>
  <c r="Y62" i="83"/>
  <c r="AE62" i="83"/>
  <c r="AI62" i="83"/>
  <c r="AM62" i="83"/>
  <c r="AS62" i="83"/>
  <c r="BC62" i="83" s="1"/>
  <c r="G31" i="50"/>
  <c r="I31" i="50"/>
  <c r="M31" i="50"/>
  <c r="Q31" i="50"/>
  <c r="U31" i="50"/>
  <c r="Y31" i="50"/>
  <c r="AE31" i="50"/>
  <c r="AI31" i="50"/>
  <c r="AM31" i="50"/>
  <c r="AS31" i="50"/>
  <c r="BC31" i="50" s="1"/>
  <c r="K31" i="50" l="1"/>
  <c r="AA31" i="50"/>
  <c r="AO31" i="50"/>
  <c r="BE31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2" i="83"/>
  <c r="AA62" i="83"/>
  <c r="AC62" i="83" s="1"/>
  <c r="AG62" i="83" s="1"/>
  <c r="AK62" i="83" s="1"/>
  <c r="AQ62" i="83" s="1"/>
  <c r="AU62" i="83" s="1"/>
  <c r="AY62" i="83" s="1"/>
  <c r="BG62" i="83" s="1"/>
  <c r="AO62" i="83"/>
  <c r="BE62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V90" i="17" l="1"/>
  <c r="AT115" i="17"/>
  <c r="AT113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U62" i="17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T33" i="17" l="1"/>
  <c r="AU114" i="17"/>
  <c r="AU11" i="17"/>
  <c r="AT59" i="17"/>
  <c r="AT60" i="17" s="1"/>
  <c r="AT114" i="17"/>
  <c r="AT50" i="17"/>
  <c r="AT54" i="17" s="1"/>
  <c r="AT117" i="17"/>
  <c r="AT11" i="17"/>
  <c r="AU32" i="17"/>
  <c r="AU34" i="17"/>
  <c r="AU31" i="17"/>
  <c r="AU33" i="17"/>
  <c r="AU30" i="17"/>
  <c r="AU54" i="17"/>
  <c r="AU112" i="17"/>
  <c r="AU116" i="17" s="1"/>
  <c r="AU51" i="17"/>
  <c r="AU55" i="17" s="1"/>
  <c r="AT32" i="17"/>
  <c r="AT31" i="17"/>
  <c r="AU45" i="17"/>
  <c r="AU13" i="17"/>
  <c r="AT62" i="17" l="1"/>
  <c r="AU113" i="17"/>
  <c r="AT112" i="17"/>
  <c r="AT116" i="17" s="1"/>
  <c r="AU115" i="17"/>
  <c r="AU117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T223" i="6"/>
  <c r="S223" i="6"/>
  <c r="P223" i="6"/>
  <c r="O223" i="6"/>
  <c r="L223" i="6"/>
  <c r="K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T222" i="6"/>
  <c r="S222" i="6"/>
  <c r="P222" i="6"/>
  <c r="O222" i="6"/>
  <c r="L222" i="6"/>
  <c r="K222" i="6"/>
  <c r="F222" i="6"/>
  <c r="AS130" i="6"/>
  <c r="AT130" i="6"/>
  <c r="AU130" i="6"/>
  <c r="BA130" i="6" s="1"/>
  <c r="BC130" i="6" s="1"/>
  <c r="AV130" i="6"/>
  <c r="BB130" i="6" s="1"/>
  <c r="BD130" i="6" s="1"/>
  <c r="AS112" i="6"/>
  <c r="AW112" i="6" s="1"/>
  <c r="BE112" i="6" s="1"/>
  <c r="AT112" i="6"/>
  <c r="AX112" i="6" s="1"/>
  <c r="BF112" i="6" s="1"/>
  <c r="AS94" i="6"/>
  <c r="AW94" i="6" s="1"/>
  <c r="BE94" i="6" s="1"/>
  <c r="AT94" i="6"/>
  <c r="AX94" i="6"/>
  <c r="BF94" i="6" s="1"/>
  <c r="AX130" i="6" l="1"/>
  <c r="BF130" i="6" s="1"/>
  <c r="AW130" i="6"/>
  <c r="BE130" i="6" s="1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25" i="45"/>
  <c r="AW124" i="45"/>
  <c r="AW122" i="45"/>
  <c r="AW116" i="45"/>
  <c r="AW117" i="45" s="1"/>
  <c r="AW111" i="45"/>
  <c r="AV111" i="45"/>
  <c r="AW110" i="45"/>
  <c r="AV110" i="45"/>
  <c r="AW109" i="45"/>
  <c r="AV109" i="45"/>
  <c r="AW108" i="45"/>
  <c r="AV108" i="45"/>
  <c r="AW106" i="45"/>
  <c r="AV106" i="45"/>
  <c r="AW104" i="45"/>
  <c r="AV104" i="45"/>
  <c r="AW102" i="45"/>
  <c r="AV102" i="45"/>
  <c r="AW99" i="45"/>
  <c r="AW100" i="45" s="1"/>
  <c r="AV99" i="45"/>
  <c r="AV100" i="45" s="1"/>
  <c r="AW90" i="45"/>
  <c r="AW89" i="45"/>
  <c r="AV89" i="45"/>
  <c r="AW88" i="45"/>
  <c r="AV88" i="11"/>
  <c r="AV86" i="11"/>
  <c r="AV80" i="11"/>
  <c r="AV81" i="11" s="1"/>
  <c r="AV75" i="11"/>
  <c r="AU75" i="11"/>
  <c r="AV74" i="11"/>
  <c r="AU74" i="11"/>
  <c r="AV73" i="11"/>
  <c r="AU73" i="11"/>
  <c r="AV72" i="11"/>
  <c r="AU72" i="11"/>
  <c r="AV70" i="11"/>
  <c r="AU70" i="11"/>
  <c r="AV68" i="11"/>
  <c r="AU68" i="11"/>
  <c r="AV66" i="11"/>
  <c r="AU66" i="11"/>
  <c r="AV63" i="11"/>
  <c r="AV64" i="11" s="1"/>
  <c r="AU63" i="11"/>
  <c r="AU64" i="11" s="1"/>
  <c r="AV61" i="11"/>
  <c r="AV58" i="11" s="1"/>
  <c r="AV56" i="11"/>
  <c r="AV54" i="11"/>
  <c r="AV82" i="11" s="1"/>
  <c r="AV53" i="11"/>
  <c r="AV52" i="11"/>
  <c r="AV89" i="11" s="1"/>
  <c r="AW127" i="45" l="1"/>
  <c r="AW126" i="45"/>
  <c r="AW112" i="45"/>
  <c r="AW117" i="50"/>
  <c r="AW119" i="50" s="1"/>
  <c r="AV92" i="45"/>
  <c r="AV88" i="45"/>
  <c r="AV55" i="11"/>
  <c r="AW113" i="50"/>
  <c r="AW115" i="50" s="1"/>
  <c r="AV57" i="11"/>
  <c r="AW123" i="45"/>
  <c r="AV91" i="45"/>
  <c r="AV112" i="45"/>
  <c r="AW91" i="45"/>
  <c r="AV87" i="11"/>
  <c r="AV93" i="11" s="1"/>
  <c r="AW128" i="45"/>
  <c r="AW92" i="45"/>
  <c r="AW93" i="45" s="1"/>
  <c r="AW130" i="45"/>
  <c r="AW118" i="45"/>
  <c r="AV76" i="11"/>
  <c r="AV90" i="11"/>
  <c r="AV91" i="11" s="1"/>
  <c r="G46" i="83"/>
  <c r="I46" i="83"/>
  <c r="M46" i="83"/>
  <c r="Q46" i="83"/>
  <c r="U46" i="83"/>
  <c r="Y46" i="83"/>
  <c r="AE46" i="83"/>
  <c r="AI46" i="83"/>
  <c r="AM46" i="83"/>
  <c r="AS46" i="83"/>
  <c r="BC46" i="83" s="1"/>
  <c r="I26" i="83"/>
  <c r="M26" i="83"/>
  <c r="Q26" i="83"/>
  <c r="U26" i="83"/>
  <c r="Y26" i="83"/>
  <c r="AE26" i="83"/>
  <c r="AI26" i="83"/>
  <c r="AM26" i="83"/>
  <c r="AS26" i="83"/>
  <c r="BC26" i="83" s="1"/>
  <c r="I23" i="83"/>
  <c r="M23" i="83"/>
  <c r="Q23" i="83"/>
  <c r="U23" i="83"/>
  <c r="Y23" i="83"/>
  <c r="AE23" i="83"/>
  <c r="AI23" i="83"/>
  <c r="AM23" i="83"/>
  <c r="AS23" i="83"/>
  <c r="BC23" i="83" s="1"/>
  <c r="I22" i="83"/>
  <c r="M22" i="83"/>
  <c r="Q22" i="83"/>
  <c r="U22" i="83"/>
  <c r="Y22" i="83"/>
  <c r="AE22" i="83"/>
  <c r="AI22" i="83"/>
  <c r="AM22" i="83"/>
  <c r="AS22" i="83"/>
  <c r="BC22" i="83" s="1"/>
  <c r="I20" i="83"/>
  <c r="M20" i="83"/>
  <c r="Q20" i="83"/>
  <c r="U20" i="83"/>
  <c r="Y20" i="83"/>
  <c r="AE20" i="83"/>
  <c r="AI20" i="83"/>
  <c r="AM20" i="83"/>
  <c r="AS20" i="83"/>
  <c r="BC20" i="83" s="1"/>
  <c r="I21" i="83"/>
  <c r="M21" i="83"/>
  <c r="Q21" i="83"/>
  <c r="U21" i="83"/>
  <c r="Y21" i="83"/>
  <c r="AE21" i="83"/>
  <c r="AI21" i="83"/>
  <c r="AM21" i="83"/>
  <c r="AS21" i="83"/>
  <c r="BC21" i="83" s="1"/>
  <c r="AA26" i="83" l="1"/>
  <c r="AO46" i="83"/>
  <c r="BE46" i="83" s="1"/>
  <c r="K46" i="83"/>
  <c r="AA46" i="83"/>
  <c r="O46" i="83"/>
  <c r="AO26" i="83"/>
  <c r="BE26" i="83" s="1"/>
  <c r="K26" i="83"/>
  <c r="O26" i="83"/>
  <c r="AA21" i="83"/>
  <c r="K20" i="83"/>
  <c r="AA23" i="83"/>
  <c r="AA22" i="83"/>
  <c r="AO23" i="83"/>
  <c r="BE23" i="83" s="1"/>
  <c r="K23" i="83"/>
  <c r="O23" i="83"/>
  <c r="AO20" i="83"/>
  <c r="BE20" i="83" s="1"/>
  <c r="AO22" i="83"/>
  <c r="BE22" i="83" s="1"/>
  <c r="K22" i="83"/>
  <c r="O22" i="83"/>
  <c r="AO21" i="83"/>
  <c r="BE21" i="83" s="1"/>
  <c r="K21" i="83"/>
  <c r="AA20" i="83"/>
  <c r="O21" i="83"/>
  <c r="O20" i="83"/>
  <c r="AV182" i="10"/>
  <c r="AV180" i="10"/>
  <c r="AV174" i="10"/>
  <c r="AV175" i="10" s="1"/>
  <c r="AV169" i="10"/>
  <c r="AU169" i="10"/>
  <c r="AV168" i="10"/>
  <c r="AU168" i="10"/>
  <c r="AV167" i="10"/>
  <c r="AU167" i="10"/>
  <c r="AV166" i="10"/>
  <c r="AU166" i="10"/>
  <c r="AV164" i="10"/>
  <c r="AU164" i="10"/>
  <c r="AV162" i="10"/>
  <c r="AU162" i="10"/>
  <c r="AV160" i="10"/>
  <c r="AU160" i="10"/>
  <c r="AV157" i="10"/>
  <c r="AV158" i="10" s="1"/>
  <c r="AU157" i="10"/>
  <c r="AU158" i="10" s="1"/>
  <c r="AV154" i="10"/>
  <c r="AV152" i="10"/>
  <c r="AV176" i="10" s="1"/>
  <c r="AV150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95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1" i="26"/>
  <c r="AW127" i="50"/>
  <c r="AV181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83" i="10"/>
  <c r="AV187" i="10" s="1"/>
  <c r="AV189" i="10"/>
  <c r="AV184" i="10"/>
  <c r="AV151" i="10"/>
  <c r="AW103" i="50" s="1"/>
  <c r="AV192" i="10"/>
  <c r="AV62" i="9"/>
  <c r="AU25" i="9"/>
  <c r="AU88" i="9" s="1"/>
  <c r="AV37" i="9"/>
  <c r="AV14" i="9"/>
  <c r="AV89" i="9"/>
  <c r="AV49" i="9" l="1"/>
  <c r="AV80" i="9" s="1"/>
  <c r="AW106" i="50"/>
  <c r="AW111" i="50" s="1"/>
  <c r="AW105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U23" i="83" s="1"/>
  <c r="AY23" i="83" s="1"/>
  <c r="BG23" i="83" s="1"/>
  <c r="AV193" i="10"/>
  <c r="AV170" i="10"/>
  <c r="AV153" i="10"/>
  <c r="AV155" i="10"/>
  <c r="AV185" i="10"/>
  <c r="AV76" i="9"/>
  <c r="AV52" i="9"/>
  <c r="AV86" i="9"/>
  <c r="AV78" i="9"/>
  <c r="AV72" i="9"/>
  <c r="AV53" i="9"/>
  <c r="AV82" i="9"/>
  <c r="AV87" i="9"/>
  <c r="AV84" i="9"/>
  <c r="AV75" i="9" l="1"/>
  <c r="AV83" i="9"/>
  <c r="AV73" i="9"/>
  <c r="AV74" i="9" s="1"/>
  <c r="AV81" i="9"/>
  <c r="AV85" i="9"/>
  <c r="AV77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6" i="8"/>
  <c r="AV71" i="8"/>
  <c r="AV37" i="8"/>
  <c r="AV72" i="8"/>
  <c r="AV111" i="8"/>
  <c r="AV52" i="8" s="1"/>
  <c r="AV51" i="8"/>
  <c r="AV36" i="8" l="1"/>
  <c r="AV62" i="8"/>
  <c r="AV70" i="8" s="1"/>
  <c r="AV35" i="8"/>
  <c r="AV69" i="8"/>
  <c r="AU35" i="35" l="1"/>
  <c r="AU34" i="35"/>
  <c r="AU31" i="35"/>
  <c r="AU53" i="11" s="1"/>
  <c r="AU30" i="35"/>
  <c r="AU151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0" i="10"/>
  <c r="AU153" i="10"/>
  <c r="AU150" i="10"/>
  <c r="AU55" i="11"/>
  <c r="AU95" i="11"/>
  <c r="AU52" i="11"/>
  <c r="AU76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10" i="7"/>
  <c r="AW109" i="7"/>
  <c r="AW108" i="7"/>
  <c r="AW107" i="7"/>
  <c r="AW106" i="7"/>
  <c r="AW105" i="7"/>
  <c r="AW104" i="7"/>
  <c r="AW103" i="7"/>
  <c r="AW97" i="7"/>
  <c r="AW89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V81" i="7" s="1"/>
  <c r="AU80" i="7"/>
  <c r="AV73" i="7"/>
  <c r="AU73" i="7"/>
  <c r="AV71" i="7"/>
  <c r="AU71" i="7"/>
  <c r="AV69" i="7"/>
  <c r="AU69" i="7"/>
  <c r="AV65" i="7"/>
  <c r="AV59" i="7" s="1"/>
  <c r="AV99" i="7" s="1"/>
  <c r="AU65" i="7"/>
  <c r="AU56" i="7" s="1"/>
  <c r="AU59" i="7"/>
  <c r="AV56" i="7"/>
  <c r="AV53" i="7"/>
  <c r="AV35" i="7"/>
  <c r="AV100" i="7" s="1"/>
  <c r="AU35" i="7"/>
  <c r="AU100" i="7" s="1"/>
  <c r="AV31" i="7"/>
  <c r="AV96" i="7" s="1"/>
  <c r="AV28" i="7"/>
  <c r="AV91" i="7" s="1"/>
  <c r="AV25" i="7"/>
  <c r="AU25" i="7"/>
  <c r="AV22" i="7"/>
  <c r="AV85" i="7" s="1"/>
  <c r="AV20" i="7"/>
  <c r="AV39" i="7" s="1"/>
  <c r="AV49" i="7" s="1"/>
  <c r="AU20" i="7"/>
  <c r="AU39" i="7" s="1"/>
  <c r="AU49" i="7" s="1"/>
  <c r="AU26" i="8" l="1"/>
  <c r="AU64" i="8"/>
  <c r="AU34" i="8" s="1"/>
  <c r="AT2" i="26"/>
  <c r="AT2" i="17"/>
  <c r="AU68" i="8"/>
  <c r="AU36" i="8" s="1"/>
  <c r="AU67" i="9"/>
  <c r="AU56" i="9"/>
  <c r="AU59" i="9"/>
  <c r="AU70" i="9"/>
  <c r="AU55" i="9"/>
  <c r="AU57" i="9" s="1"/>
  <c r="AU33" i="22"/>
  <c r="AU27" i="9"/>
  <c r="AU63" i="9"/>
  <c r="AU65" i="9"/>
  <c r="AU58" i="9"/>
  <c r="AU7" i="9"/>
  <c r="AU92" i="9"/>
  <c r="AT131" i="26"/>
  <c r="AU61" i="9"/>
  <c r="AU69" i="9"/>
  <c r="AU95" i="9"/>
  <c r="AU66" i="9"/>
  <c r="AU68" i="9"/>
  <c r="AU64" i="9"/>
  <c r="AU100" i="9"/>
  <c r="AU108" i="8"/>
  <c r="AU110" i="8" s="1"/>
  <c r="AU58" i="8"/>
  <c r="AU62" i="8" s="1"/>
  <c r="AU35" i="8"/>
  <c r="AU53" i="7"/>
  <c r="AU28" i="7"/>
  <c r="AU91" i="7" s="1"/>
  <c r="AU22" i="7"/>
  <c r="AU85" i="7" s="1"/>
  <c r="AU31" i="7"/>
  <c r="AU96" i="7" s="1"/>
  <c r="AU81" i="7"/>
  <c r="AU79" i="7"/>
  <c r="AV79" i="7"/>
  <c r="AU23" i="7"/>
  <c r="AU26" i="7"/>
  <c r="AU89" i="7" s="1"/>
  <c r="AU29" i="7"/>
  <c r="AU92" i="7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V32" i="7"/>
  <c r="AV97" i="7" s="1"/>
  <c r="AV54" i="7"/>
  <c r="AV94" i="7" s="1"/>
  <c r="AV57" i="7"/>
  <c r="AV60" i="7"/>
  <c r="AV67" i="7"/>
  <c r="AV76" i="7"/>
  <c r="AU24" i="7"/>
  <c r="AU87" i="7" s="1"/>
  <c r="AU27" i="7"/>
  <c r="AU90" i="7" s="1"/>
  <c r="AU30" i="7"/>
  <c r="AU93" i="7" s="1"/>
  <c r="AU34" i="7"/>
  <c r="AU88" i="7" s="1"/>
  <c r="AU52" i="7"/>
  <c r="AU55" i="7"/>
  <c r="AU98" i="7" s="1"/>
  <c r="AU58" i="7"/>
  <c r="AU74" i="7"/>
  <c r="AV24" i="7"/>
  <c r="AV87" i="7" s="1"/>
  <c r="AV27" i="7"/>
  <c r="AV90" i="7" s="1"/>
  <c r="AV30" i="7"/>
  <c r="AV93" i="7" s="1"/>
  <c r="AV34" i="7"/>
  <c r="AV88" i="7" s="1"/>
  <c r="AV52" i="7"/>
  <c r="AV55" i="7"/>
  <c r="AV98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109" i="8" l="1"/>
  <c r="AU111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6" i="7"/>
  <c r="AU101" i="7" s="1"/>
  <c r="AV86" i="7"/>
  <c r="AV101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V173" i="6"/>
  <c r="AU24" i="39"/>
  <c r="AU172" i="6"/>
  <c r="AU174" i="6" s="1"/>
  <c r="AU175" i="6"/>
  <c r="AU51" i="39"/>
  <c r="AV61" i="7"/>
  <c r="AV75" i="7"/>
  <c r="AU61" i="7"/>
  <c r="AU75" i="7"/>
  <c r="AV139" i="6"/>
  <c r="AV143" i="6" s="1"/>
  <c r="AU29" i="6"/>
  <c r="AU23" i="6"/>
  <c r="AU32" i="6"/>
  <c r="AU208" i="6"/>
  <c r="AU205" i="6"/>
  <c r="AU216" i="6"/>
  <c r="AU219" i="6" s="1"/>
  <c r="AV148" i="6"/>
  <c r="AV150" i="6"/>
  <c r="AU81" i="6"/>
  <c r="AV174" i="6"/>
  <c r="AV147" i="6"/>
  <c r="AU34" i="6"/>
  <c r="AU33" i="6"/>
  <c r="AU150" i="6"/>
  <c r="AU148" i="6"/>
  <c r="AU149" i="6" s="1"/>
  <c r="AU203" i="6" l="1"/>
  <c r="AU204" i="6"/>
  <c r="AU211" i="6"/>
  <c r="AU213" i="6"/>
  <c r="AU207" i="6"/>
  <c r="AU209" i="6" s="1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14" i="6" l="1"/>
  <c r="AU215" i="6" s="1"/>
  <c r="AU220" i="6" s="1"/>
  <c r="AV214" i="6"/>
  <c r="AV209" i="6"/>
  <c r="AV219" i="6"/>
  <c r="AV215" i="6" l="1"/>
  <c r="AV220" i="6" s="1"/>
  <c r="AU458" i="28" l="1"/>
  <c r="AV415" i="28"/>
  <c r="AV411" i="28"/>
  <c r="AV380" i="28"/>
  <c r="AV409" i="28" s="1"/>
  <c r="AV372" i="28"/>
  <c r="AV450" i="28" s="1"/>
  <c r="AU372" i="28"/>
  <c r="AV356" i="28"/>
  <c r="AV357" i="28" s="1"/>
  <c r="AV273" i="28"/>
  <c r="AV446" i="28" s="1"/>
  <c r="AU273" i="28"/>
  <c r="AV267" i="28"/>
  <c r="AU267" i="28"/>
  <c r="AV266" i="28"/>
  <c r="AU266" i="28"/>
  <c r="AV229" i="28"/>
  <c r="AU229" i="28"/>
  <c r="AV212" i="28"/>
  <c r="AV211" i="28"/>
  <c r="AV213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43" i="28" s="1"/>
  <c r="AU14" i="28"/>
  <c r="AU19" i="28" s="1"/>
  <c r="AV12" i="28"/>
  <c r="AV58" i="28" s="1"/>
  <c r="AU7" i="28"/>
  <c r="AV426" i="28" l="1"/>
  <c r="AV439" i="28"/>
  <c r="AV442" i="28"/>
  <c r="AV440" i="28"/>
  <c r="AV458" i="28"/>
  <c r="AV33" i="28"/>
  <c r="AV451" i="28" s="1"/>
  <c r="AV448" i="28"/>
  <c r="AV60" i="28"/>
  <c r="AV449" i="28"/>
  <c r="AV447" i="28"/>
  <c r="AV268" i="28"/>
  <c r="AV59" i="28"/>
  <c r="AV441" i="28"/>
  <c r="AV55" i="28"/>
  <c r="AU268" i="28"/>
  <c r="AU59" i="28"/>
  <c r="AU60" i="28"/>
  <c r="AU357" i="28"/>
  <c r="AV459" i="28"/>
  <c r="AV427" i="28"/>
  <c r="AV83" i="28"/>
  <c r="AU12" i="28"/>
  <c r="AV17" i="49"/>
  <c r="AV11" i="49"/>
  <c r="AU11" i="49"/>
  <c r="AV10" i="49"/>
  <c r="AV9" i="49"/>
  <c r="AV8" i="49"/>
  <c r="AV6" i="49"/>
  <c r="AU188" i="73"/>
  <c r="AU177" i="73"/>
  <c r="AU186" i="73" s="1"/>
  <c r="AU131" i="73"/>
  <c r="AU127" i="73"/>
  <c r="AU124" i="73"/>
  <c r="AU120" i="73"/>
  <c r="AU134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Y44" i="59" s="1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53" i="36"/>
  <c r="AU51" i="36"/>
  <c r="AU43" i="36" s="1"/>
  <c r="AU45" i="36" s="1"/>
  <c r="AU49" i="36"/>
  <c r="AU48" i="36"/>
  <c r="AV46" i="36"/>
  <c r="AV54" i="36" s="1"/>
  <c r="AU46" i="36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6" i="35" s="1"/>
  <c r="AU36" i="35"/>
  <c r="AV32" i="35"/>
  <c r="AV31" i="35"/>
  <c r="AV95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U124" i="90" l="1"/>
  <c r="AW137" i="50"/>
  <c r="AW139" i="50" s="1"/>
  <c r="AW140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7" i="35" s="1"/>
  <c r="AV45" i="36"/>
  <c r="AV42" i="36"/>
  <c r="AY54" i="59"/>
  <c r="AX44" i="59"/>
  <c r="AV12" i="49"/>
  <c r="AV18" i="49"/>
  <c r="AV13" i="36"/>
  <c r="AY40" i="59" s="1"/>
  <c r="AU46" i="35"/>
  <c r="AU47" i="35" s="1"/>
  <c r="AU28" i="28"/>
  <c r="AU445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53" i="28"/>
  <c r="AV436" i="28"/>
  <c r="AV84" i="28"/>
  <c r="AV61" i="28"/>
  <c r="AU73" i="28"/>
  <c r="AU447" i="28" s="1"/>
  <c r="AU449" i="28"/>
  <c r="AV437" i="28"/>
  <c r="AV445" i="28"/>
  <c r="AV444" i="28"/>
  <c r="AV62" i="28"/>
  <c r="AV456" i="28"/>
  <c r="AU69" i="28"/>
  <c r="AU436" i="28" s="1"/>
  <c r="AV431" i="28"/>
  <c r="AV452" i="28"/>
  <c r="AV430" i="28"/>
  <c r="AU213" i="28"/>
  <c r="AU58" i="28"/>
  <c r="AU437" i="28"/>
  <c r="AV56" i="28"/>
  <c r="AU117" i="73"/>
  <c r="AU39" i="36"/>
  <c r="AU15" i="21"/>
  <c r="AV20" i="21"/>
  <c r="AU13" i="35"/>
  <c r="AU33" i="35"/>
  <c r="AU37" i="35" s="1"/>
  <c r="AV93" i="50" s="1"/>
  <c r="AV91" i="50" s="1"/>
  <c r="AV1" i="35"/>
  <c r="AV21" i="35" s="1"/>
  <c r="AV26" i="9" s="1"/>
  <c r="AR1" i="35"/>
  <c r="AU15" i="35" l="1"/>
  <c r="AU126" i="90"/>
  <c r="AW93" i="50"/>
  <c r="AW91" i="50" s="1"/>
  <c r="AW77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3" i="35"/>
  <c r="AU33" i="28"/>
  <c r="AU50" i="28"/>
  <c r="AU441" i="28"/>
  <c r="AU448" i="28"/>
  <c r="AV457" i="28"/>
  <c r="AU444" i="28"/>
  <c r="AU443" i="28"/>
  <c r="AU65" i="28"/>
  <c r="AV53" i="35"/>
  <c r="AH3" i="8"/>
  <c r="AD3" i="8"/>
  <c r="P3" i="8"/>
  <c r="L3" i="8"/>
  <c r="AU130" i="90" l="1"/>
  <c r="AW75" i="83"/>
  <c r="AV81" i="6"/>
  <c r="AV39" i="6"/>
  <c r="AV38" i="6"/>
  <c r="AV37" i="6"/>
  <c r="AV40" i="6"/>
  <c r="AU55" i="28"/>
  <c r="AU427" i="28"/>
  <c r="AU61" i="28"/>
  <c r="AV16" i="49"/>
  <c r="AU440" i="28"/>
  <c r="AU439" i="28"/>
  <c r="AV41" i="6" l="1"/>
  <c r="AU77" i="28"/>
  <c r="AU62" i="28"/>
  <c r="AU453" i="28"/>
  <c r="AU431" i="28"/>
  <c r="AU430" i="28"/>
  <c r="AU456" i="28"/>
  <c r="AV19" i="49"/>
  <c r="AU457" i="28" l="1"/>
  <c r="AU452" i="28"/>
  <c r="AU81" i="28"/>
  <c r="AU451" i="28"/>
  <c r="AV20" i="49"/>
  <c r="AS110" i="45"/>
  <c r="AR110" i="45"/>
  <c r="AM110" i="45"/>
  <c r="AL110" i="45"/>
  <c r="AI110" i="45"/>
  <c r="AH110" i="45"/>
  <c r="AE110" i="45"/>
  <c r="AD110" i="45"/>
  <c r="Y110" i="45"/>
  <c r="X110" i="45"/>
  <c r="U110" i="45"/>
  <c r="T110" i="45"/>
  <c r="Q110" i="45"/>
  <c r="P110" i="45"/>
  <c r="M110" i="45"/>
  <c r="L110" i="45"/>
  <c r="G110" i="45"/>
  <c r="F110" i="45"/>
  <c r="AR74" i="11"/>
  <c r="AQ74" i="11"/>
  <c r="AL74" i="11"/>
  <c r="AK74" i="11"/>
  <c r="AH74" i="11"/>
  <c r="AG74" i="11"/>
  <c r="AD74" i="11"/>
  <c r="AC74" i="11"/>
  <c r="X74" i="11"/>
  <c r="W74" i="11"/>
  <c r="T74" i="11"/>
  <c r="S74" i="11"/>
  <c r="P74" i="11"/>
  <c r="O74" i="11"/>
  <c r="L74" i="11"/>
  <c r="K74" i="11"/>
  <c r="F74" i="11"/>
  <c r="E74" i="11"/>
  <c r="AR168" i="10"/>
  <c r="AQ168" i="10"/>
  <c r="AL168" i="10"/>
  <c r="AK168" i="10"/>
  <c r="AH168" i="10"/>
  <c r="AG168" i="10"/>
  <c r="AD168" i="10"/>
  <c r="AC168" i="10"/>
  <c r="X168" i="10"/>
  <c r="W168" i="10"/>
  <c r="T168" i="10"/>
  <c r="S168" i="10"/>
  <c r="P168" i="10"/>
  <c r="O168" i="10"/>
  <c r="L168" i="10"/>
  <c r="K168" i="10"/>
  <c r="F168" i="10"/>
  <c r="E168" i="10"/>
  <c r="AS68" i="83" l="1"/>
  <c r="BC68" i="83" s="1"/>
  <c r="AS69" i="83"/>
  <c r="BC69" i="83" s="1"/>
  <c r="AS70" i="83"/>
  <c r="BC70" i="83" s="1"/>
  <c r="AS71" i="83"/>
  <c r="BC71" i="83" s="1"/>
  <c r="AS72" i="83"/>
  <c r="BC72" i="83" s="1"/>
  <c r="AS51" i="83"/>
  <c r="BC51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3" i="83"/>
  <c r="BC63" i="83" s="1"/>
  <c r="AS64" i="83"/>
  <c r="BC64" i="83" s="1"/>
  <c r="AS65" i="83"/>
  <c r="BC65" i="83" s="1"/>
  <c r="AS50" i="83"/>
  <c r="BC50" i="83" s="1"/>
  <c r="AS47" i="83"/>
  <c r="BC47" i="83" s="1"/>
  <c r="AS48" i="83"/>
  <c r="BC48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9" i="83"/>
  <c r="BC9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4" i="83"/>
  <c r="BC24" i="83" s="1"/>
  <c r="AS25" i="83"/>
  <c r="BC25" i="83" s="1"/>
  <c r="AS27" i="83"/>
  <c r="BC27" i="83" s="1"/>
  <c r="AS28" i="83"/>
  <c r="BC28" i="83" s="1"/>
  <c r="AS29" i="83"/>
  <c r="BC29" i="83" s="1"/>
  <c r="AS30" i="83"/>
  <c r="BC30" i="83" s="1"/>
  <c r="AS31" i="83"/>
  <c r="BC31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49" i="83"/>
  <c r="BC37" i="83"/>
  <c r="BC73" i="83"/>
  <c r="AS73" i="83"/>
  <c r="AS49" i="83"/>
  <c r="AS44" i="83"/>
  <c r="AS37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29" i="26" l="1"/>
  <c r="AP129" i="26"/>
  <c r="AQ114" i="26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R90" i="17" l="1"/>
  <c r="AP115" i="17"/>
  <c r="AP113" i="17"/>
  <c r="AP117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4" i="17"/>
  <c r="AU19" i="38"/>
  <c r="AQ13" i="17"/>
  <c r="AQ15" i="17" s="1"/>
  <c r="AP33" i="17"/>
  <c r="AQ115" i="17"/>
  <c r="AQ11" i="17"/>
  <c r="AQ62" i="17"/>
  <c r="AQ33" i="17"/>
  <c r="AP59" i="17"/>
  <c r="AP60" i="17" s="1"/>
  <c r="AP50" i="17"/>
  <c r="AP112" i="17" s="1"/>
  <c r="AP11" i="17"/>
  <c r="AP114" i="17"/>
  <c r="AQ32" i="17"/>
  <c r="AQ31" i="17"/>
  <c r="AQ30" i="17"/>
  <c r="AQ34" i="17"/>
  <c r="AP34" i="17"/>
  <c r="AQ50" i="17"/>
  <c r="AP32" i="17"/>
  <c r="AP62" i="17"/>
  <c r="AP116" i="17" l="1"/>
  <c r="AP54" i="17"/>
  <c r="AQ51" i="17"/>
  <c r="AQ54" i="17"/>
  <c r="AQ112" i="17"/>
  <c r="AQ116" i="17" s="1"/>
  <c r="AQ55" i="17" l="1"/>
  <c r="AQ113" i="17"/>
  <c r="AQ117" i="17" s="1"/>
  <c r="AT279" i="28" l="1"/>
  <c r="AX279" i="28" s="1"/>
  <c r="BF279" i="28" s="1"/>
  <c r="AT366" i="28"/>
  <c r="AX366" i="28" s="1"/>
  <c r="BF366" i="28" s="1"/>
  <c r="AT361" i="28"/>
  <c r="AX361" i="28" s="1"/>
  <c r="BF361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59" i="45" l="1"/>
  <c r="AY59" i="45" s="1"/>
  <c r="AL138" i="10"/>
  <c r="AL65" i="10"/>
  <c r="AT75" i="10"/>
  <c r="AX75" i="10" s="1"/>
  <c r="BF75" i="10" s="1"/>
  <c r="AT83" i="10"/>
  <c r="AX83" i="10" s="1"/>
  <c r="BF83" i="10" s="1"/>
  <c r="BB127" i="10"/>
  <c r="AR83" i="10"/>
  <c r="AR73" i="10"/>
  <c r="AR30" i="10"/>
  <c r="AR38" i="10"/>
  <c r="AR23" i="10"/>
  <c r="AR22" i="10"/>
  <c r="AR37" i="10"/>
  <c r="AR58" i="10"/>
  <c r="AR53" i="10"/>
  <c r="BG59" i="45" l="1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AS40" i="50" l="1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29" i="50"/>
  <c r="AT111" i="50"/>
  <c r="AT99" i="50"/>
  <c r="AT89" i="50"/>
  <c r="AT77" i="50"/>
  <c r="AT53" i="50"/>
  <c r="AT46" i="50"/>
  <c r="AT38" i="50"/>
  <c r="AS138" i="50"/>
  <c r="BC138" i="50" s="1"/>
  <c r="AS136" i="50"/>
  <c r="BC136" i="50" s="1"/>
  <c r="AS135" i="50"/>
  <c r="BC135" i="50" s="1"/>
  <c r="AS131" i="50"/>
  <c r="BC131" i="50" s="1"/>
  <c r="AR129" i="50"/>
  <c r="AR127" i="50"/>
  <c r="AR126" i="50"/>
  <c r="AR125" i="50"/>
  <c r="AS121" i="50"/>
  <c r="BC121" i="50" s="1"/>
  <c r="AR111" i="50"/>
  <c r="AS109" i="50"/>
  <c r="BC109" i="50" s="1"/>
  <c r="AR109" i="50"/>
  <c r="AS108" i="50"/>
  <c r="BC108" i="50" s="1"/>
  <c r="AR108" i="50"/>
  <c r="AS107" i="50"/>
  <c r="BC107" i="50" s="1"/>
  <c r="AR107" i="50"/>
  <c r="AR99" i="50"/>
  <c r="AS98" i="50"/>
  <c r="AS97" i="50"/>
  <c r="AS89" i="50"/>
  <c r="AR89" i="50"/>
  <c r="AS77" i="50"/>
  <c r="AR77" i="50"/>
  <c r="AR53" i="50"/>
  <c r="AS52" i="50"/>
  <c r="BC52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74" i="90"/>
  <c r="AQ78" i="90"/>
  <c r="AQ82" i="90"/>
  <c r="AQ90" i="90"/>
  <c r="AQ71" i="90" l="1"/>
  <c r="AQ85" i="90"/>
  <c r="AQ73" i="90"/>
  <c r="AQ72" i="90"/>
  <c r="AQ83" i="90"/>
  <c r="AQ77" i="90"/>
  <c r="AQ76" i="90"/>
  <c r="AQ88" i="90"/>
  <c r="AQ70" i="90"/>
  <c r="AQ81" i="90"/>
  <c r="AQ84" i="90"/>
  <c r="AQ80" i="90"/>
  <c r="AQ87" i="90"/>
  <c r="AQ89" i="90"/>
  <c r="AQ68" i="90"/>
  <c r="AQ79" i="90"/>
  <c r="AQ86" i="90"/>
  <c r="AQ75" i="90"/>
  <c r="AQ69" i="90"/>
  <c r="BC46" i="50"/>
  <c r="BC53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7" i="50"/>
  <c r="AY97" i="50"/>
  <c r="AU98" i="50"/>
  <c r="AY98" i="50"/>
  <c r="AS122" i="50"/>
  <c r="BC122" i="50" s="1"/>
  <c r="BC123" i="50" s="1"/>
  <c r="AS66" i="83"/>
  <c r="AR100" i="50"/>
  <c r="AT100" i="50"/>
  <c r="AR90" i="50"/>
  <c r="AT90" i="50"/>
  <c r="AS123" i="50"/>
  <c r="AS53" i="50"/>
  <c r="AS118" i="50" s="1"/>
  <c r="BC118" i="50" s="1"/>
  <c r="AS110" i="50"/>
  <c r="BC110" i="50" s="1"/>
  <c r="AS46" i="50"/>
  <c r="AS114" i="50" s="1"/>
  <c r="BC114" i="50" s="1"/>
  <c r="AS38" i="50"/>
  <c r="AS104" i="50" s="1"/>
  <c r="BC104" i="50" s="1"/>
  <c r="AS124" i="50"/>
  <c r="BC124" i="50" s="1"/>
  <c r="AS132" i="50"/>
  <c r="BC132" i="50" s="1"/>
  <c r="BC133" i="50" s="1"/>
  <c r="AS125" i="45"/>
  <c r="AS124" i="45"/>
  <c r="AS122" i="45"/>
  <c r="AS116" i="45"/>
  <c r="AS123" i="45" s="1"/>
  <c r="AS111" i="45"/>
  <c r="AR111" i="45"/>
  <c r="AS109" i="45"/>
  <c r="AR109" i="45"/>
  <c r="AS108" i="45"/>
  <c r="AR108" i="45"/>
  <c r="AS106" i="45"/>
  <c r="AS104" i="45"/>
  <c r="AR104" i="45"/>
  <c r="AS102" i="45"/>
  <c r="AR102" i="45"/>
  <c r="AS99" i="45"/>
  <c r="AS100" i="45" s="1"/>
  <c r="AR99" i="45"/>
  <c r="AR100" i="45" s="1"/>
  <c r="AS90" i="45"/>
  <c r="AS89" i="45"/>
  <c r="AR89" i="45"/>
  <c r="AR112" i="45" s="1"/>
  <c r="AS88" i="45"/>
  <c r="AR88" i="11"/>
  <c r="AR86" i="11"/>
  <c r="AR80" i="11"/>
  <c r="AR81" i="11" s="1"/>
  <c r="AR75" i="11"/>
  <c r="AQ75" i="11"/>
  <c r="AR73" i="11"/>
  <c r="AQ73" i="11"/>
  <c r="AR72" i="11"/>
  <c r="AQ72" i="11"/>
  <c r="AR70" i="11"/>
  <c r="AR68" i="11"/>
  <c r="AQ68" i="11"/>
  <c r="AR66" i="11"/>
  <c r="AQ66" i="11"/>
  <c r="AR63" i="11"/>
  <c r="AR64" i="11" s="1"/>
  <c r="AQ63" i="11"/>
  <c r="AQ64" i="11" s="1"/>
  <c r="AR61" i="11"/>
  <c r="AR56" i="11"/>
  <c r="AR54" i="11"/>
  <c r="AR90" i="11" s="1"/>
  <c r="AR53" i="11"/>
  <c r="AS113" i="50" s="1"/>
  <c r="BC113" i="50" s="1"/>
  <c r="AQ53" i="11"/>
  <c r="AQ52" i="11" s="1"/>
  <c r="AR52" i="11"/>
  <c r="AR89" i="11" s="1"/>
  <c r="AR182" i="10"/>
  <c r="AR180" i="10"/>
  <c r="AR174" i="10"/>
  <c r="AR175" i="10" s="1"/>
  <c r="AR169" i="10"/>
  <c r="AQ169" i="10"/>
  <c r="AR167" i="10"/>
  <c r="AQ167" i="10"/>
  <c r="AR166" i="10"/>
  <c r="AQ166" i="10"/>
  <c r="AR164" i="10"/>
  <c r="AR162" i="10"/>
  <c r="AQ162" i="10"/>
  <c r="AR160" i="10"/>
  <c r="AQ160" i="10"/>
  <c r="AR157" i="10"/>
  <c r="AR158" i="10" s="1"/>
  <c r="AQ157" i="10"/>
  <c r="AQ158" i="10" s="1"/>
  <c r="AR152" i="10"/>
  <c r="AR184" i="10" s="1"/>
  <c r="AR150" i="10"/>
  <c r="AR183" i="10" s="1"/>
  <c r="AR151" i="10"/>
  <c r="AS103" i="50" s="1"/>
  <c r="BC103" i="50" s="1"/>
  <c r="AR192" i="10"/>
  <c r="AS126" i="45" l="1"/>
  <c r="AS127" i="45"/>
  <c r="BC115" i="50"/>
  <c r="AR58" i="11"/>
  <c r="BB61" i="11"/>
  <c r="AS67" i="83"/>
  <c r="AS74" i="83" s="1"/>
  <c r="BC74" i="83" s="1"/>
  <c r="BC66" i="83"/>
  <c r="AS16" i="61"/>
  <c r="BC105" i="50"/>
  <c r="BC38" i="50"/>
  <c r="AS118" i="45"/>
  <c r="AR91" i="45"/>
  <c r="AR88" i="45"/>
  <c r="AR92" i="45"/>
  <c r="AS92" i="45"/>
  <c r="AS93" i="45" s="1"/>
  <c r="AS117" i="50"/>
  <c r="BC117" i="50" s="1"/>
  <c r="BC119" i="50" s="1"/>
  <c r="AR87" i="11"/>
  <c r="AR93" i="11" s="1"/>
  <c r="AR82" i="11"/>
  <c r="AR57" i="11"/>
  <c r="AR154" i="10"/>
  <c r="AR155" i="10" s="1"/>
  <c r="AS115" i="50"/>
  <c r="AS105" i="50"/>
  <c r="AS106" i="50"/>
  <c r="BC106" i="50" s="1"/>
  <c r="BC111" i="50" s="1"/>
  <c r="AS90" i="50"/>
  <c r="AS134" i="50"/>
  <c r="BC134" i="50" s="1"/>
  <c r="AS133" i="50"/>
  <c r="AS117" i="45"/>
  <c r="AS91" i="45"/>
  <c r="AS112" i="45"/>
  <c r="AS128" i="45"/>
  <c r="AS130" i="45"/>
  <c r="AR91" i="11"/>
  <c r="AQ55" i="11"/>
  <c r="AQ76" i="11"/>
  <c r="AQ95" i="11"/>
  <c r="AR55" i="11"/>
  <c r="AR76" i="11"/>
  <c r="AR181" i="10"/>
  <c r="AR187" i="10" s="1"/>
  <c r="AR176" i="10"/>
  <c r="AR185" i="10"/>
  <c r="AR193" i="10"/>
  <c r="AR153" i="10"/>
  <c r="AR170" i="10"/>
  <c r="AR189" i="10"/>
  <c r="BB58" i="11" l="1"/>
  <c r="BC67" i="83"/>
  <c r="BB154" i="10"/>
  <c r="BC90" i="50"/>
  <c r="AS119" i="50"/>
  <c r="AS111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0" i="7"/>
  <c r="AQ109" i="7"/>
  <c r="AQ108" i="7"/>
  <c r="AQ107" i="7"/>
  <c r="AQ106" i="7"/>
  <c r="AQ105" i="7"/>
  <c r="AQ104" i="7"/>
  <c r="AQ103" i="7"/>
  <c r="AR82" i="7"/>
  <c r="AQ82" i="7"/>
  <c r="AR80" i="7"/>
  <c r="AQ76" i="7"/>
  <c r="AQ74" i="7"/>
  <c r="AR73" i="7"/>
  <c r="AQ73" i="7"/>
  <c r="AR71" i="7"/>
  <c r="AR69" i="7"/>
  <c r="AQ69" i="7"/>
  <c r="AQ71" i="7" s="1"/>
  <c r="AQ66" i="7"/>
  <c r="AR65" i="7"/>
  <c r="AR56" i="7" s="1"/>
  <c r="AQ65" i="7"/>
  <c r="AQ79" i="7" s="1"/>
  <c r="AQ59" i="7"/>
  <c r="AQ58" i="7"/>
  <c r="AQ55" i="7"/>
  <c r="AQ52" i="7"/>
  <c r="AR35" i="7"/>
  <c r="AR100" i="7" s="1"/>
  <c r="AQ35" i="7"/>
  <c r="AQ100" i="7" s="1"/>
  <c r="AQ34" i="7"/>
  <c r="AQ88" i="7" s="1"/>
  <c r="AQ32" i="7"/>
  <c r="AQ97" i="7" s="1"/>
  <c r="AR31" i="7"/>
  <c r="AR96" i="7" s="1"/>
  <c r="AQ31" i="7"/>
  <c r="AQ96" i="7" s="1"/>
  <c r="AQ30" i="7"/>
  <c r="AQ93" i="7" s="1"/>
  <c r="AQ29" i="7"/>
  <c r="AQ92" i="7" s="1"/>
  <c r="AR28" i="7"/>
  <c r="AR91" i="7" s="1"/>
  <c r="AQ28" i="7"/>
  <c r="AQ91" i="7" s="1"/>
  <c r="AQ26" i="7"/>
  <c r="AQ89" i="7" s="1"/>
  <c r="AR25" i="7"/>
  <c r="AQ25" i="7"/>
  <c r="AQ24" i="7"/>
  <c r="AQ23" i="7"/>
  <c r="AR22" i="7"/>
  <c r="AR85" i="7" s="1"/>
  <c r="AQ22" i="7"/>
  <c r="AQ85" i="7" s="1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31" i="6"/>
  <c r="BB131" i="6" s="1"/>
  <c r="AQ131" i="6"/>
  <c r="BA131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S127" i="50" l="1"/>
  <c r="BC127" i="50" s="1"/>
  <c r="AQ95" i="90"/>
  <c r="BA95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7" i="8"/>
  <c r="AQ2" i="17"/>
  <c r="AQ2" i="26"/>
  <c r="AQ6" i="26"/>
  <c r="AR96" i="9"/>
  <c r="AQ131" i="26"/>
  <c r="AR33" i="22"/>
  <c r="AQ30" i="6"/>
  <c r="AQ25" i="6"/>
  <c r="BB138" i="6"/>
  <c r="BB133" i="6"/>
  <c r="BB139" i="6" s="1"/>
  <c r="BB143" i="6" s="1"/>
  <c r="BA133" i="6"/>
  <c r="BA138" i="6"/>
  <c r="AQ163" i="6"/>
  <c r="AQ24" i="6"/>
  <c r="AQ26" i="6" s="1"/>
  <c r="AR58" i="8"/>
  <c r="AR62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1" i="7"/>
  <c r="AR59" i="7"/>
  <c r="AR99" i="7" s="1"/>
  <c r="AR53" i="7"/>
  <c r="AQ49" i="39"/>
  <c r="AR16" i="8"/>
  <c r="AR41" i="8"/>
  <c r="AR91" i="8"/>
  <c r="AR43" i="8"/>
  <c r="AR47" i="8"/>
  <c r="AQ25" i="9"/>
  <c r="AQ88" i="9" s="1"/>
  <c r="AR37" i="9"/>
  <c r="AR109" i="8"/>
  <c r="AR111" i="8" s="1"/>
  <c r="AR52" i="8" s="1"/>
  <c r="AR72" i="8"/>
  <c r="AR37" i="8"/>
  <c r="AR34" i="8"/>
  <c r="AR71" i="8"/>
  <c r="AR36" i="8"/>
  <c r="AR73" i="8"/>
  <c r="AR39" i="8"/>
  <c r="AQ54" i="7"/>
  <c r="AQ94" i="7" s="1"/>
  <c r="AQ56" i="7"/>
  <c r="AQ60" i="7"/>
  <c r="AQ98" i="7"/>
  <c r="AQ86" i="7"/>
  <c r="AQ27" i="7"/>
  <c r="AQ90" i="7" s="1"/>
  <c r="AQ53" i="7"/>
  <c r="AQ87" i="7" s="1"/>
  <c r="AQ57" i="7"/>
  <c r="AR23" i="7"/>
  <c r="AR29" i="7"/>
  <c r="AR92" i="7" s="1"/>
  <c r="AR32" i="7"/>
  <c r="AR97" i="7" s="1"/>
  <c r="AR57" i="7"/>
  <c r="AR79" i="7"/>
  <c r="AR26" i="7"/>
  <c r="AR89" i="7" s="1"/>
  <c r="AR54" i="7"/>
  <c r="AR94" i="7" s="1"/>
  <c r="AR60" i="7"/>
  <c r="AR67" i="7"/>
  <c r="AR76" i="7"/>
  <c r="AQ45" i="39"/>
  <c r="AR24" i="7"/>
  <c r="AR87" i="7" s="1"/>
  <c r="AR27" i="7"/>
  <c r="AR90" i="7" s="1"/>
  <c r="AR30" i="7"/>
  <c r="AR93" i="7" s="1"/>
  <c r="AR34" i="7"/>
  <c r="AR88" i="7" s="1"/>
  <c r="AR52" i="7"/>
  <c r="AR55" i="7"/>
  <c r="AR98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5" i="39" l="1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97" i="6" s="1"/>
  <c r="BB154" i="6"/>
  <c r="AR173" i="6"/>
  <c r="BA139" i="6"/>
  <c r="BA143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101" i="7"/>
  <c r="AQ36" i="7"/>
  <c r="AQ51" i="7" s="1"/>
  <c r="AQ61" i="7" s="1"/>
  <c r="AR86" i="7"/>
  <c r="AR101" i="7" s="1"/>
  <c r="AR36" i="7"/>
  <c r="AR51" i="7" s="1"/>
  <c r="AQ24" i="39"/>
  <c r="AQ51" i="39"/>
  <c r="AQ175" i="6"/>
  <c r="AQ173" i="6"/>
  <c r="AQ174" i="6" s="1"/>
  <c r="AQ139" i="6"/>
  <c r="AQ143" i="6" s="1"/>
  <c r="AQ208" i="6" s="1"/>
  <c r="AR139" i="6"/>
  <c r="AR143" i="6" s="1"/>
  <c r="AR197" i="6" s="1"/>
  <c r="AQ29" i="6"/>
  <c r="AQ23" i="6"/>
  <c r="AQ33" i="6"/>
  <c r="AQ150" i="6"/>
  <c r="AQ148" i="6"/>
  <c r="AQ84" i="6"/>
  <c r="AR150" i="6"/>
  <c r="AR148" i="6"/>
  <c r="AQ147" i="6"/>
  <c r="AQ34" i="6"/>
  <c r="BA24" i="39" l="1"/>
  <c r="BA51" i="39"/>
  <c r="AQ212" i="6"/>
  <c r="AQ203" i="6"/>
  <c r="AR149" i="6"/>
  <c r="AR199" i="6"/>
  <c r="AR77" i="9"/>
  <c r="AR74" i="9"/>
  <c r="AR79" i="9" s="1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Q214" i="6" l="1"/>
  <c r="AQ209" i="6"/>
  <c r="AQ215" i="6" s="1"/>
  <c r="AQ220" i="6" s="1"/>
  <c r="AR214" i="6"/>
  <c r="AR219" i="6"/>
  <c r="AR209" i="6"/>
  <c r="AR215" i="6" l="1"/>
  <c r="AR220" i="6" s="1"/>
  <c r="AQ458" i="28" l="1"/>
  <c r="AR415" i="28"/>
  <c r="AR411" i="28"/>
  <c r="AR426" i="28" s="1"/>
  <c r="AR380" i="28"/>
  <c r="AR409" i="28" s="1"/>
  <c r="AR372" i="28"/>
  <c r="AR450" i="28" s="1"/>
  <c r="AQ372" i="28"/>
  <c r="AR356" i="28"/>
  <c r="AR357" i="28" s="1"/>
  <c r="AR273" i="28"/>
  <c r="AR446" i="28" s="1"/>
  <c r="AQ273" i="28"/>
  <c r="AR267" i="28"/>
  <c r="AQ267" i="28"/>
  <c r="AR266" i="28"/>
  <c r="AQ266" i="28"/>
  <c r="AR229" i="28"/>
  <c r="AR442" i="28" s="1"/>
  <c r="AQ229" i="28"/>
  <c r="AR212" i="28"/>
  <c r="AR211" i="28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88" i="73"/>
  <c r="BA188" i="73" s="1"/>
  <c r="AQ177" i="73"/>
  <c r="AQ131" i="73"/>
  <c r="BA131" i="73" s="1"/>
  <c r="AQ127" i="73"/>
  <c r="BA127" i="73" s="1"/>
  <c r="AQ124" i="73"/>
  <c r="BA124" i="73" s="1"/>
  <c r="AQ120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T49" i="59" s="1"/>
  <c r="AU45" i="59"/>
  <c r="AT45" i="59"/>
  <c r="AU43" i="59"/>
  <c r="AT43" i="59"/>
  <c r="AU42" i="59"/>
  <c r="AU44" i="59" s="1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1" i="10" s="1"/>
  <c r="AQ18" i="35"/>
  <c r="AQ32" i="36" s="1"/>
  <c r="AQ17" i="35"/>
  <c r="AQ6" i="8" s="1"/>
  <c r="AQ16" i="35"/>
  <c r="AQ134" i="73" l="1"/>
  <c r="AQ40" i="36"/>
  <c r="AQ42" i="36" s="1"/>
  <c r="AQ29" i="8"/>
  <c r="AQ23" i="8"/>
  <c r="AQ84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P17" i="15"/>
  <c r="AP14" i="15" s="1"/>
  <c r="AP15" i="15" s="1"/>
  <c r="AQ5" i="9"/>
  <c r="AQ19" i="9" s="1"/>
  <c r="AQ43" i="36"/>
  <c r="AQ45" i="36" s="1"/>
  <c r="AQ6" i="49"/>
  <c r="AQ170" i="10"/>
  <c r="AT66" i="59" s="1"/>
  <c r="AQ150" i="10"/>
  <c r="AQ153" i="10"/>
  <c r="AQ46" i="36"/>
  <c r="AQ186" i="73"/>
  <c r="BA186" i="73" s="1"/>
  <c r="BA177" i="73"/>
  <c r="BA120" i="73"/>
  <c r="BA134" i="73" s="1"/>
  <c r="BA117" i="73"/>
  <c r="AQ6" i="73"/>
  <c r="BA6" i="73" s="1"/>
  <c r="BA8" i="73"/>
  <c r="AQ124" i="90"/>
  <c r="BA14" i="73"/>
  <c r="AS137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68" i="28"/>
  <c r="AR445" i="28" s="1"/>
  <c r="AR449" i="28"/>
  <c r="AR213" i="28"/>
  <c r="AR441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444" i="28"/>
  <c r="AR448" i="28"/>
  <c r="AR33" i="28"/>
  <c r="AR458" i="28"/>
  <c r="AR451" i="28"/>
  <c r="AR439" i="28"/>
  <c r="AQ357" i="28"/>
  <c r="AQ449" i="28" s="1"/>
  <c r="AQ60" i="28"/>
  <c r="AQ73" i="28" s="1"/>
  <c r="AR55" i="28"/>
  <c r="AR456" i="28" s="1"/>
  <c r="AR437" i="28"/>
  <c r="AR436" i="28"/>
  <c r="AQ59" i="28"/>
  <c r="AQ69" i="28" s="1"/>
  <c r="AQ443" i="28" s="1"/>
  <c r="AQ268" i="28"/>
  <c r="AQ445" i="28" s="1"/>
  <c r="AR459" i="28"/>
  <c r="AR427" i="28"/>
  <c r="AR453" i="28" s="1"/>
  <c r="AR443" i="28"/>
  <c r="AQ12" i="28"/>
  <c r="AR447" i="28"/>
  <c r="AR61" i="28"/>
  <c r="AR62" i="28" s="1"/>
  <c r="AR457" i="28" s="1"/>
  <c r="AR83" i="28"/>
  <c r="AR84" i="28" s="1"/>
  <c r="AQ117" i="73"/>
  <c r="AQ5" i="73"/>
  <c r="BA5" i="73" s="1"/>
  <c r="AR20" i="21"/>
  <c r="AQ15" i="21"/>
  <c r="AQ58" i="8" l="1"/>
  <c r="AQ62" i="8" s="1"/>
  <c r="AQ35" i="8" s="1"/>
  <c r="AQ108" i="8"/>
  <c r="AQ109" i="8" s="1"/>
  <c r="AQ68" i="8"/>
  <c r="AQ36" i="8" s="1"/>
  <c r="AQ63" i="9"/>
  <c r="AQ66" i="9"/>
  <c r="AQ92" i="9"/>
  <c r="AQ95" i="9"/>
  <c r="AQ65" i="9"/>
  <c r="AP131" i="26"/>
  <c r="AQ55" i="9"/>
  <c r="AQ57" i="9" s="1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4" i="8"/>
  <c r="AQ8" i="49"/>
  <c r="AQ66" i="8"/>
  <c r="AQ37" i="8" s="1"/>
  <c r="BC137" i="50"/>
  <c r="AS139" i="50"/>
  <c r="AQ126" i="90"/>
  <c r="BA124" i="90"/>
  <c r="AR440" i="28"/>
  <c r="AR56" i="28"/>
  <c r="AR19" i="36"/>
  <c r="AU57" i="59" s="1"/>
  <c r="AQ448" i="28"/>
  <c r="AQ213" i="28"/>
  <c r="AQ441" i="28" s="1"/>
  <c r="AQ58" i="28"/>
  <c r="AQ437" i="28"/>
  <c r="AQ436" i="28"/>
  <c r="AQ444" i="28"/>
  <c r="AQ447" i="28"/>
  <c r="AR452" i="28"/>
  <c r="AR430" i="28"/>
  <c r="AR431" i="28"/>
  <c r="AQ110" i="8" l="1"/>
  <c r="AQ111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39" i="50"/>
  <c r="AS140" i="50"/>
  <c r="BC140" i="50" s="1"/>
  <c r="AQ130" i="90"/>
  <c r="BA126" i="90"/>
  <c r="AQ65" i="28"/>
  <c r="BA130" i="90" l="1"/>
  <c r="AQ16" i="49"/>
  <c r="AQ440" i="28"/>
  <c r="AQ439" i="28"/>
  <c r="AQ19" i="49" l="1"/>
  <c r="AQ42" i="35"/>
  <c r="AQ41" i="35"/>
  <c r="AR40" i="35"/>
  <c r="AR39" i="35"/>
  <c r="AQ39" i="35"/>
  <c r="AR36" i="35"/>
  <c r="AR46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56" i="28" s="1"/>
  <c r="AQ13" i="35"/>
  <c r="AQ15" i="35" s="1"/>
  <c r="AQ8" i="6"/>
  <c r="AR6" i="6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6" i="6"/>
  <c r="AR18" i="6"/>
  <c r="AR8" i="35"/>
  <c r="AR5" i="6"/>
  <c r="AR41" i="35"/>
  <c r="AR47" i="35" s="1"/>
  <c r="AR95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6" i="35"/>
  <c r="AQ47" i="35" s="1"/>
  <c r="AQ37" i="35"/>
  <c r="AQ11" i="35"/>
  <c r="AQ10" i="6" s="1"/>
  <c r="AQ53" i="35" l="1"/>
  <c r="AR93" i="50"/>
  <c r="AR91" i="50" s="1"/>
  <c r="AQ427" i="28"/>
  <c r="AQ61" i="28"/>
  <c r="AS93" i="50"/>
  <c r="AS91" i="50" s="1"/>
  <c r="AS77" i="83"/>
  <c r="AR189" i="6"/>
  <c r="AR194" i="6"/>
  <c r="AR17" i="6"/>
  <c r="AR15" i="6"/>
  <c r="AR7" i="6"/>
  <c r="AR53" i="35"/>
  <c r="AR14" i="49"/>
  <c r="AU6" i="59"/>
  <c r="AQ77" i="28" l="1"/>
  <c r="AQ62" i="28"/>
  <c r="AQ457" i="28" s="1"/>
  <c r="AQ453" i="28"/>
  <c r="AQ431" i="28"/>
  <c r="AQ430" i="28"/>
  <c r="AS75" i="83"/>
  <c r="BC77" i="83"/>
  <c r="BC75" i="83" s="1"/>
  <c r="AR19" i="6"/>
  <c r="AR81" i="6" s="1"/>
  <c r="AR168" i="6"/>
  <c r="AR164" i="6"/>
  <c r="AR15" i="49"/>
  <c r="AL113" i="10"/>
  <c r="AL104" i="10"/>
  <c r="AL58" i="10"/>
  <c r="AL60" i="10"/>
  <c r="AL30" i="10"/>
  <c r="AL21" i="10"/>
  <c r="AL13" i="10"/>
  <c r="AQ452" i="28" l="1"/>
  <c r="AQ81" i="28"/>
  <c r="AQ451" i="28"/>
  <c r="AR84" i="6"/>
  <c r="AR38" i="6"/>
  <c r="AR40" i="6"/>
  <c r="AR37" i="6"/>
  <c r="AR39" i="6"/>
  <c r="AR16" i="49"/>
  <c r="AR41" i="6" l="1"/>
  <c r="AR19" i="49"/>
  <c r="AP6" i="38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L11" i="49"/>
  <c r="AK11" i="49"/>
  <c r="AL9" i="49"/>
  <c r="AL8" i="49"/>
  <c r="AM68" i="83" l="1"/>
  <c r="AM69" i="83"/>
  <c r="AM70" i="83"/>
  <c r="AM71" i="83"/>
  <c r="AM72" i="83"/>
  <c r="AM51" i="83"/>
  <c r="AM52" i="83"/>
  <c r="AM53" i="83"/>
  <c r="AM54" i="83"/>
  <c r="AM55" i="83"/>
  <c r="AM56" i="83"/>
  <c r="AM57" i="83"/>
  <c r="AM58" i="83"/>
  <c r="AM59" i="83"/>
  <c r="AM60" i="83"/>
  <c r="AM61" i="83"/>
  <c r="AM63" i="83"/>
  <c r="AM64" i="83"/>
  <c r="AM65" i="83"/>
  <c r="AM50" i="83"/>
  <c r="AM47" i="83"/>
  <c r="AM48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3" i="83" l="1"/>
  <c r="AM49" i="83"/>
  <c r="AM44" i="83"/>
  <c r="AM37" i="83"/>
  <c r="AN60" i="11" l="1"/>
  <c r="BD60" i="11" s="1"/>
  <c r="AN59" i="11"/>
  <c r="BD59" i="11" s="1"/>
  <c r="Z60" i="11"/>
  <c r="Z59" i="11"/>
  <c r="AL61" i="11"/>
  <c r="AL58" i="11" s="1"/>
  <c r="AH61" i="11"/>
  <c r="AH58" i="11" s="1"/>
  <c r="AD61" i="11"/>
  <c r="X61" i="11"/>
  <c r="X58" i="11" s="1"/>
  <c r="T61" i="11"/>
  <c r="T58" i="11" s="1"/>
  <c r="P61" i="11"/>
  <c r="L61" i="11"/>
  <c r="L58" i="11" s="1"/>
  <c r="N60" i="11"/>
  <c r="R60" i="11" s="1"/>
  <c r="V60" i="11" s="1"/>
  <c r="N59" i="11"/>
  <c r="R59" i="11" s="1"/>
  <c r="F61" i="11"/>
  <c r="F58" i="11" l="1"/>
  <c r="J61" i="11"/>
  <c r="J58" i="11" s="1"/>
  <c r="V59" i="11"/>
  <c r="AN61" i="11"/>
  <c r="AD58" i="11"/>
  <c r="Z61" i="11"/>
  <c r="Z58" i="11" s="1"/>
  <c r="P58" i="11"/>
  <c r="AB60" i="11"/>
  <c r="AF60" i="11" s="1"/>
  <c r="AJ60" i="11" s="1"/>
  <c r="AP60" i="11" s="1"/>
  <c r="AT60" i="11" s="1"/>
  <c r="AX60" i="11" s="1"/>
  <c r="BF60" i="11" s="1"/>
  <c r="AB59" i="11"/>
  <c r="AF59" i="11" s="1"/>
  <c r="AJ59" i="11" s="1"/>
  <c r="AP59" i="11" s="1"/>
  <c r="AT59" i="11" s="1"/>
  <c r="AX59" i="11" s="1"/>
  <c r="BF59" i="11" s="1"/>
  <c r="N61" i="11"/>
  <c r="R61" i="11" s="1"/>
  <c r="V61" i="11" s="1"/>
  <c r="AN58" i="11" l="1"/>
  <c r="BD61" i="11"/>
  <c r="BD58" i="11" s="1"/>
  <c r="V58" i="11"/>
  <c r="R58" i="11"/>
  <c r="AB61" i="11"/>
  <c r="AF61" i="11" s="1"/>
  <c r="AJ61" i="11" s="1"/>
  <c r="AJ58" i="11" s="1"/>
  <c r="N58" i="11"/>
  <c r="AB58" i="11" l="1"/>
  <c r="AP61" i="11"/>
  <c r="AF58" i="11"/>
  <c r="AP58" i="11" l="1"/>
  <c r="AT61" i="11"/>
  <c r="AP159" i="9"/>
  <c r="AP158" i="9"/>
  <c r="AP157" i="9"/>
  <c r="AN159" i="9"/>
  <c r="AN158" i="9"/>
  <c r="AN157" i="9"/>
  <c r="AT58" i="11" l="1"/>
  <c r="AX61" i="11"/>
  <c r="AH15" i="8"/>
  <c r="AH14" i="8"/>
  <c r="AD15" i="8"/>
  <c r="AX58" i="11" l="1"/>
  <c r="BF61" i="11"/>
  <c r="BF58" i="11" s="1"/>
  <c r="AL3" i="8"/>
  <c r="AL1" i="35" s="1"/>
  <c r="BK111" i="7" l="1"/>
  <c r="BM111" i="7" s="1"/>
  <c r="BL111" i="7"/>
  <c r="BN111" i="7"/>
  <c r="BK112" i="7"/>
  <c r="BL112" i="7"/>
  <c r="BN112" i="7" s="1"/>
  <c r="BM112" i="7"/>
  <c r="BK113" i="7"/>
  <c r="BL113" i="7"/>
  <c r="BN113" i="7" s="1"/>
  <c r="BM113" i="7"/>
  <c r="BK114" i="7"/>
  <c r="BM114" i="7" s="1"/>
  <c r="BL114" i="7"/>
  <c r="BN114" i="7"/>
  <c r="BK115" i="7"/>
  <c r="BL115" i="7"/>
  <c r="BN115" i="7" s="1"/>
  <c r="BM115" i="7"/>
  <c r="BK116" i="7"/>
  <c r="BL116" i="7"/>
  <c r="BN116" i="7" s="1"/>
  <c r="BM116" i="7"/>
  <c r="BK117" i="7"/>
  <c r="BM117" i="7" s="1"/>
  <c r="BL117" i="7"/>
  <c r="BN117" i="7"/>
  <c r="BK118" i="7"/>
  <c r="BM118" i="7"/>
  <c r="BK119" i="7"/>
  <c r="BL119" i="7"/>
  <c r="BN119" i="7" s="1"/>
  <c r="BM119" i="7"/>
  <c r="BK120" i="7"/>
  <c r="BM120" i="7" s="1"/>
  <c r="BK121" i="7"/>
  <c r="BM121" i="7"/>
  <c r="BK122" i="7"/>
  <c r="BM122" i="7"/>
  <c r="BK123" i="7"/>
  <c r="BM123" i="7" s="1"/>
  <c r="BK124" i="7"/>
  <c r="BM124" i="7"/>
  <c r="BK125" i="7"/>
  <c r="BM125" i="7"/>
  <c r="BK126" i="7"/>
  <c r="BM126" i="7" s="1"/>
  <c r="BK127" i="7"/>
  <c r="BM127" i="7"/>
  <c r="BK128" i="7"/>
  <c r="BM128" i="7"/>
  <c r="BK129" i="7"/>
  <c r="BM129" i="7" s="1"/>
  <c r="BK130" i="7"/>
  <c r="BM130" i="7"/>
  <c r="BK131" i="7"/>
  <c r="BL131" i="7"/>
  <c r="BN131" i="7" s="1"/>
  <c r="BM131" i="7"/>
  <c r="BK132" i="7"/>
  <c r="BM132" i="7" s="1"/>
  <c r="BK133" i="7"/>
  <c r="BL133" i="7"/>
  <c r="BM133" i="7"/>
  <c r="BN133" i="7"/>
  <c r="BK134" i="7"/>
  <c r="BL134" i="7"/>
  <c r="BN134" i="7" s="1"/>
  <c r="BM134" i="7"/>
  <c r="BK135" i="7"/>
  <c r="BM135" i="7" s="1"/>
  <c r="BK136" i="7"/>
  <c r="BL136" i="7"/>
  <c r="BM136" i="7"/>
  <c r="BN136" i="7"/>
  <c r="BK137" i="7"/>
  <c r="BM137" i="7"/>
  <c r="BK138" i="7"/>
  <c r="BM138" i="7" s="1"/>
  <c r="BK139" i="7"/>
  <c r="BL139" i="7"/>
  <c r="BM139" i="7"/>
  <c r="BN139" i="7"/>
  <c r="BK140" i="7"/>
  <c r="BL140" i="7"/>
  <c r="BN140" i="7" s="1"/>
  <c r="BM140" i="7"/>
  <c r="BK141" i="7"/>
  <c r="BM141" i="7" s="1"/>
  <c r="BK142" i="7"/>
  <c r="BL142" i="7"/>
  <c r="BM142" i="7"/>
  <c r="BN142" i="7"/>
  <c r="BK143" i="7"/>
  <c r="BM143" i="7"/>
  <c r="BK144" i="7"/>
  <c r="BM144" i="7" s="1"/>
  <c r="BK145" i="7"/>
  <c r="BL145" i="7"/>
  <c r="BM145" i="7"/>
  <c r="BN145" i="7"/>
  <c r="BK146" i="7"/>
  <c r="BL146" i="7"/>
  <c r="BN146" i="7" s="1"/>
  <c r="BM146" i="7"/>
  <c r="BK147" i="7"/>
  <c r="BM147" i="7" s="1"/>
  <c r="BL147" i="7"/>
  <c r="BN147" i="7"/>
  <c r="BK148" i="7"/>
  <c r="BL148" i="7"/>
  <c r="BM148" i="7"/>
  <c r="BN148" i="7"/>
  <c r="BK149" i="7"/>
  <c r="BL149" i="7"/>
  <c r="BN149" i="7" s="1"/>
  <c r="BM149" i="7"/>
  <c r="BK150" i="7"/>
  <c r="BM150" i="7" s="1"/>
  <c r="BL150" i="7"/>
  <c r="BN150" i="7"/>
  <c r="BK151" i="7"/>
  <c r="BL151" i="7"/>
  <c r="BM151" i="7"/>
  <c r="BN151" i="7"/>
  <c r="AN377" i="28"/>
  <c r="BD377" i="28" s="1"/>
  <c r="AL103" i="9"/>
  <c r="AK30" i="15" l="1"/>
  <c r="AK29" i="15"/>
  <c r="AK28" i="15"/>
  <c r="AJ368" i="28" l="1"/>
  <c r="AP368" i="28" s="1"/>
  <c r="AT368" i="28" s="1"/>
  <c r="AX368" i="28" s="1"/>
  <c r="BF368" i="28" s="1"/>
  <c r="AN368" i="28"/>
  <c r="BD368" i="28" s="1"/>
  <c r="AJ365" i="28"/>
  <c r="AP365" i="28" s="1"/>
  <c r="AT365" i="28" s="1"/>
  <c r="AX365" i="28" s="1"/>
  <c r="BF365" i="28" s="1"/>
  <c r="AN365" i="28"/>
  <c r="BD365" i="28" s="1"/>
  <c r="AO182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29" i="26" l="1"/>
  <c r="AJ129" i="26"/>
  <c r="AK114" i="26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5" i="17"/>
  <c r="AJ113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K62" i="17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4" i="17" s="1"/>
  <c r="AJ9" i="17"/>
  <c r="AJ11" i="17" s="1"/>
  <c r="AJ22" i="17" l="1"/>
  <c r="AJ114" i="17"/>
  <c r="AJ33" i="17"/>
  <c r="AJ117" i="17"/>
  <c r="AJ59" i="17"/>
  <c r="AJ60" i="17" s="1"/>
  <c r="AJ50" i="17"/>
  <c r="AJ32" i="17"/>
  <c r="AJ34" i="17"/>
  <c r="AJ31" i="17"/>
  <c r="AK51" i="17"/>
  <c r="AK55" i="17" s="1"/>
  <c r="AK54" i="17"/>
  <c r="AK112" i="17"/>
  <c r="AK116" i="17" s="1"/>
  <c r="AK32" i="17"/>
  <c r="AK34" i="17"/>
  <c r="AK31" i="17"/>
  <c r="AK30" i="17"/>
  <c r="AK33" i="17"/>
  <c r="AJ54" i="17"/>
  <c r="AJ112" i="17"/>
  <c r="AJ116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06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8" i="50"/>
  <c r="AM49" i="50"/>
  <c r="AM50" i="50"/>
  <c r="AM51" i="50"/>
  <c r="AM52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8" i="50"/>
  <c r="BE78" i="50" s="1"/>
  <c r="AO76" i="50"/>
  <c r="BE76" i="50" s="1"/>
  <c r="AO75" i="50"/>
  <c r="BE75" i="50" s="1"/>
  <c r="AO74" i="50"/>
  <c r="BE74" i="50" s="1"/>
  <c r="AO73" i="50"/>
  <c r="BE73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1" i="50"/>
  <c r="BE61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O54" i="50"/>
  <c r="BE54" i="50" s="1"/>
  <c r="AM138" i="50"/>
  <c r="AM136" i="50"/>
  <c r="AM135" i="50"/>
  <c r="AM131" i="50"/>
  <c r="AP129" i="50"/>
  <c r="AL129" i="50"/>
  <c r="AL127" i="50"/>
  <c r="AL126" i="50"/>
  <c r="AL125" i="50"/>
  <c r="AM121" i="50"/>
  <c r="AP111" i="50"/>
  <c r="AL111" i="50"/>
  <c r="AM109" i="50"/>
  <c r="AL109" i="50"/>
  <c r="AM108" i="50"/>
  <c r="AL108" i="50"/>
  <c r="AM107" i="50"/>
  <c r="AL107" i="50"/>
  <c r="AP99" i="50"/>
  <c r="AL99" i="50"/>
  <c r="AM98" i="50"/>
  <c r="AM97" i="50"/>
  <c r="AP89" i="50"/>
  <c r="AM89" i="50"/>
  <c r="AM132" i="50" s="1"/>
  <c r="AL89" i="50"/>
  <c r="AP77" i="50"/>
  <c r="AM77" i="50"/>
  <c r="AL77" i="50"/>
  <c r="AP53" i="50"/>
  <c r="AL53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M125" i="45"/>
  <c r="AM124" i="45"/>
  <c r="AM122" i="45"/>
  <c r="AM116" i="45"/>
  <c r="AM117" i="45" s="1"/>
  <c r="AM111" i="45"/>
  <c r="AL111" i="45"/>
  <c r="AM109" i="45"/>
  <c r="AL109" i="45"/>
  <c r="AM108" i="45"/>
  <c r="AL108" i="45"/>
  <c r="AM106" i="45"/>
  <c r="AM104" i="45"/>
  <c r="AL104" i="45"/>
  <c r="AM102" i="45"/>
  <c r="AL102" i="45"/>
  <c r="AM99" i="45"/>
  <c r="AM100" i="45" s="1"/>
  <c r="AL99" i="45"/>
  <c r="AL100" i="45" s="1"/>
  <c r="AM90" i="45"/>
  <c r="AM89" i="45"/>
  <c r="AL89" i="45"/>
  <c r="AL92" i="45" s="1"/>
  <c r="AM88" i="45"/>
  <c r="BE77" i="50" l="1"/>
  <c r="BE89" i="50"/>
  <c r="AL100" i="50"/>
  <c r="AM92" i="45"/>
  <c r="AM93" i="45" s="1"/>
  <c r="AM126" i="45"/>
  <c r="AM127" i="45"/>
  <c r="AO6" i="38"/>
  <c r="AJ62" i="17"/>
  <c r="AO89" i="50"/>
  <c r="AM122" i="50"/>
  <c r="AM123" i="50" s="1"/>
  <c r="AM66" i="83"/>
  <c r="AM67" i="83" s="1"/>
  <c r="AM74" i="83" s="1"/>
  <c r="AP100" i="50"/>
  <c r="AM13" i="61"/>
  <c r="AM11" i="61"/>
  <c r="AM5" i="61"/>
  <c r="AM6" i="61"/>
  <c r="AM15" i="61"/>
  <c r="AM10" i="61"/>
  <c r="AM7" i="61"/>
  <c r="AM12" i="61"/>
  <c r="AM14" i="61"/>
  <c r="AM8" i="61"/>
  <c r="AM123" i="45"/>
  <c r="AM130" i="45" s="1"/>
  <c r="AM118" i="45"/>
  <c r="AM117" i="50"/>
  <c r="AK115" i="17"/>
  <c r="AK15" i="17"/>
  <c r="AK113" i="17"/>
  <c r="AO35" i="38"/>
  <c r="AO67" i="38"/>
  <c r="AO13" i="38"/>
  <c r="AO65" i="38"/>
  <c r="AO43" i="38"/>
  <c r="AO89" i="38"/>
  <c r="AO40" i="38"/>
  <c r="AO19" i="38"/>
  <c r="AP18" i="38"/>
  <c r="AL26" i="36" s="1"/>
  <c r="AP67" i="38"/>
  <c r="AP68" i="38"/>
  <c r="AP40" i="38"/>
  <c r="AP89" i="38" s="1"/>
  <c r="AO77" i="50"/>
  <c r="AM110" i="50"/>
  <c r="AM38" i="50"/>
  <c r="AM104" i="50" s="1"/>
  <c r="AM53" i="50"/>
  <c r="AM118" i="50" s="1"/>
  <c r="AP90" i="50"/>
  <c r="AL90" i="50"/>
  <c r="AM133" i="50"/>
  <c r="AM46" i="50"/>
  <c r="AM114" i="50" s="1"/>
  <c r="AM134" i="50"/>
  <c r="AL112" i="45"/>
  <c r="AL91" i="45"/>
  <c r="AM112" i="45"/>
  <c r="AL88" i="45"/>
  <c r="AM91" i="45"/>
  <c r="AM128" i="45" l="1"/>
  <c r="AM124" i="50"/>
  <c r="AO18" i="38"/>
  <c r="AO66" i="38"/>
  <c r="AO98" i="38" s="1"/>
  <c r="AK117" i="17"/>
  <c r="AO17" i="38"/>
  <c r="AP17" i="38"/>
  <c r="AP66" i="38" s="1"/>
  <c r="AM90" i="50"/>
  <c r="AM119" i="50"/>
  <c r="AN43" i="11" l="1"/>
  <c r="AN44" i="11"/>
  <c r="AN45" i="11"/>
  <c r="AN46" i="11"/>
  <c r="AN47" i="11"/>
  <c r="AN48" i="11"/>
  <c r="AN49" i="11"/>
  <c r="AN50" i="11"/>
  <c r="AN51" i="11"/>
  <c r="AN8" i="11"/>
  <c r="AN9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L88" i="11"/>
  <c r="AL86" i="11"/>
  <c r="AL80" i="11"/>
  <c r="AL81" i="11" s="1"/>
  <c r="AL75" i="11"/>
  <c r="AK75" i="11"/>
  <c r="AL73" i="11"/>
  <c r="AK73" i="11"/>
  <c r="AL72" i="11"/>
  <c r="AK72" i="11"/>
  <c r="AL70" i="11"/>
  <c r="AK70" i="11"/>
  <c r="AL68" i="11"/>
  <c r="AK68" i="11"/>
  <c r="AL66" i="11"/>
  <c r="AK66" i="11"/>
  <c r="AL63" i="11"/>
  <c r="AL64" i="11" s="1"/>
  <c r="AK63" i="11"/>
  <c r="AK64" i="11" s="1"/>
  <c r="AL56" i="11"/>
  <c r="AL54" i="11"/>
  <c r="AL90" i="11" s="1"/>
  <c r="AL53" i="11"/>
  <c r="AK53" i="11"/>
  <c r="AK52" i="11" s="1"/>
  <c r="AL52" i="11"/>
  <c r="AL89" i="11" s="1"/>
  <c r="AP120" i="10"/>
  <c r="AT120" i="10" s="1"/>
  <c r="AX120" i="10" s="1"/>
  <c r="AP134" i="10"/>
  <c r="AT134" i="10" s="1"/>
  <c r="AX134" i="10" s="1"/>
  <c r="AN8" i="10"/>
  <c r="BD8" i="10" s="1"/>
  <c r="AN9" i="10"/>
  <c r="BD9" i="10" s="1"/>
  <c r="AN10" i="10"/>
  <c r="BD10" i="10" s="1"/>
  <c r="AN11" i="10"/>
  <c r="BD11" i="10" s="1"/>
  <c r="AN12" i="10"/>
  <c r="BD12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1" i="10"/>
  <c r="BD21" i="10" s="1"/>
  <c r="AN22" i="10"/>
  <c r="BD22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4" i="10"/>
  <c r="BD54" i="10" s="1"/>
  <c r="AN55" i="10"/>
  <c r="BD55" i="10" s="1"/>
  <c r="AN57" i="10"/>
  <c r="BD57" i="10" s="1"/>
  <c r="AN58" i="10"/>
  <c r="BD58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5" i="10"/>
  <c r="BD65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2" i="10"/>
  <c r="BD82" i="10" s="1"/>
  <c r="AN85" i="10"/>
  <c r="BD85" i="10" s="1"/>
  <c r="AN86" i="10"/>
  <c r="BD86" i="10" s="1"/>
  <c r="AN87" i="10"/>
  <c r="BD87" i="10" s="1"/>
  <c r="AN88" i="10"/>
  <c r="BD88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18" i="10"/>
  <c r="AN119" i="10"/>
  <c r="AN120" i="10"/>
  <c r="AN121" i="10"/>
  <c r="AN122" i="10"/>
  <c r="AN123" i="10"/>
  <c r="AN124" i="10"/>
  <c r="AN125" i="10"/>
  <c r="AN126" i="10"/>
  <c r="AN127" i="10"/>
  <c r="BD127" i="10" s="1"/>
  <c r="AN128" i="10"/>
  <c r="AN129" i="10"/>
  <c r="AN130" i="10"/>
  <c r="AN131" i="10"/>
  <c r="AN132" i="10"/>
  <c r="AN133" i="10"/>
  <c r="AN134" i="10"/>
  <c r="AN135" i="10"/>
  <c r="AN136" i="10"/>
  <c r="AN137" i="10"/>
  <c r="AN138" i="10"/>
  <c r="AN139" i="10"/>
  <c r="AN140" i="10"/>
  <c r="AN141" i="10"/>
  <c r="AN142" i="10"/>
  <c r="BD142" i="10" s="1"/>
  <c r="AN143" i="10"/>
  <c r="BD143" i="10" s="1"/>
  <c r="AN144" i="10"/>
  <c r="BD144" i="10" s="1"/>
  <c r="AN145" i="10"/>
  <c r="BD145" i="10" s="1"/>
  <c r="AN146" i="10"/>
  <c r="AN147" i="10"/>
  <c r="AN148" i="10"/>
  <c r="AN149" i="10"/>
  <c r="AL182" i="10"/>
  <c r="AL180" i="10"/>
  <c r="AL174" i="10"/>
  <c r="AL181" i="10" s="1"/>
  <c r="AL169" i="10"/>
  <c r="AK169" i="10"/>
  <c r="AL167" i="10"/>
  <c r="AK167" i="10"/>
  <c r="AL166" i="10"/>
  <c r="AK166" i="10"/>
  <c r="AL164" i="10"/>
  <c r="AK164" i="10"/>
  <c r="AL162" i="10"/>
  <c r="AK162" i="10"/>
  <c r="AL160" i="10"/>
  <c r="AK160" i="10"/>
  <c r="AL157" i="10"/>
  <c r="AL158" i="10" s="1"/>
  <c r="AK157" i="10"/>
  <c r="AK158" i="10" s="1"/>
  <c r="AL154" i="10"/>
  <c r="AL152" i="10"/>
  <c r="AL184" i="10" s="1"/>
  <c r="AK151" i="10"/>
  <c r="AK170" i="10" s="1"/>
  <c r="AL150" i="10"/>
  <c r="AL151" i="10"/>
  <c r="AM103" i="50" s="1"/>
  <c r="AK150" i="10" l="1"/>
  <c r="AK153" i="10"/>
  <c r="AL57" i="11"/>
  <c r="AL87" i="11"/>
  <c r="AL55" i="11"/>
  <c r="AM113" i="50"/>
  <c r="AM106" i="50"/>
  <c r="AM105" i="50"/>
  <c r="AL82" i="11"/>
  <c r="AL93" i="11"/>
  <c r="AL91" i="11"/>
  <c r="AK76" i="11"/>
  <c r="AK95" i="11"/>
  <c r="AL76" i="11"/>
  <c r="AK55" i="11"/>
  <c r="AL153" i="10"/>
  <c r="AL170" i="10"/>
  <c r="AL189" i="10"/>
  <c r="AL183" i="10"/>
  <c r="AL185" i="10" s="1"/>
  <c r="AL155" i="10"/>
  <c r="AL192" i="10"/>
  <c r="AL193" i="10" s="1"/>
  <c r="AL176" i="10"/>
  <c r="AL175" i="10"/>
  <c r="AM115" i="50" l="1"/>
  <c r="AM111" i="50"/>
  <c r="AL187" i="1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95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s="1"/>
  <c r="AL100" i="9" l="1"/>
  <c r="AL96" i="9"/>
  <c r="AL33" i="22"/>
  <c r="AK131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7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L89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L77" i="9"/>
  <c r="AL74" i="9"/>
  <c r="AK110" i="8"/>
  <c r="AK111" i="8" s="1"/>
  <c r="AL79" i="9" l="1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71" i="7"/>
  <c r="AL69" i="7"/>
  <c r="AK69" i="7"/>
  <c r="AK71" i="7" s="1"/>
  <c r="AL65" i="7"/>
  <c r="AL74" i="7" s="1"/>
  <c r="AK65" i="7"/>
  <c r="AK79" i="7" s="1"/>
  <c r="AK54" i="7"/>
  <c r="AK94" i="7" s="1"/>
  <c r="AK35" i="7"/>
  <c r="AK100" i="7" s="1"/>
  <c r="AK34" i="7"/>
  <c r="AK88" i="7" s="1"/>
  <c r="AK31" i="7"/>
  <c r="AK96" i="7" s="1"/>
  <c r="AK30" i="7"/>
  <c r="AK93" i="7" s="1"/>
  <c r="AK29" i="7"/>
  <c r="AK92" i="7" s="1"/>
  <c r="AK28" i="7"/>
  <c r="AK91" i="7" s="1"/>
  <c r="AK27" i="7"/>
  <c r="AK90" i="7" s="1"/>
  <c r="AK26" i="7"/>
  <c r="AK89" i="7" s="1"/>
  <c r="AK25" i="7"/>
  <c r="AK24" i="7"/>
  <c r="AK23" i="7"/>
  <c r="AK22" i="7"/>
  <c r="AK85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J22" i="39" l="1"/>
  <c r="AK22" i="39"/>
  <c r="AJ51" i="39"/>
  <c r="AK34" i="39"/>
  <c r="AK25" i="6"/>
  <c r="AL121" i="6"/>
  <c r="AL125" i="6" s="1"/>
  <c r="AL175" i="6" s="1"/>
  <c r="AL35" i="6"/>
  <c r="AL31" i="7"/>
  <c r="AL96" i="7" s="1"/>
  <c r="AL22" i="7"/>
  <c r="AL85" i="7" s="1"/>
  <c r="AK49" i="39"/>
  <c r="AK55" i="7"/>
  <c r="AK32" i="7"/>
  <c r="AK97" i="7" s="1"/>
  <c r="AK60" i="7"/>
  <c r="AK56" i="7"/>
  <c r="AK86" i="7"/>
  <c r="AK57" i="7"/>
  <c r="AK66" i="7"/>
  <c r="AK74" i="7"/>
  <c r="AK52" i="7"/>
  <c r="AK58" i="7"/>
  <c r="AK76" i="7"/>
  <c r="AK53" i="7"/>
  <c r="AK87" i="7" s="1"/>
  <c r="AK59" i="7"/>
  <c r="AK81" i="7"/>
  <c r="AL56" i="7"/>
  <c r="AL28" i="7"/>
  <c r="AL91" i="7" s="1"/>
  <c r="AL53" i="7"/>
  <c r="AL59" i="7"/>
  <c r="AL99" i="7" s="1"/>
  <c r="AL25" i="7"/>
  <c r="AL35" i="7"/>
  <c r="AL100" i="7" s="1"/>
  <c r="AL81" i="7"/>
  <c r="AK98" i="7"/>
  <c r="AL26" i="7"/>
  <c r="AL89" i="7" s="1"/>
  <c r="AL60" i="7"/>
  <c r="AK23" i="39"/>
  <c r="AK45" i="39"/>
  <c r="AK50" i="39"/>
  <c r="AL24" i="7"/>
  <c r="AL27" i="7"/>
  <c r="AL90" i="7" s="1"/>
  <c r="AL34" i="7"/>
  <c r="AL88" i="7" s="1"/>
  <c r="AL52" i="7"/>
  <c r="AL58" i="7"/>
  <c r="AL79" i="7"/>
  <c r="AL29" i="7"/>
  <c r="AL92" i="7" s="1"/>
  <c r="AL23" i="7"/>
  <c r="AL32" i="7"/>
  <c r="AL97" i="7" s="1"/>
  <c r="AL54" i="7"/>
  <c r="AL94" i="7" s="1"/>
  <c r="AL57" i="7"/>
  <c r="AL67" i="7"/>
  <c r="AL76" i="7"/>
  <c r="AL30" i="7"/>
  <c r="AL93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36" i="7" l="1"/>
  <c r="AK51" i="7" s="1"/>
  <c r="AK26" i="6"/>
  <c r="AL173" i="6"/>
  <c r="AL172" i="6"/>
  <c r="AL87" i="7"/>
  <c r="AL86" i="7"/>
  <c r="AL98" i="7"/>
  <c r="AK24" i="39"/>
  <c r="AK101" i="7"/>
  <c r="AK75" i="7"/>
  <c r="AK61" i="7"/>
  <c r="AK51" i="39"/>
  <c r="AL36" i="7"/>
  <c r="AL51" i="7" s="1"/>
  <c r="AK34" i="6"/>
  <c r="AK29" i="6"/>
  <c r="AK23" i="6"/>
  <c r="AL139" i="6"/>
  <c r="AL143" i="6" s="1"/>
  <c r="AL197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L101" i="7" l="1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79" i="28" l="1"/>
  <c r="BD379" i="28" s="1"/>
  <c r="AN381" i="28"/>
  <c r="BD381" i="28" s="1"/>
  <c r="AN382" i="28"/>
  <c r="BD382" i="28" s="1"/>
  <c r="AN383" i="28"/>
  <c r="BD383" i="28" s="1"/>
  <c r="AN384" i="28"/>
  <c r="BD384" i="28" s="1"/>
  <c r="AN385" i="28"/>
  <c r="BD385" i="28" s="1"/>
  <c r="AN386" i="28"/>
  <c r="BD386" i="28" s="1"/>
  <c r="AN387" i="28"/>
  <c r="BD387" i="28" s="1"/>
  <c r="AN388" i="28"/>
  <c r="BD388" i="28" s="1"/>
  <c r="AN389" i="28"/>
  <c r="BD389" i="28" s="1"/>
  <c r="AN390" i="28"/>
  <c r="BD390" i="28" s="1"/>
  <c r="AN391" i="28"/>
  <c r="BD391" i="28" s="1"/>
  <c r="AN392" i="28"/>
  <c r="BD392" i="28" s="1"/>
  <c r="AN393" i="28"/>
  <c r="BD393" i="28" s="1"/>
  <c r="AN395" i="28"/>
  <c r="BD395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1" i="28"/>
  <c r="BD401" i="28" s="1"/>
  <c r="AN402" i="28"/>
  <c r="BD402" i="28" s="1"/>
  <c r="AN404" i="28"/>
  <c r="BD404" i="28" s="1"/>
  <c r="AN405" i="28"/>
  <c r="BD405" i="28" s="1"/>
  <c r="AN406" i="28"/>
  <c r="AN407" i="28"/>
  <c r="AN360" i="28"/>
  <c r="BD360" i="28" s="1"/>
  <c r="AN362" i="28"/>
  <c r="BD362" i="28" s="1"/>
  <c r="AN363" i="28"/>
  <c r="BD363" i="28" s="1"/>
  <c r="AN364" i="28"/>
  <c r="BD364" i="28" s="1"/>
  <c r="AN367" i="28"/>
  <c r="BD367" i="28" s="1"/>
  <c r="AN369" i="28"/>
  <c r="BD369" i="28" s="1"/>
  <c r="AN370" i="28"/>
  <c r="AN277" i="28"/>
  <c r="BD277" i="28" s="1"/>
  <c r="AN278" i="28"/>
  <c r="BD278" i="28" s="1"/>
  <c r="AN280" i="28"/>
  <c r="BD280" i="28" s="1"/>
  <c r="AN281" i="28"/>
  <c r="BD281" i="28" s="1"/>
  <c r="AN282" i="28"/>
  <c r="BD282" i="28" s="1"/>
  <c r="AN283" i="28"/>
  <c r="BD283" i="28" s="1"/>
  <c r="AN284" i="28"/>
  <c r="BD284" i="28" s="1"/>
  <c r="AN285" i="28"/>
  <c r="BD285" i="28" s="1"/>
  <c r="AN286" i="28"/>
  <c r="BD286" i="28" s="1"/>
  <c r="AN287" i="28"/>
  <c r="BD287" i="28" s="1"/>
  <c r="AN288" i="28"/>
  <c r="BD288" i="28" s="1"/>
  <c r="AN289" i="28"/>
  <c r="BD289" i="28" s="1"/>
  <c r="AN290" i="28"/>
  <c r="BD290" i="28" s="1"/>
  <c r="AN291" i="28"/>
  <c r="BD291" i="28" s="1"/>
  <c r="AN292" i="28"/>
  <c r="BD292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233" i="28"/>
  <c r="AN235" i="28"/>
  <c r="AN236" i="28"/>
  <c r="BD236" i="28" s="1"/>
  <c r="AN237" i="28"/>
  <c r="BD237" i="28" s="1"/>
  <c r="AN238" i="28"/>
  <c r="BD238" i="28" s="1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6" i="28"/>
  <c r="BD246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P217" i="28"/>
  <c r="AT217" i="28" s="1"/>
  <c r="AX217" i="28" s="1"/>
  <c r="AP219" i="28"/>
  <c r="AT219" i="28" s="1"/>
  <c r="AX219" i="28" s="1"/>
  <c r="AP221" i="28"/>
  <c r="AT221" i="28" s="1"/>
  <c r="AX221" i="28" s="1"/>
  <c r="AP223" i="28"/>
  <c r="AT223" i="28" s="1"/>
  <c r="AX223" i="28" s="1"/>
  <c r="AP225" i="28"/>
  <c r="AT225" i="28" s="1"/>
  <c r="AX225" i="28" s="1"/>
  <c r="AN217" i="28"/>
  <c r="AN218" i="28"/>
  <c r="BD218" i="28" s="1"/>
  <c r="AN219" i="28"/>
  <c r="AN220" i="28"/>
  <c r="BD220" i="28" s="1"/>
  <c r="AN221" i="28"/>
  <c r="AN222" i="28"/>
  <c r="BD222" i="28" s="1"/>
  <c r="AN223" i="28"/>
  <c r="AN224" i="28"/>
  <c r="BD224" i="28" s="1"/>
  <c r="AN225" i="28"/>
  <c r="AN226" i="28"/>
  <c r="BD226" i="28" s="1"/>
  <c r="AN227" i="28"/>
  <c r="BD227" i="28" s="1"/>
  <c r="AN228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58" i="28"/>
  <c r="AL415" i="28"/>
  <c r="AL411" i="28"/>
  <c r="AL380" i="28"/>
  <c r="AL409" i="28" s="1"/>
  <c r="AL372" i="28"/>
  <c r="AL450" i="28" s="1"/>
  <c r="AK372" i="28"/>
  <c r="AL357" i="28"/>
  <c r="AL356" i="28"/>
  <c r="AL273" i="28"/>
  <c r="AL446" i="28" s="1"/>
  <c r="AK273" i="28"/>
  <c r="AL267" i="28"/>
  <c r="AK267" i="28"/>
  <c r="AL266" i="28"/>
  <c r="AL268" i="28" s="1"/>
  <c r="AK266" i="28"/>
  <c r="AL229" i="28"/>
  <c r="AL442" i="28" s="1"/>
  <c r="AK229" i="28"/>
  <c r="AL212" i="28"/>
  <c r="AL211" i="28"/>
  <c r="AL213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1" i="73"/>
  <c r="BC191" i="73" s="1"/>
  <c r="AM192" i="73"/>
  <c r="BC192" i="73" s="1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AM175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88" i="73"/>
  <c r="AK177" i="73"/>
  <c r="AK186" i="73" s="1"/>
  <c r="AK131" i="73"/>
  <c r="AK127" i="73"/>
  <c r="AK124" i="73"/>
  <c r="AK120" i="73"/>
  <c r="AK134" i="73" s="1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46" i="36" s="1"/>
  <c r="AK16" i="35"/>
  <c r="AK43" i="36" l="1"/>
  <c r="AK45" i="36" s="1"/>
  <c r="AJ17" i="15"/>
  <c r="AJ14" i="15" s="1"/>
  <c r="AJ15" i="15" s="1"/>
  <c r="AK5" i="9"/>
  <c r="AK40" i="36"/>
  <c r="AK42" i="36" s="1"/>
  <c r="AK19" i="9"/>
  <c r="AK32" i="36"/>
  <c r="AK39" i="36" s="1"/>
  <c r="AM137" i="50"/>
  <c r="AK124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26" i="28"/>
  <c r="AL458" i="28" s="1"/>
  <c r="AL436" i="28"/>
  <c r="AL33" i="28"/>
  <c r="AL61" i="28" s="1"/>
  <c r="AL449" i="28"/>
  <c r="AL447" i="28"/>
  <c r="AK5" i="73"/>
  <c r="AM139" i="50"/>
  <c r="AL13" i="36"/>
  <c r="AO40" i="59" s="1"/>
  <c r="AL42" i="36"/>
  <c r="AL45" i="36"/>
  <c r="AO54" i="59"/>
  <c r="AO49" i="59"/>
  <c r="AN44" i="59"/>
  <c r="AO37" i="59"/>
  <c r="AL83" i="28"/>
  <c r="AL84" i="28" s="1"/>
  <c r="AL445" i="28"/>
  <c r="AL444" i="28"/>
  <c r="AL59" i="28"/>
  <c r="AL440" i="28"/>
  <c r="AL439" i="28"/>
  <c r="AL441" i="28"/>
  <c r="AK60" i="28"/>
  <c r="AK73" i="28" s="1"/>
  <c r="AK447" i="28" s="1"/>
  <c r="AK357" i="28"/>
  <c r="AK449" i="28" s="1"/>
  <c r="AL55" i="28"/>
  <c r="AL456" i="28" s="1"/>
  <c r="AK268" i="28"/>
  <c r="AK445" i="28" s="1"/>
  <c r="AK59" i="28"/>
  <c r="AK69" i="28" s="1"/>
  <c r="AL459" i="28"/>
  <c r="AL427" i="28"/>
  <c r="AL443" i="28"/>
  <c r="AK12" i="28"/>
  <c r="AL437" i="28"/>
  <c r="AL448" i="28"/>
  <c r="AK117" i="73"/>
  <c r="AL19" i="36"/>
  <c r="AO57" i="59" s="1"/>
  <c r="AL20" i="21"/>
  <c r="AK15" i="21"/>
  <c r="AK55" i="9" l="1"/>
  <c r="AK100" i="9"/>
  <c r="AJ131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0" i="9" s="1"/>
  <c r="AK62" i="9" s="1"/>
  <c r="AK68" i="9"/>
  <c r="AK33" i="22"/>
  <c r="AK38" i="36"/>
  <c r="AK126" i="90"/>
  <c r="AL451" i="28"/>
  <c r="AM140" i="50"/>
  <c r="AK444" i="28"/>
  <c r="AL62" i="28"/>
  <c r="AL457" i="28" s="1"/>
  <c r="AL431" i="28"/>
  <c r="AL452" i="28"/>
  <c r="AL430" i="28"/>
  <c r="AL56" i="28"/>
  <c r="AK213" i="28"/>
  <c r="AK441" i="28" s="1"/>
  <c r="AK58" i="28"/>
  <c r="AL453" i="28"/>
  <c r="AK437" i="28"/>
  <c r="AK436" i="28"/>
  <c r="AK448" i="28"/>
  <c r="AK443" i="28"/>
  <c r="AK21" i="22" l="1"/>
  <c r="AK22" i="22" s="1"/>
  <c r="AK24" i="22" s="1"/>
  <c r="AK25" i="22" s="1"/>
  <c r="AK27" i="22" s="1"/>
  <c r="AK7" i="22"/>
  <c r="AK8" i="22" s="1"/>
  <c r="AK10" i="22" s="1"/>
  <c r="AK11" i="22" s="1"/>
  <c r="AK13" i="22" s="1"/>
  <c r="AK130" i="90"/>
  <c r="AK65" i="28"/>
  <c r="AK440" i="28" l="1"/>
  <c r="AK439" i="28"/>
  <c r="AK42" i="35" l="1"/>
  <c r="AK41" i="35"/>
  <c r="AL40" i="35"/>
  <c r="AL39" i="35"/>
  <c r="AK39" i="35"/>
  <c r="AL36" i="35"/>
  <c r="AL46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6" i="35"/>
  <c r="AK47" i="35" s="1"/>
  <c r="AK53" i="35" s="1"/>
  <c r="AK28" i="28"/>
  <c r="AL16" i="6"/>
  <c r="AL18" i="6"/>
  <c r="AL8" i="35"/>
  <c r="AL5" i="6"/>
  <c r="AL33" i="35"/>
  <c r="AL41" i="35"/>
  <c r="AL95" i="11"/>
  <c r="AL15" i="35"/>
  <c r="AO6" i="59"/>
  <c r="AK37" i="35"/>
  <c r="AL93" i="50" s="1"/>
  <c r="AL91" i="50" s="1"/>
  <c r="AK15" i="35"/>
  <c r="AK11" i="35"/>
  <c r="AK10" i="6" s="1"/>
  <c r="AK33" i="28" l="1"/>
  <c r="AK50" i="28"/>
  <c r="AK55" i="28" s="1"/>
  <c r="AK456" i="28" s="1"/>
  <c r="AL37" i="35"/>
  <c r="AM77" i="83" s="1"/>
  <c r="AM75" i="83" s="1"/>
  <c r="AL47" i="35"/>
  <c r="AL189" i="6"/>
  <c r="AL194" i="6"/>
  <c r="AL7" i="6"/>
  <c r="AL15" i="6"/>
  <c r="AL17" i="6"/>
  <c r="AK427" i="28" l="1"/>
  <c r="AK61" i="28"/>
  <c r="AK453" i="28"/>
  <c r="AL53" i="35"/>
  <c r="AL25" i="36"/>
  <c r="AO76" i="59" s="1"/>
  <c r="AM93" i="50"/>
  <c r="AM91" i="50" s="1"/>
  <c r="AL168" i="6"/>
  <c r="AL19" i="6"/>
  <c r="AL81" i="6" s="1"/>
  <c r="AL164" i="6"/>
  <c r="AK77" i="28" l="1"/>
  <c r="AK62" i="28"/>
  <c r="AK457" i="28" s="1"/>
  <c r="AK431" i="28"/>
  <c r="AK430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29" i="50"/>
  <c r="AI30" i="50"/>
  <c r="AE19" i="50"/>
  <c r="AE20" i="50"/>
  <c r="AE21" i="50"/>
  <c r="AE22" i="50"/>
  <c r="AE23" i="50"/>
  <c r="AO23" i="50" s="1"/>
  <c r="BE23" i="50" s="1"/>
  <c r="AE24" i="50"/>
  <c r="AE25" i="50"/>
  <c r="AO25" i="50" s="1"/>
  <c r="BE25" i="50" s="1"/>
  <c r="AE26" i="50"/>
  <c r="AE27" i="50"/>
  <c r="AE28" i="50"/>
  <c r="AE29" i="50"/>
  <c r="AE30" i="50"/>
  <c r="Y20" i="50"/>
  <c r="Y12" i="61" s="1"/>
  <c r="Y21" i="50"/>
  <c r="Y13" i="61" s="1"/>
  <c r="Y22" i="50"/>
  <c r="Y14" i="61" s="1"/>
  <c r="Y23" i="50"/>
  <c r="Y24" i="50"/>
  <c r="Y15" i="61" s="1"/>
  <c r="Y25" i="50"/>
  <c r="Y26" i="50"/>
  <c r="Y27" i="50"/>
  <c r="Y28" i="50"/>
  <c r="Y29" i="50"/>
  <c r="Y30" i="50"/>
  <c r="U20" i="50"/>
  <c r="U12" i="61" s="1"/>
  <c r="U21" i="50"/>
  <c r="U13" i="61" s="1"/>
  <c r="U22" i="50"/>
  <c r="U14" i="61" s="1"/>
  <c r="U23" i="50"/>
  <c r="U24" i="50"/>
  <c r="U15" i="61" s="1"/>
  <c r="U25" i="50"/>
  <c r="U26" i="50"/>
  <c r="U27" i="50"/>
  <c r="U28" i="50"/>
  <c r="U29" i="50"/>
  <c r="U30" i="50"/>
  <c r="Q20" i="50"/>
  <c r="Q12" i="61" s="1"/>
  <c r="Q21" i="50"/>
  <c r="Q13" i="61" s="1"/>
  <c r="Q22" i="50"/>
  <c r="Q14" i="61" s="1"/>
  <c r="Q23" i="50"/>
  <c r="Q24" i="50"/>
  <c r="Q15" i="61" s="1"/>
  <c r="Q25" i="50"/>
  <c r="Q26" i="50"/>
  <c r="Q27" i="50"/>
  <c r="Q28" i="50"/>
  <c r="Q29" i="50"/>
  <c r="Q30" i="50"/>
  <c r="M19" i="50"/>
  <c r="M11" i="61" s="1"/>
  <c r="M20" i="50"/>
  <c r="M12" i="61" s="1"/>
  <c r="M21" i="50"/>
  <c r="M13" i="61" s="1"/>
  <c r="M22" i="50"/>
  <c r="M14" i="61" s="1"/>
  <c r="M23" i="50"/>
  <c r="M24" i="50"/>
  <c r="M15" i="61" s="1"/>
  <c r="M25" i="50"/>
  <c r="M26" i="50"/>
  <c r="M27" i="50"/>
  <c r="M28" i="50"/>
  <c r="M29" i="50"/>
  <c r="M30" i="50"/>
  <c r="I19" i="50"/>
  <c r="I20" i="50"/>
  <c r="I21" i="50"/>
  <c r="I22" i="50"/>
  <c r="I23" i="50"/>
  <c r="K23" i="50" s="1"/>
  <c r="I24" i="50"/>
  <c r="I25" i="50"/>
  <c r="I26" i="50"/>
  <c r="K26" i="50" s="1"/>
  <c r="I27" i="50"/>
  <c r="K27" i="50" s="1"/>
  <c r="I28" i="50"/>
  <c r="K28" i="50" s="1"/>
  <c r="I29" i="50"/>
  <c r="K29" i="50" s="1"/>
  <c r="I30" i="50"/>
  <c r="K30" i="50" s="1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I12" i="61" l="1"/>
  <c r="K12" i="61" s="1"/>
  <c r="K20" i="50"/>
  <c r="I13" i="61"/>
  <c r="K13" i="61" s="1"/>
  <c r="K21" i="50"/>
  <c r="I11" i="61"/>
  <c r="K11" i="61" s="1"/>
  <c r="K19" i="50"/>
  <c r="I15" i="61"/>
  <c r="K15" i="61" s="1"/>
  <c r="K24" i="50"/>
  <c r="I14" i="61"/>
  <c r="K14" i="61" s="1"/>
  <c r="K22" i="50"/>
  <c r="AK451" i="28"/>
  <c r="AK452" i="28"/>
  <c r="AK81" i="28"/>
  <c r="AO27" i="50"/>
  <c r="BE27" i="50" s="1"/>
  <c r="AO26" i="50"/>
  <c r="BE26" i="50" s="1"/>
  <c r="AO30" i="50"/>
  <c r="BE30" i="50" s="1"/>
  <c r="AO29" i="50"/>
  <c r="BE29" i="50" s="1"/>
  <c r="AE11" i="61"/>
  <c r="AO11" i="61" s="1"/>
  <c r="BE11" i="61" s="1"/>
  <c r="AO19" i="50"/>
  <c r="BE19" i="50" s="1"/>
  <c r="AE15" i="61"/>
  <c r="AO15" i="61" s="1"/>
  <c r="AO24" i="50"/>
  <c r="BE24" i="50" s="1"/>
  <c r="AE12" i="61"/>
  <c r="AO20" i="50"/>
  <c r="BE20" i="50" s="1"/>
  <c r="AO28" i="50"/>
  <c r="BE28" i="50" s="1"/>
  <c r="AE14" i="61"/>
  <c r="AO22" i="50"/>
  <c r="BE22" i="50" s="1"/>
  <c r="O14" i="61"/>
  <c r="AE13" i="61"/>
  <c r="AO21" i="50"/>
  <c r="BE21" i="50" s="1"/>
  <c r="AL41" i="6"/>
  <c r="AA27" i="50"/>
  <c r="AA13" i="61"/>
  <c r="O15" i="61"/>
  <c r="AI14" i="61"/>
  <c r="AA12" i="61"/>
  <c r="AI13" i="61"/>
  <c r="O28" i="50"/>
  <c r="AI12" i="61"/>
  <c r="AA15" i="61"/>
  <c r="AA14" i="61"/>
  <c r="O12" i="61"/>
  <c r="O26" i="50"/>
  <c r="AA25" i="50"/>
  <c r="O27" i="50"/>
  <c r="AC27" i="50" s="1"/>
  <c r="AG27" i="50" s="1"/>
  <c r="AA26" i="50"/>
  <c r="AA24" i="50"/>
  <c r="O22" i="50"/>
  <c r="AA21" i="50"/>
  <c r="O21" i="50"/>
  <c r="O30" i="50"/>
  <c r="AA29" i="50"/>
  <c r="O24" i="50"/>
  <c r="O23" i="50"/>
  <c r="AA22" i="50"/>
  <c r="AA20" i="50"/>
  <c r="O20" i="50"/>
  <c r="AA30" i="50"/>
  <c r="O29" i="50"/>
  <c r="AA28" i="50"/>
  <c r="O25" i="50"/>
  <c r="AA23" i="50"/>
  <c r="H129" i="50"/>
  <c r="J129" i="50"/>
  <c r="L129" i="50"/>
  <c r="N129" i="50"/>
  <c r="P129" i="50"/>
  <c r="R129" i="50"/>
  <c r="T129" i="50"/>
  <c r="V129" i="50"/>
  <c r="X129" i="50"/>
  <c r="Z129" i="50"/>
  <c r="AB129" i="50"/>
  <c r="AD129" i="50"/>
  <c r="AF129" i="50"/>
  <c r="AH129" i="50"/>
  <c r="AJ129" i="50"/>
  <c r="H111" i="50"/>
  <c r="J111" i="50"/>
  <c r="L111" i="50"/>
  <c r="N111" i="50"/>
  <c r="P111" i="50"/>
  <c r="R111" i="50"/>
  <c r="T111" i="50"/>
  <c r="V111" i="50"/>
  <c r="X111" i="50"/>
  <c r="Z111" i="50"/>
  <c r="AB111" i="50"/>
  <c r="AD111" i="50"/>
  <c r="AF111" i="50"/>
  <c r="AH111" i="50"/>
  <c r="AJ111" i="50"/>
  <c r="AI138" i="50"/>
  <c r="AI136" i="50"/>
  <c r="AI135" i="50"/>
  <c r="AE138" i="50"/>
  <c r="AE136" i="50"/>
  <c r="AE135" i="50"/>
  <c r="Y138" i="50"/>
  <c r="Y136" i="50"/>
  <c r="Y135" i="50"/>
  <c r="U138" i="50"/>
  <c r="U136" i="50"/>
  <c r="U135" i="50"/>
  <c r="Q138" i="50"/>
  <c r="Q136" i="50"/>
  <c r="Q135" i="50"/>
  <c r="M138" i="50"/>
  <c r="M136" i="50"/>
  <c r="M135" i="50"/>
  <c r="I138" i="50"/>
  <c r="I136" i="50"/>
  <c r="I135" i="50"/>
  <c r="G136" i="50"/>
  <c r="G135" i="50"/>
  <c r="AI109" i="50"/>
  <c r="AI108" i="50"/>
  <c r="AI107" i="50"/>
  <c r="AE109" i="50"/>
  <c r="AE108" i="50"/>
  <c r="AE107" i="50"/>
  <c r="Y109" i="50"/>
  <c r="Y108" i="50"/>
  <c r="Y107" i="50"/>
  <c r="U109" i="50"/>
  <c r="U108" i="50"/>
  <c r="U107" i="50"/>
  <c r="Q109" i="50"/>
  <c r="Q108" i="50"/>
  <c r="Q107" i="50"/>
  <c r="M109" i="50"/>
  <c r="M108" i="50"/>
  <c r="M107" i="50"/>
  <c r="I109" i="50"/>
  <c r="I108" i="50"/>
  <c r="I107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3" i="50"/>
  <c r="J53" i="50"/>
  <c r="L53" i="50"/>
  <c r="N53" i="50"/>
  <c r="P53" i="50"/>
  <c r="R53" i="50"/>
  <c r="T53" i="50"/>
  <c r="V53" i="50"/>
  <c r="X53" i="50"/>
  <c r="Z53" i="50"/>
  <c r="AB53" i="50"/>
  <c r="AD53" i="50"/>
  <c r="AF53" i="50"/>
  <c r="AH53" i="50"/>
  <c r="AJ53" i="50"/>
  <c r="H77" i="50"/>
  <c r="I77" i="50"/>
  <c r="J77" i="50"/>
  <c r="L77" i="50"/>
  <c r="M77" i="50"/>
  <c r="M122" i="50" s="1"/>
  <c r="N77" i="50"/>
  <c r="P77" i="50"/>
  <c r="Q77" i="50"/>
  <c r="R77" i="50"/>
  <c r="T77" i="50"/>
  <c r="U77" i="50"/>
  <c r="V77" i="50"/>
  <c r="X77" i="50"/>
  <c r="Y77" i="50"/>
  <c r="Z77" i="50"/>
  <c r="AB77" i="50"/>
  <c r="AD77" i="50"/>
  <c r="AE77" i="50"/>
  <c r="AF77" i="50"/>
  <c r="AH77" i="50"/>
  <c r="AI77" i="50"/>
  <c r="AJ77" i="50"/>
  <c r="H89" i="50"/>
  <c r="I89" i="50"/>
  <c r="J89" i="50"/>
  <c r="L89" i="50"/>
  <c r="M89" i="50"/>
  <c r="N89" i="50"/>
  <c r="P89" i="50"/>
  <c r="Q89" i="50"/>
  <c r="R89" i="50"/>
  <c r="T89" i="50"/>
  <c r="U89" i="50"/>
  <c r="V89" i="50"/>
  <c r="X89" i="50"/>
  <c r="Y89" i="50"/>
  <c r="Z89" i="50"/>
  <c r="AB89" i="50"/>
  <c r="AD89" i="50"/>
  <c r="AE89" i="50"/>
  <c r="AF89" i="50"/>
  <c r="AH89" i="50"/>
  <c r="AI89" i="50"/>
  <c r="AJ89" i="50"/>
  <c r="AA54" i="50"/>
  <c r="AA55" i="50"/>
  <c r="AA56" i="50"/>
  <c r="AA57" i="50"/>
  <c r="AA58" i="50"/>
  <c r="AA59" i="50"/>
  <c r="AA61" i="50"/>
  <c r="AA62" i="50"/>
  <c r="AA63" i="50"/>
  <c r="AA64" i="50"/>
  <c r="AA65" i="50"/>
  <c r="AA66" i="50"/>
  <c r="AA67" i="50"/>
  <c r="AA68" i="50"/>
  <c r="AA69" i="50"/>
  <c r="AA70" i="50"/>
  <c r="AA71" i="50"/>
  <c r="AA73" i="50"/>
  <c r="AA74" i="50"/>
  <c r="AA75" i="50"/>
  <c r="AA76" i="50"/>
  <c r="AA78" i="50"/>
  <c r="AA79" i="50"/>
  <c r="AA80" i="50"/>
  <c r="AA81" i="50"/>
  <c r="AA82" i="50"/>
  <c r="AA83" i="50"/>
  <c r="AA84" i="50"/>
  <c r="AA85" i="50"/>
  <c r="AA86" i="50"/>
  <c r="AA87" i="50"/>
  <c r="AA88" i="50"/>
  <c r="O54" i="50"/>
  <c r="S54" i="50" s="1"/>
  <c r="W54" i="50" s="1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O61" i="50"/>
  <c r="O62" i="50"/>
  <c r="O63" i="50"/>
  <c r="S63" i="50" s="1"/>
  <c r="W63" i="50" s="1"/>
  <c r="O64" i="50"/>
  <c r="S64" i="50" s="1"/>
  <c r="W64" i="50" s="1"/>
  <c r="O65" i="50"/>
  <c r="O66" i="50"/>
  <c r="O67" i="50"/>
  <c r="O68" i="50"/>
  <c r="S68" i="50" s="1"/>
  <c r="W68" i="50" s="1"/>
  <c r="O69" i="50"/>
  <c r="S69" i="50" s="1"/>
  <c r="W69" i="50" s="1"/>
  <c r="O70" i="50"/>
  <c r="S70" i="50" s="1"/>
  <c r="W70" i="50" s="1"/>
  <c r="O71" i="50"/>
  <c r="O73" i="50"/>
  <c r="S73" i="50" s="1"/>
  <c r="W73" i="50" s="1"/>
  <c r="O74" i="50"/>
  <c r="S74" i="50" s="1"/>
  <c r="W74" i="50" s="1"/>
  <c r="O75" i="50"/>
  <c r="S75" i="50" s="1"/>
  <c r="W75" i="50" s="1"/>
  <c r="O76" i="50"/>
  <c r="S76" i="50" s="1"/>
  <c r="W76" i="50" s="1"/>
  <c r="O78" i="50"/>
  <c r="O79" i="50"/>
  <c r="O80" i="50"/>
  <c r="S80" i="50" s="1"/>
  <c r="W80" i="50" s="1"/>
  <c r="O81" i="50"/>
  <c r="S81" i="50" s="1"/>
  <c r="W81" i="50" s="1"/>
  <c r="O82" i="50"/>
  <c r="S82" i="50" s="1"/>
  <c r="W82" i="50" s="1"/>
  <c r="O83" i="50"/>
  <c r="S83" i="50" s="1"/>
  <c r="W83" i="50" s="1"/>
  <c r="O84" i="50"/>
  <c r="S84" i="50" s="1"/>
  <c r="W84" i="50" s="1"/>
  <c r="O85" i="50"/>
  <c r="O86" i="50"/>
  <c r="S86" i="50" s="1"/>
  <c r="W86" i="50" s="1"/>
  <c r="O87" i="50"/>
  <c r="O88" i="50"/>
  <c r="S88" i="50" s="1"/>
  <c r="W88" i="50" s="1"/>
  <c r="K54" i="50"/>
  <c r="K55" i="50"/>
  <c r="K56" i="50"/>
  <c r="K57" i="50"/>
  <c r="K58" i="50"/>
  <c r="K59" i="50"/>
  <c r="K61" i="50"/>
  <c r="K62" i="50"/>
  <c r="K63" i="50"/>
  <c r="K64" i="50"/>
  <c r="K65" i="50"/>
  <c r="K66" i="50"/>
  <c r="K67" i="50"/>
  <c r="K68" i="50"/>
  <c r="K69" i="50"/>
  <c r="K70" i="50"/>
  <c r="K71" i="50"/>
  <c r="K73" i="50"/>
  <c r="K74" i="50"/>
  <c r="K75" i="50"/>
  <c r="K76" i="50"/>
  <c r="K78" i="50"/>
  <c r="K79" i="50"/>
  <c r="K80" i="50"/>
  <c r="K81" i="50"/>
  <c r="K82" i="50"/>
  <c r="K83" i="50"/>
  <c r="K84" i="50"/>
  <c r="K85" i="50"/>
  <c r="K86" i="50"/>
  <c r="K87" i="50"/>
  <c r="K88" i="50"/>
  <c r="AH127" i="50"/>
  <c r="AF127" i="50"/>
  <c r="AH126" i="50"/>
  <c r="AF126" i="50"/>
  <c r="AH125" i="50"/>
  <c r="AF125" i="50"/>
  <c r="X127" i="50"/>
  <c r="V127" i="50"/>
  <c r="T127" i="50"/>
  <c r="R127" i="50"/>
  <c r="X126" i="50"/>
  <c r="V126" i="50"/>
  <c r="T126" i="50"/>
  <c r="R126" i="50"/>
  <c r="X125" i="50"/>
  <c r="V125" i="50"/>
  <c r="T125" i="50"/>
  <c r="R125" i="50"/>
  <c r="H125" i="50"/>
  <c r="J125" i="50"/>
  <c r="L125" i="50"/>
  <c r="H126" i="50"/>
  <c r="J126" i="50"/>
  <c r="L126" i="50"/>
  <c r="H127" i="50"/>
  <c r="J127" i="50"/>
  <c r="L127" i="50"/>
  <c r="AH109" i="50"/>
  <c r="AF109" i="50"/>
  <c r="AH108" i="50"/>
  <c r="AF108" i="50"/>
  <c r="AH107" i="50"/>
  <c r="AF107" i="50"/>
  <c r="X109" i="50"/>
  <c r="V109" i="50"/>
  <c r="T109" i="50"/>
  <c r="R109" i="50"/>
  <c r="X108" i="50"/>
  <c r="V108" i="50"/>
  <c r="T108" i="50"/>
  <c r="R108" i="50"/>
  <c r="X107" i="50"/>
  <c r="V107" i="50"/>
  <c r="T107" i="50"/>
  <c r="R107" i="50"/>
  <c r="J107" i="50"/>
  <c r="L107" i="50"/>
  <c r="J108" i="50"/>
  <c r="L108" i="50"/>
  <c r="J109" i="50"/>
  <c r="L109" i="50"/>
  <c r="H107" i="50"/>
  <c r="G108" i="50"/>
  <c r="G109" i="50"/>
  <c r="G107" i="50"/>
  <c r="O13" i="61" l="1"/>
  <c r="AC13" i="61"/>
  <c r="AG13" i="61" s="1"/>
  <c r="AC21" i="50"/>
  <c r="AG21" i="50" s="1"/>
  <c r="AK21" i="50" s="1"/>
  <c r="AQ21" i="50" s="1"/>
  <c r="AU21" i="50" s="1"/>
  <c r="AY21" i="50" s="1"/>
  <c r="BG21" i="50" s="1"/>
  <c r="AC14" i="61"/>
  <c r="AO109" i="50"/>
  <c r="BE109" i="50" s="1"/>
  <c r="AO138" i="50"/>
  <c r="BE138" i="50" s="1"/>
  <c r="AO135" i="50"/>
  <c r="BE135" i="50" s="1"/>
  <c r="AO136" i="50"/>
  <c r="BE136" i="50" s="1"/>
  <c r="AO12" i="61"/>
  <c r="BE12" i="61" s="1"/>
  <c r="AO108" i="50"/>
  <c r="BE108" i="50" s="1"/>
  <c r="AO14" i="61"/>
  <c r="AO13" i="61"/>
  <c r="AO107" i="50"/>
  <c r="BE107" i="50" s="1"/>
  <c r="AC15" i="61"/>
  <c r="AC85" i="50"/>
  <c r="AG85" i="50" s="1"/>
  <c r="AK85" i="50" s="1"/>
  <c r="AQ85" i="50" s="1"/>
  <c r="AU85" i="50" s="1"/>
  <c r="AY85" i="50" s="1"/>
  <c r="BG85" i="50" s="1"/>
  <c r="AC26" i="50"/>
  <c r="AG26" i="50" s="1"/>
  <c r="AK26" i="50" s="1"/>
  <c r="AQ26" i="50" s="1"/>
  <c r="AU26" i="50" s="1"/>
  <c r="AY26" i="50" s="1"/>
  <c r="BG26" i="50" s="1"/>
  <c r="AC12" i="61"/>
  <c r="AG12" i="61" s="1"/>
  <c r="AC28" i="50"/>
  <c r="AG28" i="50" s="1"/>
  <c r="AC22" i="50"/>
  <c r="AG22" i="50" s="1"/>
  <c r="AK22" i="50" s="1"/>
  <c r="AQ22" i="50" s="1"/>
  <c r="AU22" i="50" s="1"/>
  <c r="AY22" i="50" s="1"/>
  <c r="BG22" i="50" s="1"/>
  <c r="AC25" i="50"/>
  <c r="AG25" i="50" s="1"/>
  <c r="R90" i="50"/>
  <c r="AD90" i="50"/>
  <c r="AC23" i="50"/>
  <c r="AG23" i="50" s="1"/>
  <c r="AC24" i="50"/>
  <c r="AG24" i="50" s="1"/>
  <c r="AC29" i="50"/>
  <c r="AG29" i="50" s="1"/>
  <c r="AC30" i="50"/>
  <c r="AG30" i="50" s="1"/>
  <c r="AC20" i="50"/>
  <c r="AG20" i="50" s="1"/>
  <c r="AK20" i="50" s="1"/>
  <c r="AQ20" i="50" s="1"/>
  <c r="AU20" i="50" s="1"/>
  <c r="AY20" i="50" s="1"/>
  <c r="BG20" i="50" s="1"/>
  <c r="AC59" i="50"/>
  <c r="AG59" i="50" s="1"/>
  <c r="AK59" i="50" s="1"/>
  <c r="AQ59" i="50" s="1"/>
  <c r="AU59" i="50" s="1"/>
  <c r="AY59" i="50" s="1"/>
  <c r="BG59" i="50" s="1"/>
  <c r="AF90" i="50"/>
  <c r="AB90" i="50"/>
  <c r="H90" i="50"/>
  <c r="T90" i="50"/>
  <c r="P90" i="50"/>
  <c r="AC67" i="50"/>
  <c r="AG67" i="50" s="1"/>
  <c r="AK67" i="50" s="1"/>
  <c r="AQ67" i="50" s="1"/>
  <c r="AU67" i="50" s="1"/>
  <c r="AY67" i="50" s="1"/>
  <c r="BG67" i="50" s="1"/>
  <c r="AC66" i="50"/>
  <c r="AG66" i="50" s="1"/>
  <c r="AK66" i="50" s="1"/>
  <c r="AQ66" i="50" s="1"/>
  <c r="AU66" i="50" s="1"/>
  <c r="AY66" i="50" s="1"/>
  <c r="BG66" i="50" s="1"/>
  <c r="K136" i="50"/>
  <c r="AC79" i="50"/>
  <c r="AG79" i="50" s="1"/>
  <c r="AK79" i="50" s="1"/>
  <c r="AQ79" i="50" s="1"/>
  <c r="AU79" i="50" s="1"/>
  <c r="AY79" i="50" s="1"/>
  <c r="BG79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AC57" i="50"/>
  <c r="AG57" i="50" s="1"/>
  <c r="AK57" i="50" s="1"/>
  <c r="AQ57" i="50" s="1"/>
  <c r="AU57" i="50" s="1"/>
  <c r="AY57" i="50" s="1"/>
  <c r="BG57" i="50" s="1"/>
  <c r="AC83" i="50"/>
  <c r="AG83" i="50" s="1"/>
  <c r="AK83" i="50" s="1"/>
  <c r="AQ83" i="50" s="1"/>
  <c r="AU83" i="50" s="1"/>
  <c r="AY83" i="50" s="1"/>
  <c r="BG83" i="50" s="1"/>
  <c r="AC87" i="50"/>
  <c r="AG87" i="50" s="1"/>
  <c r="AK87" i="50" s="1"/>
  <c r="AQ87" i="50" s="1"/>
  <c r="AU87" i="50" s="1"/>
  <c r="AY87" i="50" s="1"/>
  <c r="BG87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S62" i="50"/>
  <c r="W62" i="50" s="1"/>
  <c r="S79" i="50"/>
  <c r="W79" i="50" s="1"/>
  <c r="AA77" i="50"/>
  <c r="AC86" i="50"/>
  <c r="AG86" i="50" s="1"/>
  <c r="AK86" i="50" s="1"/>
  <c r="AQ86" i="50" s="1"/>
  <c r="AU86" i="50" s="1"/>
  <c r="AY86" i="50" s="1"/>
  <c r="BG86" i="50" s="1"/>
  <c r="AC73" i="50"/>
  <c r="AG73" i="50" s="1"/>
  <c r="AK73" i="50" s="1"/>
  <c r="AQ73" i="50" s="1"/>
  <c r="AU73" i="50" s="1"/>
  <c r="AY73" i="50" s="1"/>
  <c r="BG73" i="50" s="1"/>
  <c r="AC61" i="50"/>
  <c r="AG61" i="50" s="1"/>
  <c r="AK61" i="50" s="1"/>
  <c r="AQ61" i="50" s="1"/>
  <c r="AU61" i="50" s="1"/>
  <c r="AY61" i="50" s="1"/>
  <c r="BG61" i="50" s="1"/>
  <c r="AC82" i="50"/>
  <c r="AG82" i="50" s="1"/>
  <c r="AK82" i="50" s="1"/>
  <c r="AQ82" i="50" s="1"/>
  <c r="AU82" i="50" s="1"/>
  <c r="AY82" i="50" s="1"/>
  <c r="BG82" i="50" s="1"/>
  <c r="AC71" i="50"/>
  <c r="AG71" i="50" s="1"/>
  <c r="AK71" i="50" s="1"/>
  <c r="AQ71" i="50" s="1"/>
  <c r="AU71" i="50" s="1"/>
  <c r="AY71" i="50" s="1"/>
  <c r="BG71" i="50" s="1"/>
  <c r="AC70" i="50"/>
  <c r="AG70" i="50" s="1"/>
  <c r="AK70" i="50" s="1"/>
  <c r="AQ70" i="50" s="1"/>
  <c r="AU70" i="50" s="1"/>
  <c r="AY70" i="50" s="1"/>
  <c r="BG70" i="50" s="1"/>
  <c r="S66" i="50"/>
  <c r="W66" i="50" s="1"/>
  <c r="AC69" i="50"/>
  <c r="AG69" i="50" s="1"/>
  <c r="AK69" i="50" s="1"/>
  <c r="AQ69" i="50" s="1"/>
  <c r="AU69" i="50" s="1"/>
  <c r="AY69" i="50" s="1"/>
  <c r="BG69" i="50" s="1"/>
  <c r="K107" i="50"/>
  <c r="S61" i="50"/>
  <c r="W61" i="50" s="1"/>
  <c r="AC55" i="50"/>
  <c r="AG55" i="50" s="1"/>
  <c r="AK55" i="50" s="1"/>
  <c r="AQ55" i="50" s="1"/>
  <c r="AU55" i="50" s="1"/>
  <c r="AY55" i="50" s="1"/>
  <c r="BG55" i="50" s="1"/>
  <c r="S87" i="50"/>
  <c r="W87" i="50" s="1"/>
  <c r="S59" i="50"/>
  <c r="W59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S85" i="50"/>
  <c r="W85" i="50" s="1"/>
  <c r="AC81" i="50"/>
  <c r="AG81" i="50" s="1"/>
  <c r="AK81" i="50" s="1"/>
  <c r="AQ81" i="50" s="1"/>
  <c r="AU81" i="50" s="1"/>
  <c r="AY81" i="50" s="1"/>
  <c r="BG81" i="50" s="1"/>
  <c r="AC68" i="50"/>
  <c r="AG68" i="50" s="1"/>
  <c r="AK68" i="50" s="1"/>
  <c r="AQ68" i="50" s="1"/>
  <c r="AU68" i="50" s="1"/>
  <c r="AY68" i="50" s="1"/>
  <c r="BG68" i="50" s="1"/>
  <c r="O89" i="50"/>
  <c r="AC65" i="50"/>
  <c r="AG65" i="50" s="1"/>
  <c r="AK65" i="50" s="1"/>
  <c r="AQ65" i="50" s="1"/>
  <c r="AU65" i="50" s="1"/>
  <c r="AY65" i="50" s="1"/>
  <c r="BG65" i="50" s="1"/>
  <c r="AC58" i="50"/>
  <c r="AG58" i="50" s="1"/>
  <c r="AK58" i="50" s="1"/>
  <c r="AQ58" i="50" s="1"/>
  <c r="AU58" i="50" s="1"/>
  <c r="AY58" i="50" s="1"/>
  <c r="BG58" i="50" s="1"/>
  <c r="K77" i="50"/>
  <c r="S71" i="50"/>
  <c r="W71" i="50" s="1"/>
  <c r="AC88" i="50"/>
  <c r="AG88" i="50" s="1"/>
  <c r="AK88" i="50" s="1"/>
  <c r="AQ88" i="50" s="1"/>
  <c r="AU88" i="50" s="1"/>
  <c r="AY88" i="50" s="1"/>
  <c r="BG88" i="50" s="1"/>
  <c r="K109" i="50"/>
  <c r="AC84" i="50"/>
  <c r="AG84" i="50" s="1"/>
  <c r="AK84" i="50" s="1"/>
  <c r="AQ84" i="50" s="1"/>
  <c r="AU84" i="50" s="1"/>
  <c r="AY84" i="50" s="1"/>
  <c r="BG84" i="50" s="1"/>
  <c r="AC56" i="50"/>
  <c r="AG56" i="50" s="1"/>
  <c r="AK56" i="50" s="1"/>
  <c r="AQ56" i="50" s="1"/>
  <c r="AU56" i="50" s="1"/>
  <c r="AY56" i="50" s="1"/>
  <c r="BG56" i="50" s="1"/>
  <c r="K108" i="50"/>
  <c r="O77" i="50"/>
  <c r="K89" i="50"/>
  <c r="AA89" i="50"/>
  <c r="AC80" i="50"/>
  <c r="AG80" i="50" s="1"/>
  <c r="AK80" i="50" s="1"/>
  <c r="AQ80" i="50" s="1"/>
  <c r="AU80" i="50" s="1"/>
  <c r="AY80" i="50" s="1"/>
  <c r="BG80" i="50" s="1"/>
  <c r="AC54" i="50"/>
  <c r="S67" i="50"/>
  <c r="W67" i="50" s="1"/>
  <c r="S78" i="50"/>
  <c r="S65" i="50"/>
  <c r="W65" i="50" s="1"/>
  <c r="AC78" i="50"/>
  <c r="AA138" i="50"/>
  <c r="AA135" i="50"/>
  <c r="AA136" i="50"/>
  <c r="O135" i="50"/>
  <c r="O136" i="50"/>
  <c r="K135" i="50"/>
  <c r="AA107" i="50"/>
  <c r="AA108" i="50"/>
  <c r="AA109" i="50"/>
  <c r="O109" i="50"/>
  <c r="S109" i="50" s="1"/>
  <c r="W109" i="50" s="1"/>
  <c r="O107" i="50"/>
  <c r="O108" i="50"/>
  <c r="Z90" i="50"/>
  <c r="N90" i="50"/>
  <c r="AJ90" i="50"/>
  <c r="X90" i="50"/>
  <c r="L90" i="50"/>
  <c r="AH90" i="50"/>
  <c r="V90" i="50"/>
  <c r="J90" i="50"/>
  <c r="O55" i="38"/>
  <c r="W77" i="50" l="1"/>
  <c r="S77" i="50"/>
  <c r="W78" i="50"/>
  <c r="W89" i="50" s="1"/>
  <c r="S89" i="50"/>
  <c r="AC89" i="50"/>
  <c r="AG78" i="50"/>
  <c r="AC77" i="50"/>
  <c r="AG54" i="50"/>
  <c r="AC109" i="50"/>
  <c r="AG109" i="50" s="1"/>
  <c r="AK109" i="50" s="1"/>
  <c r="AQ109" i="50" s="1"/>
  <c r="AU109" i="50" s="1"/>
  <c r="AY109" i="50" s="1"/>
  <c r="BG109" i="50" s="1"/>
  <c r="AC135" i="50"/>
  <c r="AG135" i="50" s="1"/>
  <c r="AK135" i="50" s="1"/>
  <c r="AQ135" i="50" s="1"/>
  <c r="AU135" i="50" s="1"/>
  <c r="AY135" i="50" s="1"/>
  <c r="BG135" i="50" s="1"/>
  <c r="AC136" i="50"/>
  <c r="AG136" i="50" s="1"/>
  <c r="AK136" i="50" s="1"/>
  <c r="AQ136" i="50" s="1"/>
  <c r="AU136" i="50" s="1"/>
  <c r="AY136" i="50" s="1"/>
  <c r="BG136" i="50" s="1"/>
  <c r="S135" i="50"/>
  <c r="W135" i="50" s="1"/>
  <c r="S136" i="50"/>
  <c r="W136" i="50" s="1"/>
  <c r="AC107" i="50"/>
  <c r="AG107" i="50" s="1"/>
  <c r="AK107" i="50" s="1"/>
  <c r="AQ107" i="50" s="1"/>
  <c r="AU107" i="50" s="1"/>
  <c r="AY107" i="50" s="1"/>
  <c r="BG107" i="50" s="1"/>
  <c r="S107" i="50"/>
  <c r="W107" i="50" s="1"/>
  <c r="AC108" i="50"/>
  <c r="AG108" i="50" s="1"/>
  <c r="AK108" i="50" s="1"/>
  <c r="AQ108" i="50" s="1"/>
  <c r="AU108" i="50" s="1"/>
  <c r="AY108" i="50" s="1"/>
  <c r="BG108" i="50" s="1"/>
  <c r="S108" i="50"/>
  <c r="W108" i="50" s="1"/>
  <c r="AM53" i="38"/>
  <c r="AJ31" i="36"/>
  <c r="AI31" i="36"/>
  <c r="AD1" i="35"/>
  <c r="P1" i="35"/>
  <c r="L1" i="35"/>
  <c r="F1" i="35"/>
  <c r="AL21" i="35" l="1"/>
  <c r="AL26" i="9" s="1"/>
  <c r="AG77" i="50"/>
  <c r="AK54" i="50"/>
  <c r="AK78" i="50"/>
  <c r="AG89" i="50"/>
  <c r="AI11" i="83"/>
  <c r="AI12" i="83"/>
  <c r="AI13" i="83"/>
  <c r="AI14" i="83"/>
  <c r="AI15" i="83"/>
  <c r="AI16" i="83"/>
  <c r="AI5" i="83"/>
  <c r="AI6" i="83"/>
  <c r="AI7" i="83"/>
  <c r="AI8" i="83"/>
  <c r="AI9" i="83"/>
  <c r="AI10" i="83"/>
  <c r="AI52" i="83"/>
  <c r="AK52" i="83" s="1"/>
  <c r="AQ52" i="83" s="1"/>
  <c r="AU52" i="83" s="1"/>
  <c r="AY52" i="83" s="1"/>
  <c r="BG52" i="83" s="1"/>
  <c r="AH84" i="8"/>
  <c r="AK77" i="50" l="1"/>
  <c r="AQ54" i="50"/>
  <c r="AK89" i="50"/>
  <c r="AQ78" i="50"/>
  <c r="AH163" i="6"/>
  <c r="AH103" i="9"/>
  <c r="AJ158" i="9"/>
  <c r="AJ159" i="9"/>
  <c r="AJ157" i="9"/>
  <c r="AQ89" i="50" l="1"/>
  <c r="AU78" i="50"/>
  <c r="AQ77" i="50"/>
  <c r="AU54" i="50"/>
  <c r="AH10" i="36"/>
  <c r="AH11" i="36"/>
  <c r="AH12" i="36"/>
  <c r="AG13" i="36"/>
  <c r="AU77" i="50" l="1"/>
  <c r="AY54" i="50"/>
  <c r="AU89" i="50"/>
  <c r="AY78" i="50"/>
  <c r="AH13" i="36"/>
  <c r="AJ188" i="28"/>
  <c r="AP188" i="28" s="1"/>
  <c r="AT188" i="28" s="1"/>
  <c r="AX188" i="28" s="1"/>
  <c r="BF188" i="28" s="1"/>
  <c r="AJ224" i="28"/>
  <c r="AP224" i="28" s="1"/>
  <c r="AT224" i="28" s="1"/>
  <c r="AX224" i="28" s="1"/>
  <c r="BF224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7" i="50" l="1"/>
  <c r="BG54" i="50"/>
  <c r="BG77" i="50" s="1"/>
  <c r="AY89" i="50"/>
  <c r="BG78" i="50"/>
  <c r="BG89" i="50" s="1"/>
  <c r="AG37" i="27"/>
  <c r="AG35" i="27"/>
  <c r="AG27" i="27"/>
  <c r="AG29" i="27"/>
  <c r="AG28" i="27"/>
  <c r="AG20" i="27"/>
  <c r="AG19" i="27"/>
  <c r="AG18" i="27"/>
  <c r="AD65" i="10" l="1"/>
  <c r="AD138" i="10"/>
  <c r="L37" i="10"/>
  <c r="L136" i="10"/>
  <c r="AH54" i="10"/>
  <c r="AH58" i="10"/>
  <c r="AF39" i="27" l="1"/>
  <c r="AG36" i="27"/>
  <c r="AG39" i="27"/>
  <c r="AF33" i="27"/>
  <c r="AG26" i="27"/>
  <c r="AG33" i="27" s="1"/>
  <c r="AF24" i="27"/>
  <c r="AG21" i="27"/>
  <c r="AG24" i="27" s="1"/>
  <c r="AH28" i="22" l="1"/>
  <c r="AH24" i="22"/>
  <c r="AH26" i="22" s="1"/>
  <c r="AH23" i="22"/>
  <c r="AH14" i="22"/>
  <c r="AH10" i="22"/>
  <c r="AH12" i="22" s="1"/>
  <c r="AH9" i="22"/>
  <c r="AG129" i="26" l="1"/>
  <c r="AF129" i="26"/>
  <c r="AG114" i="26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18" i="26"/>
  <c r="AF45" i="26"/>
  <c r="AF57" i="26"/>
  <c r="AF51" i="26"/>
  <c r="AG13" i="26"/>
  <c r="AG19" i="26"/>
  <c r="AG15" i="15" l="1"/>
  <c r="AG16" i="15" s="1"/>
  <c r="AF13" i="26"/>
  <c r="AH90" i="17" l="1"/>
  <c r="AF115" i="17"/>
  <c r="AF113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7" i="17"/>
  <c r="AF50" i="17"/>
  <c r="AF54" i="17" s="1"/>
  <c r="AG50" i="17"/>
  <c r="AG54" i="17" s="1"/>
  <c r="AF114" i="17"/>
  <c r="AF34" i="17"/>
  <c r="AF31" i="17"/>
  <c r="AF32" i="17"/>
  <c r="AG33" i="17"/>
  <c r="AG115" i="17"/>
  <c r="AG31" i="17"/>
  <c r="AG34" i="17"/>
  <c r="AG30" i="17"/>
  <c r="AG32" i="17"/>
  <c r="AG60" i="17"/>
  <c r="AG114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06" i="45" s="1"/>
  <c r="AK27" i="38"/>
  <c r="AK26" i="38"/>
  <c r="AG164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1" i="50"/>
  <c r="AI121" i="50"/>
  <c r="AI98" i="50"/>
  <c r="AQ98" i="50" s="1"/>
  <c r="AI97" i="50"/>
  <c r="AQ97" i="50" s="1"/>
  <c r="AI132" i="50"/>
  <c r="AI122" i="50"/>
  <c r="AI52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I125" i="45"/>
  <c r="AI124" i="45"/>
  <c r="AI122" i="45"/>
  <c r="AI116" i="45"/>
  <c r="AI117" i="45" s="1"/>
  <c r="AI111" i="45"/>
  <c r="AH111" i="45"/>
  <c r="AI109" i="45"/>
  <c r="AH109" i="45"/>
  <c r="AI108" i="45"/>
  <c r="AH108" i="45"/>
  <c r="AI106" i="45"/>
  <c r="AI104" i="45"/>
  <c r="AH104" i="45"/>
  <c r="AI102" i="45"/>
  <c r="AH102" i="45"/>
  <c r="AI99" i="45"/>
  <c r="AI100" i="45" s="1"/>
  <c r="AH99" i="45"/>
  <c r="AH100" i="45" s="1"/>
  <c r="AI90" i="45"/>
  <c r="AI89" i="45"/>
  <c r="AH89" i="45"/>
  <c r="AH88" i="45" s="1"/>
  <c r="AI88" i="45"/>
  <c r="AH88" i="11"/>
  <c r="AH86" i="11"/>
  <c r="AH80" i="11"/>
  <c r="AH87" i="11" s="1"/>
  <c r="AH75" i="11"/>
  <c r="AG75" i="11"/>
  <c r="AH73" i="11"/>
  <c r="AG73" i="11"/>
  <c r="AH72" i="11"/>
  <c r="AG72" i="11"/>
  <c r="AH70" i="11"/>
  <c r="AG70" i="11"/>
  <c r="AH68" i="11"/>
  <c r="AG68" i="11"/>
  <c r="AH66" i="11"/>
  <c r="AG66" i="11"/>
  <c r="AH64" i="11"/>
  <c r="AH63" i="11"/>
  <c r="AG63" i="11"/>
  <c r="AG64" i="11" s="1"/>
  <c r="AH56" i="11"/>
  <c r="AH54" i="11"/>
  <c r="AH82" i="11" s="1"/>
  <c r="AH53" i="11"/>
  <c r="AI113" i="50" s="1"/>
  <c r="AG53" i="11"/>
  <c r="AG55" i="11" s="1"/>
  <c r="AH52" i="11"/>
  <c r="AH89" i="11" s="1"/>
  <c r="AH182" i="10"/>
  <c r="AH180" i="10"/>
  <c r="AH174" i="10"/>
  <c r="AH175" i="10" s="1"/>
  <c r="AH169" i="10"/>
  <c r="AG169" i="10"/>
  <c r="AH167" i="10"/>
  <c r="AG167" i="10"/>
  <c r="AH166" i="10"/>
  <c r="AG166" i="10"/>
  <c r="AH164" i="10"/>
  <c r="AH162" i="10"/>
  <c r="AG162" i="10"/>
  <c r="AH160" i="10"/>
  <c r="AG160" i="10"/>
  <c r="AH157" i="10"/>
  <c r="AH158" i="10" s="1"/>
  <c r="AG157" i="10"/>
  <c r="AG158" i="10" s="1"/>
  <c r="AH152" i="10"/>
  <c r="AH184" i="10" s="1"/>
  <c r="AG151" i="10"/>
  <c r="AG153" i="10" s="1"/>
  <c r="AH151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95" i="90" s="1"/>
  <c r="AH35" i="9"/>
  <c r="AH47" i="9" s="1"/>
  <c r="AH34" i="9"/>
  <c r="AH31" i="9"/>
  <c r="AH25" i="9"/>
  <c r="AG24" i="9"/>
  <c r="AG22" i="9"/>
  <c r="AG25" i="9" s="1"/>
  <c r="AG88" i="9" s="1"/>
  <c r="AH19" i="9"/>
  <c r="AH10" i="9"/>
  <c r="AH5" i="9"/>
  <c r="AI80" i="8"/>
  <c r="AI72" i="8"/>
  <c r="AI51" i="8"/>
  <c r="AH108" i="8"/>
  <c r="AH110" i="8" s="1"/>
  <c r="AH93" i="8"/>
  <c r="AH90" i="8"/>
  <c r="AG90" i="8"/>
  <c r="AH88" i="8"/>
  <c r="AG88" i="8"/>
  <c r="AH87" i="8"/>
  <c r="AG87" i="8"/>
  <c r="AG86" i="8"/>
  <c r="AG83" i="8"/>
  <c r="AG81" i="8"/>
  <c r="AG80" i="8"/>
  <c r="AH79" i="8"/>
  <c r="AH75" i="8"/>
  <c r="AG74" i="8"/>
  <c r="AG73" i="8"/>
  <c r="AG72" i="8"/>
  <c r="AG71" i="8"/>
  <c r="AG70" i="8"/>
  <c r="AH67" i="8"/>
  <c r="AH68" i="8" s="1"/>
  <c r="AH65" i="8"/>
  <c r="AH66" i="8" s="1"/>
  <c r="AH63" i="8"/>
  <c r="AH64" i="8" s="1"/>
  <c r="AH60" i="8"/>
  <c r="AH57" i="8"/>
  <c r="AG51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9" i="8" s="1"/>
  <c r="AG93" i="90" l="1"/>
  <c r="AI126" i="50"/>
  <c r="AG92" i="90"/>
  <c r="AG91" i="90"/>
  <c r="AG94" i="90" s="1"/>
  <c r="AG101" i="90" s="1"/>
  <c r="AI125" i="50"/>
  <c r="AI117" i="50"/>
  <c r="AI126" i="45"/>
  <c r="AI127" i="45"/>
  <c r="AI103" i="50"/>
  <c r="AK65" i="38"/>
  <c r="AF62" i="17"/>
  <c r="AH48" i="9"/>
  <c r="AI127" i="50"/>
  <c r="AH181" i="10"/>
  <c r="AG25" i="8"/>
  <c r="AG42" i="8"/>
  <c r="AG84" i="8"/>
  <c r="AG91" i="8"/>
  <c r="AI46" i="50"/>
  <c r="AI114" i="50" s="1"/>
  <c r="AI115" i="50" s="1"/>
  <c r="AI53" i="50"/>
  <c r="AI118" i="50" s="1"/>
  <c r="AI38" i="50"/>
  <c r="AI104" i="50" s="1"/>
  <c r="AI105" i="50" s="1"/>
  <c r="AH58" i="8"/>
  <c r="AH62" i="8" s="1"/>
  <c r="AH69" i="8" s="1"/>
  <c r="AG112" i="17"/>
  <c r="AG116" i="17"/>
  <c r="AI123" i="50"/>
  <c r="AH61" i="8"/>
  <c r="AH81" i="11"/>
  <c r="AH176" i="10"/>
  <c r="AI110" i="50"/>
  <c r="AH62" i="9"/>
  <c r="AG16" i="8"/>
  <c r="AG27" i="8"/>
  <c r="AG58" i="8" s="1"/>
  <c r="AG62" i="8" s="1"/>
  <c r="AG35" i="8" s="1"/>
  <c r="AH55" i="11"/>
  <c r="AI133" i="50"/>
  <c r="AH89" i="9"/>
  <c r="AH33" i="22"/>
  <c r="AG131" i="26"/>
  <c r="AG30" i="8"/>
  <c r="AG66" i="8" s="1"/>
  <c r="AH43" i="8"/>
  <c r="AG52" i="11"/>
  <c r="AH57" i="11"/>
  <c r="AG31" i="8"/>
  <c r="AG50" i="8"/>
  <c r="AH112" i="45"/>
  <c r="AI112" i="45"/>
  <c r="AH91" i="45"/>
  <c r="AH16" i="8"/>
  <c r="AH109" i="8"/>
  <c r="AH111" i="8" s="1"/>
  <c r="AH52" i="8" s="1"/>
  <c r="AH47" i="8"/>
  <c r="AH40" i="8"/>
  <c r="AH44" i="8"/>
  <c r="AH85" i="8"/>
  <c r="AH91" i="8"/>
  <c r="AH41" i="8"/>
  <c r="AH46" i="8"/>
  <c r="AH50" i="8"/>
  <c r="AH81" i="8"/>
  <c r="AG51" i="17"/>
  <c r="AG55" i="17" s="1"/>
  <c r="AF112" i="17"/>
  <c r="AF116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4" i="50"/>
  <c r="AI124" i="50"/>
  <c r="AI123" i="45"/>
  <c r="AH92" i="45"/>
  <c r="AI92" i="45"/>
  <c r="AI93" i="45" s="1"/>
  <c r="AI118" i="45"/>
  <c r="AI91" i="45"/>
  <c r="AH90" i="11"/>
  <c r="AH91" i="11" s="1"/>
  <c r="AH93" i="11"/>
  <c r="AG76" i="11"/>
  <c r="AG95" i="11"/>
  <c r="AH76" i="11"/>
  <c r="AH170" i="10"/>
  <c r="AH153" i="10"/>
  <c r="AH150" i="10"/>
  <c r="AH192" i="10"/>
  <c r="AG150" i="10"/>
  <c r="AG170" i="10"/>
  <c r="AH37" i="9"/>
  <c r="AH14" i="9"/>
  <c r="AH90" i="9"/>
  <c r="AH94" i="9"/>
  <c r="AG18" i="15" s="1"/>
  <c r="AH100" i="9"/>
  <c r="AH49" i="9"/>
  <c r="AG77" i="9"/>
  <c r="AH96" i="9"/>
  <c r="AH34" i="8"/>
  <c r="AH71" i="8"/>
  <c r="AH73" i="8"/>
  <c r="AH36" i="8"/>
  <c r="AH72" i="8"/>
  <c r="AH37" i="8"/>
  <c r="AG23" i="8"/>
  <c r="AG28" i="8"/>
  <c r="AG24" i="8"/>
  <c r="AH39" i="8"/>
  <c r="AI119" i="50" l="1"/>
  <c r="AI128" i="45"/>
  <c r="AI130" i="45"/>
  <c r="AI128" i="50"/>
  <c r="AG107" i="90"/>
  <c r="AH193" i="10"/>
  <c r="AF2" i="17"/>
  <c r="AF2" i="26"/>
  <c r="AG2" i="26"/>
  <c r="AG2" i="17"/>
  <c r="AI129" i="50"/>
  <c r="AI90" i="50"/>
  <c r="AG113" i="17"/>
  <c r="AG117" i="17" s="1"/>
  <c r="AI106" i="50"/>
  <c r="AI111" i="50" s="1"/>
  <c r="AH91" i="9"/>
  <c r="AG37" i="8"/>
  <c r="AH51" i="8"/>
  <c r="AH77" i="8"/>
  <c r="AG6" i="26"/>
  <c r="AH42" i="8"/>
  <c r="AK66" i="38"/>
  <c r="AK98" i="38" s="1"/>
  <c r="AK18" i="38"/>
  <c r="AK16" i="38"/>
  <c r="AL67" i="38"/>
  <c r="AL17" i="38"/>
  <c r="AL49" i="38" s="1"/>
  <c r="AL65" i="38"/>
  <c r="AH183" i="10"/>
  <c r="AH189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0" i="8"/>
  <c r="AG68" i="8"/>
  <c r="AG36" i="8" s="1"/>
  <c r="AG108" i="8"/>
  <c r="AG109" i="8" s="1"/>
  <c r="AG64" i="8"/>
  <c r="AG34" i="8" s="1"/>
  <c r="AG26" i="8"/>
  <c r="AI110" i="7"/>
  <c r="AI109" i="7"/>
  <c r="AI108" i="7"/>
  <c r="AI107" i="7"/>
  <c r="AI106" i="7"/>
  <c r="AI105" i="7"/>
  <c r="AI104" i="7"/>
  <c r="AI103" i="7"/>
  <c r="AI97" i="7"/>
  <c r="AI89" i="7"/>
  <c r="AI83" i="7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71" i="7"/>
  <c r="AH69" i="7"/>
  <c r="AG69" i="7"/>
  <c r="AG71" i="7" s="1"/>
  <c r="AH65" i="7"/>
  <c r="AH35" i="7" s="1"/>
  <c r="AH100" i="7" s="1"/>
  <c r="AG65" i="7"/>
  <c r="AG79" i="7" s="1"/>
  <c r="AG55" i="7"/>
  <c r="AG54" i="7"/>
  <c r="AG94" i="7" s="1"/>
  <c r="AG28" i="7"/>
  <c r="AG91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F22" i="39" l="1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5" i="7" s="1"/>
  <c r="AG49" i="39"/>
  <c r="AK17" i="38"/>
  <c r="AK49" i="38" s="1"/>
  <c r="AH185" i="10"/>
  <c r="AH187" i="10"/>
  <c r="AH74" i="9"/>
  <c r="AH77" i="9"/>
  <c r="AG110" i="8"/>
  <c r="AG111" i="8" s="1"/>
  <c r="AG23" i="7"/>
  <c r="AG60" i="7"/>
  <c r="AG32" i="7"/>
  <c r="AG97" i="7" s="1"/>
  <c r="AG34" i="7"/>
  <c r="AG88" i="7" s="1"/>
  <c r="AH28" i="7"/>
  <c r="AH91" i="7" s="1"/>
  <c r="AG25" i="7"/>
  <c r="AG98" i="7" s="1"/>
  <c r="AG30" i="7"/>
  <c r="AG93" i="7" s="1"/>
  <c r="AG52" i="7"/>
  <c r="AG57" i="7"/>
  <c r="AG66" i="7"/>
  <c r="AG74" i="7"/>
  <c r="AG26" i="7"/>
  <c r="AG89" i="7" s="1"/>
  <c r="AG31" i="7"/>
  <c r="AG96" i="7" s="1"/>
  <c r="AG53" i="7"/>
  <c r="AG58" i="7"/>
  <c r="AG76" i="7"/>
  <c r="AG22" i="7"/>
  <c r="AG85" i="7" s="1"/>
  <c r="AG27" i="7"/>
  <c r="AG90" i="7" s="1"/>
  <c r="AH31" i="7"/>
  <c r="AH96" i="7" s="1"/>
  <c r="AH53" i="7"/>
  <c r="AG59" i="7"/>
  <c r="AG81" i="7"/>
  <c r="AG24" i="7"/>
  <c r="AG56" i="7"/>
  <c r="AG29" i="7"/>
  <c r="AG92" i="7" s="1"/>
  <c r="AG35" i="7"/>
  <c r="AG100" i="7" s="1"/>
  <c r="AH56" i="7"/>
  <c r="AH59" i="7"/>
  <c r="AH99" i="7" s="1"/>
  <c r="AH25" i="7"/>
  <c r="AH81" i="7"/>
  <c r="AG50" i="39"/>
  <c r="AH79" i="7"/>
  <c r="AH26" i="7"/>
  <c r="AH89" i="7" s="1"/>
  <c r="AH32" i="7"/>
  <c r="AH97" i="7" s="1"/>
  <c r="AG23" i="39"/>
  <c r="AH23" i="7"/>
  <c r="AH29" i="7"/>
  <c r="AH92" i="7" s="1"/>
  <c r="AH54" i="7"/>
  <c r="AH94" i="7" s="1"/>
  <c r="AH57" i="7"/>
  <c r="AH60" i="7"/>
  <c r="AH67" i="7"/>
  <c r="AH76" i="7"/>
  <c r="AH24" i="7"/>
  <c r="AH27" i="7"/>
  <c r="AH90" i="7" s="1"/>
  <c r="AH30" i="7"/>
  <c r="AH93" i="7" s="1"/>
  <c r="AH34" i="7"/>
  <c r="AH88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7" i="7"/>
  <c r="AG101" i="7" s="1"/>
  <c r="AG86" i="7"/>
  <c r="AG36" i="7"/>
  <c r="AG51" i="7" s="1"/>
  <c r="AG61" i="7" s="1"/>
  <c r="AG51" i="39"/>
  <c r="AG24" i="39"/>
  <c r="AH87" i="7"/>
  <c r="AH98" i="7"/>
  <c r="AH86" i="7"/>
  <c r="AH36" i="7"/>
  <c r="AH51" i="7" s="1"/>
  <c r="AG173" i="6"/>
  <c r="AG172" i="6"/>
  <c r="AG139" i="6"/>
  <c r="AG143" i="6" s="1"/>
  <c r="AG210" i="6" s="1"/>
  <c r="AG29" i="6"/>
  <c r="AH139" i="6"/>
  <c r="AG34" i="6"/>
  <c r="AH143" i="6"/>
  <c r="AH197" i="6" s="1"/>
  <c r="AG23" i="6"/>
  <c r="AG33" i="6"/>
  <c r="AH150" i="6"/>
  <c r="AH148" i="6"/>
  <c r="AH149" i="6" s="1"/>
  <c r="AG148" i="6"/>
  <c r="AG147" i="6"/>
  <c r="AG35" i="6" l="1"/>
  <c r="AG75" i="7"/>
  <c r="AH101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79" i="28" l="1"/>
  <c r="AP379" i="28" s="1"/>
  <c r="AJ381" i="28"/>
  <c r="AP381" i="28" s="1"/>
  <c r="AH28" i="28"/>
  <c r="AG458" i="28"/>
  <c r="AH415" i="28"/>
  <c r="AH411" i="28"/>
  <c r="AH380" i="28"/>
  <c r="AH409" i="28" s="1"/>
  <c r="AH372" i="28"/>
  <c r="AH450" i="28" s="1"/>
  <c r="AG372" i="28"/>
  <c r="AH356" i="28"/>
  <c r="AH357" i="28" s="1"/>
  <c r="AH273" i="28"/>
  <c r="AH446" i="28" s="1"/>
  <c r="AG273" i="28"/>
  <c r="AH267" i="28"/>
  <c r="AG267" i="28"/>
  <c r="AH266" i="28"/>
  <c r="AH268" i="28" s="1"/>
  <c r="AG266" i="28"/>
  <c r="AH229" i="28"/>
  <c r="AH442" i="28" s="1"/>
  <c r="AG229" i="28"/>
  <c r="AH212" i="28"/>
  <c r="AH211" i="28"/>
  <c r="AH213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88" i="73"/>
  <c r="AG177" i="73"/>
  <c r="AG186" i="73" s="1"/>
  <c r="AG131" i="73"/>
  <c r="AG127" i="73"/>
  <c r="AG124" i="73"/>
  <c r="AG120" i="73"/>
  <c r="AG134" i="73" s="1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24" i="90" l="1"/>
  <c r="AI137" i="50"/>
  <c r="AI139" i="50" s="1"/>
  <c r="AI140" i="50" s="1"/>
  <c r="AH426" i="28"/>
  <c r="AH447" i="28"/>
  <c r="AH436" i="28"/>
  <c r="AH83" i="28"/>
  <c r="AH84" i="28" s="1"/>
  <c r="AH33" i="28"/>
  <c r="AH61" i="28" s="1"/>
  <c r="AH449" i="28"/>
  <c r="AH60" i="28"/>
  <c r="AG6" i="73"/>
  <c r="AG12" i="49"/>
  <c r="AH18" i="49"/>
  <c r="AH12" i="49"/>
  <c r="AH440" i="28"/>
  <c r="AH443" i="28"/>
  <c r="AH458" i="28"/>
  <c r="AH448" i="28"/>
  <c r="AH444" i="28"/>
  <c r="AH445" i="28"/>
  <c r="AH59" i="28"/>
  <c r="AH441" i="28"/>
  <c r="AH439" i="28"/>
  <c r="AH55" i="28"/>
  <c r="AH459" i="28"/>
  <c r="AH427" i="28"/>
  <c r="AG60" i="28"/>
  <c r="AG73" i="28" s="1"/>
  <c r="AG447" i="28" s="1"/>
  <c r="AG357" i="28"/>
  <c r="AG449" i="28" s="1"/>
  <c r="AG12" i="28"/>
  <c r="AH58" i="28"/>
  <c r="AG59" i="28"/>
  <c r="AG69" i="28" s="1"/>
  <c r="AG443" i="28" s="1"/>
  <c r="AH437" i="28"/>
  <c r="AG268" i="28"/>
  <c r="AG117" i="73"/>
  <c r="AG5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G126" i="90" l="1"/>
  <c r="AH451" i="28"/>
  <c r="AH456" i="28"/>
  <c r="AF17" i="15"/>
  <c r="AF14" i="15" s="1"/>
  <c r="AF15" i="15" s="1"/>
  <c r="AG5" i="9"/>
  <c r="AJ49" i="59"/>
  <c r="AK49" i="59"/>
  <c r="AJ44" i="59"/>
  <c r="AH62" i="28"/>
  <c r="AH457" i="28" s="1"/>
  <c r="AG436" i="28"/>
  <c r="AG437" i="28"/>
  <c r="AG445" i="28"/>
  <c r="AG58" i="28"/>
  <c r="AG213" i="28"/>
  <c r="AG441" i="28" s="1"/>
  <c r="AH431" i="28"/>
  <c r="AH452" i="28"/>
  <c r="AH430" i="28"/>
  <c r="AG444" i="28"/>
  <c r="AH56" i="28"/>
  <c r="AG448" i="28"/>
  <c r="AH453" i="28"/>
  <c r="AH20" i="21"/>
  <c r="AG15" i="21"/>
  <c r="AG130" i="90" l="1"/>
  <c r="AG132" i="90"/>
  <c r="AG135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1" i="26"/>
  <c r="AG68" i="9"/>
  <c r="AG65" i="28"/>
  <c r="AG42" i="35"/>
  <c r="AG41" i="35"/>
  <c r="AH40" i="35"/>
  <c r="AH39" i="35"/>
  <c r="AG39" i="35"/>
  <c r="AH36" i="35"/>
  <c r="AH46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15" i="35" s="1"/>
  <c r="AG8" i="6"/>
  <c r="AG14" i="35"/>
  <c r="AG9" i="6"/>
  <c r="AG46" i="35"/>
  <c r="AG28" i="28"/>
  <c r="AH8" i="35"/>
  <c r="AH5" i="6"/>
  <c r="AH15" i="35"/>
  <c r="AG57" i="9"/>
  <c r="AG62" i="9" s="1"/>
  <c r="AH41" i="35"/>
  <c r="AH47" i="35" s="1"/>
  <c r="AH95" i="11"/>
  <c r="AH33" i="35"/>
  <c r="AH37" i="35" s="1"/>
  <c r="AI93" i="50" s="1"/>
  <c r="AI91" i="50" s="1"/>
  <c r="AG440" i="28"/>
  <c r="AG439" i="28"/>
  <c r="AG37" i="35"/>
  <c r="AG47" i="35"/>
  <c r="AG11" i="35"/>
  <c r="AG10" i="6" s="1"/>
  <c r="AD88" i="8"/>
  <c r="AA72" i="8"/>
  <c r="AH17" i="6" l="1"/>
  <c r="AH15" i="6"/>
  <c r="AH7" i="6"/>
  <c r="AG33" i="28"/>
  <c r="AG50" i="28"/>
  <c r="AG55" i="28" s="1"/>
  <c r="AG456" i="28" s="1"/>
  <c r="AH189" i="6"/>
  <c r="AH194" i="6"/>
  <c r="AG61" i="28" l="1"/>
  <c r="AG427" i="28"/>
  <c r="AG453" i="28" s="1"/>
  <c r="AH19" i="6"/>
  <c r="AH168" i="6"/>
  <c r="AH164" i="6"/>
  <c r="AE51" i="83"/>
  <c r="AE52" i="83"/>
  <c r="AO52" i="83" s="1"/>
  <c r="BE52" i="83" s="1"/>
  <c r="AE53" i="83"/>
  <c r="AE54" i="83"/>
  <c r="AE55" i="83"/>
  <c r="AE56" i="83"/>
  <c r="AE57" i="83"/>
  <c r="AE58" i="83"/>
  <c r="AE59" i="83"/>
  <c r="AE60" i="83"/>
  <c r="AE61" i="83"/>
  <c r="AE63" i="83"/>
  <c r="AE64" i="83"/>
  <c r="AE65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9" i="83"/>
  <c r="AO9" i="83" s="1"/>
  <c r="BE9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7" i="83"/>
  <c r="AE28" i="83"/>
  <c r="AE29" i="83"/>
  <c r="AE30" i="83"/>
  <c r="AE31" i="83"/>
  <c r="AE32" i="83"/>
  <c r="AE33" i="83"/>
  <c r="AE34" i="83"/>
  <c r="AE35" i="83"/>
  <c r="AE36" i="83"/>
  <c r="AF82" i="10"/>
  <c r="AJ82" i="10" s="1"/>
  <c r="AP82" i="10" s="1"/>
  <c r="AT82" i="10" s="1"/>
  <c r="AX82" i="10" s="1"/>
  <c r="BF82" i="10" s="1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B143" i="10"/>
  <c r="AF143" i="10" s="1"/>
  <c r="AJ143" i="10" s="1"/>
  <c r="AP143" i="10" s="1"/>
  <c r="AT143" i="10" s="1"/>
  <c r="AX143" i="10" s="1"/>
  <c r="BF143" i="10" s="1"/>
  <c r="AF29" i="10"/>
  <c r="AJ29" i="10" s="1"/>
  <c r="AP29" i="10" s="1"/>
  <c r="AT29" i="10" s="1"/>
  <c r="AX29" i="10" s="1"/>
  <c r="BF29" i="10" s="1"/>
  <c r="AF127" i="10"/>
  <c r="AJ127" i="10" s="1"/>
  <c r="AP127" i="10" s="1"/>
  <c r="AT127" i="10" s="1"/>
  <c r="AX127" i="10" s="1"/>
  <c r="BF127" i="10" s="1"/>
  <c r="AH38" i="6" l="1"/>
  <c r="AH37" i="6"/>
  <c r="AH39" i="6"/>
  <c r="AH40" i="6"/>
  <c r="AH81" i="6"/>
  <c r="AH84" i="6"/>
  <c r="AG430" i="28"/>
  <c r="AG77" i="28"/>
  <c r="AG62" i="28"/>
  <c r="AG457" i="28" s="1"/>
  <c r="AE191" i="73"/>
  <c r="AI191" i="73" s="1"/>
  <c r="AO191" i="73" s="1"/>
  <c r="AS191" i="73" s="1"/>
  <c r="AW191" i="73" s="1"/>
  <c r="BE191" i="73" s="1"/>
  <c r="AH41" i="6" l="1"/>
  <c r="AG452" i="28"/>
  <c r="AG81" i="28"/>
  <c r="AG451" i="28"/>
  <c r="AG431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72" i="28" l="1"/>
  <c r="AC458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29" i="26"/>
  <c r="AB129" i="26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8" i="8" s="1"/>
  <c r="AB54" i="26"/>
  <c r="AB52" i="26"/>
  <c r="AC50" i="26"/>
  <c r="AC57" i="26" s="1"/>
  <c r="AB48" i="26"/>
  <c r="AB50" i="26" s="1"/>
  <c r="AB168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3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88" i="73"/>
  <c r="AB18" i="26" l="1"/>
  <c r="AB19" i="26"/>
  <c r="AB165" i="26"/>
  <c r="AB172" i="26"/>
  <c r="AE14" i="50" l="1"/>
  <c r="AE6" i="61" l="1"/>
  <c r="AO6" i="61" s="1"/>
  <c r="BE6" i="61" s="1"/>
  <c r="AO14" i="50"/>
  <c r="BE14" i="50" s="1"/>
  <c r="AB115" i="17"/>
  <c r="AB113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2" i="17"/>
  <c r="AB31" i="17" s="1"/>
  <c r="AB21" i="17"/>
  <c r="AB19" i="17"/>
  <c r="AB18" i="17"/>
  <c r="AB16" i="17"/>
  <c r="AB15" i="17"/>
  <c r="AC14" i="17"/>
  <c r="AC12" i="17"/>
  <c r="AC9" i="17"/>
  <c r="AB9" i="17"/>
  <c r="AC114" i="17" l="1"/>
  <c r="AB114" i="17"/>
  <c r="AC11" i="17"/>
  <c r="AB11" i="17"/>
  <c r="AB117" i="17"/>
  <c r="AB50" i="17"/>
  <c r="AB54" i="17" s="1"/>
  <c r="AC50" i="17"/>
  <c r="AC51" i="17" s="1"/>
  <c r="AC55" i="17" s="1"/>
  <c r="AC33" i="17"/>
  <c r="AC32" i="17"/>
  <c r="AC13" i="17"/>
  <c r="AC115" i="17" s="1"/>
  <c r="AC31" i="17"/>
  <c r="AC60" i="17"/>
  <c r="AC34" i="17"/>
  <c r="AB62" i="17"/>
  <c r="AB32" i="17"/>
  <c r="AB34" i="17"/>
  <c r="AC15" i="17" l="1"/>
  <c r="AC112" i="17"/>
  <c r="AC116" i="17" s="1"/>
  <c r="AB112" i="17"/>
  <c r="AB116" i="17" s="1"/>
  <c r="AC54" i="17"/>
  <c r="AC113" i="17"/>
  <c r="AC117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4" i="45"/>
  <c r="AK14" i="45" s="1"/>
  <c r="AQ14" i="45" s="1"/>
  <c r="AU14" i="45" s="1"/>
  <c r="AY14" i="45" s="1"/>
  <c r="AE116" i="45"/>
  <c r="AG65" i="45"/>
  <c r="AK65" i="45" s="1"/>
  <c r="AQ65" i="45" s="1"/>
  <c r="AU65" i="45" s="1"/>
  <c r="AY65" i="45" s="1"/>
  <c r="BG14" i="45" l="1"/>
  <c r="BG65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D22" i="10"/>
  <c r="AD12" i="10"/>
  <c r="X138" i="10"/>
  <c r="X65" i="10"/>
  <c r="AG98" i="38" l="1"/>
  <c r="AH65" i="38"/>
  <c r="AG16" i="38"/>
  <c r="AE125" i="45"/>
  <c r="AE124" i="45"/>
  <c r="AE122" i="45"/>
  <c r="AE117" i="45"/>
  <c r="AE123" i="45"/>
  <c r="AE111" i="45"/>
  <c r="AE109" i="45"/>
  <c r="AE108" i="45"/>
  <c r="AE106" i="45"/>
  <c r="AD106" i="45"/>
  <c r="AE104" i="45"/>
  <c r="AD104" i="45"/>
  <c r="AE102" i="45"/>
  <c r="AD102" i="45"/>
  <c r="AE99" i="45"/>
  <c r="AE100" i="45" s="1"/>
  <c r="AD99" i="45"/>
  <c r="AD100" i="45" s="1"/>
  <c r="AE90" i="45"/>
  <c r="AE89" i="45"/>
  <c r="AD89" i="45"/>
  <c r="AD91" i="45" s="1"/>
  <c r="AE88" i="45"/>
  <c r="AE126" i="45" l="1"/>
  <c r="AE127" i="45"/>
  <c r="AE128" i="45"/>
  <c r="AD88" i="45"/>
  <c r="AD92" i="45"/>
  <c r="AE130" i="45"/>
  <c r="AE92" i="45"/>
  <c r="AE93" i="45" s="1"/>
  <c r="AD112" i="45"/>
  <c r="AE118" i="45"/>
  <c r="AE112" i="45"/>
  <c r="AE91" i="45"/>
  <c r="AF384" i="28" l="1"/>
  <c r="AJ384" i="28" s="1"/>
  <c r="AP384" i="28" s="1"/>
  <c r="AT384" i="28" s="1"/>
  <c r="AX384" i="28" s="1"/>
  <c r="BF384" i="28" s="1"/>
  <c r="AF296" i="28" l="1"/>
  <c r="AJ296" i="28" s="1"/>
  <c r="AP296" i="28" s="1"/>
  <c r="AT296" i="28" s="1"/>
  <c r="AX296" i="28" s="1"/>
  <c r="BF296" i="28" s="1"/>
  <c r="AD28" i="22" l="1"/>
  <c r="AD24" i="22"/>
  <c r="AD26" i="22" s="1"/>
  <c r="AD23" i="22"/>
  <c r="AD14" i="22"/>
  <c r="AD10" i="22"/>
  <c r="AD12" i="22" s="1"/>
  <c r="AD9" i="22"/>
  <c r="AD88" i="11" l="1"/>
  <c r="AD86" i="11"/>
  <c r="AD80" i="11"/>
  <c r="AD87" i="11" s="1"/>
  <c r="AD75" i="11"/>
  <c r="AD73" i="11"/>
  <c r="AD72" i="11"/>
  <c r="AD70" i="11"/>
  <c r="AC70" i="11"/>
  <c r="AD68" i="11"/>
  <c r="AC68" i="11"/>
  <c r="AD66" i="11"/>
  <c r="AC66" i="11"/>
  <c r="AD63" i="11"/>
  <c r="AD64" i="11" s="1"/>
  <c r="AC63" i="11"/>
  <c r="AC64" i="11" s="1"/>
  <c r="AD56" i="11"/>
  <c r="AD54" i="11"/>
  <c r="AD90" i="11" s="1"/>
  <c r="AD53" i="11"/>
  <c r="AD55" i="11" s="1"/>
  <c r="AC53" i="11"/>
  <c r="AC95" i="11" s="1"/>
  <c r="AD52" i="11"/>
  <c r="AD89" i="11" s="1"/>
  <c r="AD182" i="10"/>
  <c r="AD180" i="10"/>
  <c r="AD174" i="10"/>
  <c r="AD175" i="10" s="1"/>
  <c r="AD169" i="10"/>
  <c r="AD167" i="10"/>
  <c r="AD166" i="10"/>
  <c r="AD164" i="10"/>
  <c r="AC164" i="10"/>
  <c r="AD162" i="10"/>
  <c r="AC162" i="10"/>
  <c r="AD160" i="10"/>
  <c r="AC160" i="10"/>
  <c r="AD157" i="10"/>
  <c r="AD158" i="10" s="1"/>
  <c r="AC157" i="10"/>
  <c r="AC158" i="10" s="1"/>
  <c r="AD152" i="10"/>
  <c r="AD176" i="10" s="1"/>
  <c r="AD151" i="10"/>
  <c r="AC151" i="10"/>
  <c r="AC153" i="10" s="1"/>
  <c r="AD192" i="10"/>
  <c r="AD150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95" i="90" s="1"/>
  <c r="AM95" i="90" s="1"/>
  <c r="BC95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8" i="8"/>
  <c r="AD110" i="8" s="1"/>
  <c r="AD93" i="8"/>
  <c r="AD90" i="8"/>
  <c r="AC90" i="8"/>
  <c r="AD87" i="8"/>
  <c r="AC86" i="8"/>
  <c r="AC83" i="8"/>
  <c r="AC81" i="8"/>
  <c r="AC80" i="8"/>
  <c r="AD79" i="8"/>
  <c r="AD75" i="8"/>
  <c r="AC74" i="8"/>
  <c r="AC73" i="8"/>
  <c r="AC72" i="8"/>
  <c r="AC71" i="8"/>
  <c r="AC70" i="8"/>
  <c r="AD67" i="8"/>
  <c r="AD68" i="8" s="1"/>
  <c r="AD65" i="8"/>
  <c r="AD66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0" i="7"/>
  <c r="AC109" i="7"/>
  <c r="AC108" i="7"/>
  <c r="AC107" i="7"/>
  <c r="AC106" i="7"/>
  <c r="AC105" i="7"/>
  <c r="AC104" i="7"/>
  <c r="AC103" i="7"/>
  <c r="AC83" i="7"/>
  <c r="AD82" i="7"/>
  <c r="AD80" i="7"/>
  <c r="AC80" i="7"/>
  <c r="AD73" i="7"/>
  <c r="AC73" i="7"/>
  <c r="AD71" i="7"/>
  <c r="AD69" i="7"/>
  <c r="AC69" i="7"/>
  <c r="AC71" i="7" s="1"/>
  <c r="AD65" i="7"/>
  <c r="AD79" i="7" s="1"/>
  <c r="AC65" i="7"/>
  <c r="AC76" i="7" s="1"/>
  <c r="AD59" i="7"/>
  <c r="AD99" i="7" s="1"/>
  <c r="AD56" i="7"/>
  <c r="AD54" i="7"/>
  <c r="AD94" i="7" s="1"/>
  <c r="AD53" i="7"/>
  <c r="AD32" i="7"/>
  <c r="AD97" i="7" s="1"/>
  <c r="AD30" i="7"/>
  <c r="AD93" i="7" s="1"/>
  <c r="AD29" i="7"/>
  <c r="AD92" i="7" s="1"/>
  <c r="AD26" i="7"/>
  <c r="AD89" i="7" s="1"/>
  <c r="AD24" i="7"/>
  <c r="AD23" i="7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M42" i="39" l="1"/>
  <c r="AB22" i="39"/>
  <c r="AM43" i="39"/>
  <c r="AM46" i="39"/>
  <c r="AM47" i="39"/>
  <c r="AM48" i="39"/>
  <c r="AM49" i="39"/>
  <c r="AB51" i="39"/>
  <c r="AM60" i="39"/>
  <c r="AM61" i="39"/>
  <c r="AD48" i="9"/>
  <c r="AE127" i="50"/>
  <c r="AO127" i="50" s="1"/>
  <c r="BE127" i="50" s="1"/>
  <c r="AC22" i="39"/>
  <c r="AM8" i="39"/>
  <c r="AC29" i="8"/>
  <c r="AC92" i="9"/>
  <c r="AB131" i="26"/>
  <c r="AC33" i="22"/>
  <c r="AD94" i="9"/>
  <c r="AC18" i="15" s="1"/>
  <c r="AC131" i="26"/>
  <c r="AD33" i="22"/>
  <c r="AD58" i="8"/>
  <c r="AD62" i="8" s="1"/>
  <c r="AD35" i="8" s="1"/>
  <c r="AD81" i="11"/>
  <c r="AD57" i="11"/>
  <c r="AD76" i="11"/>
  <c r="AD90" i="9"/>
  <c r="AD100" i="9"/>
  <c r="AD62" i="9"/>
  <c r="AD37" i="9"/>
  <c r="AD16" i="8"/>
  <c r="AD43" i="8"/>
  <c r="AD47" i="8"/>
  <c r="AD81" i="8"/>
  <c r="AD46" i="8"/>
  <c r="AD40" i="8"/>
  <c r="AD41" i="8"/>
  <c r="AD44" i="8"/>
  <c r="AD50" i="8"/>
  <c r="AD85" i="8"/>
  <c r="AD91" i="8"/>
  <c r="AD76" i="7"/>
  <c r="AD27" i="7"/>
  <c r="AD90" i="7" s="1"/>
  <c r="AD34" i="7"/>
  <c r="AD88" i="7" s="1"/>
  <c r="AD57" i="7"/>
  <c r="AD67" i="7"/>
  <c r="AC50" i="39"/>
  <c r="AC52" i="7"/>
  <c r="AC23" i="7"/>
  <c r="AC24" i="7"/>
  <c r="AC29" i="7"/>
  <c r="AC92" i="7" s="1"/>
  <c r="AC32" i="7"/>
  <c r="AC97" i="7" s="1"/>
  <c r="AC26" i="7"/>
  <c r="AC89" i="7" s="1"/>
  <c r="AC74" i="7"/>
  <c r="AC58" i="7"/>
  <c r="AC27" i="7"/>
  <c r="AC90" i="7" s="1"/>
  <c r="AC30" i="7"/>
  <c r="AC93" i="7" s="1"/>
  <c r="AC34" i="7"/>
  <c r="AC88" i="7" s="1"/>
  <c r="AC170" i="10"/>
  <c r="AC52" i="11"/>
  <c r="AC16" i="8"/>
  <c r="AC59" i="9"/>
  <c r="AC100" i="9"/>
  <c r="AC31" i="8"/>
  <c r="AC50" i="8"/>
  <c r="AC25" i="8"/>
  <c r="AC27" i="8"/>
  <c r="AC58" i="8" s="1"/>
  <c r="AC62" i="8" s="1"/>
  <c r="AC35" i="8" s="1"/>
  <c r="AC84" i="8"/>
  <c r="AC30" i="8"/>
  <c r="AC66" i="8" s="1"/>
  <c r="AC37" i="8" s="1"/>
  <c r="AC91" i="8"/>
  <c r="AD91" i="11"/>
  <c r="AD82" i="11"/>
  <c r="AD93" i="11"/>
  <c r="AC55" i="11"/>
  <c r="AC76" i="11"/>
  <c r="AD181" i="10"/>
  <c r="AD193" i="10"/>
  <c r="AD183" i="10"/>
  <c r="AD189" i="10"/>
  <c r="AC150" i="10"/>
  <c r="AD153" i="10"/>
  <c r="AD184" i="10"/>
  <c r="AD170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09" i="8"/>
  <c r="AD51" i="8" s="1"/>
  <c r="AD37" i="8"/>
  <c r="AD72" i="8"/>
  <c r="AD71" i="8"/>
  <c r="AD34" i="8"/>
  <c r="AD36" i="8"/>
  <c r="AD73" i="8"/>
  <c r="AC23" i="8"/>
  <c r="AC28" i="8"/>
  <c r="AC24" i="8"/>
  <c r="AD39" i="8"/>
  <c r="AC81" i="7"/>
  <c r="AC53" i="7"/>
  <c r="AC87" i="7" s="1"/>
  <c r="AC59" i="7"/>
  <c r="AC22" i="7"/>
  <c r="AC85" i="7" s="1"/>
  <c r="AC25" i="7"/>
  <c r="AC28" i="7"/>
  <c r="AC91" i="7" s="1"/>
  <c r="AC31" i="7"/>
  <c r="AC96" i="7" s="1"/>
  <c r="AC35" i="7"/>
  <c r="AC100" i="7" s="1"/>
  <c r="AC55" i="7"/>
  <c r="AD22" i="7"/>
  <c r="AD85" i="7" s="1"/>
  <c r="AD25" i="7"/>
  <c r="AD28" i="7"/>
  <c r="AD91" i="7" s="1"/>
  <c r="AD31" i="7"/>
  <c r="AD96" i="7" s="1"/>
  <c r="AD35" i="7"/>
  <c r="AD100" i="7" s="1"/>
  <c r="AC56" i="7"/>
  <c r="AD60" i="7"/>
  <c r="AD81" i="7"/>
  <c r="AD87" i="7"/>
  <c r="AC36" i="7"/>
  <c r="AC51" i="7" s="1"/>
  <c r="AD39" i="7"/>
  <c r="AD49" i="7" s="1"/>
  <c r="AD52" i="7"/>
  <c r="AD55" i="7"/>
  <c r="AD58" i="7"/>
  <c r="AD74" i="7"/>
  <c r="AC79" i="7"/>
  <c r="AC54" i="7"/>
  <c r="AC94" i="7" s="1"/>
  <c r="AC57" i="7"/>
  <c r="AC60" i="7"/>
  <c r="AC66" i="7"/>
  <c r="AC23" i="39"/>
  <c r="AC45" i="39"/>
  <c r="AD73" i="9" l="1"/>
  <c r="AC86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7" i="8"/>
  <c r="AC6" i="26"/>
  <c r="AD185" i="10"/>
  <c r="AD53" i="9"/>
  <c r="AD84" i="9"/>
  <c r="AD81" i="9"/>
  <c r="AD80" i="9"/>
  <c r="AD76" i="9"/>
  <c r="AD86" i="9"/>
  <c r="AD87" i="9"/>
  <c r="AD82" i="9"/>
  <c r="AD83" i="9"/>
  <c r="AD78" i="9"/>
  <c r="AD42" i="8"/>
  <c r="AD111" i="8"/>
  <c r="AD52" i="8" s="1"/>
  <c r="AC98" i="7"/>
  <c r="AC101" i="7" s="1"/>
  <c r="AD187" i="10"/>
  <c r="AD75" i="9"/>
  <c r="AD72" i="9"/>
  <c r="AD74" i="9" s="1"/>
  <c r="AD85" i="9"/>
  <c r="AC57" i="9"/>
  <c r="AC62" i="9" s="1"/>
  <c r="AC26" i="8"/>
  <c r="AC64" i="8"/>
  <c r="AC34" i="8" s="1"/>
  <c r="AC68" i="8"/>
  <c r="AC36" i="8" s="1"/>
  <c r="AC108" i="8"/>
  <c r="AC109" i="8" s="1"/>
  <c r="AD69" i="8"/>
  <c r="AD70" i="8"/>
  <c r="AD98" i="7"/>
  <c r="AD36" i="7"/>
  <c r="AD51" i="7" s="1"/>
  <c r="AD61" i="7" s="1"/>
  <c r="AD86" i="7"/>
  <c r="AC75" i="7"/>
  <c r="AC61" i="7"/>
  <c r="AC24" i="39"/>
  <c r="BC23" i="39" l="1"/>
  <c r="BC50" i="39"/>
  <c r="BC45" i="39"/>
  <c r="AM24" i="39"/>
  <c r="AM51" i="39"/>
  <c r="BC22" i="39"/>
  <c r="AD77" i="9"/>
  <c r="AC22" i="22"/>
  <c r="AC24" i="22" s="1"/>
  <c r="AC25" i="22" s="1"/>
  <c r="AC27" i="22" s="1"/>
  <c r="AC8" i="22"/>
  <c r="AC10" i="22" s="1"/>
  <c r="AC11" i="22" s="1"/>
  <c r="AC13" i="22" s="1"/>
  <c r="AD79" i="9"/>
  <c r="AD101" i="7"/>
  <c r="AC110" i="8"/>
  <c r="AC111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15" i="28"/>
  <c r="AD411" i="28"/>
  <c r="AD380" i="28"/>
  <c r="AN380" i="28" s="1"/>
  <c r="BD380" i="28" s="1"/>
  <c r="AD450" i="28"/>
  <c r="AC372" i="28"/>
  <c r="AD356" i="28"/>
  <c r="AD357" i="28" s="1"/>
  <c r="AD273" i="28"/>
  <c r="AD446" i="28" s="1"/>
  <c r="AC273" i="28"/>
  <c r="AD267" i="28"/>
  <c r="AC267" i="28"/>
  <c r="AD266" i="28"/>
  <c r="AC266" i="28"/>
  <c r="AD229" i="28"/>
  <c r="AD442" i="28" s="1"/>
  <c r="AC229" i="28"/>
  <c r="AD212" i="28"/>
  <c r="AD211" i="28"/>
  <c r="AD213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7" i="73"/>
  <c r="AC186" i="73" s="1"/>
  <c r="AC131" i="73"/>
  <c r="AC127" i="73"/>
  <c r="AC124" i="73"/>
  <c r="AC120" i="73"/>
  <c r="AC134" i="73" s="1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F44" i="59" s="1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9" i="36"/>
  <c r="AC41" i="36" s="1"/>
  <c r="AC48" i="36"/>
  <c r="AC40" i="36" s="1"/>
  <c r="AD46" i="36"/>
  <c r="AD54" i="36" s="1"/>
  <c r="AD44" i="36"/>
  <c r="AD52" i="36" s="1"/>
  <c r="AD43" i="36"/>
  <c r="AD51" i="36" s="1"/>
  <c r="AC43" i="36"/>
  <c r="AC45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C124" i="90" l="1"/>
  <c r="AE137" i="50"/>
  <c r="AO137" i="50" s="1"/>
  <c r="BE137" i="50" s="1"/>
  <c r="AF49" i="59"/>
  <c r="AF77" i="59"/>
  <c r="AF78" i="59"/>
  <c r="AF79" i="59"/>
  <c r="AM34" i="39"/>
  <c r="AD440" i="28"/>
  <c r="AD268" i="28"/>
  <c r="AD444" i="28" s="1"/>
  <c r="AC18" i="49"/>
  <c r="AM18" i="49" s="1"/>
  <c r="AM17" i="49"/>
  <c r="AD18" i="49"/>
  <c r="AN18" i="49" s="1"/>
  <c r="BD18" i="49" s="1"/>
  <c r="AN17" i="49"/>
  <c r="BD17" i="49" s="1"/>
  <c r="AD50" i="36"/>
  <c r="AD447" i="28"/>
  <c r="AD449" i="28"/>
  <c r="AD448" i="28"/>
  <c r="AD58" i="28"/>
  <c r="AD439" i="28"/>
  <c r="AD441" i="28"/>
  <c r="AD445" i="28"/>
  <c r="AD443" i="28"/>
  <c r="AD436" i="28"/>
  <c r="AD437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26" i="28"/>
  <c r="AD458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09" i="28"/>
  <c r="AD459" i="28" s="1"/>
  <c r="AD60" i="28"/>
  <c r="AD59" i="28"/>
  <c r="AC60" i="28"/>
  <c r="AC73" i="28" s="1"/>
  <c r="AC357" i="28"/>
  <c r="AC449" i="28" s="1"/>
  <c r="AC213" i="28"/>
  <c r="AC441" i="28" s="1"/>
  <c r="AC58" i="28"/>
  <c r="AC59" i="28"/>
  <c r="AC69" i="28" s="1"/>
  <c r="AC268" i="28"/>
  <c r="AC445" i="28" s="1"/>
  <c r="AC117" i="73"/>
  <c r="AC39" i="36"/>
  <c r="AD20" i="21"/>
  <c r="AC15" i="21"/>
  <c r="AC126" i="90" l="1"/>
  <c r="AM124" i="90"/>
  <c r="BC124" i="90" s="1"/>
  <c r="BC34" i="39"/>
  <c r="AC139" i="6"/>
  <c r="AC143" i="6" s="1"/>
  <c r="AC213" i="6" s="1"/>
  <c r="AD19" i="36"/>
  <c r="AG57" i="59" s="1"/>
  <c r="AC448" i="28"/>
  <c r="AC436" i="28"/>
  <c r="AC437" i="28"/>
  <c r="AC444" i="28"/>
  <c r="AC443" i="28"/>
  <c r="AC447" i="28"/>
  <c r="AD451" i="28"/>
  <c r="AD61" i="28"/>
  <c r="AD62" i="28" s="1"/>
  <c r="AD457" i="28" s="1"/>
  <c r="AD55" i="28"/>
  <c r="AD456" i="28" s="1"/>
  <c r="AD84" i="28"/>
  <c r="AC5" i="73"/>
  <c r="AD148" i="6"/>
  <c r="AG15" i="59" s="1"/>
  <c r="AC26" i="6"/>
  <c r="AC14" i="49"/>
  <c r="AD139" i="6"/>
  <c r="AD143" i="6" s="1"/>
  <c r="AD197" i="6" s="1"/>
  <c r="AC34" i="6"/>
  <c r="AC211" i="6"/>
  <c r="AC212" i="6"/>
  <c r="AC205" i="6"/>
  <c r="AC33" i="6"/>
  <c r="AC23" i="6"/>
  <c r="AD150" i="6"/>
  <c r="AD173" i="6"/>
  <c r="AG22" i="59" s="1"/>
  <c r="AC203" i="6"/>
  <c r="AC147" i="6"/>
  <c r="AC204" i="6"/>
  <c r="AC216" i="6"/>
  <c r="AC219" i="6" s="1"/>
  <c r="AD172" i="6"/>
  <c r="AC173" i="6"/>
  <c r="AC175" i="6"/>
  <c r="AC148" i="6"/>
  <c r="AC172" i="6"/>
  <c r="AD427" i="28"/>
  <c r="AD453" i="28" s="1"/>
  <c r="AC65" i="28"/>
  <c r="AC208" i="6" l="1"/>
  <c r="AC207" i="6"/>
  <c r="AC210" i="6"/>
  <c r="AC130" i="90"/>
  <c r="AM126" i="90"/>
  <c r="AD452" i="28"/>
  <c r="AD431" i="28"/>
  <c r="AD430" i="28"/>
  <c r="AD56" i="28"/>
  <c r="AC440" i="28"/>
  <c r="AC439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09" i="6"/>
  <c r="AC214" i="6"/>
  <c r="AM130" i="90" l="1"/>
  <c r="BC126" i="90"/>
  <c r="BC130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6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6" i="35"/>
  <c r="AC47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7" i="35" s="1"/>
  <c r="AD95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56" i="28" s="1"/>
  <c r="AC53" i="35"/>
  <c r="AD53" i="35"/>
  <c r="AD15" i="49"/>
  <c r="AD84" i="6" l="1"/>
  <c r="AD40" i="6"/>
  <c r="AD37" i="6"/>
  <c r="AD38" i="6"/>
  <c r="AD39" i="6"/>
  <c r="AC61" i="28"/>
  <c r="AC427" i="28"/>
  <c r="AD16" i="49"/>
  <c r="AC430" i="28" l="1"/>
  <c r="AC453" i="28"/>
  <c r="AD41" i="6"/>
  <c r="AC77" i="28"/>
  <c r="AC431" i="28" s="1"/>
  <c r="AC62" i="28"/>
  <c r="AC457" i="28" s="1"/>
  <c r="AD19" i="49"/>
  <c r="AC452" i="28" l="1"/>
  <c r="AC451" i="28"/>
  <c r="AC81" i="28"/>
  <c r="AD20" i="49"/>
  <c r="Y68" i="83" l="1"/>
  <c r="Y69" i="83"/>
  <c r="Y70" i="83"/>
  <c r="Y71" i="83"/>
  <c r="Y72" i="83"/>
  <c r="Y51" i="83"/>
  <c r="Y52" i="83"/>
  <c r="Y53" i="83"/>
  <c r="Y54" i="83"/>
  <c r="Y55" i="83"/>
  <c r="Y56" i="83"/>
  <c r="Y57" i="83"/>
  <c r="Y58" i="83"/>
  <c r="Y59" i="83"/>
  <c r="Y60" i="83"/>
  <c r="Y61" i="83"/>
  <c r="Y63" i="83"/>
  <c r="Y64" i="83"/>
  <c r="Y65" i="83"/>
  <c r="Y66" i="83"/>
  <c r="Y50" i="83"/>
  <c r="Y47" i="83"/>
  <c r="Y48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5" i="45" l="1"/>
  <c r="AK35" i="45" s="1"/>
  <c r="AQ35" i="45" s="1"/>
  <c r="AU35" i="45" s="1"/>
  <c r="AY35" i="45" s="1"/>
  <c r="AG34" i="45"/>
  <c r="AK34" i="45" s="1"/>
  <c r="AQ34" i="45" s="1"/>
  <c r="AU34" i="45" s="1"/>
  <c r="AY34" i="45" s="1"/>
  <c r="Y73" i="83"/>
  <c r="Y67" i="83"/>
  <c r="Y49" i="83"/>
  <c r="Y44" i="83"/>
  <c r="BG34" i="45" l="1"/>
  <c r="BG35" i="45"/>
  <c r="X36" i="10"/>
  <c r="Y18" i="83" s="1"/>
  <c r="X37" i="10"/>
  <c r="Y24" i="83" s="1"/>
  <c r="X55" i="10"/>
  <c r="X23" i="10"/>
  <c r="Y28" i="83" s="1"/>
  <c r="X122" i="10"/>
  <c r="X21" i="10"/>
  <c r="Y4" i="83" s="1"/>
  <c r="X132" i="10"/>
  <c r="X110" i="10"/>
  <c r="Y31" i="83" s="1"/>
  <c r="X74" i="10"/>
  <c r="X22" i="10"/>
  <c r="Y27" i="83" s="1"/>
  <c r="X117" i="10"/>
  <c r="X112" i="10"/>
  <c r="Y36" i="83" s="1"/>
  <c r="Y37" i="83" l="1"/>
  <c r="Y74" i="83" s="1"/>
  <c r="AB159" i="9" l="1"/>
  <c r="Z159" i="9"/>
  <c r="AB158" i="9"/>
  <c r="Z158" i="9"/>
  <c r="AB157" i="9"/>
  <c r="Z157" i="9"/>
  <c r="W129" i="26" l="1"/>
  <c r="X103" i="9" l="1"/>
  <c r="V129" i="26" l="1"/>
  <c r="W114" i="26"/>
  <c r="V112" i="26"/>
  <c r="V110" i="26"/>
  <c r="V108" i="26"/>
  <c r="V106" i="26"/>
  <c r="V104" i="26"/>
  <c r="V102" i="26"/>
  <c r="V100" i="26"/>
  <c r="V98" i="26"/>
  <c r="W94" i="26"/>
  <c r="W83" i="26"/>
  <c r="W82" i="26"/>
  <c r="V80" i="26"/>
  <c r="V78" i="26"/>
  <c r="V85" i="26" s="1"/>
  <c r="V94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4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2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1" i="50"/>
  <c r="Y121" i="50"/>
  <c r="Y98" i="50"/>
  <c r="Y97" i="50"/>
  <c r="Y96" i="50"/>
  <c r="Y132" i="50"/>
  <c r="Y47" i="50"/>
  <c r="Y16" i="61" l="1"/>
  <c r="Y53" i="50"/>
  <c r="Y118" i="50" s="1"/>
  <c r="Y38" i="50"/>
  <c r="Y104" i="50" s="1"/>
  <c r="Y46" i="50"/>
  <c r="Y114" i="50" s="1"/>
  <c r="Y133" i="50"/>
  <c r="V14" i="15"/>
  <c r="V15" i="15" s="1"/>
  <c r="W31" i="15"/>
  <c r="Y99" i="50"/>
  <c r="Y100" i="50" s="1"/>
  <c r="Y134" i="50"/>
  <c r="Y110" i="50"/>
  <c r="Y122" i="50"/>
  <c r="Y123" i="50" s="1"/>
  <c r="Z404" i="28"/>
  <c r="Z363" i="28"/>
  <c r="AB363" i="28" s="1"/>
  <c r="AF363" i="28" s="1"/>
  <c r="AJ363" i="28" s="1"/>
  <c r="AP363" i="28" s="1"/>
  <c r="AT363" i="28" s="1"/>
  <c r="AX363" i="28" s="1"/>
  <c r="BF363" i="28" s="1"/>
  <c r="X3" i="8"/>
  <c r="X1" i="35" s="1"/>
  <c r="Y90" i="50" l="1"/>
  <c r="Y124" i="50"/>
  <c r="Z112" i="28" l="1"/>
  <c r="AB112" i="28" s="1"/>
  <c r="AF112" i="28" s="1"/>
  <c r="AJ112" i="28" s="1"/>
  <c r="AP112" i="28" s="1"/>
  <c r="AT112" i="28" s="1"/>
  <c r="AX112" i="28" s="1"/>
  <c r="BF112" i="28" s="1"/>
  <c r="Z128" i="28"/>
  <c r="AB128" i="28" s="1"/>
  <c r="AF128" i="28" s="1"/>
  <c r="AJ128" i="28" s="1"/>
  <c r="AP128" i="28" s="1"/>
  <c r="AT128" i="28" s="1"/>
  <c r="AX128" i="28" s="1"/>
  <c r="BF128" i="28" s="1"/>
  <c r="Z89" i="28"/>
  <c r="AB89" i="28" s="1"/>
  <c r="AF89" i="28" s="1"/>
  <c r="AJ89" i="28" s="1"/>
  <c r="AP89" i="28" s="1"/>
  <c r="AT89" i="28" s="1"/>
  <c r="AX89" i="28" s="1"/>
  <c r="BF89" i="28" s="1"/>
  <c r="Z93" i="28"/>
  <c r="AB93" i="28" s="1"/>
  <c r="AF93" i="28" s="1"/>
  <c r="AJ93" i="28" s="1"/>
  <c r="AP93" i="28" s="1"/>
  <c r="AT93" i="28" s="1"/>
  <c r="AX93" i="28" s="1"/>
  <c r="BF93" i="28" s="1"/>
  <c r="S68" i="90" l="1"/>
  <c r="W68" i="90"/>
  <c r="S69" i="90"/>
  <c r="W69" i="90"/>
  <c r="S70" i="90"/>
  <c r="W70" i="90"/>
  <c r="S71" i="90"/>
  <c r="W71" i="90"/>
  <c r="S72" i="90"/>
  <c r="W72" i="90"/>
  <c r="S73" i="90"/>
  <c r="W73" i="90"/>
  <c r="O74" i="90"/>
  <c r="S74" i="90"/>
  <c r="W74" i="90"/>
  <c r="S75" i="90"/>
  <c r="W75" i="90"/>
  <c r="S76" i="90"/>
  <c r="W76" i="90"/>
  <c r="S77" i="90"/>
  <c r="W77" i="90"/>
  <c r="O78" i="90"/>
  <c r="S78" i="90"/>
  <c r="W78" i="90"/>
  <c r="Y78" i="90" s="1"/>
  <c r="S79" i="90"/>
  <c r="W79" i="90"/>
  <c r="S80" i="90"/>
  <c r="W80" i="90"/>
  <c r="S81" i="90"/>
  <c r="W81" i="90"/>
  <c r="O82" i="90"/>
  <c r="S82" i="90"/>
  <c r="W82" i="90"/>
  <c r="S83" i="90"/>
  <c r="W83" i="90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Y82" i="90" l="1"/>
  <c r="Y74" i="90"/>
  <c r="O88" i="90"/>
  <c r="O84" i="90"/>
  <c r="Y84" i="90" s="1"/>
  <c r="O72" i="90"/>
  <c r="Y72" i="90" s="1"/>
  <c r="O76" i="90"/>
  <c r="Y76" i="90" s="1"/>
  <c r="O87" i="90"/>
  <c r="Y87" i="90" s="1"/>
  <c r="O83" i="90"/>
  <c r="Y83" i="90" s="1"/>
  <c r="O79" i="90"/>
  <c r="Y79" i="90" s="1"/>
  <c r="O75" i="90"/>
  <c r="Y75" i="90" s="1"/>
  <c r="O69" i="90"/>
  <c r="Y69" i="90" s="1"/>
  <c r="O70" i="90"/>
  <c r="Y70" i="90" s="1"/>
  <c r="O80" i="90"/>
  <c r="Y80" i="90" s="1"/>
  <c r="O89" i="90"/>
  <c r="Y89" i="90" s="1"/>
  <c r="O86" i="90"/>
  <c r="Y86" i="90" s="1"/>
  <c r="O68" i="90"/>
  <c r="O85" i="90"/>
  <c r="Y85" i="90" s="1"/>
  <c r="O81" i="90"/>
  <c r="Y81" i="90" s="1"/>
  <c r="O77" i="90"/>
  <c r="Y77" i="90" s="1"/>
  <c r="O73" i="90"/>
  <c r="Y73" i="90" s="1"/>
  <c r="O71" i="90"/>
  <c r="Y71" i="90" s="1"/>
  <c r="O90" i="90"/>
  <c r="Y90" i="90" s="1"/>
  <c r="Y88" i="90"/>
  <c r="Y68" i="90" l="1"/>
  <c r="Y62" i="39"/>
  <c r="Z62" i="39"/>
  <c r="U62" i="39"/>
  <c r="AA62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X106" i="45" s="1"/>
  <c r="AA27" i="38"/>
  <c r="W70" i="11" s="1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55" i="38" s="1"/>
  <c r="V115" i="17"/>
  <c r="V113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69" i="45"/>
  <c r="AK69" i="45" s="1"/>
  <c r="AQ69" i="45" s="1"/>
  <c r="AU69" i="45" s="1"/>
  <c r="AY69" i="45" s="1"/>
  <c r="Y125" i="45"/>
  <c r="Y124" i="45"/>
  <c r="Y122" i="45"/>
  <c r="Y116" i="45"/>
  <c r="Y117" i="45" s="1"/>
  <c r="Y111" i="45"/>
  <c r="X111" i="45"/>
  <c r="Y109" i="45"/>
  <c r="X109" i="45"/>
  <c r="Y108" i="45"/>
  <c r="X108" i="45"/>
  <c r="Y106" i="45"/>
  <c r="Y104" i="45"/>
  <c r="X104" i="45"/>
  <c r="Y102" i="45"/>
  <c r="X102" i="45"/>
  <c r="Y99" i="45"/>
  <c r="Y100" i="45" s="1"/>
  <c r="X99" i="45"/>
  <c r="X100" i="45" s="1"/>
  <c r="Y90" i="45"/>
  <c r="Y89" i="45"/>
  <c r="X89" i="45"/>
  <c r="X92" i="45" s="1"/>
  <c r="Y88" i="45"/>
  <c r="Z44" i="11"/>
  <c r="Z45" i="11"/>
  <c r="Z46" i="11"/>
  <c r="Z47" i="11"/>
  <c r="Z48" i="11"/>
  <c r="Z8" i="11"/>
  <c r="Z9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9" i="11"/>
  <c r="Z40" i="11"/>
  <c r="X88" i="11"/>
  <c r="X86" i="11"/>
  <c r="X80" i="11"/>
  <c r="X87" i="11" s="1"/>
  <c r="X75" i="11"/>
  <c r="W75" i="11"/>
  <c r="X73" i="11"/>
  <c r="W73" i="11"/>
  <c r="X72" i="11"/>
  <c r="W72" i="11"/>
  <c r="X70" i="11"/>
  <c r="X68" i="11"/>
  <c r="W68" i="11"/>
  <c r="X66" i="11"/>
  <c r="W66" i="11"/>
  <c r="X63" i="11"/>
  <c r="X64" i="11" s="1"/>
  <c r="W63" i="11"/>
  <c r="W64" i="11" s="1"/>
  <c r="X56" i="11"/>
  <c r="X54" i="11"/>
  <c r="X90" i="11" s="1"/>
  <c r="X53" i="11"/>
  <c r="W53" i="11"/>
  <c r="W55" i="11" s="1"/>
  <c r="X52" i="11"/>
  <c r="X89" i="11" s="1"/>
  <c r="Z116" i="10"/>
  <c r="AB116" i="10" s="1"/>
  <c r="AF116" i="10" s="1"/>
  <c r="AJ116" i="10" s="1"/>
  <c r="AP116" i="10" s="1"/>
  <c r="AT116" i="10" s="1"/>
  <c r="AX116" i="10" s="1"/>
  <c r="BF116" i="10" s="1"/>
  <c r="V116" i="10"/>
  <c r="Z111" i="10"/>
  <c r="AB111" i="10" s="1"/>
  <c r="AF111" i="10" s="1"/>
  <c r="AJ111" i="10" s="1"/>
  <c r="AP111" i="10" s="1"/>
  <c r="AT111" i="10" s="1"/>
  <c r="AX111" i="10" s="1"/>
  <c r="BF111" i="10" s="1"/>
  <c r="V111" i="10"/>
  <c r="Z79" i="10"/>
  <c r="AB79" i="10" s="1"/>
  <c r="AF79" i="10" s="1"/>
  <c r="AJ79" i="10" s="1"/>
  <c r="AP79" i="10" s="1"/>
  <c r="AT79" i="10" s="1"/>
  <c r="AX79" i="10" s="1"/>
  <c r="BF79" i="10" s="1"/>
  <c r="V79" i="10"/>
  <c r="Z78" i="10"/>
  <c r="AB78" i="10" s="1"/>
  <c r="AF78" i="10" s="1"/>
  <c r="AJ78" i="10" s="1"/>
  <c r="AP78" i="10" s="1"/>
  <c r="AT78" i="10" s="1"/>
  <c r="AX78" i="10" s="1"/>
  <c r="BF78" i="10" s="1"/>
  <c r="V78" i="10"/>
  <c r="V64" i="10"/>
  <c r="Z64" i="10"/>
  <c r="AB64" i="10" s="1"/>
  <c r="AF64" i="10" s="1"/>
  <c r="AJ64" i="10" s="1"/>
  <c r="AP64" i="10" s="1"/>
  <c r="AT64" i="10" s="1"/>
  <c r="AX64" i="10" s="1"/>
  <c r="BF64" i="10" s="1"/>
  <c r="N31" i="10"/>
  <c r="V31" i="10"/>
  <c r="Z31" i="10"/>
  <c r="BG69" i="45" l="1"/>
  <c r="Y127" i="45"/>
  <c r="Y126" i="45"/>
  <c r="AA89" i="38"/>
  <c r="AE62" i="39"/>
  <c r="Y92" i="45"/>
  <c r="Y93" i="45" s="1"/>
  <c r="Y117" i="50"/>
  <c r="Y119" i="50" s="1"/>
  <c r="X57" i="11"/>
  <c r="W52" i="11"/>
  <c r="X55" i="11"/>
  <c r="Y113" i="50"/>
  <c r="Y115" i="50" s="1"/>
  <c r="V59" i="17"/>
  <c r="V60" i="17" s="1"/>
  <c r="AA43" i="38"/>
  <c r="AA40" i="38" s="1"/>
  <c r="AA67" i="38"/>
  <c r="AA66" i="38" s="1"/>
  <c r="AA35" i="38"/>
  <c r="AA65" i="38"/>
  <c r="AB40" i="38"/>
  <c r="AB89" i="38" s="1"/>
  <c r="AA19" i="38"/>
  <c r="AA6" i="38"/>
  <c r="AA16" i="38" s="1"/>
  <c r="AB18" i="38"/>
  <c r="AB67" i="38" s="1"/>
  <c r="W114" i="17"/>
  <c r="AB16" i="38"/>
  <c r="W62" i="17"/>
  <c r="V114" i="17"/>
  <c r="V117" i="17"/>
  <c r="V50" i="17"/>
  <c r="V112" i="17" s="1"/>
  <c r="V116" i="17" s="1"/>
  <c r="W34" i="17"/>
  <c r="W32" i="17"/>
  <c r="W30" i="17"/>
  <c r="W33" i="17"/>
  <c r="W15" i="17"/>
  <c r="V32" i="17"/>
  <c r="V34" i="17"/>
  <c r="V31" i="17"/>
  <c r="V33" i="17"/>
  <c r="W51" i="17"/>
  <c r="W112" i="17"/>
  <c r="W54" i="17"/>
  <c r="V62" i="17"/>
  <c r="V11" i="17"/>
  <c r="W11" i="17"/>
  <c r="W31" i="17"/>
  <c r="W45" i="17"/>
  <c r="W115" i="17"/>
  <c r="Y123" i="45"/>
  <c r="Y130" i="45" s="1"/>
  <c r="Y118" i="45"/>
  <c r="Y128" i="45"/>
  <c r="X112" i="45"/>
  <c r="X91" i="45"/>
  <c r="Y112" i="45"/>
  <c r="X88" i="45"/>
  <c r="Y91" i="45"/>
  <c r="X81" i="11"/>
  <c r="X82" i="11"/>
  <c r="X91" i="11"/>
  <c r="X93" i="11"/>
  <c r="W76" i="11"/>
  <c r="W95" i="11"/>
  <c r="X76" i="11"/>
  <c r="AB31" i="10"/>
  <c r="AF31" i="10" s="1"/>
  <c r="AJ31" i="10" s="1"/>
  <c r="AP31" i="10" s="1"/>
  <c r="AT31" i="10" s="1"/>
  <c r="AX31" i="10" s="1"/>
  <c r="BF31" i="10" s="1"/>
  <c r="W116" i="17" l="1"/>
  <c r="AB65" i="38"/>
  <c r="AA18" i="38"/>
  <c r="AA98" i="38"/>
  <c r="AI62" i="39"/>
  <c r="V54" i="17"/>
  <c r="AB17" i="38"/>
  <c r="AB66" i="38" s="1"/>
  <c r="AA17" i="38"/>
  <c r="AA49" i="38" s="1"/>
  <c r="W113" i="17"/>
  <c r="W117" i="17" s="1"/>
  <c r="W55" i="17"/>
  <c r="AB49" i="38" l="1"/>
  <c r="AB98" i="38"/>
  <c r="AO62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2" i="10"/>
  <c r="Z113" i="10"/>
  <c r="Z114" i="10"/>
  <c r="Z115" i="10"/>
  <c r="Z117" i="10"/>
  <c r="Z118" i="10"/>
  <c r="Z119" i="10"/>
  <c r="Z121" i="10"/>
  <c r="Z122" i="10"/>
  <c r="Z123" i="10"/>
  <c r="Z124" i="10"/>
  <c r="Z125" i="10"/>
  <c r="Z126" i="10"/>
  <c r="Z128" i="10"/>
  <c r="Z129" i="10"/>
  <c r="Z130" i="10"/>
  <c r="Z131" i="10"/>
  <c r="Z132" i="10"/>
  <c r="Z133" i="10"/>
  <c r="Z134" i="10"/>
  <c r="Z135" i="10"/>
  <c r="Z136" i="10"/>
  <c r="Z137" i="10"/>
  <c r="Z139" i="10"/>
  <c r="Z140" i="10"/>
  <c r="Z141" i="10"/>
  <c r="Z142" i="10"/>
  <c r="Z144" i="10"/>
  <c r="Z145" i="10"/>
  <c r="Z146" i="10"/>
  <c r="Z147" i="10"/>
  <c r="Z148" i="10"/>
  <c r="Z149" i="10"/>
  <c r="X174" i="10"/>
  <c r="X175" i="10" s="1"/>
  <c r="X169" i="10"/>
  <c r="W169" i="10"/>
  <c r="X167" i="10"/>
  <c r="W167" i="10"/>
  <c r="X166" i="10"/>
  <c r="W166" i="10"/>
  <c r="X164" i="10"/>
  <c r="W164" i="10"/>
  <c r="X162" i="10"/>
  <c r="W162" i="10"/>
  <c r="X160" i="10"/>
  <c r="W160" i="10"/>
  <c r="X157" i="10"/>
  <c r="X158" i="10" s="1"/>
  <c r="W157" i="10"/>
  <c r="W158" i="10" s="1"/>
  <c r="X152" i="10"/>
  <c r="X176" i="10" s="1"/>
  <c r="W151" i="10"/>
  <c r="W150" i="10" s="1"/>
  <c r="X150" i="10"/>
  <c r="AS62" i="39" l="1"/>
  <c r="W170" i="10"/>
  <c r="W153" i="10"/>
  <c r="X151" i="10"/>
  <c r="Y103" i="50" s="1"/>
  <c r="X1" i="9"/>
  <c r="AW62" i="39" l="1"/>
  <c r="Y105" i="50"/>
  <c r="Y106" i="50"/>
  <c r="Y111" i="50" s="1"/>
  <c r="X153" i="10"/>
  <c r="X170" i="10"/>
  <c r="BE62" i="39" l="1"/>
  <c r="Y47" i="7"/>
  <c r="Z47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W5" i="9"/>
  <c r="Y127" i="50" l="1"/>
  <c r="W95" i="90"/>
  <c r="W59" i="9"/>
  <c r="W77" i="9"/>
  <c r="W100" i="9"/>
  <c r="X48" i="9"/>
  <c r="X49" i="9" s="1"/>
  <c r="X84" i="9" s="1"/>
  <c r="X89" i="9"/>
  <c r="X33" i="22"/>
  <c r="W69" i="9"/>
  <c r="W33" i="22"/>
  <c r="X62" i="9"/>
  <c r="X37" i="9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8" i="8"/>
  <c r="X110" i="8" s="1"/>
  <c r="X93" i="8"/>
  <c r="X90" i="8"/>
  <c r="W90" i="8"/>
  <c r="X88" i="8"/>
  <c r="W88" i="8"/>
  <c r="X87" i="8"/>
  <c r="W87" i="8"/>
  <c r="W86" i="8"/>
  <c r="W83" i="8"/>
  <c r="W81" i="8"/>
  <c r="W80" i="8"/>
  <c r="X79" i="8"/>
  <c r="X75" i="8"/>
  <c r="W74" i="8"/>
  <c r="W73" i="8"/>
  <c r="W72" i="8"/>
  <c r="W71" i="8"/>
  <c r="W70" i="8"/>
  <c r="X67" i="8"/>
  <c r="X68" i="8" s="1"/>
  <c r="X65" i="8"/>
  <c r="X66" i="8" s="1"/>
  <c r="X63" i="8"/>
  <c r="X64" i="8" s="1"/>
  <c r="X60" i="8"/>
  <c r="X57" i="8"/>
  <c r="X58" i="8" s="1"/>
  <c r="W51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3" i="8"/>
  <c r="T1" i="35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71" i="7"/>
  <c r="X69" i="7"/>
  <c r="W69" i="7"/>
  <c r="W71" i="7" s="1"/>
  <c r="X65" i="7"/>
  <c r="X76" i="7" s="1"/>
  <c r="W65" i="7"/>
  <c r="W79" i="7" s="1"/>
  <c r="W57" i="7"/>
  <c r="W53" i="7"/>
  <c r="W52" i="7"/>
  <c r="X35" i="7"/>
  <c r="X100" i="7" s="1"/>
  <c r="W34" i="7"/>
  <c r="W88" i="7" s="1"/>
  <c r="W32" i="7"/>
  <c r="W97" i="7" s="1"/>
  <c r="W31" i="7"/>
  <c r="W96" i="7" s="1"/>
  <c r="W30" i="7"/>
  <c r="W93" i="7" s="1"/>
  <c r="W29" i="7"/>
  <c r="W92" i="7" s="1"/>
  <c r="X28" i="7"/>
  <c r="X91" i="7" s="1"/>
  <c r="W28" i="7"/>
  <c r="W91" i="7" s="1"/>
  <c r="W27" i="7"/>
  <c r="W90" i="7" s="1"/>
  <c r="W26" i="7"/>
  <c r="W89" i="7" s="1"/>
  <c r="X25" i="7"/>
  <c r="W25" i="7"/>
  <c r="W23" i="7"/>
  <c r="X22" i="7"/>
  <c r="X85" i="7" s="1"/>
  <c r="W22" i="7"/>
  <c r="W85" i="7" s="1"/>
  <c r="X20" i="7"/>
  <c r="X39" i="7" s="1"/>
  <c r="X49" i="7" s="1"/>
  <c r="W20" i="7"/>
  <c r="W39" i="7" s="1"/>
  <c r="W49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W61" i="39"/>
  <c r="W60" i="39"/>
  <c r="V50" i="39"/>
  <c r="W48" i="39"/>
  <c r="W47" i="39"/>
  <c r="W46" i="39"/>
  <c r="V45" i="39"/>
  <c r="W43" i="39"/>
  <c r="W42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V51" i="39" l="1"/>
  <c r="W22" i="39"/>
  <c r="W138" i="6"/>
  <c r="X91" i="9"/>
  <c r="W31" i="8"/>
  <c r="W50" i="8"/>
  <c r="X91" i="8"/>
  <c r="X50" i="8"/>
  <c r="X41" i="8"/>
  <c r="W30" i="8"/>
  <c r="W66" i="8" s="1"/>
  <c r="W37" i="8" s="1"/>
  <c r="W27" i="8"/>
  <c r="W58" i="8" s="1"/>
  <c r="W62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4" i="7"/>
  <c r="W94" i="7" s="1"/>
  <c r="W66" i="7"/>
  <c r="W58" i="7"/>
  <c r="W59" i="7"/>
  <c r="X61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81" i="7"/>
  <c r="W49" i="39"/>
  <c r="X121" i="6"/>
  <c r="X125" i="6" s="1"/>
  <c r="X172" i="6" s="1"/>
  <c r="X35" i="6"/>
  <c r="X46" i="8"/>
  <c r="AA47" i="59" s="1"/>
  <c r="X81" i="8"/>
  <c r="AA52" i="59" s="1"/>
  <c r="X43" i="8"/>
  <c r="W16" i="8"/>
  <c r="X47" i="8"/>
  <c r="W84" i="8"/>
  <c r="X16" i="8"/>
  <c r="X40" i="8"/>
  <c r="X44" i="8"/>
  <c r="X85" i="8"/>
  <c r="W25" i="8"/>
  <c r="W91" i="8"/>
  <c r="W81" i="7"/>
  <c r="W60" i="7"/>
  <c r="W55" i="7"/>
  <c r="W98" i="7" s="1"/>
  <c r="Z32" i="59" s="1"/>
  <c r="W74" i="7"/>
  <c r="W76" i="7"/>
  <c r="W121" i="6"/>
  <c r="W125" i="6" s="1"/>
  <c r="W24" i="6"/>
  <c r="W194" i="6"/>
  <c r="W168" i="6"/>
  <c r="W42" i="8"/>
  <c r="W57" i="9"/>
  <c r="W62" i="9" s="1"/>
  <c r="X109" i="8"/>
  <c r="X111" i="8" s="1"/>
  <c r="X52" i="8" s="1"/>
  <c r="AA43" i="59" s="1"/>
  <c r="X34" i="8"/>
  <c r="X71" i="8"/>
  <c r="X72" i="8"/>
  <c r="X37" i="8"/>
  <c r="X73" i="8"/>
  <c r="X36" i="8"/>
  <c r="W23" i="8"/>
  <c r="W28" i="8"/>
  <c r="W24" i="8"/>
  <c r="X39" i="8"/>
  <c r="X62" i="8"/>
  <c r="X35" i="8" s="1"/>
  <c r="W24" i="7"/>
  <c r="W87" i="7" s="1"/>
  <c r="Z31" i="59" s="1"/>
  <c r="W35" i="7"/>
  <c r="W100" i="7" s="1"/>
  <c r="W56" i="7"/>
  <c r="X56" i="7"/>
  <c r="X29" i="7"/>
  <c r="X92" i="7" s="1"/>
  <c r="X60" i="7"/>
  <c r="X24" i="7"/>
  <c r="X27" i="7"/>
  <c r="X90" i="7" s="1"/>
  <c r="X30" i="7"/>
  <c r="X93" i="7" s="1"/>
  <c r="AA35" i="59" s="1"/>
  <c r="X34" i="7"/>
  <c r="X88" i="7" s="1"/>
  <c r="X52" i="7"/>
  <c r="X55" i="7"/>
  <c r="X98" i="7" s="1"/>
  <c r="AA32" i="59" s="1"/>
  <c r="X58" i="7"/>
  <c r="X74" i="7"/>
  <c r="W86" i="7"/>
  <c r="X31" i="7"/>
  <c r="X96" i="7" s="1"/>
  <c r="X79" i="7"/>
  <c r="X26" i="7"/>
  <c r="X89" i="7" s="1"/>
  <c r="X67" i="7"/>
  <c r="X59" i="7"/>
  <c r="X99" i="7" s="1"/>
  <c r="X54" i="7"/>
  <c r="X94" i="7" s="1"/>
  <c r="X53" i="7"/>
  <c r="X23" i="7"/>
  <c r="X32" i="7"/>
  <c r="X97" i="7" s="1"/>
  <c r="X57" i="7"/>
  <c r="W23" i="39"/>
  <c r="W45" i="39"/>
  <c r="V22" i="39"/>
  <c r="W50" i="39"/>
  <c r="X138" i="6"/>
  <c r="X133" i="6"/>
  <c r="W133" i="6"/>
  <c r="W139" i="6" s="1"/>
  <c r="W143" i="6" s="1"/>
  <c r="W208" i="6" s="1"/>
  <c r="X57" i="6"/>
  <c r="W19" i="6"/>
  <c r="W84" i="6" s="1"/>
  <c r="W27" i="6"/>
  <c r="W163" i="6"/>
  <c r="W173" i="6"/>
  <c r="W175" i="6"/>
  <c r="W172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Z383" i="28"/>
  <c r="Z385" i="28"/>
  <c r="Z386" i="28"/>
  <c r="Z387" i="28"/>
  <c r="Z388" i="28"/>
  <c r="Z389" i="28"/>
  <c r="Z390" i="28"/>
  <c r="Z391" i="28"/>
  <c r="Z392" i="28"/>
  <c r="Z393" i="28"/>
  <c r="Z395" i="28"/>
  <c r="Z396" i="28"/>
  <c r="AB396" i="28" s="1"/>
  <c r="AF396" i="28" s="1"/>
  <c r="AJ396" i="28" s="1"/>
  <c r="AP396" i="28" s="1"/>
  <c r="AT396" i="28" s="1"/>
  <c r="AX396" i="28" s="1"/>
  <c r="BF396" i="28" s="1"/>
  <c r="Z397" i="28"/>
  <c r="Z398" i="28"/>
  <c r="Z399" i="28"/>
  <c r="Z400" i="28"/>
  <c r="Z401" i="28"/>
  <c r="Z402" i="28"/>
  <c r="Z405" i="28"/>
  <c r="Z406" i="28"/>
  <c r="Z407" i="28"/>
  <c r="Z382" i="28"/>
  <c r="Z377" i="28"/>
  <c r="Z346" i="28"/>
  <c r="Z347" i="28"/>
  <c r="Z348" i="28"/>
  <c r="Z349" i="28"/>
  <c r="Z338" i="28"/>
  <c r="Z339" i="28"/>
  <c r="Z340" i="28"/>
  <c r="Z341" i="28"/>
  <c r="Z342" i="28"/>
  <c r="Z343" i="28"/>
  <c r="Z344" i="28"/>
  <c r="Z345" i="28"/>
  <c r="Z328" i="28"/>
  <c r="Z329" i="28"/>
  <c r="Z330" i="28"/>
  <c r="Z331" i="28"/>
  <c r="Z332" i="28"/>
  <c r="Z333" i="28"/>
  <c r="Z334" i="28"/>
  <c r="Z335" i="28"/>
  <c r="Z336" i="28"/>
  <c r="Z322" i="28"/>
  <c r="Z323" i="28"/>
  <c r="Z324" i="28"/>
  <c r="Z325" i="28"/>
  <c r="Z326" i="28"/>
  <c r="Z327" i="28"/>
  <c r="Z311" i="28"/>
  <c r="Z312" i="28"/>
  <c r="Z313" i="28"/>
  <c r="Z314" i="28"/>
  <c r="Z315" i="28"/>
  <c r="Z301" i="28"/>
  <c r="Z302" i="28"/>
  <c r="Z303" i="28"/>
  <c r="Z304" i="28"/>
  <c r="Z305" i="28"/>
  <c r="Z306" i="28"/>
  <c r="Z307" i="28"/>
  <c r="Z308" i="28"/>
  <c r="Z294" i="28"/>
  <c r="AB294" i="28" s="1"/>
  <c r="AF294" i="28" s="1"/>
  <c r="AJ294" i="28" s="1"/>
  <c r="AP294" i="28" s="1"/>
  <c r="AT294" i="28" s="1"/>
  <c r="AX294" i="28" s="1"/>
  <c r="BF294" i="28" s="1"/>
  <c r="Z295" i="28"/>
  <c r="AB295" i="28" s="1"/>
  <c r="AF295" i="28" s="1"/>
  <c r="AJ295" i="28" s="1"/>
  <c r="AP295" i="28" s="1"/>
  <c r="AT295" i="28" s="1"/>
  <c r="AX295" i="28" s="1"/>
  <c r="BF295" i="28" s="1"/>
  <c r="Z297" i="28"/>
  <c r="AB297" i="28" s="1"/>
  <c r="AF297" i="28" s="1"/>
  <c r="AJ297" i="28" s="1"/>
  <c r="AP297" i="28" s="1"/>
  <c r="AT297" i="28" s="1"/>
  <c r="AX297" i="28" s="1"/>
  <c r="BF297" i="28" s="1"/>
  <c r="Z298" i="28"/>
  <c r="Z283" i="28"/>
  <c r="Z284" i="28"/>
  <c r="Z285" i="28"/>
  <c r="Z286" i="28"/>
  <c r="Z287" i="28"/>
  <c r="Z288" i="28"/>
  <c r="Z289" i="28"/>
  <c r="Z290" i="28"/>
  <c r="Z255" i="28"/>
  <c r="Z217" i="28"/>
  <c r="AB217" i="28" s="1"/>
  <c r="AF217" i="28" s="1"/>
  <c r="Z218" i="28"/>
  <c r="AB218" i="28" s="1"/>
  <c r="AF218" i="28" s="1"/>
  <c r="AJ218" i="28" s="1"/>
  <c r="AP218" i="28" s="1"/>
  <c r="AT218" i="28" s="1"/>
  <c r="AX218" i="28" s="1"/>
  <c r="BF218" i="28" s="1"/>
  <c r="Z219" i="28"/>
  <c r="AB219" i="28" s="1"/>
  <c r="AF219" i="28" s="1"/>
  <c r="Z220" i="28"/>
  <c r="Z221" i="28"/>
  <c r="AB221" i="28" s="1"/>
  <c r="AF221" i="28" s="1"/>
  <c r="Z222" i="28"/>
  <c r="AB222" i="28" s="1"/>
  <c r="AF222" i="28" s="1"/>
  <c r="AJ222" i="28" s="1"/>
  <c r="AP222" i="28" s="1"/>
  <c r="AT222" i="28" s="1"/>
  <c r="AX222" i="28" s="1"/>
  <c r="BF222" i="28" s="1"/>
  <c r="Z225" i="28"/>
  <c r="AB225" i="28" s="1"/>
  <c r="AF225" i="28" s="1"/>
  <c r="Z226" i="28"/>
  <c r="Z227" i="28"/>
  <c r="AB227" i="28" s="1"/>
  <c r="AF227" i="28" s="1"/>
  <c r="AJ227" i="28" s="1"/>
  <c r="AP227" i="28" s="1"/>
  <c r="AT227" i="28" s="1"/>
  <c r="AX227" i="28" s="1"/>
  <c r="BF227" i="28" s="1"/>
  <c r="Z201" i="28"/>
  <c r="Z202" i="28"/>
  <c r="Z203" i="28"/>
  <c r="Z204" i="28"/>
  <c r="Z205" i="28"/>
  <c r="Z206" i="28"/>
  <c r="Z207" i="28"/>
  <c r="Z208" i="28"/>
  <c r="Z192" i="28"/>
  <c r="Z193" i="28"/>
  <c r="Z194" i="28"/>
  <c r="Z195" i="28"/>
  <c r="Z196" i="28"/>
  <c r="Z197" i="28"/>
  <c r="AB197" i="28" s="1"/>
  <c r="AF197" i="28" s="1"/>
  <c r="AJ197" i="28" s="1"/>
  <c r="AP197" i="28" s="1"/>
  <c r="AT197" i="28" s="1"/>
  <c r="AX197" i="28" s="1"/>
  <c r="BF197" i="28" s="1"/>
  <c r="Z198" i="28"/>
  <c r="Z199" i="28"/>
  <c r="Z200" i="28"/>
  <c r="Z88" i="28"/>
  <c r="Z90" i="28"/>
  <c r="Z91" i="28"/>
  <c r="Z92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3" i="28"/>
  <c r="Z114" i="28"/>
  <c r="Z115" i="28"/>
  <c r="Z116" i="28"/>
  <c r="AB116" i="28" s="1"/>
  <c r="AF116" i="28" s="1"/>
  <c r="AJ116" i="28" s="1"/>
  <c r="AP116" i="28" s="1"/>
  <c r="AT116" i="28" s="1"/>
  <c r="AX116" i="28" s="1"/>
  <c r="BF116" i="28" s="1"/>
  <c r="Z117" i="28"/>
  <c r="Z118" i="28"/>
  <c r="Z119" i="28"/>
  <c r="AB119" i="28" s="1"/>
  <c r="AF119" i="28" s="1"/>
  <c r="AJ119" i="28" s="1"/>
  <c r="AP119" i="28" s="1"/>
  <c r="AT119" i="28" s="1"/>
  <c r="AX119" i="28" s="1"/>
  <c r="BF119" i="28" s="1"/>
  <c r="Z120" i="28"/>
  <c r="Z121" i="28"/>
  <c r="Z122" i="28"/>
  <c r="AB122" i="28" s="1"/>
  <c r="AF122" i="28" s="1"/>
  <c r="AJ122" i="28" s="1"/>
  <c r="AP122" i="28" s="1"/>
  <c r="AT122" i="28" s="1"/>
  <c r="AX122" i="28" s="1"/>
  <c r="BF122" i="28" s="1"/>
  <c r="Z123" i="28"/>
  <c r="Z127" i="28"/>
  <c r="Z129" i="28"/>
  <c r="AB129" i="28" s="1"/>
  <c r="AF129" i="28" s="1"/>
  <c r="AJ129" i="28" s="1"/>
  <c r="AP129" i="28" s="1"/>
  <c r="AT129" i="28" s="1"/>
  <c r="AX129" i="28" s="1"/>
  <c r="BF129" i="28" s="1"/>
  <c r="Z130" i="28"/>
  <c r="AB130" i="28" s="1"/>
  <c r="AF130" i="28" s="1"/>
  <c r="AJ130" i="28" s="1"/>
  <c r="AP130" i="28" s="1"/>
  <c r="AT130" i="28" s="1"/>
  <c r="AX130" i="28" s="1"/>
  <c r="BF130" i="28" s="1"/>
  <c r="Z131" i="28"/>
  <c r="Z132" i="28"/>
  <c r="Z133" i="28"/>
  <c r="Z134" i="28"/>
  <c r="Z135" i="28"/>
  <c r="Z136" i="28"/>
  <c r="Z138" i="28"/>
  <c r="Z139" i="28"/>
  <c r="Z140" i="28"/>
  <c r="Z141" i="28"/>
  <c r="Z142" i="28"/>
  <c r="Z143" i="28"/>
  <c r="Z144" i="28"/>
  <c r="Z145" i="28"/>
  <c r="Z146" i="28"/>
  <c r="Z147" i="28"/>
  <c r="Z148" i="28"/>
  <c r="Z150" i="28"/>
  <c r="Z151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AB173" i="28" s="1"/>
  <c r="AF173" i="28" s="1"/>
  <c r="AJ173" i="28" s="1"/>
  <c r="AP173" i="28" s="1"/>
  <c r="AT173" i="28" s="1"/>
  <c r="AX173" i="28" s="1"/>
  <c r="BF173" i="28" s="1"/>
  <c r="Z174" i="28"/>
  <c r="Z175" i="28"/>
  <c r="AB175" i="28" s="1"/>
  <c r="AF175" i="28" s="1"/>
  <c r="AJ175" i="28" s="1"/>
  <c r="AP175" i="28" s="1"/>
  <c r="AT175" i="28" s="1"/>
  <c r="AX175" i="28" s="1"/>
  <c r="BF175" i="28" s="1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9" i="28"/>
  <c r="Z190" i="28"/>
  <c r="Z191" i="28"/>
  <c r="X28" i="28"/>
  <c r="W458" i="28"/>
  <c r="X415" i="28"/>
  <c r="X411" i="28"/>
  <c r="X380" i="28"/>
  <c r="X379" i="28"/>
  <c r="X372" i="28"/>
  <c r="X450" i="28" s="1"/>
  <c r="W372" i="28"/>
  <c r="X356" i="28"/>
  <c r="X357" i="28" s="1"/>
  <c r="X273" i="28"/>
  <c r="X446" i="28" s="1"/>
  <c r="W273" i="28"/>
  <c r="X267" i="28"/>
  <c r="W267" i="28"/>
  <c r="X266" i="28"/>
  <c r="W266" i="28"/>
  <c r="X229" i="28"/>
  <c r="X442" i="28" s="1"/>
  <c r="W229" i="28"/>
  <c r="X212" i="28"/>
  <c r="X211" i="28"/>
  <c r="X213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50" i="28"/>
  <c r="X26" i="28"/>
  <c r="W21" i="28"/>
  <c r="W26" i="28" s="1"/>
  <c r="X19" i="28"/>
  <c r="W14" i="28"/>
  <c r="W19" i="28" s="1"/>
  <c r="W268" i="28" s="1"/>
  <c r="X12" i="28"/>
  <c r="X58" i="28" s="1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2" i="73"/>
  <c r="AA192" i="73" s="1"/>
  <c r="AE192" i="73" s="1"/>
  <c r="AI192" i="73" s="1"/>
  <c r="AO192" i="73" s="1"/>
  <c r="AS192" i="73" s="1"/>
  <c r="AW192" i="73" s="1"/>
  <c r="BE192" i="73" s="1"/>
  <c r="Y193" i="73"/>
  <c r="Y194" i="73"/>
  <c r="Y195" i="73"/>
  <c r="Y196" i="73"/>
  <c r="Y197" i="73"/>
  <c r="Y198" i="73"/>
  <c r="AA198" i="73" s="1"/>
  <c r="AE198" i="73" s="1"/>
  <c r="AI198" i="73" s="1"/>
  <c r="AO198" i="73" s="1"/>
  <c r="AS198" i="73" s="1"/>
  <c r="AW198" i="73" s="1"/>
  <c r="BE198" i="73" s="1"/>
  <c r="Y199" i="73"/>
  <c r="W188" i="73"/>
  <c r="W177" i="73"/>
  <c r="W186" i="73" s="1"/>
  <c r="W131" i="73"/>
  <c r="W127" i="73"/>
  <c r="W124" i="73"/>
  <c r="W120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AA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AA36" i="59"/>
  <c r="Z36" i="59"/>
  <c r="Z35" i="59"/>
  <c r="AA34" i="59"/>
  <c r="Z34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9" i="36"/>
  <c r="W41" i="36" s="1"/>
  <c r="W48" i="36"/>
  <c r="X46" i="36"/>
  <c r="X54" i="36" s="1"/>
  <c r="X44" i="36"/>
  <c r="X52" i="36" s="1"/>
  <c r="X43" i="36"/>
  <c r="X51" i="36" s="1"/>
  <c r="W43" i="36"/>
  <c r="W45" i="36" s="1"/>
  <c r="X41" i="36"/>
  <c r="X49" i="36" s="1"/>
  <c r="X40" i="36"/>
  <c r="X48" i="36" s="1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1" i="35" s="1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Z34" i="35"/>
  <c r="Y35" i="35"/>
  <c r="Z35" i="35"/>
  <c r="Z42" i="35"/>
  <c r="Z43" i="35"/>
  <c r="Z44" i="35"/>
  <c r="Z45" i="35"/>
  <c r="Y48" i="35"/>
  <c r="Z48" i="35"/>
  <c r="Y49" i="35"/>
  <c r="Z49" i="35"/>
  <c r="Y51" i="35"/>
  <c r="Z51" i="35"/>
  <c r="W42" i="35"/>
  <c r="W41" i="35"/>
  <c r="W39" i="35"/>
  <c r="X36" i="35"/>
  <c r="X46" i="35" s="1"/>
  <c r="W36" i="35"/>
  <c r="W46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W134" i="73" l="1"/>
  <c r="W124" i="90"/>
  <c r="Y137" i="50"/>
  <c r="Y139" i="50" s="1"/>
  <c r="Y140" i="50" s="1"/>
  <c r="W50" i="36"/>
  <c r="W40" i="36"/>
  <c r="W42" i="36" s="1"/>
  <c r="Z77" i="59"/>
  <c r="Z78" i="59"/>
  <c r="Z79" i="59"/>
  <c r="W2" i="26"/>
  <c r="W2" i="17"/>
  <c r="V2" i="26"/>
  <c r="V2" i="17"/>
  <c r="W26" i="6"/>
  <c r="W81" i="6"/>
  <c r="W108" i="8"/>
  <c r="W109" i="8" s="1"/>
  <c r="X42" i="8"/>
  <c r="Z6" i="59"/>
  <c r="Z54" i="59"/>
  <c r="Z55" i="59"/>
  <c r="W38" i="36"/>
  <c r="W91" i="9"/>
  <c r="W14" i="35"/>
  <c r="W9" i="6"/>
  <c r="W13" i="35"/>
  <c r="W8" i="6"/>
  <c r="X77" i="8"/>
  <c r="W6" i="26"/>
  <c r="X18" i="49"/>
  <c r="X33" i="28"/>
  <c r="X61" i="28" s="1"/>
  <c r="X268" i="28"/>
  <c r="X436" i="28" s="1"/>
  <c r="Z26" i="35"/>
  <c r="X35" i="36"/>
  <c r="X36" i="36" s="1"/>
  <c r="X30" i="36" s="1"/>
  <c r="AA80" i="59" s="1"/>
  <c r="Z36" i="35"/>
  <c r="Z46" i="35" s="1"/>
  <c r="X33" i="35"/>
  <c r="X37" i="35" s="1"/>
  <c r="Y77" i="83" s="1"/>
  <c r="Y75" i="83" s="1"/>
  <c r="X41" i="35"/>
  <c r="X95" i="11"/>
  <c r="X53" i="36"/>
  <c r="X50" i="36"/>
  <c r="X19" i="36" s="1"/>
  <c r="AA57" i="59" s="1"/>
  <c r="X77" i="9"/>
  <c r="X74" i="9"/>
  <c r="X18" i="36"/>
  <c r="AA56" i="59" s="1"/>
  <c r="X173" i="6"/>
  <c r="AA22" i="59" s="1"/>
  <c r="X175" i="6"/>
  <c r="X139" i="6"/>
  <c r="X143" i="6" s="1"/>
  <c r="X16" i="6"/>
  <c r="X18" i="6"/>
  <c r="X8" i="35"/>
  <c r="X5" i="6"/>
  <c r="X13" i="36"/>
  <c r="AA40" i="59" s="1"/>
  <c r="W101" i="7"/>
  <c r="W36" i="7"/>
  <c r="W51" i="7" s="1"/>
  <c r="W61" i="7" s="1"/>
  <c r="W26" i="21"/>
  <c r="W28" i="21" s="1"/>
  <c r="W37" i="35"/>
  <c r="W28" i="28"/>
  <c r="W33" i="28" s="1"/>
  <c r="W61" i="28" s="1"/>
  <c r="W77" i="28" s="1"/>
  <c r="Y33" i="35"/>
  <c r="AA54" i="59"/>
  <c r="X70" i="8"/>
  <c r="X69" i="8"/>
  <c r="X51" i="8"/>
  <c r="AA42" i="59" s="1"/>
  <c r="AA44" i="59" s="1"/>
  <c r="AA37" i="59"/>
  <c r="Z44" i="59"/>
  <c r="Z49" i="59"/>
  <c r="AA49" i="59"/>
  <c r="W110" i="8"/>
  <c r="W111" i="8" s="1"/>
  <c r="W68" i="8"/>
  <c r="W36" i="8" s="1"/>
  <c r="W64" i="8"/>
  <c r="W34" i="8" s="1"/>
  <c r="W26" i="8"/>
  <c r="W24" i="39"/>
  <c r="X87" i="7"/>
  <c r="AA31" i="59" s="1"/>
  <c r="Z30" i="59"/>
  <c r="W51" i="39"/>
  <c r="X86" i="7"/>
  <c r="X36" i="7"/>
  <c r="X51" i="7" s="1"/>
  <c r="V24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174" i="6"/>
  <c r="W34" i="6"/>
  <c r="W147" i="6"/>
  <c r="W39" i="36"/>
  <c r="W15" i="35"/>
  <c r="X426" i="28"/>
  <c r="X458" i="28" s="1"/>
  <c r="X447" i="28"/>
  <c r="X443" i="28"/>
  <c r="X83" i="28"/>
  <c r="X84" i="28" s="1"/>
  <c r="X409" i="28"/>
  <c r="X459" i="28" s="1"/>
  <c r="X448" i="28"/>
  <c r="X59" i="28"/>
  <c r="X440" i="28"/>
  <c r="X441" i="28"/>
  <c r="X55" i="28"/>
  <c r="X456" i="28" s="1"/>
  <c r="W437" i="28"/>
  <c r="W60" i="28"/>
  <c r="W73" i="28" s="1"/>
  <c r="W447" i="28" s="1"/>
  <c r="W357" i="28"/>
  <c r="W449" i="28" s="1"/>
  <c r="W59" i="28"/>
  <c r="W69" i="28" s="1"/>
  <c r="W444" i="28" s="1"/>
  <c r="X60" i="28"/>
  <c r="X439" i="28"/>
  <c r="X449" i="28"/>
  <c r="W445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7" i="35"/>
  <c r="Y26" i="35"/>
  <c r="W11" i="35"/>
  <c r="W10" i="6" s="1"/>
  <c r="X79" i="9" l="1"/>
  <c r="W126" i="90"/>
  <c r="X444" i="28"/>
  <c r="W75" i="7"/>
  <c r="X25" i="36"/>
  <c r="AA76" i="59" s="1"/>
  <c r="Y93" i="50"/>
  <c r="Y91" i="50" s="1"/>
  <c r="X445" i="28"/>
  <c r="X437" i="28"/>
  <c r="X451" i="28"/>
  <c r="X174" i="6"/>
  <c r="X8" i="36" s="1"/>
  <c r="AA9" i="59" s="1"/>
  <c r="X189" i="6"/>
  <c r="X194" i="6"/>
  <c r="X17" i="6"/>
  <c r="X15" i="6"/>
  <c r="X7" i="6"/>
  <c r="W149" i="6"/>
  <c r="W427" i="28"/>
  <c r="W453" i="28" s="1"/>
  <c r="W50" i="28"/>
  <c r="W55" i="28" s="1"/>
  <c r="W456" i="28" s="1"/>
  <c r="X75" i="7"/>
  <c r="X61" i="7"/>
  <c r="X101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27" i="28"/>
  <c r="X430" i="28" s="1"/>
  <c r="W451" i="28"/>
  <c r="X62" i="28"/>
  <c r="X457" i="28" s="1"/>
  <c r="W443" i="28"/>
  <c r="W436" i="28"/>
  <c r="W213" i="28"/>
  <c r="W441" i="28" s="1"/>
  <c r="W58" i="28"/>
  <c r="W448" i="28"/>
  <c r="X56" i="28"/>
  <c r="W130" i="90" l="1"/>
  <c r="W215" i="6"/>
  <c r="W220" i="6" s="1"/>
  <c r="X453" i="28"/>
  <c r="X431" i="28"/>
  <c r="W430" i="28"/>
  <c r="W431" i="28"/>
  <c r="X19" i="6"/>
  <c r="X168" i="6"/>
  <c r="X164" i="6"/>
  <c r="W452" i="28"/>
  <c r="X219" i="6"/>
  <c r="X209" i="6"/>
  <c r="X214" i="6"/>
  <c r="AA11" i="59" s="1"/>
  <c r="X452" i="28"/>
  <c r="W65" i="28"/>
  <c r="W62" i="28"/>
  <c r="W457" i="28" s="1"/>
  <c r="X38" i="6" l="1"/>
  <c r="X37" i="6"/>
  <c r="X39" i="6"/>
  <c r="X40" i="6"/>
  <c r="X84" i="6"/>
  <c r="X81" i="6"/>
  <c r="X215" i="6"/>
  <c r="X220" i="6" s="1"/>
  <c r="W440" i="28"/>
  <c r="W81" i="28"/>
  <c r="W439" i="28"/>
  <c r="V222" i="28"/>
  <c r="U71" i="73"/>
  <c r="X9" i="36" l="1"/>
  <c r="AA10" i="59" s="1"/>
  <c r="X41" i="6"/>
  <c r="V159" i="9"/>
  <c r="V158" i="9"/>
  <c r="V157" i="9"/>
  <c r="G52" i="83" l="1"/>
  <c r="I52" i="83"/>
  <c r="M52" i="83"/>
  <c r="Q52" i="83"/>
  <c r="U52" i="83"/>
  <c r="U68" i="83"/>
  <c r="U69" i="83"/>
  <c r="U70" i="83"/>
  <c r="U71" i="83"/>
  <c r="U72" i="83"/>
  <c r="U51" i="83"/>
  <c r="U53" i="83"/>
  <c r="U54" i="83"/>
  <c r="U55" i="83"/>
  <c r="U56" i="83"/>
  <c r="U57" i="83"/>
  <c r="U58" i="83"/>
  <c r="U59" i="83"/>
  <c r="U60" i="83"/>
  <c r="U61" i="83"/>
  <c r="U63" i="83"/>
  <c r="U64" i="83"/>
  <c r="U65" i="83"/>
  <c r="U66" i="83"/>
  <c r="U50" i="83"/>
  <c r="U47" i="83"/>
  <c r="U48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2" i="83" l="1"/>
  <c r="S52" i="83" s="1"/>
  <c r="W52" i="83" s="1"/>
  <c r="K52" i="83"/>
  <c r="U67" i="83"/>
  <c r="U73" i="83"/>
  <c r="U49" i="83"/>
  <c r="U44" i="83"/>
  <c r="S37" i="27" l="1"/>
  <c r="S35" i="27"/>
  <c r="S29" i="27"/>
  <c r="S27" i="27"/>
  <c r="S20" i="27"/>
  <c r="S19" i="27"/>
  <c r="S18" i="27"/>
  <c r="T103" i="9" l="1"/>
  <c r="U190" i="6" l="1"/>
  <c r="U165" i="6"/>
  <c r="X60" i="38" l="1"/>
  <c r="U70" i="73"/>
  <c r="U72" i="73"/>
  <c r="S129" i="26"/>
  <c r="U198" i="73"/>
  <c r="P11" i="11" l="1"/>
  <c r="Z11" i="11" s="1"/>
  <c r="P43" i="11"/>
  <c r="P38" i="11"/>
  <c r="Z38" i="11" s="1"/>
  <c r="AA60" i="45" l="1"/>
  <c r="S60" i="45"/>
  <c r="T14" i="10"/>
  <c r="T22" i="10"/>
  <c r="T30" i="10"/>
  <c r="V34" i="10"/>
  <c r="P138" i="10"/>
  <c r="Z138" i="10" s="1"/>
  <c r="P65" i="10"/>
  <c r="Z65" i="10" s="1"/>
  <c r="AC60" i="45" l="1"/>
  <c r="AC140" i="45" s="1"/>
  <c r="AA140" i="45"/>
  <c r="W60" i="45"/>
  <c r="W140" i="45" s="1"/>
  <c r="S140" i="45"/>
  <c r="Z22" i="10"/>
  <c r="U27" i="83"/>
  <c r="Z30" i="10"/>
  <c r="U9" i="83"/>
  <c r="Z14" i="10"/>
  <c r="U6" i="83"/>
  <c r="V396" i="28"/>
  <c r="U37" i="83" l="1"/>
  <c r="U74" i="83" s="1"/>
  <c r="V130" i="28"/>
  <c r="V173" i="28"/>
  <c r="M47" i="7" l="1"/>
  <c r="AA47" i="7" s="1"/>
  <c r="AE47" i="7" s="1"/>
  <c r="AI47" i="7" s="1"/>
  <c r="AO47" i="7" s="1"/>
  <c r="AS47" i="7" s="1"/>
  <c r="AW47" i="7" s="1"/>
  <c r="BE47" i="7" s="1"/>
  <c r="N47" i="7"/>
  <c r="AB47" i="7" s="1"/>
  <c r="AF47" i="7" s="1"/>
  <c r="AJ47" i="7" s="1"/>
  <c r="AP47" i="7" l="1"/>
  <c r="AT47" i="7" s="1"/>
  <c r="AX47" i="7" s="1"/>
  <c r="R47" i="7"/>
  <c r="Q47" i="7"/>
  <c r="U47" i="7" s="1"/>
  <c r="T14" i="8"/>
  <c r="BF47" i="7" l="1"/>
  <c r="V47" i="7"/>
  <c r="T95" i="9"/>
  <c r="T198" i="6"/>
  <c r="S93" i="90" l="1"/>
  <c r="U126" i="50"/>
  <c r="S92" i="90"/>
  <c r="S91" i="90"/>
  <c r="U125" i="50"/>
  <c r="R38" i="27"/>
  <c r="R24" i="27"/>
  <c r="R39" i="27"/>
  <c r="S36" i="27"/>
  <c r="R33" i="27"/>
  <c r="S28" i="27"/>
  <c r="S26" i="27"/>
  <c r="S33" i="27" s="1"/>
  <c r="S21" i="27"/>
  <c r="S94" i="90" l="1"/>
  <c r="S24" i="27"/>
  <c r="S39" i="27"/>
  <c r="T28" i="22"/>
  <c r="T24" i="22"/>
  <c r="T26" i="22" s="1"/>
  <c r="T23" i="22"/>
  <c r="T14" i="22"/>
  <c r="T10" i="22"/>
  <c r="T9" i="22"/>
  <c r="V3" i="22"/>
  <c r="U3" i="22"/>
  <c r="T12" i="22" l="1"/>
  <c r="R129" i="26" l="1"/>
  <c r="S114" i="26"/>
  <c r="R112" i="26"/>
  <c r="R110" i="26"/>
  <c r="R108" i="26"/>
  <c r="R106" i="26"/>
  <c r="R104" i="26"/>
  <c r="R102" i="26"/>
  <c r="R100" i="26"/>
  <c r="R98" i="26"/>
  <c r="S94" i="26"/>
  <c r="S83" i="26"/>
  <c r="S82" i="26"/>
  <c r="R80" i="26"/>
  <c r="R78" i="26"/>
  <c r="R85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1" i="26" s="1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9" i="26" s="1"/>
  <c r="R11" i="26"/>
  <c r="R9" i="26"/>
  <c r="R89" i="17"/>
  <c r="R75" i="26" l="1"/>
  <c r="R173" i="26" s="1"/>
  <c r="R12" i="26"/>
  <c r="R13" i="26" s="1"/>
  <c r="R82" i="26"/>
  <c r="R94" i="26"/>
  <c r="R114" i="26"/>
  <c r="R45" i="26"/>
  <c r="R50" i="26"/>
  <c r="S56" i="26"/>
  <c r="S57" i="26"/>
  <c r="S13" i="26"/>
  <c r="S18" i="26"/>
  <c r="R83" i="26"/>
  <c r="R19" i="26" l="1"/>
  <c r="R18" i="26"/>
  <c r="R168" i="26"/>
  <c r="R56" i="26"/>
  <c r="R57" i="26"/>
  <c r="R51" i="26"/>
  <c r="R165" i="26" l="1"/>
  <c r="R172" i="26"/>
  <c r="R115" i="17" l="1"/>
  <c r="R113" i="17"/>
  <c r="S87" i="17"/>
  <c r="R87" i="17"/>
  <c r="S86" i="17"/>
  <c r="R86" i="17"/>
  <c r="S85" i="17"/>
  <c r="R85" i="17"/>
  <c r="S84" i="17"/>
  <c r="R84" i="17"/>
  <c r="S83" i="17"/>
  <c r="R83" i="17"/>
  <c r="S79" i="17"/>
  <c r="R79" i="17"/>
  <c r="S67" i="17"/>
  <c r="S69" i="17" s="1"/>
  <c r="R67" i="17"/>
  <c r="R69" i="17" s="1"/>
  <c r="R61" i="17"/>
  <c r="S59" i="17"/>
  <c r="R58" i="17"/>
  <c r="R57" i="17"/>
  <c r="R59" i="17" s="1"/>
  <c r="R55" i="17"/>
  <c r="S52" i="17"/>
  <c r="S53" i="17" s="1"/>
  <c r="R52" i="17"/>
  <c r="S49" i="17"/>
  <c r="R48" i="17"/>
  <c r="S47" i="17"/>
  <c r="R46" i="17"/>
  <c r="S44" i="17"/>
  <c r="S50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16" i="17"/>
  <c r="R30" i="17" s="1"/>
  <c r="R15" i="17"/>
  <c r="S12" i="17"/>
  <c r="S9" i="17"/>
  <c r="S11" i="17" s="1"/>
  <c r="R9" i="17"/>
  <c r="R11" i="17" s="1"/>
  <c r="S114" i="17" l="1"/>
  <c r="R33" i="17"/>
  <c r="R117" i="17"/>
  <c r="R50" i="17"/>
  <c r="R54" i="17" s="1"/>
  <c r="R34" i="17"/>
  <c r="R32" i="17"/>
  <c r="R31" i="17"/>
  <c r="S54" i="17"/>
  <c r="S112" i="17"/>
  <c r="S116" i="17" s="1"/>
  <c r="S51" i="17"/>
  <c r="S55" i="17" s="1"/>
  <c r="R62" i="17"/>
  <c r="R60" i="17"/>
  <c r="S14" i="17"/>
  <c r="S32" i="17"/>
  <c r="S13" i="17"/>
  <c r="S62" i="17"/>
  <c r="R114" i="17"/>
  <c r="S30" i="17"/>
  <c r="S45" i="17"/>
  <c r="S60" i="17"/>
  <c r="S31" i="17"/>
  <c r="S33" i="17"/>
  <c r="S34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X90" i="38" s="1"/>
  <c r="W39" i="38"/>
  <c r="W38" i="38"/>
  <c r="W37" i="38"/>
  <c r="W36" i="38"/>
  <c r="X35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X55" i="38" s="1"/>
  <c r="U14" i="50"/>
  <c r="U6" i="61" s="1"/>
  <c r="U15" i="50"/>
  <c r="U7" i="61" s="1"/>
  <c r="U16" i="50"/>
  <c r="U8" i="61" s="1"/>
  <c r="U17" i="50"/>
  <c r="U9" i="61" s="1"/>
  <c r="U18" i="50"/>
  <c r="U10" i="61" s="1"/>
  <c r="U19" i="50"/>
  <c r="U11" i="61" s="1"/>
  <c r="Q14" i="72"/>
  <c r="Q30" i="72"/>
  <c r="Q37" i="72"/>
  <c r="BJ50" i="71"/>
  <c r="BH50" i="71"/>
  <c r="X84" i="38" l="1"/>
  <c r="R112" i="17"/>
  <c r="R116" i="17" s="1"/>
  <c r="S15" i="17"/>
  <c r="S115" i="17"/>
  <c r="S113" i="17"/>
  <c r="W43" i="38"/>
  <c r="W35" i="38"/>
  <c r="W13" i="38"/>
  <c r="W65" i="38"/>
  <c r="W6" i="38"/>
  <c r="W16" i="38" s="1"/>
  <c r="W89" i="38"/>
  <c r="W67" i="38"/>
  <c r="W66" i="38" s="1"/>
  <c r="W19" i="38"/>
  <c r="X40" i="38"/>
  <c r="X18" i="38"/>
  <c r="X68" i="38"/>
  <c r="X16" i="38"/>
  <c r="Q39" i="72"/>
  <c r="BI50" i="71"/>
  <c r="BI52" i="71" s="1"/>
  <c r="U125" i="45"/>
  <c r="U124" i="45"/>
  <c r="U122" i="45"/>
  <c r="U116" i="45"/>
  <c r="U117" i="45" s="1"/>
  <c r="U111" i="45"/>
  <c r="T111" i="45"/>
  <c r="U109" i="45"/>
  <c r="T109" i="45"/>
  <c r="U108" i="45"/>
  <c r="T108" i="45"/>
  <c r="U106" i="45"/>
  <c r="T106" i="45"/>
  <c r="U104" i="45"/>
  <c r="T104" i="45"/>
  <c r="U102" i="45"/>
  <c r="T102" i="45"/>
  <c r="U99" i="45"/>
  <c r="U100" i="45" s="1"/>
  <c r="T99" i="45"/>
  <c r="T100" i="45" s="1"/>
  <c r="U90" i="45"/>
  <c r="U89" i="45"/>
  <c r="T89" i="45"/>
  <c r="T92" i="45" s="1"/>
  <c r="U88" i="45"/>
  <c r="T88" i="11"/>
  <c r="T87" i="11"/>
  <c r="T86" i="11"/>
  <c r="T80" i="11"/>
  <c r="T81" i="11" s="1"/>
  <c r="T75" i="11"/>
  <c r="S75" i="11"/>
  <c r="T73" i="11"/>
  <c r="S73" i="11"/>
  <c r="T72" i="11"/>
  <c r="S72" i="11"/>
  <c r="T70" i="11"/>
  <c r="S70" i="11"/>
  <c r="T68" i="11"/>
  <c r="S68" i="11"/>
  <c r="T66" i="11"/>
  <c r="S66" i="11"/>
  <c r="T63" i="11"/>
  <c r="T64" i="11" s="1"/>
  <c r="S63" i="11"/>
  <c r="S64" i="11" s="1"/>
  <c r="T56" i="11"/>
  <c r="T54" i="11"/>
  <c r="T90" i="11" s="1"/>
  <c r="T53" i="11"/>
  <c r="T55" i="11" s="1"/>
  <c r="S53" i="11"/>
  <c r="S52" i="11" s="1"/>
  <c r="T52" i="11"/>
  <c r="T89" i="11" s="1"/>
  <c r="T192" i="10"/>
  <c r="T182" i="10"/>
  <c r="T180" i="10"/>
  <c r="T174" i="10"/>
  <c r="T175" i="10" s="1"/>
  <c r="T169" i="10"/>
  <c r="S169" i="10"/>
  <c r="T167" i="10"/>
  <c r="S167" i="10"/>
  <c r="T166" i="10"/>
  <c r="S166" i="10"/>
  <c r="T164" i="10"/>
  <c r="S164" i="10"/>
  <c r="T162" i="10"/>
  <c r="S162" i="10"/>
  <c r="T160" i="10"/>
  <c r="S160" i="10"/>
  <c r="T157" i="10"/>
  <c r="T158" i="10" s="1"/>
  <c r="S157" i="10"/>
  <c r="S158" i="10" s="1"/>
  <c r="T152" i="10"/>
  <c r="T184" i="10" s="1"/>
  <c r="T151" i="10"/>
  <c r="T170" i="10" s="1"/>
  <c r="S151" i="10"/>
  <c r="S170" i="10" s="1"/>
  <c r="T150" i="10"/>
  <c r="T183" i="10" s="1"/>
  <c r="U127" i="45" l="1"/>
  <c r="U126" i="45"/>
  <c r="U92" i="45"/>
  <c r="U93" i="45" s="1"/>
  <c r="W98" i="38"/>
  <c r="T88" i="45"/>
  <c r="T185" i="10"/>
  <c r="T112" i="45"/>
  <c r="T91" i="45"/>
  <c r="T82" i="11"/>
  <c r="Q41" i="72"/>
  <c r="S117" i="17"/>
  <c r="W40" i="38"/>
  <c r="W18" i="38"/>
  <c r="X89" i="38"/>
  <c r="X67" i="38"/>
  <c r="X17" i="38"/>
  <c r="X49" i="38" s="1"/>
  <c r="X65" i="38"/>
  <c r="U123" i="45"/>
  <c r="U130" i="45" s="1"/>
  <c r="U112" i="45"/>
  <c r="U91" i="45"/>
  <c r="U128" i="45"/>
  <c r="U118" i="45"/>
  <c r="T57" i="11"/>
  <c r="T91" i="11"/>
  <c r="T93" i="11"/>
  <c r="T76" i="11"/>
  <c r="S55" i="11"/>
  <c r="S76" i="11"/>
  <c r="S95" i="11"/>
  <c r="T181" i="10"/>
  <c r="T187" i="10" s="1"/>
  <c r="T176" i="10"/>
  <c r="T189" i="10"/>
  <c r="S153" i="10"/>
  <c r="T193" i="10"/>
  <c r="S150" i="10"/>
  <c r="T153" i="10"/>
  <c r="W17" i="38" l="1"/>
  <c r="W49" i="38" s="1"/>
  <c r="X66" i="38"/>
  <c r="X98" i="38" s="1"/>
  <c r="U198" i="6" l="1"/>
  <c r="T147" i="9" l="1"/>
  <c r="T148" i="9" s="1"/>
  <c r="S104" i="9"/>
  <c r="S102" i="9"/>
  <c r="S101" i="9"/>
  <c r="T99" i="9"/>
  <c r="S99" i="9"/>
  <c r="T98" i="9"/>
  <c r="S98" i="9"/>
  <c r="T97" i="9"/>
  <c r="S97" i="9"/>
  <c r="T93" i="9"/>
  <c r="S76" i="9"/>
  <c r="S77" i="9" s="1"/>
  <c r="S74" i="9"/>
  <c r="T60" i="9"/>
  <c r="T57" i="9"/>
  <c r="S53" i="9"/>
  <c r="S52" i="9"/>
  <c r="S51" i="9"/>
  <c r="S47" i="9"/>
  <c r="T46" i="9"/>
  <c r="T36" i="9"/>
  <c r="T35" i="9"/>
  <c r="T34" i="9"/>
  <c r="T31" i="9"/>
  <c r="T25" i="9"/>
  <c r="S24" i="9"/>
  <c r="S22" i="9"/>
  <c r="T19" i="9"/>
  <c r="T10" i="9"/>
  <c r="T5" i="9"/>
  <c r="S5" i="9"/>
  <c r="U31" i="36"/>
  <c r="V31" i="36"/>
  <c r="V92" i="8"/>
  <c r="U80" i="8"/>
  <c r="U72" i="8"/>
  <c r="U51" i="8"/>
  <c r="T108" i="8"/>
  <c r="T110" i="8" s="1"/>
  <c r="T93" i="8"/>
  <c r="T90" i="8"/>
  <c r="S90" i="8"/>
  <c r="T88" i="8"/>
  <c r="S88" i="8"/>
  <c r="T87" i="8"/>
  <c r="S87" i="8"/>
  <c r="S86" i="8"/>
  <c r="S83" i="8"/>
  <c r="S81" i="8"/>
  <c r="S80" i="8"/>
  <c r="T79" i="8"/>
  <c r="T75" i="8"/>
  <c r="S74" i="8"/>
  <c r="S73" i="8"/>
  <c r="S72" i="8"/>
  <c r="S71" i="8"/>
  <c r="S70" i="8"/>
  <c r="T67" i="8"/>
  <c r="T68" i="8" s="1"/>
  <c r="T65" i="8"/>
  <c r="T66" i="8" s="1"/>
  <c r="T63" i="8"/>
  <c r="T64" i="8" s="1"/>
  <c r="T60" i="8"/>
  <c r="T57" i="8"/>
  <c r="T58" i="8" s="1"/>
  <c r="S51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T15" i="8"/>
  <c r="S15" i="8"/>
  <c r="S14" i="8"/>
  <c r="T13" i="8"/>
  <c r="S13" i="8"/>
  <c r="T6" i="8"/>
  <c r="T85" i="8" s="1"/>
  <c r="S6" i="8"/>
  <c r="S28" i="8" s="1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S110" i="7"/>
  <c r="U109" i="7"/>
  <c r="S109" i="7"/>
  <c r="U108" i="7"/>
  <c r="S108" i="7"/>
  <c r="U107" i="7"/>
  <c r="S107" i="7"/>
  <c r="U106" i="7"/>
  <c r="S106" i="7"/>
  <c r="U105" i="7"/>
  <c r="S105" i="7"/>
  <c r="U104" i="7"/>
  <c r="S104" i="7"/>
  <c r="U103" i="7"/>
  <c r="S103" i="7"/>
  <c r="U97" i="7"/>
  <c r="U83" i="7"/>
  <c r="S83" i="7"/>
  <c r="T82" i="7"/>
  <c r="S82" i="7"/>
  <c r="T80" i="7"/>
  <c r="S80" i="7"/>
  <c r="T73" i="7"/>
  <c r="S73" i="7"/>
  <c r="T69" i="7"/>
  <c r="T71" i="7" s="1"/>
  <c r="S69" i="7"/>
  <c r="S71" i="7" s="1"/>
  <c r="T65" i="7"/>
  <c r="S65" i="7"/>
  <c r="S60" i="7"/>
  <c r="S57" i="7"/>
  <c r="S56" i="7"/>
  <c r="S55" i="7"/>
  <c r="S54" i="7"/>
  <c r="S94" i="7" s="1"/>
  <c r="T53" i="7"/>
  <c r="S53" i="7"/>
  <c r="S52" i="7"/>
  <c r="S35" i="7"/>
  <c r="S100" i="7" s="1"/>
  <c r="T34" i="7"/>
  <c r="T88" i="7" s="1"/>
  <c r="S34" i="7"/>
  <c r="S88" i="7" s="1"/>
  <c r="T32" i="7"/>
  <c r="T97" i="7" s="1"/>
  <c r="S32" i="7"/>
  <c r="S97" i="7" s="1"/>
  <c r="S31" i="7"/>
  <c r="S96" i="7" s="1"/>
  <c r="T30" i="7"/>
  <c r="T93" i="7" s="1"/>
  <c r="S30" i="7"/>
  <c r="S93" i="7" s="1"/>
  <c r="S29" i="7"/>
  <c r="S92" i="7" s="1"/>
  <c r="T28" i="7"/>
  <c r="T91" i="7" s="1"/>
  <c r="S28" i="7"/>
  <c r="S91" i="7" s="1"/>
  <c r="S27" i="7"/>
  <c r="S90" i="7" s="1"/>
  <c r="T26" i="7"/>
  <c r="T89" i="7" s="1"/>
  <c r="S26" i="7"/>
  <c r="S89" i="7" s="1"/>
  <c r="S25" i="7"/>
  <c r="S98" i="7" s="1"/>
  <c r="T24" i="7"/>
  <c r="S24" i="7"/>
  <c r="S87" i="7" s="1"/>
  <c r="S23" i="7"/>
  <c r="S86" i="7" s="1"/>
  <c r="T22" i="7"/>
  <c r="T85" i="7" s="1"/>
  <c r="S22" i="7"/>
  <c r="T20" i="7"/>
  <c r="T39" i="7" s="1"/>
  <c r="T49" i="7" s="1"/>
  <c r="S20" i="7"/>
  <c r="S39" i="7" s="1"/>
  <c r="S61" i="39"/>
  <c r="S60" i="39"/>
  <c r="R50" i="39"/>
  <c r="S48" i="39"/>
  <c r="S47" i="39"/>
  <c r="S46" i="39"/>
  <c r="R45" i="39"/>
  <c r="S43" i="39"/>
  <c r="S42" i="39"/>
  <c r="S8" i="39"/>
  <c r="R8" i="39"/>
  <c r="U127" i="50" l="1"/>
  <c r="S95" i="90"/>
  <c r="R51" i="39"/>
  <c r="T42" i="22"/>
  <c r="R22" i="39"/>
  <c r="S22" i="39"/>
  <c r="S69" i="9"/>
  <c r="S33" i="22"/>
  <c r="R131" i="26"/>
  <c r="S79" i="7"/>
  <c r="S59" i="7"/>
  <c r="T60" i="7"/>
  <c r="T59" i="7"/>
  <c r="T99" i="7" s="1"/>
  <c r="T55" i="7"/>
  <c r="S49" i="39"/>
  <c r="T61" i="8"/>
  <c r="T16" i="8"/>
  <c r="T37" i="9"/>
  <c r="T14" i="9"/>
  <c r="T90" i="9"/>
  <c r="T33" i="22"/>
  <c r="S131" i="26"/>
  <c r="T94" i="9"/>
  <c r="T100" i="9"/>
  <c r="T96" i="9"/>
  <c r="T43" i="22"/>
  <c r="S58" i="7"/>
  <c r="S42" i="8"/>
  <c r="S16" i="8"/>
  <c r="S58" i="9"/>
  <c r="S92" i="9"/>
  <c r="S100" i="9"/>
  <c r="S31" i="8"/>
  <c r="S84" i="8"/>
  <c r="S91" i="8"/>
  <c r="S25" i="8"/>
  <c r="S27" i="8"/>
  <c r="S30" i="8"/>
  <c r="S50" i="8"/>
  <c r="S25" i="9"/>
  <c r="S88" i="9" s="1"/>
  <c r="T48" i="9"/>
  <c r="S27" i="9"/>
  <c r="T47" i="9"/>
  <c r="T89" i="9"/>
  <c r="S55" i="9"/>
  <c r="T62" i="9"/>
  <c r="S64" i="9"/>
  <c r="S66" i="9"/>
  <c r="S68" i="9"/>
  <c r="S70" i="9"/>
  <c r="S59" i="9"/>
  <c r="S95" i="9"/>
  <c r="S61" i="9"/>
  <c r="S7" i="9"/>
  <c r="S56" i="9"/>
  <c r="S63" i="9"/>
  <c r="S65" i="9"/>
  <c r="S67" i="9"/>
  <c r="T129" i="7"/>
  <c r="T109" i="8"/>
  <c r="T111" i="8" s="1"/>
  <c r="T52" i="8" s="1"/>
  <c r="S68" i="8"/>
  <c r="T34" i="8"/>
  <c r="T71" i="8"/>
  <c r="T72" i="8"/>
  <c r="T37" i="8"/>
  <c r="T36" i="8"/>
  <c r="T73" i="8"/>
  <c r="T50" i="8"/>
  <c r="T44" i="8"/>
  <c r="S24" i="8"/>
  <c r="S9" i="49" s="1"/>
  <c r="S29" i="8"/>
  <c r="T39" i="8"/>
  <c r="T45" i="8"/>
  <c r="T62" i="8"/>
  <c r="T81" i="8"/>
  <c r="T91" i="8"/>
  <c r="T43" i="8"/>
  <c r="T40" i="8"/>
  <c r="T46" i="8"/>
  <c r="T41" i="8"/>
  <c r="T47" i="8"/>
  <c r="S23" i="8"/>
  <c r="T76" i="7"/>
  <c r="T23" i="7"/>
  <c r="T25" i="7"/>
  <c r="T98" i="7" s="1"/>
  <c r="T27" i="7"/>
  <c r="T90" i="7" s="1"/>
  <c r="T29" i="7"/>
  <c r="T92" i="7" s="1"/>
  <c r="T31" i="7"/>
  <c r="T96" i="7" s="1"/>
  <c r="T57" i="7"/>
  <c r="T35" i="7"/>
  <c r="T100" i="7" s="1"/>
  <c r="T81" i="7"/>
  <c r="T52" i="7"/>
  <c r="T54" i="7"/>
  <c r="T94" i="7" s="1"/>
  <c r="T56" i="7"/>
  <c r="T87" i="7"/>
  <c r="S36" i="7"/>
  <c r="S51" i="7" s="1"/>
  <c r="S75" i="7" s="1"/>
  <c r="S49" i="7"/>
  <c r="T67" i="7"/>
  <c r="T79" i="7"/>
  <c r="S85" i="7"/>
  <c r="S101" i="7" s="1"/>
  <c r="T120" i="7"/>
  <c r="T121" i="7" s="1"/>
  <c r="S74" i="7"/>
  <c r="S81" i="7"/>
  <c r="S23" i="39"/>
  <c r="T58" i="7"/>
  <c r="T74" i="7"/>
  <c r="T127" i="7"/>
  <c r="S66" i="7"/>
  <c r="S76" i="7"/>
  <c r="R24" i="39"/>
  <c r="S50" i="39"/>
  <c r="S45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S199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31" i="6" s="1"/>
  <c r="S17" i="6"/>
  <c r="S16" i="6"/>
  <c r="S15" i="6"/>
  <c r="T9" i="6"/>
  <c r="T8" i="6"/>
  <c r="S7" i="6"/>
  <c r="U459" i="28"/>
  <c r="U458" i="28"/>
  <c r="S458" i="28"/>
  <c r="T415" i="28"/>
  <c r="T411" i="28"/>
  <c r="T426" i="28" s="1"/>
  <c r="T380" i="28"/>
  <c r="T379" i="28"/>
  <c r="T372" i="28"/>
  <c r="T450" i="28" s="1"/>
  <c r="S372" i="28"/>
  <c r="T357" i="28"/>
  <c r="T356" i="28"/>
  <c r="T273" i="28"/>
  <c r="T446" i="28" s="1"/>
  <c r="S273" i="28"/>
  <c r="T267" i="28"/>
  <c r="S267" i="28"/>
  <c r="T266" i="28"/>
  <c r="S266" i="28"/>
  <c r="T229" i="28"/>
  <c r="T442" i="28" s="1"/>
  <c r="S229" i="28"/>
  <c r="T212" i="28"/>
  <c r="T211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8" i="28"/>
  <c r="T50" i="28" s="1"/>
  <c r="T26" i="28"/>
  <c r="T447" i="28" s="1"/>
  <c r="S21" i="28"/>
  <c r="S26" i="28" s="1"/>
  <c r="T19" i="28"/>
  <c r="T59" i="28" s="1"/>
  <c r="S14" i="28"/>
  <c r="S19" i="28" s="1"/>
  <c r="T12" i="28"/>
  <c r="T58" i="28" s="1"/>
  <c r="S7" i="28"/>
  <c r="T17" i="49"/>
  <c r="S17" i="49"/>
  <c r="S18" i="49" s="1"/>
  <c r="T11" i="49"/>
  <c r="S11" i="49"/>
  <c r="T10" i="49"/>
  <c r="T9" i="49"/>
  <c r="T8" i="49"/>
  <c r="S8" i="49"/>
  <c r="T6" i="49"/>
  <c r="S6" i="49"/>
  <c r="S101" i="90" l="1"/>
  <c r="S107" i="90" s="1"/>
  <c r="R2" i="17"/>
  <c r="R2" i="26"/>
  <c r="S2" i="17"/>
  <c r="S2" i="26"/>
  <c r="S163" i="6"/>
  <c r="T213" i="28"/>
  <c r="T441" i="28" s="1"/>
  <c r="U41" i="6"/>
  <c r="T51" i="8"/>
  <c r="S108" i="8"/>
  <c r="S110" i="8" s="1"/>
  <c r="T18" i="49"/>
  <c r="T91" i="9"/>
  <c r="S7" i="22"/>
  <c r="S21" i="22"/>
  <c r="T86" i="7"/>
  <c r="T101" i="7" s="1"/>
  <c r="T458" i="28"/>
  <c r="T33" i="28"/>
  <c r="T61" i="28" s="1"/>
  <c r="T449" i="28"/>
  <c r="T440" i="28"/>
  <c r="T36" i="7"/>
  <c r="T51" i="7" s="1"/>
  <c r="T42" i="8"/>
  <c r="T77" i="8"/>
  <c r="S6" i="26"/>
  <c r="T133" i="6"/>
  <c r="T103" i="6"/>
  <c r="T107" i="6" s="1"/>
  <c r="T148" i="6" s="1"/>
  <c r="S34" i="39"/>
  <c r="S121" i="6"/>
  <c r="S125" i="6" s="1"/>
  <c r="S173" i="6" s="1"/>
  <c r="S133" i="6"/>
  <c r="S66" i="8"/>
  <c r="S36" i="8"/>
  <c r="S58" i="8"/>
  <c r="S60" i="9"/>
  <c r="S57" i="9"/>
  <c r="T49" i="9"/>
  <c r="T130" i="7"/>
  <c r="T35" i="8"/>
  <c r="T70" i="8"/>
  <c r="T12" i="49"/>
  <c r="S64" i="8"/>
  <c r="S26" i="8"/>
  <c r="T69" i="8"/>
  <c r="S61" i="7"/>
  <c r="T75" i="7"/>
  <c r="T61" i="7"/>
  <c r="T122" i="7"/>
  <c r="T123" i="7"/>
  <c r="T124" i="7" s="1"/>
  <c r="S24" i="39"/>
  <c r="S51" i="39"/>
  <c r="T138" i="6"/>
  <c r="T35" i="6"/>
  <c r="S27" i="6"/>
  <c r="S194" i="6"/>
  <c r="S24" i="6"/>
  <c r="S168" i="6"/>
  <c r="T57" i="6"/>
  <c r="S188" i="6"/>
  <c r="S28" i="6"/>
  <c r="S19" i="6"/>
  <c r="S84" i="6" s="1"/>
  <c r="S138" i="6"/>
  <c r="T121" i="6"/>
  <c r="T125" i="6" s="1"/>
  <c r="T175" i="6" s="1"/>
  <c r="S25" i="6"/>
  <c r="S21" i="6"/>
  <c r="S30" i="6"/>
  <c r="S22" i="6"/>
  <c r="S103" i="6"/>
  <c r="S107" i="6" s="1"/>
  <c r="S147" i="6" s="1"/>
  <c r="T443" i="28"/>
  <c r="T83" i="28"/>
  <c r="T409" i="28"/>
  <c r="T448" i="28"/>
  <c r="T60" i="28"/>
  <c r="T268" i="28"/>
  <c r="S60" i="28"/>
  <c r="S357" i="28"/>
  <c r="T55" i="28"/>
  <c r="S268" i="28"/>
  <c r="S59" i="28"/>
  <c r="T439" i="28"/>
  <c r="S12" i="28"/>
  <c r="S109" i="8" l="1"/>
  <c r="S111" i="8" s="1"/>
  <c r="S139" i="6"/>
  <c r="S143" i="6" s="1"/>
  <c r="S172" i="6"/>
  <c r="S175" i="6"/>
  <c r="S22" i="22"/>
  <c r="S24" i="22" s="1"/>
  <c r="S25" i="22" s="1"/>
  <c r="S27" i="22" s="1"/>
  <c r="S8" i="22"/>
  <c r="S10" i="22" s="1"/>
  <c r="S11" i="22" s="1"/>
  <c r="S13" i="22" s="1"/>
  <c r="T451" i="28"/>
  <c r="T139" i="6"/>
  <c r="T143" i="6" s="1"/>
  <c r="T147" i="6"/>
  <c r="T149" i="6" s="1"/>
  <c r="T150" i="6"/>
  <c r="S445" i="28"/>
  <c r="S449" i="28"/>
  <c r="S10" i="49"/>
  <c r="S62" i="8"/>
  <c r="S37" i="8"/>
  <c r="T72" i="9"/>
  <c r="T53" i="9"/>
  <c r="T87" i="9"/>
  <c r="T81" i="9"/>
  <c r="T86" i="9"/>
  <c r="T84" i="9"/>
  <c r="T82" i="9"/>
  <c r="T80" i="9"/>
  <c r="T75" i="9"/>
  <c r="T78" i="9"/>
  <c r="T73" i="9"/>
  <c r="T83" i="9"/>
  <c r="T76" i="9"/>
  <c r="T52" i="9"/>
  <c r="T85" i="9"/>
  <c r="S62" i="9"/>
  <c r="S34" i="8"/>
  <c r="T125" i="7"/>
  <c r="T132" i="7" s="1"/>
  <c r="S26" i="6"/>
  <c r="S29" i="6"/>
  <c r="S32" i="6"/>
  <c r="S212" i="6"/>
  <c r="S205" i="6"/>
  <c r="S216" i="6"/>
  <c r="S219" i="6" s="1"/>
  <c r="S213" i="6"/>
  <c r="S210" i="6"/>
  <c r="S207" i="6"/>
  <c r="S203" i="6"/>
  <c r="S208" i="6"/>
  <c r="S204" i="6"/>
  <c r="S211" i="6"/>
  <c r="S81" i="6"/>
  <c r="T172" i="6"/>
  <c r="S150" i="6"/>
  <c r="S148" i="6"/>
  <c r="S149" i="6" s="1"/>
  <c r="S34" i="6"/>
  <c r="S33" i="6"/>
  <c r="S23" i="6"/>
  <c r="T173" i="6"/>
  <c r="S174" i="6"/>
  <c r="T427" i="28"/>
  <c r="T431" i="28" s="1"/>
  <c r="T459" i="28"/>
  <c r="T84" i="28"/>
  <c r="T62" i="28"/>
  <c r="S73" i="28"/>
  <c r="S69" i="28"/>
  <c r="S443" i="28" s="1"/>
  <c r="T436" i="28"/>
  <c r="T437" i="28"/>
  <c r="T444" i="28"/>
  <c r="T445" i="28"/>
  <c r="T56" i="28"/>
  <c r="S213" i="28"/>
  <c r="S58" i="28"/>
  <c r="S437" i="28"/>
  <c r="T452" i="28" l="1"/>
  <c r="T430" i="28"/>
  <c r="S436" i="28"/>
  <c r="S448" i="28"/>
  <c r="S447" i="28"/>
  <c r="S35" i="8"/>
  <c r="S12" i="49"/>
  <c r="T77" i="9"/>
  <c r="T74" i="9"/>
  <c r="S209" i="6"/>
  <c r="S35" i="6"/>
  <c r="T174" i="6"/>
  <c r="S214" i="6"/>
  <c r="T204" i="6"/>
  <c r="T208" i="6"/>
  <c r="T205" i="6"/>
  <c r="T207" i="6"/>
  <c r="T203" i="6"/>
  <c r="T217" i="6"/>
  <c r="T212" i="6"/>
  <c r="T213" i="6"/>
  <c r="T211" i="6"/>
  <c r="T210" i="6"/>
  <c r="T218" i="6"/>
  <c r="T216" i="6"/>
  <c r="T197" i="6"/>
  <c r="T199" i="6"/>
  <c r="T453" i="28"/>
  <c r="S444" i="28"/>
  <c r="S441" i="28"/>
  <c r="S65" i="28"/>
  <c r="T219" i="6" l="1"/>
  <c r="T79" i="9"/>
  <c r="S215" i="6"/>
  <c r="S220" i="6" s="1"/>
  <c r="T214" i="6"/>
  <c r="T209" i="6"/>
  <c r="S440" i="28"/>
  <c r="S439" i="28"/>
  <c r="T215" i="6" l="1"/>
  <c r="T220" i="6" s="1"/>
  <c r="S188" i="73" l="1"/>
  <c r="S177" i="73"/>
  <c r="S186" i="73" s="1"/>
  <c r="S131" i="73"/>
  <c r="S127" i="73"/>
  <c r="S124" i="73"/>
  <c r="S120" i="73"/>
  <c r="S134" i="73" s="1"/>
  <c r="S114" i="73"/>
  <c r="S108" i="73"/>
  <c r="S102" i="73"/>
  <c r="S65" i="73"/>
  <c r="S58" i="73"/>
  <c r="S53" i="73"/>
  <c r="S48" i="73"/>
  <c r="S34" i="73"/>
  <c r="S23" i="73"/>
  <c r="S16" i="73"/>
  <c r="S14" i="73"/>
  <c r="S8" i="73"/>
  <c r="X45" i="59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W79" i="59"/>
  <c r="W78" i="59"/>
  <c r="W77" i="59"/>
  <c r="V76" i="59"/>
  <c r="W74" i="59"/>
  <c r="W73" i="59"/>
  <c r="V73" i="59"/>
  <c r="W70" i="59"/>
  <c r="W69" i="59"/>
  <c r="V69" i="59"/>
  <c r="W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W22" i="59"/>
  <c r="V22" i="59"/>
  <c r="W20" i="59"/>
  <c r="W19" i="59"/>
  <c r="W18" i="59"/>
  <c r="W17" i="59"/>
  <c r="W16" i="59"/>
  <c r="V16" i="59"/>
  <c r="W15" i="59"/>
  <c r="V15" i="59"/>
  <c r="W12" i="59"/>
  <c r="V12" i="59"/>
  <c r="W11" i="59"/>
  <c r="V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S54" i="36"/>
  <c r="S53" i="36"/>
  <c r="S51" i="36"/>
  <c r="S49" i="36"/>
  <c r="S41" i="36" s="1"/>
  <c r="S48" i="36"/>
  <c r="S40" i="36" s="1"/>
  <c r="T46" i="36"/>
  <c r="T54" i="36" s="1"/>
  <c r="S46" i="36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16" i="36" s="1"/>
  <c r="T18" i="36" s="1"/>
  <c r="W56" i="59" s="1"/>
  <c r="T32" i="36"/>
  <c r="S32" i="36"/>
  <c r="S29" i="36"/>
  <c r="V79" i="59" s="1"/>
  <c r="S28" i="36"/>
  <c r="V78" i="59" s="1"/>
  <c r="S27" i="36"/>
  <c r="V77" i="59" s="1"/>
  <c r="T26" i="36"/>
  <c r="T24" i="36"/>
  <c r="W75" i="59" s="1"/>
  <c r="S24" i="36"/>
  <c r="V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9" i="9" s="1"/>
  <c r="S16" i="36"/>
  <c r="S89" i="9" s="1"/>
  <c r="S13" i="36"/>
  <c r="V40" i="59" s="1"/>
  <c r="T12" i="36"/>
  <c r="W39" i="59" s="1"/>
  <c r="T11" i="36"/>
  <c r="W38" i="59" s="1"/>
  <c r="T10" i="36"/>
  <c r="W37" i="59" s="1"/>
  <c r="T9" i="36"/>
  <c r="W10" i="59" s="1"/>
  <c r="S9" i="36"/>
  <c r="V10" i="59" s="1"/>
  <c r="T8" i="36"/>
  <c r="W9" i="59" s="1"/>
  <c r="S8" i="36"/>
  <c r="V9" i="59" s="1"/>
  <c r="T7" i="36"/>
  <c r="W8" i="59" s="1"/>
  <c r="S7" i="36"/>
  <c r="V8" i="59" s="1"/>
  <c r="S5" i="36"/>
  <c r="S13" i="49" s="1"/>
  <c r="S14" i="49" s="1"/>
  <c r="S15" i="49" s="1"/>
  <c r="S16" i="49" s="1"/>
  <c r="S124" i="90" l="1"/>
  <c r="U137" i="50"/>
  <c r="S42" i="36"/>
  <c r="S91" i="9"/>
  <c r="U50" i="36"/>
  <c r="X6" i="59"/>
  <c r="V6" i="59"/>
  <c r="V54" i="59"/>
  <c r="S50" i="36"/>
  <c r="V55" i="59"/>
  <c r="V44" i="59"/>
  <c r="V49" i="59"/>
  <c r="S6" i="73"/>
  <c r="S5" i="73" s="1"/>
  <c r="W49" i="59"/>
  <c r="W44" i="59"/>
  <c r="T53" i="36"/>
  <c r="T50" i="36"/>
  <c r="S38" i="36"/>
  <c r="S39" i="36"/>
  <c r="S19" i="49"/>
  <c r="W54" i="59"/>
  <c r="T13" i="36"/>
  <c r="W40" i="59" s="1"/>
  <c r="S117" i="73"/>
  <c r="T45" i="36"/>
  <c r="T42" i="36"/>
  <c r="T18" i="21"/>
  <c r="T28" i="21"/>
  <c r="S27" i="21"/>
  <c r="T24" i="21"/>
  <c r="T25" i="21" s="1"/>
  <c r="T15" i="21"/>
  <c r="T12" i="21"/>
  <c r="S12" i="21"/>
  <c r="S15" i="21" s="1"/>
  <c r="S42" i="35"/>
  <c r="S41" i="35"/>
  <c r="T40" i="35"/>
  <c r="T39" i="35"/>
  <c r="S39" i="35"/>
  <c r="T36" i="35"/>
  <c r="T46" i="35" s="1"/>
  <c r="S36" i="35"/>
  <c r="S28" i="28" s="1"/>
  <c r="S33" i="35"/>
  <c r="T32" i="35"/>
  <c r="T31" i="35"/>
  <c r="T30" i="35"/>
  <c r="T26" i="35"/>
  <c r="T33" i="36" s="1"/>
  <c r="S26" i="35"/>
  <c r="S33" i="36" s="1"/>
  <c r="S21" i="35"/>
  <c r="S26" i="9" s="1"/>
  <c r="T20" i="35"/>
  <c r="S20" i="35"/>
  <c r="T19" i="35"/>
  <c r="S19" i="35"/>
  <c r="T14" i="35"/>
  <c r="T5" i="36" s="1"/>
  <c r="T13" i="35"/>
  <c r="T11" i="35"/>
  <c r="T10" i="6" s="1"/>
  <c r="S10" i="35"/>
  <c r="S9" i="6" s="1"/>
  <c r="S9" i="35"/>
  <c r="S8" i="6" s="1"/>
  <c r="S8" i="35"/>
  <c r="T7" i="35"/>
  <c r="T6" i="6" s="1"/>
  <c r="T6" i="35"/>
  <c r="S126" i="90" l="1"/>
  <c r="T19" i="36"/>
  <c r="W57" i="59" s="1"/>
  <c r="T456" i="28"/>
  <c r="T457" i="28"/>
  <c r="T34" i="36"/>
  <c r="T16" i="6"/>
  <c r="T18" i="6"/>
  <c r="T8" i="35"/>
  <c r="T5" i="6"/>
  <c r="T33" i="35"/>
  <c r="T37" i="35" s="1"/>
  <c r="T41" i="35"/>
  <c r="T47" i="35" s="1"/>
  <c r="T95" i="11"/>
  <c r="S33" i="28"/>
  <c r="S50" i="28"/>
  <c r="S34" i="36"/>
  <c r="S26" i="21"/>
  <c r="S20" i="49"/>
  <c r="S14" i="35"/>
  <c r="S11" i="35"/>
  <c r="S10" i="6" s="1"/>
  <c r="S13" i="35"/>
  <c r="T13" i="49"/>
  <c r="T14" i="49" s="1"/>
  <c r="W6" i="59"/>
  <c r="T15" i="35"/>
  <c r="T20" i="21"/>
  <c r="S22" i="21"/>
  <c r="S46" i="35"/>
  <c r="S47" i="35" s="1"/>
  <c r="S37" i="35"/>
  <c r="S130" i="90" l="1"/>
  <c r="S132" i="90"/>
  <c r="S135" i="90" s="1"/>
  <c r="T25" i="36"/>
  <c r="W76" i="59" s="1"/>
  <c r="U77" i="83"/>
  <c r="U75" i="83" s="1"/>
  <c r="T53" i="35"/>
  <c r="T35" i="36"/>
  <c r="T17" i="6"/>
  <c r="T15" i="6"/>
  <c r="T7" i="6"/>
  <c r="T189" i="6"/>
  <c r="T194" i="6"/>
  <c r="S55" i="28"/>
  <c r="S53" i="35"/>
  <c r="S61" i="28"/>
  <c r="S427" i="28"/>
  <c r="S453" i="28" s="1"/>
  <c r="S35" i="36"/>
  <c r="S28" i="21"/>
  <c r="S15" i="35"/>
  <c r="T15" i="49"/>
  <c r="L27" i="11"/>
  <c r="L45" i="11"/>
  <c r="T36" i="36" l="1"/>
  <c r="T30" i="36" s="1"/>
  <c r="W80" i="59" s="1"/>
  <c r="T168" i="6"/>
  <c r="T164" i="6"/>
  <c r="T19" i="6"/>
  <c r="T81" i="6" s="1"/>
  <c r="S77" i="28"/>
  <c r="S431" i="28" s="1"/>
  <c r="S62" i="28"/>
  <c r="S456" i="28"/>
  <c r="S430" i="28"/>
  <c r="S36" i="36"/>
  <c r="S30" i="36" s="1"/>
  <c r="V80" i="59" s="1"/>
  <c r="T16" i="49"/>
  <c r="Q68" i="83"/>
  <c r="Q69" i="83"/>
  <c r="Q70" i="83"/>
  <c r="Q71" i="83"/>
  <c r="Q72" i="83"/>
  <c r="Q51" i="83"/>
  <c r="Q53" i="83"/>
  <c r="Q54" i="83"/>
  <c r="Q55" i="83"/>
  <c r="Q56" i="83"/>
  <c r="Q57" i="83"/>
  <c r="Q58" i="83"/>
  <c r="Q59" i="83"/>
  <c r="Q60" i="83"/>
  <c r="Q61" i="83"/>
  <c r="Q63" i="83"/>
  <c r="Q64" i="83"/>
  <c r="Q65" i="83"/>
  <c r="Q66" i="83"/>
  <c r="Q50" i="83"/>
  <c r="T84" i="6" l="1"/>
  <c r="T39" i="6"/>
  <c r="T37" i="6"/>
  <c r="T38" i="6"/>
  <c r="T40" i="6"/>
  <c r="S457" i="28"/>
  <c r="S452" i="28"/>
  <c r="S81" i="28"/>
  <c r="S451" i="28"/>
  <c r="T19" i="49"/>
  <c r="E128" i="90"/>
  <c r="E123" i="90"/>
  <c r="E113" i="90"/>
  <c r="E114" i="90"/>
  <c r="E115" i="90"/>
  <c r="E116" i="90"/>
  <c r="E112" i="90"/>
  <c r="E105" i="90"/>
  <c r="O43" i="39"/>
  <c r="O42" i="39"/>
  <c r="K43" i="39"/>
  <c r="K42" i="39"/>
  <c r="E43" i="39"/>
  <c r="E42" i="39"/>
  <c r="O61" i="39"/>
  <c r="K61" i="39"/>
  <c r="E61" i="39"/>
  <c r="O60" i="39"/>
  <c r="K60" i="39"/>
  <c r="E60" i="39"/>
  <c r="M37" i="72"/>
  <c r="I37" i="72"/>
  <c r="E37" i="72"/>
  <c r="C37" i="72"/>
  <c r="M30" i="72"/>
  <c r="I30" i="72"/>
  <c r="E30" i="72"/>
  <c r="C30" i="72"/>
  <c r="C21" i="72"/>
  <c r="M14" i="72"/>
  <c r="I14" i="72"/>
  <c r="E14" i="72"/>
  <c r="C14" i="72"/>
  <c r="O37" i="72" l="1"/>
  <c r="S37" i="72" s="1"/>
  <c r="K37" i="72"/>
  <c r="Y37" i="72" s="1"/>
  <c r="AC37" i="72" s="1"/>
  <c r="AG37" i="72" s="1"/>
  <c r="AM37" i="72" s="1"/>
  <c r="AQ37" i="72" s="1"/>
  <c r="AU37" i="72" s="1"/>
  <c r="BC37" i="72" s="1"/>
  <c r="G37" i="72"/>
  <c r="K30" i="72"/>
  <c r="Y30" i="72" s="1"/>
  <c r="AC30" i="72" s="1"/>
  <c r="AG30" i="72" s="1"/>
  <c r="AM30" i="72" s="1"/>
  <c r="AQ30" i="72" s="1"/>
  <c r="AU30" i="72" s="1"/>
  <c r="BC30" i="72" s="1"/>
  <c r="O30" i="72"/>
  <c r="S30" i="72" s="1"/>
  <c r="G30" i="72"/>
  <c r="K14" i="72"/>
  <c r="Y14" i="72" s="1"/>
  <c r="AC14" i="72" s="1"/>
  <c r="AG14" i="72" s="1"/>
  <c r="AM14" i="72" s="1"/>
  <c r="AQ14" i="72" s="1"/>
  <c r="AU14" i="72" s="1"/>
  <c r="BC14" i="72" s="1"/>
  <c r="O14" i="72"/>
  <c r="S14" i="72" s="1"/>
  <c r="G14" i="72"/>
  <c r="Y43" i="39"/>
  <c r="Y42" i="39"/>
  <c r="L43" i="22"/>
  <c r="L42" i="22"/>
  <c r="U123" i="90"/>
  <c r="I123" i="90"/>
  <c r="AA123" i="90"/>
  <c r="BE123" i="90" s="1"/>
  <c r="M123" i="90"/>
  <c r="Q123" i="90"/>
  <c r="AI123" i="90"/>
  <c r="AE123" i="90"/>
  <c r="AO123" i="90"/>
  <c r="AS123" i="90" s="1"/>
  <c r="AW123" i="90" s="1"/>
  <c r="AA105" i="90"/>
  <c r="BE105" i="90" s="1"/>
  <c r="I105" i="90"/>
  <c r="M105" i="90"/>
  <c r="Q105" i="90"/>
  <c r="AI105" i="90"/>
  <c r="U105" i="90"/>
  <c r="AE105" i="90"/>
  <c r="AO105" i="90"/>
  <c r="AS105" i="90" s="1"/>
  <c r="AW105" i="90" s="1"/>
  <c r="M112" i="90"/>
  <c r="E121" i="90"/>
  <c r="AA112" i="90"/>
  <c r="BE112" i="90" s="1"/>
  <c r="I112" i="90"/>
  <c r="AE112" i="90"/>
  <c r="AO112" i="90"/>
  <c r="AS112" i="90" s="1"/>
  <c r="AW112" i="90" s="1"/>
  <c r="U112" i="90"/>
  <c r="Q112" i="90"/>
  <c r="AI112" i="90"/>
  <c r="I116" i="90"/>
  <c r="AA116" i="90"/>
  <c r="BE116" i="90" s="1"/>
  <c r="M116" i="90"/>
  <c r="AI116" i="90"/>
  <c r="AO116" i="90"/>
  <c r="AS116" i="90" s="1"/>
  <c r="AW116" i="90" s="1"/>
  <c r="Q116" i="90"/>
  <c r="AE116" i="90"/>
  <c r="U116" i="90"/>
  <c r="AA115" i="90"/>
  <c r="BE115" i="90" s="1"/>
  <c r="I115" i="90"/>
  <c r="M115" i="90"/>
  <c r="AO115" i="90"/>
  <c r="AS115" i="90" s="1"/>
  <c r="AW115" i="90" s="1"/>
  <c r="AE115" i="90"/>
  <c r="AI115" i="90"/>
  <c r="Q115" i="90"/>
  <c r="U115" i="90"/>
  <c r="AA114" i="90"/>
  <c r="BE114" i="90" s="1"/>
  <c r="Q114" i="90"/>
  <c r="U114" i="90"/>
  <c r="M114" i="90"/>
  <c r="AI114" i="90"/>
  <c r="I114" i="90"/>
  <c r="AE114" i="90"/>
  <c r="AO114" i="90"/>
  <c r="AS114" i="90" s="1"/>
  <c r="AW114" i="90" s="1"/>
  <c r="AA113" i="90"/>
  <c r="BE113" i="90" s="1"/>
  <c r="I113" i="90"/>
  <c r="Q113" i="90"/>
  <c r="M113" i="90"/>
  <c r="U113" i="90"/>
  <c r="AI113" i="90"/>
  <c r="AO113" i="90"/>
  <c r="AS113" i="90" s="1"/>
  <c r="AW113" i="90" s="1"/>
  <c r="AE113" i="90"/>
  <c r="P43" i="22"/>
  <c r="Y61" i="39"/>
  <c r="P42" i="22"/>
  <c r="Y60" i="39"/>
  <c r="T41" i="6"/>
  <c r="T20" i="49"/>
  <c r="AA121" i="90" l="1"/>
  <c r="BE121" i="90" s="1"/>
  <c r="M121" i="90"/>
  <c r="I121" i="90"/>
  <c r="U121" i="90"/>
  <c r="Q121" i="90"/>
  <c r="AO121" i="90"/>
  <c r="AS121" i="90" s="1"/>
  <c r="AW121" i="90" s="1"/>
  <c r="AE121" i="90"/>
  <c r="AI121" i="90"/>
  <c r="Q47" i="83"/>
  <c r="Q48" i="83"/>
  <c r="Q45" i="83"/>
  <c r="Q39" i="83"/>
  <c r="Q40" i="83"/>
  <c r="Q41" i="83"/>
  <c r="Q42" i="83"/>
  <c r="Q43" i="83"/>
  <c r="Q38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4" i="83"/>
  <c r="Q25" i="83"/>
  <c r="Q27" i="83"/>
  <c r="Q28" i="83"/>
  <c r="Q29" i="83"/>
  <c r="Q30" i="83"/>
  <c r="Q31" i="83"/>
  <c r="Q32" i="83"/>
  <c r="Q33" i="83"/>
  <c r="Q34" i="83"/>
  <c r="Q35" i="83"/>
  <c r="Q36" i="83"/>
  <c r="Q4" i="83"/>
  <c r="S61" i="83"/>
  <c r="Q73" i="83"/>
  <c r="Q67" i="83"/>
  <c r="AA14" i="83" l="1"/>
  <c r="Q49" i="83"/>
  <c r="Q44" i="83"/>
  <c r="Q37" i="83"/>
  <c r="Q74" i="83" l="1"/>
  <c r="T22" i="59"/>
  <c r="P8" i="52" l="1"/>
  <c r="O8" i="52"/>
  <c r="O37" i="27" l="1"/>
  <c r="O35" i="27"/>
  <c r="O29" i="27"/>
  <c r="O28" i="27"/>
  <c r="O27" i="27"/>
  <c r="O26" i="27"/>
  <c r="O21" i="27"/>
  <c r="O20" i="27"/>
  <c r="O19" i="27"/>
  <c r="O18" i="27"/>
  <c r="P28" i="22" l="1"/>
  <c r="P24" i="22"/>
  <c r="P26" i="22" s="1"/>
  <c r="P23" i="22"/>
  <c r="P14" i="22"/>
  <c r="P10" i="22"/>
  <c r="P12" i="22" s="1"/>
  <c r="P9" i="22"/>
  <c r="P103" i="9"/>
  <c r="O10" i="17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5" i="17"/>
  <c r="N113" i="17"/>
  <c r="O87" i="17"/>
  <c r="O86" i="17"/>
  <c r="O85" i="17"/>
  <c r="O84" i="17"/>
  <c r="O83" i="17"/>
  <c r="N83" i="17"/>
  <c r="O79" i="17"/>
  <c r="N79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O51" i="17" s="1"/>
  <c r="N44" i="17"/>
  <c r="O43" i="17"/>
  <c r="O41" i="17"/>
  <c r="O39" i="17"/>
  <c r="O26" i="17"/>
  <c r="O22" i="17"/>
  <c r="O16" i="17" s="1"/>
  <c r="N21" i="17"/>
  <c r="N19" i="17"/>
  <c r="N18" i="17"/>
  <c r="N16" i="17"/>
  <c r="N30" i="17" s="1"/>
  <c r="N15" i="17"/>
  <c r="O14" i="17"/>
  <c r="O12" i="17"/>
  <c r="O9" i="17"/>
  <c r="N9" i="17"/>
  <c r="N11" i="17" s="1"/>
  <c r="O114" i="17" l="1"/>
  <c r="O13" i="17"/>
  <c r="O115" i="17" s="1"/>
  <c r="O55" i="17"/>
  <c r="O11" i="17"/>
  <c r="N22" i="17"/>
  <c r="N31" i="17" s="1"/>
  <c r="N59" i="17"/>
  <c r="N60" i="17" s="1"/>
  <c r="N117" i="17"/>
  <c r="N50" i="17"/>
  <c r="N54" i="17" s="1"/>
  <c r="O45" i="17"/>
  <c r="O113" i="17"/>
  <c r="O117" i="17" s="1"/>
  <c r="O33" i="17"/>
  <c r="N114" i="17"/>
  <c r="O32" i="17"/>
  <c r="O34" i="17"/>
  <c r="O30" i="17"/>
  <c r="O31" i="17"/>
  <c r="O15" i="17"/>
  <c r="O62" i="17"/>
  <c r="O112" i="17"/>
  <c r="O116" i="17" s="1"/>
  <c r="O54" i="17"/>
  <c r="R116" i="28"/>
  <c r="V116" i="28" s="1"/>
  <c r="R119" i="28"/>
  <c r="V119" i="28" s="1"/>
  <c r="R122" i="28"/>
  <c r="V122" i="28" s="1"/>
  <c r="R129" i="28"/>
  <c r="V129" i="28" s="1"/>
  <c r="R175" i="28"/>
  <c r="V175" i="28" s="1"/>
  <c r="R197" i="28"/>
  <c r="V197" i="28" s="1"/>
  <c r="R294" i="28"/>
  <c r="V294" i="28" s="1"/>
  <c r="R295" i="28"/>
  <c r="V295" i="28" s="1"/>
  <c r="R297" i="28"/>
  <c r="V297" i="28" s="1"/>
  <c r="N62" i="17" l="1"/>
  <c r="N112" i="17"/>
  <c r="N116" i="17" s="1"/>
  <c r="N32" i="17"/>
  <c r="N34" i="17"/>
  <c r="Q5" i="50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6" i="61" s="1"/>
  <c r="AA19" i="50"/>
  <c r="Q11" i="61"/>
  <c r="AA11" i="61" s="1"/>
  <c r="AA18" i="50"/>
  <c r="Q10" i="61"/>
  <c r="AA10" i="61" s="1"/>
  <c r="AA17" i="50"/>
  <c r="Q9" i="61"/>
  <c r="AA9" i="61" s="1"/>
  <c r="AA16" i="50"/>
  <c r="Q8" i="61"/>
  <c r="AA8" i="61" s="1"/>
  <c r="AA15" i="50"/>
  <c r="Q7" i="61"/>
  <c r="AA7" i="61" s="1"/>
  <c r="Q4" i="61"/>
  <c r="Q16" i="61" l="1"/>
  <c r="O129" i="26"/>
  <c r="N129" i="26"/>
  <c r="O114" i="26"/>
  <c r="N112" i="26"/>
  <c r="N110" i="26"/>
  <c r="N108" i="26"/>
  <c r="N106" i="26"/>
  <c r="N104" i="26"/>
  <c r="N102" i="26"/>
  <c r="N100" i="26"/>
  <c r="N98" i="26"/>
  <c r="O94" i="26"/>
  <c r="O83" i="26"/>
  <c r="O82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6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8" i="26" s="1"/>
  <c r="N11" i="26"/>
  <c r="N9" i="26"/>
  <c r="N82" i="26" l="1"/>
  <c r="N83" i="26"/>
  <c r="N114" i="26"/>
  <c r="N87" i="17"/>
  <c r="N75" i="26"/>
  <c r="N56" i="26"/>
  <c r="O57" i="26"/>
  <c r="O51" i="26"/>
  <c r="N45" i="26"/>
  <c r="O19" i="26"/>
  <c r="O13" i="26"/>
  <c r="N12" i="26"/>
  <c r="N18" i="26" s="1"/>
  <c r="N51" i="26"/>
  <c r="N57" i="26"/>
  <c r="N85" i="26"/>
  <c r="N13" i="26" l="1"/>
  <c r="N19" i="26"/>
  <c r="N94" i="26"/>
  <c r="N86" i="17"/>
  <c r="AG75" i="45" l="1"/>
  <c r="AK75" i="45" s="1"/>
  <c r="AQ75" i="45" s="1"/>
  <c r="AU75" i="45" s="1"/>
  <c r="AY75" i="45" s="1"/>
  <c r="BG75" i="45" l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N90" i="10"/>
  <c r="N91" i="10"/>
  <c r="N92" i="10"/>
  <c r="BG16" i="45" l="1"/>
  <c r="BG13" i="45"/>
  <c r="BG15" i="45"/>
  <c r="R92" i="10"/>
  <c r="V92" i="10" s="1"/>
  <c r="AB92" i="10"/>
  <c r="AF92" i="10" s="1"/>
  <c r="AJ92" i="10" s="1"/>
  <c r="AP92" i="10" s="1"/>
  <c r="AT92" i="10" s="1"/>
  <c r="AX92" i="10" s="1"/>
  <c r="BF92" i="10" s="1"/>
  <c r="R91" i="10"/>
  <c r="V91" i="10" s="1"/>
  <c r="AB91" i="10"/>
  <c r="AF91" i="10" s="1"/>
  <c r="AJ91" i="10" s="1"/>
  <c r="AP91" i="10" s="1"/>
  <c r="AT91" i="10" s="1"/>
  <c r="AX91" i="10" s="1"/>
  <c r="BF91" i="10" s="1"/>
  <c r="R90" i="10"/>
  <c r="V90" i="10" s="1"/>
  <c r="AB90" i="10"/>
  <c r="AF90" i="10" s="1"/>
  <c r="AJ90" i="10" s="1"/>
  <c r="AP90" i="10" s="1"/>
  <c r="AT90" i="10" s="1"/>
  <c r="AX90" i="10" s="1"/>
  <c r="BF90" i="10" s="1"/>
  <c r="F79" i="8" l="1"/>
  <c r="L79" i="8"/>
  <c r="P79" i="8"/>
  <c r="J78" i="8"/>
  <c r="J76" i="8"/>
  <c r="J79" i="8" l="1"/>
  <c r="R159" i="9" l="1"/>
  <c r="R158" i="9"/>
  <c r="R157" i="9"/>
  <c r="P95" i="9" l="1"/>
  <c r="E223" i="6" l="1"/>
  <c r="E222" i="6"/>
  <c r="O34" i="35" l="1"/>
  <c r="O17" i="35"/>
  <c r="Y17" i="35" s="1"/>
  <c r="O18" i="35"/>
  <c r="O16" i="35"/>
  <c r="Y16" i="35" s="1"/>
  <c r="Y18" i="35" l="1"/>
  <c r="N17" i="15"/>
  <c r="N14" i="15" s="1"/>
  <c r="N15" i="15" s="1"/>
  <c r="Y34" i="35"/>
  <c r="Y36" i="35" s="1"/>
  <c r="T56" i="38"/>
  <c r="T57" i="38"/>
  <c r="T58" i="38"/>
  <c r="T59" i="38"/>
  <c r="T60" i="38"/>
  <c r="T61" i="38"/>
  <c r="T63" i="38"/>
  <c r="T64" i="38"/>
  <c r="T69" i="38"/>
  <c r="T70" i="38"/>
  <c r="T71" i="38"/>
  <c r="T72" i="38"/>
  <c r="T73" i="38"/>
  <c r="T74" i="38"/>
  <c r="T75" i="38"/>
  <c r="T76" i="38"/>
  <c r="T77" i="38"/>
  <c r="T78" i="38"/>
  <c r="T79" i="38"/>
  <c r="T80" i="38"/>
  <c r="T81" i="38"/>
  <c r="T82" i="38"/>
  <c r="T85" i="38"/>
  <c r="T86" i="38"/>
  <c r="T87" i="38"/>
  <c r="T88" i="38"/>
  <c r="T91" i="38"/>
  <c r="T93" i="38"/>
  <c r="T94" i="38"/>
  <c r="T95" i="38"/>
  <c r="T96" i="38"/>
  <c r="S92" i="38"/>
  <c r="S90" i="38"/>
  <c r="S84" i="38"/>
  <c r="S68" i="38"/>
  <c r="S62" i="38"/>
  <c r="S55" i="38"/>
  <c r="S53" i="38"/>
  <c r="T52" i="38"/>
  <c r="S52" i="38"/>
  <c r="S47" i="38"/>
  <c r="S46" i="38"/>
  <c r="S45" i="38"/>
  <c r="S44" i="38"/>
  <c r="T43" i="38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06" i="45" s="1"/>
  <c r="S27" i="38"/>
  <c r="O70" i="11" s="1"/>
  <c r="S26" i="38"/>
  <c r="S25" i="38"/>
  <c r="S24" i="38"/>
  <c r="O99" i="9" s="1"/>
  <c r="S23" i="38"/>
  <c r="S22" i="38"/>
  <c r="S21" i="38"/>
  <c r="S20" i="38"/>
  <c r="T19" i="38"/>
  <c r="T68" i="38" s="1"/>
  <c r="S15" i="38"/>
  <c r="S14" i="38"/>
  <c r="T13" i="38"/>
  <c r="T62" i="38" s="1"/>
  <c r="S12" i="38"/>
  <c r="AC12" i="38" s="1"/>
  <c r="S11" i="38"/>
  <c r="S10" i="38"/>
  <c r="S9" i="38"/>
  <c r="S8" i="38"/>
  <c r="S7" i="38"/>
  <c r="T6" i="38"/>
  <c r="T55" i="38" s="1"/>
  <c r="Q125" i="45"/>
  <c r="Q124" i="45"/>
  <c r="Q122" i="45"/>
  <c r="Q116" i="45"/>
  <c r="Q117" i="45" s="1"/>
  <c r="Q111" i="45"/>
  <c r="P111" i="45"/>
  <c r="Q109" i="45"/>
  <c r="P109" i="45"/>
  <c r="Q108" i="45"/>
  <c r="P108" i="45"/>
  <c r="Q106" i="45"/>
  <c r="Q104" i="45"/>
  <c r="P104" i="45"/>
  <c r="Q102" i="45"/>
  <c r="S73" i="59" s="1"/>
  <c r="P102" i="45"/>
  <c r="R73" i="59" s="1"/>
  <c r="Q99" i="45"/>
  <c r="Q100" i="45" s="1"/>
  <c r="P99" i="45"/>
  <c r="P100" i="45" s="1"/>
  <c r="Q90" i="45"/>
  <c r="Q89" i="45"/>
  <c r="P89" i="45"/>
  <c r="P88" i="45" s="1"/>
  <c r="Q88" i="45"/>
  <c r="P88" i="11"/>
  <c r="P86" i="11"/>
  <c r="P80" i="11"/>
  <c r="P87" i="11" s="1"/>
  <c r="P75" i="11"/>
  <c r="O75" i="11"/>
  <c r="P73" i="11"/>
  <c r="O73" i="11"/>
  <c r="P72" i="11"/>
  <c r="O72" i="11"/>
  <c r="P70" i="11"/>
  <c r="P68" i="11"/>
  <c r="O68" i="11"/>
  <c r="P66" i="11"/>
  <c r="S69" i="59" s="1"/>
  <c r="O66" i="11"/>
  <c r="P63" i="11"/>
  <c r="P64" i="11" s="1"/>
  <c r="O63" i="11"/>
  <c r="O64" i="11" s="1"/>
  <c r="P56" i="11"/>
  <c r="P54" i="11"/>
  <c r="P82" i="11" s="1"/>
  <c r="P53" i="11"/>
  <c r="P55" i="11" s="1"/>
  <c r="P22" i="36" s="1"/>
  <c r="S68" i="59" s="1"/>
  <c r="O53" i="11"/>
  <c r="O95" i="11" s="1"/>
  <c r="P52" i="11"/>
  <c r="P89" i="11" s="1"/>
  <c r="P182" i="10"/>
  <c r="P180" i="10"/>
  <c r="P174" i="10"/>
  <c r="P181" i="10" s="1"/>
  <c r="P169" i="10"/>
  <c r="O169" i="10"/>
  <c r="P167" i="10"/>
  <c r="O167" i="10"/>
  <c r="P166" i="10"/>
  <c r="O166" i="10"/>
  <c r="P164" i="10"/>
  <c r="O164" i="10"/>
  <c r="P162" i="10"/>
  <c r="O162" i="10"/>
  <c r="P160" i="10"/>
  <c r="O160" i="10"/>
  <c r="P157" i="10"/>
  <c r="P158" i="10" s="1"/>
  <c r="O157" i="10"/>
  <c r="O158" i="10" s="1"/>
  <c r="P152" i="10"/>
  <c r="P184" i="10" s="1"/>
  <c r="O151" i="10"/>
  <c r="O153" i="10" s="1"/>
  <c r="P151" i="10"/>
  <c r="P192" i="10"/>
  <c r="P147" i="9"/>
  <c r="P148" i="9" s="1"/>
  <c r="O104" i="9"/>
  <c r="O102" i="9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51" i="9"/>
  <c r="O47" i="9"/>
  <c r="P46" i="9"/>
  <c r="P36" i="9"/>
  <c r="P35" i="9"/>
  <c r="P47" i="9" s="1"/>
  <c r="P34" i="9"/>
  <c r="P31" i="9"/>
  <c r="P25" i="9"/>
  <c r="O24" i="9"/>
  <c r="O22" i="9"/>
  <c r="P19" i="9"/>
  <c r="P10" i="9"/>
  <c r="P5" i="9"/>
  <c r="O5" i="9"/>
  <c r="P108" i="8"/>
  <c r="P110" i="8" s="1"/>
  <c r="P93" i="8"/>
  <c r="P90" i="8"/>
  <c r="O90" i="8"/>
  <c r="P88" i="8"/>
  <c r="O88" i="8"/>
  <c r="P87" i="8"/>
  <c r="O87" i="8"/>
  <c r="O86" i="8"/>
  <c r="O83" i="8"/>
  <c r="O81" i="8"/>
  <c r="O80" i="8"/>
  <c r="P75" i="8"/>
  <c r="O74" i="8"/>
  <c r="O73" i="8"/>
  <c r="O72" i="8"/>
  <c r="O71" i="8"/>
  <c r="O70" i="8"/>
  <c r="P67" i="8"/>
  <c r="P68" i="8" s="1"/>
  <c r="P36" i="8" s="1"/>
  <c r="P65" i="8"/>
  <c r="P66" i="8" s="1"/>
  <c r="P63" i="8"/>
  <c r="P64" i="8" s="1"/>
  <c r="P60" i="8"/>
  <c r="P57" i="8"/>
  <c r="P61" i="8" s="1"/>
  <c r="O51" i="8"/>
  <c r="P49" i="8"/>
  <c r="O49" i="8"/>
  <c r="O47" i="8"/>
  <c r="O46" i="8"/>
  <c r="O45" i="8"/>
  <c r="O44" i="8"/>
  <c r="O43" i="8"/>
  <c r="O41" i="8"/>
  <c r="O40" i="8"/>
  <c r="O39" i="8"/>
  <c r="P26" i="8"/>
  <c r="P17" i="8"/>
  <c r="O17" i="8"/>
  <c r="P15" i="8"/>
  <c r="O15" i="8"/>
  <c r="O14" i="8"/>
  <c r="P13" i="8"/>
  <c r="O13" i="8"/>
  <c r="P6" i="8"/>
  <c r="P85" i="8" s="1"/>
  <c r="O6" i="8"/>
  <c r="O28" i="8" s="1"/>
  <c r="P141" i="7"/>
  <c r="P143" i="7" s="1"/>
  <c r="P144" i="7" s="1"/>
  <c r="P135" i="7"/>
  <c r="P137" i="7" s="1"/>
  <c r="P138" i="7" s="1"/>
  <c r="P126" i="7"/>
  <c r="P118" i="7"/>
  <c r="O112" i="7"/>
  <c r="O111" i="7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69" i="7"/>
  <c r="P71" i="7" s="1"/>
  <c r="O69" i="7"/>
  <c r="O71" i="7" s="1"/>
  <c r="P65" i="7"/>
  <c r="P35" i="7" s="1"/>
  <c r="P100" i="7" s="1"/>
  <c r="O65" i="7"/>
  <c r="O57" i="7" s="1"/>
  <c r="P54" i="7"/>
  <c r="P94" i="7" s="1"/>
  <c r="O54" i="7"/>
  <c r="O94" i="7" s="1"/>
  <c r="P53" i="7"/>
  <c r="O52" i="7"/>
  <c r="P34" i="7"/>
  <c r="P88" i="7" s="1"/>
  <c r="O32" i="7"/>
  <c r="O97" i="7" s="1"/>
  <c r="P31" i="7"/>
  <c r="P96" i="7" s="1"/>
  <c r="O31" i="7"/>
  <c r="O96" i="7" s="1"/>
  <c r="P30" i="7"/>
  <c r="P93" i="7" s="1"/>
  <c r="S35" i="59" s="1"/>
  <c r="O29" i="7"/>
  <c r="O92" i="7" s="1"/>
  <c r="R34" i="59" s="1"/>
  <c r="P28" i="7"/>
  <c r="P91" i="7" s="1"/>
  <c r="S33" i="59" s="1"/>
  <c r="O28" i="7"/>
  <c r="O91" i="7" s="1"/>
  <c r="R33" i="59" s="1"/>
  <c r="P27" i="7"/>
  <c r="P90" i="7" s="1"/>
  <c r="O26" i="7"/>
  <c r="O89" i="7" s="1"/>
  <c r="P25" i="7"/>
  <c r="O25" i="7"/>
  <c r="P24" i="7"/>
  <c r="O23" i="7"/>
  <c r="P22" i="7"/>
  <c r="O22" i="7"/>
  <c r="P20" i="7"/>
  <c r="P39" i="7" s="1"/>
  <c r="P49" i="7" s="1"/>
  <c r="O20" i="7"/>
  <c r="O39" i="7" s="1"/>
  <c r="O49" i="7" s="1"/>
  <c r="O199" i="6"/>
  <c r="P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Z132" i="6" s="1"/>
  <c r="O132" i="6"/>
  <c r="Y132" i="6" s="1"/>
  <c r="P131" i="6"/>
  <c r="Z131" i="6" s="1"/>
  <c r="O131" i="6"/>
  <c r="Y131" i="6" s="1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O34" i="39" s="1"/>
  <c r="P45" i="6"/>
  <c r="O41" i="6"/>
  <c r="P34" i="6"/>
  <c r="P33" i="6"/>
  <c r="P35" i="6" s="1"/>
  <c r="P32" i="6"/>
  <c r="P29" i="6"/>
  <c r="P26" i="6"/>
  <c r="P23" i="6"/>
  <c r="O18" i="6"/>
  <c r="O17" i="6"/>
  <c r="O16" i="6"/>
  <c r="O15" i="6"/>
  <c r="P9" i="6"/>
  <c r="P8" i="6"/>
  <c r="O7" i="6"/>
  <c r="O48" i="39"/>
  <c r="O47" i="39"/>
  <c r="O46" i="39"/>
  <c r="O8" i="39"/>
  <c r="R217" i="28"/>
  <c r="V217" i="28" s="1"/>
  <c r="R218" i="28"/>
  <c r="V218" i="28" s="1"/>
  <c r="R219" i="28"/>
  <c r="V219" i="28" s="1"/>
  <c r="R225" i="28"/>
  <c r="V225" i="28" s="1"/>
  <c r="R227" i="28"/>
  <c r="V227" i="28" s="1"/>
  <c r="O458" i="28"/>
  <c r="P415" i="28"/>
  <c r="P411" i="28"/>
  <c r="P380" i="28"/>
  <c r="Z380" i="28" s="1"/>
  <c r="P379" i="28"/>
  <c r="P372" i="28"/>
  <c r="P450" i="28" s="1"/>
  <c r="O372" i="28"/>
  <c r="P356" i="28"/>
  <c r="P357" i="28" s="1"/>
  <c r="P273" i="28"/>
  <c r="P446" i="28" s="1"/>
  <c r="O273" i="28"/>
  <c r="P267" i="28"/>
  <c r="O267" i="28"/>
  <c r="P266" i="28"/>
  <c r="P268" i="28" s="1"/>
  <c r="O266" i="28"/>
  <c r="P229" i="28"/>
  <c r="P442" i="28" s="1"/>
  <c r="O229" i="28"/>
  <c r="P212" i="28"/>
  <c r="P211" i="28"/>
  <c r="P213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54" i="28" s="1"/>
  <c r="P31" i="28"/>
  <c r="P53" i="28" s="1"/>
  <c r="P30" i="28"/>
  <c r="P52" i="28" s="1"/>
  <c r="P29" i="28"/>
  <c r="P51" i="28" s="1"/>
  <c r="P28" i="28"/>
  <c r="P50" i="28" s="1"/>
  <c r="P26" i="28"/>
  <c r="P447" i="28" s="1"/>
  <c r="O21" i="28"/>
  <c r="O26" i="28" s="1"/>
  <c r="P19" i="28"/>
  <c r="O14" i="28"/>
  <c r="O19" i="28" s="1"/>
  <c r="P12" i="28"/>
  <c r="P58" i="28" s="1"/>
  <c r="O7" i="28"/>
  <c r="P17" i="49"/>
  <c r="Z17" i="49" s="1"/>
  <c r="P11" i="49"/>
  <c r="O11" i="49"/>
  <c r="P9" i="49"/>
  <c r="P8" i="49"/>
  <c r="O6" i="49"/>
  <c r="Q192" i="73"/>
  <c r="U192" i="73" s="1"/>
  <c r="O188" i="73"/>
  <c r="O177" i="73"/>
  <c r="O186" i="73" s="1"/>
  <c r="O131" i="73"/>
  <c r="O127" i="73"/>
  <c r="O124" i="73"/>
  <c r="O120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69" i="59"/>
  <c r="S65" i="59"/>
  <c r="R65" i="59"/>
  <c r="R62" i="59"/>
  <c r="R61" i="59"/>
  <c r="S60" i="59"/>
  <c r="S59" i="59"/>
  <c r="R59" i="59"/>
  <c r="R58" i="59"/>
  <c r="R53" i="59"/>
  <c r="R52" i="59"/>
  <c r="S51" i="59"/>
  <c r="R51" i="59"/>
  <c r="S50" i="59"/>
  <c r="R50" i="59"/>
  <c r="R48" i="59"/>
  <c r="R47" i="59"/>
  <c r="R46" i="59"/>
  <c r="S45" i="59"/>
  <c r="R45" i="59"/>
  <c r="R43" i="59"/>
  <c r="R42" i="59"/>
  <c r="R44" i="59" s="1"/>
  <c r="S41" i="59"/>
  <c r="R41" i="59"/>
  <c r="R39" i="59"/>
  <c r="R38" i="59"/>
  <c r="R37" i="59"/>
  <c r="S27" i="59"/>
  <c r="S26" i="59"/>
  <c r="S25" i="59"/>
  <c r="S24" i="59"/>
  <c r="S23" i="59"/>
  <c r="R23" i="59"/>
  <c r="R22" i="59"/>
  <c r="S20" i="59"/>
  <c r="S19" i="59"/>
  <c r="S18" i="59"/>
  <c r="S17" i="59"/>
  <c r="S16" i="59"/>
  <c r="R16" i="59"/>
  <c r="R15" i="59"/>
  <c r="S12" i="59"/>
  <c r="R12" i="59"/>
  <c r="R11" i="59"/>
  <c r="O54" i="36"/>
  <c r="O53" i="36"/>
  <c r="O51" i="36"/>
  <c r="O49" i="36"/>
  <c r="O41" i="36" s="1"/>
  <c r="O48" i="36"/>
  <c r="O40" i="36" s="1"/>
  <c r="P46" i="36"/>
  <c r="P54" i="36" s="1"/>
  <c r="O46" i="36"/>
  <c r="P44" i="36"/>
  <c r="P52" i="36" s="1"/>
  <c r="P43" i="36"/>
  <c r="P51" i="36" s="1"/>
  <c r="O43" i="36"/>
  <c r="O45" i="36" s="1"/>
  <c r="P41" i="36"/>
  <c r="P40" i="36"/>
  <c r="P48" i="36" s="1"/>
  <c r="P39" i="36"/>
  <c r="P17" i="36" s="1"/>
  <c r="P38" i="36"/>
  <c r="P16" i="36" s="1"/>
  <c r="S54" i="59" s="1"/>
  <c r="P32" i="36"/>
  <c r="O32" i="36"/>
  <c r="O29" i="36"/>
  <c r="N7" i="15" s="1"/>
  <c r="O28" i="36"/>
  <c r="N6" i="15" s="1"/>
  <c r="O27" i="36"/>
  <c r="N5" i="15" s="1"/>
  <c r="P24" i="36"/>
  <c r="S75" i="59" s="1"/>
  <c r="O24" i="36"/>
  <c r="R75" i="59" s="1"/>
  <c r="O23" i="36"/>
  <c r="R72" i="59" s="1"/>
  <c r="O22" i="36"/>
  <c r="R68" i="59" s="1"/>
  <c r="O21" i="36"/>
  <c r="R64" i="59" s="1"/>
  <c r="O17" i="36"/>
  <c r="O90" i="9" s="1"/>
  <c r="O16" i="36"/>
  <c r="O38" i="36" s="1"/>
  <c r="O13" i="36"/>
  <c r="R40" i="59" s="1"/>
  <c r="P12" i="36"/>
  <c r="S39" i="59" s="1"/>
  <c r="P11" i="36"/>
  <c r="S38" i="59" s="1"/>
  <c r="P10" i="36"/>
  <c r="O9" i="36"/>
  <c r="R10" i="59" s="1"/>
  <c r="O8" i="36"/>
  <c r="R9" i="59" s="1"/>
  <c r="O7" i="36"/>
  <c r="R8" i="59" s="1"/>
  <c r="O5" i="36"/>
  <c r="O13" i="49" s="1"/>
  <c r="P28" i="21"/>
  <c r="O27" i="21"/>
  <c r="P24" i="21"/>
  <c r="P25" i="21" s="1"/>
  <c r="P18" i="21"/>
  <c r="P15" i="21"/>
  <c r="P12" i="21"/>
  <c r="O12" i="21"/>
  <c r="O22" i="21" s="1"/>
  <c r="Q127" i="50" l="1"/>
  <c r="AA127" i="50" s="1"/>
  <c r="O95" i="90"/>
  <c r="Y95" i="90" s="1"/>
  <c r="O134" i="73"/>
  <c r="O124" i="90"/>
  <c r="Q137" i="50"/>
  <c r="AA137" i="50" s="1"/>
  <c r="R77" i="59"/>
  <c r="R78" i="59"/>
  <c r="R79" i="59"/>
  <c r="Q126" i="45"/>
  <c r="Q127" i="45"/>
  <c r="S13" i="38"/>
  <c r="Y34" i="39"/>
  <c r="Y46" i="39"/>
  <c r="Y47" i="39"/>
  <c r="Y48" i="39"/>
  <c r="O188" i="6"/>
  <c r="O50" i="36"/>
  <c r="Y46" i="35"/>
  <c r="Y37" i="35"/>
  <c r="R54" i="59"/>
  <c r="R55" i="59"/>
  <c r="R6" i="59"/>
  <c r="O89" i="9"/>
  <c r="O91" i="9" s="1"/>
  <c r="P48" i="9"/>
  <c r="P49" i="9" s="1"/>
  <c r="P78" i="9" s="1"/>
  <c r="R49" i="59"/>
  <c r="P89" i="9"/>
  <c r="P33" i="22"/>
  <c r="O131" i="26"/>
  <c r="O69" i="9"/>
  <c r="O33" i="22"/>
  <c r="N131" i="26"/>
  <c r="O35" i="7"/>
  <c r="O100" i="7" s="1"/>
  <c r="O55" i="7"/>
  <c r="O98" i="7" s="1"/>
  <c r="R32" i="59" s="1"/>
  <c r="O79" i="7"/>
  <c r="R28" i="59" s="1"/>
  <c r="O59" i="7"/>
  <c r="P79" i="7"/>
  <c r="S28" i="59" s="1"/>
  <c r="P59" i="7"/>
  <c r="P13" i="36"/>
  <c r="S40" i="59" s="1"/>
  <c r="O22" i="39"/>
  <c r="Y8" i="39"/>
  <c r="O42" i="36"/>
  <c r="P57" i="11"/>
  <c r="P83" i="28"/>
  <c r="P84" i="28" s="1"/>
  <c r="P426" i="28"/>
  <c r="S35" i="38"/>
  <c r="Q123" i="45"/>
  <c r="Q130" i="45" s="1"/>
  <c r="P76" i="11"/>
  <c r="S70" i="59" s="1"/>
  <c r="P176" i="10"/>
  <c r="O25" i="9"/>
  <c r="O88" i="9" s="1"/>
  <c r="P58" i="8"/>
  <c r="P62" i="8" s="1"/>
  <c r="P35" i="8" s="1"/>
  <c r="P57" i="7"/>
  <c r="P56" i="7"/>
  <c r="O45" i="39"/>
  <c r="O49" i="39"/>
  <c r="P71" i="8"/>
  <c r="P34" i="8"/>
  <c r="P57" i="6"/>
  <c r="P16" i="8"/>
  <c r="P44" i="8"/>
  <c r="S48" i="59" s="1"/>
  <c r="P6" i="49"/>
  <c r="P42" i="36"/>
  <c r="P37" i="9"/>
  <c r="P14" i="9"/>
  <c r="P18" i="36"/>
  <c r="S56" i="59" s="1"/>
  <c r="P100" i="9"/>
  <c r="P41" i="8"/>
  <c r="P90" i="9"/>
  <c r="P96" i="9"/>
  <c r="P47" i="8"/>
  <c r="O58" i="7"/>
  <c r="O74" i="7"/>
  <c r="O66" i="7"/>
  <c r="O86" i="7"/>
  <c r="R30" i="59" s="1"/>
  <c r="O103" i="6"/>
  <c r="O107" i="6" s="1"/>
  <c r="O150" i="6" s="1"/>
  <c r="O25" i="6"/>
  <c r="O42" i="8"/>
  <c r="O52" i="11"/>
  <c r="O16" i="8"/>
  <c r="O7" i="9"/>
  <c r="O58" i="9"/>
  <c r="O67" i="9"/>
  <c r="O100" i="9"/>
  <c r="O68" i="9"/>
  <c r="O92" i="9"/>
  <c r="O84" i="8"/>
  <c r="O91" i="8"/>
  <c r="O50" i="8"/>
  <c r="O25" i="8"/>
  <c r="O17" i="49" s="1"/>
  <c r="O18" i="49" s="1"/>
  <c r="O27" i="8"/>
  <c r="O58" i="8" s="1"/>
  <c r="O62" i="8" s="1"/>
  <c r="O35" i="8" s="1"/>
  <c r="O31" i="8"/>
  <c r="O30" i="8"/>
  <c r="O66" i="8" s="1"/>
  <c r="O37" i="8" s="1"/>
  <c r="T40" i="38"/>
  <c r="T89" i="38" s="1"/>
  <c r="T18" i="38"/>
  <c r="S67" i="38"/>
  <c r="S6" i="38"/>
  <c r="S65" i="38"/>
  <c r="S19" i="38"/>
  <c r="O167" i="6"/>
  <c r="O168" i="6" s="1"/>
  <c r="S89" i="38"/>
  <c r="S43" i="38"/>
  <c r="S40" i="38" s="1"/>
  <c r="S16" i="38"/>
  <c r="T92" i="38"/>
  <c r="T16" i="38"/>
  <c r="Q128" i="45"/>
  <c r="P92" i="45"/>
  <c r="Q92" i="45"/>
  <c r="Q93" i="45" s="1"/>
  <c r="Q118" i="45"/>
  <c r="P112" i="45"/>
  <c r="R74" i="59" s="1"/>
  <c r="P91" i="45"/>
  <c r="Q112" i="45"/>
  <c r="S74" i="59" s="1"/>
  <c r="Q91" i="45"/>
  <c r="P23" i="36" s="1"/>
  <c r="S72" i="59" s="1"/>
  <c r="P81" i="11"/>
  <c r="P93" i="11"/>
  <c r="O55" i="11"/>
  <c r="P90" i="11"/>
  <c r="P91" i="11" s="1"/>
  <c r="O76" i="11"/>
  <c r="R70" i="59" s="1"/>
  <c r="P175" i="10"/>
  <c r="P193" i="10"/>
  <c r="P40" i="35" s="1"/>
  <c r="P170" i="10"/>
  <c r="S66" i="59" s="1"/>
  <c r="P153" i="10"/>
  <c r="P21" i="36" s="1"/>
  <c r="S64" i="59" s="1"/>
  <c r="O150" i="10"/>
  <c r="P150" i="10"/>
  <c r="O170" i="10"/>
  <c r="R66" i="59" s="1"/>
  <c r="P53" i="36"/>
  <c r="P45" i="36"/>
  <c r="P62" i="9"/>
  <c r="O19" i="9"/>
  <c r="O55" i="9"/>
  <c r="O64" i="9"/>
  <c r="O70" i="9"/>
  <c r="P94" i="9"/>
  <c r="O18" i="15" s="1"/>
  <c r="S55" i="59"/>
  <c r="O56" i="9"/>
  <c r="O65" i="9"/>
  <c r="O95" i="9"/>
  <c r="O27" i="9"/>
  <c r="O61" i="9"/>
  <c r="O66" i="9"/>
  <c r="P49" i="36"/>
  <c r="P50" i="36" s="1"/>
  <c r="O59" i="9"/>
  <c r="O63" i="9"/>
  <c r="P109" i="8"/>
  <c r="P72" i="8"/>
  <c r="P37" i="8"/>
  <c r="O68" i="8"/>
  <c r="O36" i="8" s="1"/>
  <c r="S37" i="59"/>
  <c r="O24" i="8"/>
  <c r="O9" i="49" s="1"/>
  <c r="O29" i="8"/>
  <c r="P39" i="8"/>
  <c r="P45" i="8"/>
  <c r="P73" i="8"/>
  <c r="P18" i="49"/>
  <c r="Z18" i="49" s="1"/>
  <c r="P40" i="8"/>
  <c r="P43" i="8"/>
  <c r="S46" i="59" s="1"/>
  <c r="P46" i="8"/>
  <c r="S47" i="59" s="1"/>
  <c r="P50" i="8"/>
  <c r="P81" i="8"/>
  <c r="S52" i="59" s="1"/>
  <c r="P91" i="8"/>
  <c r="O23" i="8"/>
  <c r="P23" i="7"/>
  <c r="P26" i="7"/>
  <c r="P89" i="7" s="1"/>
  <c r="P29" i="7"/>
  <c r="P92" i="7" s="1"/>
  <c r="S34" i="59" s="1"/>
  <c r="P32" i="7"/>
  <c r="P97" i="7" s="1"/>
  <c r="P52" i="7"/>
  <c r="P55" i="7"/>
  <c r="P98" i="7" s="1"/>
  <c r="S32" i="59" s="1"/>
  <c r="P58" i="7"/>
  <c r="P67" i="7"/>
  <c r="P74" i="7"/>
  <c r="O24" i="7"/>
  <c r="O27" i="7"/>
  <c r="O90" i="7" s="1"/>
  <c r="O30" i="7"/>
  <c r="O93" i="7" s="1"/>
  <c r="R35" i="59" s="1"/>
  <c r="O34" i="7"/>
  <c r="O88" i="7" s="1"/>
  <c r="O53" i="7"/>
  <c r="O56" i="7"/>
  <c r="O60" i="7"/>
  <c r="O76" i="7"/>
  <c r="P60" i="7"/>
  <c r="P76" i="7"/>
  <c r="P120" i="7"/>
  <c r="P121" i="7" s="1"/>
  <c r="P123" i="7" s="1"/>
  <c r="P124" i="7" s="1"/>
  <c r="O81" i="7"/>
  <c r="R36" i="59" s="1"/>
  <c r="P81" i="7"/>
  <c r="S36" i="59" s="1"/>
  <c r="P87" i="7"/>
  <c r="S31" i="59" s="1"/>
  <c r="O85" i="7"/>
  <c r="P127" i="7"/>
  <c r="P85" i="7"/>
  <c r="P128" i="7"/>
  <c r="P129" i="7" s="1"/>
  <c r="P121" i="6"/>
  <c r="P125" i="6" s="1"/>
  <c r="P175" i="6" s="1"/>
  <c r="O138" i="6"/>
  <c r="O31" i="6"/>
  <c r="O194" i="6"/>
  <c r="O22" i="6"/>
  <c r="O163" i="6"/>
  <c r="O27" i="6"/>
  <c r="O121" i="6"/>
  <c r="O125" i="6" s="1"/>
  <c r="O175" i="6" s="1"/>
  <c r="O19" i="6"/>
  <c r="O84" i="6" s="1"/>
  <c r="O24" i="6"/>
  <c r="O26" i="6" s="1"/>
  <c r="O133" i="6"/>
  <c r="P133" i="6"/>
  <c r="O21" i="6"/>
  <c r="O30" i="6"/>
  <c r="O32" i="6" s="1"/>
  <c r="P103" i="6"/>
  <c r="P107" i="6" s="1"/>
  <c r="P148" i="6" s="1"/>
  <c r="S15" i="59" s="1"/>
  <c r="O28" i="6"/>
  <c r="P138" i="6"/>
  <c r="O23" i="39"/>
  <c r="O50" i="39"/>
  <c r="P440" i="28"/>
  <c r="P436" i="28"/>
  <c r="P458" i="28"/>
  <c r="P33" i="28"/>
  <c r="P61" i="28" s="1"/>
  <c r="P409" i="28"/>
  <c r="P459" i="28" s="1"/>
  <c r="P448" i="28"/>
  <c r="P449" i="28"/>
  <c r="P60" i="28"/>
  <c r="P445" i="28"/>
  <c r="P444" i="28"/>
  <c r="O60" i="28"/>
  <c r="O73" i="28" s="1"/>
  <c r="O447" i="28" s="1"/>
  <c r="O357" i="28"/>
  <c r="O449" i="28" s="1"/>
  <c r="O268" i="28"/>
  <c r="O59" i="28"/>
  <c r="O69" i="28" s="1"/>
  <c r="O443" i="28" s="1"/>
  <c r="P55" i="28"/>
  <c r="P456" i="28" s="1"/>
  <c r="O12" i="28"/>
  <c r="P443" i="28"/>
  <c r="P59" i="28"/>
  <c r="P437" i="28"/>
  <c r="P441" i="28"/>
  <c r="P439" i="28"/>
  <c r="O117" i="73"/>
  <c r="O5" i="73"/>
  <c r="O39" i="36"/>
  <c r="P20" i="21"/>
  <c r="O15" i="21"/>
  <c r="Q43" i="35"/>
  <c r="U43" i="35" s="1"/>
  <c r="Q44" i="35"/>
  <c r="U44" i="35" s="1"/>
  <c r="Q45" i="35"/>
  <c r="U45" i="35" s="1"/>
  <c r="O42" i="35"/>
  <c r="Y42" i="35" s="1"/>
  <c r="O41" i="35"/>
  <c r="P39" i="35"/>
  <c r="O39" i="35"/>
  <c r="Y39" i="35" s="1"/>
  <c r="P36" i="35"/>
  <c r="P46" i="35" s="1"/>
  <c r="O36" i="35"/>
  <c r="O33" i="35"/>
  <c r="P32" i="35"/>
  <c r="P31" i="35"/>
  <c r="Z31" i="35" s="1"/>
  <c r="P30" i="35"/>
  <c r="Z30" i="35" s="1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Z20" i="35" s="1"/>
  <c r="O20" i="35"/>
  <c r="Y20" i="35" s="1"/>
  <c r="P19" i="35"/>
  <c r="O19" i="35"/>
  <c r="P14" i="35"/>
  <c r="P13" i="35"/>
  <c r="P11" i="35"/>
  <c r="P10" i="6" s="1"/>
  <c r="O10" i="35"/>
  <c r="O9" i="35"/>
  <c r="Y9" i="35" s="1"/>
  <c r="O8" i="35"/>
  <c r="P7" i="35"/>
  <c r="P6" i="35"/>
  <c r="P6" i="6" l="1"/>
  <c r="P18" i="6" s="1"/>
  <c r="P189" i="6" s="1"/>
  <c r="O60" i="9"/>
  <c r="O126" i="90"/>
  <c r="Y124" i="90"/>
  <c r="S18" i="38"/>
  <c r="Y50" i="39"/>
  <c r="Y23" i="39"/>
  <c r="Y22" i="39"/>
  <c r="Y49" i="39"/>
  <c r="Y45" i="39"/>
  <c r="N2" i="26"/>
  <c r="N2" i="17"/>
  <c r="O2" i="17"/>
  <c r="O2" i="26"/>
  <c r="T65" i="38"/>
  <c r="T98" i="38" s="1"/>
  <c r="O34" i="6"/>
  <c r="O108" i="8"/>
  <c r="O109" i="8" s="1"/>
  <c r="Z14" i="35"/>
  <c r="Y41" i="35"/>
  <c r="Y47" i="35" s="1"/>
  <c r="P91" i="9"/>
  <c r="Z13" i="35"/>
  <c r="Y10" i="35"/>
  <c r="Y11" i="35" s="1"/>
  <c r="O21" i="22"/>
  <c r="O7" i="22"/>
  <c r="O8" i="22" s="1"/>
  <c r="O10" i="22" s="1"/>
  <c r="O11" i="22" s="1"/>
  <c r="O13" i="22" s="1"/>
  <c r="Y19" i="35"/>
  <c r="Z19" i="35"/>
  <c r="Z32" i="35"/>
  <c r="Z33" i="35" s="1"/>
  <c r="Z37" i="35" s="1"/>
  <c r="O6" i="26"/>
  <c r="P77" i="8"/>
  <c r="P36" i="7"/>
  <c r="P51" i="7" s="1"/>
  <c r="P61" i="7" s="1"/>
  <c r="P451" i="28"/>
  <c r="S66" i="38"/>
  <c r="S98" i="38" s="1"/>
  <c r="P86" i="7"/>
  <c r="S30" i="59" s="1"/>
  <c r="O24" i="39"/>
  <c r="P122" i="7"/>
  <c r="P125" i="7" s="1"/>
  <c r="P172" i="6"/>
  <c r="P16" i="6"/>
  <c r="P194" i="6"/>
  <c r="P8" i="35"/>
  <c r="P5" i="6"/>
  <c r="P19" i="36"/>
  <c r="S57" i="59" s="1"/>
  <c r="P84" i="9"/>
  <c r="P81" i="9"/>
  <c r="P87" i="9"/>
  <c r="S61" i="59" s="1"/>
  <c r="P53" i="9"/>
  <c r="P85" i="9"/>
  <c r="P80" i="9"/>
  <c r="P72" i="9"/>
  <c r="P52" i="9"/>
  <c r="S58" i="59" s="1"/>
  <c r="P76" i="9"/>
  <c r="P83" i="9"/>
  <c r="P73" i="9"/>
  <c r="P75" i="9"/>
  <c r="P82" i="9"/>
  <c r="S62" i="59" s="1"/>
  <c r="O36" i="7"/>
  <c r="O51" i="7" s="1"/>
  <c r="O75" i="7" s="1"/>
  <c r="O148" i="6"/>
  <c r="O147" i="6"/>
  <c r="O46" i="35"/>
  <c r="O28" i="28"/>
  <c r="O26" i="21"/>
  <c r="O33" i="36"/>
  <c r="O34" i="36" s="1"/>
  <c r="O35" i="36" s="1"/>
  <c r="O36" i="36" s="1"/>
  <c r="O30" i="36" s="1"/>
  <c r="R80" i="59" s="1"/>
  <c r="O57" i="9"/>
  <c r="O62" i="9" s="1"/>
  <c r="O13" i="35"/>
  <c r="O8" i="6"/>
  <c r="O14" i="35"/>
  <c r="O9" i="6"/>
  <c r="T67" i="38"/>
  <c r="P26" i="36"/>
  <c r="T17" i="38"/>
  <c r="T66" i="38" s="1"/>
  <c r="S17" i="38"/>
  <c r="S49" i="38" s="1"/>
  <c r="P41" i="35"/>
  <c r="Z41" i="35" s="1"/>
  <c r="P95" i="11"/>
  <c r="P33" i="35"/>
  <c r="P37" i="35" s="1"/>
  <c r="P183" i="10"/>
  <c r="P189" i="10"/>
  <c r="P86" i="9"/>
  <c r="P111" i="8"/>
  <c r="P52" i="8" s="1"/>
  <c r="S43" i="59" s="1"/>
  <c r="P51" i="8"/>
  <c r="S42" i="59" s="1"/>
  <c r="S49" i="59"/>
  <c r="P70" i="8"/>
  <c r="O8" i="49"/>
  <c r="O64" i="8"/>
  <c r="O10" i="49" s="1"/>
  <c r="O26" i="8"/>
  <c r="P69" i="8"/>
  <c r="P130" i="7"/>
  <c r="P42" i="8"/>
  <c r="O87" i="7"/>
  <c r="R31" i="59" s="1"/>
  <c r="R29" i="59"/>
  <c r="O51" i="39"/>
  <c r="P101" i="7"/>
  <c r="S29" i="59"/>
  <c r="P173" i="6"/>
  <c r="S22" i="59" s="1"/>
  <c r="O139" i="6"/>
  <c r="O143" i="6" s="1"/>
  <c r="O208" i="6" s="1"/>
  <c r="O29" i="6"/>
  <c r="O81" i="6"/>
  <c r="O172" i="6"/>
  <c r="O23" i="6"/>
  <c r="O33" i="6"/>
  <c r="O35" i="6" s="1"/>
  <c r="P15" i="35"/>
  <c r="P5" i="36"/>
  <c r="P13" i="49" s="1"/>
  <c r="P139" i="6"/>
  <c r="O173" i="6"/>
  <c r="P150" i="6"/>
  <c r="P147" i="6"/>
  <c r="P149" i="6" s="1"/>
  <c r="P7" i="36" s="1"/>
  <c r="S8" i="59" s="1"/>
  <c r="P427" i="28"/>
  <c r="P430" i="28" s="1"/>
  <c r="P62" i="28"/>
  <c r="P457" i="28" s="1"/>
  <c r="O213" i="28"/>
  <c r="O441" i="28" s="1"/>
  <c r="O58" i="28"/>
  <c r="O437" i="28"/>
  <c r="O436" i="28"/>
  <c r="O445" i="28"/>
  <c r="P56" i="28"/>
  <c r="O448" i="28"/>
  <c r="O444" i="28"/>
  <c r="O47" i="35"/>
  <c r="O11" i="35"/>
  <c r="O10" i="6" s="1"/>
  <c r="O37" i="35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30" i="90" l="1"/>
  <c r="Y126" i="90"/>
  <c r="Y130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T49" i="38"/>
  <c r="Y51" i="39"/>
  <c r="Y24" i="39"/>
  <c r="O110" i="8"/>
  <c r="O111" i="8" s="1"/>
  <c r="Z15" i="35"/>
  <c r="P21" i="86"/>
  <c r="O149" i="6"/>
  <c r="Y13" i="35"/>
  <c r="Y14" i="35"/>
  <c r="O15" i="35"/>
  <c r="O22" i="22"/>
  <c r="O24" i="22" s="1"/>
  <c r="O25" i="22" s="1"/>
  <c r="O27" i="22" s="1"/>
  <c r="P75" i="7"/>
  <c r="O101" i="7"/>
  <c r="P25" i="36"/>
  <c r="S76" i="59" s="1"/>
  <c r="Q77" i="83"/>
  <c r="Q75" i="83" s="1"/>
  <c r="P132" i="7"/>
  <c r="P174" i="6"/>
  <c r="P8" i="36" s="1"/>
  <c r="S9" i="59" s="1"/>
  <c r="P7" i="6"/>
  <c r="P15" i="6"/>
  <c r="P17" i="6"/>
  <c r="S44" i="59"/>
  <c r="P77" i="9"/>
  <c r="P74" i="9"/>
  <c r="O61" i="7"/>
  <c r="O174" i="6"/>
  <c r="O207" i="6"/>
  <c r="O216" i="6"/>
  <c r="O219" i="6" s="1"/>
  <c r="O205" i="6"/>
  <c r="O212" i="6"/>
  <c r="O33" i="28"/>
  <c r="O50" i="28"/>
  <c r="O55" i="28" s="1"/>
  <c r="O456" i="28" s="1"/>
  <c r="O28" i="21"/>
  <c r="O34" i="8"/>
  <c r="P47" i="35"/>
  <c r="P53" i="35" s="1"/>
  <c r="P185" i="10"/>
  <c r="P187" i="10"/>
  <c r="O12" i="49"/>
  <c r="O210" i="6"/>
  <c r="O211" i="6"/>
  <c r="O204" i="6"/>
  <c r="O203" i="6"/>
  <c r="O213" i="6"/>
  <c r="S6" i="59"/>
  <c r="P143" i="6"/>
  <c r="P431" i="28"/>
  <c r="P452" i="28"/>
  <c r="P453" i="28"/>
  <c r="O65" i="28"/>
  <c r="O53" i="35"/>
  <c r="AD6" i="86" l="1"/>
  <c r="Z21" i="86"/>
  <c r="Y15" i="35"/>
  <c r="P164" i="6"/>
  <c r="P19" i="6"/>
  <c r="P84" i="6" s="1"/>
  <c r="P168" i="6"/>
  <c r="P79" i="9"/>
  <c r="O209" i="6"/>
  <c r="O214" i="6"/>
  <c r="O427" i="28"/>
  <c r="O453" i="28" s="1"/>
  <c r="O61" i="28"/>
  <c r="O14" i="49"/>
  <c r="P218" i="6"/>
  <c r="P211" i="6"/>
  <c r="P208" i="6"/>
  <c r="P204" i="6"/>
  <c r="P205" i="6"/>
  <c r="P210" i="6"/>
  <c r="P203" i="6"/>
  <c r="P217" i="6"/>
  <c r="P213" i="6"/>
  <c r="P207" i="6"/>
  <c r="P216" i="6"/>
  <c r="P212" i="6"/>
  <c r="P197" i="6"/>
  <c r="P199" i="6"/>
  <c r="O440" i="28"/>
  <c r="O439" i="28"/>
  <c r="AH6" i="86" l="1"/>
  <c r="AD21" i="86"/>
  <c r="P81" i="6"/>
  <c r="P40" i="6"/>
  <c r="P37" i="6"/>
  <c r="P38" i="6"/>
  <c r="P39" i="6"/>
  <c r="O215" i="6"/>
  <c r="O220" i="6" s="1"/>
  <c r="O77" i="28"/>
  <c r="O431" i="28" s="1"/>
  <c r="O62" i="28"/>
  <c r="O457" i="28" s="1"/>
  <c r="O430" i="28"/>
  <c r="O15" i="49"/>
  <c r="P209" i="6"/>
  <c r="P214" i="6"/>
  <c r="S11" i="59" s="1"/>
  <c r="P219" i="6"/>
  <c r="AN6" i="86" l="1"/>
  <c r="AH21" i="86"/>
  <c r="P41" i="6"/>
  <c r="O452" i="28"/>
  <c r="O451" i="28"/>
  <c r="O81" i="28"/>
  <c r="O16" i="49"/>
  <c r="P215" i="6"/>
  <c r="AR6" i="86" l="1"/>
  <c r="AN21" i="86"/>
  <c r="O19" i="49"/>
  <c r="P220" i="6"/>
  <c r="P9" i="36"/>
  <c r="S10" i="59" s="1"/>
  <c r="N78" i="8"/>
  <c r="R78" i="8" s="1"/>
  <c r="V78" i="8" s="1"/>
  <c r="N76" i="8"/>
  <c r="L75" i="8"/>
  <c r="F75" i="8"/>
  <c r="AV6" i="86" l="1"/>
  <c r="AR21" i="86"/>
  <c r="J75" i="8"/>
  <c r="N75" i="8"/>
  <c r="R75" i="8" s="1"/>
  <c r="V75" i="8" s="1"/>
  <c r="R76" i="8"/>
  <c r="N79" i="8"/>
  <c r="O20" i="49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L21" i="35"/>
  <c r="N377" i="28" l="1"/>
  <c r="R377" i="28" l="1"/>
  <c r="V377" i="28" s="1"/>
  <c r="AB377" i="28"/>
  <c r="AF377" i="28" s="1"/>
  <c r="AJ377" i="28" s="1"/>
  <c r="AP377" i="28" s="1"/>
  <c r="AT377" i="28" s="1"/>
  <c r="AX377" i="28" s="1"/>
  <c r="BF377" i="28" s="1"/>
  <c r="L95" i="9"/>
  <c r="L58" i="10" l="1"/>
  <c r="L23" i="10"/>
  <c r="L33" i="10"/>
  <c r="L25" i="10"/>
  <c r="M68" i="83" l="1"/>
  <c r="M69" i="83"/>
  <c r="M70" i="83"/>
  <c r="M71" i="83"/>
  <c r="M72" i="83"/>
  <c r="M51" i="83"/>
  <c r="M53" i="83"/>
  <c r="M54" i="83"/>
  <c r="M55" i="83"/>
  <c r="M56" i="83"/>
  <c r="M57" i="83"/>
  <c r="M58" i="83"/>
  <c r="M59" i="83"/>
  <c r="M60" i="83"/>
  <c r="M61" i="83"/>
  <c r="M63" i="83"/>
  <c r="M64" i="83"/>
  <c r="M65" i="83"/>
  <c r="M66" i="83"/>
  <c r="M50" i="83"/>
  <c r="M47" i="83"/>
  <c r="M48" i="83"/>
  <c r="M45" i="83"/>
  <c r="M39" i="83"/>
  <c r="M40" i="83"/>
  <c r="M41" i="83"/>
  <c r="M42" i="83"/>
  <c r="M43" i="83"/>
  <c r="M38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4" i="83"/>
  <c r="M25" i="83"/>
  <c r="M27" i="83"/>
  <c r="M28" i="83"/>
  <c r="M29" i="83"/>
  <c r="M30" i="83"/>
  <c r="M31" i="83"/>
  <c r="M32" i="83"/>
  <c r="M33" i="83"/>
  <c r="M34" i="83"/>
  <c r="M35" i="83"/>
  <c r="M36" i="83"/>
  <c r="M4" i="83"/>
  <c r="M73" i="83" l="1"/>
  <c r="M67" i="83"/>
  <c r="M49" i="83"/>
  <c r="M44" i="83"/>
  <c r="M37" i="83"/>
  <c r="M74" i="83" l="1"/>
  <c r="L103" i="9" l="1"/>
  <c r="K11" i="49" l="1"/>
  <c r="B10" i="6" l="1"/>
  <c r="F8" i="6"/>
  <c r="L8" i="6"/>
  <c r="F9" i="6"/>
  <c r="L9" i="6"/>
  <c r="K54" i="36" l="1"/>
  <c r="K46" i="36" s="1"/>
  <c r="K53" i="36"/>
  <c r="K51" i="36"/>
  <c r="K43" i="36" s="1"/>
  <c r="K45" i="36" s="1"/>
  <c r="K49" i="36"/>
  <c r="K41" i="36" s="1"/>
  <c r="K48" i="36"/>
  <c r="K40" i="36" s="1"/>
  <c r="L46" i="36"/>
  <c r="L54" i="36" s="1"/>
  <c r="L44" i="36"/>
  <c r="L52" i="36" s="1"/>
  <c r="L43" i="36"/>
  <c r="L45" i="36" s="1"/>
  <c r="L41" i="36"/>
  <c r="L49" i="36" s="1"/>
  <c r="L40" i="36"/>
  <c r="L38" i="36"/>
  <c r="L32" i="36"/>
  <c r="K32" i="36"/>
  <c r="L42" i="36" l="1"/>
  <c r="K42" i="36"/>
  <c r="K50" i="36"/>
  <c r="L48" i="36"/>
  <c r="L50" i="36" s="1"/>
  <c r="L51" i="36"/>
  <c r="L53" i="36" s="1"/>
  <c r="K37" i="27" l="1"/>
  <c r="K35" i="27"/>
  <c r="K29" i="27"/>
  <c r="K28" i="27"/>
  <c r="K27" i="27"/>
  <c r="K20" i="27"/>
  <c r="K19" i="27"/>
  <c r="K18" i="27"/>
  <c r="J39" i="27" l="1"/>
  <c r="K36" i="27"/>
  <c r="K39" i="27" s="1"/>
  <c r="J33" i="27"/>
  <c r="K26" i="27"/>
  <c r="K33" i="27" s="1"/>
  <c r="K24" i="27"/>
  <c r="J24" i="27"/>
  <c r="N330" i="28" l="1"/>
  <c r="N346" i="28"/>
  <c r="R346" i="28" l="1"/>
  <c r="V346" i="28" s="1"/>
  <c r="AB346" i="28"/>
  <c r="AF346" i="28" s="1"/>
  <c r="AJ346" i="28" s="1"/>
  <c r="AP346" i="28" s="1"/>
  <c r="AT346" i="28" s="1"/>
  <c r="AX346" i="28" s="1"/>
  <c r="BF346" i="28" s="1"/>
  <c r="R330" i="28"/>
  <c r="V330" i="28" s="1"/>
  <c r="AB330" i="28"/>
  <c r="AF330" i="28" s="1"/>
  <c r="AJ330" i="28" s="1"/>
  <c r="AP330" i="28" s="1"/>
  <c r="AT330" i="28" s="1"/>
  <c r="AX330" i="28" s="1"/>
  <c r="BF330" i="28" s="1"/>
  <c r="AG72" i="45" l="1"/>
  <c r="AK72" i="45" s="1"/>
  <c r="AQ72" i="45" s="1"/>
  <c r="AU72" i="45" s="1"/>
  <c r="AY72" i="45" s="1"/>
  <c r="AG71" i="45"/>
  <c r="AK71" i="45" s="1"/>
  <c r="AQ71" i="45" s="1"/>
  <c r="AU71" i="45" s="1"/>
  <c r="AY71" i="45" s="1"/>
  <c r="AG10" i="45"/>
  <c r="AK10" i="45" s="1"/>
  <c r="AQ10" i="45" s="1"/>
  <c r="AU10" i="45" s="1"/>
  <c r="AY10" i="45" s="1"/>
  <c r="I11" i="8"/>
  <c r="M11" i="8"/>
  <c r="N11" i="8"/>
  <c r="BG10" i="45" l="1"/>
  <c r="BG71" i="45"/>
  <c r="BG72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K129" i="26" l="1"/>
  <c r="L24" i="36" s="1"/>
  <c r="J129" i="26"/>
  <c r="K24" i="36" s="1"/>
  <c r="K114" i="26"/>
  <c r="J112" i="26"/>
  <c r="J110" i="26"/>
  <c r="J108" i="26"/>
  <c r="J106" i="26"/>
  <c r="J104" i="26"/>
  <c r="J102" i="26"/>
  <c r="J100" i="26"/>
  <c r="J98" i="26"/>
  <c r="K94" i="26"/>
  <c r="K83" i="26"/>
  <c r="K82" i="26"/>
  <c r="J80" i="26"/>
  <c r="J78" i="26"/>
  <c r="K75" i="26"/>
  <c r="J73" i="26"/>
  <c r="J71" i="26"/>
  <c r="J69" i="26"/>
  <c r="J67" i="26"/>
  <c r="J65" i="26"/>
  <c r="J63" i="26"/>
  <c r="J61" i="26"/>
  <c r="J59" i="26"/>
  <c r="J54" i="26"/>
  <c r="J52" i="26"/>
  <c r="K50" i="26"/>
  <c r="K56" i="26" s="1"/>
  <c r="J48" i="26"/>
  <c r="J50" i="26" s="1"/>
  <c r="K45" i="26"/>
  <c r="J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K18" i="26" s="1"/>
  <c r="J11" i="26"/>
  <c r="J9" i="26"/>
  <c r="K57" i="26" l="1"/>
  <c r="J114" i="26"/>
  <c r="J83" i="26"/>
  <c r="J82" i="26"/>
  <c r="J75" i="26"/>
  <c r="J56" i="26"/>
  <c r="J45" i="26"/>
  <c r="J12" i="26"/>
  <c r="J18" i="26" s="1"/>
  <c r="K19" i="26"/>
  <c r="K51" i="26"/>
  <c r="K13" i="26"/>
  <c r="J57" i="26"/>
  <c r="J51" i="26"/>
  <c r="J85" i="26"/>
  <c r="J94" i="26" s="1"/>
  <c r="L28" i="22"/>
  <c r="L24" i="22"/>
  <c r="L26" i="22" s="1"/>
  <c r="L23" i="22"/>
  <c r="L14" i="22"/>
  <c r="L10" i="22"/>
  <c r="L12" i="22" s="1"/>
  <c r="L9" i="22"/>
  <c r="K30" i="15"/>
  <c r="K29" i="15"/>
  <c r="K28" i="15"/>
  <c r="K24" i="15"/>
  <c r="K23" i="15"/>
  <c r="K22" i="15"/>
  <c r="K21" i="15"/>
  <c r="K20" i="15"/>
  <c r="J18" i="15"/>
  <c r="K17" i="15"/>
  <c r="J17" i="15"/>
  <c r="K14" i="15"/>
  <c r="J11" i="15"/>
  <c r="J12" i="15" s="1"/>
  <c r="K10" i="15"/>
  <c r="K9" i="15"/>
  <c r="J9" i="15"/>
  <c r="K8" i="15"/>
  <c r="J8" i="15"/>
  <c r="K7" i="15"/>
  <c r="K6" i="15"/>
  <c r="K5" i="15"/>
  <c r="J13" i="26" l="1"/>
  <c r="J14" i="15"/>
  <c r="J15" i="15" s="1"/>
  <c r="K31" i="15"/>
  <c r="K35" i="15" s="1"/>
  <c r="K15" i="15" s="1"/>
  <c r="K16" i="15" s="1"/>
  <c r="J19" i="26"/>
  <c r="J115" i="17"/>
  <c r="J113" i="17"/>
  <c r="K87" i="17"/>
  <c r="J87" i="17"/>
  <c r="K86" i="17"/>
  <c r="K85" i="17"/>
  <c r="J85" i="17"/>
  <c r="K84" i="17"/>
  <c r="J84" i="17"/>
  <c r="K83" i="17"/>
  <c r="J83" i="17"/>
  <c r="K79" i="17"/>
  <c r="J79" i="17"/>
  <c r="K67" i="17"/>
  <c r="K69" i="17" s="1"/>
  <c r="J67" i="17"/>
  <c r="J69" i="17" s="1"/>
  <c r="J61" i="17"/>
  <c r="K59" i="17"/>
  <c r="K60" i="17" s="1"/>
  <c r="J58" i="17"/>
  <c r="J57" i="17"/>
  <c r="J59" i="17" s="1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J26" i="17"/>
  <c r="K22" i="17"/>
  <c r="K16" i="17" s="1"/>
  <c r="J21" i="17"/>
  <c r="J19" i="17"/>
  <c r="J18" i="17"/>
  <c r="J16" i="17"/>
  <c r="J30" i="17" s="1"/>
  <c r="J15" i="17"/>
  <c r="K14" i="17"/>
  <c r="K12" i="17"/>
  <c r="K9" i="17"/>
  <c r="J9" i="17"/>
  <c r="R12" i="38"/>
  <c r="V12" i="38" s="1"/>
  <c r="Z12" i="38" s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3" i="38"/>
  <c r="P52" i="38"/>
  <c r="O52" i="38"/>
  <c r="O47" i="38"/>
  <c r="O46" i="38"/>
  <c r="O45" i="38"/>
  <c r="O44" i="38"/>
  <c r="P43" i="38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P68" i="38" s="1"/>
  <c r="O15" i="38"/>
  <c r="O14" i="38"/>
  <c r="P13" i="38"/>
  <c r="P62" i="38" s="1"/>
  <c r="O12" i="38"/>
  <c r="O11" i="38"/>
  <c r="O10" i="38"/>
  <c r="O9" i="38"/>
  <c r="O8" i="38"/>
  <c r="O7" i="38"/>
  <c r="P6" i="38"/>
  <c r="P55" i="38" s="1"/>
  <c r="M48" i="50"/>
  <c r="M49" i="50"/>
  <c r="M50" i="50"/>
  <c r="M51" i="50"/>
  <c r="M52" i="50"/>
  <c r="M40" i="50"/>
  <c r="M41" i="50"/>
  <c r="M42" i="50"/>
  <c r="M43" i="50"/>
  <c r="M44" i="50"/>
  <c r="M45" i="50"/>
  <c r="M39" i="50"/>
  <c r="M5" i="50"/>
  <c r="M6" i="50"/>
  <c r="M7" i="50"/>
  <c r="M8" i="50"/>
  <c r="M9" i="50"/>
  <c r="M10" i="50"/>
  <c r="M11" i="50"/>
  <c r="M12" i="50"/>
  <c r="M4" i="61" s="1"/>
  <c r="M13" i="50"/>
  <c r="M5" i="61" s="1"/>
  <c r="M14" i="50"/>
  <c r="M6" i="61" s="1"/>
  <c r="M15" i="50"/>
  <c r="M7" i="61" s="1"/>
  <c r="M16" i="50"/>
  <c r="M8" i="61" s="1"/>
  <c r="M17" i="50"/>
  <c r="M9" i="61" s="1"/>
  <c r="M18" i="50"/>
  <c r="M10" i="61" s="1"/>
  <c r="M4" i="50"/>
  <c r="M131" i="50"/>
  <c r="M121" i="50"/>
  <c r="M124" i="50" s="1"/>
  <c r="M96" i="50"/>
  <c r="M132" i="50"/>
  <c r="M47" i="50"/>
  <c r="O89" i="38" l="1"/>
  <c r="M53" i="50"/>
  <c r="M118" i="50" s="1"/>
  <c r="M16" i="61"/>
  <c r="M38" i="50"/>
  <c r="M46" i="50"/>
  <c r="M114" i="50" s="1"/>
  <c r="O43" i="38"/>
  <c r="O40" i="38" s="1"/>
  <c r="J62" i="17"/>
  <c r="J22" i="17"/>
  <c r="J34" i="17" s="1"/>
  <c r="O35" i="38"/>
  <c r="J33" i="17"/>
  <c r="M123" i="50"/>
  <c r="K114" i="17"/>
  <c r="J117" i="17"/>
  <c r="K62" i="17"/>
  <c r="M133" i="50"/>
  <c r="O65" i="38"/>
  <c r="O6" i="38"/>
  <c r="K13" i="17"/>
  <c r="K15" i="17" s="1"/>
  <c r="K11" i="17"/>
  <c r="M110" i="50"/>
  <c r="J86" i="17"/>
  <c r="J114" i="17"/>
  <c r="J50" i="17"/>
  <c r="J112" i="17" s="1"/>
  <c r="K33" i="17"/>
  <c r="J11" i="17"/>
  <c r="K34" i="17"/>
  <c r="K30" i="17"/>
  <c r="K32" i="17"/>
  <c r="K31" i="17"/>
  <c r="K54" i="17"/>
  <c r="K112" i="17"/>
  <c r="K51" i="17"/>
  <c r="K55" i="17" s="1"/>
  <c r="J31" i="17"/>
  <c r="K45" i="17"/>
  <c r="J32" i="17"/>
  <c r="J60" i="17"/>
  <c r="O19" i="38"/>
  <c r="O67" i="38"/>
  <c r="O13" i="38"/>
  <c r="P40" i="38"/>
  <c r="P89" i="38" s="1"/>
  <c r="P18" i="38"/>
  <c r="P17" i="38" s="1"/>
  <c r="P66" i="38" s="1"/>
  <c r="P92" i="38"/>
  <c r="P16" i="38"/>
  <c r="M134" i="50"/>
  <c r="I39" i="72"/>
  <c r="I41" i="72" s="1"/>
  <c r="AZ50" i="71"/>
  <c r="BB50" i="71"/>
  <c r="BD50" i="71"/>
  <c r="BF50" i="71"/>
  <c r="BL50" i="71"/>
  <c r="BN50" i="71"/>
  <c r="BP50" i="71"/>
  <c r="BR50" i="71"/>
  <c r="BT50" i="71"/>
  <c r="BV50" i="71"/>
  <c r="BV52" i="71" s="1"/>
  <c r="BX50" i="71"/>
  <c r="BZ50" i="71"/>
  <c r="BZ52" i="71" s="1"/>
  <c r="CB50" i="71"/>
  <c r="CD50" i="71"/>
  <c r="CF50" i="71"/>
  <c r="CF52" i="71" s="1"/>
  <c r="CH50" i="71"/>
  <c r="CJ50" i="71"/>
  <c r="CJ52" i="71" s="1"/>
  <c r="CL50" i="71"/>
  <c r="CN50" i="71"/>
  <c r="CN52" i="71" s="1"/>
  <c r="CP50" i="71"/>
  <c r="CR50" i="71"/>
  <c r="CT50" i="71"/>
  <c r="O66" i="38" l="1"/>
  <c r="O98" i="38" s="1"/>
  <c r="K116" i="17"/>
  <c r="P65" i="38"/>
  <c r="P98" i="38" s="1"/>
  <c r="P49" i="38"/>
  <c r="M90" i="50"/>
  <c r="O18" i="38"/>
  <c r="O17" i="38" s="1"/>
  <c r="O16" i="38"/>
  <c r="O49" i="38" s="1"/>
  <c r="K115" i="17"/>
  <c r="P67" i="38"/>
  <c r="M104" i="50"/>
  <c r="J54" i="17"/>
  <c r="J116" i="17"/>
  <c r="K113" i="17"/>
  <c r="N8" i="10"/>
  <c r="N9" i="10"/>
  <c r="N10" i="10"/>
  <c r="N11" i="10"/>
  <c r="N12" i="10"/>
  <c r="N14" i="10"/>
  <c r="N15" i="10"/>
  <c r="N16" i="10"/>
  <c r="N17" i="10"/>
  <c r="N18" i="10"/>
  <c r="N19" i="10"/>
  <c r="N20" i="10"/>
  <c r="N21" i="10"/>
  <c r="N24" i="10"/>
  <c r="N25" i="10"/>
  <c r="N27" i="10"/>
  <c r="N32" i="10"/>
  <c r="N33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1" i="10"/>
  <c r="N52" i="10"/>
  <c r="N53" i="10"/>
  <c r="N54" i="10"/>
  <c r="N57" i="10"/>
  <c r="N58" i="10"/>
  <c r="N59" i="10"/>
  <c r="N60" i="10"/>
  <c r="N61" i="10"/>
  <c r="N63" i="10"/>
  <c r="N65" i="10"/>
  <c r="N66" i="10"/>
  <c r="N67" i="10"/>
  <c r="N68" i="10"/>
  <c r="N69" i="10"/>
  <c r="N70" i="10"/>
  <c r="N71" i="10"/>
  <c r="N72" i="10"/>
  <c r="N73" i="10"/>
  <c r="N74" i="10"/>
  <c r="N76" i="10"/>
  <c r="N77" i="10"/>
  <c r="N80" i="10"/>
  <c r="N81" i="10"/>
  <c r="N87" i="10"/>
  <c r="N88" i="10"/>
  <c r="N89" i="10"/>
  <c r="N93" i="10"/>
  <c r="N94" i="10"/>
  <c r="N95" i="10"/>
  <c r="N96" i="10"/>
  <c r="N97" i="10"/>
  <c r="N98" i="10"/>
  <c r="N99" i="10"/>
  <c r="N100" i="10"/>
  <c r="N101" i="10"/>
  <c r="N102" i="10"/>
  <c r="N103" i="10"/>
  <c r="N105" i="10"/>
  <c r="N106" i="10"/>
  <c r="N107" i="10"/>
  <c r="N108" i="10"/>
  <c r="N109" i="10"/>
  <c r="N110" i="10"/>
  <c r="N112" i="10"/>
  <c r="N113" i="10"/>
  <c r="N114" i="10"/>
  <c r="N115" i="10"/>
  <c r="N117" i="10"/>
  <c r="N118" i="10"/>
  <c r="N119" i="10"/>
  <c r="N120" i="10"/>
  <c r="N121" i="10"/>
  <c r="N123" i="10"/>
  <c r="N124" i="10"/>
  <c r="N125" i="10"/>
  <c r="N126" i="10"/>
  <c r="N128" i="10"/>
  <c r="N129" i="10"/>
  <c r="N131" i="10"/>
  <c r="N132" i="10"/>
  <c r="N133" i="10"/>
  <c r="N134" i="10"/>
  <c r="N135" i="10"/>
  <c r="AB135" i="10" s="1"/>
  <c r="AF135" i="10" s="1"/>
  <c r="AJ135" i="10" s="1"/>
  <c r="AP135" i="10" s="1"/>
  <c r="AT135" i="10" s="1"/>
  <c r="AX135" i="10" s="1"/>
  <c r="N136" i="10"/>
  <c r="AB136" i="10" s="1"/>
  <c r="AF136" i="10" s="1"/>
  <c r="AJ136" i="10" s="1"/>
  <c r="AP136" i="10" s="1"/>
  <c r="AT136" i="10" s="1"/>
  <c r="AX136" i="10" s="1"/>
  <c r="N137" i="10"/>
  <c r="AB137" i="10" s="1"/>
  <c r="AF137" i="10" s="1"/>
  <c r="AJ137" i="10" s="1"/>
  <c r="AP137" i="10" s="1"/>
  <c r="AT137" i="10" s="1"/>
  <c r="AX137" i="10" s="1"/>
  <c r="N138" i="10"/>
  <c r="AB138" i="10" s="1"/>
  <c r="AF138" i="10" s="1"/>
  <c r="AJ138" i="10" s="1"/>
  <c r="AP138" i="10" s="1"/>
  <c r="AT138" i="10" s="1"/>
  <c r="AX138" i="10" s="1"/>
  <c r="N139" i="10"/>
  <c r="AB139" i="10" s="1"/>
  <c r="AF139" i="10" s="1"/>
  <c r="AJ139" i="10" s="1"/>
  <c r="AP139" i="10" s="1"/>
  <c r="AT139" i="10" s="1"/>
  <c r="AX139" i="10" s="1"/>
  <c r="N140" i="10"/>
  <c r="AB140" i="10" s="1"/>
  <c r="AF140" i="10" s="1"/>
  <c r="AJ140" i="10" s="1"/>
  <c r="AP140" i="10" s="1"/>
  <c r="AT140" i="10" s="1"/>
  <c r="AX140" i="10" s="1"/>
  <c r="N141" i="10"/>
  <c r="AB141" i="10" s="1"/>
  <c r="AF141" i="10" s="1"/>
  <c r="AJ141" i="10" s="1"/>
  <c r="AP141" i="10" s="1"/>
  <c r="AT141" i="10" s="1"/>
  <c r="AX141" i="10" s="1"/>
  <c r="N142" i="10"/>
  <c r="AB142" i="10" s="1"/>
  <c r="AF142" i="10" s="1"/>
  <c r="AJ142" i="10" s="1"/>
  <c r="AP142" i="10" s="1"/>
  <c r="AT142" i="10" s="1"/>
  <c r="AX142" i="10" s="1"/>
  <c r="N144" i="10"/>
  <c r="AB144" i="10" s="1"/>
  <c r="AF144" i="10" s="1"/>
  <c r="AJ144" i="10" s="1"/>
  <c r="AP144" i="10" s="1"/>
  <c r="AT144" i="10" s="1"/>
  <c r="AX144" i="10" s="1"/>
  <c r="BF144" i="10" s="1"/>
  <c r="N145" i="10"/>
  <c r="AB145" i="10" s="1"/>
  <c r="AF145" i="10" s="1"/>
  <c r="AJ145" i="10" s="1"/>
  <c r="AP145" i="10" s="1"/>
  <c r="AT145" i="10" s="1"/>
  <c r="AX145" i="10" s="1"/>
  <c r="N146" i="10"/>
  <c r="AB146" i="10" s="1"/>
  <c r="AF146" i="10" s="1"/>
  <c r="AJ146" i="10" s="1"/>
  <c r="AP146" i="10" s="1"/>
  <c r="AT146" i="10" s="1"/>
  <c r="AX146" i="10" s="1"/>
  <c r="N147" i="10"/>
  <c r="AB147" i="10" s="1"/>
  <c r="AF147" i="10" s="1"/>
  <c r="AJ147" i="10" s="1"/>
  <c r="AP147" i="10" s="1"/>
  <c r="AT147" i="10" s="1"/>
  <c r="AX147" i="10" s="1"/>
  <c r="N148" i="10"/>
  <c r="AB148" i="10" s="1"/>
  <c r="AF148" i="10" s="1"/>
  <c r="AJ148" i="10" s="1"/>
  <c r="AP148" i="10" s="1"/>
  <c r="AT148" i="10" s="1"/>
  <c r="AX148" i="10" s="1"/>
  <c r="N149" i="10"/>
  <c r="AB149" i="10" s="1"/>
  <c r="AF149" i="10" s="1"/>
  <c r="AJ149" i="10" s="1"/>
  <c r="AP149" i="10" s="1"/>
  <c r="AT149" i="10" s="1"/>
  <c r="AX149" i="10" s="1"/>
  <c r="N47" i="11"/>
  <c r="AB47" i="11" s="1"/>
  <c r="AF47" i="11" s="1"/>
  <c r="AJ47" i="11" s="1"/>
  <c r="AP47" i="11" s="1"/>
  <c r="N48" i="11"/>
  <c r="AB48" i="11" s="1"/>
  <c r="AF48" i="11" s="1"/>
  <c r="AJ48" i="11" s="1"/>
  <c r="AP48" i="11" s="1"/>
  <c r="N8" i="11"/>
  <c r="N11" i="11"/>
  <c r="N12" i="11"/>
  <c r="N13" i="11"/>
  <c r="N14" i="11"/>
  <c r="N15" i="11"/>
  <c r="N16" i="11"/>
  <c r="N17" i="11"/>
  <c r="N18" i="11"/>
  <c r="N19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AB40" i="11" s="1"/>
  <c r="AF40" i="11" s="1"/>
  <c r="AJ40" i="11" s="1"/>
  <c r="AP40" i="11" s="1"/>
  <c r="M125" i="45"/>
  <c r="M124" i="45"/>
  <c r="M122" i="45"/>
  <c r="M116" i="45"/>
  <c r="M117" i="45" s="1"/>
  <c r="M111" i="45"/>
  <c r="L111" i="45"/>
  <c r="M109" i="45"/>
  <c r="L109" i="45"/>
  <c r="M108" i="45"/>
  <c r="L108" i="45"/>
  <c r="M106" i="45"/>
  <c r="L106" i="45"/>
  <c r="M104" i="45"/>
  <c r="L104" i="45"/>
  <c r="M102" i="45"/>
  <c r="L102" i="45"/>
  <c r="M99" i="45"/>
  <c r="M100" i="45" s="1"/>
  <c r="L99" i="45"/>
  <c r="L100" i="45" s="1"/>
  <c r="M90" i="45"/>
  <c r="M89" i="45"/>
  <c r="L89" i="45"/>
  <c r="L92" i="45" s="1"/>
  <c r="M88" i="45"/>
  <c r="L88" i="11"/>
  <c r="L86" i="11"/>
  <c r="L80" i="11"/>
  <c r="L87" i="11" s="1"/>
  <c r="L75" i="11"/>
  <c r="K75" i="11"/>
  <c r="L73" i="11"/>
  <c r="K73" i="11"/>
  <c r="L72" i="11"/>
  <c r="K72" i="11"/>
  <c r="L70" i="11"/>
  <c r="K70" i="11"/>
  <c r="L68" i="11"/>
  <c r="K68" i="11"/>
  <c r="L66" i="11"/>
  <c r="K66" i="11"/>
  <c r="L63" i="11"/>
  <c r="L64" i="11" s="1"/>
  <c r="K63" i="11"/>
  <c r="K64" i="11" s="1"/>
  <c r="L56" i="11"/>
  <c r="L54" i="11"/>
  <c r="L90" i="11" s="1"/>
  <c r="L53" i="11"/>
  <c r="K53" i="11"/>
  <c r="K55" i="11" s="1"/>
  <c r="L52" i="11"/>
  <c r="L89" i="11" s="1"/>
  <c r="L182" i="10"/>
  <c r="L180" i="10"/>
  <c r="L174" i="10"/>
  <c r="L175" i="10" s="1"/>
  <c r="L169" i="10"/>
  <c r="K169" i="10"/>
  <c r="L167" i="10"/>
  <c r="K167" i="10"/>
  <c r="L166" i="10"/>
  <c r="K166" i="10"/>
  <c r="L164" i="10"/>
  <c r="K164" i="10"/>
  <c r="L162" i="10"/>
  <c r="K162" i="10"/>
  <c r="L160" i="10"/>
  <c r="K160" i="10"/>
  <c r="L157" i="10"/>
  <c r="L158" i="10" s="1"/>
  <c r="K157" i="10"/>
  <c r="K158" i="10" s="1"/>
  <c r="L152" i="10"/>
  <c r="L176" i="10" s="1"/>
  <c r="K151" i="10"/>
  <c r="K153" i="10" s="1"/>
  <c r="L150" i="10"/>
  <c r="M29" i="9"/>
  <c r="L147" i="9"/>
  <c r="L148" i="9" s="1"/>
  <c r="K104" i="9"/>
  <c r="K102" i="9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51" i="9"/>
  <c r="K47" i="9"/>
  <c r="L46" i="9"/>
  <c r="L36" i="9"/>
  <c r="K95" i="90" s="1"/>
  <c r="L35" i="9"/>
  <c r="L47" i="9" s="1"/>
  <c r="L34" i="9"/>
  <c r="L31" i="9"/>
  <c r="L25" i="9"/>
  <c r="K24" i="9"/>
  <c r="K22" i="9"/>
  <c r="L19" i="9"/>
  <c r="L39" i="36" s="1"/>
  <c r="L10" i="9"/>
  <c r="L5" i="9"/>
  <c r="K5" i="9"/>
  <c r="K25" i="9" l="1"/>
  <c r="K88" i="9" s="1"/>
  <c r="M126" i="45"/>
  <c r="M118" i="45"/>
  <c r="K117" i="17"/>
  <c r="M127" i="50"/>
  <c r="AX152" i="10"/>
  <c r="AX176" i="10" s="1"/>
  <c r="AJ152" i="10"/>
  <c r="AG55" i="45"/>
  <c r="AK55" i="45" s="1"/>
  <c r="AQ55" i="45" s="1"/>
  <c r="AU55" i="45" s="1"/>
  <c r="AY55" i="45" s="1"/>
  <c r="AG49" i="45"/>
  <c r="AK49" i="45" s="1"/>
  <c r="AQ49" i="45" s="1"/>
  <c r="AU49" i="45" s="1"/>
  <c r="AY49" i="45" s="1"/>
  <c r="AG29" i="45"/>
  <c r="AK29" i="45" s="1"/>
  <c r="AQ29" i="45" s="1"/>
  <c r="AU29" i="45" s="1"/>
  <c r="AY29" i="45" s="1"/>
  <c r="AG48" i="45"/>
  <c r="AK48" i="45" s="1"/>
  <c r="AQ48" i="45" s="1"/>
  <c r="AU48" i="45" s="1"/>
  <c r="AY48" i="45" s="1"/>
  <c r="AG41" i="45"/>
  <c r="AK41" i="45" s="1"/>
  <c r="AQ41" i="45" s="1"/>
  <c r="AU41" i="45" s="1"/>
  <c r="AY41" i="45" s="1"/>
  <c r="AG21" i="45"/>
  <c r="AK21" i="45" s="1"/>
  <c r="AQ21" i="45" s="1"/>
  <c r="AU21" i="45" s="1"/>
  <c r="AY21" i="45" s="1"/>
  <c r="AG52" i="45"/>
  <c r="AK52" i="45" s="1"/>
  <c r="AQ52" i="45" s="1"/>
  <c r="AU52" i="45" s="1"/>
  <c r="AY52" i="45" s="1"/>
  <c r="AG40" i="45"/>
  <c r="AK40" i="45" s="1"/>
  <c r="AQ40" i="45" s="1"/>
  <c r="AU40" i="45" s="1"/>
  <c r="AY40" i="45" s="1"/>
  <c r="AG31" i="45"/>
  <c r="AK31" i="45" s="1"/>
  <c r="AQ31" i="45" s="1"/>
  <c r="AU31" i="45" s="1"/>
  <c r="AY31" i="45" s="1"/>
  <c r="AB39" i="11"/>
  <c r="AF39" i="11" s="1"/>
  <c r="AJ39" i="11" s="1"/>
  <c r="AP39" i="11" s="1"/>
  <c r="R39" i="11"/>
  <c r="V39" i="11" s="1"/>
  <c r="AB33" i="11"/>
  <c r="AF33" i="11" s="1"/>
  <c r="AJ33" i="11" s="1"/>
  <c r="AP33" i="11" s="1"/>
  <c r="R33" i="11"/>
  <c r="V33" i="11" s="1"/>
  <c r="R27" i="11"/>
  <c r="V27" i="11" s="1"/>
  <c r="AB27" i="11"/>
  <c r="AF27" i="11" s="1"/>
  <c r="AJ27" i="11" s="1"/>
  <c r="AP27" i="11" s="1"/>
  <c r="AB21" i="11"/>
  <c r="AF21" i="11" s="1"/>
  <c r="AJ21" i="11" s="1"/>
  <c r="AP21" i="11" s="1"/>
  <c r="R21" i="11"/>
  <c r="V21" i="11" s="1"/>
  <c r="AB14" i="11"/>
  <c r="AF14" i="11" s="1"/>
  <c r="AJ14" i="11" s="1"/>
  <c r="AP14" i="11" s="1"/>
  <c r="R14" i="11"/>
  <c r="V14" i="11" s="1"/>
  <c r="AB38" i="11"/>
  <c r="AF38" i="11" s="1"/>
  <c r="AJ38" i="11" s="1"/>
  <c r="AP38" i="11" s="1"/>
  <c r="R38" i="11"/>
  <c r="V38" i="11" s="1"/>
  <c r="AB32" i="11"/>
  <c r="AF32" i="11" s="1"/>
  <c r="AJ32" i="11" s="1"/>
  <c r="AP32" i="11" s="1"/>
  <c r="R32" i="11"/>
  <c r="V32" i="11" s="1"/>
  <c r="AB26" i="11"/>
  <c r="AF26" i="11" s="1"/>
  <c r="AJ26" i="11" s="1"/>
  <c r="AP26" i="11" s="1"/>
  <c r="R26" i="11"/>
  <c r="V26" i="11" s="1"/>
  <c r="AB19" i="11"/>
  <c r="AF19" i="11" s="1"/>
  <c r="AJ19" i="11" s="1"/>
  <c r="AP19" i="11" s="1"/>
  <c r="R19" i="11"/>
  <c r="V19" i="11" s="1"/>
  <c r="AB13" i="11"/>
  <c r="AF13" i="11" s="1"/>
  <c r="AJ13" i="11" s="1"/>
  <c r="AP13" i="11" s="1"/>
  <c r="R13" i="11"/>
  <c r="V13" i="11" s="1"/>
  <c r="AB37" i="11"/>
  <c r="AF37" i="11" s="1"/>
  <c r="AJ37" i="11" s="1"/>
  <c r="AP37" i="11" s="1"/>
  <c r="R37" i="11"/>
  <c r="V37" i="11" s="1"/>
  <c r="AB31" i="11"/>
  <c r="AF31" i="11" s="1"/>
  <c r="AJ31" i="11" s="1"/>
  <c r="AP31" i="11" s="1"/>
  <c r="R31" i="11"/>
  <c r="V31" i="11" s="1"/>
  <c r="AB25" i="11"/>
  <c r="AF25" i="11" s="1"/>
  <c r="AJ25" i="11" s="1"/>
  <c r="AP25" i="11" s="1"/>
  <c r="R25" i="11"/>
  <c r="V25" i="11" s="1"/>
  <c r="AB18" i="11"/>
  <c r="AF18" i="11" s="1"/>
  <c r="AJ18" i="11" s="1"/>
  <c r="AP18" i="11" s="1"/>
  <c r="R18" i="11"/>
  <c r="V18" i="11" s="1"/>
  <c r="AB12" i="11"/>
  <c r="AF12" i="11" s="1"/>
  <c r="AJ12" i="11" s="1"/>
  <c r="AP12" i="11" s="1"/>
  <c r="R12" i="11"/>
  <c r="V12" i="11" s="1"/>
  <c r="AB36" i="11"/>
  <c r="AF36" i="11" s="1"/>
  <c r="AJ36" i="11" s="1"/>
  <c r="AP36" i="11" s="1"/>
  <c r="R36" i="11"/>
  <c r="V36" i="11" s="1"/>
  <c r="AB30" i="11"/>
  <c r="AF30" i="11" s="1"/>
  <c r="AJ30" i="11" s="1"/>
  <c r="AP30" i="11" s="1"/>
  <c r="R30" i="11"/>
  <c r="V30" i="11" s="1"/>
  <c r="AB24" i="11"/>
  <c r="AF24" i="11" s="1"/>
  <c r="AJ24" i="11" s="1"/>
  <c r="AP24" i="11" s="1"/>
  <c r="R24" i="11"/>
  <c r="V24" i="11" s="1"/>
  <c r="AB17" i="11"/>
  <c r="AF17" i="11" s="1"/>
  <c r="AJ17" i="11" s="1"/>
  <c r="AP17" i="11" s="1"/>
  <c r="R17" i="11"/>
  <c r="V17" i="11" s="1"/>
  <c r="AB11" i="11"/>
  <c r="AF11" i="11" s="1"/>
  <c r="AJ11" i="11" s="1"/>
  <c r="AP11" i="11" s="1"/>
  <c r="R11" i="11"/>
  <c r="V11" i="11" s="1"/>
  <c r="AB35" i="11"/>
  <c r="AF35" i="11" s="1"/>
  <c r="AJ35" i="11" s="1"/>
  <c r="AP35" i="11" s="1"/>
  <c r="R35" i="11"/>
  <c r="V35" i="11" s="1"/>
  <c r="AB29" i="11"/>
  <c r="AF29" i="11" s="1"/>
  <c r="AJ29" i="11" s="1"/>
  <c r="AP29" i="11" s="1"/>
  <c r="R29" i="11"/>
  <c r="V29" i="11" s="1"/>
  <c r="AB23" i="11"/>
  <c r="AF23" i="11" s="1"/>
  <c r="AJ23" i="11" s="1"/>
  <c r="AP23" i="11" s="1"/>
  <c r="R23" i="11"/>
  <c r="V23" i="11" s="1"/>
  <c r="AB16" i="11"/>
  <c r="AF16" i="11" s="1"/>
  <c r="AJ16" i="11" s="1"/>
  <c r="AP16" i="11" s="1"/>
  <c r="R16" i="11"/>
  <c r="V16" i="11" s="1"/>
  <c r="AB9" i="11"/>
  <c r="AF9" i="11" s="1"/>
  <c r="AJ9" i="11" s="1"/>
  <c r="AP9" i="11" s="1"/>
  <c r="R9" i="11"/>
  <c r="V9" i="11" s="1"/>
  <c r="AB34" i="11"/>
  <c r="AF34" i="11" s="1"/>
  <c r="AJ34" i="11" s="1"/>
  <c r="AP34" i="11" s="1"/>
  <c r="R34" i="11"/>
  <c r="V34" i="11" s="1"/>
  <c r="AB28" i="11"/>
  <c r="AF28" i="11" s="1"/>
  <c r="AJ28" i="11" s="1"/>
  <c r="AP28" i="11" s="1"/>
  <c r="R28" i="11"/>
  <c r="V28" i="11" s="1"/>
  <c r="AB22" i="11"/>
  <c r="AF22" i="11" s="1"/>
  <c r="AJ22" i="11" s="1"/>
  <c r="AP22" i="11" s="1"/>
  <c r="R22" i="11"/>
  <c r="V22" i="11" s="1"/>
  <c r="AB15" i="11"/>
  <c r="AF15" i="11" s="1"/>
  <c r="AJ15" i="11" s="1"/>
  <c r="AP15" i="11" s="1"/>
  <c r="R15" i="11"/>
  <c r="V15" i="11" s="1"/>
  <c r="AB8" i="11"/>
  <c r="AF8" i="11" s="1"/>
  <c r="AJ8" i="11" s="1"/>
  <c r="R8" i="11"/>
  <c r="V8" i="11" s="1"/>
  <c r="R120" i="10"/>
  <c r="V120" i="10" s="1"/>
  <c r="R132" i="10"/>
  <c r="V132" i="10" s="1"/>
  <c r="AB132" i="10"/>
  <c r="AF132" i="10" s="1"/>
  <c r="AJ132" i="10" s="1"/>
  <c r="AP132" i="10" s="1"/>
  <c r="AT132" i="10" s="1"/>
  <c r="AX132" i="10" s="1"/>
  <c r="R124" i="10"/>
  <c r="V124" i="10" s="1"/>
  <c r="AB124" i="10"/>
  <c r="AF124" i="10" s="1"/>
  <c r="AJ124" i="10" s="1"/>
  <c r="AP124" i="10" s="1"/>
  <c r="AT124" i="10" s="1"/>
  <c r="AX124" i="10" s="1"/>
  <c r="BF124" i="10" s="1"/>
  <c r="R117" i="10"/>
  <c r="V117" i="10" s="1"/>
  <c r="AB117" i="10"/>
  <c r="AF117" i="10" s="1"/>
  <c r="AJ117" i="10" s="1"/>
  <c r="AP117" i="10" s="1"/>
  <c r="AT117" i="10" s="1"/>
  <c r="AX117" i="10" s="1"/>
  <c r="BF117" i="10" s="1"/>
  <c r="R109" i="10"/>
  <c r="V109" i="10" s="1"/>
  <c r="AB109" i="10"/>
  <c r="AF109" i="10" s="1"/>
  <c r="AJ109" i="10" s="1"/>
  <c r="AP109" i="10" s="1"/>
  <c r="AT109" i="10" s="1"/>
  <c r="AX109" i="10" s="1"/>
  <c r="BF109" i="10" s="1"/>
  <c r="R102" i="10"/>
  <c r="V102" i="10" s="1"/>
  <c r="AB102" i="10"/>
  <c r="AF102" i="10" s="1"/>
  <c r="AJ102" i="10" s="1"/>
  <c r="AP102" i="10" s="1"/>
  <c r="AT102" i="10" s="1"/>
  <c r="AX102" i="10" s="1"/>
  <c r="BF102" i="10" s="1"/>
  <c r="R96" i="10"/>
  <c r="V96" i="10" s="1"/>
  <c r="AB96" i="10"/>
  <c r="AF96" i="10" s="1"/>
  <c r="AJ96" i="10" s="1"/>
  <c r="AP96" i="10" s="1"/>
  <c r="AT96" i="10" s="1"/>
  <c r="AX96" i="10" s="1"/>
  <c r="BF96" i="10" s="1"/>
  <c r="R87" i="10"/>
  <c r="V87" i="10" s="1"/>
  <c r="AB87" i="10"/>
  <c r="AF87" i="10" s="1"/>
  <c r="AJ87" i="10" s="1"/>
  <c r="AP87" i="10" s="1"/>
  <c r="AT87" i="10" s="1"/>
  <c r="AX87" i="10" s="1"/>
  <c r="BF87" i="10" s="1"/>
  <c r="R128" i="10"/>
  <c r="V128" i="10" s="1"/>
  <c r="AB128" i="10"/>
  <c r="AF128" i="10" s="1"/>
  <c r="AJ128" i="10" s="1"/>
  <c r="AP128" i="10" s="1"/>
  <c r="AT128" i="10" s="1"/>
  <c r="AX128" i="10" s="1"/>
  <c r="BF128" i="10" s="1"/>
  <c r="R93" i="10"/>
  <c r="V93" i="10" s="1"/>
  <c r="AB93" i="10"/>
  <c r="AF93" i="10" s="1"/>
  <c r="AJ93" i="10" s="1"/>
  <c r="AP93" i="10" s="1"/>
  <c r="AT93" i="10" s="1"/>
  <c r="AX93" i="10" s="1"/>
  <c r="BF93" i="10" s="1"/>
  <c r="R131" i="10"/>
  <c r="V131" i="10" s="1"/>
  <c r="AB131" i="10"/>
  <c r="AF131" i="10" s="1"/>
  <c r="AJ131" i="10" s="1"/>
  <c r="AP131" i="10" s="1"/>
  <c r="AT131" i="10" s="1"/>
  <c r="AX131" i="10" s="1"/>
  <c r="R123" i="10"/>
  <c r="V123" i="10" s="1"/>
  <c r="AB123" i="10"/>
  <c r="AF123" i="10" s="1"/>
  <c r="AJ123" i="10" s="1"/>
  <c r="AP123" i="10" s="1"/>
  <c r="AT123" i="10" s="1"/>
  <c r="AX123" i="10" s="1"/>
  <c r="BF123" i="10" s="1"/>
  <c r="R115" i="10"/>
  <c r="V115" i="10" s="1"/>
  <c r="AB115" i="10"/>
  <c r="AF115" i="10" s="1"/>
  <c r="AJ115" i="10" s="1"/>
  <c r="AP115" i="10" s="1"/>
  <c r="AT115" i="10" s="1"/>
  <c r="AX115" i="10" s="1"/>
  <c r="BF115" i="10" s="1"/>
  <c r="R108" i="10"/>
  <c r="V108" i="10" s="1"/>
  <c r="AB108" i="10"/>
  <c r="AF108" i="10" s="1"/>
  <c r="AJ108" i="10" s="1"/>
  <c r="AP108" i="10" s="1"/>
  <c r="AT108" i="10" s="1"/>
  <c r="AX108" i="10" s="1"/>
  <c r="BF108" i="10" s="1"/>
  <c r="R101" i="10"/>
  <c r="V101" i="10" s="1"/>
  <c r="AB101" i="10"/>
  <c r="AF101" i="10" s="1"/>
  <c r="AJ101" i="10" s="1"/>
  <c r="AP101" i="10" s="1"/>
  <c r="AT101" i="10" s="1"/>
  <c r="AX101" i="10" s="1"/>
  <c r="BF101" i="10" s="1"/>
  <c r="R95" i="10"/>
  <c r="V95" i="10" s="1"/>
  <c r="AB95" i="10"/>
  <c r="AF95" i="10" s="1"/>
  <c r="AJ95" i="10" s="1"/>
  <c r="AP95" i="10" s="1"/>
  <c r="AT95" i="10" s="1"/>
  <c r="AX95" i="10" s="1"/>
  <c r="BF95" i="10" s="1"/>
  <c r="R81" i="10"/>
  <c r="V81" i="10" s="1"/>
  <c r="AB81" i="10"/>
  <c r="AF81" i="10" s="1"/>
  <c r="AJ81" i="10" s="1"/>
  <c r="AP81" i="10" s="1"/>
  <c r="AT81" i="10" s="1"/>
  <c r="AX81" i="10" s="1"/>
  <c r="BF81" i="10" s="1"/>
  <c r="R106" i="10"/>
  <c r="V106" i="10" s="1"/>
  <c r="AB106" i="10"/>
  <c r="AF106" i="10" s="1"/>
  <c r="AJ106" i="10" s="1"/>
  <c r="AP106" i="10" s="1"/>
  <c r="AT106" i="10" s="1"/>
  <c r="AX106" i="10" s="1"/>
  <c r="BF106" i="10" s="1"/>
  <c r="R129" i="10"/>
  <c r="V129" i="10" s="1"/>
  <c r="AB129" i="10"/>
  <c r="AF129" i="10" s="1"/>
  <c r="AJ129" i="10" s="1"/>
  <c r="AP129" i="10" s="1"/>
  <c r="AT129" i="10" s="1"/>
  <c r="AX129" i="10" s="1"/>
  <c r="BF129" i="10" s="1"/>
  <c r="R121" i="10"/>
  <c r="V121" i="10" s="1"/>
  <c r="AB121" i="10"/>
  <c r="AF121" i="10" s="1"/>
  <c r="AJ121" i="10" s="1"/>
  <c r="AP121" i="10" s="1"/>
  <c r="AT121" i="10" s="1"/>
  <c r="AX121" i="10" s="1"/>
  <c r="R114" i="10"/>
  <c r="V114" i="10" s="1"/>
  <c r="AB114" i="10"/>
  <c r="AF114" i="10" s="1"/>
  <c r="AJ114" i="10" s="1"/>
  <c r="AP114" i="10" s="1"/>
  <c r="AT114" i="10" s="1"/>
  <c r="AX114" i="10" s="1"/>
  <c r="BF114" i="10" s="1"/>
  <c r="R107" i="10"/>
  <c r="V107" i="10" s="1"/>
  <c r="AB107" i="10"/>
  <c r="AF107" i="10" s="1"/>
  <c r="AJ107" i="10" s="1"/>
  <c r="AP107" i="10" s="1"/>
  <c r="AT107" i="10" s="1"/>
  <c r="AX107" i="10" s="1"/>
  <c r="BF107" i="10" s="1"/>
  <c r="R100" i="10"/>
  <c r="V100" i="10" s="1"/>
  <c r="AB100" i="10"/>
  <c r="AF100" i="10" s="1"/>
  <c r="AJ100" i="10" s="1"/>
  <c r="AP100" i="10" s="1"/>
  <c r="AT100" i="10" s="1"/>
  <c r="AX100" i="10" s="1"/>
  <c r="BF100" i="10" s="1"/>
  <c r="R94" i="10"/>
  <c r="V94" i="10" s="1"/>
  <c r="AB94" i="10"/>
  <c r="AF94" i="10" s="1"/>
  <c r="AJ94" i="10" s="1"/>
  <c r="AP94" i="10" s="1"/>
  <c r="AT94" i="10" s="1"/>
  <c r="AX94" i="10" s="1"/>
  <c r="BF94" i="10" s="1"/>
  <c r="R134" i="10"/>
  <c r="V134" i="10" s="1"/>
  <c r="AB134" i="10"/>
  <c r="R126" i="10"/>
  <c r="V126" i="10" s="1"/>
  <c r="AB126" i="10"/>
  <c r="AF126" i="10" s="1"/>
  <c r="AJ126" i="10" s="1"/>
  <c r="AP126" i="10" s="1"/>
  <c r="AT126" i="10" s="1"/>
  <c r="AX126" i="10" s="1"/>
  <c r="BF126" i="10" s="1"/>
  <c r="R119" i="10"/>
  <c r="V119" i="10" s="1"/>
  <c r="AB119" i="10"/>
  <c r="AF119" i="10" s="1"/>
  <c r="AJ119" i="10" s="1"/>
  <c r="AP119" i="10" s="1"/>
  <c r="AT119" i="10" s="1"/>
  <c r="AX119" i="10" s="1"/>
  <c r="R112" i="10"/>
  <c r="V112" i="10" s="1"/>
  <c r="AB112" i="10"/>
  <c r="AF112" i="10" s="1"/>
  <c r="AJ112" i="10" s="1"/>
  <c r="AP112" i="10" s="1"/>
  <c r="AT112" i="10" s="1"/>
  <c r="AX112" i="10" s="1"/>
  <c r="BF112" i="10" s="1"/>
  <c r="R105" i="10"/>
  <c r="V105" i="10" s="1"/>
  <c r="AB105" i="10"/>
  <c r="AF105" i="10" s="1"/>
  <c r="AJ105" i="10" s="1"/>
  <c r="AP105" i="10" s="1"/>
  <c r="AT105" i="10" s="1"/>
  <c r="AX105" i="10" s="1"/>
  <c r="BF105" i="10" s="1"/>
  <c r="R98" i="10"/>
  <c r="V98" i="10" s="1"/>
  <c r="AB98" i="10"/>
  <c r="AF98" i="10" s="1"/>
  <c r="AJ98" i="10" s="1"/>
  <c r="AP98" i="10" s="1"/>
  <c r="AT98" i="10" s="1"/>
  <c r="AX98" i="10" s="1"/>
  <c r="BF98" i="10" s="1"/>
  <c r="R89" i="10"/>
  <c r="V89" i="10" s="1"/>
  <c r="AB89" i="10"/>
  <c r="AF89" i="10" s="1"/>
  <c r="AJ89" i="10" s="1"/>
  <c r="AP89" i="10" s="1"/>
  <c r="AT89" i="10" s="1"/>
  <c r="AX89" i="10" s="1"/>
  <c r="BF89" i="10" s="1"/>
  <c r="R113" i="10"/>
  <c r="V113" i="10" s="1"/>
  <c r="AB113" i="10"/>
  <c r="AF113" i="10" s="1"/>
  <c r="AJ113" i="10" s="1"/>
  <c r="AP113" i="10" s="1"/>
  <c r="AT113" i="10" s="1"/>
  <c r="AX113" i="10" s="1"/>
  <c r="BF113" i="10" s="1"/>
  <c r="R99" i="10"/>
  <c r="V99" i="10" s="1"/>
  <c r="AB99" i="10"/>
  <c r="AF99" i="10" s="1"/>
  <c r="AJ99" i="10" s="1"/>
  <c r="AP99" i="10" s="1"/>
  <c r="AT99" i="10" s="1"/>
  <c r="AX99" i="10" s="1"/>
  <c r="BF99" i="10" s="1"/>
  <c r="R133" i="10"/>
  <c r="V133" i="10" s="1"/>
  <c r="AB133" i="10"/>
  <c r="AF133" i="10" s="1"/>
  <c r="AJ133" i="10" s="1"/>
  <c r="AP133" i="10" s="1"/>
  <c r="AT133" i="10" s="1"/>
  <c r="AX133" i="10" s="1"/>
  <c r="R125" i="10"/>
  <c r="V125" i="10" s="1"/>
  <c r="AB125" i="10"/>
  <c r="AF125" i="10" s="1"/>
  <c r="AJ125" i="10" s="1"/>
  <c r="AP125" i="10" s="1"/>
  <c r="AT125" i="10" s="1"/>
  <c r="AX125" i="10" s="1"/>
  <c r="BF125" i="10" s="1"/>
  <c r="R118" i="10"/>
  <c r="V118" i="10" s="1"/>
  <c r="AB118" i="10"/>
  <c r="AF118" i="10" s="1"/>
  <c r="AJ118" i="10" s="1"/>
  <c r="AP118" i="10" s="1"/>
  <c r="AT118" i="10" s="1"/>
  <c r="AX118" i="10" s="1"/>
  <c r="R110" i="10"/>
  <c r="V110" i="10" s="1"/>
  <c r="AB110" i="10"/>
  <c r="AF110" i="10" s="1"/>
  <c r="AJ110" i="10" s="1"/>
  <c r="AP110" i="10" s="1"/>
  <c r="AT110" i="10" s="1"/>
  <c r="AX110" i="10" s="1"/>
  <c r="BF110" i="10" s="1"/>
  <c r="R103" i="10"/>
  <c r="V103" i="10" s="1"/>
  <c r="AB103" i="10"/>
  <c r="AF103" i="10" s="1"/>
  <c r="AJ103" i="10" s="1"/>
  <c r="AP103" i="10" s="1"/>
  <c r="AT103" i="10" s="1"/>
  <c r="AX103" i="10" s="1"/>
  <c r="BF103" i="10" s="1"/>
  <c r="R97" i="10"/>
  <c r="V97" i="10" s="1"/>
  <c r="AB97" i="10"/>
  <c r="AF97" i="10" s="1"/>
  <c r="AJ97" i="10" s="1"/>
  <c r="AP97" i="10" s="1"/>
  <c r="AT97" i="10" s="1"/>
  <c r="AX97" i="10" s="1"/>
  <c r="BF97" i="10" s="1"/>
  <c r="R88" i="10"/>
  <c r="V88" i="10" s="1"/>
  <c r="AB88" i="10"/>
  <c r="AF88" i="10" s="1"/>
  <c r="AJ88" i="10" s="1"/>
  <c r="AP88" i="10" s="1"/>
  <c r="AT88" i="10" s="1"/>
  <c r="AX88" i="10" s="1"/>
  <c r="BF88" i="10" s="1"/>
  <c r="R59" i="10"/>
  <c r="V59" i="10" s="1"/>
  <c r="AB59" i="10"/>
  <c r="AF59" i="10" s="1"/>
  <c r="AJ59" i="10" s="1"/>
  <c r="AP59" i="10" s="1"/>
  <c r="AT59" i="10" s="1"/>
  <c r="AX59" i="10" s="1"/>
  <c r="BF59" i="10" s="1"/>
  <c r="R51" i="10"/>
  <c r="V51" i="10" s="1"/>
  <c r="AB51" i="10"/>
  <c r="AF51" i="10" s="1"/>
  <c r="AJ51" i="10" s="1"/>
  <c r="AP51" i="10" s="1"/>
  <c r="AT51" i="10" s="1"/>
  <c r="AX51" i="10" s="1"/>
  <c r="BF51" i="10" s="1"/>
  <c r="R44" i="10"/>
  <c r="V44" i="10" s="1"/>
  <c r="AB44" i="10"/>
  <c r="AF44" i="10" s="1"/>
  <c r="AJ44" i="10" s="1"/>
  <c r="AP44" i="10" s="1"/>
  <c r="AT44" i="10" s="1"/>
  <c r="AX44" i="10" s="1"/>
  <c r="BF44" i="10" s="1"/>
  <c r="R72" i="10"/>
  <c r="V72" i="10" s="1"/>
  <c r="AB72" i="10"/>
  <c r="AF72" i="10" s="1"/>
  <c r="AJ72" i="10" s="1"/>
  <c r="AP72" i="10" s="1"/>
  <c r="AT72" i="10" s="1"/>
  <c r="AX72" i="10" s="1"/>
  <c r="BF72" i="10" s="1"/>
  <c r="R66" i="10"/>
  <c r="V66" i="10" s="1"/>
  <c r="AB66" i="10"/>
  <c r="AF66" i="10" s="1"/>
  <c r="AJ66" i="10" s="1"/>
  <c r="AP66" i="10" s="1"/>
  <c r="AT66" i="10" s="1"/>
  <c r="AX66" i="10" s="1"/>
  <c r="BF66" i="10" s="1"/>
  <c r="R58" i="10"/>
  <c r="V58" i="10" s="1"/>
  <c r="AB58" i="10"/>
  <c r="AF58" i="10" s="1"/>
  <c r="AJ58" i="10" s="1"/>
  <c r="AP58" i="10" s="1"/>
  <c r="AT58" i="10" s="1"/>
  <c r="AX58" i="10" s="1"/>
  <c r="BF58" i="10" s="1"/>
  <c r="R49" i="10"/>
  <c r="V49" i="10" s="1"/>
  <c r="AB49" i="10"/>
  <c r="AF49" i="10" s="1"/>
  <c r="AJ49" i="10" s="1"/>
  <c r="AP49" i="10" s="1"/>
  <c r="AT49" i="10" s="1"/>
  <c r="AX49" i="10" s="1"/>
  <c r="BF49" i="10" s="1"/>
  <c r="R43" i="10"/>
  <c r="V43" i="10" s="1"/>
  <c r="AB43" i="10"/>
  <c r="AF43" i="10" s="1"/>
  <c r="AJ43" i="10" s="1"/>
  <c r="AP43" i="10" s="1"/>
  <c r="AT43" i="10" s="1"/>
  <c r="AX43" i="10" s="1"/>
  <c r="BF43" i="10" s="1"/>
  <c r="R37" i="10"/>
  <c r="V37" i="10" s="1"/>
  <c r="AB37" i="10"/>
  <c r="AF37" i="10" s="1"/>
  <c r="AJ37" i="10" s="1"/>
  <c r="AP37" i="10" s="1"/>
  <c r="AT37" i="10" s="1"/>
  <c r="AX37" i="10" s="1"/>
  <c r="BF37" i="10" s="1"/>
  <c r="R25" i="10"/>
  <c r="V25" i="10" s="1"/>
  <c r="AB25" i="10"/>
  <c r="AF25" i="10" s="1"/>
  <c r="AJ25" i="10" s="1"/>
  <c r="AP25" i="10" s="1"/>
  <c r="AT25" i="10" s="1"/>
  <c r="AX25" i="10" s="1"/>
  <c r="BF25" i="10" s="1"/>
  <c r="R17" i="10"/>
  <c r="V17" i="10" s="1"/>
  <c r="AB17" i="10"/>
  <c r="AF17" i="10" s="1"/>
  <c r="AJ17" i="10" s="1"/>
  <c r="AP17" i="10" s="1"/>
  <c r="AT17" i="10" s="1"/>
  <c r="AX17" i="10" s="1"/>
  <c r="BF17" i="10" s="1"/>
  <c r="R10" i="10"/>
  <c r="V10" i="10" s="1"/>
  <c r="AB10" i="10"/>
  <c r="AF10" i="10" s="1"/>
  <c r="AJ10" i="10" s="1"/>
  <c r="AP10" i="10" s="1"/>
  <c r="AT10" i="10" s="1"/>
  <c r="AX10" i="10" s="1"/>
  <c r="BF10" i="10" s="1"/>
  <c r="R73" i="10"/>
  <c r="V73" i="10" s="1"/>
  <c r="AB73" i="10"/>
  <c r="AF73" i="10" s="1"/>
  <c r="AJ73" i="10" s="1"/>
  <c r="AP73" i="10" s="1"/>
  <c r="AT73" i="10" s="1"/>
  <c r="AX73" i="10" s="1"/>
  <c r="BF73" i="10" s="1"/>
  <c r="R11" i="10"/>
  <c r="V11" i="10" s="1"/>
  <c r="AB11" i="10"/>
  <c r="AF11" i="10" s="1"/>
  <c r="AJ11" i="10" s="1"/>
  <c r="AP11" i="10" s="1"/>
  <c r="AT11" i="10" s="1"/>
  <c r="AX11" i="10" s="1"/>
  <c r="BF11" i="10" s="1"/>
  <c r="R80" i="10"/>
  <c r="V80" i="10" s="1"/>
  <c r="AB80" i="10"/>
  <c r="AF80" i="10" s="1"/>
  <c r="AJ80" i="10" s="1"/>
  <c r="AP80" i="10" s="1"/>
  <c r="AT80" i="10" s="1"/>
  <c r="AX80" i="10" s="1"/>
  <c r="BF80" i="10" s="1"/>
  <c r="R71" i="10"/>
  <c r="V71" i="10" s="1"/>
  <c r="AB71" i="10"/>
  <c r="AF71" i="10" s="1"/>
  <c r="AJ71" i="10" s="1"/>
  <c r="AP71" i="10" s="1"/>
  <c r="AT71" i="10" s="1"/>
  <c r="AX71" i="10" s="1"/>
  <c r="BF71" i="10" s="1"/>
  <c r="R65" i="10"/>
  <c r="V65" i="10" s="1"/>
  <c r="AB65" i="10"/>
  <c r="AF65" i="10" s="1"/>
  <c r="AJ65" i="10" s="1"/>
  <c r="AP65" i="10" s="1"/>
  <c r="AT65" i="10" s="1"/>
  <c r="AX65" i="10" s="1"/>
  <c r="BF65" i="10" s="1"/>
  <c r="R57" i="10"/>
  <c r="V57" i="10" s="1"/>
  <c r="AB57" i="10"/>
  <c r="AF57" i="10" s="1"/>
  <c r="AJ57" i="10" s="1"/>
  <c r="AP57" i="10" s="1"/>
  <c r="AT57" i="10" s="1"/>
  <c r="AX57" i="10" s="1"/>
  <c r="BF57" i="10" s="1"/>
  <c r="R48" i="10"/>
  <c r="V48" i="10" s="1"/>
  <c r="AB48" i="10"/>
  <c r="AF48" i="10" s="1"/>
  <c r="AJ48" i="10" s="1"/>
  <c r="AP48" i="10" s="1"/>
  <c r="AT48" i="10" s="1"/>
  <c r="AX48" i="10" s="1"/>
  <c r="BF48" i="10" s="1"/>
  <c r="R42" i="10"/>
  <c r="V42" i="10" s="1"/>
  <c r="AB42" i="10"/>
  <c r="AF42" i="10" s="1"/>
  <c r="AJ42" i="10" s="1"/>
  <c r="AP42" i="10" s="1"/>
  <c r="AT42" i="10" s="1"/>
  <c r="AX42" i="10" s="1"/>
  <c r="BF42" i="10" s="1"/>
  <c r="R36" i="10"/>
  <c r="V36" i="10" s="1"/>
  <c r="AB36" i="10"/>
  <c r="AF36" i="10" s="1"/>
  <c r="AJ36" i="10" s="1"/>
  <c r="AP36" i="10" s="1"/>
  <c r="AT36" i="10" s="1"/>
  <c r="AX36" i="10" s="1"/>
  <c r="BF36" i="10" s="1"/>
  <c r="R24" i="10"/>
  <c r="V24" i="10" s="1"/>
  <c r="AB24" i="10"/>
  <c r="AF24" i="10" s="1"/>
  <c r="AJ24" i="10" s="1"/>
  <c r="AP24" i="10" s="1"/>
  <c r="AT24" i="10" s="1"/>
  <c r="AX24" i="10" s="1"/>
  <c r="BF24" i="10" s="1"/>
  <c r="R16" i="10"/>
  <c r="V16" i="10" s="1"/>
  <c r="AB16" i="10"/>
  <c r="AF16" i="10" s="1"/>
  <c r="AJ16" i="10" s="1"/>
  <c r="AP16" i="10" s="1"/>
  <c r="AT16" i="10" s="1"/>
  <c r="AX16" i="10" s="1"/>
  <c r="BF16" i="10" s="1"/>
  <c r="R9" i="10"/>
  <c r="V9" i="10" s="1"/>
  <c r="AB9" i="10"/>
  <c r="AF9" i="10" s="1"/>
  <c r="AJ9" i="10" s="1"/>
  <c r="AP9" i="10" s="1"/>
  <c r="AT9" i="10" s="1"/>
  <c r="AX9" i="10" s="1"/>
  <c r="BF9" i="10" s="1"/>
  <c r="R67" i="10"/>
  <c r="V67" i="10" s="1"/>
  <c r="AB67" i="10"/>
  <c r="AF67" i="10" s="1"/>
  <c r="AJ67" i="10" s="1"/>
  <c r="AP67" i="10" s="1"/>
  <c r="AT67" i="10" s="1"/>
  <c r="AX67" i="10" s="1"/>
  <c r="BF67" i="10" s="1"/>
  <c r="R18" i="10"/>
  <c r="V18" i="10" s="1"/>
  <c r="AB18" i="10"/>
  <c r="AF18" i="10" s="1"/>
  <c r="AJ18" i="10" s="1"/>
  <c r="AP18" i="10" s="1"/>
  <c r="AT18" i="10" s="1"/>
  <c r="AX18" i="10" s="1"/>
  <c r="BF18" i="10" s="1"/>
  <c r="R77" i="10"/>
  <c r="AB77" i="10"/>
  <c r="AF77" i="10" s="1"/>
  <c r="AJ77" i="10" s="1"/>
  <c r="AP77" i="10" s="1"/>
  <c r="AT77" i="10" s="1"/>
  <c r="AX77" i="10" s="1"/>
  <c r="BF77" i="10" s="1"/>
  <c r="R70" i="10"/>
  <c r="V70" i="10" s="1"/>
  <c r="AB70" i="10"/>
  <c r="AF70" i="10" s="1"/>
  <c r="AJ70" i="10" s="1"/>
  <c r="AP70" i="10" s="1"/>
  <c r="AT70" i="10" s="1"/>
  <c r="AX70" i="10" s="1"/>
  <c r="BF70" i="10" s="1"/>
  <c r="R63" i="10"/>
  <c r="V63" i="10" s="1"/>
  <c r="AB63" i="10"/>
  <c r="AF63" i="10" s="1"/>
  <c r="AJ63" i="10" s="1"/>
  <c r="AP63" i="10" s="1"/>
  <c r="AT63" i="10" s="1"/>
  <c r="AX63" i="10" s="1"/>
  <c r="BF63" i="10" s="1"/>
  <c r="R54" i="10"/>
  <c r="V54" i="10" s="1"/>
  <c r="AB54" i="10"/>
  <c r="AF54" i="10" s="1"/>
  <c r="AJ54" i="10" s="1"/>
  <c r="AP54" i="10" s="1"/>
  <c r="AT54" i="10" s="1"/>
  <c r="AX54" i="10" s="1"/>
  <c r="BF54" i="10" s="1"/>
  <c r="R47" i="10"/>
  <c r="V47" i="10" s="1"/>
  <c r="AB47" i="10"/>
  <c r="AF47" i="10" s="1"/>
  <c r="AJ47" i="10" s="1"/>
  <c r="AP47" i="10" s="1"/>
  <c r="AT47" i="10" s="1"/>
  <c r="AX47" i="10" s="1"/>
  <c r="BF47" i="10" s="1"/>
  <c r="R41" i="10"/>
  <c r="V41" i="10" s="1"/>
  <c r="AB41" i="10"/>
  <c r="AF41" i="10" s="1"/>
  <c r="AJ41" i="10" s="1"/>
  <c r="AP41" i="10" s="1"/>
  <c r="AT41" i="10" s="1"/>
  <c r="AX41" i="10" s="1"/>
  <c r="BF41" i="10" s="1"/>
  <c r="R35" i="10"/>
  <c r="V35" i="10" s="1"/>
  <c r="AB35" i="10"/>
  <c r="AF35" i="10" s="1"/>
  <c r="AJ35" i="10" s="1"/>
  <c r="AP35" i="10" s="1"/>
  <c r="AT35" i="10" s="1"/>
  <c r="AX35" i="10" s="1"/>
  <c r="BF35" i="10" s="1"/>
  <c r="R21" i="10"/>
  <c r="V21" i="10" s="1"/>
  <c r="AB21" i="10"/>
  <c r="AF21" i="10" s="1"/>
  <c r="AJ21" i="10" s="1"/>
  <c r="AP21" i="10" s="1"/>
  <c r="AT21" i="10" s="1"/>
  <c r="AX21" i="10" s="1"/>
  <c r="BF21" i="10" s="1"/>
  <c r="R15" i="10"/>
  <c r="V15" i="10" s="1"/>
  <c r="AB15" i="10"/>
  <c r="AF15" i="10" s="1"/>
  <c r="AJ15" i="10" s="1"/>
  <c r="AP15" i="10" s="1"/>
  <c r="AT15" i="10" s="1"/>
  <c r="AX15" i="10" s="1"/>
  <c r="BF15" i="10" s="1"/>
  <c r="R8" i="10"/>
  <c r="V8" i="10" s="1"/>
  <c r="AB8" i="10"/>
  <c r="AF8" i="10" s="1"/>
  <c r="AJ8" i="10" s="1"/>
  <c r="AP8" i="10" s="1"/>
  <c r="AT8" i="10" s="1"/>
  <c r="AX8" i="10" s="1"/>
  <c r="BF8" i="10" s="1"/>
  <c r="R27" i="10"/>
  <c r="V27" i="10" s="1"/>
  <c r="AB27" i="10"/>
  <c r="AF27" i="10" s="1"/>
  <c r="AJ27" i="10" s="1"/>
  <c r="AP27" i="10" s="1"/>
  <c r="AT27" i="10" s="1"/>
  <c r="AX27" i="10" s="1"/>
  <c r="BF27" i="10" s="1"/>
  <c r="R76" i="10"/>
  <c r="V76" i="10" s="1"/>
  <c r="AB76" i="10"/>
  <c r="AF76" i="10" s="1"/>
  <c r="AJ76" i="10" s="1"/>
  <c r="AP76" i="10" s="1"/>
  <c r="AT76" i="10" s="1"/>
  <c r="AX76" i="10" s="1"/>
  <c r="BF76" i="10" s="1"/>
  <c r="R69" i="10"/>
  <c r="V69" i="10" s="1"/>
  <c r="AB69" i="10"/>
  <c r="AF69" i="10" s="1"/>
  <c r="AJ69" i="10" s="1"/>
  <c r="AP69" i="10" s="1"/>
  <c r="AT69" i="10" s="1"/>
  <c r="AX69" i="10" s="1"/>
  <c r="BF69" i="10" s="1"/>
  <c r="R61" i="10"/>
  <c r="V61" i="10" s="1"/>
  <c r="AB61" i="10"/>
  <c r="AF61" i="10" s="1"/>
  <c r="AJ61" i="10" s="1"/>
  <c r="AP61" i="10" s="1"/>
  <c r="AT61" i="10" s="1"/>
  <c r="AX61" i="10" s="1"/>
  <c r="BF61" i="10" s="1"/>
  <c r="R53" i="10"/>
  <c r="V53" i="10" s="1"/>
  <c r="AB53" i="10"/>
  <c r="AF53" i="10" s="1"/>
  <c r="AJ53" i="10" s="1"/>
  <c r="AP53" i="10" s="1"/>
  <c r="AT53" i="10" s="1"/>
  <c r="AX53" i="10" s="1"/>
  <c r="BF53" i="10" s="1"/>
  <c r="R46" i="10"/>
  <c r="V46" i="10" s="1"/>
  <c r="AB46" i="10"/>
  <c r="AF46" i="10" s="1"/>
  <c r="AJ46" i="10" s="1"/>
  <c r="AP46" i="10" s="1"/>
  <c r="AT46" i="10" s="1"/>
  <c r="AX46" i="10" s="1"/>
  <c r="BF46" i="10" s="1"/>
  <c r="R40" i="10"/>
  <c r="V40" i="10" s="1"/>
  <c r="AB40" i="10"/>
  <c r="AF40" i="10" s="1"/>
  <c r="AJ40" i="10" s="1"/>
  <c r="AP40" i="10" s="1"/>
  <c r="AT40" i="10" s="1"/>
  <c r="AX40" i="10" s="1"/>
  <c r="BF40" i="10" s="1"/>
  <c r="R33" i="10"/>
  <c r="V33" i="10" s="1"/>
  <c r="AB33" i="10"/>
  <c r="AF33" i="10" s="1"/>
  <c r="AJ33" i="10" s="1"/>
  <c r="AP33" i="10" s="1"/>
  <c r="AT33" i="10" s="1"/>
  <c r="AX33" i="10" s="1"/>
  <c r="BF33" i="10" s="1"/>
  <c r="R20" i="10"/>
  <c r="V20" i="10" s="1"/>
  <c r="AB20" i="10"/>
  <c r="AF20" i="10" s="1"/>
  <c r="AJ20" i="10" s="1"/>
  <c r="AP20" i="10" s="1"/>
  <c r="AT20" i="10" s="1"/>
  <c r="AX20" i="10" s="1"/>
  <c r="BF20" i="10" s="1"/>
  <c r="R14" i="10"/>
  <c r="V14" i="10" s="1"/>
  <c r="AB14" i="10"/>
  <c r="AF14" i="10" s="1"/>
  <c r="AJ14" i="10" s="1"/>
  <c r="AP14" i="10" s="1"/>
  <c r="AT14" i="10" s="1"/>
  <c r="AX14" i="10" s="1"/>
  <c r="BF14" i="10" s="1"/>
  <c r="R38" i="10"/>
  <c r="V38" i="10" s="1"/>
  <c r="AB38" i="10"/>
  <c r="AF38" i="10" s="1"/>
  <c r="AJ38" i="10" s="1"/>
  <c r="AP38" i="10" s="1"/>
  <c r="AT38" i="10" s="1"/>
  <c r="AX38" i="10" s="1"/>
  <c r="BF38" i="10" s="1"/>
  <c r="R74" i="10"/>
  <c r="V74" i="10" s="1"/>
  <c r="AB74" i="10"/>
  <c r="AF74" i="10" s="1"/>
  <c r="AJ74" i="10" s="1"/>
  <c r="AP74" i="10" s="1"/>
  <c r="AT74" i="10" s="1"/>
  <c r="AX74" i="10" s="1"/>
  <c r="BF74" i="10" s="1"/>
  <c r="R68" i="10"/>
  <c r="V68" i="10" s="1"/>
  <c r="AB68" i="10"/>
  <c r="AF68" i="10" s="1"/>
  <c r="AJ68" i="10" s="1"/>
  <c r="AP68" i="10" s="1"/>
  <c r="AT68" i="10" s="1"/>
  <c r="AX68" i="10" s="1"/>
  <c r="BF68" i="10" s="1"/>
  <c r="R60" i="10"/>
  <c r="V60" i="10" s="1"/>
  <c r="AB60" i="10"/>
  <c r="AF60" i="10" s="1"/>
  <c r="AJ60" i="10" s="1"/>
  <c r="AP60" i="10" s="1"/>
  <c r="AT60" i="10" s="1"/>
  <c r="AX60" i="10" s="1"/>
  <c r="BF60" i="10" s="1"/>
  <c r="R52" i="10"/>
  <c r="V52" i="10" s="1"/>
  <c r="AB52" i="10"/>
  <c r="AF52" i="10" s="1"/>
  <c r="AJ52" i="10" s="1"/>
  <c r="AP52" i="10" s="1"/>
  <c r="AT52" i="10" s="1"/>
  <c r="AX52" i="10" s="1"/>
  <c r="BF52" i="10" s="1"/>
  <c r="R45" i="10"/>
  <c r="V45" i="10" s="1"/>
  <c r="AB45" i="10"/>
  <c r="AF45" i="10" s="1"/>
  <c r="AJ45" i="10" s="1"/>
  <c r="AP45" i="10" s="1"/>
  <c r="AT45" i="10" s="1"/>
  <c r="AX45" i="10" s="1"/>
  <c r="BF45" i="10" s="1"/>
  <c r="R39" i="10"/>
  <c r="V39" i="10" s="1"/>
  <c r="AB39" i="10"/>
  <c r="AF39" i="10" s="1"/>
  <c r="AJ39" i="10" s="1"/>
  <c r="AP39" i="10" s="1"/>
  <c r="AT39" i="10" s="1"/>
  <c r="AX39" i="10" s="1"/>
  <c r="BF39" i="10" s="1"/>
  <c r="R32" i="10"/>
  <c r="V32" i="10" s="1"/>
  <c r="AB32" i="10"/>
  <c r="AF32" i="10" s="1"/>
  <c r="AJ32" i="10" s="1"/>
  <c r="AP32" i="10" s="1"/>
  <c r="AT32" i="10" s="1"/>
  <c r="AX32" i="10" s="1"/>
  <c r="BF32" i="10" s="1"/>
  <c r="R19" i="10"/>
  <c r="V19" i="10" s="1"/>
  <c r="AB19" i="10"/>
  <c r="AF19" i="10" s="1"/>
  <c r="AJ19" i="10" s="1"/>
  <c r="AP19" i="10" s="1"/>
  <c r="AT19" i="10" s="1"/>
  <c r="AX19" i="10" s="1"/>
  <c r="BF19" i="10" s="1"/>
  <c r="R12" i="10"/>
  <c r="V12" i="10" s="1"/>
  <c r="AB12" i="10"/>
  <c r="AF12" i="10" s="1"/>
  <c r="AJ12" i="10" s="1"/>
  <c r="AP12" i="10" s="1"/>
  <c r="AT12" i="10" s="1"/>
  <c r="AX12" i="10" s="1"/>
  <c r="BF12" i="10" s="1"/>
  <c r="K52" i="11"/>
  <c r="K150" i="10"/>
  <c r="K170" i="10"/>
  <c r="K67" i="9"/>
  <c r="J131" i="26"/>
  <c r="K33" i="22"/>
  <c r="K58" i="9"/>
  <c r="M92" i="45"/>
  <c r="M93" i="45" s="1"/>
  <c r="M117" i="50"/>
  <c r="M119" i="50" s="1"/>
  <c r="L82" i="11"/>
  <c r="L55" i="11"/>
  <c r="M113" i="50"/>
  <c r="M115" i="50" s="1"/>
  <c r="L90" i="9"/>
  <c r="L96" i="9"/>
  <c r="L94" i="9"/>
  <c r="K18" i="15" s="1"/>
  <c r="K131" i="26"/>
  <c r="L33" i="22"/>
  <c r="L48" i="9"/>
  <c r="L49" i="9" s="1"/>
  <c r="L87" i="9" s="1"/>
  <c r="M97" i="50"/>
  <c r="M123" i="45"/>
  <c r="M130" i="45" s="1"/>
  <c r="M127" i="45"/>
  <c r="M128" i="45" s="1"/>
  <c r="L112" i="45"/>
  <c r="L91" i="45"/>
  <c r="M112" i="45"/>
  <c r="L88" i="45"/>
  <c r="M91" i="45"/>
  <c r="L81" i="11"/>
  <c r="L91" i="11"/>
  <c r="L57" i="11"/>
  <c r="L93" i="11"/>
  <c r="K76" i="11"/>
  <c r="K95" i="11"/>
  <c r="L76" i="11"/>
  <c r="L181" i="10"/>
  <c r="L183" i="10"/>
  <c r="L189" i="10"/>
  <c r="L151" i="10"/>
  <c r="M103" i="50" s="1"/>
  <c r="L184" i="10"/>
  <c r="L192" i="10"/>
  <c r="L62" i="9"/>
  <c r="L37" i="9"/>
  <c r="L14" i="9"/>
  <c r="K68" i="9"/>
  <c r="K92" i="9"/>
  <c r="K100" i="9"/>
  <c r="K59" i="9"/>
  <c r="K63" i="9"/>
  <c r="K69" i="9"/>
  <c r="L89" i="9"/>
  <c r="L91" i="9" s="1"/>
  <c r="L100" i="9"/>
  <c r="K55" i="9"/>
  <c r="K64" i="9"/>
  <c r="K70" i="9"/>
  <c r="K56" i="9"/>
  <c r="K65" i="9"/>
  <c r="K95" i="9"/>
  <c r="K27" i="9"/>
  <c r="K61" i="9"/>
  <c r="K66" i="9"/>
  <c r="K7" i="9"/>
  <c r="BG41" i="45" l="1"/>
  <c r="BG48" i="45"/>
  <c r="BG29" i="45"/>
  <c r="BG55" i="45"/>
  <c r="BG31" i="45"/>
  <c r="BG40" i="45"/>
  <c r="BG52" i="45"/>
  <c r="BG21" i="45"/>
  <c r="BG49" i="45"/>
  <c r="AX184" i="10"/>
  <c r="AP8" i="11"/>
  <c r="AJ184" i="10"/>
  <c r="AJ176" i="10"/>
  <c r="V77" i="10"/>
  <c r="K21" i="22"/>
  <c r="K22" i="22" s="1"/>
  <c r="K24" i="22" s="1"/>
  <c r="K25" i="22" s="1"/>
  <c r="K27" i="22" s="1"/>
  <c r="K7" i="22"/>
  <c r="K8" i="22" s="1"/>
  <c r="K10" i="22" s="1"/>
  <c r="K11" i="22" s="1"/>
  <c r="K13" i="22" s="1"/>
  <c r="K60" i="9"/>
  <c r="M106" i="50"/>
  <c r="M111" i="50" s="1"/>
  <c r="M105" i="50"/>
  <c r="L185" i="10"/>
  <c r="L193" i="10"/>
  <c r="L170" i="10"/>
  <c r="L153" i="10"/>
  <c r="L187" i="10"/>
  <c r="K57" i="9"/>
  <c r="L75" i="9"/>
  <c r="L80" i="9"/>
  <c r="L82" i="9"/>
  <c r="L85" i="9"/>
  <c r="L76" i="9"/>
  <c r="L86" i="9"/>
  <c r="L83" i="9"/>
  <c r="L52" i="9"/>
  <c r="L53" i="9"/>
  <c r="L73" i="9"/>
  <c r="L84" i="9"/>
  <c r="L81" i="9"/>
  <c r="L78" i="9"/>
  <c r="L72" i="9"/>
  <c r="K62" i="9" l="1"/>
  <c r="L77" i="9"/>
  <c r="L74" i="9"/>
  <c r="L79" i="9" l="1"/>
  <c r="L108" i="8"/>
  <c r="L109" i="8" s="1"/>
  <c r="L93" i="8"/>
  <c r="L90" i="8"/>
  <c r="K90" i="8"/>
  <c r="L88" i="8"/>
  <c r="K88" i="8"/>
  <c r="L87" i="8"/>
  <c r="K87" i="8"/>
  <c r="K86" i="8"/>
  <c r="K83" i="8"/>
  <c r="K81" i="8"/>
  <c r="K80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61" i="8" s="1"/>
  <c r="K51" i="8"/>
  <c r="L49" i="8"/>
  <c r="K49" i="8"/>
  <c r="K47" i="8"/>
  <c r="K46" i="8"/>
  <c r="K45" i="8"/>
  <c r="K44" i="8"/>
  <c r="K43" i="8"/>
  <c r="K41" i="8"/>
  <c r="K40" i="8"/>
  <c r="K39" i="8"/>
  <c r="L26" i="8"/>
  <c r="L17" i="8"/>
  <c r="K17" i="8"/>
  <c r="L15" i="8"/>
  <c r="K15" i="8"/>
  <c r="K14" i="8"/>
  <c r="L13" i="8"/>
  <c r="L6" i="8"/>
  <c r="L81" i="8" s="1"/>
  <c r="K6" i="8"/>
  <c r="K28" i="8" l="1"/>
  <c r="K68" i="8" s="1"/>
  <c r="K36" i="8" s="1"/>
  <c r="K6" i="49"/>
  <c r="K91" i="8"/>
  <c r="K42" i="8"/>
  <c r="K23" i="8"/>
  <c r="K8" i="49" s="1"/>
  <c r="L16" i="8"/>
  <c r="L39" i="8"/>
  <c r="L45" i="8"/>
  <c r="L91" i="8"/>
  <c r="L110" i="8"/>
  <c r="L111" i="8" s="1"/>
  <c r="L52" i="8" s="1"/>
  <c r="L73" i="8"/>
  <c r="L36" i="8"/>
  <c r="L34" i="8"/>
  <c r="L71" i="8"/>
  <c r="L51" i="8"/>
  <c r="K24" i="8"/>
  <c r="K9" i="49" s="1"/>
  <c r="K29" i="8"/>
  <c r="K25" i="8"/>
  <c r="K17" i="49" s="1"/>
  <c r="K18" i="49" s="1"/>
  <c r="K50" i="8"/>
  <c r="L46" i="8"/>
  <c r="L85" i="8"/>
  <c r="K30" i="8"/>
  <c r="K84" i="8"/>
  <c r="L40" i="8"/>
  <c r="L58" i="8"/>
  <c r="K27" i="8"/>
  <c r="L37" i="8"/>
  <c r="L41" i="8"/>
  <c r="L44" i="8"/>
  <c r="L47" i="8"/>
  <c r="K31" i="8"/>
  <c r="L43" i="8"/>
  <c r="L50" i="8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K76" i="7"/>
  <c r="L73" i="7"/>
  <c r="K73" i="7"/>
  <c r="L69" i="7"/>
  <c r="L71" i="7" s="1"/>
  <c r="K69" i="7"/>
  <c r="K71" i="7" s="1"/>
  <c r="L65" i="7"/>
  <c r="L79" i="7" s="1"/>
  <c r="K65" i="7"/>
  <c r="K79" i="7" s="1"/>
  <c r="N28" i="59" s="1"/>
  <c r="K58" i="7"/>
  <c r="K55" i="7"/>
  <c r="K53" i="7"/>
  <c r="K34" i="7"/>
  <c r="K88" i="7" s="1"/>
  <c r="K31" i="7"/>
  <c r="K96" i="7" s="1"/>
  <c r="K30" i="7"/>
  <c r="K93" i="7" s="1"/>
  <c r="N35" i="59" s="1"/>
  <c r="K28" i="7"/>
  <c r="K91" i="7" s="1"/>
  <c r="N33" i="59" s="1"/>
  <c r="K24" i="7"/>
  <c r="L22" i="7"/>
  <c r="K22" i="7"/>
  <c r="L20" i="7"/>
  <c r="L39" i="7" s="1"/>
  <c r="L49" i="7" s="1"/>
  <c r="K20" i="7"/>
  <c r="K39" i="7" s="1"/>
  <c r="K49" i="7" s="1"/>
  <c r="M21" i="39"/>
  <c r="K48" i="39"/>
  <c r="K47" i="39"/>
  <c r="K46" i="39"/>
  <c r="K8" i="39"/>
  <c r="Q21" i="39" l="1"/>
  <c r="K22" i="39"/>
  <c r="J2" i="26"/>
  <c r="J2" i="17"/>
  <c r="K2" i="26"/>
  <c r="K2" i="17"/>
  <c r="K25" i="7"/>
  <c r="K35" i="7"/>
  <c r="K100" i="7" s="1"/>
  <c r="K27" i="7"/>
  <c r="K90" i="7" s="1"/>
  <c r="K52" i="7"/>
  <c r="K66" i="7"/>
  <c r="K6" i="26"/>
  <c r="L77" i="8"/>
  <c r="L56" i="7"/>
  <c r="L27" i="7"/>
  <c r="L90" i="7" s="1"/>
  <c r="L24" i="7"/>
  <c r="K60" i="7"/>
  <c r="L28" i="7"/>
  <c r="L91" i="7" s="1"/>
  <c r="L34" i="7"/>
  <c r="L88" i="7" s="1"/>
  <c r="L42" i="8"/>
  <c r="L25" i="7"/>
  <c r="L30" i="7"/>
  <c r="L93" i="7" s="1"/>
  <c r="L58" i="7"/>
  <c r="L35" i="7"/>
  <c r="L100" i="7" s="1"/>
  <c r="L60" i="7"/>
  <c r="L31" i="7"/>
  <c r="L96" i="7" s="1"/>
  <c r="L67" i="7"/>
  <c r="L53" i="7"/>
  <c r="L87" i="7" s="1"/>
  <c r="L76" i="7"/>
  <c r="L55" i="7"/>
  <c r="L98" i="7" s="1"/>
  <c r="L52" i="7"/>
  <c r="L62" i="8"/>
  <c r="K26" i="8"/>
  <c r="K64" i="8"/>
  <c r="K66" i="8"/>
  <c r="K37" i="8" s="1"/>
  <c r="K108" i="8"/>
  <c r="K110" i="8" s="1"/>
  <c r="K58" i="8"/>
  <c r="K62" i="8" s="1"/>
  <c r="K35" i="8" s="1"/>
  <c r="K56" i="7"/>
  <c r="K87" i="7"/>
  <c r="N31" i="59" s="1"/>
  <c r="K98" i="7"/>
  <c r="N32" i="59" s="1"/>
  <c r="L81" i="7"/>
  <c r="K81" i="7"/>
  <c r="N36" i="59" s="1"/>
  <c r="K45" i="39"/>
  <c r="K85" i="7"/>
  <c r="N29" i="59" s="1"/>
  <c r="K49" i="39"/>
  <c r="K23" i="7"/>
  <c r="K86" i="7" s="1"/>
  <c r="N30" i="59" s="1"/>
  <c r="K26" i="7"/>
  <c r="K89" i="7" s="1"/>
  <c r="K29" i="7"/>
  <c r="K92" i="7" s="1"/>
  <c r="N34" i="59" s="1"/>
  <c r="K32" i="7"/>
  <c r="K97" i="7" s="1"/>
  <c r="K54" i="7"/>
  <c r="K94" i="7" s="1"/>
  <c r="K57" i="7"/>
  <c r="K74" i="7"/>
  <c r="L85" i="7"/>
  <c r="L23" i="7"/>
  <c r="L26" i="7"/>
  <c r="L89" i="7" s="1"/>
  <c r="L29" i="7"/>
  <c r="L92" i="7" s="1"/>
  <c r="L32" i="7"/>
  <c r="L97" i="7" s="1"/>
  <c r="L54" i="7"/>
  <c r="L94" i="7" s="1"/>
  <c r="L57" i="7"/>
  <c r="L74" i="7"/>
  <c r="K23" i="39"/>
  <c r="K50" i="39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K169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188" i="6" s="1"/>
  <c r="K17" i="6"/>
  <c r="K24" i="6" s="1"/>
  <c r="K16" i="6"/>
  <c r="K15" i="6"/>
  <c r="K7" i="6"/>
  <c r="K24" i="39" l="1"/>
  <c r="U21" i="39"/>
  <c r="K34" i="8"/>
  <c r="K10" i="49"/>
  <c r="K12" i="49" s="1"/>
  <c r="K109" i="8"/>
  <c r="K111" i="8" s="1"/>
  <c r="L35" i="6"/>
  <c r="L86" i="7"/>
  <c r="L101" i="7" s="1"/>
  <c r="K51" i="39"/>
  <c r="L35" i="8"/>
  <c r="L69" i="8"/>
  <c r="L70" i="8"/>
  <c r="K101" i="7"/>
  <c r="L36" i="7"/>
  <c r="L51" i="7" s="1"/>
  <c r="K36" i="7"/>
  <c r="K51" i="7" s="1"/>
  <c r="K103" i="6"/>
  <c r="K107" i="6" s="1"/>
  <c r="K147" i="6" s="1"/>
  <c r="K168" i="6"/>
  <c r="K163" i="6"/>
  <c r="K133" i="6"/>
  <c r="L133" i="6"/>
  <c r="L57" i="6"/>
  <c r="K22" i="6"/>
  <c r="K194" i="6"/>
  <c r="K25" i="6"/>
  <c r="K26" i="6"/>
  <c r="K31" i="6"/>
  <c r="K21" i="6"/>
  <c r="K30" i="6"/>
  <c r="L103" i="6"/>
  <c r="L107" i="6" s="1"/>
  <c r="K27" i="6"/>
  <c r="K121" i="6"/>
  <c r="K125" i="6" s="1"/>
  <c r="K175" i="6" s="1"/>
  <c r="K138" i="6"/>
  <c r="K28" i="6"/>
  <c r="L121" i="6"/>
  <c r="L125" i="6" s="1"/>
  <c r="L175" i="6" s="1"/>
  <c r="L138" i="6"/>
  <c r="K19" i="6"/>
  <c r="K84" i="6" s="1"/>
  <c r="N106" i="28"/>
  <c r="N107" i="28"/>
  <c r="N108" i="28"/>
  <c r="N109" i="28"/>
  <c r="N110" i="28"/>
  <c r="N111" i="28"/>
  <c r="N113" i="28"/>
  <c r="N114" i="28"/>
  <c r="N115" i="28"/>
  <c r="N117" i="28"/>
  <c r="N118" i="28"/>
  <c r="N120" i="28"/>
  <c r="N121" i="28"/>
  <c r="N123" i="28"/>
  <c r="N127" i="28"/>
  <c r="N131" i="28"/>
  <c r="N141" i="28"/>
  <c r="N142" i="28"/>
  <c r="N143" i="28"/>
  <c r="N144" i="28"/>
  <c r="N145" i="28"/>
  <c r="N153" i="28"/>
  <c r="N154" i="28"/>
  <c r="N155" i="28"/>
  <c r="N156" i="28"/>
  <c r="N157" i="28"/>
  <c r="N158" i="28"/>
  <c r="N169" i="28"/>
  <c r="N170" i="28"/>
  <c r="N168" i="28"/>
  <c r="N202" i="28"/>
  <c r="N203" i="28"/>
  <c r="N204" i="28"/>
  <c r="R204" i="28" s="1"/>
  <c r="V204" i="28" s="1"/>
  <c r="N255" i="28"/>
  <c r="N256" i="28"/>
  <c r="R256" i="28" s="1"/>
  <c r="V256" i="28" s="1"/>
  <c r="N257" i="28"/>
  <c r="R257" i="28" s="1"/>
  <c r="V257" i="28" s="1"/>
  <c r="N258" i="28"/>
  <c r="R258" i="28" s="1"/>
  <c r="V258" i="28" s="1"/>
  <c r="N277" i="28"/>
  <c r="R277" i="28" s="1"/>
  <c r="V277" i="28" s="1"/>
  <c r="N278" i="28"/>
  <c r="R278" i="28" s="1"/>
  <c r="V278" i="28" s="1"/>
  <c r="N280" i="28"/>
  <c r="R280" i="28" s="1"/>
  <c r="V280" i="28" s="1"/>
  <c r="N281" i="28"/>
  <c r="R281" i="28" s="1"/>
  <c r="V281" i="28" s="1"/>
  <c r="N282" i="28"/>
  <c r="R282" i="28" s="1"/>
  <c r="V282" i="28" s="1"/>
  <c r="N283" i="28"/>
  <c r="N284" i="28"/>
  <c r="N285" i="28"/>
  <c r="N286" i="28"/>
  <c r="N287" i="28"/>
  <c r="N288" i="28"/>
  <c r="N289" i="28"/>
  <c r="N290" i="28"/>
  <c r="N291" i="28"/>
  <c r="N292" i="28"/>
  <c r="N293" i="28"/>
  <c r="N298" i="28"/>
  <c r="R298" i="28" s="1"/>
  <c r="V298" i="28" s="1"/>
  <c r="N299" i="28"/>
  <c r="R299" i="28" s="1"/>
  <c r="V299" i="28" s="1"/>
  <c r="N300" i="28"/>
  <c r="R300" i="28" s="1"/>
  <c r="V300" i="28" s="1"/>
  <c r="N301" i="28"/>
  <c r="N302" i="28"/>
  <c r="N303" i="28"/>
  <c r="N304" i="28"/>
  <c r="N305" i="28"/>
  <c r="N306" i="28"/>
  <c r="N307" i="28"/>
  <c r="N308" i="28"/>
  <c r="N309" i="28"/>
  <c r="N310" i="28"/>
  <c r="N311" i="28"/>
  <c r="N312" i="28"/>
  <c r="N313" i="28"/>
  <c r="N314" i="28"/>
  <c r="N315" i="28"/>
  <c r="N316" i="28"/>
  <c r="R316" i="28" s="1"/>
  <c r="V316" i="28" s="1"/>
  <c r="N317" i="28"/>
  <c r="R317" i="28" s="1"/>
  <c r="V317" i="28" s="1"/>
  <c r="N318" i="28"/>
  <c r="R318" i="28" s="1"/>
  <c r="V318" i="28" s="1"/>
  <c r="N319" i="28"/>
  <c r="R319" i="28" s="1"/>
  <c r="V319" i="28" s="1"/>
  <c r="N320" i="28"/>
  <c r="R320" i="28" s="1"/>
  <c r="V320" i="28" s="1"/>
  <c r="N321" i="28"/>
  <c r="R321" i="28" s="1"/>
  <c r="V321" i="28" s="1"/>
  <c r="N322" i="28"/>
  <c r="N323" i="28"/>
  <c r="N324" i="28"/>
  <c r="N325" i="28"/>
  <c r="N326" i="28"/>
  <c r="N327" i="28"/>
  <c r="N328" i="28"/>
  <c r="N329" i="28"/>
  <c r="N331" i="28"/>
  <c r="N332" i="28"/>
  <c r="N333" i="28"/>
  <c r="N334" i="28"/>
  <c r="N335" i="28"/>
  <c r="N336" i="28"/>
  <c r="N337" i="28"/>
  <c r="N338" i="28"/>
  <c r="N339" i="28"/>
  <c r="N340" i="28"/>
  <c r="N341" i="28"/>
  <c r="N342" i="28"/>
  <c r="N343" i="28"/>
  <c r="N344" i="28"/>
  <c r="N345" i="28"/>
  <c r="N347" i="28"/>
  <c r="N348" i="28"/>
  <c r="N392" i="28"/>
  <c r="N404" i="28"/>
  <c r="N405" i="28"/>
  <c r="N406" i="28"/>
  <c r="K458" i="28"/>
  <c r="L415" i="28"/>
  <c r="L411" i="28"/>
  <c r="L380" i="28"/>
  <c r="L379" i="28"/>
  <c r="L372" i="28"/>
  <c r="L450" i="28" s="1"/>
  <c r="K372" i="28"/>
  <c r="L356" i="28"/>
  <c r="L357" i="28" s="1"/>
  <c r="L273" i="28"/>
  <c r="L446" i="28" s="1"/>
  <c r="K273" i="28"/>
  <c r="L267" i="28"/>
  <c r="K267" i="28"/>
  <c r="L266" i="28"/>
  <c r="K266" i="28"/>
  <c r="L229" i="28"/>
  <c r="L442" i="28" s="1"/>
  <c r="K229" i="28"/>
  <c r="L212" i="28"/>
  <c r="L211" i="28"/>
  <c r="L213" i="28" s="1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28" i="28"/>
  <c r="L50" i="28" s="1"/>
  <c r="L26" i="28"/>
  <c r="K21" i="28"/>
  <c r="K26" i="28" s="1"/>
  <c r="L19" i="28"/>
  <c r="K14" i="28"/>
  <c r="K19" i="28" s="1"/>
  <c r="K59" i="28" s="1"/>
  <c r="K69" i="28" s="1"/>
  <c r="L12" i="28"/>
  <c r="L58" i="28" s="1"/>
  <c r="K7" i="28"/>
  <c r="AA21" i="39" l="1"/>
  <c r="R347" i="28"/>
  <c r="V347" i="28" s="1"/>
  <c r="AB347" i="28"/>
  <c r="AF347" i="28" s="1"/>
  <c r="AJ347" i="28" s="1"/>
  <c r="AP347" i="28" s="1"/>
  <c r="AT347" i="28" s="1"/>
  <c r="AX347" i="28" s="1"/>
  <c r="BF347" i="28" s="1"/>
  <c r="R340" i="28"/>
  <c r="V340" i="28" s="1"/>
  <c r="AB340" i="28"/>
  <c r="AF340" i="28" s="1"/>
  <c r="AJ340" i="28" s="1"/>
  <c r="AP340" i="28" s="1"/>
  <c r="AT340" i="28" s="1"/>
  <c r="AX340" i="28" s="1"/>
  <c r="BF340" i="28" s="1"/>
  <c r="R334" i="28"/>
  <c r="V334" i="28" s="1"/>
  <c r="AB334" i="28"/>
  <c r="AF334" i="28" s="1"/>
  <c r="AJ334" i="28" s="1"/>
  <c r="AP334" i="28" s="1"/>
  <c r="AT334" i="28" s="1"/>
  <c r="AX334" i="28" s="1"/>
  <c r="BF334" i="28" s="1"/>
  <c r="R327" i="28"/>
  <c r="V327" i="28" s="1"/>
  <c r="AB327" i="28"/>
  <c r="AF327" i="28" s="1"/>
  <c r="AJ327" i="28" s="1"/>
  <c r="AP327" i="28" s="1"/>
  <c r="AT327" i="28" s="1"/>
  <c r="AX327" i="28" s="1"/>
  <c r="BF327" i="28" s="1"/>
  <c r="R315" i="28"/>
  <c r="V315" i="28" s="1"/>
  <c r="AB315" i="28"/>
  <c r="AF315" i="28" s="1"/>
  <c r="AJ315" i="28" s="1"/>
  <c r="AP315" i="28" s="1"/>
  <c r="AT315" i="28" s="1"/>
  <c r="AX315" i="28" s="1"/>
  <c r="BF315" i="28" s="1"/>
  <c r="R309" i="28"/>
  <c r="V309" i="28" s="1"/>
  <c r="R303" i="28"/>
  <c r="V303" i="28" s="1"/>
  <c r="AB303" i="28"/>
  <c r="AF303" i="28" s="1"/>
  <c r="AJ303" i="28" s="1"/>
  <c r="AP303" i="28" s="1"/>
  <c r="AT303" i="28" s="1"/>
  <c r="AX303" i="28" s="1"/>
  <c r="BF303" i="28" s="1"/>
  <c r="R293" i="28"/>
  <c r="V293" i="28" s="1"/>
  <c r="R287" i="28"/>
  <c r="V287" i="28" s="1"/>
  <c r="AB287" i="28"/>
  <c r="AF287" i="28" s="1"/>
  <c r="AJ287" i="28" s="1"/>
  <c r="AP287" i="28" s="1"/>
  <c r="AT287" i="28" s="1"/>
  <c r="AX287" i="28" s="1"/>
  <c r="BF287" i="28" s="1"/>
  <c r="R406" i="28"/>
  <c r="V406" i="28" s="1"/>
  <c r="AB406" i="28"/>
  <c r="AF406" i="28" s="1"/>
  <c r="AJ406" i="28" s="1"/>
  <c r="AP406" i="28" s="1"/>
  <c r="AT406" i="28" s="1"/>
  <c r="AX406" i="28" s="1"/>
  <c r="BF406" i="28" s="1"/>
  <c r="R345" i="28"/>
  <c r="V345" i="28" s="1"/>
  <c r="AB345" i="28"/>
  <c r="AF345" i="28" s="1"/>
  <c r="AJ345" i="28" s="1"/>
  <c r="AP345" i="28" s="1"/>
  <c r="AT345" i="28" s="1"/>
  <c r="AX345" i="28" s="1"/>
  <c r="BF345" i="28" s="1"/>
  <c r="R339" i="28"/>
  <c r="V339" i="28" s="1"/>
  <c r="AB339" i="28"/>
  <c r="AF339" i="28" s="1"/>
  <c r="AJ339" i="28" s="1"/>
  <c r="AP339" i="28" s="1"/>
  <c r="AT339" i="28" s="1"/>
  <c r="AX339" i="28" s="1"/>
  <c r="BF339" i="28" s="1"/>
  <c r="R333" i="28"/>
  <c r="V333" i="28" s="1"/>
  <c r="AB333" i="28"/>
  <c r="AF333" i="28" s="1"/>
  <c r="AJ333" i="28" s="1"/>
  <c r="AP333" i="28" s="1"/>
  <c r="AT333" i="28" s="1"/>
  <c r="AX333" i="28" s="1"/>
  <c r="BF333" i="28" s="1"/>
  <c r="R326" i="28"/>
  <c r="V326" i="28" s="1"/>
  <c r="AB326" i="28"/>
  <c r="AF326" i="28" s="1"/>
  <c r="AJ326" i="28" s="1"/>
  <c r="AP326" i="28" s="1"/>
  <c r="AT326" i="28" s="1"/>
  <c r="AX326" i="28" s="1"/>
  <c r="BF326" i="28" s="1"/>
  <c r="R314" i="28"/>
  <c r="V314" i="28" s="1"/>
  <c r="AB314" i="28"/>
  <c r="AF314" i="28" s="1"/>
  <c r="AJ314" i="28" s="1"/>
  <c r="AP314" i="28" s="1"/>
  <c r="AT314" i="28" s="1"/>
  <c r="AX314" i="28" s="1"/>
  <c r="BF314" i="28" s="1"/>
  <c r="R308" i="28"/>
  <c r="V308" i="28" s="1"/>
  <c r="AB308" i="28"/>
  <c r="AF308" i="28" s="1"/>
  <c r="AJ308" i="28" s="1"/>
  <c r="AP308" i="28" s="1"/>
  <c r="AT308" i="28" s="1"/>
  <c r="AX308" i="28" s="1"/>
  <c r="BF308" i="28" s="1"/>
  <c r="R302" i="28"/>
  <c r="V302" i="28" s="1"/>
  <c r="AB302" i="28"/>
  <c r="AF302" i="28" s="1"/>
  <c r="AJ302" i="28" s="1"/>
  <c r="AP302" i="28" s="1"/>
  <c r="AT302" i="28" s="1"/>
  <c r="AX302" i="28" s="1"/>
  <c r="BF302" i="28" s="1"/>
  <c r="R292" i="28"/>
  <c r="V292" i="28" s="1"/>
  <c r="R286" i="28"/>
  <c r="V286" i="28" s="1"/>
  <c r="AB286" i="28"/>
  <c r="AF286" i="28" s="1"/>
  <c r="AJ286" i="28" s="1"/>
  <c r="AP286" i="28" s="1"/>
  <c r="AT286" i="28" s="1"/>
  <c r="AX286" i="28" s="1"/>
  <c r="BF286" i="28" s="1"/>
  <c r="R255" i="28"/>
  <c r="V255" i="28" s="1"/>
  <c r="AB255" i="28"/>
  <c r="AF255" i="28" s="1"/>
  <c r="AJ255" i="28" s="1"/>
  <c r="AP255" i="28" s="1"/>
  <c r="R405" i="28"/>
  <c r="V405" i="28" s="1"/>
  <c r="AB405" i="28"/>
  <c r="AF405" i="28" s="1"/>
  <c r="AJ405" i="28" s="1"/>
  <c r="AP405" i="28" s="1"/>
  <c r="AT405" i="28" s="1"/>
  <c r="AX405" i="28" s="1"/>
  <c r="BF405" i="28" s="1"/>
  <c r="R344" i="28"/>
  <c r="V344" i="28" s="1"/>
  <c r="AB344" i="28"/>
  <c r="AF344" i="28" s="1"/>
  <c r="AJ344" i="28" s="1"/>
  <c r="AP344" i="28" s="1"/>
  <c r="AT344" i="28" s="1"/>
  <c r="AX344" i="28" s="1"/>
  <c r="BF344" i="28" s="1"/>
  <c r="R338" i="28"/>
  <c r="V338" i="28" s="1"/>
  <c r="AB338" i="28"/>
  <c r="AF338" i="28" s="1"/>
  <c r="AJ338" i="28" s="1"/>
  <c r="AP338" i="28" s="1"/>
  <c r="AT338" i="28" s="1"/>
  <c r="AX338" i="28" s="1"/>
  <c r="BF338" i="28" s="1"/>
  <c r="R332" i="28"/>
  <c r="V332" i="28" s="1"/>
  <c r="AB332" i="28"/>
  <c r="AF332" i="28" s="1"/>
  <c r="AJ332" i="28" s="1"/>
  <c r="AP332" i="28" s="1"/>
  <c r="AT332" i="28" s="1"/>
  <c r="AX332" i="28" s="1"/>
  <c r="BF332" i="28" s="1"/>
  <c r="R325" i="28"/>
  <c r="V325" i="28" s="1"/>
  <c r="AB325" i="28"/>
  <c r="AF325" i="28" s="1"/>
  <c r="AJ325" i="28" s="1"/>
  <c r="AP325" i="28" s="1"/>
  <c r="AT325" i="28" s="1"/>
  <c r="AX325" i="28" s="1"/>
  <c r="BF325" i="28" s="1"/>
  <c r="R313" i="28"/>
  <c r="V313" i="28" s="1"/>
  <c r="AB313" i="28"/>
  <c r="AF313" i="28" s="1"/>
  <c r="AJ313" i="28" s="1"/>
  <c r="AP313" i="28" s="1"/>
  <c r="AT313" i="28" s="1"/>
  <c r="AX313" i="28" s="1"/>
  <c r="BF313" i="28" s="1"/>
  <c r="R307" i="28"/>
  <c r="V307" i="28" s="1"/>
  <c r="AB307" i="28"/>
  <c r="AF307" i="28" s="1"/>
  <c r="AJ307" i="28" s="1"/>
  <c r="AP307" i="28" s="1"/>
  <c r="AT307" i="28" s="1"/>
  <c r="AX307" i="28" s="1"/>
  <c r="BF307" i="28" s="1"/>
  <c r="R301" i="28"/>
  <c r="V301" i="28" s="1"/>
  <c r="AB301" i="28"/>
  <c r="AF301" i="28" s="1"/>
  <c r="AJ301" i="28" s="1"/>
  <c r="AP301" i="28" s="1"/>
  <c r="AT301" i="28" s="1"/>
  <c r="AX301" i="28" s="1"/>
  <c r="BF301" i="28" s="1"/>
  <c r="R291" i="28"/>
  <c r="V291" i="28" s="1"/>
  <c r="R285" i="28"/>
  <c r="V285" i="28" s="1"/>
  <c r="AB285" i="28"/>
  <c r="AF285" i="28" s="1"/>
  <c r="AJ285" i="28" s="1"/>
  <c r="AP285" i="28" s="1"/>
  <c r="AT285" i="28" s="1"/>
  <c r="AX285" i="28" s="1"/>
  <c r="BF285" i="28" s="1"/>
  <c r="R404" i="28"/>
  <c r="V404" i="28" s="1"/>
  <c r="AB404" i="28"/>
  <c r="AF404" i="28" s="1"/>
  <c r="AJ404" i="28" s="1"/>
  <c r="AP404" i="28" s="1"/>
  <c r="AT404" i="28" s="1"/>
  <c r="AX404" i="28" s="1"/>
  <c r="BF404" i="28" s="1"/>
  <c r="R343" i="28"/>
  <c r="V343" i="28" s="1"/>
  <c r="AB343" i="28"/>
  <c r="AF343" i="28" s="1"/>
  <c r="AJ343" i="28" s="1"/>
  <c r="AP343" i="28" s="1"/>
  <c r="AT343" i="28" s="1"/>
  <c r="AX343" i="28" s="1"/>
  <c r="BF343" i="28" s="1"/>
  <c r="R337" i="28"/>
  <c r="V337" i="28" s="1"/>
  <c r="R331" i="28"/>
  <c r="V331" i="28" s="1"/>
  <c r="AB331" i="28"/>
  <c r="AF331" i="28" s="1"/>
  <c r="AJ331" i="28" s="1"/>
  <c r="AP331" i="28" s="1"/>
  <c r="AT331" i="28" s="1"/>
  <c r="AX331" i="28" s="1"/>
  <c r="BF331" i="28" s="1"/>
  <c r="R324" i="28"/>
  <c r="V324" i="28" s="1"/>
  <c r="AB324" i="28"/>
  <c r="AF324" i="28" s="1"/>
  <c r="AJ324" i="28" s="1"/>
  <c r="AP324" i="28" s="1"/>
  <c r="AT324" i="28" s="1"/>
  <c r="AX324" i="28" s="1"/>
  <c r="BF324" i="28" s="1"/>
  <c r="R312" i="28"/>
  <c r="V312" i="28" s="1"/>
  <c r="AB312" i="28"/>
  <c r="AF312" i="28" s="1"/>
  <c r="AJ312" i="28" s="1"/>
  <c r="AP312" i="28" s="1"/>
  <c r="AT312" i="28" s="1"/>
  <c r="AX312" i="28" s="1"/>
  <c r="BF312" i="28" s="1"/>
  <c r="R306" i="28"/>
  <c r="V306" i="28" s="1"/>
  <c r="AB306" i="28"/>
  <c r="AF306" i="28" s="1"/>
  <c r="AJ306" i="28" s="1"/>
  <c r="AP306" i="28" s="1"/>
  <c r="AT306" i="28" s="1"/>
  <c r="AX306" i="28" s="1"/>
  <c r="BF306" i="28" s="1"/>
  <c r="R290" i="28"/>
  <c r="V290" i="28" s="1"/>
  <c r="AB290" i="28"/>
  <c r="AF290" i="28" s="1"/>
  <c r="AJ290" i="28" s="1"/>
  <c r="AP290" i="28" s="1"/>
  <c r="AT290" i="28" s="1"/>
  <c r="AX290" i="28" s="1"/>
  <c r="BF290" i="28" s="1"/>
  <c r="R284" i="28"/>
  <c r="V284" i="28" s="1"/>
  <c r="AB284" i="28"/>
  <c r="AF284" i="28" s="1"/>
  <c r="AJ284" i="28" s="1"/>
  <c r="AP284" i="28" s="1"/>
  <c r="AT284" i="28" s="1"/>
  <c r="AX284" i="28" s="1"/>
  <c r="BF284" i="28" s="1"/>
  <c r="R203" i="28"/>
  <c r="V203" i="28" s="1"/>
  <c r="AB203" i="28"/>
  <c r="AF203" i="28" s="1"/>
  <c r="AJ203" i="28" s="1"/>
  <c r="AP203" i="28" s="1"/>
  <c r="AT203" i="28" s="1"/>
  <c r="AX203" i="28" s="1"/>
  <c r="BF203" i="28" s="1"/>
  <c r="R392" i="28"/>
  <c r="V392" i="28" s="1"/>
  <c r="AB392" i="28"/>
  <c r="AF392" i="28" s="1"/>
  <c r="AJ392" i="28" s="1"/>
  <c r="AP392" i="28" s="1"/>
  <c r="AT392" i="28" s="1"/>
  <c r="AX392" i="28" s="1"/>
  <c r="BF392" i="28" s="1"/>
  <c r="R342" i="28"/>
  <c r="V342" i="28" s="1"/>
  <c r="AB342" i="28"/>
  <c r="AF342" i="28" s="1"/>
  <c r="AJ342" i="28" s="1"/>
  <c r="AP342" i="28" s="1"/>
  <c r="AT342" i="28" s="1"/>
  <c r="AX342" i="28" s="1"/>
  <c r="BF342" i="28" s="1"/>
  <c r="R336" i="28"/>
  <c r="V336" i="28" s="1"/>
  <c r="AB336" i="28"/>
  <c r="AF336" i="28" s="1"/>
  <c r="AJ336" i="28" s="1"/>
  <c r="AP336" i="28" s="1"/>
  <c r="AT336" i="28" s="1"/>
  <c r="AX336" i="28" s="1"/>
  <c r="BF336" i="28" s="1"/>
  <c r="R329" i="28"/>
  <c r="V329" i="28" s="1"/>
  <c r="AB329" i="28"/>
  <c r="AF329" i="28" s="1"/>
  <c r="AJ329" i="28" s="1"/>
  <c r="AP329" i="28" s="1"/>
  <c r="AT329" i="28" s="1"/>
  <c r="AX329" i="28" s="1"/>
  <c r="BF329" i="28" s="1"/>
  <c r="R323" i="28"/>
  <c r="V323" i="28" s="1"/>
  <c r="AB323" i="28"/>
  <c r="AF323" i="28" s="1"/>
  <c r="AJ323" i="28" s="1"/>
  <c r="AP323" i="28" s="1"/>
  <c r="AT323" i="28" s="1"/>
  <c r="AX323" i="28" s="1"/>
  <c r="BF323" i="28" s="1"/>
  <c r="R311" i="28"/>
  <c r="V311" i="28" s="1"/>
  <c r="AB311" i="28"/>
  <c r="AF311" i="28" s="1"/>
  <c r="AJ311" i="28" s="1"/>
  <c r="AP311" i="28" s="1"/>
  <c r="AT311" i="28" s="1"/>
  <c r="AX311" i="28" s="1"/>
  <c r="BF311" i="28" s="1"/>
  <c r="R305" i="28"/>
  <c r="V305" i="28" s="1"/>
  <c r="AB305" i="28"/>
  <c r="AF305" i="28" s="1"/>
  <c r="AJ305" i="28" s="1"/>
  <c r="AP305" i="28" s="1"/>
  <c r="AT305" i="28" s="1"/>
  <c r="AX305" i="28" s="1"/>
  <c r="BF305" i="28" s="1"/>
  <c r="R289" i="28"/>
  <c r="V289" i="28" s="1"/>
  <c r="AB289" i="28"/>
  <c r="AF289" i="28" s="1"/>
  <c r="AJ289" i="28" s="1"/>
  <c r="AP289" i="28" s="1"/>
  <c r="AT289" i="28" s="1"/>
  <c r="AX289" i="28" s="1"/>
  <c r="BF289" i="28" s="1"/>
  <c r="R283" i="28"/>
  <c r="V283" i="28" s="1"/>
  <c r="AB283" i="28"/>
  <c r="AF283" i="28" s="1"/>
  <c r="AJ283" i="28" s="1"/>
  <c r="AP283" i="28" s="1"/>
  <c r="AT283" i="28" s="1"/>
  <c r="AX283" i="28" s="1"/>
  <c r="BF283" i="28" s="1"/>
  <c r="R202" i="28"/>
  <c r="V202" i="28" s="1"/>
  <c r="AB202" i="28"/>
  <c r="AF202" i="28" s="1"/>
  <c r="AJ202" i="28" s="1"/>
  <c r="AP202" i="28" s="1"/>
  <c r="AT202" i="28" s="1"/>
  <c r="AX202" i="28" s="1"/>
  <c r="BF202" i="28" s="1"/>
  <c r="R348" i="28"/>
  <c r="V348" i="28" s="1"/>
  <c r="AB348" i="28"/>
  <c r="AF348" i="28" s="1"/>
  <c r="AJ348" i="28" s="1"/>
  <c r="AP348" i="28" s="1"/>
  <c r="AT348" i="28" s="1"/>
  <c r="AX348" i="28" s="1"/>
  <c r="BF348" i="28" s="1"/>
  <c r="R341" i="28"/>
  <c r="V341" i="28" s="1"/>
  <c r="AB341" i="28"/>
  <c r="AF341" i="28" s="1"/>
  <c r="AJ341" i="28" s="1"/>
  <c r="AP341" i="28" s="1"/>
  <c r="AT341" i="28" s="1"/>
  <c r="AX341" i="28" s="1"/>
  <c r="BF341" i="28" s="1"/>
  <c r="R335" i="28"/>
  <c r="V335" i="28" s="1"/>
  <c r="AB335" i="28"/>
  <c r="AF335" i="28" s="1"/>
  <c r="AJ335" i="28" s="1"/>
  <c r="AP335" i="28" s="1"/>
  <c r="AT335" i="28" s="1"/>
  <c r="AX335" i="28" s="1"/>
  <c r="BF335" i="28" s="1"/>
  <c r="R328" i="28"/>
  <c r="V328" i="28" s="1"/>
  <c r="AB328" i="28"/>
  <c r="AF328" i="28" s="1"/>
  <c r="AJ328" i="28" s="1"/>
  <c r="AP328" i="28" s="1"/>
  <c r="AT328" i="28" s="1"/>
  <c r="AX328" i="28" s="1"/>
  <c r="BF328" i="28" s="1"/>
  <c r="R322" i="28"/>
  <c r="V322" i="28" s="1"/>
  <c r="AB322" i="28"/>
  <c r="AF322" i="28" s="1"/>
  <c r="AJ322" i="28" s="1"/>
  <c r="AP322" i="28" s="1"/>
  <c r="AT322" i="28" s="1"/>
  <c r="AX322" i="28" s="1"/>
  <c r="BF322" i="28" s="1"/>
  <c r="R310" i="28"/>
  <c r="V310" i="28" s="1"/>
  <c r="R304" i="28"/>
  <c r="V304" i="28" s="1"/>
  <c r="AB304" i="28"/>
  <c r="AF304" i="28" s="1"/>
  <c r="AJ304" i="28" s="1"/>
  <c r="AP304" i="28" s="1"/>
  <c r="AT304" i="28" s="1"/>
  <c r="AX304" i="28" s="1"/>
  <c r="BF304" i="28" s="1"/>
  <c r="R288" i="28"/>
  <c r="V288" i="28" s="1"/>
  <c r="AB288" i="28"/>
  <c r="AF288" i="28" s="1"/>
  <c r="AJ288" i="28" s="1"/>
  <c r="AP288" i="28" s="1"/>
  <c r="AT288" i="28" s="1"/>
  <c r="AX288" i="28" s="1"/>
  <c r="BF288" i="28" s="1"/>
  <c r="R118" i="28"/>
  <c r="V118" i="28" s="1"/>
  <c r="AB118" i="28"/>
  <c r="AF118" i="28" s="1"/>
  <c r="AJ118" i="28" s="1"/>
  <c r="AP118" i="28" s="1"/>
  <c r="AT118" i="28" s="1"/>
  <c r="AX118" i="28" s="1"/>
  <c r="BF118" i="28" s="1"/>
  <c r="R169" i="28"/>
  <c r="V169" i="28" s="1"/>
  <c r="AB169" i="28"/>
  <c r="AF169" i="28" s="1"/>
  <c r="AJ169" i="28" s="1"/>
  <c r="AP169" i="28" s="1"/>
  <c r="AT169" i="28" s="1"/>
  <c r="AX169" i="28" s="1"/>
  <c r="BF169" i="28" s="1"/>
  <c r="R153" i="28"/>
  <c r="V153" i="28" s="1"/>
  <c r="AB153" i="28"/>
  <c r="AF153" i="28" s="1"/>
  <c r="AJ153" i="28" s="1"/>
  <c r="AP153" i="28" s="1"/>
  <c r="AT153" i="28" s="1"/>
  <c r="AX153" i="28" s="1"/>
  <c r="BF153" i="28" s="1"/>
  <c r="R131" i="28"/>
  <c r="V131" i="28" s="1"/>
  <c r="AB131" i="28"/>
  <c r="AF131" i="28" s="1"/>
  <c r="AJ131" i="28" s="1"/>
  <c r="AP131" i="28" s="1"/>
  <c r="AT131" i="28" s="1"/>
  <c r="AX131" i="28" s="1"/>
  <c r="BF131" i="28" s="1"/>
  <c r="R117" i="28"/>
  <c r="V117" i="28" s="1"/>
  <c r="AB117" i="28"/>
  <c r="AF117" i="28" s="1"/>
  <c r="AJ117" i="28" s="1"/>
  <c r="AP117" i="28" s="1"/>
  <c r="AT117" i="28" s="1"/>
  <c r="AX117" i="28" s="1"/>
  <c r="BF117" i="28" s="1"/>
  <c r="R109" i="28"/>
  <c r="V109" i="28" s="1"/>
  <c r="AB109" i="28"/>
  <c r="AF109" i="28" s="1"/>
  <c r="AJ109" i="28" s="1"/>
  <c r="AP109" i="28" s="1"/>
  <c r="AT109" i="28" s="1"/>
  <c r="AX109" i="28" s="1"/>
  <c r="BF109" i="28" s="1"/>
  <c r="R154" i="28"/>
  <c r="V154" i="28" s="1"/>
  <c r="AB154" i="28"/>
  <c r="AF154" i="28" s="1"/>
  <c r="AJ154" i="28" s="1"/>
  <c r="AP154" i="28" s="1"/>
  <c r="AT154" i="28" s="1"/>
  <c r="AX154" i="28" s="1"/>
  <c r="BF154" i="28" s="1"/>
  <c r="R110" i="28"/>
  <c r="V110" i="28" s="1"/>
  <c r="AB110" i="28"/>
  <c r="AF110" i="28" s="1"/>
  <c r="AJ110" i="28" s="1"/>
  <c r="AP110" i="28" s="1"/>
  <c r="AT110" i="28" s="1"/>
  <c r="AX110" i="28" s="1"/>
  <c r="BF110" i="28" s="1"/>
  <c r="R158" i="28"/>
  <c r="V158" i="28" s="1"/>
  <c r="AB158" i="28"/>
  <c r="AF158" i="28" s="1"/>
  <c r="AJ158" i="28" s="1"/>
  <c r="AP158" i="28" s="1"/>
  <c r="AT158" i="28" s="1"/>
  <c r="AX158" i="28" s="1"/>
  <c r="BF158" i="28" s="1"/>
  <c r="R145" i="28"/>
  <c r="V145" i="28" s="1"/>
  <c r="AB145" i="28"/>
  <c r="AF145" i="28" s="1"/>
  <c r="AJ145" i="28" s="1"/>
  <c r="AP145" i="28" s="1"/>
  <c r="AT145" i="28" s="1"/>
  <c r="AX145" i="28" s="1"/>
  <c r="BF145" i="28" s="1"/>
  <c r="R127" i="28"/>
  <c r="V127" i="28" s="1"/>
  <c r="AB127" i="28"/>
  <c r="AF127" i="28" s="1"/>
  <c r="AJ127" i="28" s="1"/>
  <c r="AP127" i="28" s="1"/>
  <c r="AT127" i="28" s="1"/>
  <c r="AX127" i="28" s="1"/>
  <c r="BF127" i="28" s="1"/>
  <c r="R115" i="28"/>
  <c r="V115" i="28" s="1"/>
  <c r="AB115" i="28"/>
  <c r="AF115" i="28" s="1"/>
  <c r="AJ115" i="28" s="1"/>
  <c r="AP115" i="28" s="1"/>
  <c r="AT115" i="28" s="1"/>
  <c r="AX115" i="28" s="1"/>
  <c r="BF115" i="28" s="1"/>
  <c r="R108" i="28"/>
  <c r="V108" i="28" s="1"/>
  <c r="AB108" i="28"/>
  <c r="AF108" i="28" s="1"/>
  <c r="AJ108" i="28" s="1"/>
  <c r="AP108" i="28" s="1"/>
  <c r="AT108" i="28" s="1"/>
  <c r="AX108" i="28" s="1"/>
  <c r="BF108" i="28" s="1"/>
  <c r="R141" i="28"/>
  <c r="V141" i="28" s="1"/>
  <c r="AB141" i="28"/>
  <c r="AF141" i="28" s="1"/>
  <c r="AJ141" i="28" s="1"/>
  <c r="AP141" i="28" s="1"/>
  <c r="AT141" i="28" s="1"/>
  <c r="AX141" i="28" s="1"/>
  <c r="BF141" i="28" s="1"/>
  <c r="R157" i="28"/>
  <c r="V157" i="28" s="1"/>
  <c r="AB157" i="28"/>
  <c r="AF157" i="28" s="1"/>
  <c r="AJ157" i="28" s="1"/>
  <c r="AP157" i="28" s="1"/>
  <c r="AT157" i="28" s="1"/>
  <c r="AX157" i="28" s="1"/>
  <c r="BF157" i="28" s="1"/>
  <c r="R144" i="28"/>
  <c r="V144" i="28" s="1"/>
  <c r="AB144" i="28"/>
  <c r="AF144" i="28" s="1"/>
  <c r="AJ144" i="28" s="1"/>
  <c r="AP144" i="28" s="1"/>
  <c r="AT144" i="28" s="1"/>
  <c r="AX144" i="28" s="1"/>
  <c r="BF144" i="28" s="1"/>
  <c r="R123" i="28"/>
  <c r="V123" i="28" s="1"/>
  <c r="AB123" i="28"/>
  <c r="AF123" i="28" s="1"/>
  <c r="AJ123" i="28" s="1"/>
  <c r="AP123" i="28" s="1"/>
  <c r="AT123" i="28" s="1"/>
  <c r="AX123" i="28" s="1"/>
  <c r="BF123" i="28" s="1"/>
  <c r="R114" i="28"/>
  <c r="V114" i="28" s="1"/>
  <c r="AB114" i="28"/>
  <c r="AF114" i="28" s="1"/>
  <c r="AJ114" i="28" s="1"/>
  <c r="AP114" i="28" s="1"/>
  <c r="AT114" i="28" s="1"/>
  <c r="AX114" i="28" s="1"/>
  <c r="BF114" i="28" s="1"/>
  <c r="R107" i="28"/>
  <c r="V107" i="28" s="1"/>
  <c r="AB107" i="28"/>
  <c r="AF107" i="28" s="1"/>
  <c r="AJ107" i="28" s="1"/>
  <c r="AP107" i="28" s="1"/>
  <c r="AT107" i="28" s="1"/>
  <c r="AX107" i="28" s="1"/>
  <c r="BF107" i="28" s="1"/>
  <c r="R170" i="28"/>
  <c r="V170" i="28" s="1"/>
  <c r="AB170" i="28"/>
  <c r="AF170" i="28" s="1"/>
  <c r="AJ170" i="28" s="1"/>
  <c r="AP170" i="28" s="1"/>
  <c r="AT170" i="28" s="1"/>
  <c r="AX170" i="28" s="1"/>
  <c r="BF170" i="28" s="1"/>
  <c r="R156" i="28"/>
  <c r="V156" i="28" s="1"/>
  <c r="AB156" i="28"/>
  <c r="AF156" i="28" s="1"/>
  <c r="AJ156" i="28" s="1"/>
  <c r="AP156" i="28" s="1"/>
  <c r="AT156" i="28" s="1"/>
  <c r="AX156" i="28" s="1"/>
  <c r="BF156" i="28" s="1"/>
  <c r="R143" i="28"/>
  <c r="V143" i="28" s="1"/>
  <c r="AB143" i="28"/>
  <c r="AF143" i="28" s="1"/>
  <c r="AJ143" i="28" s="1"/>
  <c r="AP143" i="28" s="1"/>
  <c r="AT143" i="28" s="1"/>
  <c r="AX143" i="28" s="1"/>
  <c r="BF143" i="28" s="1"/>
  <c r="R121" i="28"/>
  <c r="V121" i="28" s="1"/>
  <c r="AB121" i="28"/>
  <c r="AF121" i="28" s="1"/>
  <c r="AJ121" i="28" s="1"/>
  <c r="AP121" i="28" s="1"/>
  <c r="AT121" i="28" s="1"/>
  <c r="AX121" i="28" s="1"/>
  <c r="BF121" i="28" s="1"/>
  <c r="R113" i="28"/>
  <c r="V113" i="28" s="1"/>
  <c r="AB113" i="28"/>
  <c r="AF113" i="28" s="1"/>
  <c r="AJ113" i="28" s="1"/>
  <c r="AP113" i="28" s="1"/>
  <c r="AT113" i="28" s="1"/>
  <c r="AX113" i="28" s="1"/>
  <c r="BF113" i="28" s="1"/>
  <c r="R106" i="28"/>
  <c r="V106" i="28" s="1"/>
  <c r="AB106" i="28"/>
  <c r="AF106" i="28" s="1"/>
  <c r="AJ106" i="28" s="1"/>
  <c r="AP106" i="28" s="1"/>
  <c r="AT106" i="28" s="1"/>
  <c r="AX106" i="28" s="1"/>
  <c r="BF106" i="28" s="1"/>
  <c r="R168" i="28"/>
  <c r="V168" i="28" s="1"/>
  <c r="AB168" i="28"/>
  <c r="AF168" i="28" s="1"/>
  <c r="AJ168" i="28" s="1"/>
  <c r="AP168" i="28" s="1"/>
  <c r="AT168" i="28" s="1"/>
  <c r="AX168" i="28" s="1"/>
  <c r="BF168" i="28" s="1"/>
  <c r="R155" i="28"/>
  <c r="V155" i="28" s="1"/>
  <c r="AB155" i="28"/>
  <c r="AF155" i="28" s="1"/>
  <c r="AJ155" i="28" s="1"/>
  <c r="AP155" i="28" s="1"/>
  <c r="AT155" i="28" s="1"/>
  <c r="AX155" i="28" s="1"/>
  <c r="BF155" i="28" s="1"/>
  <c r="R142" i="28"/>
  <c r="V142" i="28" s="1"/>
  <c r="AB142" i="28"/>
  <c r="AF142" i="28" s="1"/>
  <c r="AJ142" i="28" s="1"/>
  <c r="AP142" i="28" s="1"/>
  <c r="AT142" i="28" s="1"/>
  <c r="AX142" i="28" s="1"/>
  <c r="BF142" i="28" s="1"/>
  <c r="R120" i="28"/>
  <c r="V120" i="28" s="1"/>
  <c r="AB120" i="28"/>
  <c r="AF120" i="28" s="1"/>
  <c r="AJ120" i="28" s="1"/>
  <c r="AP120" i="28" s="1"/>
  <c r="AT120" i="28" s="1"/>
  <c r="AX120" i="28" s="1"/>
  <c r="BF120" i="28" s="1"/>
  <c r="R111" i="28"/>
  <c r="V111" i="28" s="1"/>
  <c r="AB111" i="28"/>
  <c r="AF111" i="28" s="1"/>
  <c r="AJ111" i="28" s="1"/>
  <c r="AP111" i="28" s="1"/>
  <c r="AT111" i="28" s="1"/>
  <c r="AX111" i="28" s="1"/>
  <c r="BF111" i="28" s="1"/>
  <c r="L443" i="28"/>
  <c r="L268" i="28"/>
  <c r="L436" i="28" s="1"/>
  <c r="L447" i="28"/>
  <c r="K150" i="6"/>
  <c r="K29" i="6"/>
  <c r="L426" i="28"/>
  <c r="L458" i="28" s="1"/>
  <c r="K75" i="7"/>
  <c r="K61" i="7"/>
  <c r="L75" i="7"/>
  <c r="L61" i="7"/>
  <c r="K148" i="6"/>
  <c r="K149" i="6" s="1"/>
  <c r="K139" i="6"/>
  <c r="K143" i="6" s="1"/>
  <c r="K212" i="6" s="1"/>
  <c r="K32" i="6"/>
  <c r="L173" i="6"/>
  <c r="L139" i="6"/>
  <c r="L143" i="6" s="1"/>
  <c r="K34" i="6"/>
  <c r="K33" i="6"/>
  <c r="K23" i="6"/>
  <c r="K173" i="6"/>
  <c r="K172" i="6"/>
  <c r="L150" i="6"/>
  <c r="L147" i="6"/>
  <c r="K81" i="6"/>
  <c r="L148" i="6"/>
  <c r="L172" i="6"/>
  <c r="L83" i="28"/>
  <c r="L84" i="28" s="1"/>
  <c r="L33" i="28"/>
  <c r="L451" i="28" s="1"/>
  <c r="L409" i="28"/>
  <c r="L459" i="28" s="1"/>
  <c r="L448" i="28"/>
  <c r="L60" i="28"/>
  <c r="L449" i="28"/>
  <c r="L59" i="28"/>
  <c r="L441" i="28"/>
  <c r="K357" i="28"/>
  <c r="K449" i="28" s="1"/>
  <c r="K60" i="28"/>
  <c r="K73" i="28" s="1"/>
  <c r="L55" i="28"/>
  <c r="L440" i="28"/>
  <c r="K268" i="28"/>
  <c r="L439" i="28"/>
  <c r="K443" i="28"/>
  <c r="K12" i="28"/>
  <c r="L17" i="49"/>
  <c r="L18" i="49" s="1"/>
  <c r="L11" i="49"/>
  <c r="L9" i="49"/>
  <c r="L8" i="49"/>
  <c r="L6" i="49"/>
  <c r="M194" i="73"/>
  <c r="M195" i="73"/>
  <c r="M196" i="73"/>
  <c r="M197" i="73"/>
  <c r="M199" i="73"/>
  <c r="M200" i="73"/>
  <c r="Q200" i="73" s="1"/>
  <c r="U200" i="73" s="1"/>
  <c r="M182" i="73"/>
  <c r="Q182" i="73" s="1"/>
  <c r="U182" i="73" s="1"/>
  <c r="M91" i="73"/>
  <c r="Q91" i="73" s="1"/>
  <c r="U91" i="73" s="1"/>
  <c r="M92" i="73"/>
  <c r="Q92" i="73" s="1"/>
  <c r="U92" i="73" s="1"/>
  <c r="M83" i="73"/>
  <c r="Q83" i="73" s="1"/>
  <c r="U83" i="73" s="1"/>
  <c r="M84" i="73"/>
  <c r="Q84" i="73" s="1"/>
  <c r="U84" i="73" s="1"/>
  <c r="M85" i="73"/>
  <c r="Q85" i="73" s="1"/>
  <c r="U85" i="73" s="1"/>
  <c r="M86" i="73"/>
  <c r="Q86" i="73" s="1"/>
  <c r="U86" i="73" s="1"/>
  <c r="M68" i="73"/>
  <c r="Q68" i="73" s="1"/>
  <c r="U68" i="73" s="1"/>
  <c r="M69" i="73"/>
  <c r="M73" i="73"/>
  <c r="M74" i="73"/>
  <c r="Q74" i="73" s="1"/>
  <c r="U74" i="73" s="1"/>
  <c r="M43" i="73"/>
  <c r="Q43" i="73" s="1"/>
  <c r="U43" i="73" s="1"/>
  <c r="M44" i="73"/>
  <c r="Q44" i="73" s="1"/>
  <c r="U44" i="73" s="1"/>
  <c r="M45" i="73"/>
  <c r="Q45" i="73" s="1"/>
  <c r="U45" i="73" s="1"/>
  <c r="M18" i="73"/>
  <c r="Q18" i="73" s="1"/>
  <c r="M19" i="73"/>
  <c r="Q19" i="73" s="1"/>
  <c r="U19" i="73" s="1"/>
  <c r="M20" i="73"/>
  <c r="K188" i="73"/>
  <c r="K177" i="73"/>
  <c r="K186" i="73" s="1"/>
  <c r="K131" i="73"/>
  <c r="K127" i="73"/>
  <c r="K124" i="73"/>
  <c r="K120" i="73"/>
  <c r="K134" i="73" s="1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K8" i="73"/>
  <c r="K6" i="73" s="1"/>
  <c r="K124" i="90" l="1"/>
  <c r="K126" i="90" s="1"/>
  <c r="K130" i="90" s="1"/>
  <c r="M137" i="50"/>
  <c r="AE21" i="39"/>
  <c r="L437" i="28"/>
  <c r="L444" i="28"/>
  <c r="L445" i="28"/>
  <c r="Q199" i="73"/>
  <c r="U199" i="73" s="1"/>
  <c r="AA199" i="73"/>
  <c r="AE199" i="73" s="1"/>
  <c r="AI199" i="73" s="1"/>
  <c r="AO199" i="73" s="1"/>
  <c r="AS199" i="73" s="1"/>
  <c r="AW199" i="73" s="1"/>
  <c r="BE199" i="73" s="1"/>
  <c r="Q197" i="73"/>
  <c r="U197" i="73" s="1"/>
  <c r="AA197" i="73"/>
  <c r="AE197" i="73" s="1"/>
  <c r="AI197" i="73" s="1"/>
  <c r="AO197" i="73" s="1"/>
  <c r="AS197" i="73" s="1"/>
  <c r="AW197" i="73" s="1"/>
  <c r="BE197" i="73" s="1"/>
  <c r="Q196" i="73"/>
  <c r="U196" i="73" s="1"/>
  <c r="AA196" i="73"/>
  <c r="AE196" i="73" s="1"/>
  <c r="AI196" i="73" s="1"/>
  <c r="AO196" i="73" s="1"/>
  <c r="AS196" i="73" s="1"/>
  <c r="AW196" i="73" s="1"/>
  <c r="BE196" i="73" s="1"/>
  <c r="Q195" i="73"/>
  <c r="U195" i="73" s="1"/>
  <c r="AA195" i="73"/>
  <c r="AE195" i="73" s="1"/>
  <c r="AI195" i="73" s="1"/>
  <c r="AO195" i="73" s="1"/>
  <c r="AS195" i="73" s="1"/>
  <c r="AW195" i="73" s="1"/>
  <c r="BE195" i="73" s="1"/>
  <c r="Q194" i="73"/>
  <c r="U194" i="73" s="1"/>
  <c r="AA194" i="73"/>
  <c r="AE194" i="73" s="1"/>
  <c r="AI194" i="73" s="1"/>
  <c r="AO194" i="73" s="1"/>
  <c r="AS194" i="73" s="1"/>
  <c r="AW194" i="73" s="1"/>
  <c r="BE194" i="73" s="1"/>
  <c r="Q73" i="73"/>
  <c r="U73" i="73" s="1"/>
  <c r="AA73" i="73"/>
  <c r="AE73" i="73" s="1"/>
  <c r="AI73" i="73" s="1"/>
  <c r="AO73" i="73" s="1"/>
  <c r="AS73" i="73" s="1"/>
  <c r="AW73" i="73" s="1"/>
  <c r="Q69" i="73"/>
  <c r="U69" i="73" s="1"/>
  <c r="AA69" i="73"/>
  <c r="AE69" i="73" s="1"/>
  <c r="AI69" i="73" s="1"/>
  <c r="AO69" i="73" s="1"/>
  <c r="AS69" i="73" s="1"/>
  <c r="AW69" i="73" s="1"/>
  <c r="M139" i="50"/>
  <c r="M140" i="50" s="1"/>
  <c r="U18" i="73"/>
  <c r="K117" i="73"/>
  <c r="L61" i="28"/>
  <c r="L62" i="28" s="1"/>
  <c r="K204" i="6"/>
  <c r="K207" i="6"/>
  <c r="L174" i="6"/>
  <c r="K5" i="73"/>
  <c r="K174" i="6"/>
  <c r="K208" i="6"/>
  <c r="K210" i="6"/>
  <c r="K203" i="6"/>
  <c r="K213" i="6"/>
  <c r="K211" i="6"/>
  <c r="K205" i="6"/>
  <c r="K216" i="6"/>
  <c r="K219" i="6" s="1"/>
  <c r="K35" i="6"/>
  <c r="L149" i="6"/>
  <c r="L204" i="6"/>
  <c r="L218" i="6"/>
  <c r="L211" i="6"/>
  <c r="L208" i="6"/>
  <c r="L216" i="6"/>
  <c r="L212" i="6"/>
  <c r="L210" i="6"/>
  <c r="L213" i="6"/>
  <c r="L205" i="6"/>
  <c r="L203" i="6"/>
  <c r="L207" i="6"/>
  <c r="L217" i="6"/>
  <c r="L197" i="6"/>
  <c r="L199" i="6"/>
  <c r="L427" i="28"/>
  <c r="K448" i="28"/>
  <c r="L56" i="28"/>
  <c r="K437" i="28"/>
  <c r="K436" i="28"/>
  <c r="K213" i="28"/>
  <c r="K441" i="28" s="1"/>
  <c r="K58" i="28"/>
  <c r="K444" i="28"/>
  <c r="K447" i="28"/>
  <c r="K445" i="28"/>
  <c r="G42" i="59"/>
  <c r="G43" i="59"/>
  <c r="G46" i="59"/>
  <c r="G47" i="59"/>
  <c r="G48" i="59"/>
  <c r="N46" i="59"/>
  <c r="O46" i="59"/>
  <c r="N47" i="59"/>
  <c r="O47" i="59"/>
  <c r="N48" i="59"/>
  <c r="O48" i="59"/>
  <c r="N42" i="59"/>
  <c r="O42" i="59"/>
  <c r="N43" i="59"/>
  <c r="O43" i="59"/>
  <c r="H43" i="59"/>
  <c r="AI21" i="39" l="1"/>
  <c r="G49" i="59"/>
  <c r="L453" i="28"/>
  <c r="L431" i="28"/>
  <c r="L430" i="28"/>
  <c r="L452" i="28"/>
  <c r="G44" i="59"/>
  <c r="N44" i="59"/>
  <c r="N49" i="59"/>
  <c r="O44" i="59"/>
  <c r="O49" i="59"/>
  <c r="K214" i="6"/>
  <c r="K209" i="6"/>
  <c r="L214" i="6"/>
  <c r="O11" i="59" s="1"/>
  <c r="L219" i="6"/>
  <c r="L209" i="6"/>
  <c r="K65" i="28"/>
  <c r="BH60" i="59"/>
  <c r="BF60" i="59"/>
  <c r="BD60" i="59"/>
  <c r="O79" i="59"/>
  <c r="O78" i="59"/>
  <c r="O77" i="59"/>
  <c r="N76" i="59"/>
  <c r="O75" i="59"/>
  <c r="N75" i="59"/>
  <c r="O74" i="59"/>
  <c r="N74" i="59"/>
  <c r="O73" i="59"/>
  <c r="N73" i="59"/>
  <c r="O70" i="59"/>
  <c r="N70" i="59"/>
  <c r="O69" i="59"/>
  <c r="N69" i="59"/>
  <c r="O66" i="59"/>
  <c r="N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5" i="59"/>
  <c r="N45" i="59"/>
  <c r="O41" i="59"/>
  <c r="N41" i="59"/>
  <c r="N39" i="59"/>
  <c r="N38" i="59"/>
  <c r="N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N11" i="59"/>
  <c r="AO21" i="39" l="1"/>
  <c r="K215" i="6"/>
  <c r="K220" i="6" s="1"/>
  <c r="L215" i="6"/>
  <c r="L220" i="6" s="1"/>
  <c r="K440" i="28"/>
  <c r="K439" i="28"/>
  <c r="K16" i="36"/>
  <c r="K29" i="36"/>
  <c r="K28" i="36"/>
  <c r="K27" i="36"/>
  <c r="L26" i="36"/>
  <c r="L23" i="36"/>
  <c r="O72" i="59" s="1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13" i="36"/>
  <c r="N40" i="59" s="1"/>
  <c r="L12" i="36"/>
  <c r="O39" i="59" s="1"/>
  <c r="L11" i="36"/>
  <c r="O38" i="59" s="1"/>
  <c r="L10" i="36"/>
  <c r="O37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L28" i="21"/>
  <c r="K27" i="21"/>
  <c r="L24" i="21"/>
  <c r="L25" i="21" s="1"/>
  <c r="L18" i="21"/>
  <c r="L15" i="21"/>
  <c r="L12" i="21"/>
  <c r="K12" i="21"/>
  <c r="K23" i="35"/>
  <c r="K13" i="8" s="1"/>
  <c r="K16" i="8" s="1"/>
  <c r="K16" i="35"/>
  <c r="AS21" i="39" l="1"/>
  <c r="K39" i="36"/>
  <c r="K90" i="9"/>
  <c r="K19" i="9" s="1"/>
  <c r="N55" i="59"/>
  <c r="K38" i="36"/>
  <c r="K89" i="9"/>
  <c r="K91" i="9" s="1"/>
  <c r="N54" i="59"/>
  <c r="K13" i="49"/>
  <c r="K14" i="49" s="1"/>
  <c r="K15" i="49" s="1"/>
  <c r="K16" i="49" s="1"/>
  <c r="K19" i="49" s="1"/>
  <c r="K20" i="49" s="1"/>
  <c r="N6" i="59"/>
  <c r="J6" i="15"/>
  <c r="N78" i="59"/>
  <c r="J7" i="15"/>
  <c r="N79" i="59"/>
  <c r="J5" i="15"/>
  <c r="N77" i="59"/>
  <c r="L457" i="28"/>
  <c r="L456" i="28"/>
  <c r="L13" i="36"/>
  <c r="O40" i="59" s="1"/>
  <c r="L9" i="36"/>
  <c r="O10" i="59" s="1"/>
  <c r="L20" i="21"/>
  <c r="K22" i="21"/>
  <c r="K15" i="21"/>
  <c r="AW21" i="39" l="1"/>
  <c r="K41" i="35"/>
  <c r="L40" i="35"/>
  <c r="L39" i="35"/>
  <c r="K39" i="35"/>
  <c r="L36" i="35"/>
  <c r="L46" i="35" s="1"/>
  <c r="K36" i="35"/>
  <c r="L32" i="35"/>
  <c r="K42" i="35"/>
  <c r="L31" i="35"/>
  <c r="L30" i="35"/>
  <c r="K33" i="35"/>
  <c r="L26" i="35"/>
  <c r="L33" i="36" s="1"/>
  <c r="L34" i="36" s="1"/>
  <c r="L35" i="36" s="1"/>
  <c r="L36" i="36" s="1"/>
  <c r="K26" i="35"/>
  <c r="K21" i="35"/>
  <c r="K26" i="9" s="1"/>
  <c r="L20" i="35"/>
  <c r="K20" i="35"/>
  <c r="L19" i="35"/>
  <c r="K19" i="35"/>
  <c r="L14" i="35"/>
  <c r="L5" i="36" s="1"/>
  <c r="L13" i="35"/>
  <c r="L11" i="35"/>
  <c r="L10" i="6" s="1"/>
  <c r="K10" i="35"/>
  <c r="K9" i="35"/>
  <c r="K8" i="35"/>
  <c r="L7" i="35"/>
  <c r="L6" i="6" s="1"/>
  <c r="L6" i="35"/>
  <c r="L5" i="6" s="1"/>
  <c r="L15" i="35" l="1"/>
  <c r="BE21" i="39"/>
  <c r="K11" i="35"/>
  <c r="K10" i="6" s="1"/>
  <c r="K8" i="6"/>
  <c r="K14" i="35"/>
  <c r="K9" i="6"/>
  <c r="K46" i="35"/>
  <c r="K47" i="35" s="1"/>
  <c r="K28" i="28"/>
  <c r="K33" i="36"/>
  <c r="K34" i="36" s="1"/>
  <c r="K35" i="36" s="1"/>
  <c r="K36" i="36" s="1"/>
  <c r="K26" i="21"/>
  <c r="K28" i="21" s="1"/>
  <c r="L18" i="6"/>
  <c r="L16" i="6"/>
  <c r="L17" i="6"/>
  <c r="L15" i="6"/>
  <c r="L7" i="6"/>
  <c r="L8" i="35"/>
  <c r="L33" i="35"/>
  <c r="L37" i="35" s="1"/>
  <c r="M77" i="83" s="1"/>
  <c r="M75" i="83" s="1"/>
  <c r="L41" i="35"/>
  <c r="L47" i="35" s="1"/>
  <c r="L95" i="11"/>
  <c r="L13" i="49"/>
  <c r="O6" i="59"/>
  <c r="K37" i="35"/>
  <c r="K13" i="35"/>
  <c r="AB14" i="85"/>
  <c r="AB12" i="85"/>
  <c r="K53" i="35" l="1"/>
  <c r="K33" i="28"/>
  <c r="K50" i="28"/>
  <c r="K55" i="28" s="1"/>
  <c r="K456" i="28" s="1"/>
  <c r="K15" i="35"/>
  <c r="L194" i="6"/>
  <c r="L189" i="6"/>
  <c r="L168" i="6"/>
  <c r="L164" i="6"/>
  <c r="L19" i="6"/>
  <c r="L84" i="6" s="1"/>
  <c r="L25" i="36"/>
  <c r="O76" i="59" s="1"/>
  <c r="M93" i="50"/>
  <c r="M91" i="50" s="1"/>
  <c r="L53" i="35"/>
  <c r="I68" i="83"/>
  <c r="I69" i="83"/>
  <c r="I70" i="83"/>
  <c r="I71" i="83"/>
  <c r="I72" i="83"/>
  <c r="I51" i="83"/>
  <c r="I53" i="83"/>
  <c r="I54" i="83"/>
  <c r="I55" i="83"/>
  <c r="I56" i="83"/>
  <c r="I57" i="83"/>
  <c r="I58" i="83"/>
  <c r="I59" i="83"/>
  <c r="I60" i="83"/>
  <c r="I61" i="83"/>
  <c r="I63" i="83"/>
  <c r="I64" i="83"/>
  <c r="I65" i="83"/>
  <c r="I66" i="83"/>
  <c r="I50" i="83"/>
  <c r="I48" i="83"/>
  <c r="I47" i="83"/>
  <c r="I45" i="83"/>
  <c r="I39" i="83"/>
  <c r="I40" i="83"/>
  <c r="I41" i="83"/>
  <c r="I42" i="83"/>
  <c r="I43" i="83"/>
  <c r="I38" i="83"/>
  <c r="I5" i="83"/>
  <c r="I6" i="83"/>
  <c r="I7" i="83"/>
  <c r="I8" i="83"/>
  <c r="I10" i="83"/>
  <c r="I11" i="83"/>
  <c r="I12" i="83"/>
  <c r="I13" i="83"/>
  <c r="I14" i="83"/>
  <c r="I15" i="83"/>
  <c r="I16" i="83"/>
  <c r="I17" i="83"/>
  <c r="I19" i="83"/>
  <c r="I24" i="83"/>
  <c r="I25" i="83"/>
  <c r="I29" i="83"/>
  <c r="I30" i="83"/>
  <c r="I32" i="83"/>
  <c r="I33" i="83"/>
  <c r="I34" i="83"/>
  <c r="I35" i="83"/>
  <c r="I36" i="83"/>
  <c r="I4" i="83"/>
  <c r="J107" i="9"/>
  <c r="J108" i="9"/>
  <c r="K61" i="28" l="1"/>
  <c r="K427" i="28"/>
  <c r="L38" i="6"/>
  <c r="L40" i="6"/>
  <c r="L37" i="6"/>
  <c r="L39" i="6"/>
  <c r="L81" i="6"/>
  <c r="I73" i="83"/>
  <c r="I49" i="83"/>
  <c r="I44" i="83"/>
  <c r="I67" i="83"/>
  <c r="I29" i="9"/>
  <c r="K453" i="28" l="1"/>
  <c r="K430" i="28"/>
  <c r="K77" i="28"/>
  <c r="K431" i="28" s="1"/>
  <c r="K62" i="28"/>
  <c r="K457" i="28" s="1"/>
  <c r="L41" i="6"/>
  <c r="K452" i="28" l="1"/>
  <c r="K81" i="28"/>
  <c r="K451" i="28"/>
  <c r="J53" i="6" l="1"/>
  <c r="J52" i="6"/>
  <c r="J50" i="6"/>
  <c r="J49" i="6"/>
  <c r="J47" i="6"/>
  <c r="J46" i="6"/>
  <c r="J44" i="6"/>
  <c r="J43" i="6"/>
  <c r="E267" i="28" l="1"/>
  <c r="E266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0" i="11" l="1"/>
  <c r="AB20" i="11" l="1"/>
  <c r="AF20" i="11" s="1"/>
  <c r="AJ20" i="11" s="1"/>
  <c r="R20" i="11"/>
  <c r="V20" i="11" s="1"/>
  <c r="J7" i="10"/>
  <c r="J118" i="10"/>
  <c r="J119" i="10"/>
  <c r="J121" i="10"/>
  <c r="J123" i="10"/>
  <c r="J124" i="10"/>
  <c r="J125" i="10"/>
  <c r="J128" i="10"/>
  <c r="J129" i="10"/>
  <c r="J131" i="10"/>
  <c r="J132" i="10"/>
  <c r="J133" i="10"/>
  <c r="J135" i="10"/>
  <c r="J136" i="10"/>
  <c r="J137" i="10"/>
  <c r="J138" i="10"/>
  <c r="J139" i="10"/>
  <c r="J140" i="10"/>
  <c r="J141" i="10"/>
  <c r="J142" i="10"/>
  <c r="J146" i="10"/>
  <c r="J147" i="10"/>
  <c r="J148" i="10"/>
  <c r="J51" i="11"/>
  <c r="J50" i="11"/>
  <c r="J49" i="11"/>
  <c r="J48" i="11"/>
  <c r="J47" i="11"/>
  <c r="J46" i="11"/>
  <c r="J45" i="11"/>
  <c r="J44" i="11"/>
  <c r="J43" i="11"/>
  <c r="J42" i="11"/>
  <c r="I9" i="83"/>
  <c r="AP20" i="11" l="1"/>
  <c r="N28" i="10"/>
  <c r="J130" i="10"/>
  <c r="N130" i="10"/>
  <c r="N23" i="10"/>
  <c r="I28" i="83"/>
  <c r="N62" i="10"/>
  <c r="I18" i="83"/>
  <c r="J122" i="10"/>
  <c r="N122" i="10"/>
  <c r="N22" i="10"/>
  <c r="I27" i="83"/>
  <c r="N104" i="10"/>
  <c r="I31" i="83"/>
  <c r="J360" i="28"/>
  <c r="J362" i="28"/>
  <c r="J364" i="28"/>
  <c r="J367" i="28"/>
  <c r="J369" i="28"/>
  <c r="J370" i="28"/>
  <c r="J371" i="28"/>
  <c r="J382" i="28"/>
  <c r="J422" i="28"/>
  <c r="J423" i="28"/>
  <c r="J424" i="28"/>
  <c r="J425" i="28"/>
  <c r="J276" i="28"/>
  <c r="J88" i="28"/>
  <c r="J207" i="28"/>
  <c r="J208" i="28"/>
  <c r="J209" i="28"/>
  <c r="J210" i="28"/>
  <c r="R122" i="10" l="1"/>
  <c r="V122" i="10" s="1"/>
  <c r="AB122" i="10"/>
  <c r="AF122" i="10" s="1"/>
  <c r="AJ122" i="10" s="1"/>
  <c r="AP122" i="10" s="1"/>
  <c r="AT122" i="10" s="1"/>
  <c r="AX122" i="10" s="1"/>
  <c r="BF122" i="10" s="1"/>
  <c r="R104" i="10"/>
  <c r="V104" i="10" s="1"/>
  <c r="AB104" i="10"/>
  <c r="AF104" i="10" s="1"/>
  <c r="AJ104" i="10" s="1"/>
  <c r="AP104" i="10" s="1"/>
  <c r="AT104" i="10" s="1"/>
  <c r="AX104" i="10" s="1"/>
  <c r="BF104" i="10" s="1"/>
  <c r="R130" i="10"/>
  <c r="V130" i="10" s="1"/>
  <c r="AB130" i="10"/>
  <c r="AF130" i="10" s="1"/>
  <c r="AJ130" i="10" s="1"/>
  <c r="AP130" i="10" s="1"/>
  <c r="AT130" i="10" s="1"/>
  <c r="AX130" i="10" s="1"/>
  <c r="BF130" i="10" s="1"/>
  <c r="R23" i="10"/>
  <c r="V23" i="10" s="1"/>
  <c r="AB23" i="10"/>
  <c r="AF23" i="10" s="1"/>
  <c r="AJ23" i="10" s="1"/>
  <c r="AP23" i="10" s="1"/>
  <c r="AT23" i="10" s="1"/>
  <c r="AX23" i="10" s="1"/>
  <c r="BF23" i="10" s="1"/>
  <c r="R62" i="10"/>
  <c r="V62" i="10" s="1"/>
  <c r="AB62" i="10"/>
  <c r="AF62" i="10" s="1"/>
  <c r="AJ62" i="10" s="1"/>
  <c r="AP62" i="10" s="1"/>
  <c r="AT62" i="10" s="1"/>
  <c r="AX62" i="10" s="1"/>
  <c r="BF62" i="10" s="1"/>
  <c r="R22" i="10"/>
  <c r="V22" i="10" s="1"/>
  <c r="AB22" i="10"/>
  <c r="AF22" i="10" s="1"/>
  <c r="AJ22" i="10" s="1"/>
  <c r="AP22" i="10" s="1"/>
  <c r="AT22" i="10" s="1"/>
  <c r="AX22" i="10" s="1"/>
  <c r="BF22" i="10" s="1"/>
  <c r="R28" i="10"/>
  <c r="V28" i="10" s="1"/>
  <c r="AB28" i="10"/>
  <c r="AF28" i="10" s="1"/>
  <c r="AJ28" i="10" s="1"/>
  <c r="AP28" i="10" s="1"/>
  <c r="AT28" i="10" s="1"/>
  <c r="AX28" i="10" s="1"/>
  <c r="BF28" i="10" s="1"/>
  <c r="I37" i="83"/>
  <c r="I74" i="83" s="1"/>
  <c r="I195" i="73"/>
  <c r="I196" i="73"/>
  <c r="I200" i="73"/>
  <c r="I199" i="73"/>
  <c r="I197" i="73"/>
  <c r="I192" i="73"/>
  <c r="I182" i="73"/>
  <c r="I183" i="73"/>
  <c r="I180" i="73"/>
  <c r="I175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8" i="90" l="1"/>
  <c r="G133" i="90" l="1"/>
  <c r="AA128" i="90"/>
  <c r="BE128" i="90" s="1"/>
  <c r="Q128" i="90"/>
  <c r="I128" i="90"/>
  <c r="AI128" i="90"/>
  <c r="M128" i="90"/>
  <c r="AO128" i="90"/>
  <c r="AS128" i="90" s="1"/>
  <c r="AW128" i="90" s="1"/>
  <c r="AE128" i="90"/>
  <c r="U128" i="90"/>
  <c r="H21" i="39" l="1"/>
  <c r="N12" i="38" l="1"/>
  <c r="I48" i="50"/>
  <c r="I49" i="50"/>
  <c r="I50" i="50"/>
  <c r="I51" i="50"/>
  <c r="I52" i="50"/>
  <c r="I40" i="50"/>
  <c r="I41" i="50"/>
  <c r="I42" i="50"/>
  <c r="I43" i="50"/>
  <c r="I44" i="50"/>
  <c r="I45" i="50"/>
  <c r="I39" i="50"/>
  <c r="I5" i="50"/>
  <c r="K5" i="50" s="1"/>
  <c r="I6" i="50"/>
  <c r="K6" i="50" s="1"/>
  <c r="I7" i="50"/>
  <c r="K7" i="50" s="1"/>
  <c r="I8" i="50"/>
  <c r="K8" i="50" s="1"/>
  <c r="I9" i="50"/>
  <c r="K9" i="50" s="1"/>
  <c r="I10" i="50"/>
  <c r="K10" i="50" s="1"/>
  <c r="I11" i="50"/>
  <c r="K11" i="50" s="1"/>
  <c r="I12" i="50"/>
  <c r="I13" i="50"/>
  <c r="I14" i="50"/>
  <c r="I15" i="50"/>
  <c r="I16" i="50"/>
  <c r="I17" i="50"/>
  <c r="I18" i="50"/>
  <c r="I4" i="50"/>
  <c r="I131" i="50"/>
  <c r="I121" i="50"/>
  <c r="I96" i="50"/>
  <c r="I132" i="50"/>
  <c r="I122" i="50"/>
  <c r="I47" i="50"/>
  <c r="I7" i="61" l="1"/>
  <c r="K7" i="61" s="1"/>
  <c r="K15" i="50"/>
  <c r="I6" i="61"/>
  <c r="K6" i="61" s="1"/>
  <c r="K14" i="50"/>
  <c r="I5" i="61"/>
  <c r="K5" i="61" s="1"/>
  <c r="K13" i="50"/>
  <c r="I10" i="61"/>
  <c r="K10" i="61" s="1"/>
  <c r="K18" i="50"/>
  <c r="I4" i="61"/>
  <c r="K12" i="50"/>
  <c r="I9" i="61"/>
  <c r="K9" i="61" s="1"/>
  <c r="K17" i="50"/>
  <c r="I8" i="61"/>
  <c r="K8" i="61" s="1"/>
  <c r="K16" i="50"/>
  <c r="I53" i="50"/>
  <c r="I118" i="50" s="1"/>
  <c r="I38" i="50"/>
  <c r="I46" i="50"/>
  <c r="I133" i="50"/>
  <c r="I123" i="50"/>
  <c r="I110" i="50"/>
  <c r="I134" i="50"/>
  <c r="I124" i="50"/>
  <c r="H10" i="49"/>
  <c r="H12" i="49" s="1"/>
  <c r="H14" i="49" s="1"/>
  <c r="H15" i="49" s="1"/>
  <c r="H16" i="49" s="1"/>
  <c r="H19" i="49" s="1"/>
  <c r="H20" i="49" s="1"/>
  <c r="I16" i="61" l="1"/>
  <c r="I104" i="50"/>
  <c r="H154" i="10"/>
  <c r="H155" i="10" s="1"/>
  <c r="I113" i="50"/>
  <c r="I117" i="50"/>
  <c r="I119" i="50" s="1"/>
  <c r="I127" i="50"/>
  <c r="I90" i="50"/>
  <c r="I114" i="50"/>
  <c r="I97" i="50"/>
  <c r="I115" i="50" l="1"/>
  <c r="I103" i="50"/>
  <c r="I105" i="50" s="1"/>
  <c r="G2" i="17"/>
  <c r="G2" i="26"/>
  <c r="F2" i="17"/>
  <c r="F2" i="26"/>
  <c r="H53" i="35"/>
  <c r="I106" i="50" l="1"/>
  <c r="I111" i="50" s="1"/>
  <c r="L22" i="59" l="1"/>
  <c r="L15" i="59"/>
  <c r="M12" i="59"/>
  <c r="L12" i="59"/>
  <c r="L11" i="59"/>
  <c r="AK52" i="36"/>
  <c r="G124" i="90" l="1"/>
  <c r="G126" i="90" s="1"/>
  <c r="G130" i="90" s="1"/>
  <c r="I137" i="50"/>
  <c r="I139" i="50"/>
  <c r="I140" i="50" s="1"/>
  <c r="I93" i="50" l="1"/>
  <c r="I91" i="50" s="1"/>
  <c r="I77" i="83"/>
  <c r="I75" i="83" s="1"/>
  <c r="E133" i="90" l="1"/>
  <c r="I133" i="90" l="1"/>
  <c r="AA133" i="90"/>
  <c r="BE133" i="90" s="1"/>
  <c r="M133" i="90"/>
  <c r="AO133" i="90"/>
  <c r="AS133" i="90" s="1"/>
  <c r="AW133" i="90" s="1"/>
  <c r="AI133" i="90"/>
  <c r="Q133" i="90"/>
  <c r="U133" i="90"/>
  <c r="AE133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1" i="83"/>
  <c r="K51" i="83" s="1"/>
  <c r="G53" i="83"/>
  <c r="K53" i="83" s="1"/>
  <c r="G54" i="83"/>
  <c r="K54" i="83" s="1"/>
  <c r="G55" i="83"/>
  <c r="K55" i="83" s="1"/>
  <c r="G56" i="83"/>
  <c r="K56" i="83" s="1"/>
  <c r="G57" i="83"/>
  <c r="K57" i="83" s="1"/>
  <c r="G58" i="83"/>
  <c r="K58" i="83" s="1"/>
  <c r="G59" i="83"/>
  <c r="K59" i="83" s="1"/>
  <c r="G60" i="83"/>
  <c r="K60" i="83" s="1"/>
  <c r="G61" i="83"/>
  <c r="K61" i="83" s="1"/>
  <c r="G63" i="83"/>
  <c r="K63" i="83" s="1"/>
  <c r="G64" i="83"/>
  <c r="K64" i="83" s="1"/>
  <c r="G65" i="83"/>
  <c r="G50" i="83"/>
  <c r="G68" i="83"/>
  <c r="K68" i="83" s="1"/>
  <c r="G69" i="83"/>
  <c r="K69" i="83" s="1"/>
  <c r="G70" i="83"/>
  <c r="K70" i="83" s="1"/>
  <c r="G71" i="83"/>
  <c r="G72" i="83"/>
  <c r="Q19" i="35" l="1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O14" i="83"/>
  <c r="K13" i="83"/>
  <c r="O13" i="83"/>
  <c r="S13" i="83" s="1"/>
  <c r="W13" i="83" s="1"/>
  <c r="G14" i="50"/>
  <c r="G6" i="61" s="1"/>
  <c r="O6" i="61" s="1"/>
  <c r="AC6" i="61" s="1"/>
  <c r="AG6" i="61" s="1"/>
  <c r="AK6" i="61" s="1"/>
  <c r="AQ6" i="61" s="1"/>
  <c r="AU6" i="61" s="1"/>
  <c r="AY6" i="61" s="1"/>
  <c r="BG6" i="61" s="1"/>
  <c r="AC14" i="83" l="1"/>
  <c r="AG14" i="83" s="1"/>
  <c r="AK14" i="83" s="1"/>
  <c r="AQ14" i="83" s="1"/>
  <c r="AU14" i="83" s="1"/>
  <c r="AY14" i="83" s="1"/>
  <c r="BG14" i="83" s="1"/>
  <c r="S14" i="83"/>
  <c r="W14" i="83" s="1"/>
  <c r="O14" i="50"/>
  <c r="AA14" i="85"/>
  <c r="AA12" i="85"/>
  <c r="G47" i="83"/>
  <c r="G48" i="83"/>
  <c r="AC14" i="50" l="1"/>
  <c r="AG14" i="50" s="1"/>
  <c r="AK14" i="50" s="1"/>
  <c r="AQ14" i="50" s="1"/>
  <c r="AU14" i="50" s="1"/>
  <c r="AY14" i="50" s="1"/>
  <c r="BG14" i="50" s="1"/>
  <c r="S14" i="50"/>
  <c r="W14" i="50" s="1"/>
  <c r="K48" i="83"/>
  <c r="O48" i="83"/>
  <c r="S48" i="83" s="1"/>
  <c r="K47" i="83"/>
  <c r="O47" i="83"/>
  <c r="S47" i="83" s="1"/>
  <c r="N50" i="10" l="1"/>
  <c r="N55" i="10"/>
  <c r="N13" i="10"/>
  <c r="N30" i="10"/>
  <c r="R13" i="10" l="1"/>
  <c r="V13" i="10" s="1"/>
  <c r="AB13" i="10"/>
  <c r="AF13" i="10" s="1"/>
  <c r="AJ13" i="10" s="1"/>
  <c r="AP13" i="10" s="1"/>
  <c r="AT13" i="10" s="1"/>
  <c r="AX13" i="10" s="1"/>
  <c r="BF13" i="10" s="1"/>
  <c r="R55" i="10"/>
  <c r="V55" i="10" s="1"/>
  <c r="AB55" i="10"/>
  <c r="AF55" i="10" s="1"/>
  <c r="AJ55" i="10" s="1"/>
  <c r="AP55" i="10" s="1"/>
  <c r="AT55" i="10" s="1"/>
  <c r="AX55" i="10" s="1"/>
  <c r="BF55" i="10" s="1"/>
  <c r="R30" i="10"/>
  <c r="V30" i="10" s="1"/>
  <c r="AB30" i="10"/>
  <c r="AF30" i="10" s="1"/>
  <c r="AJ30" i="10" s="1"/>
  <c r="AP30" i="10" s="1"/>
  <c r="AT30" i="10" s="1"/>
  <c r="AX30" i="10" s="1"/>
  <c r="BF30" i="10" s="1"/>
  <c r="R50" i="10"/>
  <c r="V50" i="10" s="1"/>
  <c r="AB50" i="10"/>
  <c r="AF50" i="10" s="1"/>
  <c r="AJ50" i="10" s="1"/>
  <c r="AP50" i="10" s="1"/>
  <c r="AT50" i="10" s="1"/>
  <c r="AX50" i="10" s="1"/>
  <c r="BF50" i="10" s="1"/>
  <c r="AJ192" i="10" l="1"/>
  <c r="E103" i="7"/>
  <c r="I12" i="38" l="1"/>
  <c r="I11" i="38"/>
  <c r="M12" i="38" l="1"/>
  <c r="Q12" i="38"/>
  <c r="E129" i="26"/>
  <c r="F24" i="36" s="1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F192" i="10" l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M97" i="7" l="1"/>
  <c r="Q97" i="7"/>
  <c r="Y97" i="7"/>
  <c r="AA97" i="7"/>
  <c r="AE97" i="7"/>
  <c r="AM97" i="7"/>
  <c r="AO97" i="7"/>
  <c r="AS97" i="7"/>
  <c r="BA97" i="7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27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2" i="73"/>
  <c r="AW182" i="73" s="1"/>
  <c r="AW26" i="15" l="1"/>
  <c r="BE26" i="15" s="1"/>
  <c r="AW32" i="15"/>
  <c r="BE32" i="15" s="1"/>
  <c r="AW34" i="15"/>
  <c r="BE34" i="15" s="1"/>
  <c r="F14" i="35"/>
  <c r="F13" i="35"/>
  <c r="AE52" i="50" l="1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U52" i="50"/>
  <c r="U51" i="50"/>
  <c r="U50" i="50"/>
  <c r="U49" i="50"/>
  <c r="U48" i="50"/>
  <c r="U47" i="50"/>
  <c r="Q52" i="50"/>
  <c r="Q51" i="50"/>
  <c r="Q50" i="50"/>
  <c r="Q49" i="50"/>
  <c r="Q48" i="50"/>
  <c r="Q47" i="50"/>
  <c r="G52" i="50"/>
  <c r="G51" i="50"/>
  <c r="G50" i="50"/>
  <c r="G49" i="50"/>
  <c r="G48" i="50"/>
  <c r="G47" i="50"/>
  <c r="AE131" i="50"/>
  <c r="AO131" i="50" s="1"/>
  <c r="BE131" i="50" s="1"/>
  <c r="U131" i="50"/>
  <c r="Q131" i="50"/>
  <c r="U121" i="50"/>
  <c r="Q121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U5" i="50"/>
  <c r="U6" i="50"/>
  <c r="AA6" i="50" s="1"/>
  <c r="U7" i="50"/>
  <c r="AA7" i="50" s="1"/>
  <c r="U8" i="50"/>
  <c r="AA8" i="50" s="1"/>
  <c r="U9" i="50"/>
  <c r="AA9" i="50" s="1"/>
  <c r="U10" i="50"/>
  <c r="AA10" i="50" s="1"/>
  <c r="U11" i="50"/>
  <c r="AA11" i="50" s="1"/>
  <c r="U12" i="50"/>
  <c r="AA12" i="50" s="1"/>
  <c r="U13" i="50"/>
  <c r="G5" i="50"/>
  <c r="G6" i="50"/>
  <c r="G7" i="50"/>
  <c r="G8" i="50"/>
  <c r="G10" i="50"/>
  <c r="G11" i="50"/>
  <c r="G12" i="50"/>
  <c r="G13" i="50"/>
  <c r="G5" i="61" s="1"/>
  <c r="O5" i="61" s="1"/>
  <c r="G15" i="50"/>
  <c r="G7" i="61" s="1"/>
  <c r="O7" i="61" s="1"/>
  <c r="AC7" i="61" s="1"/>
  <c r="G16" i="50"/>
  <c r="G8" i="61" s="1"/>
  <c r="O8" i="61" s="1"/>
  <c r="AC8" i="61" s="1"/>
  <c r="G17" i="50"/>
  <c r="G9" i="61" s="1"/>
  <c r="O9" i="61" s="1"/>
  <c r="AC9" i="61" s="1"/>
  <c r="G18" i="50"/>
  <c r="G10" i="61" s="1"/>
  <c r="G19" i="50"/>
  <c r="G11" i="61" s="1"/>
  <c r="O11" i="61" s="1"/>
  <c r="AC11" i="61" s="1"/>
  <c r="AG11" i="61" s="1"/>
  <c r="BB118" i="10"/>
  <c r="BD118" i="10" s="1"/>
  <c r="BB119" i="10"/>
  <c r="BD119" i="10" s="1"/>
  <c r="BB120" i="10"/>
  <c r="BD120" i="10" s="1"/>
  <c r="BB121" i="10"/>
  <c r="BD121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8" i="10"/>
  <c r="BD128" i="10" s="1"/>
  <c r="BB129" i="10"/>
  <c r="BD129" i="10" s="1"/>
  <c r="BB130" i="10"/>
  <c r="BD130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8" i="10"/>
  <c r="BD138" i="10" s="1"/>
  <c r="BB139" i="10"/>
  <c r="BD139" i="10" s="1"/>
  <c r="BB140" i="10"/>
  <c r="BD140" i="10" s="1"/>
  <c r="BB141" i="10"/>
  <c r="BD141" i="10" s="1"/>
  <c r="BB146" i="10"/>
  <c r="BD146" i="10" s="1"/>
  <c r="BB147" i="10"/>
  <c r="BD147" i="10" s="1"/>
  <c r="BB148" i="10"/>
  <c r="BD148" i="10" s="1"/>
  <c r="BB149" i="10"/>
  <c r="R137" i="10"/>
  <c r="V137" i="10" s="1"/>
  <c r="R140" i="10"/>
  <c r="V140" i="10" s="1"/>
  <c r="R141" i="10"/>
  <c r="V141" i="10" s="1"/>
  <c r="R144" i="10"/>
  <c r="V144" i="10" s="1"/>
  <c r="R145" i="10"/>
  <c r="V145" i="10" s="1"/>
  <c r="R147" i="10"/>
  <c r="V147" i="10" s="1"/>
  <c r="R148" i="10"/>
  <c r="V148" i="10" s="1"/>
  <c r="J149" i="10"/>
  <c r="N414" i="28"/>
  <c r="R414" i="28" s="1"/>
  <c r="V414" i="28" s="1"/>
  <c r="Z414" i="28"/>
  <c r="AN414" i="28"/>
  <c r="BB414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AA51" i="50" l="1"/>
  <c r="BE53" i="50"/>
  <c r="AO53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AA13" i="50"/>
  <c r="U5" i="61"/>
  <c r="AA5" i="61" s="1"/>
  <c r="AC5" i="61" s="1"/>
  <c r="AA48" i="50"/>
  <c r="AA121" i="50"/>
  <c r="AA49" i="50"/>
  <c r="AA50" i="50"/>
  <c r="AA52" i="50"/>
  <c r="O19" i="50"/>
  <c r="AC19" i="50" s="1"/>
  <c r="O5" i="50"/>
  <c r="O47" i="50"/>
  <c r="K47" i="50"/>
  <c r="U53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2" i="50"/>
  <c r="K52" i="50"/>
  <c r="O12" i="50"/>
  <c r="Q53" i="50"/>
  <c r="AA47" i="50"/>
  <c r="AE53" i="50"/>
  <c r="O11" i="50"/>
  <c r="O10" i="50"/>
  <c r="O8" i="50"/>
  <c r="AA131" i="50"/>
  <c r="K25" i="50"/>
  <c r="O7" i="50"/>
  <c r="O6" i="50"/>
  <c r="U4" i="61"/>
  <c r="Q122" i="50"/>
  <c r="Q124" i="50" s="1"/>
  <c r="U122" i="50"/>
  <c r="U123" i="50" s="1"/>
  <c r="AB414" i="28"/>
  <c r="AF414" i="28" s="1"/>
  <c r="AJ414" i="28" s="1"/>
  <c r="AP414" i="28" s="1"/>
  <c r="AT414" i="28" s="1"/>
  <c r="BF133" i="10"/>
  <c r="BF149" i="10"/>
  <c r="BF142" i="10"/>
  <c r="BF146" i="10"/>
  <c r="BF120" i="10"/>
  <c r="G53" i="50"/>
  <c r="BD149" i="10"/>
  <c r="R146" i="10"/>
  <c r="V146" i="10" s="1"/>
  <c r="R149" i="10"/>
  <c r="V149" i="10" s="1"/>
  <c r="R142" i="10"/>
  <c r="V142" i="10" s="1"/>
  <c r="R135" i="10"/>
  <c r="V135" i="10" s="1"/>
  <c r="BF148" i="10"/>
  <c r="BF140" i="10"/>
  <c r="BF131" i="10"/>
  <c r="BF121" i="10"/>
  <c r="BF145" i="10"/>
  <c r="BF134" i="10"/>
  <c r="BF119" i="10"/>
  <c r="BF147" i="10"/>
  <c r="BF118" i="10"/>
  <c r="BF141" i="10"/>
  <c r="AE110" i="50"/>
  <c r="AO110" i="50" s="1"/>
  <c r="BE110" i="50" s="1"/>
  <c r="BD414" i="28"/>
  <c r="AX414" i="28" l="1"/>
  <c r="BF414" i="28" s="1"/>
  <c r="AG5" i="61"/>
  <c r="AE16" i="61"/>
  <c r="AG7" i="61"/>
  <c r="AK7" i="61" s="1"/>
  <c r="AQ7" i="61" s="1"/>
  <c r="AU7" i="61" s="1"/>
  <c r="AY7" i="61" s="1"/>
  <c r="BG7" i="61" s="1"/>
  <c r="AG8" i="61"/>
  <c r="AK8" i="61" s="1"/>
  <c r="AQ8" i="61" s="1"/>
  <c r="AU8" i="61" s="1"/>
  <c r="AY8" i="61" s="1"/>
  <c r="BG8" i="61" s="1"/>
  <c r="AG9" i="61"/>
  <c r="AK9" i="61" s="1"/>
  <c r="AQ9" i="61" s="1"/>
  <c r="AU9" i="61" s="1"/>
  <c r="AY9" i="61" s="1"/>
  <c r="BG9" i="61" s="1"/>
  <c r="U16" i="61"/>
  <c r="U124" i="50"/>
  <c r="AA124" i="50" s="1"/>
  <c r="AC10" i="61"/>
  <c r="S10" i="61"/>
  <c r="W10" i="61" s="1"/>
  <c r="AA53" i="50"/>
  <c r="Q123" i="50"/>
  <c r="AA122" i="50"/>
  <c r="S30" i="50"/>
  <c r="W30" i="50" s="1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S23" i="50"/>
  <c r="W23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3" i="50"/>
  <c r="S11" i="50"/>
  <c r="W11" i="50" s="1"/>
  <c r="AC11" i="50"/>
  <c r="AG11" i="50" s="1"/>
  <c r="AK11" i="50" s="1"/>
  <c r="AQ11" i="50" s="1"/>
  <c r="AU11" i="50" s="1"/>
  <c r="AY11" i="50" s="1"/>
  <c r="BG11" i="50" s="1"/>
  <c r="O53" i="50"/>
  <c r="AC47" i="50"/>
  <c r="S47" i="50"/>
  <c r="S25" i="50"/>
  <c r="W25" i="50" s="1"/>
  <c r="AK25" i="50"/>
  <c r="AQ25" i="50" s="1"/>
  <c r="AU25" i="50" s="1"/>
  <c r="AY25" i="50" s="1"/>
  <c r="BG25" i="50" s="1"/>
  <c r="AC52" i="50"/>
  <c r="AG52" i="50" s="1"/>
  <c r="AK52" i="50" s="1"/>
  <c r="AQ52" i="50" s="1"/>
  <c r="AU52" i="50" s="1"/>
  <c r="AY52" i="50" s="1"/>
  <c r="BG52" i="50" s="1"/>
  <c r="S52" i="50"/>
  <c r="W52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G10" i="61" l="1"/>
  <c r="AK10" i="61" s="1"/>
  <c r="AQ10" i="61" s="1"/>
  <c r="AU10" i="61" s="1"/>
  <c r="AY10" i="61" s="1"/>
  <c r="BG10" i="61" s="1"/>
  <c r="W5" i="50"/>
  <c r="AG5" i="50"/>
  <c r="W47" i="50"/>
  <c r="W53" i="50" s="1"/>
  <c r="S53" i="50"/>
  <c r="AC53" i="50"/>
  <c r="AG47" i="50"/>
  <c r="AK5" i="50" l="1"/>
  <c r="AK47" i="50"/>
  <c r="AG53" i="50"/>
  <c r="AQ5" i="50" l="1"/>
  <c r="AU5" i="50" s="1"/>
  <c r="AY5" i="50" s="1"/>
  <c r="BG5" i="50" s="1"/>
  <c r="AK53" i="50"/>
  <c r="AQ47" i="50"/>
  <c r="AU47" i="50" s="1"/>
  <c r="AU53" i="50" l="1"/>
  <c r="AY47" i="50"/>
  <c r="AQ53" i="50"/>
  <c r="AY53" i="50" l="1"/>
  <c r="BG47" i="50"/>
  <c r="BG53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4" i="52" l="1"/>
  <c r="BA14" i="52"/>
  <c r="BB13" i="52"/>
  <c r="BA13" i="52"/>
  <c r="BB12" i="52"/>
  <c r="BA12" i="52"/>
  <c r="BB11" i="52"/>
  <c r="BA11" i="52"/>
  <c r="BB10" i="52"/>
  <c r="BA10" i="52"/>
  <c r="BB9" i="52"/>
  <c r="BA9" i="52"/>
  <c r="BB7" i="52"/>
  <c r="BA7" i="52"/>
  <c r="BB6" i="52"/>
  <c r="BA6" i="52"/>
  <c r="BB5" i="52"/>
  <c r="BA5" i="52"/>
  <c r="AZ15" i="52"/>
  <c r="AY15" i="52"/>
  <c r="AZ8" i="52"/>
  <c r="AY8" i="52"/>
  <c r="AZ16" i="52" l="1"/>
  <c r="BA8" i="52"/>
  <c r="AY16" i="52"/>
  <c r="BB15" i="52"/>
  <c r="BA15" i="52"/>
  <c r="BB8" i="52"/>
  <c r="BA16" i="52" l="1"/>
  <c r="BB16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0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s="1"/>
  <c r="BA12" i="17" l="1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1" i="73"/>
  <c r="BA10" i="15"/>
  <c r="AM200" i="73"/>
  <c r="AM190" i="73"/>
  <c r="AM189" i="73"/>
  <c r="AM185" i="73"/>
  <c r="AM184" i="73"/>
  <c r="AM183" i="73"/>
  <c r="AM182" i="73"/>
  <c r="AM181" i="73"/>
  <c r="AM180" i="73"/>
  <c r="AM179" i="73"/>
  <c r="AM178" i="73"/>
  <c r="AM176" i="73"/>
  <c r="AM133" i="73"/>
  <c r="AM132" i="73"/>
  <c r="AM128" i="73"/>
  <c r="AM126" i="73"/>
  <c r="AM125" i="73"/>
  <c r="AM123" i="73"/>
  <c r="AM122" i="73"/>
  <c r="AM121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1" i="73"/>
  <c r="Y122" i="73"/>
  <c r="Y123" i="73"/>
  <c r="Y125" i="73"/>
  <c r="Y126" i="73"/>
  <c r="Y128" i="73"/>
  <c r="Y132" i="73"/>
  <c r="Y133" i="73"/>
  <c r="Y175" i="73"/>
  <c r="Y176" i="73"/>
  <c r="Y178" i="73"/>
  <c r="Y179" i="73"/>
  <c r="Y180" i="73"/>
  <c r="Y181" i="73"/>
  <c r="Y182" i="73"/>
  <c r="AA182" i="73" s="1"/>
  <c r="Y183" i="73"/>
  <c r="Y184" i="73"/>
  <c r="Y185" i="73"/>
  <c r="Y189" i="73"/>
  <c r="Y190" i="73"/>
  <c r="Y200" i="73"/>
  <c r="AA200" i="73" s="1"/>
  <c r="AE200" i="73" s="1"/>
  <c r="U139" i="50"/>
  <c r="E14" i="73"/>
  <c r="BE182" i="73"/>
  <c r="BD186" i="73"/>
  <c r="BD131" i="73"/>
  <c r="BD127" i="73"/>
  <c r="BD124" i="73"/>
  <c r="BD134" i="73" s="1"/>
  <c r="BD108" i="73"/>
  <c r="BD117" i="73" s="1"/>
  <c r="G137" i="50" l="1"/>
  <c r="E124" i="90"/>
  <c r="BC182" i="73"/>
  <c r="Y14" i="73"/>
  <c r="Q139" i="50"/>
  <c r="AA139" i="50" s="1"/>
  <c r="AM14" i="73"/>
  <c r="AE139" i="50"/>
  <c r="AO139" i="50" s="1"/>
  <c r="BE139" i="50" s="1"/>
  <c r="AA18" i="73"/>
  <c r="AE18" i="73" s="1"/>
  <c r="AI18" i="73" s="1"/>
  <c r="AO18" i="73" s="1"/>
  <c r="Y16" i="73"/>
  <c r="AM16" i="73"/>
  <c r="BC199" i="73"/>
  <c r="BC18" i="73"/>
  <c r="BA112" i="17"/>
  <c r="BA51" i="17"/>
  <c r="BA113" i="17" s="1"/>
  <c r="M124" i="90" l="1"/>
  <c r="AA124" i="90"/>
  <c r="BE124" i="90" s="1"/>
  <c r="I124" i="90"/>
  <c r="AO124" i="90"/>
  <c r="AS124" i="90" s="1"/>
  <c r="AW124" i="90" s="1"/>
  <c r="AI124" i="90"/>
  <c r="Q124" i="90"/>
  <c r="U124" i="90"/>
  <c r="AE124" i="90"/>
  <c r="E126" i="90"/>
  <c r="E130" i="90" s="1"/>
  <c r="K137" i="50"/>
  <c r="O137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C168" i="10" s="1"/>
  <c r="BB89" i="26"/>
  <c r="BC74" i="11" s="1"/>
  <c r="BB87" i="26"/>
  <c r="BD110" i="45" s="1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26" i="90" l="1"/>
  <c r="M130" i="90" s="1"/>
  <c r="AA126" i="90"/>
  <c r="I126" i="90"/>
  <c r="I130" i="90" s="1"/>
  <c r="AI126" i="90"/>
  <c r="AI130" i="90" s="1"/>
  <c r="AE126" i="90"/>
  <c r="AE130" i="90" s="1"/>
  <c r="Q126" i="90"/>
  <c r="Q130" i="90" s="1"/>
  <c r="AO126" i="90"/>
  <c r="U126" i="90"/>
  <c r="U130" i="90" s="1"/>
  <c r="AC137" i="50"/>
  <c r="AG137" i="50" s="1"/>
  <c r="AK137" i="50" s="1"/>
  <c r="AQ137" i="50" s="1"/>
  <c r="AU137" i="50" s="1"/>
  <c r="AY137" i="50" s="1"/>
  <c r="BG137" i="50" s="1"/>
  <c r="S137" i="50"/>
  <c r="W137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B168" i="10" s="1"/>
  <c r="BA89" i="26"/>
  <c r="BB74" i="11" s="1"/>
  <c r="BA87" i="26"/>
  <c r="BC110" i="45" s="1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AS126" i="90" l="1"/>
  <c r="AO130" i="90"/>
  <c r="BE126" i="90"/>
  <c r="BE130" i="90" s="1"/>
  <c r="AA130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6" i="90" l="1"/>
  <c r="AW130" i="90" s="1"/>
  <c r="AS130" i="90"/>
  <c r="BA18" i="26"/>
  <c r="BA19" i="26"/>
  <c r="G131" i="50"/>
  <c r="K131" i="50" l="1"/>
  <c r="O131" i="50"/>
  <c r="AE132" i="50"/>
  <c r="AO132" i="50" s="1"/>
  <c r="U132" i="50"/>
  <c r="AO133" i="50" l="1"/>
  <c r="BE132" i="50"/>
  <c r="BE133" i="50" s="1"/>
  <c r="S131" i="50"/>
  <c r="W131" i="50" s="1"/>
  <c r="AC131" i="50"/>
  <c r="AG131" i="50" s="1"/>
  <c r="AK131" i="50" s="1"/>
  <c r="AQ131" i="50" s="1"/>
  <c r="AU131" i="50" s="1"/>
  <c r="AY131" i="50" s="1"/>
  <c r="BG131" i="50" s="1"/>
  <c r="AE133" i="50"/>
  <c r="AE134" i="50"/>
  <c r="AO134" i="50" s="1"/>
  <c r="BE134" i="50" s="1"/>
  <c r="U133" i="50"/>
  <c r="U134" i="50"/>
  <c r="U140" i="50" s="1"/>
  <c r="Q132" i="50"/>
  <c r="AA132" i="50" s="1"/>
  <c r="BC459" i="28"/>
  <c r="BA459" i="28"/>
  <c r="BC458" i="28"/>
  <c r="BA458" i="28"/>
  <c r="BB425" i="28"/>
  <c r="BB424" i="28"/>
  <c r="BB423" i="28"/>
  <c r="BB422" i="28"/>
  <c r="BB421" i="28"/>
  <c r="BB420" i="28"/>
  <c r="BB419" i="28"/>
  <c r="BB417" i="28"/>
  <c r="BB416" i="28"/>
  <c r="BB413" i="28"/>
  <c r="BB412" i="28"/>
  <c r="BB408" i="28"/>
  <c r="BB378" i="28"/>
  <c r="BB371" i="28"/>
  <c r="BB359" i="28"/>
  <c r="BB276" i="28"/>
  <c r="BB272" i="28"/>
  <c r="BB271" i="28"/>
  <c r="BB270" i="28"/>
  <c r="BB235" i="28"/>
  <c r="BB233" i="28"/>
  <c r="BB232" i="28"/>
  <c r="BB228" i="28"/>
  <c r="BB216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3" i="28" s="1"/>
  <c r="BB15" i="28"/>
  <c r="BA15" i="28"/>
  <c r="BB14" i="28"/>
  <c r="BB11" i="28"/>
  <c r="BA11" i="28"/>
  <c r="BB10" i="28"/>
  <c r="BA10" i="28"/>
  <c r="BB9" i="28"/>
  <c r="BA9" i="28"/>
  <c r="BB8" i="28"/>
  <c r="BB7" i="28"/>
  <c r="AE140" i="50" l="1"/>
  <c r="AO140" i="50" s="1"/>
  <c r="Q133" i="50"/>
  <c r="Q134" i="50"/>
  <c r="AA134" i="50" s="1"/>
  <c r="Q140" i="50" l="1"/>
  <c r="AA140" i="50" s="1"/>
  <c r="AY7" i="72" l="1"/>
  <c r="AW37" i="72"/>
  <c r="AW30" i="72"/>
  <c r="AW14" i="72"/>
  <c r="AC73" i="90" l="1"/>
  <c r="AM73" i="90" s="1"/>
  <c r="AU73" i="90"/>
  <c r="BA73" i="90" s="1"/>
  <c r="AC72" i="90"/>
  <c r="AM72" i="90" s="1"/>
  <c r="AU72" i="90"/>
  <c r="BA72" i="90" s="1"/>
  <c r="AW41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20" i="45"/>
  <c r="BC119" i="45"/>
  <c r="BC124" i="45" s="1"/>
  <c r="BC115" i="45"/>
  <c r="BC114" i="45"/>
  <c r="BC103" i="45"/>
  <c r="BB103" i="45"/>
  <c r="BC101" i="45"/>
  <c r="BB101" i="45"/>
  <c r="BC6" i="45"/>
  <c r="BC139" i="45" s="1"/>
  <c r="BC143" i="45" s="1"/>
  <c r="BC5" i="45"/>
  <c r="BC105" i="45" s="1"/>
  <c r="BB5" i="45"/>
  <c r="BC2" i="45"/>
  <c r="BB2" i="45"/>
  <c r="BB43" i="11"/>
  <c r="BB44" i="11"/>
  <c r="BB45" i="11"/>
  <c r="BB46" i="11"/>
  <c r="BB47" i="11"/>
  <c r="BB48" i="11"/>
  <c r="BB49" i="11"/>
  <c r="BB50" i="11"/>
  <c r="BB8" i="11"/>
  <c r="BB9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83" i="11"/>
  <c r="BB79" i="11"/>
  <c r="BB78" i="11"/>
  <c r="BB67" i="11"/>
  <c r="BA67" i="11"/>
  <c r="BB65" i="11"/>
  <c r="BA65" i="11"/>
  <c r="BB51" i="11"/>
  <c r="BB42" i="11"/>
  <c r="BB7" i="11"/>
  <c r="BB5" i="11"/>
  <c r="BB69" i="11" s="1"/>
  <c r="BA5" i="11"/>
  <c r="BB2" i="11"/>
  <c r="BA2" i="11"/>
  <c r="BB177" i="10"/>
  <c r="BB182" i="10" s="1"/>
  <c r="BB173" i="10"/>
  <c r="BB172" i="10"/>
  <c r="BB161" i="10"/>
  <c r="BA161" i="10"/>
  <c r="BB159" i="10"/>
  <c r="BA159" i="10"/>
  <c r="BB7" i="10"/>
  <c r="BB5" i="10"/>
  <c r="BB180" i="10" s="1"/>
  <c r="BA5" i="10"/>
  <c r="BB2" i="10"/>
  <c r="BA2" i="10"/>
  <c r="BB163" i="10" l="1"/>
  <c r="BB102" i="45"/>
  <c r="BD73" i="59" s="1"/>
  <c r="BA68" i="11"/>
  <c r="BA66" i="11"/>
  <c r="BD69" i="59" s="1"/>
  <c r="BA162" i="10"/>
  <c r="BB80" i="11"/>
  <c r="BB87" i="11" s="1"/>
  <c r="BB68" i="11"/>
  <c r="BB174" i="10"/>
  <c r="BB175" i="10" s="1"/>
  <c r="BC89" i="45"/>
  <c r="BB104" i="45"/>
  <c r="BC116" i="45"/>
  <c r="BC88" i="45"/>
  <c r="BC126" i="45" s="1"/>
  <c r="BC104" i="45"/>
  <c r="BC90" i="45"/>
  <c r="BC122" i="45"/>
  <c r="BC102" i="45"/>
  <c r="BE73" i="59" s="1"/>
  <c r="BB52" i="11"/>
  <c r="BB89" i="11" s="1"/>
  <c r="BB53" i="11"/>
  <c r="BB66" i="11"/>
  <c r="BE69" i="59" s="1"/>
  <c r="BB86" i="11"/>
  <c r="BB54" i="11"/>
  <c r="BB56" i="11"/>
  <c r="BB88" i="11"/>
  <c r="BB160" i="10"/>
  <c r="BE65" i="59" s="1"/>
  <c r="BB162" i="10"/>
  <c r="BA160" i="10"/>
  <c r="BD65" i="59" s="1"/>
  <c r="W90" i="45" l="1"/>
  <c r="BB81" i="11"/>
  <c r="BB181" i="10"/>
  <c r="BC112" i="45"/>
  <c r="BE74" i="59" s="1"/>
  <c r="BB55" i="11"/>
  <c r="BB22" i="36" s="1"/>
  <c r="BE68" i="59" s="1"/>
  <c r="BC91" i="45"/>
  <c r="BB76" i="11"/>
  <c r="BE70" i="59" s="1"/>
  <c r="BC92" i="45"/>
  <c r="BC93" i="45" s="1"/>
  <c r="BC117" i="45"/>
  <c r="BC123" i="45"/>
  <c r="BC118" i="45"/>
  <c r="BC127" i="45"/>
  <c r="BC128" i="45" s="1"/>
  <c r="BB57" i="11"/>
  <c r="BB90" i="11"/>
  <c r="BB91" i="11" s="1"/>
  <c r="BB82" i="11"/>
  <c r="BB93" i="11"/>
  <c r="AZ1" i="35"/>
  <c r="AZ21" i="35" s="1"/>
  <c r="AZ26" i="9" s="1"/>
  <c r="W118" i="45" l="1"/>
  <c r="W127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06" i="45"/>
  <c r="AY70" i="11"/>
  <c r="AY164" i="10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19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CP52" i="71" l="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A35" i="7" s="1"/>
  <c r="BA100" i="7" s="1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A79" i="7" s="1"/>
  <c r="BD28" i="59" s="1"/>
  <c r="BB37" i="9"/>
  <c r="BB73" i="7"/>
  <c r="BB65" i="7"/>
  <c r="BB172" i="6"/>
  <c r="BB173" i="6"/>
  <c r="BB175" i="6"/>
  <c r="BA73" i="7"/>
  <c r="BA20" i="7"/>
  <c r="BB20" i="7"/>
  <c r="BE22" i="59" l="1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A34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34" i="7"/>
  <c r="BB88" i="7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B36" i="7"/>
  <c r="BB51" i="7" s="1"/>
  <c r="BB75" i="7" s="1"/>
  <c r="BB101" i="7"/>
  <c r="BA174" i="6"/>
  <c r="BB61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1" i="35"/>
  <c r="BA51" i="35"/>
  <c r="BB49" i="35"/>
  <c r="BA49" i="35"/>
  <c r="BB48" i="35"/>
  <c r="BA48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89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3" i="11"/>
  <c r="AZ9" i="15"/>
  <c r="BB91" i="45"/>
  <c r="BD72" i="59" s="1"/>
  <c r="BB112" i="45"/>
  <c r="BD74" i="59" s="1"/>
  <c r="BB88" i="45"/>
  <c r="BB92" i="45"/>
  <c r="BA151" i="10"/>
  <c r="BB10" i="36"/>
  <c r="BE37" i="59" s="1"/>
  <c r="BB12" i="36"/>
  <c r="BE39" i="59" s="1"/>
  <c r="BB11" i="36"/>
  <c r="BE38" i="59" s="1"/>
  <c r="BA9" i="15"/>
  <c r="BB95" i="11"/>
  <c r="BB52" i="36"/>
  <c r="BB5" i="9"/>
  <c r="BB5" i="36"/>
  <c r="BB36" i="35"/>
  <c r="BB46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6" i="35" s="1"/>
  <c r="AZ20" i="49" l="1"/>
  <c r="AZ15" i="36" s="1"/>
  <c r="AZ74" i="8" s="1"/>
  <c r="BB19" i="49"/>
  <c r="BA150" i="10"/>
  <c r="BA170" i="10"/>
  <c r="BD66" i="59" s="1"/>
  <c r="BA153" i="10"/>
  <c r="BD64" i="59" s="1"/>
  <c r="BA33" i="22"/>
  <c r="AZ131" i="26"/>
  <c r="BA89" i="9"/>
  <c r="BA95" i="11"/>
  <c r="BA76" i="11"/>
  <c r="BD70" i="59" s="1"/>
  <c r="BA52" i="11"/>
  <c r="BA55" i="11"/>
  <c r="BB13" i="49"/>
  <c r="BE6" i="59"/>
  <c r="BB33" i="22"/>
  <c r="BA131" i="26"/>
  <c r="BE60" i="59"/>
  <c r="BB37" i="35"/>
  <c r="BC93" i="50" s="1"/>
  <c r="BC91" i="50" s="1"/>
  <c r="BB73" i="9"/>
  <c r="BB89" i="9"/>
  <c r="BB76" i="9"/>
  <c r="BB72" i="9"/>
  <c r="BB75" i="9"/>
  <c r="BB78" i="9"/>
  <c r="BB96" i="9"/>
  <c r="BB94" i="9"/>
  <c r="BA37" i="35"/>
  <c r="BB15" i="35"/>
  <c r="BB47" i="35"/>
  <c r="BC53" i="59" l="1"/>
  <c r="R136" i="10"/>
  <c r="V136" i="10" s="1"/>
  <c r="AN152" i="10"/>
  <c r="BA18" i="15"/>
  <c r="BE18" i="15"/>
  <c r="BA8" i="35"/>
  <c r="BA5" i="6"/>
  <c r="BA6" i="6"/>
  <c r="BA16" i="6" s="1"/>
  <c r="BB53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T21" i="35"/>
  <c r="T26" i="9" s="1"/>
  <c r="F21" i="35"/>
  <c r="AN3" i="8"/>
  <c r="BD3" i="8" s="1"/>
  <c r="X21" i="35"/>
  <c r="X26" i="9" s="1"/>
  <c r="L26" i="9"/>
  <c r="AR21" i="35" l="1"/>
  <c r="AR26" i="9" s="1"/>
  <c r="P21" i="35"/>
  <c r="P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s="1"/>
  <c r="U110" i="50" l="1"/>
  <c r="BF136" i="10" l="1"/>
  <c r="J152" i="10"/>
  <c r="F152" i="10"/>
  <c r="BB137" i="10"/>
  <c r="BD137" i="10" s="1"/>
  <c r="BF138" i="10"/>
  <c r="BD152" i="10" l="1"/>
  <c r="BB152" i="10"/>
  <c r="R138" i="10"/>
  <c r="V138" i="10" s="1"/>
  <c r="N152" i="10"/>
  <c r="BF139" i="10"/>
  <c r="R139" i="10"/>
  <c r="V139" i="10" s="1"/>
  <c r="U103" i="50"/>
  <c r="BF135" i="10"/>
  <c r="AD12" i="38"/>
  <c r="AR12" i="38"/>
  <c r="AK24" i="50" l="1"/>
  <c r="AQ24" i="50" s="1"/>
  <c r="AU24" i="50" s="1"/>
  <c r="AY24" i="50" s="1"/>
  <c r="BG24" i="50" s="1"/>
  <c r="S24" i="50"/>
  <c r="W24" i="50" s="1"/>
  <c r="V152" i="10"/>
  <c r="BH12" i="38"/>
  <c r="AF12" i="38"/>
  <c r="AJ12" i="38" s="1"/>
  <c r="AN12" i="38" s="1"/>
  <c r="BB184" i="10"/>
  <c r="BB176" i="10"/>
  <c r="BD176" i="10"/>
  <c r="BD184" i="10"/>
  <c r="AT12" i="38" l="1"/>
  <c r="AX12" i="38" s="1"/>
  <c r="BB12" i="38" s="1"/>
  <c r="V176" i="10"/>
  <c r="V184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AS27" i="73"/>
  <c r="BC27" i="73"/>
  <c r="AW44" i="73" l="1"/>
  <c r="BE44" i="73" s="1"/>
  <c r="AW27" i="73"/>
  <c r="BE27" i="73" s="1"/>
  <c r="AA27" i="73"/>
  <c r="AE27" i="73" s="1"/>
  <c r="Q27" i="73"/>
  <c r="U27" i="73" s="1"/>
  <c r="AV16" i="61" l="1"/>
  <c r="AV15" i="52"/>
  <c r="AU15" i="52"/>
  <c r="AV8" i="52"/>
  <c r="AU8" i="52"/>
  <c r="AV16" i="52" l="1"/>
  <c r="AU16" i="52"/>
  <c r="AS37" i="72" l="1"/>
  <c r="AS30" i="72"/>
  <c r="AS14" i="72"/>
  <c r="AU74" i="90"/>
  <c r="BA74" i="90" s="1"/>
  <c r="AU78" i="90"/>
  <c r="BA78" i="90" s="1"/>
  <c r="AU82" i="90"/>
  <c r="BA82" i="90" s="1"/>
  <c r="AU90" i="90"/>
  <c r="BA90" i="90" s="1"/>
  <c r="AX66" i="59"/>
  <c r="AU88" i="90" l="1"/>
  <c r="BA88" i="90" s="1"/>
  <c r="AU70" i="90"/>
  <c r="BA70" i="90" s="1"/>
  <c r="AU75" i="90"/>
  <c r="BA75" i="90" s="1"/>
  <c r="AU77" i="90"/>
  <c r="BA77" i="90" s="1"/>
  <c r="AU68" i="90"/>
  <c r="AU87" i="90"/>
  <c r="BA87" i="90" s="1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6" i="90"/>
  <c r="BA86" i="90" s="1"/>
  <c r="AU85" i="90"/>
  <c r="BA85" i="90" s="1"/>
  <c r="AU89" i="90"/>
  <c r="BA89" i="90" s="1"/>
  <c r="AU81" i="90"/>
  <c r="BA81" i="90" s="1"/>
  <c r="AU71" i="90"/>
  <c r="BA71" i="90" s="1"/>
  <c r="AX70" i="59"/>
  <c r="AS41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59" i="28"/>
  <c r="AW458" i="28"/>
  <c r="AV186" i="73"/>
  <c r="AT186" i="73"/>
  <c r="AV131" i="73"/>
  <c r="AT131" i="73"/>
  <c r="AV127" i="73"/>
  <c r="AT127" i="73"/>
  <c r="AV124" i="73"/>
  <c r="AT124" i="73"/>
  <c r="AT134" i="73" s="1"/>
  <c r="AT117" i="73"/>
  <c r="AV108" i="73"/>
  <c r="AV117" i="73" s="1"/>
  <c r="AT8" i="73"/>
  <c r="AT6" i="73" s="1"/>
  <c r="AX31" i="36"/>
  <c r="AW31" i="36"/>
  <c r="AV134" i="73" l="1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4" i="8"/>
  <c r="BB103" i="9"/>
  <c r="N226" i="28" l="1"/>
  <c r="R226" i="28" l="1"/>
  <c r="V226" i="28" s="1"/>
  <c r="AB226" i="28"/>
  <c r="AF226" i="28" s="1"/>
  <c r="AJ226" i="28" l="1"/>
  <c r="AP226" i="28" l="1"/>
  <c r="AT226" i="28" l="1"/>
  <c r="BB192" i="10"/>
  <c r="BB150" i="10"/>
  <c r="BB151" i="10"/>
  <c r="BB155" i="10" s="1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X226" i="28" l="1"/>
  <c r="BF226" i="28" s="1"/>
  <c r="BB153" i="10"/>
  <c r="BB193" i="10"/>
  <c r="BB170" i="10"/>
  <c r="BE66" i="59" s="1"/>
  <c r="BB183" i="10"/>
  <c r="BB189" i="10"/>
  <c r="BB185" i="10" l="1"/>
  <c r="BB187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59" i="28" l="1"/>
  <c r="AS458" i="28"/>
  <c r="BB415" i="28"/>
  <c r="BB411" i="28"/>
  <c r="BA372" i="28"/>
  <c r="BB267" i="28"/>
  <c r="BB266" i="28"/>
  <c r="BA266" i="28"/>
  <c r="BB229" i="28"/>
  <c r="BB442" i="28" s="1"/>
  <c r="BA229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5" i="52"/>
  <c r="AQ15" i="52"/>
  <c r="AR8" i="52"/>
  <c r="AQ8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43" i="28" l="1"/>
  <c r="BB10" i="22"/>
  <c r="BB12" i="22" s="1"/>
  <c r="BB15" i="22"/>
  <c r="BB24" i="22"/>
  <c r="BB26" i="22" s="1"/>
  <c r="BB447" i="28"/>
  <c r="BB213" i="28"/>
  <c r="BB440" i="28" s="1"/>
  <c r="BB439" i="28"/>
  <c r="BB372" i="28"/>
  <c r="BB450" i="28" s="1"/>
  <c r="BB46" i="28"/>
  <c r="BB273" i="28"/>
  <c r="BB50" i="28"/>
  <c r="BB28" i="28"/>
  <c r="BA267" i="28"/>
  <c r="BA14" i="28"/>
  <c r="AZ114" i="26"/>
  <c r="AZ78" i="26"/>
  <c r="AZ75" i="26"/>
  <c r="AZ57" i="26"/>
  <c r="AZ48" i="26"/>
  <c r="AZ45" i="26"/>
  <c r="AZ12" i="26"/>
  <c r="AZ19" i="26" s="1"/>
  <c r="AR16" i="52"/>
  <c r="BB83" i="28"/>
  <c r="BB84" i="28" s="1"/>
  <c r="BB51" i="28"/>
  <c r="BB60" i="28"/>
  <c r="BB357" i="28"/>
  <c r="BB449" i="28" s="1"/>
  <c r="BA19" i="28"/>
  <c r="BB53" i="28"/>
  <c r="BA12" i="28"/>
  <c r="BB33" i="28"/>
  <c r="BB451" i="28" s="1"/>
  <c r="BB52" i="28"/>
  <c r="BB58" i="28"/>
  <c r="BB409" i="28"/>
  <c r="BB459" i="28" s="1"/>
  <c r="BB426" i="28"/>
  <c r="BB458" i="28" s="1"/>
  <c r="BB59" i="28"/>
  <c r="AQ16" i="52"/>
  <c r="BA7" i="26"/>
  <c r="BA47" i="26"/>
  <c r="BB441" i="28" l="1"/>
  <c r="BB54" i="28"/>
  <c r="BB32" i="28"/>
  <c r="BB448" i="28"/>
  <c r="BB268" i="28"/>
  <c r="BB446" i="28"/>
  <c r="BA357" i="28"/>
  <c r="BA26" i="28"/>
  <c r="AZ83" i="26"/>
  <c r="AZ82" i="26"/>
  <c r="AZ85" i="26"/>
  <c r="AZ86" i="17" s="1"/>
  <c r="AZ50" i="26"/>
  <c r="AZ18" i="26"/>
  <c r="AZ13" i="26"/>
  <c r="BB61" i="28"/>
  <c r="BA58" i="28"/>
  <c r="BA213" i="28"/>
  <c r="BA441" i="28" s="1"/>
  <c r="BB55" i="28" l="1"/>
  <c r="BB56" i="28" s="1"/>
  <c r="BB427" i="28"/>
  <c r="BB445" i="28"/>
  <c r="BB436" i="28"/>
  <c r="BB444" i="28"/>
  <c r="BB437" i="28"/>
  <c r="BA73" i="28"/>
  <c r="BA448" i="28" s="1"/>
  <c r="BA60" i="28"/>
  <c r="BA268" i="28"/>
  <c r="BA69" i="28"/>
  <c r="BA59" i="28"/>
  <c r="BA449" i="28"/>
  <c r="AZ94" i="26"/>
  <c r="AZ51" i="26"/>
  <c r="AZ56" i="26"/>
  <c r="BB62" i="28"/>
  <c r="BA65" i="28"/>
  <c r="BB456" i="28" l="1"/>
  <c r="BB457" i="28"/>
  <c r="BB452" i="28"/>
  <c r="BB431" i="28"/>
  <c r="BB453" i="28"/>
  <c r="BB430" i="28"/>
  <c r="BA447" i="28"/>
  <c r="BA440" i="28"/>
  <c r="BA439" i="28"/>
  <c r="BA443" i="28"/>
  <c r="BA444" i="28"/>
  <c r="BA436" i="28"/>
  <c r="BA437" i="28"/>
  <c r="BA445" i="28"/>
  <c r="BA88" i="17" l="1"/>
  <c r="AZ88" i="17"/>
  <c r="AZ61" i="17"/>
  <c r="BA91" i="17"/>
  <c r="AZ58" i="17"/>
  <c r="AZ57" i="17"/>
  <c r="AZ52" i="17"/>
  <c r="AZ53" i="17" s="1"/>
  <c r="AZ115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4" i="17"/>
  <c r="AZ11" i="17"/>
  <c r="AZ54" i="17"/>
  <c r="AZ112" i="17"/>
  <c r="AZ34" i="17"/>
  <c r="AZ31" i="17"/>
  <c r="AZ32" i="17"/>
  <c r="AZ113" i="17"/>
  <c r="AZ117" i="17" s="1"/>
  <c r="AZ55" i="17"/>
  <c r="BA53" i="17"/>
  <c r="BA115" i="17" s="1"/>
  <c r="BA117" i="17" s="1"/>
  <c r="BA54" i="17"/>
  <c r="BA55" i="17" s="1"/>
  <c r="BA33" i="17"/>
  <c r="AZ33" i="17"/>
  <c r="BA114" i="17"/>
  <c r="BA116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6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37" i="72"/>
  <c r="AO30" i="72"/>
  <c r="AO14" i="72"/>
  <c r="B62" i="9"/>
  <c r="B79" i="9"/>
  <c r="D57" i="59"/>
  <c r="D78" i="9"/>
  <c r="D75" i="9"/>
  <c r="D55" i="9" l="1"/>
  <c r="BA35" i="15"/>
  <c r="BA15" i="15"/>
  <c r="AO39" i="72"/>
  <c r="AO41" i="72" l="1"/>
  <c r="AY39" i="72"/>
  <c r="AY41" i="72" s="1"/>
  <c r="BC16" i="61"/>
  <c r="BA16" i="15"/>
  <c r="BC125" i="45"/>
  <c r="BC111" i="45"/>
  <c r="BB111" i="45"/>
  <c r="BC109" i="45"/>
  <c r="BB109" i="45"/>
  <c r="BC108" i="45"/>
  <c r="BB108" i="45"/>
  <c r="BB105" i="45"/>
  <c r="BB75" i="11"/>
  <c r="BA75" i="11"/>
  <c r="BB73" i="11"/>
  <c r="BA73" i="11"/>
  <c r="BB72" i="11"/>
  <c r="BA72" i="11"/>
  <c r="BA69" i="11"/>
  <c r="BA63" i="11"/>
  <c r="BA64" i="11" s="1"/>
  <c r="BB169" i="10"/>
  <c r="BA169" i="10"/>
  <c r="BB167" i="10"/>
  <c r="BA167" i="10"/>
  <c r="BB166" i="10"/>
  <c r="BA166" i="10"/>
  <c r="BA163" i="10"/>
  <c r="BB63" i="11" l="1"/>
  <c r="BB64" i="11" s="1"/>
  <c r="BB70" i="11"/>
  <c r="BA157" i="10"/>
  <c r="BA158" i="10" s="1"/>
  <c r="BB157" i="10"/>
  <c r="BB158" i="10" s="1"/>
  <c r="BB99" i="45"/>
  <c r="BC99" i="45"/>
  <c r="BC106" i="45"/>
  <c r="BC130" i="45"/>
  <c r="BB164" i="10"/>
  <c r="BB100" i="45" l="1"/>
  <c r="BC100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4" i="10"/>
  <c r="BE23" i="38"/>
  <c r="BA90" i="8" s="1"/>
  <c r="AQ90" i="8"/>
  <c r="AQ91" i="8" s="1"/>
  <c r="BE20" i="38"/>
  <c r="BE69" i="38" s="1"/>
  <c r="AQ193" i="6"/>
  <c r="AQ194" i="6" s="1"/>
  <c r="BE27" i="38"/>
  <c r="BE76" i="38" s="1"/>
  <c r="AQ70" i="11"/>
  <c r="BE22" i="38"/>
  <c r="BE71" i="38" s="1"/>
  <c r="AQ80" i="7"/>
  <c r="AQ81" i="7" s="1"/>
  <c r="AT36" i="59" s="1"/>
  <c r="BE28" i="38"/>
  <c r="BE77" i="38" s="1"/>
  <c r="AR106" i="45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0" i="11"/>
  <c r="BB106" i="45"/>
  <c r="BA164" i="10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A129" i="26"/>
  <c r="BB24" i="36" s="1"/>
  <c r="BA7" i="22"/>
  <c r="BA15" i="22" s="1"/>
  <c r="AZ129" i="26"/>
  <c r="BA24" i="36" s="1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9" i="7"/>
  <c r="AS83" i="7"/>
  <c r="BB82" i="7"/>
  <c r="BA82" i="7"/>
  <c r="BB80" i="7"/>
  <c r="BA80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B49" i="7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6" i="73"/>
  <c r="AP186" i="73"/>
  <c r="AR131" i="73"/>
  <c r="AP131" i="73"/>
  <c r="AR127" i="73"/>
  <c r="AP127" i="73"/>
  <c r="AR124" i="73"/>
  <c r="AP124" i="73"/>
  <c r="AP117" i="73"/>
  <c r="AR108" i="73"/>
  <c r="AR117" i="73" s="1"/>
  <c r="AP8" i="73"/>
  <c r="AP6" i="73" s="1"/>
  <c r="AR134" i="73" l="1"/>
  <c r="AP134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7" i="35"/>
  <c r="BA53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27" i="28"/>
  <c r="BA55" i="28"/>
  <c r="BA77" i="28"/>
  <c r="BB147" i="6" l="1"/>
  <c r="BB150" i="6"/>
  <c r="BB148" i="6"/>
  <c r="BB41" i="6"/>
  <c r="BA456" i="28"/>
  <c r="BA430" i="28"/>
  <c r="BA431" i="28"/>
  <c r="BA453" i="28"/>
  <c r="BA452" i="28"/>
  <c r="BA451" i="28"/>
  <c r="BA62" i="28"/>
  <c r="BA81" i="28"/>
  <c r="BE15" i="59" l="1"/>
  <c r="BB149" i="6"/>
  <c r="BA457" i="28"/>
  <c r="BB7" i="36" l="1"/>
  <c r="BE8" i="59" s="1"/>
  <c r="AI12" i="73"/>
  <c r="AI15" i="73"/>
  <c r="AI17" i="73"/>
  <c r="AI16" i="73" s="1"/>
  <c r="AI19" i="73"/>
  <c r="AM48" i="17" l="1"/>
  <c r="BC48" i="17" s="1"/>
  <c r="AM110" i="17"/>
  <c r="BC110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1" i="17"/>
  <c r="BB3" i="17"/>
  <c r="BC62" i="17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BB71" i="17" s="1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BC75" i="17" l="1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2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L79" i="17"/>
  <c r="AM79" i="17"/>
  <c r="BB67" i="17" l="1"/>
  <c r="BB69" i="17" s="1"/>
  <c r="AM51" i="17"/>
  <c r="AM113" i="17" s="1"/>
  <c r="BC83" i="17"/>
  <c r="BC67" i="17"/>
  <c r="BC69" i="17" s="1"/>
  <c r="BC45" i="17"/>
  <c r="BC50" i="17"/>
  <c r="BC79" i="17"/>
  <c r="BC51" i="17" l="1"/>
  <c r="BC113" i="17" s="1"/>
  <c r="BC112" i="17"/>
  <c r="AT255" i="28" l="1"/>
  <c r="AX255" i="28" l="1"/>
  <c r="BF255" i="28" s="1"/>
  <c r="BC200" i="73"/>
  <c r="AI200" i="73"/>
  <c r="AO200" i="73" s="1"/>
  <c r="BC74" i="73"/>
  <c r="BE74" i="73"/>
  <c r="AS200" i="73" l="1"/>
  <c r="AW200" i="73" s="1"/>
  <c r="BE200" i="73" s="1"/>
  <c r="AN16" i="61"/>
  <c r="AP16" i="61"/>
  <c r="AL16" i="6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9" i="52"/>
  <c r="BD9" i="52" s="1"/>
  <c r="AM9" i="52"/>
  <c r="BC9" i="52" s="1"/>
  <c r="AN7" i="52"/>
  <c r="BD7" i="52" s="1"/>
  <c r="AM7" i="52"/>
  <c r="BC7" i="52" s="1"/>
  <c r="AN6" i="52"/>
  <c r="BD6" i="52" s="1"/>
  <c r="AM6" i="52"/>
  <c r="BC6" i="52" s="1"/>
  <c r="AN5" i="52"/>
  <c r="BD5" i="52" s="1"/>
  <c r="AM5" i="52"/>
  <c r="BC5" i="52" s="1"/>
  <c r="AL15" i="52"/>
  <c r="AK15" i="52"/>
  <c r="AL8" i="52"/>
  <c r="AK8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8" i="52" l="1"/>
  <c r="BC15" i="52"/>
  <c r="BD8" i="52"/>
  <c r="BD15" i="52"/>
  <c r="BD16" i="52" s="1"/>
  <c r="AL37" i="27"/>
  <c r="BB2" i="27"/>
  <c r="AL36" i="27"/>
  <c r="AL18" i="27"/>
  <c r="AL21" i="27"/>
  <c r="AL27" i="27"/>
  <c r="AL30" i="27"/>
  <c r="BB30" i="27" s="1"/>
  <c r="AL31" i="27"/>
  <c r="BB31" i="27" s="1"/>
  <c r="AL35" i="27"/>
  <c r="AL28" i="27"/>
  <c r="AM31" i="27"/>
  <c r="BC31" i="27" s="1"/>
  <c r="AK16" i="52"/>
  <c r="AN8" i="52"/>
  <c r="AM15" i="52"/>
  <c r="AN15" i="52"/>
  <c r="AL16" i="52"/>
  <c r="AM8" i="52"/>
  <c r="AL19" i="27"/>
  <c r="AL22" i="27"/>
  <c r="BB22" i="27" s="1"/>
  <c r="AL26" i="27"/>
  <c r="BB26" i="27" s="1"/>
  <c r="AL29" i="27"/>
  <c r="AM22" i="27"/>
  <c r="BC22" i="27" s="1"/>
  <c r="BB27" i="27" l="1"/>
  <c r="BB37" i="27"/>
  <c r="BB28" i="27"/>
  <c r="BB18" i="27"/>
  <c r="BB19" i="27"/>
  <c r="BB29" i="27"/>
  <c r="BB35" i="27"/>
  <c r="BB36" i="27"/>
  <c r="BC16" i="52"/>
  <c r="BB39" i="27"/>
  <c r="AL39" i="27"/>
  <c r="BB33" i="27"/>
  <c r="BB21" i="27"/>
  <c r="AN16" i="52"/>
  <c r="AM16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BD168" i="10" s="1"/>
  <c r="AM89" i="26"/>
  <c r="BC89" i="26" s="1"/>
  <c r="BD74" i="11" s="1"/>
  <c r="AM87" i="26"/>
  <c r="BC87" i="26" s="1"/>
  <c r="BE110" i="45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D19" i="22" l="1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37" i="72"/>
  <c r="AI30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39" i="72"/>
  <c r="AI41" i="72" s="1"/>
  <c r="BD47" i="11" l="1"/>
  <c r="AT47" i="11"/>
  <c r="BD19" i="11"/>
  <c r="AT19" i="11"/>
  <c r="BD30" i="11"/>
  <c r="AT30" i="11"/>
  <c r="AX19" i="11" l="1"/>
  <c r="BF19" i="11" s="1"/>
  <c r="AX30" i="11"/>
  <c r="BF30" i="11" s="1"/>
  <c r="AX47" i="11"/>
  <c r="BF47" i="11" s="1"/>
  <c r="AO120" i="45" l="1"/>
  <c r="BE120" i="45" s="1"/>
  <c r="AO119" i="45"/>
  <c r="AO115" i="45"/>
  <c r="BE115" i="45" s="1"/>
  <c r="AO114" i="45"/>
  <c r="BE114" i="45" s="1"/>
  <c r="AO103" i="45"/>
  <c r="BE103" i="45" s="1"/>
  <c r="AN103" i="45"/>
  <c r="BD103" i="45" s="1"/>
  <c r="AO101" i="45"/>
  <c r="BE101" i="45" s="1"/>
  <c r="AN101" i="45"/>
  <c r="BD101" i="45" s="1"/>
  <c r="AO6" i="45"/>
  <c r="AO5" i="45"/>
  <c r="AN5" i="45"/>
  <c r="BD5" i="45" s="1"/>
  <c r="AO2" i="45"/>
  <c r="AN2" i="45"/>
  <c r="AN83" i="11"/>
  <c r="AN79" i="11"/>
  <c r="BD79" i="11" s="1"/>
  <c r="AN78" i="11"/>
  <c r="AN67" i="11"/>
  <c r="BD67" i="11" s="1"/>
  <c r="AM67" i="11"/>
  <c r="BC67" i="11" s="1"/>
  <c r="AN65" i="11"/>
  <c r="BD65" i="11" s="1"/>
  <c r="AM65" i="11"/>
  <c r="BC65" i="11" s="1"/>
  <c r="BD51" i="11"/>
  <c r="BD50" i="11"/>
  <c r="BD49" i="11"/>
  <c r="BD48" i="11"/>
  <c r="BD46" i="11"/>
  <c r="BD45" i="11"/>
  <c r="BD44" i="11"/>
  <c r="BD43" i="11"/>
  <c r="AN42" i="11"/>
  <c r="BD42" i="11" s="1"/>
  <c r="BD40" i="11"/>
  <c r="BD39" i="11"/>
  <c r="BD38" i="11"/>
  <c r="BD37" i="11"/>
  <c r="BD36" i="11"/>
  <c r="BD35" i="11"/>
  <c r="BD34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8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77" i="10"/>
  <c r="AN173" i="10"/>
  <c r="BD173" i="10" s="1"/>
  <c r="AN172" i="10"/>
  <c r="BD172" i="10" s="1"/>
  <c r="AN161" i="10"/>
  <c r="BD161" i="10" s="1"/>
  <c r="AM161" i="10"/>
  <c r="BC161" i="10" s="1"/>
  <c r="AN159" i="10"/>
  <c r="BD159" i="10" s="1"/>
  <c r="AM159" i="10"/>
  <c r="BC159" i="10" s="1"/>
  <c r="AN7" i="10"/>
  <c r="AN5" i="10"/>
  <c r="AM5" i="10"/>
  <c r="AN2" i="10"/>
  <c r="AN168" i="10" s="1"/>
  <c r="AM2" i="10"/>
  <c r="AM168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2" i="71" l="1"/>
  <c r="CB76" i="99"/>
  <c r="BD29" i="9"/>
  <c r="CS76" i="99" s="1"/>
  <c r="CC76" i="99"/>
  <c r="BE6" i="45"/>
  <c r="BE139" i="45" s="1"/>
  <c r="BE143" i="45" s="1"/>
  <c r="AO139" i="45"/>
  <c r="AO143" i="45" s="1"/>
  <c r="BD38" i="9"/>
  <c r="BD2" i="11"/>
  <c r="AN74" i="11"/>
  <c r="BC2" i="11"/>
  <c r="AM74" i="11"/>
  <c r="BD2" i="45"/>
  <c r="AN110" i="45"/>
  <c r="BE2" i="45"/>
  <c r="AO110" i="45"/>
  <c r="BC38" i="9"/>
  <c r="AM20" i="35"/>
  <c r="BC20" i="35" s="1"/>
  <c r="BC29" i="9"/>
  <c r="AM19" i="35"/>
  <c r="BC19" i="35" s="1"/>
  <c r="BD174" i="10"/>
  <c r="BD181" i="10" s="1"/>
  <c r="BD44" i="8"/>
  <c r="BG48" i="59" s="1"/>
  <c r="BC68" i="11"/>
  <c r="BE116" i="45"/>
  <c r="BE123" i="45" s="1"/>
  <c r="AL8" i="15"/>
  <c r="BC18" i="8"/>
  <c r="BB8" i="15" s="1"/>
  <c r="BD45" i="8"/>
  <c r="AN88" i="11"/>
  <c r="BD83" i="11"/>
  <c r="BD88" i="11" s="1"/>
  <c r="BD39" i="8"/>
  <c r="AM8" i="15"/>
  <c r="BD18" i="8"/>
  <c r="BD41" i="8"/>
  <c r="BD46" i="8"/>
  <c r="BG47" i="59" s="1"/>
  <c r="AN86" i="11"/>
  <c r="BD5" i="11"/>
  <c r="BD86" i="11" s="1"/>
  <c r="BD108" i="8"/>
  <c r="BD110" i="8" s="1"/>
  <c r="BD43" i="8"/>
  <c r="BG46" i="59" s="1"/>
  <c r="BD47" i="8"/>
  <c r="AN80" i="11"/>
  <c r="AN81" i="11" s="1"/>
  <c r="BD78" i="11"/>
  <c r="BD80" i="11" s="1"/>
  <c r="BC66" i="11"/>
  <c r="BF69" i="59" s="1"/>
  <c r="BD54" i="11"/>
  <c r="BD66" i="11"/>
  <c r="BG69" i="59" s="1"/>
  <c r="BD68" i="11"/>
  <c r="BC160" i="10"/>
  <c r="BF65" i="59" s="1"/>
  <c r="BC162" i="10"/>
  <c r="BC5" i="10"/>
  <c r="BD160" i="10"/>
  <c r="BG65" i="59" s="1"/>
  <c r="BD162" i="10"/>
  <c r="AN180" i="10"/>
  <c r="BD5" i="10"/>
  <c r="BD180" i="10" s="1"/>
  <c r="BD7" i="10"/>
  <c r="AN182" i="10"/>
  <c r="BD177" i="10"/>
  <c r="BD182" i="10" s="1"/>
  <c r="BD53" i="11"/>
  <c r="BD56" i="11"/>
  <c r="BD52" i="11"/>
  <c r="BD89" i="11" s="1"/>
  <c r="BD26" i="8"/>
  <c r="BD40" i="8"/>
  <c r="BD42" i="9"/>
  <c r="BD46" i="9" s="1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04" i="45"/>
  <c r="BD102" i="45"/>
  <c r="BF73" i="59" s="1"/>
  <c r="BE102" i="45"/>
  <c r="BG73" i="59" s="1"/>
  <c r="BE104" i="45"/>
  <c r="BE89" i="45"/>
  <c r="BE90" i="45"/>
  <c r="AO105" i="45"/>
  <c r="BE5" i="45"/>
  <c r="BE122" i="45" s="1"/>
  <c r="AO124" i="45"/>
  <c r="BE119" i="45"/>
  <c r="BE124" i="45" s="1"/>
  <c r="AN88" i="8"/>
  <c r="BD2" i="8"/>
  <c r="AN36" i="9"/>
  <c r="AN31" i="9"/>
  <c r="AN45" i="8"/>
  <c r="AN66" i="11"/>
  <c r="AO116" i="45"/>
  <c r="AO123" i="45" s="1"/>
  <c r="AN68" i="11"/>
  <c r="AN54" i="11"/>
  <c r="AN90" i="11" s="1"/>
  <c r="AN69" i="11"/>
  <c r="AN53" i="11"/>
  <c r="AN56" i="11"/>
  <c r="AN174" i="10"/>
  <c r="AN181" i="10" s="1"/>
  <c r="AN34" i="9"/>
  <c r="AN10" i="9"/>
  <c r="AN104" i="45"/>
  <c r="AO104" i="45"/>
  <c r="AO88" i="45"/>
  <c r="AO126" i="45" s="1"/>
  <c r="AO90" i="45"/>
  <c r="AO118" i="45" s="1"/>
  <c r="AO122" i="45"/>
  <c r="AO89" i="45"/>
  <c r="AN102" i="45"/>
  <c r="AO102" i="45"/>
  <c r="AN52" i="11"/>
  <c r="AN89" i="11" s="1"/>
  <c r="AM68" i="11"/>
  <c r="AM66" i="11"/>
  <c r="AN160" i="10"/>
  <c r="AN162" i="10"/>
  <c r="AM162" i="10"/>
  <c r="AN176" i="10"/>
  <c r="AM160" i="10"/>
  <c r="AN163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9" i="7"/>
  <c r="AO83" i="7"/>
  <c r="AM110" i="7"/>
  <c r="AM109" i="7"/>
  <c r="AM108" i="7"/>
  <c r="AM107" i="7"/>
  <c r="AM106" i="7"/>
  <c r="AM105" i="7"/>
  <c r="AM104" i="7"/>
  <c r="AM103" i="7"/>
  <c r="AM92" i="7"/>
  <c r="AM89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CR52" i="71" l="1"/>
  <c r="CR76" i="99"/>
  <c r="BC19" i="7"/>
  <c r="AM35" i="7"/>
  <c r="AM100" i="7" s="1"/>
  <c r="BC2" i="6"/>
  <c r="AM12" i="6"/>
  <c r="AM13" i="6"/>
  <c r="BD69" i="11"/>
  <c r="BD65" i="7"/>
  <c r="BD57" i="11"/>
  <c r="BD80" i="8"/>
  <c r="BG45" i="59" s="1"/>
  <c r="AN87" i="11"/>
  <c r="BC65" i="7"/>
  <c r="BC76" i="7" s="1"/>
  <c r="AN175" i="10"/>
  <c r="BG49" i="59"/>
  <c r="BC18" i="7"/>
  <c r="BC20" i="7" s="1"/>
  <c r="BC69" i="6"/>
  <c r="BD51" i="9"/>
  <c r="BD163" i="10"/>
  <c r="BC115" i="6"/>
  <c r="BD115" i="6"/>
  <c r="AQ49" i="59"/>
  <c r="BD42" i="8"/>
  <c r="BD109" i="8"/>
  <c r="BD51" i="8" s="1"/>
  <c r="BG42" i="59" s="1"/>
  <c r="AO117" i="45"/>
  <c r="BE88" i="45"/>
  <c r="BE126" i="45" s="1"/>
  <c r="BD1" i="7"/>
  <c r="BD73" i="7"/>
  <c r="AN82" i="7"/>
  <c r="BD82" i="7" s="1"/>
  <c r="BD2" i="7"/>
  <c r="BD87" i="11"/>
  <c r="BD93" i="11" s="1"/>
  <c r="BD81" i="11"/>
  <c r="BC8" i="15"/>
  <c r="BD81" i="8"/>
  <c r="BG52" i="59" s="1"/>
  <c r="BC73" i="7"/>
  <c r="BC1" i="7"/>
  <c r="BD136" i="9"/>
  <c r="BD10" i="9"/>
  <c r="BD66" i="6"/>
  <c r="BD82" i="11"/>
  <c r="BD90" i="11"/>
  <c r="BD91" i="11" s="1"/>
  <c r="BD175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6" i="11"/>
  <c r="AQ70" i="59" s="1"/>
  <c r="BD55" i="11"/>
  <c r="BD22" i="36" s="1"/>
  <c r="BG68" i="59" s="1"/>
  <c r="BD76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05" i="45"/>
  <c r="BE117" i="45"/>
  <c r="BE127" i="45"/>
  <c r="BE118" i="45"/>
  <c r="BE92" i="45"/>
  <c r="BE93" i="45" s="1"/>
  <c r="BE112" i="45"/>
  <c r="BG74" i="59" s="1"/>
  <c r="BE91" i="45"/>
  <c r="AN82" i="11"/>
  <c r="AN55" i="11"/>
  <c r="AQ68" i="59" s="1"/>
  <c r="AM41" i="6"/>
  <c r="AM69" i="6"/>
  <c r="AN26" i="6"/>
  <c r="AN91" i="11"/>
  <c r="AN37" i="9"/>
  <c r="AN19" i="35" s="1"/>
  <c r="BD19" i="35" s="1"/>
  <c r="AN54" i="6"/>
  <c r="AN51" i="6"/>
  <c r="AO41" i="6"/>
  <c r="AN12" i="6"/>
  <c r="AN192" i="6"/>
  <c r="AN191" i="6"/>
  <c r="AN166" i="6"/>
  <c r="AO127" i="45"/>
  <c r="AO128" i="45" s="1"/>
  <c r="AN57" i="11"/>
  <c r="AN184" i="10"/>
  <c r="AN66" i="6"/>
  <c r="AN29" i="6"/>
  <c r="AN102" i="6"/>
  <c r="AN73" i="7"/>
  <c r="AN65" i="7"/>
  <c r="AM115" i="6"/>
  <c r="AM77" i="6"/>
  <c r="AO92" i="45"/>
  <c r="AO93" i="45" s="1"/>
  <c r="AO91" i="45"/>
  <c r="AQ72" i="59" s="1"/>
  <c r="AO112" i="45"/>
  <c r="AQ74" i="59" s="1"/>
  <c r="AN93" i="11"/>
  <c r="AN42" i="8"/>
  <c r="AN51" i="8"/>
  <c r="AQ42" i="59" s="1"/>
  <c r="AN110" i="8"/>
  <c r="AN111" i="8" s="1"/>
  <c r="AN52" i="8" s="1"/>
  <c r="AQ43" i="59" s="1"/>
  <c r="AM73" i="7"/>
  <c r="AM65" i="7"/>
  <c r="AM74" i="7" s="1"/>
  <c r="AM20" i="7"/>
  <c r="AN26" i="7"/>
  <c r="AN89" i="7" s="1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06" i="28"/>
  <c r="BD407" i="28"/>
  <c r="AN408" i="28"/>
  <c r="BD408" i="28" s="1"/>
  <c r="AN412" i="28"/>
  <c r="BD412" i="28" s="1"/>
  <c r="AN413" i="28"/>
  <c r="BD413" i="28" s="1"/>
  <c r="AN416" i="28"/>
  <c r="BD416" i="28" s="1"/>
  <c r="AN417" i="28"/>
  <c r="BD417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355" i="28"/>
  <c r="BD355" i="28" s="1"/>
  <c r="BD233" i="28"/>
  <c r="BD235" i="28"/>
  <c r="AN208" i="28"/>
  <c r="BD208" i="28" s="1"/>
  <c r="AN209" i="28"/>
  <c r="BD209" i="28" s="1"/>
  <c r="AN210" i="28"/>
  <c r="BD210" i="28" s="1"/>
  <c r="AN211" i="28"/>
  <c r="BD211" i="28" s="1"/>
  <c r="AO459" i="28"/>
  <c r="AO458" i="28"/>
  <c r="AM459" i="28"/>
  <c r="AM458" i="28"/>
  <c r="AN378" i="28"/>
  <c r="BD378" i="28" s="1"/>
  <c r="AN371" i="28"/>
  <c r="BD371" i="28" s="1"/>
  <c r="BD370" i="28"/>
  <c r="AN359" i="28"/>
  <c r="BD359" i="28" s="1"/>
  <c r="AN276" i="28"/>
  <c r="BD276" i="28" s="1"/>
  <c r="AN272" i="28"/>
  <c r="BD272" i="28" s="1"/>
  <c r="AN271" i="28"/>
  <c r="BD271" i="28" s="1"/>
  <c r="AN270" i="28"/>
  <c r="BD270" i="28" s="1"/>
  <c r="AN232" i="28"/>
  <c r="BD232" i="28" s="1"/>
  <c r="BD228" i="28"/>
  <c r="AN216" i="28"/>
  <c r="BD216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6" i="73"/>
  <c r="AN131" i="73"/>
  <c r="AN127" i="73"/>
  <c r="AN124" i="73"/>
  <c r="AN134" i="73" s="1"/>
  <c r="AN108" i="73"/>
  <c r="AN117" i="73" s="1"/>
  <c r="BC190" i="73"/>
  <c r="BC189" i="73"/>
  <c r="AL186" i="73"/>
  <c r="AJ186" i="73"/>
  <c r="BC185" i="73"/>
  <c r="BC184" i="73"/>
  <c r="BC183" i="73"/>
  <c r="BC181" i="73"/>
  <c r="BC180" i="73"/>
  <c r="BC179" i="73"/>
  <c r="BC178" i="73"/>
  <c r="BC176" i="73"/>
  <c r="BC175" i="73"/>
  <c r="BC133" i="73"/>
  <c r="AL131" i="73"/>
  <c r="AJ131" i="73"/>
  <c r="AL127" i="73"/>
  <c r="AJ127" i="73"/>
  <c r="BC126" i="73"/>
  <c r="BC125" i="73"/>
  <c r="AL124" i="73"/>
  <c r="AL134" i="73" s="1"/>
  <c r="AJ124" i="73"/>
  <c r="BC123" i="73"/>
  <c r="BC122" i="73"/>
  <c r="BC121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J134" i="73" l="1"/>
  <c r="BD67" i="7"/>
  <c r="BD33" i="7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34" i="7"/>
  <c r="BD88" i="7" s="1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AM34" i="7"/>
  <c r="BC34" i="7"/>
  <c r="AQ44" i="59"/>
  <c r="BE128" i="45"/>
  <c r="AN53" i="7"/>
  <c r="AN32" i="7"/>
  <c r="AN97" i="7" s="1"/>
  <c r="BD165" i="6"/>
  <c r="BD20" i="7"/>
  <c r="BD23" i="36"/>
  <c r="BG72" i="59"/>
  <c r="AM273" i="28"/>
  <c r="BC273" i="28" s="1"/>
  <c r="BC16" i="28"/>
  <c r="BC128" i="73"/>
  <c r="BC132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1" i="35"/>
  <c r="BD51" i="35" s="1"/>
  <c r="AM51" i="35"/>
  <c r="BC51" i="35" s="1"/>
  <c r="AN49" i="35"/>
  <c r="BD49" i="35" s="1"/>
  <c r="AM49" i="35"/>
  <c r="BC49" i="35" s="1"/>
  <c r="AN48" i="35"/>
  <c r="BD48" i="35" s="1"/>
  <c r="AM48" i="35"/>
  <c r="BC48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C2" i="35" l="1"/>
  <c r="AM6" i="35"/>
  <c r="AM7" i="35"/>
  <c r="BD2" i="35"/>
  <c r="AN7" i="35"/>
  <c r="AN6" i="35"/>
  <c r="BD87" i="7"/>
  <c r="BG31" i="59" s="1"/>
  <c r="BD1" i="35"/>
  <c r="BD21" i="35" s="1"/>
  <c r="BD26" i="9" s="1"/>
  <c r="BD36" i="7"/>
  <c r="BD51" i="7" s="1"/>
  <c r="BD61" i="7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5" i="11"/>
  <c r="BD31" i="35"/>
  <c r="BD95" i="11" s="1"/>
  <c r="BD10" i="36"/>
  <c r="BG37" i="59" s="1"/>
  <c r="BD12" i="36"/>
  <c r="BG39" i="59" s="1"/>
  <c r="BD11" i="36"/>
  <c r="BG38" i="59" s="1"/>
  <c r="BD32" i="35"/>
  <c r="BC17" i="15"/>
  <c r="BD5" i="9"/>
  <c r="BD52" i="36"/>
  <c r="AN98" i="7"/>
  <c r="AQ32" i="59" s="1"/>
  <c r="BG32" i="59"/>
  <c r="BD101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75" i="7" l="1"/>
  <c r="BD11" i="35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1" i="26"/>
  <c r="BG60" i="59"/>
  <c r="BD78" i="9"/>
  <c r="BD94" i="9"/>
  <c r="BC18" i="15" s="1"/>
  <c r="BD76" i="9"/>
  <c r="BD89" i="9"/>
  <c r="AM5" i="6"/>
  <c r="AM15" i="6" s="1"/>
  <c r="AQ60" i="59"/>
  <c r="AM131" i="26"/>
  <c r="AN75" i="9"/>
  <c r="AN33" i="22"/>
  <c r="AN72" i="9"/>
  <c r="AN76" i="9"/>
  <c r="AN78" i="9"/>
  <c r="AN73" i="9"/>
  <c r="AN13" i="36"/>
  <c r="AQ40" i="59" s="1"/>
  <c r="AM8" i="35"/>
  <c r="F131" i="73"/>
  <c r="H131" i="73"/>
  <c r="J131" i="73"/>
  <c r="L131" i="73"/>
  <c r="N131" i="73"/>
  <c r="P131" i="73"/>
  <c r="R131" i="73"/>
  <c r="T131" i="73"/>
  <c r="V131" i="73"/>
  <c r="X131" i="73"/>
  <c r="Z131" i="73"/>
  <c r="AB131" i="73"/>
  <c r="AD131" i="73"/>
  <c r="AF131" i="73"/>
  <c r="AH131" i="73"/>
  <c r="F127" i="73"/>
  <c r="H127" i="73"/>
  <c r="J127" i="73"/>
  <c r="L127" i="73"/>
  <c r="N127" i="73"/>
  <c r="P127" i="73"/>
  <c r="R127" i="73"/>
  <c r="T127" i="73"/>
  <c r="V127" i="73"/>
  <c r="X127" i="73"/>
  <c r="Z127" i="73"/>
  <c r="AB127" i="73"/>
  <c r="AD127" i="73"/>
  <c r="AF127" i="73"/>
  <c r="AH127" i="73"/>
  <c r="F124" i="73"/>
  <c r="H124" i="73"/>
  <c r="J124" i="73"/>
  <c r="J134" i="73" s="1"/>
  <c r="L124" i="73"/>
  <c r="N124" i="73"/>
  <c r="P124" i="73"/>
  <c r="R124" i="73"/>
  <c r="R134" i="73" s="1"/>
  <c r="T124" i="73"/>
  <c r="T134" i="73" s="1"/>
  <c r="V124" i="73"/>
  <c r="V134" i="73" s="1"/>
  <c r="X124" i="73"/>
  <c r="Z124" i="73"/>
  <c r="AB124" i="73"/>
  <c r="AD124" i="73"/>
  <c r="AD134" i="73" s="1"/>
  <c r="AF124" i="73"/>
  <c r="AF134" i="73" s="1"/>
  <c r="AH124" i="73"/>
  <c r="AH134" i="73" s="1"/>
  <c r="E131" i="73"/>
  <c r="E127" i="73"/>
  <c r="E124" i="73"/>
  <c r="E120" i="73"/>
  <c r="E134" i="73" s="1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M9" i="73"/>
  <c r="M10" i="73"/>
  <c r="M12" i="73"/>
  <c r="M15" i="73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B134" i="73" l="1"/>
  <c r="P134" i="73"/>
  <c r="Z134" i="73"/>
  <c r="N134" i="73"/>
  <c r="X134" i="73"/>
  <c r="L134" i="73"/>
  <c r="AW19" i="73"/>
  <c r="BE19" i="73" s="1"/>
  <c r="AW15" i="73"/>
  <c r="BE15" i="73" s="1"/>
  <c r="AM129" i="26"/>
  <c r="AW12" i="73"/>
  <c r="BE12" i="73" s="1"/>
  <c r="AN174" i="6"/>
  <c r="AN8" i="36" s="1"/>
  <c r="AQ9" i="59" s="1"/>
  <c r="AM174" i="6"/>
  <c r="AA15" i="73"/>
  <c r="Q15" i="73"/>
  <c r="U15" i="73" s="1"/>
  <c r="AA7" i="73"/>
  <c r="AE7" i="73" s="1"/>
  <c r="AI7" i="73" s="1"/>
  <c r="AO7" i="73" s="1"/>
  <c r="AS7" i="73" s="1"/>
  <c r="Q7" i="73"/>
  <c r="U7" i="73" s="1"/>
  <c r="AA12" i="73"/>
  <c r="Q12" i="73"/>
  <c r="U12" i="73" s="1"/>
  <c r="AA9" i="73"/>
  <c r="AE9" i="73" s="1"/>
  <c r="AI9" i="73" s="1"/>
  <c r="AO9" i="73" s="1"/>
  <c r="AS9" i="73" s="1"/>
  <c r="Q9" i="73"/>
  <c r="U9" i="73" s="1"/>
  <c r="AA10" i="73"/>
  <c r="AE10" i="73" s="1"/>
  <c r="AI10" i="73" s="1"/>
  <c r="AO10" i="73" s="1"/>
  <c r="AS10" i="73" s="1"/>
  <c r="Q10" i="73"/>
  <c r="U10" i="73" s="1"/>
  <c r="U17" i="73"/>
  <c r="U16" i="73" s="1"/>
  <c r="Q16" i="73"/>
  <c r="AM124" i="73"/>
  <c r="BC124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Y6" i="73"/>
  <c r="Y8" i="73"/>
  <c r="Y131" i="73"/>
  <c r="Y127" i="73"/>
  <c r="AM131" i="73"/>
  <c r="BC131" i="73" s="1"/>
  <c r="Y124" i="73"/>
  <c r="AM127" i="73"/>
  <c r="BC127" i="73" s="1"/>
  <c r="AM7" i="6"/>
  <c r="F134" i="73"/>
  <c r="H134" i="73"/>
  <c r="I14" i="73"/>
  <c r="AI14" i="73"/>
  <c r="BC14" i="73"/>
  <c r="M14" i="73"/>
  <c r="I6" i="73"/>
  <c r="E5" i="73"/>
  <c r="I8" i="73"/>
  <c r="M6" i="73"/>
  <c r="Q6" i="73" s="1"/>
  <c r="U6" i="73" s="1"/>
  <c r="M8" i="73"/>
  <c r="Q8" i="73" s="1"/>
  <c r="U8" i="73" s="1"/>
  <c r="AI61" i="83"/>
  <c r="AO61" i="83" s="1"/>
  <c r="BE61" i="83" s="1"/>
  <c r="AW10" i="73" l="1"/>
  <c r="BE10" i="73" s="1"/>
  <c r="AW9" i="73"/>
  <c r="BE9" i="73" s="1"/>
  <c r="AW7" i="73"/>
  <c r="BE7" i="73" s="1"/>
  <c r="Q14" i="73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A61" i="83"/>
  <c r="AC61" i="83" s="1"/>
  <c r="AG61" i="83" s="1"/>
  <c r="AK61" i="83" s="1"/>
  <c r="AQ61" i="83" s="1"/>
  <c r="AU61" i="83" s="1"/>
  <c r="AY61" i="83" s="1"/>
  <c r="BG61" i="83" s="1"/>
  <c r="M5" i="73"/>
  <c r="Q5" i="73" s="1"/>
  <c r="U5" i="73" s="1"/>
  <c r="I5" i="73"/>
  <c r="AW8" i="73" l="1"/>
  <c r="BE8" i="73" s="1"/>
  <c r="AW6" i="73"/>
  <c r="BE6" i="73" s="1"/>
  <c r="U14" i="73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80" i="45"/>
  <c r="AK80" i="45" l="1"/>
  <c r="AQ80" i="45" s="1"/>
  <c r="AU80" i="45" s="1"/>
  <c r="AM10" i="17"/>
  <c r="AY80" i="45" l="1"/>
  <c r="AM14" i="17"/>
  <c r="BC10" i="17"/>
  <c r="AH15" i="52"/>
  <c r="AG15" i="52"/>
  <c r="AH8" i="52"/>
  <c r="AG8" i="52"/>
  <c r="BG80" i="45" l="1"/>
  <c r="BC14" i="17"/>
  <c r="AH16" i="52"/>
  <c r="AG16" i="52"/>
  <c r="O56" i="83" l="1"/>
  <c r="S56" i="83" s="1"/>
  <c r="W56" i="83" s="1"/>
  <c r="O57" i="83"/>
  <c r="S57" i="83" s="1"/>
  <c r="W57" i="83" s="1"/>
  <c r="AA56" i="83"/>
  <c r="AA57" i="83"/>
  <c r="AI56" i="83"/>
  <c r="AO56" i="83" s="1"/>
  <c r="BE56" i="83" s="1"/>
  <c r="AI57" i="83"/>
  <c r="AO57" i="83" s="1"/>
  <c r="BE57" i="83" s="1"/>
  <c r="AI58" i="83"/>
  <c r="AO58" i="83" s="1"/>
  <c r="BE58" i="83" s="1"/>
  <c r="AC56" i="83" l="1"/>
  <c r="AG56" i="83" s="1"/>
  <c r="AK56" i="83" s="1"/>
  <c r="AQ56" i="83" s="1"/>
  <c r="AU56" i="83" s="1"/>
  <c r="AY56" i="83" s="1"/>
  <c r="BG56" i="83" s="1"/>
  <c r="AC57" i="83"/>
  <c r="AG57" i="83" s="1"/>
  <c r="AK57" i="83" s="1"/>
  <c r="AQ57" i="83" s="1"/>
  <c r="AU57" i="83" s="1"/>
  <c r="AY57" i="83" s="1"/>
  <c r="BG57" i="83" s="1"/>
  <c r="M100" i="73"/>
  <c r="M75" i="73"/>
  <c r="AA75" i="73" l="1"/>
  <c r="AE75" i="73" s="1"/>
  <c r="AI75" i="73" s="1"/>
  <c r="AO75" i="73" s="1"/>
  <c r="AS75" i="73" s="1"/>
  <c r="AW75" i="73" s="1"/>
  <c r="Q75" i="73"/>
  <c r="U75" i="73" s="1"/>
  <c r="AA100" i="73"/>
  <c r="Q100" i="73"/>
  <c r="U100" i="73" s="1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N190" i="28"/>
  <c r="N101" i="28"/>
  <c r="R101" i="28" s="1"/>
  <c r="V101" i="28" s="1"/>
  <c r="Z278" i="28"/>
  <c r="N387" i="28"/>
  <c r="R387" i="28" s="1"/>
  <c r="V387" i="28" s="1"/>
  <c r="N407" i="28"/>
  <c r="AW100" i="73" l="1"/>
  <c r="BE100" i="73" s="1"/>
  <c r="R190" i="28"/>
  <c r="V190" i="28" s="1"/>
  <c r="AB190" i="28"/>
  <c r="AF190" i="28" s="1"/>
  <c r="AB407" i="28"/>
  <c r="AF407" i="28" s="1"/>
  <c r="AJ407" i="28" s="1"/>
  <c r="R407" i="28"/>
  <c r="V407" i="28" s="1"/>
  <c r="AB278" i="28"/>
  <c r="AB387" i="28"/>
  <c r="AB101" i="28"/>
  <c r="AP407" i="28" l="1"/>
  <c r="AJ190" i="28"/>
  <c r="AF387" i="28"/>
  <c r="AF101" i="28"/>
  <c r="AF278" i="28"/>
  <c r="AI68" i="83"/>
  <c r="AI69" i="83"/>
  <c r="AI70" i="83"/>
  <c r="AI71" i="83"/>
  <c r="AI72" i="83"/>
  <c r="AI51" i="83"/>
  <c r="AO51" i="83" s="1"/>
  <c r="BE51" i="83" s="1"/>
  <c r="AI53" i="83"/>
  <c r="AO53" i="83" s="1"/>
  <c r="BE53" i="83" s="1"/>
  <c r="AI54" i="83"/>
  <c r="AO54" i="83" s="1"/>
  <c r="BE54" i="83" s="1"/>
  <c r="AI55" i="83"/>
  <c r="AO55" i="83" s="1"/>
  <c r="BE55" i="83" s="1"/>
  <c r="AI59" i="83"/>
  <c r="AO59" i="83" s="1"/>
  <c r="BE59" i="83" s="1"/>
  <c r="AI60" i="83"/>
  <c r="AO60" i="83" s="1"/>
  <c r="BE60" i="83" s="1"/>
  <c r="AI63" i="83"/>
  <c r="AO63" i="83" s="1"/>
  <c r="BE63" i="83" s="1"/>
  <c r="AI64" i="83"/>
  <c r="AO64" i="83" s="1"/>
  <c r="BE64" i="83" s="1"/>
  <c r="AI65" i="83"/>
  <c r="AO65" i="83" s="1"/>
  <c r="BE65" i="83" s="1"/>
  <c r="AI66" i="83"/>
  <c r="AI50" i="83"/>
  <c r="AI47" i="83"/>
  <c r="AI48" i="83"/>
  <c r="AI45" i="83"/>
  <c r="AI39" i="83"/>
  <c r="AI40" i="83"/>
  <c r="AI41" i="83"/>
  <c r="AI42" i="83"/>
  <c r="AI43" i="83"/>
  <c r="AI38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AG60" i="45"/>
  <c r="AK60" i="45" s="1"/>
  <c r="AQ60" i="45" s="1"/>
  <c r="AU60" i="45" s="1"/>
  <c r="AY60" i="45" s="1"/>
  <c r="BG60" i="45" l="1"/>
  <c r="AT407" i="28"/>
  <c r="AX407" i="28" s="1"/>
  <c r="BF407" i="28" s="1"/>
  <c r="AP190" i="28"/>
  <c r="AJ387" i="28"/>
  <c r="AJ278" i="28"/>
  <c r="AJ101" i="28"/>
  <c r="BE15" i="61"/>
  <c r="AI73" i="83"/>
  <c r="AI67" i="83"/>
  <c r="O19" i="83"/>
  <c r="S19" i="83" s="1"/>
  <c r="W19" i="83" s="1"/>
  <c r="AA19" i="83"/>
  <c r="AI37" i="83"/>
  <c r="AI44" i="83"/>
  <c r="AI49" i="83"/>
  <c r="AG47" i="45"/>
  <c r="AP387" i="28" l="1"/>
  <c r="AT190" i="28"/>
  <c r="AK47" i="45"/>
  <c r="AQ47" i="45" s="1"/>
  <c r="AU47" i="45" s="1"/>
  <c r="AP101" i="28"/>
  <c r="AP278" i="28"/>
  <c r="S15" i="61"/>
  <c r="W15" i="61" s="1"/>
  <c r="AC19" i="83"/>
  <c r="AG19" i="83" s="1"/>
  <c r="AK19" i="83" s="1"/>
  <c r="AI74" i="83"/>
  <c r="AX190" i="28" l="1"/>
  <c r="BF190" i="28" s="1"/>
  <c r="AT387" i="28"/>
  <c r="AX387" i="28" s="1"/>
  <c r="BF387" i="28" s="1"/>
  <c r="AY47" i="45"/>
  <c r="AT278" i="28"/>
  <c r="AT101" i="28"/>
  <c r="AG15" i="61"/>
  <c r="AH5" i="36"/>
  <c r="BG47" i="45" l="1"/>
  <c r="AX278" i="28"/>
  <c r="BF278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99" i="50" l="1"/>
  <c r="AJ100" i="50" s="1"/>
  <c r="AH99" i="50"/>
  <c r="AH100" i="50" s="1"/>
  <c r="AI4" i="61" l="1"/>
  <c r="AI16" i="61" s="1"/>
  <c r="AE37" i="72"/>
  <c r="AE30" i="72"/>
  <c r="AE14" i="72"/>
  <c r="AL42" i="59"/>
  <c r="AH1" i="7"/>
  <c r="AH78" i="7" s="1"/>
  <c r="AG1" i="7"/>
  <c r="AG78" i="7" s="1"/>
  <c r="AH154" i="10" l="1"/>
  <c r="AH39" i="36"/>
  <c r="AE39" i="72"/>
  <c r="AE41" i="72" s="1"/>
  <c r="AH155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59" i="28"/>
  <c r="AI458" i="28"/>
  <c r="AH186" i="73" l="1"/>
  <c r="AF186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4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3" i="50"/>
  <c r="AH91" i="50" s="1"/>
  <c r="AG20" i="49" l="1"/>
  <c r="AM19" i="49"/>
  <c r="BC19" i="49" s="1"/>
  <c r="AH35" i="36"/>
  <c r="AH36" i="36" s="1"/>
  <c r="AG53" i="35"/>
  <c r="O58" i="83"/>
  <c r="S58" i="83" s="1"/>
  <c r="AI77" i="83" l="1"/>
  <c r="AH53" i="35"/>
  <c r="AH25" i="36"/>
  <c r="AK76" i="59" s="1"/>
  <c r="W58" i="83"/>
  <c r="AA58" i="83"/>
  <c r="X53" i="26"/>
  <c r="AC58" i="83" l="1"/>
  <c r="AG58" i="83" s="1"/>
  <c r="AK58" i="83" s="1"/>
  <c r="AQ58" i="83" s="1"/>
  <c r="AU58" i="83" s="1"/>
  <c r="AY58" i="83" s="1"/>
  <c r="BG58" i="83" s="1"/>
  <c r="AI75" i="83"/>
  <c r="AF159" i="9" l="1"/>
  <c r="AF158" i="9"/>
  <c r="AF157" i="9"/>
  <c r="J13" i="7" l="1"/>
  <c r="AE22" i="73"/>
  <c r="AE68" i="83" l="1"/>
  <c r="AE69" i="83"/>
  <c r="AE70" i="83"/>
  <c r="AE71" i="83"/>
  <c r="AE72" i="83"/>
  <c r="AE66" i="83"/>
  <c r="AO66" i="83" s="1"/>
  <c r="BE66" i="83" s="1"/>
  <c r="AE50" i="83"/>
  <c r="AO50" i="83" s="1"/>
  <c r="BE50" i="83" s="1"/>
  <c r="AE47" i="83"/>
  <c r="AO47" i="83" s="1"/>
  <c r="BE47" i="83" s="1"/>
  <c r="AE48" i="83"/>
  <c r="AO48" i="83" s="1"/>
  <c r="BE48" i="83" s="1"/>
  <c r="AE45" i="83"/>
  <c r="AO45" i="83" s="1"/>
  <c r="BE45" i="83" s="1"/>
  <c r="AA47" i="83"/>
  <c r="AC47" i="83" s="1"/>
  <c r="W47" i="83"/>
  <c r="W48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89" i="50"/>
  <c r="AD15" i="52"/>
  <c r="BE49" i="83" l="1"/>
  <c r="AO72" i="83"/>
  <c r="BE72" i="83" s="1"/>
  <c r="AO71" i="83"/>
  <c r="BE71" i="83" s="1"/>
  <c r="AO70" i="83"/>
  <c r="BE70" i="83" s="1"/>
  <c r="AO69" i="83"/>
  <c r="BE69" i="83" s="1"/>
  <c r="AO68" i="83"/>
  <c r="BE68" i="83" s="1"/>
  <c r="AO49" i="83"/>
  <c r="AO44" i="83"/>
  <c r="BE44" i="83" s="1"/>
  <c r="AG47" i="83"/>
  <c r="AK47" i="83" s="1"/>
  <c r="AQ47" i="83" s="1"/>
  <c r="AU47" i="83" s="1"/>
  <c r="AY47" i="83" s="1"/>
  <c r="BG47" i="83" s="1"/>
  <c r="AE49" i="83"/>
  <c r="AE44" i="83"/>
  <c r="AE73" i="83"/>
  <c r="AO73" i="83" l="1"/>
  <c r="BE73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5" i="52"/>
  <c r="AM39" i="27" l="1"/>
  <c r="BC36" i="27"/>
  <c r="BC39" i="27" s="1"/>
  <c r="AM24" i="27"/>
  <c r="BC21" i="27"/>
  <c r="BC24" i="27" s="1"/>
  <c r="AL20" i="27"/>
  <c r="AM26" i="27"/>
  <c r="AD16" i="52"/>
  <c r="AC16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5" i="17" s="1"/>
  <c r="BB52" i="17"/>
  <c r="BB53" i="17" s="1"/>
  <c r="BB115" i="17" s="1"/>
  <c r="BC13" i="17"/>
  <c r="BC11" i="17"/>
  <c r="BB45" i="17"/>
  <c r="AL49" i="17"/>
  <c r="BB48" i="17"/>
  <c r="BB49" i="17" s="1"/>
  <c r="AM35" i="15"/>
  <c r="BC31" i="15"/>
  <c r="BC35" i="15" s="1"/>
  <c r="AL114" i="17"/>
  <c r="AL11" i="17"/>
  <c r="AM91" i="17"/>
  <c r="BC91" i="17" s="1"/>
  <c r="AN90" i="17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4" i="17"/>
  <c r="AL30" i="17"/>
  <c r="BB16" i="17"/>
  <c r="BB30" i="17" s="1"/>
  <c r="BD90" i="17"/>
  <c r="AZ90" i="17"/>
  <c r="BC15" i="17"/>
  <c r="AM114" i="17"/>
  <c r="AM116" i="17" s="1"/>
  <c r="BC52" i="17"/>
  <c r="BB51" i="17"/>
  <c r="AM33" i="17"/>
  <c r="BC16" i="17"/>
  <c r="BB50" i="17"/>
  <c r="BB31" i="17"/>
  <c r="BB32" i="17"/>
  <c r="BB34" i="17"/>
  <c r="AN34" i="35"/>
  <c r="AE121" i="50"/>
  <c r="AO121" i="50" s="1"/>
  <c r="BE121" i="50" s="1"/>
  <c r="AM16" i="15"/>
  <c r="BC15" i="15"/>
  <c r="BC16" i="15" s="1"/>
  <c r="AL35" i="17"/>
  <c r="BB35" i="17" s="1"/>
  <c r="AM34" i="17"/>
  <c r="AM31" i="17"/>
  <c r="AM32" i="17"/>
  <c r="AM30" i="17"/>
  <c r="AM15" i="17"/>
  <c r="AL113" i="17"/>
  <c r="AL117" i="17" s="1"/>
  <c r="AL55" i="17"/>
  <c r="AL112" i="17"/>
  <c r="AL116" i="17" s="1"/>
  <c r="AL54" i="17"/>
  <c r="AL34" i="17"/>
  <c r="AL31" i="17"/>
  <c r="AL32" i="17"/>
  <c r="AM53" i="17"/>
  <c r="AM115" i="17" s="1"/>
  <c r="AM117" i="17" s="1"/>
  <c r="AM54" i="17"/>
  <c r="AM55" i="17" s="1"/>
  <c r="BC30" i="17" l="1"/>
  <c r="BC34" i="17"/>
  <c r="BC32" i="17"/>
  <c r="BC31" i="17"/>
  <c r="BC33" i="17"/>
  <c r="BC53" i="17"/>
  <c r="BC115" i="17" s="1"/>
  <c r="BC117" i="17" s="1"/>
  <c r="BC54" i="17"/>
  <c r="BC55" i="17" s="1"/>
  <c r="BC114" i="17"/>
  <c r="BC116" i="17" s="1"/>
  <c r="BB113" i="17"/>
  <c r="BB117" i="17" s="1"/>
  <c r="BB55" i="17"/>
  <c r="BB54" i="17"/>
  <c r="BB112" i="17"/>
  <c r="BB116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8" i="8" s="1"/>
  <c r="AL67" i="26"/>
  <c r="BB67" i="26" s="1"/>
  <c r="AC73" i="11"/>
  <c r="AL102" i="26"/>
  <c r="BB102" i="26" s="1"/>
  <c r="AC98" i="9"/>
  <c r="AL25" i="26"/>
  <c r="BB25" i="26" s="1"/>
  <c r="BC87" i="8" s="1"/>
  <c r="AC87" i="8"/>
  <c r="AL39" i="26"/>
  <c r="BB39" i="26" s="1"/>
  <c r="AD108" i="45"/>
  <c r="AL61" i="26"/>
  <c r="BB61" i="26" s="1"/>
  <c r="BC192" i="6" s="1"/>
  <c r="AC192" i="6"/>
  <c r="AL69" i="26"/>
  <c r="BB69" i="26" s="1"/>
  <c r="AD109" i="45"/>
  <c r="AL104" i="26"/>
  <c r="BB104" i="26" s="1"/>
  <c r="AC169" i="10"/>
  <c r="AL37" i="26"/>
  <c r="BB37" i="26" s="1"/>
  <c r="AC72" i="11"/>
  <c r="AL35" i="26"/>
  <c r="BB35" i="26" s="1"/>
  <c r="AC166" i="10"/>
  <c r="AL106" i="26"/>
  <c r="BB106" i="26" s="1"/>
  <c r="AC75" i="11"/>
  <c r="AL21" i="26"/>
  <c r="AC166" i="6"/>
  <c r="AL43" i="26"/>
  <c r="AM82" i="7" s="1"/>
  <c r="BC82" i="7" s="1"/>
  <c r="AC82" i="7"/>
  <c r="AL65" i="26"/>
  <c r="BB65" i="26" s="1"/>
  <c r="AC167" i="10"/>
  <c r="AL108" i="26"/>
  <c r="BB108" i="26" s="1"/>
  <c r="AD111" i="45"/>
  <c r="AM166" i="6"/>
  <c r="BB21" i="26"/>
  <c r="BC166" i="6" s="1"/>
  <c r="BB82" i="26"/>
  <c r="BD36" i="35"/>
  <c r="BD37" i="35" s="1"/>
  <c r="BE93" i="50" s="1"/>
  <c r="AN46" i="35"/>
  <c r="BD46" i="35" s="1"/>
  <c r="AN37" i="35"/>
  <c r="AO93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4" i="26" s="1"/>
  <c r="AB86" i="17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0" i="10"/>
  <c r="AN151" i="10"/>
  <c r="AN150" i="10"/>
  <c r="AE103" i="50"/>
  <c r="AO103" i="50" s="1"/>
  <c r="BE103" i="50" s="1"/>
  <c r="BB51" i="26"/>
  <c r="BB56" i="26"/>
  <c r="AL45" i="26"/>
  <c r="BB27" i="26"/>
  <c r="AN192" i="10"/>
  <c r="AO4" i="83"/>
  <c r="AE37" i="83"/>
  <c r="AL114" i="26"/>
  <c r="AL87" i="17"/>
  <c r="AL88" i="17" s="1"/>
  <c r="AL85" i="17"/>
  <c r="AL75" i="26"/>
  <c r="AL13" i="26"/>
  <c r="AL18" i="26"/>
  <c r="AL84" i="17"/>
  <c r="AL57" i="26"/>
  <c r="BB57" i="26" s="1"/>
  <c r="AO37" i="83" l="1"/>
  <c r="BE37" i="83" s="1"/>
  <c r="BE4" i="83"/>
  <c r="AL94" i="26"/>
  <c r="BB86" i="17"/>
  <c r="BB45" i="26"/>
  <c r="AL86" i="17"/>
  <c r="BD86" i="8"/>
  <c r="BD151" i="10"/>
  <c r="BD192" i="10"/>
  <c r="AN153" i="10"/>
  <c r="BD183" i="10"/>
  <c r="BD189" i="10"/>
  <c r="AN193" i="10"/>
  <c r="AN170" i="10"/>
  <c r="AQ66" i="59" s="1"/>
  <c r="AN183" i="10"/>
  <c r="AN189" i="10"/>
  <c r="AN188" i="6"/>
  <c r="BD153" i="10" l="1"/>
  <c r="BD21" i="36" s="1"/>
  <c r="BD170" i="10"/>
  <c r="BG66" i="59" s="1"/>
  <c r="BD193" i="10"/>
  <c r="AN190" i="6"/>
  <c r="BD188" i="6"/>
  <c r="BD185" i="10"/>
  <c r="BD187" i="10"/>
  <c r="AQ64" i="59"/>
  <c r="AN21" i="36"/>
  <c r="AN185" i="10"/>
  <c r="AN187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AC90" i="90"/>
  <c r="AM90" i="90" s="1"/>
  <c r="BC90" i="90" s="1"/>
  <c r="AC92" i="90"/>
  <c r="G50" i="71"/>
  <c r="H50" i="71"/>
  <c r="J50" i="71"/>
  <c r="K50" i="71"/>
  <c r="L50" i="71"/>
  <c r="O50" i="71"/>
  <c r="P50" i="71"/>
  <c r="Q50" i="71"/>
  <c r="S50" i="71"/>
  <c r="T50" i="71"/>
  <c r="U50" i="71"/>
  <c r="Y50" i="71"/>
  <c r="Z50" i="71"/>
  <c r="AA50" i="71"/>
  <c r="AC50" i="71"/>
  <c r="AD50" i="71"/>
  <c r="AE50" i="71"/>
  <c r="AH50" i="71"/>
  <c r="AI50" i="71"/>
  <c r="AJ50" i="71"/>
  <c r="AL50" i="71"/>
  <c r="AM50" i="71"/>
  <c r="AN50" i="71"/>
  <c r="AW50" i="71" l="1"/>
  <c r="AY50" i="71" s="1"/>
  <c r="I50" i="71"/>
  <c r="X50" i="71" s="1"/>
  <c r="AR50" i="71" s="1"/>
  <c r="Y52" i="71"/>
  <c r="AC79" i="90"/>
  <c r="AM79" i="90" s="1"/>
  <c r="BC79" i="90" s="1"/>
  <c r="AC91" i="90"/>
  <c r="AC87" i="90"/>
  <c r="AM87" i="90" s="1"/>
  <c r="BC87" i="90" s="1"/>
  <c r="AC86" i="90"/>
  <c r="AM86" i="90" s="1"/>
  <c r="BC86" i="90" s="1"/>
  <c r="AC88" i="90"/>
  <c r="AM88" i="90" s="1"/>
  <c r="BC88" i="90" s="1"/>
  <c r="AC76" i="90"/>
  <c r="AM76" i="90" s="1"/>
  <c r="BC76" i="90" s="1"/>
  <c r="AC85" i="90"/>
  <c r="AM85" i="90" s="1"/>
  <c r="BC85" i="90" s="1"/>
  <c r="AC68" i="90"/>
  <c r="AC84" i="90"/>
  <c r="AM84" i="90" s="1"/>
  <c r="BC84" i="90" s="1"/>
  <c r="AC93" i="90"/>
  <c r="AE126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9" i="90"/>
  <c r="AM89" i="90" s="1"/>
  <c r="BC89" i="90" s="1"/>
  <c r="AC81" i="90"/>
  <c r="AM81" i="90" s="1"/>
  <c r="BC81" i="90" s="1"/>
  <c r="AC69" i="90"/>
  <c r="AM69" i="90" s="1"/>
  <c r="BC69" i="90" s="1"/>
  <c r="AE38" i="50"/>
  <c r="AO4" i="50"/>
  <c r="AE125" i="50"/>
  <c r="BS50" i="71"/>
  <c r="BS52" i="71" s="1"/>
  <c r="BG64" i="59"/>
  <c r="BD190" i="6"/>
  <c r="AO4" i="61"/>
  <c r="BE4" i="61" s="1"/>
  <c r="BE14" i="61"/>
  <c r="BE13" i="61"/>
  <c r="AE39" i="50"/>
  <c r="AF31" i="36"/>
  <c r="AC94" i="90" l="1"/>
  <c r="AC101" i="90" s="1"/>
  <c r="AM68" i="90"/>
  <c r="BC68" i="90" s="1"/>
  <c r="AO38" i="50"/>
  <c r="AN154" i="10" s="1"/>
  <c r="AN155" i="10" s="1"/>
  <c r="BE4" i="50"/>
  <c r="BE38" i="50" s="1"/>
  <c r="AE46" i="50"/>
  <c r="AE90" i="50" s="1"/>
  <c r="AO39" i="50"/>
  <c r="AE104" i="50"/>
  <c r="AD154" i="10"/>
  <c r="AD155" i="10" s="1"/>
  <c r="AE122" i="50"/>
  <c r="AO122" i="50" s="1"/>
  <c r="AE118" i="50"/>
  <c r="AO118" i="50" s="1"/>
  <c r="BE118" i="50" s="1"/>
  <c r="BE16" i="61"/>
  <c r="AO16" i="61"/>
  <c r="AO67" i="83"/>
  <c r="BE67" i="83" s="1"/>
  <c r="AE67" i="83"/>
  <c r="AE74" i="83" s="1"/>
  <c r="AO74" i="83" s="1"/>
  <c r="BE74" i="83" s="1"/>
  <c r="AO123" i="50" l="1"/>
  <c r="BE122" i="50"/>
  <c r="BE123" i="50" s="1"/>
  <c r="AC107" i="90"/>
  <c r="AC132" i="90"/>
  <c r="AC135" i="90" s="1"/>
  <c r="AO46" i="50"/>
  <c r="AO90" i="50" s="1"/>
  <c r="AO91" i="50" s="1"/>
  <c r="BE39" i="50"/>
  <c r="BE46" i="50" s="1"/>
  <c r="BE90" i="50" s="1"/>
  <c r="BE91" i="50" s="1"/>
  <c r="AE114" i="50"/>
  <c r="AO114" i="50" s="1"/>
  <c r="BE114" i="50" s="1"/>
  <c r="BD154" i="10"/>
  <c r="BD155" i="10" s="1"/>
  <c r="AE106" i="50"/>
  <c r="AO104" i="50"/>
  <c r="AE105" i="50"/>
  <c r="AE123" i="50"/>
  <c r="AE124" i="50"/>
  <c r="AO124" i="50" s="1"/>
  <c r="BE124" i="50" s="1"/>
  <c r="AE31" i="36"/>
  <c r="AO105" i="50" l="1"/>
  <c r="BE104" i="50"/>
  <c r="BE105" i="50" s="1"/>
  <c r="AE111" i="50"/>
  <c r="AO106" i="50"/>
  <c r="BE86" i="73"/>
  <c r="BE75" i="73"/>
  <c r="AO111" i="50" l="1"/>
  <c r="BE106" i="50"/>
  <c r="BE111" i="50" s="1"/>
  <c r="AN415" i="28"/>
  <c r="BD415" i="28" s="1"/>
  <c r="N401" i="28"/>
  <c r="R401" i="28" s="1"/>
  <c r="V401" i="28" s="1"/>
  <c r="N367" i="28"/>
  <c r="R367" i="28" s="1"/>
  <c r="V367" i="28" s="1"/>
  <c r="N369" i="28"/>
  <c r="R369" i="28" s="1"/>
  <c r="V369" i="28" s="1"/>
  <c r="Z367" i="28"/>
  <c r="Z369" i="28"/>
  <c r="N362" i="28"/>
  <c r="R362" i="28" s="1"/>
  <c r="V362" i="28" s="1"/>
  <c r="N364" i="28"/>
  <c r="R364" i="28" s="1"/>
  <c r="V364" i="28" s="1"/>
  <c r="Z362" i="28"/>
  <c r="Z364" i="28"/>
  <c r="AB367" i="28" l="1"/>
  <c r="AB401" i="28"/>
  <c r="AB369" i="28"/>
  <c r="AB364" i="28"/>
  <c r="AB362" i="28"/>
  <c r="AF364" i="28" l="1"/>
  <c r="AF401" i="28"/>
  <c r="AJ401" i="28" s="1"/>
  <c r="AF369" i="28"/>
  <c r="AF362" i="28"/>
  <c r="AF367" i="28"/>
  <c r="Z320" i="28"/>
  <c r="N177" i="28"/>
  <c r="N195" i="28"/>
  <c r="R195" i="28" s="1"/>
  <c r="V195" i="28" s="1"/>
  <c r="AP401" i="28" l="1"/>
  <c r="AJ367" i="28"/>
  <c r="AJ362" i="28"/>
  <c r="AJ369" i="28"/>
  <c r="AJ364" i="28"/>
  <c r="R177" i="28"/>
  <c r="V177" i="28" s="1"/>
  <c r="AB177" i="28"/>
  <c r="AF177" i="28" s="1"/>
  <c r="AJ177" i="28" s="1"/>
  <c r="AB195" i="28"/>
  <c r="AB320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01" i="28" l="1"/>
  <c r="AX401" i="28" s="1"/>
  <c r="BF401" i="28" s="1"/>
  <c r="AP369" i="28"/>
  <c r="AP362" i="28"/>
  <c r="AP177" i="28"/>
  <c r="AP364" i="28"/>
  <c r="AP367" i="28"/>
  <c r="AR43" i="38"/>
  <c r="AR92" i="38" s="1"/>
  <c r="AH92" i="38"/>
  <c r="AH84" i="38"/>
  <c r="AH18" i="38"/>
  <c r="AQ36" i="38"/>
  <c r="BG36" i="38" s="1"/>
  <c r="BC167" i="6" s="1"/>
  <c r="AC167" i="6"/>
  <c r="AC168" i="6" s="1"/>
  <c r="AF195" i="28"/>
  <c r="AF320" i="28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64" i="28"/>
  <c r="AT367" i="28"/>
  <c r="AT362" i="28"/>
  <c r="AT369" i="28"/>
  <c r="AT177" i="28"/>
  <c r="AJ320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84" i="38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G40" i="38"/>
  <c r="AQ40" i="38" s="1"/>
  <c r="AG33" i="45"/>
  <c r="AF99" i="50"/>
  <c r="AF100" i="50" s="1"/>
  <c r="AD99" i="50"/>
  <c r="AD100" i="50" s="1"/>
  <c r="AE98" i="50"/>
  <c r="AK98" i="50" s="1"/>
  <c r="AE97" i="50"/>
  <c r="AK97" i="50" s="1"/>
  <c r="AO125" i="45"/>
  <c r="AO111" i="45"/>
  <c r="BE111" i="45" s="1"/>
  <c r="AN111" i="45"/>
  <c r="BD111" i="45" s="1"/>
  <c r="AO109" i="45"/>
  <c r="BE109" i="45" s="1"/>
  <c r="AN109" i="45"/>
  <c r="BD109" i="45" s="1"/>
  <c r="AO108" i="45"/>
  <c r="BE108" i="45" s="1"/>
  <c r="AN108" i="45"/>
  <c r="BD108" i="45" s="1"/>
  <c r="AN106" i="45"/>
  <c r="AN105" i="45"/>
  <c r="BD105" i="45" s="1"/>
  <c r="AN75" i="11"/>
  <c r="BD75" i="11" s="1"/>
  <c r="AM75" i="11"/>
  <c r="BC75" i="11" s="1"/>
  <c r="AN73" i="11"/>
  <c r="BD73" i="11" s="1"/>
  <c r="AM73" i="11"/>
  <c r="BC73" i="11" s="1"/>
  <c r="AN72" i="11"/>
  <c r="BD72" i="11" s="1"/>
  <c r="AM72" i="11"/>
  <c r="BC72" i="11" s="1"/>
  <c r="AN70" i="11"/>
  <c r="AM69" i="11"/>
  <c r="BC69" i="11" s="1"/>
  <c r="AN63" i="11"/>
  <c r="AH66" i="38" l="1"/>
  <c r="AH98" i="38" s="1"/>
  <c r="AH49" i="38"/>
  <c r="BH16" i="38"/>
  <c r="BH65" i="38" s="1"/>
  <c r="AX369" i="28"/>
  <c r="BF369" i="28" s="1"/>
  <c r="AX362" i="28"/>
  <c r="BF362" i="28" s="1"/>
  <c r="AX367" i="28"/>
  <c r="BF367" i="28" s="1"/>
  <c r="AX364" i="28"/>
  <c r="BF364" i="28" s="1"/>
  <c r="AX177" i="28"/>
  <c r="BF177" i="28" s="1"/>
  <c r="AK33" i="45"/>
  <c r="AQ33" i="45" s="1"/>
  <c r="AU33" i="45" s="1"/>
  <c r="AP195" i="28"/>
  <c r="AP320" i="28"/>
  <c r="AR17" i="38"/>
  <c r="BH17" i="38" s="1"/>
  <c r="BH66" i="38" s="1"/>
  <c r="AG17" i="38"/>
  <c r="AG49" i="38" s="1"/>
  <c r="BH18" i="38"/>
  <c r="BH67" i="38" s="1"/>
  <c r="AN64" i="11"/>
  <c r="BD63" i="11"/>
  <c r="BD64" i="11" s="1"/>
  <c r="BD70" i="11"/>
  <c r="AE113" i="50"/>
  <c r="AE117" i="50"/>
  <c r="AO130" i="45"/>
  <c r="BE125" i="45"/>
  <c r="BE130" i="45" s="1"/>
  <c r="AG50" i="45"/>
  <c r="AG63" i="45"/>
  <c r="AK63" i="45" s="1"/>
  <c r="AQ63" i="45" s="1"/>
  <c r="AU63" i="45" s="1"/>
  <c r="AY63" i="45" s="1"/>
  <c r="BD106" i="45"/>
  <c r="AG51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6" i="45"/>
  <c r="AQ67" i="38"/>
  <c r="AR67" i="38"/>
  <c r="AN26" i="36"/>
  <c r="AN25" i="36"/>
  <c r="AN99" i="45"/>
  <c r="AO99" i="45"/>
  <c r="AO106" i="45"/>
  <c r="AM63" i="11"/>
  <c r="AM70" i="11"/>
  <c r="AG44" i="45"/>
  <c r="AQ17" i="38"/>
  <c r="AQ49" i="38" s="1"/>
  <c r="AG19" i="45"/>
  <c r="BG63" i="45" l="1"/>
  <c r="AR49" i="38"/>
  <c r="AR66" i="38"/>
  <c r="AR98" i="38"/>
  <c r="BH98" i="38"/>
  <c r="BG65" i="38"/>
  <c r="BH49" i="38"/>
  <c r="AY33" i="45"/>
  <c r="AT320" i="28"/>
  <c r="AT195" i="28"/>
  <c r="AK50" i="45"/>
  <c r="AQ50" i="45" s="1"/>
  <c r="AU50" i="45" s="1"/>
  <c r="AK44" i="45"/>
  <c r="AQ44" i="45" s="1"/>
  <c r="AU44" i="45" s="1"/>
  <c r="AK19" i="45"/>
  <c r="AQ19" i="45" s="1"/>
  <c r="AU19" i="45" s="1"/>
  <c r="AK46" i="45"/>
  <c r="AQ46" i="45" s="1"/>
  <c r="AU46" i="45" s="1"/>
  <c r="AK51" i="45"/>
  <c r="AQ51" i="45" s="1"/>
  <c r="AU51" i="45" s="1"/>
  <c r="AE119" i="50"/>
  <c r="AO117" i="50"/>
  <c r="AE115" i="50"/>
  <c r="AO113" i="50"/>
  <c r="BD26" i="36"/>
  <c r="BD25" i="36"/>
  <c r="BG76" i="59" s="1"/>
  <c r="AM64" i="11"/>
  <c r="BC63" i="11"/>
  <c r="BC64" i="11" s="1"/>
  <c r="BC70" i="11"/>
  <c r="AO100" i="45"/>
  <c r="BE99" i="45"/>
  <c r="BE100" i="45" s="1"/>
  <c r="AN100" i="45"/>
  <c r="BD99" i="45"/>
  <c r="BD100" i="45" s="1"/>
  <c r="BE106" i="45"/>
  <c r="AQ66" i="38"/>
  <c r="AQ98" i="38" s="1"/>
  <c r="BG17" i="38"/>
  <c r="BG66" i="38" s="1"/>
  <c r="BG33" i="45" l="1"/>
  <c r="AO115" i="50"/>
  <c r="BE113" i="50"/>
  <c r="BE115" i="50" s="1"/>
  <c r="AO119" i="50"/>
  <c r="BE117" i="50"/>
  <c r="BE119" i="50" s="1"/>
  <c r="BG49" i="38"/>
  <c r="BG98" i="38"/>
  <c r="AX195" i="28"/>
  <c r="BF195" i="28" s="1"/>
  <c r="AX320" i="28"/>
  <c r="BF320" i="28" s="1"/>
  <c r="AY50" i="45"/>
  <c r="AY51" i="45"/>
  <c r="AY46" i="45"/>
  <c r="AY44" i="45"/>
  <c r="AY19" i="45"/>
  <c r="S5" i="61"/>
  <c r="BG51" i="45" l="1"/>
  <c r="BG44" i="45"/>
  <c r="BG50" i="45"/>
  <c r="BG19" i="45"/>
  <c r="BG46" i="45"/>
  <c r="W5" i="61"/>
  <c r="AK5" i="61"/>
  <c r="AQ5" i="61" s="1"/>
  <c r="AU5" i="61" s="1"/>
  <c r="AY5" i="61" s="1"/>
  <c r="BG5" i="61" s="1"/>
  <c r="AN169" i="10"/>
  <c r="AM169" i="10"/>
  <c r="AN167" i="10"/>
  <c r="AM167" i="10"/>
  <c r="AN166" i="10"/>
  <c r="AM166" i="10"/>
  <c r="AM163" i="10"/>
  <c r="BC163" i="10" s="1"/>
  <c r="AN157" i="10" l="1"/>
  <c r="AM157" i="10"/>
  <c r="AM164" i="10"/>
  <c r="AN164" i="10"/>
  <c r="AM158" i="10" l="1"/>
  <c r="BC157" i="10"/>
  <c r="BC158" i="10" s="1"/>
  <c r="AN158" i="10"/>
  <c r="BD157" i="10"/>
  <c r="BD158" i="10" s="1"/>
  <c r="BC164" i="10"/>
  <c r="BD164" i="10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50" i="36"/>
  <c r="AN95" i="9"/>
  <c r="AN96" i="9" l="1"/>
  <c r="BD95" i="9"/>
  <c r="BD96" i="9" s="1"/>
  <c r="AN56" i="8"/>
  <c r="BD67" i="8"/>
  <c r="AN54" i="8"/>
  <c r="BD63" i="8"/>
  <c r="BD53" i="8"/>
  <c r="AA37" i="72"/>
  <c r="AA30" i="72"/>
  <c r="AA14" i="72"/>
  <c r="BD54" i="8" l="1"/>
  <c r="BD56" i="8"/>
  <c r="AA39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8" i="50"/>
  <c r="AM24" i="9"/>
  <c r="BC24" i="9" s="1"/>
  <c r="AN19" i="9"/>
  <c r="AK39" i="72" l="1"/>
  <c r="AA41" i="72"/>
  <c r="AE129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39" i="72" l="1"/>
  <c r="AK41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C129" i="26"/>
  <c r="BD24" i="36" s="1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9" i="7"/>
  <c r="AE83" i="7"/>
  <c r="AN80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M131" i="6"/>
  <c r="BC131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69" i="8"/>
  <c r="BD62" i="8"/>
  <c r="AN81" i="7"/>
  <c r="AQ36" i="59" s="1"/>
  <c r="BD80" i="7"/>
  <c r="BD81" i="7" s="1"/>
  <c r="BG36" i="59" s="1"/>
  <c r="AN128" i="6"/>
  <c r="BD128" i="6" s="1"/>
  <c r="BD133" i="6" s="1"/>
  <c r="AN55" i="6"/>
  <c r="BD55" i="6" s="1"/>
  <c r="AM136" i="6"/>
  <c r="BC136" i="6" s="1"/>
  <c r="AM39" i="7"/>
  <c r="AM21" i="6"/>
  <c r="BC21" i="6" s="1"/>
  <c r="AM17" i="6"/>
  <c r="AN131" i="6"/>
  <c r="BD131" i="6" s="1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66" i="28"/>
  <c r="BD266" i="28" s="1"/>
  <c r="AN28" i="28"/>
  <c r="BD28" i="28" s="1"/>
  <c r="AN29" i="28"/>
  <c r="BD29" i="28" s="1"/>
  <c r="AM2" i="17" l="1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59" i="28"/>
  <c r="AE458" i="28"/>
  <c r="AN411" i="28"/>
  <c r="BD411" i="28" s="1"/>
  <c r="AM372" i="28"/>
  <c r="BC372" i="28" s="1"/>
  <c r="AT358" i="28"/>
  <c r="AM266" i="28"/>
  <c r="BC266" i="28" s="1"/>
  <c r="AM229" i="28"/>
  <c r="BC229" i="28" s="1"/>
  <c r="AN212" i="28"/>
  <c r="BD212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6" i="73"/>
  <c r="AB186" i="73"/>
  <c r="AM177" i="73"/>
  <c r="AM120" i="73"/>
  <c r="AM134" i="73" s="1"/>
  <c r="AM114" i="73"/>
  <c r="AD108" i="73"/>
  <c r="AD117" i="73" s="1"/>
  <c r="AM23" i="73"/>
  <c r="BD77" i="8" l="1"/>
  <c r="BC2" i="17"/>
  <c r="BC2" i="26"/>
  <c r="BC97" i="6"/>
  <c r="AX358" i="28"/>
  <c r="BF358" i="28" s="1"/>
  <c r="BC163" i="6"/>
  <c r="BC168" i="6"/>
  <c r="BC19" i="6"/>
  <c r="BD157" i="6"/>
  <c r="BC195" i="6"/>
  <c r="AM139" i="6"/>
  <c r="BC139" i="6" s="1"/>
  <c r="BC143" i="6" s="1"/>
  <c r="AM67" i="7"/>
  <c r="BC66" i="7"/>
  <c r="BC67" i="7" s="1"/>
  <c r="AN139" i="6"/>
  <c r="BD139" i="6" s="1"/>
  <c r="BD143" i="6" s="1"/>
  <c r="BD138" i="6"/>
  <c r="BC194" i="6"/>
  <c r="BC35" i="6"/>
  <c r="AN49" i="7"/>
  <c r="BD39" i="7"/>
  <c r="BD49" i="7" s="1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39" i="28"/>
  <c r="BD12" i="28"/>
  <c r="BD439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88" i="73"/>
  <c r="BC188" i="73" s="1"/>
  <c r="AM48" i="73"/>
  <c r="BC48" i="73" s="1"/>
  <c r="AN72" i="8"/>
  <c r="BD66" i="8"/>
  <c r="BD71" i="8"/>
  <c r="AM35" i="6"/>
  <c r="AM81" i="6"/>
  <c r="AM186" i="73"/>
  <c r="BC114" i="73"/>
  <c r="AN268" i="28"/>
  <c r="AN267" i="28"/>
  <c r="BD267" i="28" s="1"/>
  <c r="AN372" i="28"/>
  <c r="AN60" i="28"/>
  <c r="BD60" i="28" s="1"/>
  <c r="AN26" i="28"/>
  <c r="BD26" i="28" s="1"/>
  <c r="BD447" i="28" s="1"/>
  <c r="AN19" i="28"/>
  <c r="BD19" i="28" s="1"/>
  <c r="BD443" i="28" s="1"/>
  <c r="AN273" i="28"/>
  <c r="AN357" i="28"/>
  <c r="AN356" i="28"/>
  <c r="BD356" i="28" s="1"/>
  <c r="AN229" i="28"/>
  <c r="AN53" i="28"/>
  <c r="BD53" i="28" s="1"/>
  <c r="AN31" i="28"/>
  <c r="BD31" i="28" s="1"/>
  <c r="AN52" i="28"/>
  <c r="BD52" i="28" s="1"/>
  <c r="AN409" i="28"/>
  <c r="AN59" i="28"/>
  <c r="BD59" i="28" s="1"/>
  <c r="AN213" i="28"/>
  <c r="BD213" i="28" s="1"/>
  <c r="AN83" i="28"/>
  <c r="AN47" i="28"/>
  <c r="BD47" i="28" s="1"/>
  <c r="AN58" i="28"/>
  <c r="BD58" i="28" s="1"/>
  <c r="AN426" i="28"/>
  <c r="BD426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M207" i="6" s="1"/>
  <c r="AN143" i="6"/>
  <c r="AN197" i="6" s="1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50" i="28"/>
  <c r="BD372" i="28"/>
  <c r="BD450" i="28" s="1"/>
  <c r="AN442" i="28"/>
  <c r="BD229" i="28"/>
  <c r="AN446" i="28"/>
  <c r="BD273" i="28"/>
  <c r="BD446" i="28" s="1"/>
  <c r="BD458" i="28"/>
  <c r="AN459" i="28"/>
  <c r="BD409" i="28"/>
  <c r="BD459" i="28" s="1"/>
  <c r="BD440" i="28"/>
  <c r="BD441" i="28"/>
  <c r="AN444" i="28"/>
  <c r="BD268" i="28"/>
  <c r="AN448" i="28"/>
  <c r="BD357" i="28"/>
  <c r="AN84" i="28"/>
  <c r="BD83" i="28"/>
  <c r="BD84" i="28" s="1"/>
  <c r="BC186" i="73"/>
  <c r="BC177" i="73"/>
  <c r="BC120" i="73"/>
  <c r="BC134" i="73" s="1"/>
  <c r="BC23" i="73"/>
  <c r="BC117" i="73" s="1"/>
  <c r="AM11" i="15"/>
  <c r="BC11" i="15" s="1"/>
  <c r="BC12" i="15" s="1"/>
  <c r="BC13" i="15" s="1"/>
  <c r="AN458" i="28"/>
  <c r="AN447" i="28"/>
  <c r="AN449" i="28"/>
  <c r="AN443" i="28"/>
  <c r="AN445" i="28"/>
  <c r="AN437" i="28"/>
  <c r="AN436" i="28"/>
  <c r="AN54" i="28"/>
  <c r="BD54" i="28" s="1"/>
  <c r="AN32" i="28"/>
  <c r="BD32" i="28" s="1"/>
  <c r="AN440" i="28"/>
  <c r="AN441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213" i="6" l="1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6" i="35" s="1"/>
  <c r="BC34" i="35"/>
  <c r="AN451" i="28"/>
  <c r="BD33" i="28"/>
  <c r="BD451" i="28" s="1"/>
  <c r="BD448" i="28"/>
  <c r="BD449" i="28"/>
  <c r="BD436" i="28"/>
  <c r="BD437" i="28"/>
  <c r="BD444" i="28"/>
  <c r="BD445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27" i="28"/>
  <c r="BD427" i="28" s="1"/>
  <c r="AM38" i="36"/>
  <c r="AD15" i="36"/>
  <c r="AN61" i="28"/>
  <c r="BD61" i="28" s="1"/>
  <c r="AM209" i="6" l="1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4" i="8"/>
  <c r="BC36" i="35"/>
  <c r="BC46" i="35" s="1"/>
  <c r="AN20" i="21"/>
  <c r="BD18" i="21"/>
  <c r="BD20" i="21" s="1"/>
  <c r="AM151" i="10"/>
  <c r="BC30" i="35"/>
  <c r="AM53" i="11"/>
  <c r="AM55" i="11" s="1"/>
  <c r="AP68" i="59" s="1"/>
  <c r="BC31" i="35"/>
  <c r="BC53" i="11" s="1"/>
  <c r="BB17" i="15"/>
  <c r="BC26" i="36"/>
  <c r="BC5" i="9"/>
  <c r="AN89" i="45"/>
  <c r="AN88" i="45" s="1"/>
  <c r="BC32" i="35"/>
  <c r="BD89" i="45" s="1"/>
  <c r="BD431" i="28"/>
  <c r="BD452" i="28"/>
  <c r="BD453" i="28"/>
  <c r="BD430" i="28"/>
  <c r="BD56" i="28"/>
  <c r="BD456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3" i="50" s="1"/>
  <c r="AP91" i="50" s="1"/>
  <c r="AF74" i="59"/>
  <c r="AM267" i="28"/>
  <c r="BC267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56" i="28"/>
  <c r="AN56" i="28"/>
  <c r="AN430" i="28"/>
  <c r="AN452" i="28"/>
  <c r="AN453" i="28"/>
  <c r="AN431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M5" i="15" l="1"/>
  <c r="AM215" i="6"/>
  <c r="AM220" i="6" s="1"/>
  <c r="AN215" i="6"/>
  <c r="AN220" i="6" s="1"/>
  <c r="AM76" i="11"/>
  <c r="AP70" i="59" s="1"/>
  <c r="AM102" i="9"/>
  <c r="BC102" i="9" s="1"/>
  <c r="BD9" i="36"/>
  <c r="BG10" i="59" s="1"/>
  <c r="AM52" i="11"/>
  <c r="AM95" i="11"/>
  <c r="AP51" i="59"/>
  <c r="AM82" i="8"/>
  <c r="AM9" i="35"/>
  <c r="AN91" i="45"/>
  <c r="AP72" i="59" s="1"/>
  <c r="AN112" i="45"/>
  <c r="AP74" i="59" s="1"/>
  <c r="AN92" i="45"/>
  <c r="BC47" i="35"/>
  <c r="AM33" i="36"/>
  <c r="BC95" i="11"/>
  <c r="BC52" i="11"/>
  <c r="BC76" i="11"/>
  <c r="BF70" i="59" s="1"/>
  <c r="BC55" i="11"/>
  <c r="BD92" i="45"/>
  <c r="BD88" i="45"/>
  <c r="BD91" i="45"/>
  <c r="BF72" i="59" s="1"/>
  <c r="BD112" i="45"/>
  <c r="BF74" i="59" s="1"/>
  <c r="AN47" i="35"/>
  <c r="AN53" i="35" s="1"/>
  <c r="BD41" i="35"/>
  <c r="BD47" i="35" s="1"/>
  <c r="BD53" i="35" s="1"/>
  <c r="BC151" i="10"/>
  <c r="BC33" i="35"/>
  <c r="BC37" i="35" s="1"/>
  <c r="BD93" i="50" s="1"/>
  <c r="BD91" i="50" s="1"/>
  <c r="BC33" i="22"/>
  <c r="BB131" i="26"/>
  <c r="BC89" i="9"/>
  <c r="BC100" i="9"/>
  <c r="BC7" i="9"/>
  <c r="AM150" i="10"/>
  <c r="AM153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57" i="28"/>
  <c r="BD62" i="28"/>
  <c r="BD457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7" i="35"/>
  <c r="AM53" i="35" s="1"/>
  <c r="AN19" i="36"/>
  <c r="AQ57" i="59" s="1"/>
  <c r="AM30" i="8"/>
  <c r="AM66" i="8"/>
  <c r="BC66" i="8" s="1"/>
  <c r="AM27" i="8"/>
  <c r="BC27" i="8" s="1"/>
  <c r="AM19" i="28"/>
  <c r="BC19" i="28" s="1"/>
  <c r="AM170" i="10"/>
  <c r="AP66" i="59" s="1"/>
  <c r="AM10" i="35"/>
  <c r="AM9" i="6" s="1"/>
  <c r="AM23" i="8"/>
  <c r="BC23" i="8" s="1"/>
  <c r="AM85" i="8"/>
  <c r="AM25" i="8"/>
  <c r="BC25" i="8" s="1"/>
  <c r="AM213" i="28"/>
  <c r="BC213" i="28" s="1"/>
  <c r="AM12" i="28"/>
  <c r="BC12" i="28" s="1"/>
  <c r="AM26" i="28"/>
  <c r="BC26" i="28" s="1"/>
  <c r="AM357" i="28"/>
  <c r="AM7" i="9"/>
  <c r="AM33" i="22"/>
  <c r="AM89" i="9"/>
  <c r="AL131" i="26"/>
  <c r="AM100" i="9"/>
  <c r="AQ79" i="59"/>
  <c r="AM7" i="15"/>
  <c r="AL2" i="17" l="1"/>
  <c r="AL2" i="26"/>
  <c r="AL129" i="26"/>
  <c r="AN9" i="36"/>
  <c r="AQ10" i="59" s="1"/>
  <c r="BC53" i="35"/>
  <c r="BC82" i="8"/>
  <c r="BF50" i="59" s="1"/>
  <c r="AP50" i="59"/>
  <c r="BC9" i="35"/>
  <c r="BC8" i="6" s="1"/>
  <c r="AM8" i="6"/>
  <c r="AM34" i="36"/>
  <c r="BC150" i="10"/>
  <c r="BC170" i="10"/>
  <c r="BF66" i="59" s="1"/>
  <c r="BC153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7" i="83"/>
  <c r="AE75" i="83" s="1"/>
  <c r="AE93" i="50"/>
  <c r="AE91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41" i="28"/>
  <c r="AM449" i="28"/>
  <c r="BC357" i="28"/>
  <c r="BC449" i="28" s="1"/>
  <c r="AN6" i="6"/>
  <c r="AN16" i="6" s="1"/>
  <c r="BD7" i="35"/>
  <c r="BD6" i="6" s="1"/>
  <c r="AM73" i="8"/>
  <c r="AM36" i="8"/>
  <c r="BC36" i="8" s="1"/>
  <c r="AM268" i="28"/>
  <c r="BC268" i="28" s="1"/>
  <c r="AM58" i="8"/>
  <c r="BC58" i="8" s="1"/>
  <c r="AM441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3" i="50"/>
  <c r="AD91" i="50" s="1"/>
  <c r="BC77" i="8" l="1"/>
  <c r="BB2" i="17"/>
  <c r="BB2" i="26"/>
  <c r="AP49" i="59"/>
  <c r="BF49" i="59"/>
  <c r="AO77" i="83"/>
  <c r="BE77" i="83" s="1"/>
  <c r="BE75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B129" i="26"/>
  <c r="BC24" i="36" s="1"/>
  <c r="AM9" i="22"/>
  <c r="BC8" i="22"/>
  <c r="AN7" i="6"/>
  <c r="BC437" i="28"/>
  <c r="BC445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1" i="8"/>
  <c r="AM62" i="8"/>
  <c r="AM35" i="8"/>
  <c r="BC35" i="8" s="1"/>
  <c r="AM445" i="28"/>
  <c r="AM437" i="28"/>
  <c r="AN194" i="6"/>
  <c r="AN189" i="6"/>
  <c r="AN17" i="6"/>
  <c r="AN35" i="36"/>
  <c r="AM33" i="28"/>
  <c r="BC33" i="28" s="1"/>
  <c r="BD189" i="6" l="1"/>
  <c r="AO75" i="83"/>
  <c r="AP44" i="59"/>
  <c r="BD83" i="6"/>
  <c r="BC9" i="22"/>
  <c r="BC110" i="8"/>
  <c r="BC109" i="8"/>
  <c r="AN169" i="6"/>
  <c r="BD17" i="6"/>
  <c r="AM70" i="8"/>
  <c r="BC62" i="8"/>
  <c r="BC70" i="8" s="1"/>
  <c r="BD195" i="6"/>
  <c r="AM436" i="28"/>
  <c r="BC69" i="28"/>
  <c r="BC440" i="28"/>
  <c r="BC439" i="28"/>
  <c r="BC448" i="28"/>
  <c r="BC447" i="28"/>
  <c r="AM10" i="22"/>
  <c r="BC10" i="22" s="1"/>
  <c r="AN79" i="6"/>
  <c r="AN85" i="6"/>
  <c r="AN82" i="6"/>
  <c r="AM24" i="22"/>
  <c r="BC24" i="22" s="1"/>
  <c r="AM444" i="28"/>
  <c r="AM443" i="28"/>
  <c r="AM448" i="28"/>
  <c r="AM447" i="28"/>
  <c r="AM440" i="28"/>
  <c r="AM439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44" i="28"/>
  <c r="BC443" i="28"/>
  <c r="BC436" i="28"/>
  <c r="AN81" i="6"/>
  <c r="AM27" i="22"/>
  <c r="BC27" i="22" s="1"/>
  <c r="AM25" i="22"/>
  <c r="AN40" i="6"/>
  <c r="AN38" i="6"/>
  <c r="AN39" i="6"/>
  <c r="AN37" i="6"/>
  <c r="AM427" i="28"/>
  <c r="BC427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52" i="28"/>
  <c r="BC451" i="28"/>
  <c r="AM456" i="28"/>
  <c r="BC55" i="28"/>
  <c r="BC456" i="28" s="1"/>
  <c r="BC431" i="28"/>
  <c r="BC430" i="28"/>
  <c r="BC453" i="28"/>
  <c r="AN41" i="6"/>
  <c r="AM28" i="22"/>
  <c r="AM62" i="28"/>
  <c r="AM452" i="28"/>
  <c r="AM451" i="28"/>
  <c r="AM430" i="28"/>
  <c r="AM431" i="28"/>
  <c r="AM453" i="28"/>
  <c r="AM81" i="28"/>
  <c r="BC81" i="28" s="1"/>
  <c r="Z416" i="28"/>
  <c r="Z417" i="28"/>
  <c r="Z419" i="28"/>
  <c r="Z420" i="28"/>
  <c r="Z421" i="28"/>
  <c r="N417" i="28"/>
  <c r="R417" i="28" s="1"/>
  <c r="V417" i="28" s="1"/>
  <c r="N419" i="28"/>
  <c r="N420" i="28"/>
  <c r="N416" i="28"/>
  <c r="R416" i="28" s="1"/>
  <c r="V416" i="28" s="1"/>
  <c r="F415" i="28"/>
  <c r="F411" i="28"/>
  <c r="Z408" i="28"/>
  <c r="N381" i="28"/>
  <c r="R381" i="28" s="1"/>
  <c r="V381" i="28" s="1"/>
  <c r="N382" i="28"/>
  <c r="R382" i="28" s="1"/>
  <c r="V382" i="28" s="1"/>
  <c r="N383" i="28"/>
  <c r="R383" i="28" s="1"/>
  <c r="V383" i="28" s="1"/>
  <c r="N385" i="28"/>
  <c r="R385" i="28" s="1"/>
  <c r="V385" i="28" s="1"/>
  <c r="N386" i="28"/>
  <c r="R386" i="28" s="1"/>
  <c r="V386" i="28" s="1"/>
  <c r="N388" i="28"/>
  <c r="R388" i="28" s="1"/>
  <c r="V388" i="28" s="1"/>
  <c r="N389" i="28"/>
  <c r="R389" i="28" s="1"/>
  <c r="V389" i="28" s="1"/>
  <c r="N390" i="28"/>
  <c r="R390" i="28" s="1"/>
  <c r="V390" i="28" s="1"/>
  <c r="N391" i="28"/>
  <c r="R391" i="28" s="1"/>
  <c r="V391" i="28" s="1"/>
  <c r="N393" i="28"/>
  <c r="N395" i="28"/>
  <c r="N397" i="28"/>
  <c r="N398" i="28"/>
  <c r="N399" i="28"/>
  <c r="N400" i="28"/>
  <c r="R400" i="28" s="1"/>
  <c r="V400" i="28" s="1"/>
  <c r="N402" i="28"/>
  <c r="R402" i="28" s="1"/>
  <c r="V402" i="28" s="1"/>
  <c r="N408" i="28"/>
  <c r="R408" i="28" s="1"/>
  <c r="V408" i="28" s="1"/>
  <c r="F380" i="28"/>
  <c r="F379" i="28"/>
  <c r="BD150" i="6" l="1"/>
  <c r="BD148" i="6"/>
  <c r="BG15" i="59" s="1"/>
  <c r="BD152" i="6"/>
  <c r="BD197" i="6" s="1"/>
  <c r="BD153" i="6"/>
  <c r="BD154" i="6"/>
  <c r="BD41" i="6"/>
  <c r="R398" i="28"/>
  <c r="V398" i="28" s="1"/>
  <c r="AB398" i="28"/>
  <c r="AF398" i="28" s="1"/>
  <c r="R395" i="28"/>
  <c r="V395" i="28" s="1"/>
  <c r="AB395" i="28"/>
  <c r="R393" i="28"/>
  <c r="V393" i="28" s="1"/>
  <c r="AB393" i="28"/>
  <c r="R397" i="28"/>
  <c r="V397" i="28" s="1"/>
  <c r="AB397" i="28"/>
  <c r="AF397" i="28" s="1"/>
  <c r="AJ397" i="28" s="1"/>
  <c r="AP397" i="28" s="1"/>
  <c r="AT397" i="28" s="1"/>
  <c r="AX397" i="28" s="1"/>
  <c r="BF397" i="28" s="1"/>
  <c r="R399" i="28"/>
  <c r="V399" i="28" s="1"/>
  <c r="AB399" i="28"/>
  <c r="BC29" i="22"/>
  <c r="BC28" i="22"/>
  <c r="AB402" i="28"/>
  <c r="AM457" i="28"/>
  <c r="BC62" i="28"/>
  <c r="BC457" i="28" s="1"/>
  <c r="AB385" i="28"/>
  <c r="AB386" i="28"/>
  <c r="AB400" i="28"/>
  <c r="AB420" i="28"/>
  <c r="AF420" i="28" s="1"/>
  <c r="AJ420" i="28" s="1"/>
  <c r="AP420" i="28" s="1"/>
  <c r="AT420" i="28" s="1"/>
  <c r="AB419" i="28"/>
  <c r="AF419" i="28" s="1"/>
  <c r="AJ419" i="28" s="1"/>
  <c r="AP419" i="28" s="1"/>
  <c r="AT419" i="28" s="1"/>
  <c r="F426" i="28"/>
  <c r="N379" i="28"/>
  <c r="R379" i="28" s="1"/>
  <c r="V379" i="28" s="1"/>
  <c r="N380" i="28"/>
  <c r="R380" i="28" s="1"/>
  <c r="V380" i="28" s="1"/>
  <c r="AB382" i="28"/>
  <c r="AF382" i="28" s="1"/>
  <c r="F409" i="28"/>
  <c r="Z415" i="28"/>
  <c r="AB417" i="28"/>
  <c r="AF417" i="28" s="1"/>
  <c r="AJ417" i="28" s="1"/>
  <c r="AP417" i="28" s="1"/>
  <c r="AT417" i="28" s="1"/>
  <c r="N415" i="28"/>
  <c r="R415" i="28" s="1"/>
  <c r="V415" i="28" s="1"/>
  <c r="AB416" i="28"/>
  <c r="AF416" i="28" s="1"/>
  <c r="AJ416" i="28" s="1"/>
  <c r="AP416" i="28" s="1"/>
  <c r="AT416" i="28" s="1"/>
  <c r="AB391" i="28"/>
  <c r="AB390" i="28"/>
  <c r="AB389" i="28"/>
  <c r="AB408" i="28"/>
  <c r="AF408" i="28" s="1"/>
  <c r="AJ408" i="28" s="1"/>
  <c r="AP408" i="28" s="1"/>
  <c r="AT408" i="28" s="1"/>
  <c r="AB388" i="28"/>
  <c r="AB383" i="28"/>
  <c r="N411" i="28"/>
  <c r="Z411" i="28"/>
  <c r="BD149" i="6" l="1"/>
  <c r="BD7" i="36" s="1"/>
  <c r="BG8" i="59" s="1"/>
  <c r="AX420" i="28"/>
  <c r="BF420" i="28" s="1"/>
  <c r="AX419" i="28"/>
  <c r="BF419" i="28" s="1"/>
  <c r="AX416" i="28"/>
  <c r="BF416" i="28" s="1"/>
  <c r="AX408" i="28"/>
  <c r="BF408" i="28" s="1"/>
  <c r="AX417" i="28"/>
  <c r="BF417" i="28" s="1"/>
  <c r="AJ382" i="28"/>
  <c r="AJ398" i="28"/>
  <c r="AF383" i="28"/>
  <c r="AF390" i="28"/>
  <c r="AF400" i="28"/>
  <c r="AF391" i="28"/>
  <c r="AF386" i="28"/>
  <c r="AF399" i="28"/>
  <c r="AF393" i="28"/>
  <c r="AF402" i="28"/>
  <c r="AF388" i="28"/>
  <c r="AF389" i="28"/>
  <c r="AJ389" i="28" s="1"/>
  <c r="AF385" i="28"/>
  <c r="AF395" i="28"/>
  <c r="AB415" i="28"/>
  <c r="AF415" i="28" s="1"/>
  <c r="AJ415" i="28" s="1"/>
  <c r="AP415" i="28" s="1"/>
  <c r="AT415" i="28" s="1"/>
  <c r="AT379" i="28"/>
  <c r="Z409" i="28"/>
  <c r="N409" i="28"/>
  <c r="F427" i="28"/>
  <c r="AB380" i="28"/>
  <c r="AF380" i="28" s="1"/>
  <c r="AB411" i="28"/>
  <c r="AF411" i="28" s="1"/>
  <c r="AJ411" i="28" s="1"/>
  <c r="AP411" i="28" s="1"/>
  <c r="AT411" i="28" s="1"/>
  <c r="AX379" i="28" l="1"/>
  <c r="BF379" i="28" s="1"/>
  <c r="AX415" i="28"/>
  <c r="BF415" i="28" s="1"/>
  <c r="AX411" i="28"/>
  <c r="BF411" i="28" s="1"/>
  <c r="AP389" i="28"/>
  <c r="AP398" i="28"/>
  <c r="AP382" i="28"/>
  <c r="AT382" i="28" s="1"/>
  <c r="AJ380" i="28"/>
  <c r="AJ383" i="28"/>
  <c r="AJ390" i="28"/>
  <c r="AJ393" i="28"/>
  <c r="AJ385" i="28"/>
  <c r="AJ391" i="28"/>
  <c r="AJ402" i="28"/>
  <c r="AJ395" i="28"/>
  <c r="AJ399" i="28"/>
  <c r="AJ386" i="28"/>
  <c r="AJ388" i="28"/>
  <c r="AJ400" i="28"/>
  <c r="AB409" i="28"/>
  <c r="AF409" i="28" s="1"/>
  <c r="AJ409" i="28" s="1"/>
  <c r="AP409" i="28" s="1"/>
  <c r="AT409" i="28" s="1"/>
  <c r="M189" i="73"/>
  <c r="M190" i="73"/>
  <c r="M193" i="73"/>
  <c r="AA193" i="73" s="1"/>
  <c r="AE193" i="73" s="1"/>
  <c r="AI193" i="73" s="1"/>
  <c r="AO193" i="73" s="1"/>
  <c r="AS193" i="73" s="1"/>
  <c r="AW193" i="73" s="1"/>
  <c r="BE193" i="73" s="1"/>
  <c r="AX382" i="28" l="1"/>
  <c r="BF382" i="28" s="1"/>
  <c r="AX409" i="28"/>
  <c r="BF409" i="28" s="1"/>
  <c r="AT398" i="28"/>
  <c r="AX398" i="28" s="1"/>
  <c r="BF398" i="28" s="1"/>
  <c r="AT389" i="28"/>
  <c r="AX389" i="28" s="1"/>
  <c r="BF389" i="28" s="1"/>
  <c r="AP386" i="28"/>
  <c r="AP391" i="28"/>
  <c r="AP385" i="28"/>
  <c r="AP383" i="28"/>
  <c r="AP400" i="28"/>
  <c r="AP388" i="28"/>
  <c r="AP393" i="28"/>
  <c r="AP399" i="28"/>
  <c r="AP390" i="28"/>
  <c r="AP395" i="28"/>
  <c r="AP402" i="28"/>
  <c r="AP380" i="28"/>
  <c r="AT380" i="28" s="1"/>
  <c r="AA190" i="73"/>
  <c r="AE190" i="73" s="1"/>
  <c r="Q190" i="73"/>
  <c r="U190" i="73" s="1"/>
  <c r="AA189" i="73"/>
  <c r="AE189" i="73" s="1"/>
  <c r="AI189" i="73" s="1"/>
  <c r="AO189" i="73" s="1"/>
  <c r="AS189" i="73" s="1"/>
  <c r="Q189" i="73"/>
  <c r="U189" i="73" s="1"/>
  <c r="Q193" i="73"/>
  <c r="U193" i="73" s="1"/>
  <c r="AW189" i="73" l="1"/>
  <c r="BE189" i="73" s="1"/>
  <c r="AT395" i="28"/>
  <c r="AX395" i="28" s="1"/>
  <c r="BF395" i="28" s="1"/>
  <c r="AT390" i="28"/>
  <c r="AX390" i="28" s="1"/>
  <c r="BF390" i="28" s="1"/>
  <c r="AT383" i="28"/>
  <c r="AX383" i="28" s="1"/>
  <c r="BF383" i="28" s="1"/>
  <c r="AT385" i="28"/>
  <c r="AX385" i="28" s="1"/>
  <c r="BF385" i="28" s="1"/>
  <c r="AT391" i="28"/>
  <c r="AX391" i="28" s="1"/>
  <c r="BF391" i="28" s="1"/>
  <c r="AT399" i="28"/>
  <c r="AX399" i="28" s="1"/>
  <c r="BF399" i="28" s="1"/>
  <c r="AT393" i="28"/>
  <c r="AX393" i="28" s="1"/>
  <c r="BF393" i="28" s="1"/>
  <c r="AT386" i="28"/>
  <c r="AX386" i="28" s="1"/>
  <c r="BF386" i="28" s="1"/>
  <c r="AX380" i="28"/>
  <c r="BF380" i="28" s="1"/>
  <c r="AT388" i="28"/>
  <c r="AX388" i="28" s="1"/>
  <c r="BF388" i="28" s="1"/>
  <c r="AT402" i="28"/>
  <c r="AX402" i="28" s="1"/>
  <c r="BF402" i="28" s="1"/>
  <c r="AT400" i="28"/>
  <c r="AX400" i="28" s="1"/>
  <c r="BF400" i="28" s="1"/>
  <c r="AI190" i="73"/>
  <c r="AO190" i="73" s="1"/>
  <c r="AS190" i="73" s="1"/>
  <c r="Y104" i="6"/>
  <c r="Z73" i="6"/>
  <c r="Z74" i="6"/>
  <c r="Z75" i="6"/>
  <c r="Z76" i="6"/>
  <c r="Z8" i="28"/>
  <c r="Z9" i="28"/>
  <c r="Z10" i="28"/>
  <c r="Z11" i="28"/>
  <c r="AW190" i="73" l="1"/>
  <c r="BE190" i="73" s="1"/>
  <c r="AA48" i="83"/>
  <c r="N412" i="28"/>
  <c r="R412" i="28" s="1"/>
  <c r="V412" i="28" s="1"/>
  <c r="N413" i="28"/>
  <c r="R413" i="28" s="1"/>
  <c r="V413" i="28" s="1"/>
  <c r="Z412" i="28"/>
  <c r="Z413" i="28"/>
  <c r="F32" i="28"/>
  <c r="AB413" i="28" l="1"/>
  <c r="AF413" i="28" s="1"/>
  <c r="AJ413" i="28" s="1"/>
  <c r="AP413" i="28" s="1"/>
  <c r="AT413" i="28" s="1"/>
  <c r="AB412" i="28"/>
  <c r="AF412" i="28" s="1"/>
  <c r="AJ412" i="28" s="1"/>
  <c r="AP412" i="28" s="1"/>
  <c r="AT412" i="28" s="1"/>
  <c r="AC48" i="83"/>
  <c r="AG48" i="83" s="1"/>
  <c r="AK48" i="83" s="1"/>
  <c r="AQ48" i="83" s="1"/>
  <c r="AU48" i="83" s="1"/>
  <c r="AY48" i="83" s="1"/>
  <c r="BG48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12" i="28" l="1"/>
  <c r="BF412" i="28" s="1"/>
  <c r="AX413" i="28"/>
  <c r="BF413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0" i="17"/>
  <c r="AE110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0" i="17"/>
  <c r="AO110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2" i="7"/>
  <c r="Y89" i="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Y35" i="7" s="1"/>
  <c r="Y100" i="7" s="1"/>
  <c r="Z19" i="7"/>
  <c r="N7" i="7"/>
  <c r="N8" i="7"/>
  <c r="N9" i="7"/>
  <c r="N10" i="7"/>
  <c r="N11" i="7"/>
  <c r="N12" i="7"/>
  <c r="N13" i="7"/>
  <c r="N14" i="7"/>
  <c r="N15" i="7"/>
  <c r="N18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0" i="17"/>
  <c r="AW110" i="17" s="1"/>
  <c r="BE110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1" i="10"/>
  <c r="Y161" i="10"/>
  <c r="Z159" i="10"/>
  <c r="Y159" i="10"/>
  <c r="N161" i="10"/>
  <c r="M161" i="10"/>
  <c r="N159" i="10"/>
  <c r="M159" i="10"/>
  <c r="Z7" i="10"/>
  <c r="N67" i="11"/>
  <c r="M67" i="11"/>
  <c r="Z67" i="11"/>
  <c r="Y67" i="11"/>
  <c r="Z65" i="11"/>
  <c r="Y65" i="11"/>
  <c r="M65" i="11"/>
  <c r="N65" i="11"/>
  <c r="U113" i="50"/>
  <c r="Q113" i="50"/>
  <c r="Z51" i="11"/>
  <c r="Z50" i="11"/>
  <c r="Z49" i="11"/>
  <c r="AT48" i="11"/>
  <c r="Z43" i="11"/>
  <c r="Z42" i="11"/>
  <c r="AT11" i="11"/>
  <c r="AX11" i="11" s="1"/>
  <c r="AT24" i="11"/>
  <c r="AT37" i="11"/>
  <c r="N51" i="11"/>
  <c r="N50" i="11"/>
  <c r="N49" i="11"/>
  <c r="N46" i="11"/>
  <c r="AB46" i="11" s="1"/>
  <c r="AF46" i="11" s="1"/>
  <c r="AJ46" i="11" s="1"/>
  <c r="AP46" i="11" s="1"/>
  <c r="N45" i="11"/>
  <c r="AB45" i="11" s="1"/>
  <c r="AF45" i="11" s="1"/>
  <c r="AJ45" i="11" s="1"/>
  <c r="AP45" i="11" s="1"/>
  <c r="N44" i="11"/>
  <c r="AB44" i="11" s="1"/>
  <c r="AF44" i="11" s="1"/>
  <c r="AJ44" i="11" s="1"/>
  <c r="AP44" i="11" s="1"/>
  <c r="N43" i="11"/>
  <c r="N42" i="11"/>
  <c r="AG58" i="45"/>
  <c r="AK58" i="45" s="1"/>
  <c r="AQ58" i="45" s="1"/>
  <c r="AU58" i="45" s="1"/>
  <c r="AY58" i="45" s="1"/>
  <c r="AW18" i="17" l="1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58" i="45"/>
  <c r="AX48" i="11"/>
  <c r="BF48" i="11" s="1"/>
  <c r="AX37" i="11"/>
  <c r="BF37" i="11" s="1"/>
  <c r="AX24" i="11"/>
  <c r="BF24" i="11" s="1"/>
  <c r="BF11" i="11"/>
  <c r="AB49" i="11"/>
  <c r="AF49" i="11" s="1"/>
  <c r="AJ49" i="11" s="1"/>
  <c r="AP49" i="11" s="1"/>
  <c r="AT49" i="11" s="1"/>
  <c r="AA113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3" i="11"/>
  <c r="AF43" i="11" s="1"/>
  <c r="AJ43" i="11" s="1"/>
  <c r="AP43" i="11" s="1"/>
  <c r="AT43" i="11" s="1"/>
  <c r="AB50" i="11"/>
  <c r="AB159" i="10"/>
  <c r="AF159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1" i="11"/>
  <c r="AT17" i="11"/>
  <c r="AF8" i="38"/>
  <c r="AJ8" i="38" s="1"/>
  <c r="AN8" i="38" s="1"/>
  <c r="AB28" i="8"/>
  <c r="AF28" i="8" s="1"/>
  <c r="AJ28" i="8" s="1"/>
  <c r="AA159" i="10"/>
  <c r="AE159" i="10" s="1"/>
  <c r="AG79" i="45"/>
  <c r="AG57" i="45"/>
  <c r="AK57" i="45" s="1"/>
  <c r="AQ57" i="45" s="1"/>
  <c r="AU57" i="45" s="1"/>
  <c r="AY57" i="45" s="1"/>
  <c r="AG45" i="45"/>
  <c r="AG86" i="45"/>
  <c r="AG85" i="45"/>
  <c r="AG78" i="45"/>
  <c r="AG67" i="45"/>
  <c r="AK67" i="45" s="1"/>
  <c r="AQ67" i="45" s="1"/>
  <c r="AU67" i="45" s="1"/>
  <c r="AY67" i="45" s="1"/>
  <c r="AG22" i="45"/>
  <c r="AG8" i="45"/>
  <c r="AG84" i="45"/>
  <c r="AG77" i="45"/>
  <c r="AG54" i="45"/>
  <c r="AG38" i="45"/>
  <c r="AG83" i="45"/>
  <c r="AG74" i="45"/>
  <c r="AG64" i="45"/>
  <c r="AG26" i="45"/>
  <c r="AG17" i="45"/>
  <c r="AG62" i="45"/>
  <c r="AK62" i="45" s="1"/>
  <c r="AQ62" i="45" s="1"/>
  <c r="AU62" i="45" s="1"/>
  <c r="AY62" i="45" s="1"/>
  <c r="AG42" i="45"/>
  <c r="AG37" i="45"/>
  <c r="AG82" i="45"/>
  <c r="AG87" i="45"/>
  <c r="AG81" i="45"/>
  <c r="AG70" i="45"/>
  <c r="AK70" i="45" s="1"/>
  <c r="AQ70" i="45" s="1"/>
  <c r="AU70" i="45" s="1"/>
  <c r="AY70" i="45" s="1"/>
  <c r="AG61" i="45"/>
  <c r="AK61" i="45" s="1"/>
  <c r="AQ61" i="45" s="1"/>
  <c r="AU61" i="45" s="1"/>
  <c r="AY61" i="45" s="1"/>
  <c r="AG11" i="45"/>
  <c r="AG24" i="45"/>
  <c r="AF15" i="38"/>
  <c r="AJ15" i="38" s="1"/>
  <c r="AN15" i="38" s="1"/>
  <c r="AG30" i="45"/>
  <c r="AG53" i="45"/>
  <c r="AG32" i="45"/>
  <c r="AG27" i="45"/>
  <c r="AG12" i="45"/>
  <c r="AG7" i="45"/>
  <c r="AT32" i="11"/>
  <c r="AT18" i="11"/>
  <c r="AB24" i="8"/>
  <c r="AF24" i="8" s="1"/>
  <c r="AF23" i="38"/>
  <c r="AJ23" i="38" s="1"/>
  <c r="AB31" i="8"/>
  <c r="AF31" i="8" s="1"/>
  <c r="AG68" i="45"/>
  <c r="AK68" i="45" s="1"/>
  <c r="AQ68" i="45" s="1"/>
  <c r="AU68" i="45" s="1"/>
  <c r="AY68" i="45" s="1"/>
  <c r="AT46" i="11"/>
  <c r="AB9" i="8"/>
  <c r="AF9" i="8" s="1"/>
  <c r="AA9" i="8"/>
  <c r="AE9" i="8" s="1"/>
  <c r="AG43" i="45"/>
  <c r="AG36" i="45"/>
  <c r="AG25" i="45"/>
  <c r="AG18" i="45"/>
  <c r="AT38" i="11"/>
  <c r="AT25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73" i="45"/>
  <c r="AA161" i="10"/>
  <c r="AE161" i="10" s="1"/>
  <c r="AI161" i="10" s="1"/>
  <c r="AB161" i="10"/>
  <c r="AF161" i="10" s="1"/>
  <c r="AJ161" i="10" s="1"/>
  <c r="AT35" i="11"/>
  <c r="AT22" i="11"/>
  <c r="AT15" i="11"/>
  <c r="AX15" i="11" s="1"/>
  <c r="AT8" i="11"/>
  <c r="AX8" i="11" s="1"/>
  <c r="AT39" i="11"/>
  <c r="AT33" i="11"/>
  <c r="AT26" i="11"/>
  <c r="AT20" i="11"/>
  <c r="AT13" i="11"/>
  <c r="AX13" i="11" s="1"/>
  <c r="AT40" i="11"/>
  <c r="AT34" i="11"/>
  <c r="AT27" i="11"/>
  <c r="AT21" i="11"/>
  <c r="AT14" i="11"/>
  <c r="AX14" i="11" s="1"/>
  <c r="AB51" i="11"/>
  <c r="AT36" i="11"/>
  <c r="AT29" i="11"/>
  <c r="AT23" i="11"/>
  <c r="AT16" i="11"/>
  <c r="AT9" i="11"/>
  <c r="AX9" i="11" s="1"/>
  <c r="AG66" i="45"/>
  <c r="AG56" i="45"/>
  <c r="AK56" i="45" s="1"/>
  <c r="AQ56" i="45" s="1"/>
  <c r="AU56" i="45" s="1"/>
  <c r="AY56" i="45" s="1"/>
  <c r="AG28" i="45"/>
  <c r="AG23" i="45"/>
  <c r="AG9" i="45"/>
  <c r="AG39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K64" i="45" l="1"/>
  <c r="AG142" i="45"/>
  <c r="AG140" i="45"/>
  <c r="AK66" i="45"/>
  <c r="AG141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57" i="45"/>
  <c r="BG61" i="45"/>
  <c r="BG56" i="45"/>
  <c r="BG62" i="45"/>
  <c r="BG67" i="45"/>
  <c r="BG68" i="45"/>
  <c r="BG70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49" i="11"/>
  <c r="BF49" i="11" s="1"/>
  <c r="BF13" i="11"/>
  <c r="BF15" i="11"/>
  <c r="AX25" i="11"/>
  <c r="BF25" i="11" s="1"/>
  <c r="AX17" i="11"/>
  <c r="BF17" i="11" s="1"/>
  <c r="BF14" i="11"/>
  <c r="AX20" i="11"/>
  <c r="BF20" i="11" s="1"/>
  <c r="AX22" i="11"/>
  <c r="BF22" i="11" s="1"/>
  <c r="AX38" i="11"/>
  <c r="BF38" i="11" s="1"/>
  <c r="AX18" i="11"/>
  <c r="BF18" i="11" s="1"/>
  <c r="AX31" i="11"/>
  <c r="BF31" i="11" s="1"/>
  <c r="AX16" i="11"/>
  <c r="BF16" i="11" s="1"/>
  <c r="AX21" i="11"/>
  <c r="BF21" i="11" s="1"/>
  <c r="AX26" i="11"/>
  <c r="BF26" i="11" s="1"/>
  <c r="AX35" i="11"/>
  <c r="BF35" i="11" s="1"/>
  <c r="AX46" i="11"/>
  <c r="BF46" i="11" s="1"/>
  <c r="AX32" i="11"/>
  <c r="BF32" i="11" s="1"/>
  <c r="BF9" i="11"/>
  <c r="AX23" i="11"/>
  <c r="BF23" i="11" s="1"/>
  <c r="AX27" i="11"/>
  <c r="BF27" i="11" s="1"/>
  <c r="AX33" i="11"/>
  <c r="BF33" i="11" s="1"/>
  <c r="AX29" i="11"/>
  <c r="BF29" i="11" s="1"/>
  <c r="AX34" i="11"/>
  <c r="BF34" i="11" s="1"/>
  <c r="AX39" i="11"/>
  <c r="BF39" i="11" s="1"/>
  <c r="AX43" i="11"/>
  <c r="BF43" i="11" s="1"/>
  <c r="AX36" i="11"/>
  <c r="BF36" i="11" s="1"/>
  <c r="AX40" i="11"/>
  <c r="BF40" i="11" s="1"/>
  <c r="BF8" i="11"/>
  <c r="BF12" i="11"/>
  <c r="BF117" i="9"/>
  <c r="AK36" i="45"/>
  <c r="AQ36" i="45" s="1"/>
  <c r="AU36" i="45" s="1"/>
  <c r="AK12" i="45"/>
  <c r="AQ12" i="45" s="1"/>
  <c r="AU12" i="45" s="1"/>
  <c r="AK24" i="45"/>
  <c r="AQ24" i="45" s="1"/>
  <c r="AU24" i="45" s="1"/>
  <c r="AK82" i="45"/>
  <c r="AQ82" i="45" s="1"/>
  <c r="AU82" i="45" s="1"/>
  <c r="AK84" i="45"/>
  <c r="AQ84" i="45" s="1"/>
  <c r="AU84" i="45" s="1"/>
  <c r="AK86" i="45"/>
  <c r="AQ86" i="45" s="1"/>
  <c r="AU86" i="45" s="1"/>
  <c r="AK39" i="45"/>
  <c r="AQ39" i="45" s="1"/>
  <c r="AU39" i="45" s="1"/>
  <c r="AK43" i="45"/>
  <c r="AQ43" i="45" s="1"/>
  <c r="AU43" i="45" s="1"/>
  <c r="AK27" i="45"/>
  <c r="AQ27" i="45" s="1"/>
  <c r="AU27" i="45" s="1"/>
  <c r="AK11" i="45"/>
  <c r="AQ11" i="45" s="1"/>
  <c r="AU11" i="45" s="1"/>
  <c r="AK37" i="45"/>
  <c r="AQ37" i="45" s="1"/>
  <c r="AU37" i="45" s="1"/>
  <c r="AK74" i="45"/>
  <c r="AK8" i="45"/>
  <c r="AQ8" i="45" s="1"/>
  <c r="AU8" i="45" s="1"/>
  <c r="AK45" i="45"/>
  <c r="AQ45" i="45" s="1"/>
  <c r="AU45" i="45" s="1"/>
  <c r="AK73" i="45"/>
  <c r="AQ73" i="45" s="1"/>
  <c r="AU73" i="45" s="1"/>
  <c r="AK9" i="45"/>
  <c r="AQ9" i="45" s="1"/>
  <c r="AU9" i="45" s="1"/>
  <c r="AK32" i="45"/>
  <c r="AQ32" i="45" s="1"/>
  <c r="AU32" i="45" s="1"/>
  <c r="AK42" i="45"/>
  <c r="AQ42" i="45" s="1"/>
  <c r="AU42" i="45" s="1"/>
  <c r="AK83" i="45"/>
  <c r="AQ83" i="45" s="1"/>
  <c r="AU83" i="45" s="1"/>
  <c r="AK22" i="45"/>
  <c r="AQ22" i="45" s="1"/>
  <c r="AU22" i="45" s="1"/>
  <c r="AK23" i="45"/>
  <c r="AQ23" i="45" s="1"/>
  <c r="AU23" i="45" s="1"/>
  <c r="AK53" i="45"/>
  <c r="AK38" i="45"/>
  <c r="AQ38" i="45" s="1"/>
  <c r="AU38" i="45" s="1"/>
  <c r="AK79" i="45"/>
  <c r="AQ79" i="45" s="1"/>
  <c r="AU79" i="45" s="1"/>
  <c r="AK28" i="45"/>
  <c r="AQ28" i="45" s="1"/>
  <c r="AU28" i="45" s="1"/>
  <c r="AK18" i="45"/>
  <c r="AQ18" i="45" s="1"/>
  <c r="AU18" i="45" s="1"/>
  <c r="AK30" i="45"/>
  <c r="AQ30" i="45" s="1"/>
  <c r="AU30" i="45" s="1"/>
  <c r="AK81" i="45"/>
  <c r="AQ81" i="45" s="1"/>
  <c r="AU81" i="45" s="1"/>
  <c r="AK17" i="45"/>
  <c r="AQ17" i="45" s="1"/>
  <c r="AU17" i="45" s="1"/>
  <c r="AK54" i="45"/>
  <c r="AQ54" i="45" s="1"/>
  <c r="AU54" i="45" s="1"/>
  <c r="AK78" i="45"/>
  <c r="AQ78" i="45" s="1"/>
  <c r="AU78" i="45" s="1"/>
  <c r="AK25" i="45"/>
  <c r="AQ25" i="45" s="1"/>
  <c r="AU25" i="45" s="1"/>
  <c r="AK7" i="45"/>
  <c r="AK87" i="45"/>
  <c r="AQ87" i="45" s="1"/>
  <c r="AU87" i="45" s="1"/>
  <c r="AK26" i="45"/>
  <c r="AQ26" i="45" s="1"/>
  <c r="AU26" i="45" s="1"/>
  <c r="AK77" i="45"/>
  <c r="AQ77" i="45" s="1"/>
  <c r="AU77" i="45" s="1"/>
  <c r="AK85" i="45"/>
  <c r="AQ85" i="45" s="1"/>
  <c r="AU85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59" i="10"/>
  <c r="AI160" i="10" s="1"/>
  <c r="AJ159" i="10"/>
  <c r="AJ160" i="10" s="1"/>
  <c r="AN23" i="38"/>
  <c r="AF51" i="11"/>
  <c r="AF50" i="11"/>
  <c r="AJ11" i="38"/>
  <c r="AN11" i="38" s="1"/>
  <c r="AF108" i="8"/>
  <c r="AF110" i="8" s="1"/>
  <c r="AF90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1" i="10"/>
  <c r="AE160" i="10"/>
  <c r="AH65" i="59" s="1"/>
  <c r="AE162" i="10"/>
  <c r="AP161" i="10"/>
  <c r="AF160" i="10"/>
  <c r="AI65" i="59" s="1"/>
  <c r="AF162" i="10"/>
  <c r="AQ64" i="45" l="1"/>
  <c r="AK142" i="45"/>
  <c r="AQ66" i="45"/>
  <c r="AK141" i="45"/>
  <c r="AQ53" i="45"/>
  <c r="AK140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2" i="10"/>
  <c r="AY17" i="45"/>
  <c r="AY38" i="45"/>
  <c r="AY32" i="45"/>
  <c r="AY37" i="45"/>
  <c r="AY84" i="45"/>
  <c r="AY87" i="45"/>
  <c r="AY9" i="45"/>
  <c r="AY11" i="45"/>
  <c r="AY82" i="45"/>
  <c r="AY30" i="45"/>
  <c r="AY23" i="45"/>
  <c r="AY73" i="45"/>
  <c r="AY27" i="45"/>
  <c r="AY24" i="45"/>
  <c r="AY25" i="45"/>
  <c r="AY18" i="45"/>
  <c r="AY22" i="45"/>
  <c r="AY45" i="45"/>
  <c r="AY43" i="45"/>
  <c r="AY12" i="45"/>
  <c r="AY85" i="45"/>
  <c r="AY78" i="45"/>
  <c r="AY28" i="45"/>
  <c r="AY83" i="45"/>
  <c r="AY8" i="45"/>
  <c r="AY39" i="45"/>
  <c r="AY36" i="45"/>
  <c r="AY26" i="45"/>
  <c r="AY81" i="45"/>
  <c r="AY77" i="45"/>
  <c r="AY54" i="45"/>
  <c r="AY79" i="45"/>
  <c r="AY42" i="45"/>
  <c r="AY86" i="45"/>
  <c r="AQ74" i="45"/>
  <c r="AU74" i="45" s="1"/>
  <c r="AQ7" i="45"/>
  <c r="AU7" i="45" s="1"/>
  <c r="AP24" i="8"/>
  <c r="AT24" i="8" s="1"/>
  <c r="AX24" i="8" s="1"/>
  <c r="AP25" i="8"/>
  <c r="AT25" i="8" s="1"/>
  <c r="AJ51" i="11"/>
  <c r="AP51" i="11" s="1"/>
  <c r="AT51" i="11" s="1"/>
  <c r="AJ50" i="11"/>
  <c r="AP50" i="11" s="1"/>
  <c r="AT50" i="11" s="1"/>
  <c r="AP159" i="10"/>
  <c r="AT159" i="10" s="1"/>
  <c r="AJ162" i="10"/>
  <c r="AO159" i="10"/>
  <c r="AS159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1" i="10"/>
  <c r="AO162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8" i="8"/>
  <c r="AP110" i="8" s="1"/>
  <c r="AP90" i="8"/>
  <c r="AT30" i="38"/>
  <c r="AT28" i="38"/>
  <c r="AT161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5" i="73"/>
  <c r="M176" i="73"/>
  <c r="M67" i="73"/>
  <c r="Q67" i="73" s="1"/>
  <c r="U67" i="73" s="1"/>
  <c r="M76" i="73"/>
  <c r="Q76" i="73" s="1"/>
  <c r="U76" i="73" s="1"/>
  <c r="M77" i="73"/>
  <c r="Q77" i="73" s="1"/>
  <c r="U77" i="73" s="1"/>
  <c r="M78" i="73"/>
  <c r="Q78" i="73" s="1"/>
  <c r="U78" i="73" s="1"/>
  <c r="M79" i="73"/>
  <c r="M80" i="73"/>
  <c r="M81" i="73"/>
  <c r="Q81" i="73" s="1"/>
  <c r="U81" i="73" s="1"/>
  <c r="M82" i="73"/>
  <c r="Q82" i="73" s="1"/>
  <c r="U82" i="73" s="1"/>
  <c r="M87" i="73"/>
  <c r="Q87" i="73" s="1"/>
  <c r="U87" i="73" s="1"/>
  <c r="M88" i="73"/>
  <c r="Q88" i="73" s="1"/>
  <c r="U88" i="73" s="1"/>
  <c r="M89" i="73"/>
  <c r="Q89" i="73" s="1"/>
  <c r="U89" i="73" s="1"/>
  <c r="M90" i="73"/>
  <c r="M94" i="73"/>
  <c r="Q94" i="73" s="1"/>
  <c r="U94" i="73" s="1"/>
  <c r="M95" i="73"/>
  <c r="M96" i="73"/>
  <c r="M97" i="73"/>
  <c r="Q97" i="73" s="1"/>
  <c r="U97" i="73" s="1"/>
  <c r="M98" i="73"/>
  <c r="Q98" i="73" s="1"/>
  <c r="U98" i="73" s="1"/>
  <c r="M99" i="73"/>
  <c r="Q99" i="73" s="1"/>
  <c r="U99" i="73" s="1"/>
  <c r="M101" i="73"/>
  <c r="Q101" i="73" s="1"/>
  <c r="U101" i="73" s="1"/>
  <c r="M56" i="73"/>
  <c r="M36" i="73"/>
  <c r="M37" i="73"/>
  <c r="M38" i="73"/>
  <c r="M39" i="73"/>
  <c r="M40" i="73"/>
  <c r="M41" i="73"/>
  <c r="M42" i="73"/>
  <c r="AA43" i="73"/>
  <c r="AA45" i="73"/>
  <c r="M46" i="73"/>
  <c r="M47" i="73"/>
  <c r="M25" i="73"/>
  <c r="M26" i="73"/>
  <c r="M28" i="73"/>
  <c r="M29" i="73"/>
  <c r="M30" i="73"/>
  <c r="M31" i="73"/>
  <c r="M32" i="73"/>
  <c r="Z422" i="28"/>
  <c r="Z423" i="28"/>
  <c r="Z424" i="28"/>
  <c r="Z425" i="28"/>
  <c r="N421" i="28"/>
  <c r="AB421" i="28" s="1"/>
  <c r="AF421" i="28" s="1"/>
  <c r="AJ421" i="28" s="1"/>
  <c r="AP421" i="28" s="1"/>
  <c r="AT421" i="28" s="1"/>
  <c r="N422" i="28"/>
  <c r="N423" i="28"/>
  <c r="N424" i="28"/>
  <c r="N425" i="28"/>
  <c r="N378" i="28"/>
  <c r="Z360" i="28"/>
  <c r="Z370" i="28"/>
  <c r="Z371" i="28"/>
  <c r="Z359" i="28"/>
  <c r="N360" i="28"/>
  <c r="R360" i="28" s="1"/>
  <c r="V360" i="28" s="1"/>
  <c r="N370" i="28"/>
  <c r="R370" i="28" s="1"/>
  <c r="V370" i="28" s="1"/>
  <c r="N371" i="28"/>
  <c r="R371" i="28" s="1"/>
  <c r="V371" i="28" s="1"/>
  <c r="N359" i="28"/>
  <c r="Z276" i="28"/>
  <c r="Z277" i="28"/>
  <c r="Z280" i="28"/>
  <c r="Z281" i="28"/>
  <c r="Z282" i="28"/>
  <c r="Z291" i="28"/>
  <c r="AB291" i="28" s="1"/>
  <c r="AF291" i="28" s="1"/>
  <c r="AJ291" i="28" s="1"/>
  <c r="AP291" i="28" s="1"/>
  <c r="AT291" i="28" s="1"/>
  <c r="AX291" i="28" s="1"/>
  <c r="BF291" i="28" s="1"/>
  <c r="Z292" i="28"/>
  <c r="AB292" i="28" s="1"/>
  <c r="AF292" i="28" s="1"/>
  <c r="AJ292" i="28" s="1"/>
  <c r="AP292" i="28" s="1"/>
  <c r="AT292" i="28" s="1"/>
  <c r="AX292" i="28" s="1"/>
  <c r="BF292" i="28" s="1"/>
  <c r="Z293" i="28"/>
  <c r="AB293" i="28" s="1"/>
  <c r="AF293" i="28" s="1"/>
  <c r="AJ293" i="28" s="1"/>
  <c r="AP293" i="28" s="1"/>
  <c r="AT293" i="28" s="1"/>
  <c r="AX293" i="28" s="1"/>
  <c r="BF293" i="28" s="1"/>
  <c r="Z299" i="28"/>
  <c r="Z300" i="28"/>
  <c r="Z309" i="28"/>
  <c r="AB309" i="28" s="1"/>
  <c r="AF309" i="28" s="1"/>
  <c r="AJ309" i="28" s="1"/>
  <c r="AP309" i="28" s="1"/>
  <c r="AT309" i="28" s="1"/>
  <c r="AX309" i="28" s="1"/>
  <c r="BF309" i="28" s="1"/>
  <c r="Z310" i="28"/>
  <c r="AB310" i="28" s="1"/>
  <c r="AF310" i="28" s="1"/>
  <c r="AJ310" i="28" s="1"/>
  <c r="AP310" i="28" s="1"/>
  <c r="AT310" i="28" s="1"/>
  <c r="AX310" i="28" s="1"/>
  <c r="BF310" i="28" s="1"/>
  <c r="Z316" i="28"/>
  <c r="Z317" i="28"/>
  <c r="Z318" i="28"/>
  <c r="Z319" i="28"/>
  <c r="Z321" i="28"/>
  <c r="Z337" i="28"/>
  <c r="AB337" i="28" s="1"/>
  <c r="AF337" i="28" s="1"/>
  <c r="AJ337" i="28" s="1"/>
  <c r="AP337" i="28" s="1"/>
  <c r="AT337" i="28" s="1"/>
  <c r="AX337" i="28" s="1"/>
  <c r="BF337" i="28" s="1"/>
  <c r="Z350" i="28"/>
  <c r="Z352" i="28"/>
  <c r="Z353" i="28"/>
  <c r="Z354" i="28"/>
  <c r="Z355" i="28"/>
  <c r="N349" i="28"/>
  <c r="R349" i="28" s="1"/>
  <c r="V349" i="28" s="1"/>
  <c r="N350" i="28"/>
  <c r="R350" i="28" s="1"/>
  <c r="V350" i="28" s="1"/>
  <c r="N351" i="28"/>
  <c r="R351" i="28" s="1"/>
  <c r="V351" i="28" s="1"/>
  <c r="N352" i="28"/>
  <c r="R352" i="28" s="1"/>
  <c r="V352" i="28" s="1"/>
  <c r="N353" i="28"/>
  <c r="R353" i="28" s="1"/>
  <c r="V353" i="28" s="1"/>
  <c r="N354" i="28"/>
  <c r="R354" i="28" s="1"/>
  <c r="V354" i="28" s="1"/>
  <c r="N355" i="28"/>
  <c r="R355" i="28" s="1"/>
  <c r="V355" i="28" s="1"/>
  <c r="N276" i="28"/>
  <c r="Z270" i="28"/>
  <c r="Z271" i="28"/>
  <c r="Z272" i="28"/>
  <c r="N271" i="28"/>
  <c r="N272" i="28"/>
  <c r="N270" i="28"/>
  <c r="Z232" i="28"/>
  <c r="Z233" i="28"/>
  <c r="Z235" i="28"/>
  <c r="Z236" i="28"/>
  <c r="Z237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6" i="28"/>
  <c r="Z257" i="28"/>
  <c r="Z258" i="28"/>
  <c r="Z259" i="28"/>
  <c r="Z260" i="28"/>
  <c r="Z261" i="28"/>
  <c r="Z262" i="28"/>
  <c r="Z263" i="28"/>
  <c r="Z264" i="28"/>
  <c r="Z265" i="28"/>
  <c r="N233" i="28"/>
  <c r="R233" i="28" s="1"/>
  <c r="V233" i="28" s="1"/>
  <c r="N235" i="28"/>
  <c r="R235" i="28" s="1"/>
  <c r="V235" i="28" s="1"/>
  <c r="N236" i="28"/>
  <c r="R236" i="28" s="1"/>
  <c r="V236" i="28" s="1"/>
  <c r="N237" i="28"/>
  <c r="R237" i="28" s="1"/>
  <c r="V237" i="28" s="1"/>
  <c r="N238" i="28"/>
  <c r="R238" i="28" s="1"/>
  <c r="V238" i="28" s="1"/>
  <c r="N239" i="28"/>
  <c r="R239" i="28" s="1"/>
  <c r="V239" i="28" s="1"/>
  <c r="N240" i="28"/>
  <c r="R240" i="28" s="1"/>
  <c r="V240" i="28" s="1"/>
  <c r="N241" i="28"/>
  <c r="R241" i="28" s="1"/>
  <c r="V241" i="28" s="1"/>
  <c r="N242" i="28"/>
  <c r="R242" i="28" s="1"/>
  <c r="V242" i="28" s="1"/>
  <c r="N243" i="28"/>
  <c r="R243" i="28" s="1"/>
  <c r="V243" i="28" s="1"/>
  <c r="N244" i="28"/>
  <c r="R244" i="28" s="1"/>
  <c r="V244" i="28" s="1"/>
  <c r="N245" i="28"/>
  <c r="R245" i="28" s="1"/>
  <c r="V245" i="28" s="1"/>
  <c r="N246" i="28"/>
  <c r="R246" i="28" s="1"/>
  <c r="V246" i="28" s="1"/>
  <c r="N247" i="28"/>
  <c r="R247" i="28" s="1"/>
  <c r="V247" i="28" s="1"/>
  <c r="N248" i="28"/>
  <c r="R248" i="28" s="1"/>
  <c r="V248" i="28" s="1"/>
  <c r="N249" i="28"/>
  <c r="R249" i="28" s="1"/>
  <c r="V249" i="28" s="1"/>
  <c r="N250" i="28"/>
  <c r="R250" i="28" s="1"/>
  <c r="V250" i="28" s="1"/>
  <c r="N251" i="28"/>
  <c r="R251" i="28" s="1"/>
  <c r="V251" i="28" s="1"/>
  <c r="N252" i="28"/>
  <c r="R252" i="28" s="1"/>
  <c r="V252" i="28" s="1"/>
  <c r="N253" i="28"/>
  <c r="R253" i="28" s="1"/>
  <c r="V253" i="28" s="1"/>
  <c r="N254" i="28"/>
  <c r="R254" i="28" s="1"/>
  <c r="V254" i="28" s="1"/>
  <c r="N259" i="28"/>
  <c r="R259" i="28" s="1"/>
  <c r="V259" i="28" s="1"/>
  <c r="N260" i="28"/>
  <c r="R260" i="28" s="1"/>
  <c r="V260" i="28" s="1"/>
  <c r="N261" i="28"/>
  <c r="R261" i="28" s="1"/>
  <c r="V261" i="28" s="1"/>
  <c r="N262" i="28"/>
  <c r="R262" i="28" s="1"/>
  <c r="V262" i="28" s="1"/>
  <c r="N263" i="28"/>
  <c r="R263" i="28" s="1"/>
  <c r="V263" i="28" s="1"/>
  <c r="N264" i="28"/>
  <c r="R264" i="28" s="1"/>
  <c r="V264" i="28" s="1"/>
  <c r="N265" i="28"/>
  <c r="R265" i="28" s="1"/>
  <c r="V265" i="28" s="1"/>
  <c r="N232" i="28"/>
  <c r="Z228" i="28"/>
  <c r="N228" i="28"/>
  <c r="N220" i="28"/>
  <c r="N216" i="28"/>
  <c r="Z86" i="28"/>
  <c r="Z209" i="28"/>
  <c r="Z210" i="28"/>
  <c r="N88" i="28"/>
  <c r="R88" i="28" s="1"/>
  <c r="V88" i="28" s="1"/>
  <c r="N90" i="28"/>
  <c r="N91" i="28"/>
  <c r="N92" i="28"/>
  <c r="N94" i="28"/>
  <c r="N95" i="28"/>
  <c r="N96" i="28"/>
  <c r="N97" i="28"/>
  <c r="N98" i="28"/>
  <c r="N99" i="28"/>
  <c r="N100" i="28"/>
  <c r="N102" i="28"/>
  <c r="N103" i="28"/>
  <c r="N104" i="28"/>
  <c r="N105" i="28"/>
  <c r="N132" i="28"/>
  <c r="N133" i="28"/>
  <c r="N134" i="28"/>
  <c r="N135" i="28"/>
  <c r="N136" i="28"/>
  <c r="N138" i="28"/>
  <c r="N139" i="28"/>
  <c r="N140" i="28"/>
  <c r="N146" i="28"/>
  <c r="N147" i="28"/>
  <c r="N148" i="28"/>
  <c r="N150" i="28"/>
  <c r="N151" i="28"/>
  <c r="N159" i="28"/>
  <c r="N160" i="28"/>
  <c r="N161" i="28"/>
  <c r="N162" i="28"/>
  <c r="N163" i="28"/>
  <c r="N164" i="28"/>
  <c r="N165" i="28"/>
  <c r="N166" i="28"/>
  <c r="N167" i="28"/>
  <c r="N171" i="28"/>
  <c r="N172" i="28"/>
  <c r="N174" i="28"/>
  <c r="N176" i="28"/>
  <c r="N178" i="28"/>
  <c r="N179" i="28"/>
  <c r="N180" i="28"/>
  <c r="N181" i="28"/>
  <c r="N182" i="28"/>
  <c r="N183" i="28"/>
  <c r="N184" i="28"/>
  <c r="N186" i="28"/>
  <c r="N187" i="28"/>
  <c r="N189" i="28"/>
  <c r="N191" i="28"/>
  <c r="N192" i="28"/>
  <c r="R192" i="28" s="1"/>
  <c r="V192" i="28" s="1"/>
  <c r="N193" i="28"/>
  <c r="R193" i="28" s="1"/>
  <c r="V193" i="28" s="1"/>
  <c r="N200" i="28"/>
  <c r="N199" i="28"/>
  <c r="N198" i="28"/>
  <c r="N194" i="28"/>
  <c r="R194" i="28" s="1"/>
  <c r="V194" i="28" s="1"/>
  <c r="N196" i="28"/>
  <c r="R196" i="28" s="1"/>
  <c r="V196" i="28" s="1"/>
  <c r="N201" i="28"/>
  <c r="N205" i="28"/>
  <c r="R205" i="28" s="1"/>
  <c r="V205" i="28" s="1"/>
  <c r="N206" i="28"/>
  <c r="R206" i="28" s="1"/>
  <c r="V206" i="28" s="1"/>
  <c r="N207" i="28"/>
  <c r="R207" i="28" s="1"/>
  <c r="V207" i="28" s="1"/>
  <c r="N208" i="28"/>
  <c r="R208" i="28" s="1"/>
  <c r="V208" i="28" s="1"/>
  <c r="N209" i="28"/>
  <c r="N210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AU64" i="45" l="1"/>
  <c r="AQ142" i="45"/>
  <c r="AU66" i="45"/>
  <c r="AQ141" i="45"/>
  <c r="AU53" i="45"/>
  <c r="AQ140" i="45"/>
  <c r="AO160" i="10"/>
  <c r="AR65" i="59" s="1"/>
  <c r="BG9" i="45"/>
  <c r="BG26" i="45"/>
  <c r="BG18" i="45"/>
  <c r="BG36" i="45"/>
  <c r="BG25" i="45"/>
  <c r="BG39" i="45"/>
  <c r="BG24" i="45"/>
  <c r="BG32" i="45"/>
  <c r="BG8" i="45"/>
  <c r="BG38" i="45"/>
  <c r="BG17" i="45"/>
  <c r="BG28" i="45"/>
  <c r="BG23" i="45"/>
  <c r="BG30" i="45"/>
  <c r="BG42" i="45"/>
  <c r="BG12" i="45"/>
  <c r="BG11" i="45"/>
  <c r="BG81" i="45"/>
  <c r="BG87" i="45"/>
  <c r="BG73" i="45"/>
  <c r="BG85" i="45"/>
  <c r="BG54" i="45"/>
  <c r="BG37" i="45"/>
  <c r="BG45" i="45"/>
  <c r="BG27" i="45"/>
  <c r="BG43" i="45"/>
  <c r="BG22" i="45"/>
  <c r="BG84" i="45"/>
  <c r="BG86" i="45"/>
  <c r="BG78" i="45"/>
  <c r="BG83" i="45"/>
  <c r="BG82" i="45"/>
  <c r="BG77" i="45"/>
  <c r="BG79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2" i="10"/>
  <c r="AP160" i="10"/>
  <c r="AS65" i="59" s="1"/>
  <c r="AW159" i="10"/>
  <c r="AX161" i="10"/>
  <c r="AW161" i="10"/>
  <c r="AX159" i="10"/>
  <c r="AX421" i="28"/>
  <c r="BF421" i="28" s="1"/>
  <c r="AX51" i="11"/>
  <c r="BF51" i="11" s="1"/>
  <c r="AX50" i="11"/>
  <c r="BF50" i="11" s="1"/>
  <c r="BJ23" i="38"/>
  <c r="BF90" i="8" s="1"/>
  <c r="AX90" i="8"/>
  <c r="AY7" i="45"/>
  <c r="AY74" i="45"/>
  <c r="R200" i="28"/>
  <c r="V200" i="28" s="1"/>
  <c r="AB200" i="28"/>
  <c r="AF200" i="28" s="1"/>
  <c r="AJ200" i="28" s="1"/>
  <c r="AP200" i="28" s="1"/>
  <c r="AT200" i="28" s="1"/>
  <c r="R186" i="28"/>
  <c r="V186" i="28" s="1"/>
  <c r="AB186" i="28"/>
  <c r="AF186" i="28" s="1"/>
  <c r="AJ186" i="28" s="1"/>
  <c r="AP186" i="28" s="1"/>
  <c r="AT186" i="28" s="1"/>
  <c r="AX186" i="28" s="1"/>
  <c r="BF186" i="28" s="1"/>
  <c r="R187" i="28"/>
  <c r="V187" i="28" s="1"/>
  <c r="AB187" i="28"/>
  <c r="R201" i="28"/>
  <c r="V201" i="28" s="1"/>
  <c r="AB201" i="28"/>
  <c r="AF201" i="28" s="1"/>
  <c r="AJ201" i="28" s="1"/>
  <c r="AP201" i="28" s="1"/>
  <c r="AT201" i="28" s="1"/>
  <c r="AX201" i="28" s="1"/>
  <c r="BF201" i="28" s="1"/>
  <c r="R184" i="28"/>
  <c r="V184" i="28" s="1"/>
  <c r="AB184" i="28"/>
  <c r="AF184" i="28" s="1"/>
  <c r="AJ184" i="28" s="1"/>
  <c r="AP184" i="28" s="1"/>
  <c r="AT184" i="28" s="1"/>
  <c r="AX184" i="28" s="1"/>
  <c r="BF184" i="28" s="1"/>
  <c r="AB199" i="28"/>
  <c r="AF199" i="28" s="1"/>
  <c r="AJ199" i="28" s="1"/>
  <c r="AP199" i="28" s="1"/>
  <c r="AT199" i="28" s="1"/>
  <c r="AX199" i="28" s="1"/>
  <c r="BF199" i="28" s="1"/>
  <c r="R199" i="28"/>
  <c r="V199" i="28" s="1"/>
  <c r="R183" i="28"/>
  <c r="V183" i="28" s="1"/>
  <c r="AB183" i="28"/>
  <c r="AF183" i="28" s="1"/>
  <c r="AJ183" i="28" s="1"/>
  <c r="AP183" i="28" s="1"/>
  <c r="AT183" i="28" s="1"/>
  <c r="R220" i="28"/>
  <c r="V220" i="28" s="1"/>
  <c r="AB220" i="28"/>
  <c r="AF220" i="28" s="1"/>
  <c r="AJ220" i="28" s="1"/>
  <c r="AP220" i="28" s="1"/>
  <c r="AT220" i="28" s="1"/>
  <c r="AX220" i="28" s="1"/>
  <c r="BF220" i="28" s="1"/>
  <c r="R191" i="28"/>
  <c r="V191" i="28" s="1"/>
  <c r="AB191" i="28"/>
  <c r="R182" i="28"/>
  <c r="V182" i="28" s="1"/>
  <c r="AB182" i="28"/>
  <c r="AF182" i="28" s="1"/>
  <c r="AJ182" i="28" s="1"/>
  <c r="AP182" i="28" s="1"/>
  <c r="AT182" i="28" s="1"/>
  <c r="AB198" i="28"/>
  <c r="AF198" i="28" s="1"/>
  <c r="AJ198" i="28" s="1"/>
  <c r="AP198" i="28" s="1"/>
  <c r="AT198" i="28" s="1"/>
  <c r="AX198" i="28" s="1"/>
  <c r="BF198" i="28" s="1"/>
  <c r="R198" i="28"/>
  <c r="V198" i="28" s="1"/>
  <c r="R189" i="28"/>
  <c r="V189" i="28" s="1"/>
  <c r="AB189" i="28"/>
  <c r="R181" i="28"/>
  <c r="V181" i="28" s="1"/>
  <c r="AB181" i="28"/>
  <c r="AF181" i="28" s="1"/>
  <c r="AJ181" i="28" s="1"/>
  <c r="AP181" i="28" s="1"/>
  <c r="AT181" i="28" s="1"/>
  <c r="R136" i="28"/>
  <c r="V136" i="28" s="1"/>
  <c r="AB136" i="28"/>
  <c r="AF136" i="28" s="1"/>
  <c r="AJ136" i="28" s="1"/>
  <c r="AP136" i="28" s="1"/>
  <c r="AT136" i="28" s="1"/>
  <c r="AX136" i="28" s="1"/>
  <c r="BF136" i="28" s="1"/>
  <c r="R179" i="28"/>
  <c r="V179" i="28" s="1"/>
  <c r="AB179" i="28"/>
  <c r="R167" i="28"/>
  <c r="V167" i="28" s="1"/>
  <c r="AB167" i="28"/>
  <c r="AF167" i="28" s="1"/>
  <c r="AJ167" i="28" s="1"/>
  <c r="AP167" i="28" s="1"/>
  <c r="AT167" i="28" s="1"/>
  <c r="R161" i="28"/>
  <c r="V161" i="28" s="1"/>
  <c r="AB161" i="28"/>
  <c r="AF161" i="28" s="1"/>
  <c r="AJ161" i="28" s="1"/>
  <c r="R147" i="28"/>
  <c r="V147" i="28" s="1"/>
  <c r="AB147" i="28"/>
  <c r="R135" i="28"/>
  <c r="V135" i="28" s="1"/>
  <c r="AB135" i="28"/>
  <c r="AF135" i="28" s="1"/>
  <c r="AJ135" i="28" s="1"/>
  <c r="AP135" i="28" s="1"/>
  <c r="AT135" i="28" s="1"/>
  <c r="R148" i="28"/>
  <c r="V148" i="28" s="1"/>
  <c r="AB148" i="28"/>
  <c r="AF148" i="28" s="1"/>
  <c r="AJ148" i="28" s="1"/>
  <c r="R178" i="28"/>
  <c r="V178" i="28" s="1"/>
  <c r="AB178" i="28"/>
  <c r="R166" i="28"/>
  <c r="V166" i="28" s="1"/>
  <c r="AB166" i="28"/>
  <c r="R160" i="28"/>
  <c r="V160" i="28" s="1"/>
  <c r="AB160" i="28"/>
  <c r="AF160" i="28" s="1"/>
  <c r="AJ160" i="28" s="1"/>
  <c r="R146" i="28"/>
  <c r="V146" i="28" s="1"/>
  <c r="AB146" i="28"/>
  <c r="R134" i="28"/>
  <c r="V134" i="28" s="1"/>
  <c r="AB134" i="28"/>
  <c r="R180" i="28"/>
  <c r="V180" i="28" s="1"/>
  <c r="AB180" i="28"/>
  <c r="AF180" i="28" s="1"/>
  <c r="AJ180" i="28" s="1"/>
  <c r="R176" i="28"/>
  <c r="V176" i="28" s="1"/>
  <c r="AB176" i="28"/>
  <c r="AF176" i="28" s="1"/>
  <c r="AJ176" i="28" s="1"/>
  <c r="AP176" i="28" s="1"/>
  <c r="AT176" i="28" s="1"/>
  <c r="R165" i="28"/>
  <c r="V165" i="28" s="1"/>
  <c r="AB165" i="28"/>
  <c r="R159" i="28"/>
  <c r="V159" i="28" s="1"/>
  <c r="AB159" i="28"/>
  <c r="AF159" i="28" s="1"/>
  <c r="AJ159" i="28" s="1"/>
  <c r="R140" i="28"/>
  <c r="V140" i="28" s="1"/>
  <c r="AB140" i="28"/>
  <c r="R133" i="28"/>
  <c r="V133" i="28" s="1"/>
  <c r="AB133" i="28"/>
  <c r="R162" i="28"/>
  <c r="V162" i="28" s="1"/>
  <c r="AB162" i="28"/>
  <c r="AF162" i="28" s="1"/>
  <c r="AJ162" i="28" s="1"/>
  <c r="R174" i="28"/>
  <c r="V174" i="28" s="1"/>
  <c r="AB174" i="28"/>
  <c r="R164" i="28"/>
  <c r="V164" i="28" s="1"/>
  <c r="AB164" i="28"/>
  <c r="R151" i="28"/>
  <c r="V151" i="28" s="1"/>
  <c r="AB151" i="28"/>
  <c r="AF151" i="28" s="1"/>
  <c r="AJ151" i="28" s="1"/>
  <c r="R139" i="28"/>
  <c r="V139" i="28" s="1"/>
  <c r="AB139" i="28"/>
  <c r="R132" i="28"/>
  <c r="V132" i="28" s="1"/>
  <c r="AB132" i="28"/>
  <c r="R171" i="28"/>
  <c r="V171" i="28" s="1"/>
  <c r="AB171" i="28"/>
  <c r="AF171" i="28" s="1"/>
  <c r="AJ171" i="28" s="1"/>
  <c r="R172" i="28"/>
  <c r="V172" i="28" s="1"/>
  <c r="AB172" i="28"/>
  <c r="R163" i="28"/>
  <c r="V163" i="28" s="1"/>
  <c r="AB163" i="28"/>
  <c r="R150" i="28"/>
  <c r="V150" i="28" s="1"/>
  <c r="AB150" i="28"/>
  <c r="AF150" i="28" s="1"/>
  <c r="AJ150" i="28" s="1"/>
  <c r="R138" i="28"/>
  <c r="V138" i="28" s="1"/>
  <c r="AB138" i="28"/>
  <c r="AA29" i="73"/>
  <c r="AE29" i="73" s="1"/>
  <c r="Q29" i="73"/>
  <c r="U29" i="73" s="1"/>
  <c r="AA47" i="73"/>
  <c r="AE47" i="73" s="1"/>
  <c r="AI47" i="73" s="1"/>
  <c r="AO47" i="73" s="1"/>
  <c r="AS47" i="73" s="1"/>
  <c r="Q47" i="73"/>
  <c r="U47" i="73" s="1"/>
  <c r="AA42" i="73"/>
  <c r="Q42" i="73"/>
  <c r="U42" i="73" s="1"/>
  <c r="AA32" i="73"/>
  <c r="Q32" i="73"/>
  <c r="U32" i="73" s="1"/>
  <c r="AA28" i="73"/>
  <c r="AE28" i="73" s="1"/>
  <c r="Q28" i="73"/>
  <c r="U28" i="73" s="1"/>
  <c r="AA46" i="73"/>
  <c r="AE46" i="73" s="1"/>
  <c r="AI46" i="73" s="1"/>
  <c r="AO46" i="73" s="1"/>
  <c r="AS46" i="73" s="1"/>
  <c r="Q46" i="73"/>
  <c r="U46" i="73" s="1"/>
  <c r="AA31" i="73"/>
  <c r="Q31" i="73"/>
  <c r="U31" i="73" s="1"/>
  <c r="AA26" i="73"/>
  <c r="AE26" i="73" s="1"/>
  <c r="Q26" i="73"/>
  <c r="U26" i="73" s="1"/>
  <c r="AA30" i="73"/>
  <c r="AE30" i="73" s="1"/>
  <c r="Q30" i="73"/>
  <c r="U30" i="73" s="1"/>
  <c r="AA25" i="73"/>
  <c r="AE25" i="73" s="1"/>
  <c r="Q25" i="73"/>
  <c r="U25" i="73" s="1"/>
  <c r="AA176" i="73"/>
  <c r="AE176" i="73" s="1"/>
  <c r="AI176" i="73" s="1"/>
  <c r="AO176" i="73" s="1"/>
  <c r="Q176" i="73"/>
  <c r="U176" i="73" s="1"/>
  <c r="AA175" i="73"/>
  <c r="AE175" i="73" s="1"/>
  <c r="AI175" i="73" s="1"/>
  <c r="Q175" i="73"/>
  <c r="U175" i="73" s="1"/>
  <c r="AA56" i="73"/>
  <c r="Q56" i="73"/>
  <c r="U56" i="73" s="1"/>
  <c r="AA90" i="73"/>
  <c r="Q90" i="73"/>
  <c r="U90" i="73" s="1"/>
  <c r="AA80" i="73"/>
  <c r="AE80" i="73" s="1"/>
  <c r="AI80" i="73" s="1"/>
  <c r="AO80" i="73" s="1"/>
  <c r="AS80" i="73" s="1"/>
  <c r="AW80" i="73" s="1"/>
  <c r="BE80" i="73" s="1"/>
  <c r="Q80" i="73"/>
  <c r="U80" i="73" s="1"/>
  <c r="AA79" i="73"/>
  <c r="Q79" i="73"/>
  <c r="U79" i="73" s="1"/>
  <c r="AA38" i="73"/>
  <c r="Q38" i="73"/>
  <c r="U38" i="73" s="1"/>
  <c r="AA37" i="73"/>
  <c r="Q37" i="73"/>
  <c r="U37" i="73" s="1"/>
  <c r="AA36" i="73"/>
  <c r="AE36" i="73" s="1"/>
  <c r="AI36" i="73" s="1"/>
  <c r="AO36" i="73" s="1"/>
  <c r="AS36" i="73" s="1"/>
  <c r="Q36" i="73"/>
  <c r="U36" i="73" s="1"/>
  <c r="AA41" i="73"/>
  <c r="Q41" i="73"/>
  <c r="U41" i="73" s="1"/>
  <c r="AA40" i="73"/>
  <c r="Q40" i="73"/>
  <c r="U40" i="73" s="1"/>
  <c r="AA39" i="73"/>
  <c r="Q39" i="73"/>
  <c r="U39" i="73" s="1"/>
  <c r="AA95" i="73"/>
  <c r="Q95" i="73"/>
  <c r="U95" i="73" s="1"/>
  <c r="AA96" i="73"/>
  <c r="Q96" i="73"/>
  <c r="U96" i="73" s="1"/>
  <c r="Y177" i="73"/>
  <c r="Y102" i="73"/>
  <c r="Y65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B91" i="28"/>
  <c r="AB260" i="28"/>
  <c r="AB247" i="28"/>
  <c r="AB235" i="28"/>
  <c r="AB318" i="28"/>
  <c r="AB277" i="28"/>
  <c r="AB105" i="28"/>
  <c r="AX22" i="38"/>
  <c r="AT162" i="10"/>
  <c r="AT160" i="10"/>
  <c r="AW65" i="59" s="1"/>
  <c r="AX30" i="38"/>
  <c r="AP109" i="8"/>
  <c r="AX11" i="38"/>
  <c r="BB11" i="38" s="1"/>
  <c r="AX33" i="38"/>
  <c r="AX31" i="38"/>
  <c r="AX10" i="38"/>
  <c r="AX32" i="38"/>
  <c r="AS162" i="10"/>
  <c r="AS160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B23" i="28"/>
  <c r="AF23" i="28" s="1"/>
  <c r="AJ23" i="28" s="1"/>
  <c r="AP23" i="28" s="1"/>
  <c r="AT23" i="28" s="1"/>
  <c r="AB207" i="28"/>
  <c r="AB196" i="28"/>
  <c r="AB192" i="28"/>
  <c r="AT28" i="11"/>
  <c r="AB74" i="28"/>
  <c r="AF74" i="28" s="1"/>
  <c r="AB209" i="28"/>
  <c r="AB354" i="28"/>
  <c r="AB100" i="28"/>
  <c r="AB352" i="28"/>
  <c r="AB210" i="28"/>
  <c r="AB204" i="28"/>
  <c r="AB264" i="28"/>
  <c r="AB251" i="28"/>
  <c r="AB239" i="28"/>
  <c r="AB256" i="28"/>
  <c r="AB243" i="28"/>
  <c r="AB96" i="28"/>
  <c r="AB206" i="28"/>
  <c r="AB194" i="28"/>
  <c r="AB353" i="28"/>
  <c r="AB24" i="28"/>
  <c r="AF24" i="28" s="1"/>
  <c r="AJ24" i="28" s="1"/>
  <c r="AP24" i="28" s="1"/>
  <c r="AT24" i="28" s="1"/>
  <c r="AB208" i="28"/>
  <c r="AB193" i="28"/>
  <c r="AB77" i="28"/>
  <c r="AF77" i="28" s="1"/>
  <c r="AB66" i="28"/>
  <c r="AF66" i="28" s="1"/>
  <c r="AB360" i="28"/>
  <c r="AB205" i="28"/>
  <c r="AB355" i="28"/>
  <c r="AB349" i="28"/>
  <c r="AF349" i="28" s="1"/>
  <c r="AJ349" i="28" s="1"/>
  <c r="AP349" i="28" s="1"/>
  <c r="AT349" i="28" s="1"/>
  <c r="AX349" i="28" s="1"/>
  <c r="BF349" i="28" s="1"/>
  <c r="AB44" i="28"/>
  <c r="AF44" i="28" s="1"/>
  <c r="AJ44" i="28" s="1"/>
  <c r="AP44" i="28" s="1"/>
  <c r="AT44" i="28" s="1"/>
  <c r="AB18" i="28"/>
  <c r="AF18" i="28" s="1"/>
  <c r="AJ18" i="28" s="1"/>
  <c r="AP18" i="28" s="1"/>
  <c r="AT18" i="28" s="1"/>
  <c r="AB43" i="28"/>
  <c r="AF43" i="28" s="1"/>
  <c r="AJ43" i="28" s="1"/>
  <c r="AP43" i="28" s="1"/>
  <c r="AT43" i="28" s="1"/>
  <c r="AB425" i="28"/>
  <c r="AF425" i="28" s="1"/>
  <c r="AJ425" i="28" s="1"/>
  <c r="AP425" i="28" s="1"/>
  <c r="AT425" i="28" s="1"/>
  <c r="AB422" i="28"/>
  <c r="AF422" i="28" s="1"/>
  <c r="AJ422" i="28" s="1"/>
  <c r="AP422" i="28" s="1"/>
  <c r="AT422" i="28" s="1"/>
  <c r="AB45" i="28"/>
  <c r="AF45" i="28" s="1"/>
  <c r="AJ45" i="28" s="1"/>
  <c r="AP45" i="28" s="1"/>
  <c r="AT45" i="28" s="1"/>
  <c r="AE43" i="73"/>
  <c r="AI43" i="73" s="1"/>
  <c r="AO43" i="73" s="1"/>
  <c r="AS43" i="73" s="1"/>
  <c r="AI30" i="73"/>
  <c r="AO30" i="73" s="1"/>
  <c r="AS30" i="73" s="1"/>
  <c r="AI28" i="73"/>
  <c r="AO28" i="73" s="1"/>
  <c r="AS28" i="73" s="1"/>
  <c r="AE42" i="73"/>
  <c r="AI42" i="73" s="1"/>
  <c r="AO42" i="73" s="1"/>
  <c r="AS42" i="73" s="1"/>
  <c r="AE45" i="73"/>
  <c r="AI45" i="73" s="1"/>
  <c r="AO45" i="73" s="1"/>
  <c r="AS45" i="73" s="1"/>
  <c r="AI25" i="73"/>
  <c r="AO25" i="73" s="1"/>
  <c r="AS25" i="73" s="1"/>
  <c r="AB78" i="28"/>
  <c r="AF78" i="28" s="1"/>
  <c r="AB371" i="28"/>
  <c r="AB317" i="28"/>
  <c r="AB300" i="28"/>
  <c r="AB282" i="28"/>
  <c r="AB103" i="28"/>
  <c r="AB98" i="28"/>
  <c r="AB94" i="28"/>
  <c r="AB88" i="28"/>
  <c r="AB16" i="28"/>
  <c r="AF16" i="28" s="1"/>
  <c r="AJ16" i="28" s="1"/>
  <c r="AP16" i="28" s="1"/>
  <c r="AT16" i="28" s="1"/>
  <c r="AB25" i="28"/>
  <c r="AF25" i="28" s="1"/>
  <c r="AJ25" i="28" s="1"/>
  <c r="AP25" i="28" s="1"/>
  <c r="AT25" i="28" s="1"/>
  <c r="AB39" i="28"/>
  <c r="AF39" i="28" s="1"/>
  <c r="AJ39" i="28" s="1"/>
  <c r="AP39" i="28" s="1"/>
  <c r="AT39" i="28" s="1"/>
  <c r="AB262" i="28"/>
  <c r="AB258" i="28"/>
  <c r="AB253" i="28"/>
  <c r="AB249" i="28"/>
  <c r="AB245" i="28"/>
  <c r="AB241" i="28"/>
  <c r="AB237" i="28"/>
  <c r="AB423" i="28"/>
  <c r="AF423" i="28" s="1"/>
  <c r="AJ423" i="28" s="1"/>
  <c r="AP423" i="28" s="1"/>
  <c r="AT423" i="28" s="1"/>
  <c r="AB228" i="28"/>
  <c r="AF228" i="28" s="1"/>
  <c r="AJ228" i="28" s="1"/>
  <c r="AP228" i="28" s="1"/>
  <c r="AB272" i="28"/>
  <c r="AF272" i="28" s="1"/>
  <c r="AJ272" i="28" s="1"/>
  <c r="AP272" i="28" s="1"/>
  <c r="AT272" i="28" s="1"/>
  <c r="AB319" i="28"/>
  <c r="AB298" i="28"/>
  <c r="AB280" i="28"/>
  <c r="AB271" i="28"/>
  <c r="AF271" i="28" s="1"/>
  <c r="AJ271" i="28" s="1"/>
  <c r="AP271" i="28" s="1"/>
  <c r="AT271" i="28" s="1"/>
  <c r="AB265" i="28"/>
  <c r="AB261" i="28"/>
  <c r="AB257" i="28"/>
  <c r="AB252" i="28"/>
  <c r="AB248" i="28"/>
  <c r="AB244" i="28"/>
  <c r="AB240" i="28"/>
  <c r="AB236" i="28"/>
  <c r="AB104" i="28"/>
  <c r="AB99" i="28"/>
  <c r="AB95" i="28"/>
  <c r="AB90" i="28"/>
  <c r="AB15" i="28"/>
  <c r="AF15" i="28" s="1"/>
  <c r="AJ15" i="28" s="1"/>
  <c r="AP15" i="28" s="1"/>
  <c r="AT15" i="28" s="1"/>
  <c r="AB17" i="28"/>
  <c r="AF17" i="28" s="1"/>
  <c r="AJ17" i="28" s="1"/>
  <c r="AP17" i="28" s="1"/>
  <c r="AT17" i="28" s="1"/>
  <c r="AB22" i="28"/>
  <c r="AF22" i="28" s="1"/>
  <c r="AJ22" i="28" s="1"/>
  <c r="AP22" i="28" s="1"/>
  <c r="AT22" i="28" s="1"/>
  <c r="AB73" i="28"/>
  <c r="AF73" i="28" s="1"/>
  <c r="AB263" i="28"/>
  <c r="AB259" i="28"/>
  <c r="AB254" i="28"/>
  <c r="AB250" i="28"/>
  <c r="AB246" i="28"/>
  <c r="AB242" i="28"/>
  <c r="AB238" i="28"/>
  <c r="AB233" i="28"/>
  <c r="AB424" i="28"/>
  <c r="AF424" i="28" s="1"/>
  <c r="AJ424" i="28" s="1"/>
  <c r="AP424" i="28" s="1"/>
  <c r="AT424" i="28" s="1"/>
  <c r="AB321" i="28"/>
  <c r="AB316" i="28"/>
  <c r="AB299" i="28"/>
  <c r="AB281" i="28"/>
  <c r="AB38" i="28"/>
  <c r="AF38" i="28" s="1"/>
  <c r="AJ38" i="28" s="1"/>
  <c r="AP38" i="28" s="1"/>
  <c r="AT38" i="28" s="1"/>
  <c r="AB102" i="28"/>
  <c r="AB97" i="28"/>
  <c r="AB92" i="28"/>
  <c r="AB69" i="28"/>
  <c r="AF69" i="28" s="1"/>
  <c r="AB46" i="28"/>
  <c r="AF46" i="28" s="1"/>
  <c r="AJ46" i="28" s="1"/>
  <c r="AP46" i="28" s="1"/>
  <c r="AT46" i="28" s="1"/>
  <c r="AB70" i="28"/>
  <c r="AF70" i="28" s="1"/>
  <c r="AB36" i="28"/>
  <c r="AF36" i="28" s="1"/>
  <c r="AJ36" i="28" s="1"/>
  <c r="AP36" i="28" s="1"/>
  <c r="AT36" i="28" s="1"/>
  <c r="AB350" i="28"/>
  <c r="AF350" i="28" s="1"/>
  <c r="AJ350" i="28" s="1"/>
  <c r="AP350" i="28" s="1"/>
  <c r="AT350" i="28" s="1"/>
  <c r="AX350" i="28" s="1"/>
  <c r="BF350" i="28" s="1"/>
  <c r="AB37" i="28"/>
  <c r="AF37" i="28" s="1"/>
  <c r="AJ37" i="28" s="1"/>
  <c r="AP37" i="28" s="1"/>
  <c r="AT37" i="28" s="1"/>
  <c r="AB370" i="28"/>
  <c r="AI29" i="73"/>
  <c r="AO29" i="73" s="1"/>
  <c r="AS29" i="73" s="1"/>
  <c r="AI26" i="73"/>
  <c r="AO26" i="73" s="1"/>
  <c r="AS26" i="73" s="1"/>
  <c r="AJ51" i="8" l="1"/>
  <c r="AM42" i="59" s="1"/>
  <c r="AY64" i="45"/>
  <c r="AU142" i="45"/>
  <c r="AM44" i="59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66" i="45"/>
  <c r="AU141" i="45"/>
  <c r="AU140" i="45"/>
  <c r="AY53" i="45"/>
  <c r="AW28" i="73"/>
  <c r="BE28" i="73" s="1"/>
  <c r="AW25" i="73"/>
  <c r="BE25" i="73" s="1"/>
  <c r="AW26" i="73"/>
  <c r="BE26" i="73" s="1"/>
  <c r="BG7" i="45"/>
  <c r="BG74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S176" i="73"/>
  <c r="AW176" i="73" s="1"/>
  <c r="BE176" i="73" s="1"/>
  <c r="AW162" i="10"/>
  <c r="AW160" i="10"/>
  <c r="AZ65" i="59" s="1"/>
  <c r="BE161" i="10"/>
  <c r="AX160" i="10"/>
  <c r="BA65" i="59" s="1"/>
  <c r="AX162" i="10"/>
  <c r="BF161" i="10"/>
  <c r="BF159" i="10"/>
  <c r="BE159" i="10"/>
  <c r="AW36" i="73"/>
  <c r="BE36" i="73" s="1"/>
  <c r="AX272" i="28"/>
  <c r="BF272" i="28" s="1"/>
  <c r="AX424" i="28"/>
  <c r="BF424" i="28" s="1"/>
  <c r="AX422" i="28"/>
  <c r="BF422" i="28" s="1"/>
  <c r="AX271" i="28"/>
  <c r="BF271" i="28" s="1"/>
  <c r="AX423" i="28"/>
  <c r="BF423" i="28" s="1"/>
  <c r="AX425" i="28"/>
  <c r="BF425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8" i="11"/>
  <c r="BF28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5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F299" i="28"/>
  <c r="AF242" i="28"/>
  <c r="AF259" i="28"/>
  <c r="AF257" i="28"/>
  <c r="AF246" i="28"/>
  <c r="AF263" i="28"/>
  <c r="AF321" i="28"/>
  <c r="AF233" i="28"/>
  <c r="AJ233" i="28" s="1"/>
  <c r="AF250" i="28"/>
  <c r="AF90" i="28"/>
  <c r="AF248" i="28"/>
  <c r="AF265" i="28"/>
  <c r="AF319" i="28"/>
  <c r="AF245" i="28"/>
  <c r="AJ245" i="28" s="1"/>
  <c r="AF262" i="28"/>
  <c r="AF88" i="28"/>
  <c r="AJ88" i="28" s="1"/>
  <c r="AF282" i="28"/>
  <c r="AF371" i="28"/>
  <c r="AJ371" i="28" s="1"/>
  <c r="AP371" i="28" s="1"/>
  <c r="AF360" i="28"/>
  <c r="AF194" i="28"/>
  <c r="AF256" i="28"/>
  <c r="AF100" i="28"/>
  <c r="AJ100" i="28" s="1"/>
  <c r="AF354" i="28"/>
  <c r="AJ354" i="28" s="1"/>
  <c r="AP354" i="28" s="1"/>
  <c r="AF209" i="28"/>
  <c r="AJ209" i="28" s="1"/>
  <c r="AP209" i="28" s="1"/>
  <c r="AF192" i="28"/>
  <c r="AF260" i="28"/>
  <c r="AF138" i="28"/>
  <c r="AF163" i="28"/>
  <c r="AF139" i="28"/>
  <c r="AF164" i="28"/>
  <c r="AJ164" i="28" s="1"/>
  <c r="AF140" i="28"/>
  <c r="AF165" i="28"/>
  <c r="AJ165" i="28" s="1"/>
  <c r="AF146" i="28"/>
  <c r="AF166" i="28"/>
  <c r="AF147" i="28"/>
  <c r="AF189" i="28"/>
  <c r="AF95" i="28"/>
  <c r="AF236" i="28"/>
  <c r="AF252" i="28"/>
  <c r="AF298" i="28"/>
  <c r="AF249" i="28"/>
  <c r="AF94" i="28"/>
  <c r="AF317" i="28"/>
  <c r="AF355" i="28"/>
  <c r="AJ355" i="28" s="1"/>
  <c r="AP355" i="28" s="1"/>
  <c r="AF208" i="28"/>
  <c r="AJ208" i="28" s="1"/>
  <c r="AP208" i="28" s="1"/>
  <c r="AF206" i="28"/>
  <c r="AJ206" i="28" s="1"/>
  <c r="AF239" i="28"/>
  <c r="AF204" i="28"/>
  <c r="AJ204" i="28" s="1"/>
  <c r="AF196" i="28"/>
  <c r="AF105" i="28"/>
  <c r="AF91" i="28"/>
  <c r="AF238" i="28"/>
  <c r="AF370" i="28"/>
  <c r="AJ370" i="28" s="1"/>
  <c r="AP370" i="28" s="1"/>
  <c r="AF97" i="28"/>
  <c r="AJ97" i="28" s="1"/>
  <c r="AF281" i="28"/>
  <c r="AF99" i="28"/>
  <c r="AJ99" i="28" s="1"/>
  <c r="AF240" i="28"/>
  <c r="AF280" i="28"/>
  <c r="AF237" i="28"/>
  <c r="AF253" i="28"/>
  <c r="AF98" i="28"/>
  <c r="AF96" i="28"/>
  <c r="AJ96" i="28" s="1"/>
  <c r="AF251" i="28"/>
  <c r="AF210" i="28"/>
  <c r="AJ210" i="28" s="1"/>
  <c r="AP210" i="28" s="1"/>
  <c r="AF207" i="28"/>
  <c r="AJ207" i="28" s="1"/>
  <c r="AP207" i="28" s="1"/>
  <c r="AF277" i="28"/>
  <c r="AF235" i="28"/>
  <c r="AF172" i="28"/>
  <c r="AF132" i="28"/>
  <c r="AF174" i="28"/>
  <c r="AJ174" i="28" s="1"/>
  <c r="AF133" i="28"/>
  <c r="AF134" i="28"/>
  <c r="AJ134" i="28" s="1"/>
  <c r="AF178" i="28"/>
  <c r="AF179" i="28"/>
  <c r="AF191" i="28"/>
  <c r="AF187" i="28"/>
  <c r="AF92" i="28"/>
  <c r="AF254" i="28"/>
  <c r="AJ254" i="28" s="1"/>
  <c r="AF102" i="28"/>
  <c r="AF316" i="28"/>
  <c r="AF104" i="28"/>
  <c r="AF244" i="28"/>
  <c r="AF261" i="28"/>
  <c r="AF241" i="28"/>
  <c r="AF258" i="28"/>
  <c r="AF103" i="28"/>
  <c r="AJ103" i="28" s="1"/>
  <c r="AF300" i="28"/>
  <c r="AF205" i="28"/>
  <c r="AJ205" i="28" s="1"/>
  <c r="AF193" i="28"/>
  <c r="AF353" i="28"/>
  <c r="AF243" i="28"/>
  <c r="AF264" i="28"/>
  <c r="AF352" i="28"/>
  <c r="AF318" i="28"/>
  <c r="AJ318" i="28" s="1"/>
  <c r="AF247" i="28"/>
  <c r="AI44" i="59"/>
  <c r="BJ11" i="38"/>
  <c r="AT228" i="28"/>
  <c r="BF108" i="8"/>
  <c r="BF110" i="8" s="1"/>
  <c r="AP51" i="8"/>
  <c r="AS42" i="59" s="1"/>
  <c r="AP111" i="8"/>
  <c r="AP52" i="8" s="1"/>
  <c r="AS43" i="59" s="1"/>
  <c r="AT109" i="8"/>
  <c r="Z378" i="28"/>
  <c r="Z216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Y142" i="45" l="1"/>
  <c r="BG64" i="45"/>
  <c r="BG142" i="45" s="1"/>
  <c r="AX109" i="8"/>
  <c r="AX51" i="8" s="1"/>
  <c r="BA42" i="59" s="1"/>
  <c r="AW31" i="73"/>
  <c r="BE31" i="73" s="1"/>
  <c r="AW101" i="73"/>
  <c r="BE101" i="73" s="1"/>
  <c r="AO99" i="73"/>
  <c r="AS99" i="73" s="1"/>
  <c r="AW32" i="73"/>
  <c r="BE32" i="73" s="1"/>
  <c r="AY141" i="45"/>
  <c r="BG66" i="45"/>
  <c r="AY140" i="45"/>
  <c r="BG53" i="45"/>
  <c r="AS175" i="73"/>
  <c r="AW175" i="73" s="1"/>
  <c r="BE175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0" i="10"/>
  <c r="BI65" i="59" s="1"/>
  <c r="BF162" i="10"/>
  <c r="BE162" i="10"/>
  <c r="BE160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28" i="28"/>
  <c r="BF228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54" i="28"/>
  <c r="AT355" i="28"/>
  <c r="AT207" i="28"/>
  <c r="AT370" i="28"/>
  <c r="AT210" i="28"/>
  <c r="AT208" i="28"/>
  <c r="AT209" i="28"/>
  <c r="AT371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45" i="28"/>
  <c r="AT245" i="28" s="1"/>
  <c r="AP233" i="28"/>
  <c r="AT233" i="28" s="1"/>
  <c r="AP134" i="28"/>
  <c r="AP97" i="28"/>
  <c r="AP204" i="28"/>
  <c r="AP164" i="28"/>
  <c r="AP254" i="28"/>
  <c r="AT254" i="28" s="1"/>
  <c r="AP318" i="28"/>
  <c r="AP205" i="28"/>
  <c r="AP174" i="28"/>
  <c r="AP206" i="28"/>
  <c r="AP100" i="28"/>
  <c r="AP88" i="28"/>
  <c r="AJ300" i="28"/>
  <c r="AJ280" i="28"/>
  <c r="AJ238" i="28"/>
  <c r="AJ249" i="28"/>
  <c r="AJ282" i="28"/>
  <c r="AJ265" i="28"/>
  <c r="AJ321" i="28"/>
  <c r="AJ299" i="28"/>
  <c r="AJ316" i="28"/>
  <c r="AJ251" i="28"/>
  <c r="AJ240" i="28"/>
  <c r="AJ298" i="28"/>
  <c r="AJ248" i="28"/>
  <c r="AJ263" i="28"/>
  <c r="AJ258" i="28"/>
  <c r="AJ252" i="28"/>
  <c r="AJ256" i="28"/>
  <c r="AJ262" i="28"/>
  <c r="AJ246" i="28"/>
  <c r="AJ353" i="28"/>
  <c r="AJ235" i="28"/>
  <c r="AJ281" i="28"/>
  <c r="AJ236" i="28"/>
  <c r="AJ260" i="28"/>
  <c r="AJ250" i="28"/>
  <c r="AJ257" i="28"/>
  <c r="AJ264" i="28"/>
  <c r="AJ243" i="28"/>
  <c r="AJ261" i="28"/>
  <c r="AJ277" i="28"/>
  <c r="AJ253" i="28"/>
  <c r="AJ317" i="28"/>
  <c r="AJ360" i="28"/>
  <c r="AJ259" i="28"/>
  <c r="AJ352" i="28"/>
  <c r="AJ247" i="28"/>
  <c r="AJ241" i="28"/>
  <c r="AJ244" i="28"/>
  <c r="AJ237" i="28"/>
  <c r="AJ239" i="28"/>
  <c r="AJ319" i="28"/>
  <c r="AJ242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X111" i="8" l="1"/>
  <c r="AX52" i="8" s="1"/>
  <c r="BA43" i="59" s="1"/>
  <c r="BA44" i="59"/>
  <c r="AW99" i="73"/>
  <c r="BE99" i="73" s="1"/>
  <c r="BG141" i="45"/>
  <c r="BG140" i="45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71" i="28"/>
  <c r="BF371" i="28" s="1"/>
  <c r="AX355" i="28"/>
  <c r="BF355" i="28" s="1"/>
  <c r="AX209" i="28"/>
  <c r="BF209" i="28" s="1"/>
  <c r="AX354" i="28"/>
  <c r="BF354" i="28" s="1"/>
  <c r="AX208" i="28"/>
  <c r="BF208" i="28" s="1"/>
  <c r="AX233" i="28"/>
  <c r="BF233" i="28" s="1"/>
  <c r="AX210" i="28"/>
  <c r="BF210" i="28" s="1"/>
  <c r="AX254" i="28"/>
  <c r="BF254" i="28" s="1"/>
  <c r="AX245" i="28"/>
  <c r="BF245" i="28" s="1"/>
  <c r="AX370" i="28"/>
  <c r="BF370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18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58" i="28"/>
  <c r="AT258" i="28" s="1"/>
  <c r="AP316" i="28"/>
  <c r="AP238" i="28"/>
  <c r="AT238" i="28" s="1"/>
  <c r="AP102" i="28"/>
  <c r="AP244" i="28"/>
  <c r="AT244" i="28" s="1"/>
  <c r="AP263" i="28"/>
  <c r="AT263" i="28" s="1"/>
  <c r="AP299" i="28"/>
  <c r="AP280" i="28"/>
  <c r="AT280" i="28" s="1"/>
  <c r="AX280" i="28" s="1"/>
  <c r="BF280" i="28" s="1"/>
  <c r="AP237" i="28"/>
  <c r="AT237" i="28" s="1"/>
  <c r="AP133" i="28"/>
  <c r="AP187" i="28"/>
  <c r="AP253" i="28"/>
  <c r="AT253" i="28" s="1"/>
  <c r="AP246" i="28"/>
  <c r="AT246" i="28" s="1"/>
  <c r="AP248" i="28"/>
  <c r="AT248" i="28" s="1"/>
  <c r="AP321" i="28"/>
  <c r="AP300" i="28"/>
  <c r="AP98" i="28"/>
  <c r="AP264" i="28"/>
  <c r="AT264" i="28" s="1"/>
  <c r="AP104" i="28"/>
  <c r="AP353" i="28"/>
  <c r="AP139" i="28"/>
  <c r="AP242" i="28"/>
  <c r="AT242" i="28" s="1"/>
  <c r="AP260" i="28"/>
  <c r="AT260" i="28" s="1"/>
  <c r="AP298" i="28"/>
  <c r="AP265" i="28"/>
  <c r="AT265" i="28" s="1"/>
  <c r="AP95" i="28"/>
  <c r="AP360" i="28"/>
  <c r="AP140" i="28"/>
  <c r="AP257" i="28"/>
  <c r="AT257" i="28" s="1"/>
  <c r="AP90" i="28"/>
  <c r="AP250" i="28"/>
  <c r="AT250" i="28" s="1"/>
  <c r="AP146" i="28"/>
  <c r="AP193" i="28"/>
  <c r="AP163" i="28"/>
  <c r="AP189" i="28"/>
  <c r="AP352" i="28"/>
  <c r="AP261" i="28"/>
  <c r="AT261" i="28" s="1"/>
  <c r="AP236" i="28"/>
  <c r="AT236" i="28" s="1"/>
  <c r="AP256" i="28"/>
  <c r="AT256" i="28" s="1"/>
  <c r="AP240" i="28"/>
  <c r="AT240" i="28" s="1"/>
  <c r="AP282" i="28"/>
  <c r="AP91" i="28"/>
  <c r="AP235" i="28"/>
  <c r="AT235" i="28" s="1"/>
  <c r="AP92" i="28"/>
  <c r="AP192" i="28"/>
  <c r="AP317" i="28"/>
  <c r="AP179" i="28"/>
  <c r="AP196" i="28"/>
  <c r="AP241" i="28"/>
  <c r="AT241" i="28" s="1"/>
  <c r="AP94" i="28"/>
  <c r="AP166" i="28"/>
  <c r="AP247" i="28"/>
  <c r="AT247" i="28" s="1"/>
  <c r="AP277" i="28"/>
  <c r="AP262" i="28"/>
  <c r="AT262" i="28" s="1"/>
  <c r="AP132" i="28"/>
  <c r="AP105" i="28"/>
  <c r="AP319" i="28"/>
  <c r="AP138" i="28"/>
  <c r="AP172" i="28"/>
  <c r="AP178" i="28"/>
  <c r="AP147" i="28"/>
  <c r="AP191" i="28"/>
  <c r="AP239" i="28"/>
  <c r="AT239" i="28" s="1"/>
  <c r="AP259" i="28"/>
  <c r="AT259" i="28" s="1"/>
  <c r="AP243" i="28"/>
  <c r="AT243" i="28" s="1"/>
  <c r="AP281" i="28"/>
  <c r="AP252" i="28"/>
  <c r="AT252" i="28" s="1"/>
  <c r="AP251" i="28"/>
  <c r="AT251" i="28" s="1"/>
  <c r="AP249" i="28"/>
  <c r="AT249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37" i="28"/>
  <c r="BF237" i="28" s="1"/>
  <c r="AX238" i="28"/>
  <c r="BF238" i="28" s="1"/>
  <c r="AX251" i="28"/>
  <c r="BF251" i="28" s="1"/>
  <c r="AX248" i="28"/>
  <c r="BF248" i="28" s="1"/>
  <c r="AX241" i="28"/>
  <c r="BF241" i="28" s="1"/>
  <c r="AX250" i="28"/>
  <c r="BF250" i="28" s="1"/>
  <c r="AX265" i="28"/>
  <c r="BF265" i="28" s="1"/>
  <c r="AX246" i="28"/>
  <c r="BF246" i="28" s="1"/>
  <c r="AX258" i="28"/>
  <c r="BF258" i="28" s="1"/>
  <c r="AX205" i="28"/>
  <c r="BF205" i="28" s="1"/>
  <c r="AX239" i="28"/>
  <c r="BF239" i="28" s="1"/>
  <c r="AX252" i="28"/>
  <c r="BF252" i="28" s="1"/>
  <c r="AX264" i="28"/>
  <c r="BF264" i="28" s="1"/>
  <c r="AX253" i="28"/>
  <c r="BF253" i="28" s="1"/>
  <c r="AX263" i="28"/>
  <c r="BF263" i="28" s="1"/>
  <c r="AX206" i="28"/>
  <c r="BF206" i="28" s="1"/>
  <c r="AX249" i="28"/>
  <c r="BF249" i="28" s="1"/>
  <c r="AX236" i="28"/>
  <c r="BF236" i="28" s="1"/>
  <c r="AX235" i="28"/>
  <c r="BF235" i="28" s="1"/>
  <c r="AX243" i="28"/>
  <c r="BF243" i="28" s="1"/>
  <c r="AX257" i="28"/>
  <c r="BF257" i="28" s="1"/>
  <c r="AX260" i="28"/>
  <c r="BF260" i="28" s="1"/>
  <c r="AX244" i="28"/>
  <c r="BF244" i="28" s="1"/>
  <c r="AX204" i="28"/>
  <c r="BF204" i="28" s="1"/>
  <c r="AX256" i="28"/>
  <c r="BF256" i="28" s="1"/>
  <c r="AX261" i="28"/>
  <c r="BF261" i="28" s="1"/>
  <c r="AX262" i="28"/>
  <c r="BF262" i="28" s="1"/>
  <c r="AX259" i="28"/>
  <c r="BF259" i="28" s="1"/>
  <c r="AX247" i="28"/>
  <c r="BF247" i="28" s="1"/>
  <c r="AX240" i="28"/>
  <c r="BF240" i="28" s="1"/>
  <c r="AX242" i="28"/>
  <c r="BF242" i="28" s="1"/>
  <c r="AX318" i="28"/>
  <c r="BF318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53" i="28"/>
  <c r="AT316" i="28"/>
  <c r="AT299" i="28"/>
  <c r="AT352" i="28"/>
  <c r="AT298" i="28"/>
  <c r="AT277" i="28"/>
  <c r="AT317" i="28"/>
  <c r="AT300" i="28"/>
  <c r="AT281" i="28"/>
  <c r="AT282" i="28"/>
  <c r="AT319" i="28"/>
  <c r="AT321" i="28"/>
  <c r="AT194" i="28"/>
  <c r="AT189" i="28"/>
  <c r="AT187" i="28"/>
  <c r="AT193" i="28"/>
  <c r="AT360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299" i="28"/>
  <c r="BF299" i="28" s="1"/>
  <c r="AX189" i="28"/>
  <c r="BF189" i="28" s="1"/>
  <c r="AX192" i="28"/>
  <c r="BF192" i="28" s="1"/>
  <c r="AX321" i="28"/>
  <c r="BF321" i="28" s="1"/>
  <c r="AX281" i="28"/>
  <c r="BF281" i="28" s="1"/>
  <c r="AX316" i="28"/>
  <c r="BF316" i="28" s="1"/>
  <c r="AX317" i="28"/>
  <c r="BF317" i="28" s="1"/>
  <c r="AX298" i="28"/>
  <c r="BF298" i="28" s="1"/>
  <c r="AX191" i="28"/>
  <c r="BF191" i="28" s="1"/>
  <c r="AX300" i="28"/>
  <c r="BF300" i="28" s="1"/>
  <c r="AX194" i="28"/>
  <c r="BF194" i="28" s="1"/>
  <c r="AX196" i="28"/>
  <c r="BF196" i="28" s="1"/>
  <c r="AX277" i="28"/>
  <c r="BF277" i="28" s="1"/>
  <c r="AX353" i="28"/>
  <c r="BF353" i="28" s="1"/>
  <c r="AX360" i="28"/>
  <c r="BF360" i="28" s="1"/>
  <c r="AX319" i="28"/>
  <c r="BF319" i="28" s="1"/>
  <c r="AX193" i="28"/>
  <c r="BF193" i="28" s="1"/>
  <c r="AX282" i="28"/>
  <c r="BF282" i="28" s="1"/>
  <c r="AX352" i="28"/>
  <c r="BF352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68" i="83"/>
  <c r="AC68" i="83" s="1"/>
  <c r="AK68" i="83" s="1"/>
  <c r="Z7" i="24"/>
  <c r="Z8" i="24"/>
  <c r="Y7" i="24"/>
  <c r="Y8" i="24"/>
  <c r="Z6" i="52"/>
  <c r="Z7" i="52"/>
  <c r="Z10" i="52"/>
  <c r="Z11" i="52"/>
  <c r="Z12" i="52"/>
  <c r="Z13" i="52"/>
  <c r="Z14" i="52"/>
  <c r="Y10" i="52"/>
  <c r="Y11" i="52"/>
  <c r="Y12" i="52"/>
  <c r="Y13" i="52"/>
  <c r="Y14" i="52"/>
  <c r="Y6" i="52"/>
  <c r="Y7" i="52"/>
  <c r="X15" i="52"/>
  <c r="W15" i="52"/>
  <c r="X8" i="52"/>
  <c r="W8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6" i="52"/>
  <c r="AG68" i="83"/>
  <c r="AQ68" i="83" s="1"/>
  <c r="X16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68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68" i="83"/>
  <c r="BG68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/>
  <c r="BE38" i="17"/>
  <c r="Y59" i="17"/>
  <c r="Y22" i="17"/>
  <c r="AA459" i="28"/>
  <c r="AA458" i="28"/>
  <c r="Y459" i="28"/>
  <c r="Y458" i="28"/>
  <c r="Y62" i="17" l="1"/>
  <c r="AA115" i="45" l="1"/>
  <c r="AA114" i="45"/>
  <c r="AA120" i="45"/>
  <c r="AA119" i="45"/>
  <c r="AA124" i="45" s="1"/>
  <c r="AA116" i="45" l="1"/>
  <c r="AA123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0" i="73" l="1"/>
  <c r="Q180" i="73" s="1"/>
  <c r="U180" i="73" s="1"/>
  <c r="F186" i="73"/>
  <c r="H186" i="73"/>
  <c r="J186" i="73"/>
  <c r="L186" i="73"/>
  <c r="N186" i="73"/>
  <c r="P186" i="73"/>
  <c r="R186" i="73"/>
  <c r="T186" i="73"/>
  <c r="V186" i="73"/>
  <c r="X186" i="73"/>
  <c r="Z186" i="73"/>
  <c r="M178" i="73"/>
  <c r="Q178" i="73" s="1"/>
  <c r="U178" i="73" s="1"/>
  <c r="M179" i="73"/>
  <c r="Q179" i="73" s="1"/>
  <c r="U179" i="73" s="1"/>
  <c r="M181" i="73"/>
  <c r="Q181" i="73" s="1"/>
  <c r="U181" i="73" s="1"/>
  <c r="M183" i="73"/>
  <c r="Q183" i="73" s="1"/>
  <c r="U183" i="73" s="1"/>
  <c r="M184" i="73"/>
  <c r="Q184" i="73" s="1"/>
  <c r="U184" i="73" s="1"/>
  <c r="M185" i="73"/>
  <c r="Q185" i="73" s="1"/>
  <c r="U185" i="73" s="1"/>
  <c r="M62" i="73"/>
  <c r="I62" i="73"/>
  <c r="M63" i="73"/>
  <c r="I63" i="73"/>
  <c r="I101" i="73"/>
  <c r="I99" i="73"/>
  <c r="I61" i="73"/>
  <c r="M61" i="73"/>
  <c r="I98" i="73"/>
  <c r="AE56" i="73"/>
  <c r="AI56" i="73" s="1"/>
  <c r="AO56" i="73" s="1"/>
  <c r="AS56" i="73" s="1"/>
  <c r="AW56" i="73" l="1"/>
  <c r="BE56" i="73" s="1"/>
  <c r="AA63" i="73"/>
  <c r="AE63" i="73" s="1"/>
  <c r="AI63" i="73" s="1"/>
  <c r="AO63" i="73" s="1"/>
  <c r="AS63" i="73" s="1"/>
  <c r="Q63" i="73"/>
  <c r="U63" i="73" s="1"/>
  <c r="AA62" i="73"/>
  <c r="AE62" i="73" s="1"/>
  <c r="AI62" i="73" s="1"/>
  <c r="AO62" i="73" s="1"/>
  <c r="AS62" i="73" s="1"/>
  <c r="Q62" i="73"/>
  <c r="U62" i="73" s="1"/>
  <c r="AA61" i="73"/>
  <c r="AE61" i="73" s="1"/>
  <c r="AI61" i="73" s="1"/>
  <c r="AO61" i="73" s="1"/>
  <c r="AS61" i="73" s="1"/>
  <c r="Q61" i="73"/>
  <c r="U61" i="73" s="1"/>
  <c r="AA183" i="73"/>
  <c r="AE183" i="73" s="1"/>
  <c r="AI183" i="73" s="1"/>
  <c r="AO183" i="73" s="1"/>
  <c r="AS183" i="73" s="1"/>
  <c r="AA181" i="73"/>
  <c r="AE181" i="73" s="1"/>
  <c r="AI181" i="73" s="1"/>
  <c r="AO181" i="73" s="1"/>
  <c r="AS181" i="73" s="1"/>
  <c r="AA184" i="73"/>
  <c r="AE184" i="73" s="1"/>
  <c r="AI184" i="73" s="1"/>
  <c r="AO184" i="73" s="1"/>
  <c r="AS184" i="73" s="1"/>
  <c r="AA179" i="73"/>
  <c r="AE179" i="73" s="1"/>
  <c r="AI179" i="73" s="1"/>
  <c r="AO179" i="73" s="1"/>
  <c r="AS179" i="73" s="1"/>
  <c r="AA185" i="73"/>
  <c r="AE185" i="73" s="1"/>
  <c r="AI185" i="73" s="1"/>
  <c r="AO185" i="73" s="1"/>
  <c r="AS185" i="73" s="1"/>
  <c r="AA178" i="73"/>
  <c r="AE178" i="73" s="1"/>
  <c r="AI178" i="73" s="1"/>
  <c r="AO178" i="73" s="1"/>
  <c r="AS178" i="73" s="1"/>
  <c r="AA180" i="73"/>
  <c r="AE180" i="73" s="1"/>
  <c r="AI180" i="73" s="1"/>
  <c r="AO180" i="73" s="1"/>
  <c r="AS180" i="73" s="1"/>
  <c r="Z31" i="36"/>
  <c r="AW61" i="73" l="1"/>
  <c r="BE61" i="73" s="1"/>
  <c r="AW62" i="73"/>
  <c r="BE62" i="73" s="1"/>
  <c r="AW63" i="73"/>
  <c r="BE63" i="73" s="1"/>
  <c r="AW185" i="73"/>
  <c r="BE185" i="73" s="1"/>
  <c r="AW181" i="73"/>
  <c r="BE181" i="73" s="1"/>
  <c r="AW178" i="73"/>
  <c r="BE178" i="73" s="1"/>
  <c r="AW179" i="73"/>
  <c r="BE179" i="73" s="1"/>
  <c r="AW184" i="73"/>
  <c r="BE184" i="73" s="1"/>
  <c r="AW180" i="73"/>
  <c r="BE180" i="73" s="1"/>
  <c r="AW183" i="73"/>
  <c r="BE183" i="73" s="1"/>
  <c r="U37" i="72"/>
  <c r="U30" i="72"/>
  <c r="U14" i="72"/>
  <c r="AQ92" i="90"/>
  <c r="AK92" i="90"/>
  <c r="AM92" i="90" s="1"/>
  <c r="O92" i="90"/>
  <c r="M125" i="50" l="1"/>
  <c r="W92" i="90"/>
  <c r="Y92" i="90" s="1"/>
  <c r="O91" i="90"/>
  <c r="Q125" i="50"/>
  <c r="AK91" i="90"/>
  <c r="I126" i="50"/>
  <c r="AU93" i="90"/>
  <c r="AW126" i="50"/>
  <c r="M126" i="50"/>
  <c r="W91" i="90"/>
  <c r="Y125" i="50"/>
  <c r="O93" i="90"/>
  <c r="Q126" i="50"/>
  <c r="AS125" i="50"/>
  <c r="AQ91" i="90"/>
  <c r="AU91" i="90"/>
  <c r="AW125" i="50"/>
  <c r="W93" i="90"/>
  <c r="Y126" i="50"/>
  <c r="AY92" i="90"/>
  <c r="AY91" i="90"/>
  <c r="BA125" i="50"/>
  <c r="AK93" i="90"/>
  <c r="AM93" i="90" s="1"/>
  <c r="I125" i="50"/>
  <c r="AY93" i="90"/>
  <c r="BA126" i="50"/>
  <c r="AU92" i="90"/>
  <c r="G126" i="50"/>
  <c r="G125" i="50"/>
  <c r="AS126" i="50"/>
  <c r="AQ93" i="90"/>
  <c r="AM126" i="50"/>
  <c r="AM125" i="50"/>
  <c r="M98" i="50"/>
  <c r="M99" i="50" s="1"/>
  <c r="M100" i="50" s="1"/>
  <c r="I98" i="50"/>
  <c r="I99" i="50" s="1"/>
  <c r="I100" i="50" s="1"/>
  <c r="U39" i="72"/>
  <c r="U41" i="72" s="1"/>
  <c r="BC126" i="50" l="1"/>
  <c r="AW128" i="50"/>
  <c r="AW129" i="50" s="1"/>
  <c r="Y128" i="50"/>
  <c r="Y129" i="50" s="1"/>
  <c r="G94" i="90"/>
  <c r="G101" i="90" s="1"/>
  <c r="G107" i="90" s="1"/>
  <c r="AA125" i="50"/>
  <c r="K125" i="50"/>
  <c r="O125" i="50"/>
  <c r="AU94" i="90"/>
  <c r="AU101" i="90" s="1"/>
  <c r="O126" i="50"/>
  <c r="K126" i="50"/>
  <c r="AQ94" i="90"/>
  <c r="AQ101" i="90" s="1"/>
  <c r="BC125" i="50"/>
  <c r="BA91" i="90"/>
  <c r="AY94" i="90"/>
  <c r="AA126" i="50"/>
  <c r="AM91" i="90"/>
  <c r="AK94" i="90"/>
  <c r="BA92" i="90"/>
  <c r="BC92" i="90" s="1"/>
  <c r="BA128" i="50"/>
  <c r="BA129" i="50" s="1"/>
  <c r="O94" i="90"/>
  <c r="O101" i="90" s="1"/>
  <c r="BA93" i="90"/>
  <c r="BC93" i="90" s="1"/>
  <c r="Y93" i="90"/>
  <c r="Y91" i="90"/>
  <c r="W94" i="90"/>
  <c r="K94" i="90"/>
  <c r="K101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90" i="90"/>
  <c r="I90" i="90"/>
  <c r="AA90" i="90"/>
  <c r="BE90" i="90" s="1"/>
  <c r="U90" i="90"/>
  <c r="AO90" i="90"/>
  <c r="AS90" i="90" s="1"/>
  <c r="AW90" i="90" s="1"/>
  <c r="Q90" i="90"/>
  <c r="AE90" i="90"/>
  <c r="AI90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93" i="90"/>
  <c r="M93" i="90"/>
  <c r="I93" i="90"/>
  <c r="AE93" i="90"/>
  <c r="AO93" i="90"/>
  <c r="AS93" i="90" s="1"/>
  <c r="AW93" i="90" s="1"/>
  <c r="U93" i="90"/>
  <c r="Q93" i="90"/>
  <c r="AI93" i="90"/>
  <c r="AA86" i="90"/>
  <c r="BE86" i="90" s="1"/>
  <c r="I86" i="90"/>
  <c r="M86" i="90"/>
  <c r="U86" i="90"/>
  <c r="Q86" i="90"/>
  <c r="AI86" i="90"/>
  <c r="AE86" i="90"/>
  <c r="AO86" i="90"/>
  <c r="AS86" i="90" s="1"/>
  <c r="AW86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M91" i="90"/>
  <c r="I91" i="90"/>
  <c r="AA91" i="90"/>
  <c r="AI91" i="90"/>
  <c r="AO91" i="90"/>
  <c r="AS91" i="90" s="1"/>
  <c r="AW91" i="90" s="1"/>
  <c r="AE91" i="90"/>
  <c r="U91" i="90"/>
  <c r="Q91" i="90"/>
  <c r="AA85" i="90"/>
  <c r="BE85" i="90" s="1"/>
  <c r="I85" i="90"/>
  <c r="U85" i="90"/>
  <c r="Q85" i="90"/>
  <c r="M85" i="90"/>
  <c r="AE85" i="90"/>
  <c r="AO85" i="90"/>
  <c r="AS85" i="90" s="1"/>
  <c r="AW85" i="90" s="1"/>
  <c r="AI85" i="90"/>
  <c r="AA92" i="90"/>
  <c r="M92" i="90"/>
  <c r="I92" i="90"/>
  <c r="AI92" i="90"/>
  <c r="AE92" i="90"/>
  <c r="AO92" i="90"/>
  <c r="AS92" i="90" s="1"/>
  <c r="AW92" i="90" s="1"/>
  <c r="Q92" i="90"/>
  <c r="U92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I87" i="90"/>
  <c r="AA87" i="90"/>
  <c r="BE87" i="90" s="1"/>
  <c r="M87" i="90"/>
  <c r="Q87" i="90"/>
  <c r="U87" i="90"/>
  <c r="AO87" i="90"/>
  <c r="AS87" i="90" s="1"/>
  <c r="AW87" i="90" s="1"/>
  <c r="AI87" i="90"/>
  <c r="AE87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I88" i="90"/>
  <c r="AI88" i="90"/>
  <c r="AA88" i="90"/>
  <c r="BE88" i="90" s="1"/>
  <c r="M88" i="90"/>
  <c r="AO88" i="90"/>
  <c r="AS88" i="90" s="1"/>
  <c r="AW88" i="90" s="1"/>
  <c r="Q88" i="90"/>
  <c r="AE88" i="90"/>
  <c r="U88" i="90"/>
  <c r="I89" i="90"/>
  <c r="M89" i="90"/>
  <c r="AA89" i="90"/>
  <c r="BE89" i="90" s="1"/>
  <c r="Q89" i="90"/>
  <c r="AE89" i="90"/>
  <c r="AO89" i="90"/>
  <c r="AS89" i="90" s="1"/>
  <c r="AW89" i="90" s="1"/>
  <c r="AI89" i="90"/>
  <c r="U89" i="90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28" i="50"/>
  <c r="AO126" i="50"/>
  <c r="BE126" i="50" s="1"/>
  <c r="AM128" i="50"/>
  <c r="AO125" i="50"/>
  <c r="I128" i="50"/>
  <c r="I129" i="50" s="1"/>
  <c r="E94" i="90"/>
  <c r="M128" i="50"/>
  <c r="M129" i="50" s="1"/>
  <c r="Z99" i="50"/>
  <c r="Z100" i="50" s="1"/>
  <c r="AA98" i="50"/>
  <c r="AG98" i="50" s="1"/>
  <c r="AA96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93" i="90" l="1"/>
  <c r="BE92" i="90"/>
  <c r="G132" i="90"/>
  <c r="G135" i="90" s="1"/>
  <c r="BC128" i="50"/>
  <c r="BC129" i="50" s="1"/>
  <c r="BC91" i="90"/>
  <c r="BE125" i="50"/>
  <c r="BA94" i="90"/>
  <c r="AY101" i="90"/>
  <c r="K107" i="90"/>
  <c r="K132" i="90"/>
  <c r="K135" i="90" s="1"/>
  <c r="W101" i="90"/>
  <c r="Y94" i="90"/>
  <c r="AS129" i="50"/>
  <c r="AQ107" i="90"/>
  <c r="AQ132" i="90"/>
  <c r="AQ135" i="90" s="1"/>
  <c r="O107" i="90"/>
  <c r="O132" i="90"/>
  <c r="O135" i="90" s="1"/>
  <c r="AC126" i="50"/>
  <c r="AG126" i="50" s="1"/>
  <c r="AK126" i="50" s="1"/>
  <c r="AQ126" i="50" s="1"/>
  <c r="AU126" i="50" s="1"/>
  <c r="AY126" i="50" s="1"/>
  <c r="BG126" i="50" s="1"/>
  <c r="S126" i="50"/>
  <c r="W126" i="50" s="1"/>
  <c r="AK101" i="90"/>
  <c r="AM94" i="90"/>
  <c r="AU107" i="90"/>
  <c r="AU132" i="90"/>
  <c r="AU135" i="90" s="1"/>
  <c r="BE91" i="90"/>
  <c r="S125" i="50"/>
  <c r="W125" i="50" s="1"/>
  <c r="AC125" i="50"/>
  <c r="AG125" i="50" s="1"/>
  <c r="AK125" i="50" s="1"/>
  <c r="AQ125" i="50" s="1"/>
  <c r="AU125" i="50" s="1"/>
  <c r="AY125" i="50" s="1"/>
  <c r="BG125" i="50" s="1"/>
  <c r="AA94" i="90"/>
  <c r="M94" i="90"/>
  <c r="I94" i="90"/>
  <c r="AO94" i="90"/>
  <c r="AS94" i="90" s="1"/>
  <c r="AW94" i="90" s="1"/>
  <c r="Q94" i="90"/>
  <c r="AI94" i="90"/>
  <c r="U94" i="90"/>
  <c r="AE94" i="90"/>
  <c r="AM129" i="50"/>
  <c r="AO128" i="50"/>
  <c r="X189" i="10"/>
  <c r="X192" i="10"/>
  <c r="X39" i="35" s="1"/>
  <c r="AA97" i="50"/>
  <c r="BC94" i="90" l="1"/>
  <c r="BE94" i="90"/>
  <c r="W107" i="90"/>
  <c r="W132" i="90"/>
  <c r="Y101" i="90"/>
  <c r="Y107" i="90" s="1"/>
  <c r="AK107" i="90"/>
  <c r="AK132" i="90"/>
  <c r="AM101" i="90"/>
  <c r="AM107" i="90" s="1"/>
  <c r="AY107" i="90"/>
  <c r="AY132" i="90"/>
  <c r="BA101" i="90"/>
  <c r="AO129" i="50"/>
  <c r="BE128" i="50"/>
  <c r="BE129" i="50" s="1"/>
  <c r="Z39" i="35"/>
  <c r="X154" i="10"/>
  <c r="X155" i="10" s="1"/>
  <c r="X193" i="10"/>
  <c r="X40" i="35" s="1"/>
  <c r="Z40" i="35" s="1"/>
  <c r="AA99" i="50"/>
  <c r="AA100" i="50" s="1"/>
  <c r="AG97" i="50"/>
  <c r="BA107" i="90" l="1"/>
  <c r="BC101" i="90"/>
  <c r="BC107" i="90" s="1"/>
  <c r="AY135" i="90"/>
  <c r="BA132" i="90"/>
  <c r="W135" i="90"/>
  <c r="Y132" i="90"/>
  <c r="Y135" i="90" s="1"/>
  <c r="AK135" i="90"/>
  <c r="AM132" i="90"/>
  <c r="AM135" i="90" s="1"/>
  <c r="X47" i="35"/>
  <c r="Z47" i="35"/>
  <c r="Y13" i="49"/>
  <c r="BA135" i="90" l="1"/>
  <c r="BC132" i="90"/>
  <c r="BC135" i="90" s="1"/>
  <c r="AB92" i="8"/>
  <c r="Z92" i="8"/>
  <c r="Y72" i="8" l="1"/>
  <c r="M51" i="8"/>
  <c r="P42" i="59" s="1"/>
  <c r="X182" i="10" l="1"/>
  <c r="X180" i="10"/>
  <c r="X181" i="10"/>
  <c r="Z70" i="59" l="1"/>
  <c r="Z66" i="59"/>
  <c r="X184" i="10"/>
  <c r="X183" i="10" l="1"/>
  <c r="T7" i="85"/>
  <c r="W6" i="49"/>
  <c r="X10" i="49" l="1"/>
  <c r="X12" i="49" s="1"/>
  <c r="X14" i="49" s="1"/>
  <c r="W8" i="49"/>
  <c r="X185" i="10"/>
  <c r="X187" i="10"/>
  <c r="W9" i="49"/>
  <c r="W17" i="49"/>
  <c r="W131" i="26"/>
  <c r="V131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73" i="26"/>
  <c r="V168" i="26"/>
  <c r="Z48" i="6"/>
  <c r="Z54" i="6"/>
  <c r="W15" i="49" l="1"/>
  <c r="Y14" i="49"/>
  <c r="X16" i="49"/>
  <c r="V172" i="26"/>
  <c r="V165" i="26"/>
  <c r="X19" i="49" l="1"/>
  <c r="W16" i="49"/>
  <c r="Y15" i="49"/>
  <c r="X93" i="50"/>
  <c r="X91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L16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W20" i="49" l="1"/>
  <c r="Y19" i="49"/>
  <c r="O54" i="5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L19" i="36"/>
  <c r="O57" i="59" s="1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L10" i="49"/>
  <c r="L12" i="4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L14" i="49"/>
  <c r="N57" i="8"/>
  <c r="N61" i="8" s="1"/>
  <c r="Z57" i="8"/>
  <c r="N63" i="8"/>
  <c r="P10" i="49"/>
  <c r="Z63" i="8"/>
  <c r="Z65" i="8"/>
  <c r="Z67" i="8"/>
  <c r="N67" i="8"/>
  <c r="N65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P12" i="49"/>
  <c r="L15" i="49"/>
  <c r="Q8" i="39"/>
  <c r="P53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P14" i="49"/>
  <c r="Z14" i="49" s="1"/>
  <c r="L16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BF65" i="8" s="1"/>
  <c r="P15" i="49"/>
  <c r="Z15" i="49" s="1"/>
  <c r="L19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P16" i="49"/>
  <c r="Z16" i="49" s="1"/>
  <c r="L20" i="49"/>
  <c r="AH55" i="39" l="1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P19" i="49"/>
  <c r="Z19" i="49" s="1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20" i="49"/>
  <c r="N19" i="22"/>
  <c r="N18" i="22"/>
  <c r="N16" i="22"/>
  <c r="N30" i="22"/>
  <c r="E70" i="8"/>
  <c r="AR37" i="39" l="1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69" i="83"/>
  <c r="AG69" i="83" s="1"/>
  <c r="AQ69" i="83" s="1"/>
  <c r="AU69" i="83" s="1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51" i="83"/>
  <c r="AA53" i="83"/>
  <c r="AA54" i="83"/>
  <c r="AA55" i="83"/>
  <c r="AA59" i="83"/>
  <c r="AA60" i="83"/>
  <c r="AA63" i="83"/>
  <c r="AA64" i="83"/>
  <c r="AA65" i="83"/>
  <c r="AA66" i="83"/>
  <c r="AA50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1" i="83"/>
  <c r="K32" i="83"/>
  <c r="K33" i="83"/>
  <c r="K34" i="83"/>
  <c r="K35" i="83"/>
  <c r="K36" i="83"/>
  <c r="S14" i="85"/>
  <c r="S12" i="85"/>
  <c r="BB22" i="39" l="1"/>
  <c r="BD22" i="39"/>
  <c r="BB51" i="39"/>
  <c r="BD51" i="39"/>
  <c r="AY72" i="83"/>
  <c r="BG72" i="83" s="1"/>
  <c r="AY71" i="83"/>
  <c r="BG71" i="83" s="1"/>
  <c r="AY70" i="83"/>
  <c r="BG70" i="83" s="1"/>
  <c r="AY69" i="83"/>
  <c r="BG69" i="83" s="1"/>
  <c r="AU73" i="83"/>
  <c r="AQ73" i="83"/>
  <c r="BG73" i="83" s="1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3" i="83"/>
  <c r="AA36" i="83"/>
  <c r="AA18" i="83"/>
  <c r="AA33" i="83"/>
  <c r="AA27" i="83"/>
  <c r="AA16" i="83"/>
  <c r="AA10" i="83"/>
  <c r="AA6" i="83"/>
  <c r="AA67" i="83"/>
  <c r="AA32" i="83"/>
  <c r="D53" i="36"/>
  <c r="F52" i="36"/>
  <c r="G52" i="36" s="1"/>
  <c r="E53" i="36"/>
  <c r="F45" i="36"/>
  <c r="AY73" i="83" l="1"/>
  <c r="F53" i="36"/>
  <c r="Q4" i="50" l="1"/>
  <c r="Q38" i="50" s="1"/>
  <c r="U4" i="50"/>
  <c r="U38" i="50" s="1"/>
  <c r="U104" i="50" l="1"/>
  <c r="U106" i="50" s="1"/>
  <c r="U111" i="50" s="1"/>
  <c r="T154" i="10"/>
  <c r="T155" i="10" s="1"/>
  <c r="AA4" i="50"/>
  <c r="AA38" i="50" s="1"/>
  <c r="T99" i="50"/>
  <c r="T100" i="50" s="1"/>
  <c r="S13" i="61" l="1"/>
  <c r="W13" i="61" s="1"/>
  <c r="AK13" i="61"/>
  <c r="AQ13" i="61" s="1"/>
  <c r="AU13" i="61" s="1"/>
  <c r="AY13" i="61" s="1"/>
  <c r="S14" i="61"/>
  <c r="W14" i="61" s="1"/>
  <c r="AG14" i="61"/>
  <c r="AK14" i="61" s="1"/>
  <c r="AQ14" i="61" s="1"/>
  <c r="AU14" i="61" s="1"/>
  <c r="AY14" i="61" s="1"/>
  <c r="S12" i="61"/>
  <c r="W12" i="61" s="1"/>
  <c r="AK12" i="61"/>
  <c r="AQ12" i="61" s="1"/>
  <c r="AU12" i="61" s="1"/>
  <c r="AY12" i="61" s="1"/>
  <c r="BG12" i="61" s="1"/>
  <c r="S11" i="61"/>
  <c r="U105" i="50"/>
  <c r="AK11" i="61" l="1"/>
  <c r="AQ11" i="61" s="1"/>
  <c r="AU11" i="61" s="1"/>
  <c r="AY11" i="61" s="1"/>
  <c r="BG11" i="61" s="1"/>
  <c r="W11" i="61"/>
  <c r="Z351" i="28"/>
  <c r="AB351" i="28" s="1"/>
  <c r="AF351" i="28" l="1"/>
  <c r="AJ351" i="28" l="1"/>
  <c r="AT45" i="11"/>
  <c r="G89" i="45"/>
  <c r="Q117" i="50"/>
  <c r="U117" i="50"/>
  <c r="G91" i="45" l="1"/>
  <c r="AX45" i="11"/>
  <c r="BF45" i="11" s="1"/>
  <c r="AP351" i="28"/>
  <c r="AA117" i="50"/>
  <c r="AT44" i="11"/>
  <c r="AX44" i="11" l="1"/>
  <c r="BF44" i="11" s="1"/>
  <c r="AT351" i="28"/>
  <c r="BF137" i="10"/>
  <c r="Z152" i="10"/>
  <c r="AG76" i="45"/>
  <c r="AK76" i="45" s="1"/>
  <c r="AX351" i="28" l="1"/>
  <c r="BF351" i="28" s="1"/>
  <c r="AQ76" i="45"/>
  <c r="AU76" i="45" s="1"/>
  <c r="AY76" i="45" s="1"/>
  <c r="BG76" i="45" s="1"/>
  <c r="AK90" i="45"/>
  <c r="AG90" i="45"/>
  <c r="AG118" i="45" l="1"/>
  <c r="AY90" i="45"/>
  <c r="AY127" i="45" s="1"/>
  <c r="AY118" i="45"/>
  <c r="AK118" i="45"/>
  <c r="AK127" i="45"/>
  <c r="AG127" i="45"/>
  <c r="AQ90" i="45" l="1"/>
  <c r="AQ127" i="45" l="1"/>
  <c r="AQ118" i="45"/>
  <c r="AU90" i="45"/>
  <c r="BG90" i="45" l="1"/>
  <c r="AU127" i="45"/>
  <c r="AU118" i="45"/>
  <c r="BG127" i="45" l="1"/>
  <c r="BG118" i="45"/>
  <c r="Z108" i="9"/>
  <c r="Z107" i="9"/>
  <c r="Z64" i="9" l="1"/>
  <c r="P15" i="52" l="1"/>
  <c r="O15" i="52"/>
  <c r="S15" i="52"/>
  <c r="T15" i="52"/>
  <c r="T8" i="52"/>
  <c r="S8" i="52"/>
  <c r="U40" i="50"/>
  <c r="U41" i="50"/>
  <c r="U42" i="50"/>
  <c r="U43" i="50"/>
  <c r="U44" i="50"/>
  <c r="U45" i="50"/>
  <c r="U39" i="50"/>
  <c r="V99" i="50"/>
  <c r="V100" i="50" s="1"/>
  <c r="U97" i="50"/>
  <c r="W97" i="50" s="1"/>
  <c r="U96" i="50"/>
  <c r="U46" i="50" l="1"/>
  <c r="U90" i="50" s="1"/>
  <c r="U118" i="50"/>
  <c r="U119" i="50" s="1"/>
  <c r="S16" i="52"/>
  <c r="T16" i="52"/>
  <c r="W96" i="50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A16" i="17"/>
  <c r="U114" i="50" l="1"/>
  <c r="U115" i="50" s="1"/>
  <c r="Y30" i="15"/>
  <c r="R14" i="15"/>
  <c r="R15" i="15" s="1"/>
  <c r="V66" i="59"/>
  <c r="S31" i="15"/>
  <c r="R12" i="15"/>
  <c r="E81" i="8"/>
  <c r="H52" i="59" s="1"/>
  <c r="Q80" i="8"/>
  <c r="S35" i="15" l="1"/>
  <c r="S15" i="15" s="1"/>
  <c r="S16" i="15" s="1"/>
  <c r="S11" i="15" l="1"/>
  <c r="F15" i="35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V54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S12" i="15"/>
  <c r="S13" i="15" s="1"/>
  <c r="N54" i="6"/>
  <c r="N55" i="6"/>
  <c r="N56" i="6"/>
  <c r="R56" i="6" s="1"/>
  <c r="V56" i="6" s="1"/>
  <c r="N51" i="6"/>
  <c r="AX53" i="6" l="1"/>
  <c r="BF53" i="6" s="1"/>
  <c r="V48" i="6"/>
  <c r="V51" i="6"/>
  <c r="AX47" i="6"/>
  <c r="BF47" i="6" s="1"/>
  <c r="V45" i="6"/>
  <c r="T77" i="83"/>
  <c r="T93" i="50"/>
  <c r="T91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AA92" i="7"/>
  <c r="AD34" i="59" s="1"/>
  <c r="AB34" i="59"/>
  <c r="I13" i="7"/>
  <c r="AE34" i="39" l="1"/>
  <c r="BF46" i="6"/>
  <c r="BF48" i="6" s="1"/>
  <c r="BF49" i="6"/>
  <c r="BF51" i="6" s="1"/>
  <c r="BF52" i="6"/>
  <c r="BF54" i="6" s="1"/>
  <c r="AT57" i="6"/>
  <c r="O35" i="83"/>
  <c r="AI34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5" i="83"/>
  <c r="AU35" i="83" s="1"/>
  <c r="V147" i="9"/>
  <c r="Q13" i="7"/>
  <c r="U13" i="7" s="1"/>
  <c r="AA13" i="7"/>
  <c r="AE13" i="7" s="1"/>
  <c r="AA44" i="83"/>
  <c r="AA45" i="83"/>
  <c r="AA49" i="83" s="1"/>
  <c r="R13" i="7"/>
  <c r="V13" i="7" s="1"/>
  <c r="F147" i="9"/>
  <c r="F148" i="9" s="1"/>
  <c r="N147" i="9"/>
  <c r="R147" i="9"/>
  <c r="AI13" i="7" l="1"/>
  <c r="AO13" i="7" s="1"/>
  <c r="AS13" i="7" s="1"/>
  <c r="AS34" i="39"/>
  <c r="AY35" i="83"/>
  <c r="BG35" i="83" s="1"/>
  <c r="R99" i="50"/>
  <c r="R100" i="50" s="1"/>
  <c r="P99" i="50"/>
  <c r="P100" i="50" s="1"/>
  <c r="N99" i="50"/>
  <c r="N100" i="50" s="1"/>
  <c r="L99" i="50"/>
  <c r="L100" i="50" s="1"/>
  <c r="J99" i="50"/>
  <c r="J100" i="50" s="1"/>
  <c r="AW13" i="7" l="1"/>
  <c r="BE13" i="7" s="1"/>
  <c r="AW34" i="39"/>
  <c r="BF132" i="10"/>
  <c r="AA24" i="83"/>
  <c r="AA30" i="83"/>
  <c r="AA28" i="83"/>
  <c r="AA34" i="83"/>
  <c r="BE34" i="39" l="1"/>
  <c r="Z151" i="10"/>
  <c r="Z150" i="10"/>
  <c r="Q110" i="50"/>
  <c r="Q103" i="50"/>
  <c r="Z192" i="10"/>
  <c r="AA37" i="83"/>
  <c r="AA74" i="83"/>
  <c r="Y10" i="17"/>
  <c r="X54" i="26"/>
  <c r="X52" i="26"/>
  <c r="AA103" i="50" l="1"/>
  <c r="AA110" i="50"/>
  <c r="Q104" i="50"/>
  <c r="P154" i="10"/>
  <c r="P155" i="10" s="1"/>
  <c r="Q106" i="50" l="1"/>
  <c r="AA104" i="50"/>
  <c r="AA105" i="50" s="1"/>
  <c r="Q105" i="50"/>
  <c r="Z154" i="10"/>
  <c r="Z155" i="10" s="1"/>
  <c r="AA106" i="50" l="1"/>
  <c r="AA111" i="50" s="1"/>
  <c r="Q111" i="50"/>
  <c r="R92" i="28"/>
  <c r="V92" i="28" s="1"/>
  <c r="R102" i="28"/>
  <c r="V102" i="28" s="1"/>
  <c r="R103" i="28"/>
  <c r="V103" i="28" s="1"/>
  <c r="R276" i="28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96" i="50"/>
  <c r="Q46" i="50" l="1"/>
  <c r="Q90" i="50" s="1"/>
  <c r="AA39" i="50"/>
  <c r="AA46" i="50" s="1"/>
  <c r="AA90" i="50" s="1"/>
  <c r="AB276" i="28"/>
  <c r="AF276" i="28" s="1"/>
  <c r="AJ276" i="28" s="1"/>
  <c r="AP276" i="28" s="1"/>
  <c r="AT276" i="28" s="1"/>
  <c r="V276" i="28"/>
  <c r="Y29" i="15"/>
  <c r="Y24" i="15"/>
  <c r="Y23" i="15"/>
  <c r="Y22" i="15"/>
  <c r="Y21" i="15"/>
  <c r="Y20" i="15"/>
  <c r="Y14" i="15"/>
  <c r="Y10" i="15"/>
  <c r="AX276" i="28" l="1"/>
  <c r="BF276" i="28" s="1"/>
  <c r="Q114" i="50"/>
  <c r="Y28" i="15"/>
  <c r="Q118" i="50"/>
  <c r="X11" i="15"/>
  <c r="Q119" i="50" l="1"/>
  <c r="AA118" i="50"/>
  <c r="Q115" i="50"/>
  <c r="AA114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3" i="11"/>
  <c r="AC40" i="38" l="1"/>
  <c r="AC43" i="38"/>
  <c r="Z70" i="11"/>
  <c r="Y63" i="11"/>
  <c r="AC18" i="38"/>
  <c r="AC16" i="38"/>
  <c r="AC17" i="38" l="1"/>
  <c r="AC49" i="38" s="1"/>
  <c r="Z157" i="10"/>
  <c r="Z164" i="10" l="1"/>
  <c r="Q128" i="50"/>
  <c r="Q129" i="50" s="1"/>
  <c r="Q51" i="8"/>
  <c r="T42" i="59" s="1"/>
  <c r="Q97" i="50" l="1"/>
  <c r="D84" i="8" l="1"/>
  <c r="Q72" i="8" l="1"/>
  <c r="R92" i="8"/>
  <c r="Z37" i="8" l="1"/>
  <c r="Z136" i="6" l="1"/>
  <c r="Y136" i="6"/>
  <c r="Z129" i="6"/>
  <c r="Z128" i="6"/>
  <c r="Z127" i="6"/>
  <c r="Q459" i="28" l="1"/>
  <c r="Q458" i="28"/>
  <c r="Z426" i="28"/>
  <c r="Z372" i="28"/>
  <c r="Y372" i="28"/>
  <c r="Z267" i="28"/>
  <c r="Z266" i="28"/>
  <c r="Y266" i="28"/>
  <c r="Y229" i="28"/>
  <c r="Z212" i="28"/>
  <c r="Z211" i="28"/>
  <c r="Z82" i="28"/>
  <c r="Z81" i="28"/>
  <c r="Z79" i="28"/>
  <c r="Z75" i="28"/>
  <c r="Z71" i="28"/>
  <c r="Z67" i="28"/>
  <c r="Y54" i="28"/>
  <c r="Y53" i="28"/>
  <c r="Y52" i="28"/>
  <c r="Z47" i="28"/>
  <c r="Z40" i="28"/>
  <c r="Z30" i="28"/>
  <c r="Z29" i="28"/>
  <c r="Z26" i="28"/>
  <c r="Z19" i="28"/>
  <c r="Y58" i="73"/>
  <c r="Y34" i="73"/>
  <c r="Y23" i="73"/>
  <c r="Y114" i="73" l="1"/>
  <c r="Z273" i="28"/>
  <c r="Z446" i="28" s="1"/>
  <c r="Z229" i="28"/>
  <c r="Z58" i="28"/>
  <c r="Z12" i="28"/>
  <c r="Z50" i="28"/>
  <c r="Z28" i="28"/>
  <c r="Z54" i="28"/>
  <c r="Z32" i="28"/>
  <c r="AB32" i="28" s="1"/>
  <c r="AF32" i="28" s="1"/>
  <c r="AJ32" i="28" s="1"/>
  <c r="AP32" i="28" s="1"/>
  <c r="AT32" i="28" s="1"/>
  <c r="Z356" i="28"/>
  <c r="Z60" i="28"/>
  <c r="Z53" i="28"/>
  <c r="Z31" i="28"/>
  <c r="Z51" i="28"/>
  <c r="Z83" i="28"/>
  <c r="Z52" i="28"/>
  <c r="Z33" i="28"/>
  <c r="Z59" i="28"/>
  <c r="AX32" i="28" l="1"/>
  <c r="BF32" i="28" s="1"/>
  <c r="Y11" i="15"/>
  <c r="Z213" i="28"/>
  <c r="Z268" i="28"/>
  <c r="Z427" i="28"/>
  <c r="Y12" i="15"/>
  <c r="Y14" i="28"/>
  <c r="Y21" i="28"/>
  <c r="Y7" i="28"/>
  <c r="Z61" i="28"/>
  <c r="T15" i="59"/>
  <c r="Z55" i="28" l="1"/>
  <c r="Y26" i="28"/>
  <c r="X15" i="15"/>
  <c r="X14" i="15"/>
  <c r="Y12" i="28"/>
  <c r="Y267" i="28"/>
  <c r="Y19" i="28"/>
  <c r="Z62" i="28"/>
  <c r="Y60" i="28" l="1"/>
  <c r="Y268" i="28"/>
  <c r="Y59" i="28"/>
  <c r="Y58" i="28"/>
  <c r="Y73" i="28" l="1"/>
  <c r="Y9" i="6"/>
  <c r="Y357" i="28"/>
  <c r="Y213" i="28"/>
  <c r="Y65" i="28"/>
  <c r="Y28" i="28"/>
  <c r="P93" i="50"/>
  <c r="P91" i="50" s="1"/>
  <c r="O51" i="83"/>
  <c r="S51" i="83" s="1"/>
  <c r="O53" i="83"/>
  <c r="S53" i="83" s="1"/>
  <c r="O54" i="83"/>
  <c r="S54" i="83" s="1"/>
  <c r="O55" i="83"/>
  <c r="S55" i="83" s="1"/>
  <c r="O59" i="83"/>
  <c r="S59" i="83" s="1"/>
  <c r="O60" i="83"/>
  <c r="S60" i="83" s="1"/>
  <c r="O63" i="83"/>
  <c r="S63" i="83" s="1"/>
  <c r="O64" i="83"/>
  <c r="O65" i="83"/>
  <c r="Q93" i="50" l="1"/>
  <c r="Q91" i="50" s="1"/>
  <c r="Y69" i="28"/>
  <c r="S65" i="83"/>
  <c r="W65" i="83" s="1"/>
  <c r="AC65" i="83"/>
  <c r="AG65" i="83" s="1"/>
  <c r="AK65" i="83" s="1"/>
  <c r="AQ65" i="83" s="1"/>
  <c r="AU65" i="83" s="1"/>
  <c r="AY65" i="83" s="1"/>
  <c r="BG65" i="83" s="1"/>
  <c r="S64" i="83"/>
  <c r="W64" i="83" s="1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51" i="83"/>
  <c r="AC51" i="83"/>
  <c r="AG51" i="83" s="1"/>
  <c r="AK51" i="83" s="1"/>
  <c r="AQ51" i="83" s="1"/>
  <c r="AU51" i="83" s="1"/>
  <c r="AY51" i="83" s="1"/>
  <c r="BG51" i="83" s="1"/>
  <c r="W63" i="83"/>
  <c r="AC63" i="83"/>
  <c r="AG63" i="83" s="1"/>
  <c r="AK63" i="83" s="1"/>
  <c r="AQ63" i="83" s="1"/>
  <c r="AU63" i="83" s="1"/>
  <c r="AY63" i="83" s="1"/>
  <c r="BG63" i="83" s="1"/>
  <c r="W54" i="83"/>
  <c r="AC54" i="83"/>
  <c r="AG54" i="83" s="1"/>
  <c r="AK54" i="83" s="1"/>
  <c r="AQ54" i="83" s="1"/>
  <c r="AU54" i="83" s="1"/>
  <c r="AY54" i="83" s="1"/>
  <c r="BG54" i="83" s="1"/>
  <c r="W59" i="83"/>
  <c r="AC59" i="83"/>
  <c r="AG59" i="83" s="1"/>
  <c r="AK59" i="83" s="1"/>
  <c r="AQ59" i="83" s="1"/>
  <c r="AU59" i="83" s="1"/>
  <c r="AY59" i="83" s="1"/>
  <c r="BG59" i="83" s="1"/>
  <c r="W60" i="83"/>
  <c r="AC60" i="83"/>
  <c r="AG60" i="83" s="1"/>
  <c r="AK60" i="83" s="1"/>
  <c r="AQ60" i="83" s="1"/>
  <c r="AU60" i="83" s="1"/>
  <c r="AY60" i="83" s="1"/>
  <c r="BG60" i="83" s="1"/>
  <c r="W53" i="83"/>
  <c r="AC53" i="83"/>
  <c r="AG53" i="83" s="1"/>
  <c r="P77" i="83"/>
  <c r="Y33" i="28"/>
  <c r="G138" i="50"/>
  <c r="K138" i="50" l="1"/>
  <c r="O138" i="50"/>
  <c r="AK53" i="83"/>
  <c r="AQ53" i="83" s="1"/>
  <c r="AU53" i="83" s="1"/>
  <c r="AY53" i="83" s="1"/>
  <c r="BG53" i="83" s="1"/>
  <c r="Y50" i="28"/>
  <c r="Y61" i="28"/>
  <c r="Y427" i="28"/>
  <c r="G139" i="50"/>
  <c r="AC138" i="50" l="1"/>
  <c r="AG138" i="50" s="1"/>
  <c r="AK138" i="50" s="1"/>
  <c r="AQ138" i="50" s="1"/>
  <c r="AU138" i="50" s="1"/>
  <c r="AY138" i="50" s="1"/>
  <c r="BG138" i="50" s="1"/>
  <c r="S138" i="50"/>
  <c r="W138" i="50" s="1"/>
  <c r="O139" i="50"/>
  <c r="K139" i="50"/>
  <c r="Y55" i="28"/>
  <c r="Y77" i="28"/>
  <c r="Y62" i="28"/>
  <c r="S139" i="50" l="1"/>
  <c r="W139" i="50" s="1"/>
  <c r="AC139" i="50"/>
  <c r="AG139" i="50" s="1"/>
  <c r="AK139" i="50" s="1"/>
  <c r="AQ139" i="50" s="1"/>
  <c r="AU139" i="50" s="1"/>
  <c r="AY139" i="50" s="1"/>
  <c r="BG139" i="50" s="1"/>
  <c r="Y81" i="28"/>
  <c r="G121" i="50" l="1"/>
  <c r="K121" i="50" l="1"/>
  <c r="O121" i="50"/>
  <c r="G73" i="83"/>
  <c r="O72" i="83"/>
  <c r="K72" i="83"/>
  <c r="S72" i="83" s="1"/>
  <c r="O71" i="83"/>
  <c r="K71" i="83"/>
  <c r="O70" i="83"/>
  <c r="O69" i="83"/>
  <c r="K65" i="83"/>
  <c r="O50" i="83"/>
  <c r="AC50" i="83" s="1"/>
  <c r="AG50" i="83" s="1"/>
  <c r="K50" i="83"/>
  <c r="G45" i="83"/>
  <c r="G49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C121" i="50" l="1"/>
  <c r="AG121" i="50" s="1"/>
  <c r="AK121" i="50" s="1"/>
  <c r="AQ121" i="50" s="1"/>
  <c r="AU121" i="50" s="1"/>
  <c r="AY121" i="50" s="1"/>
  <c r="BG121" i="50" s="1"/>
  <c r="S121" i="50"/>
  <c r="W121" i="50" s="1"/>
  <c r="AK50" i="83"/>
  <c r="S70" i="83"/>
  <c r="W70" i="83" s="1"/>
  <c r="AC70" i="83"/>
  <c r="AK70" i="83" s="1"/>
  <c r="W72" i="83"/>
  <c r="AC72" i="83"/>
  <c r="AK72" i="83" s="1"/>
  <c r="S69" i="83"/>
  <c r="W69" i="83" s="1"/>
  <c r="AC69" i="83"/>
  <c r="AK69" i="83" s="1"/>
  <c r="S71" i="83"/>
  <c r="W71" i="83" s="1"/>
  <c r="AC71" i="83"/>
  <c r="AK71" i="83" s="1"/>
  <c r="S50" i="83"/>
  <c r="K45" i="83"/>
  <c r="K49" i="83" s="1"/>
  <c r="O36" i="83"/>
  <c r="O5" i="83"/>
  <c r="S5" i="83" s="1"/>
  <c r="O17" i="83"/>
  <c r="S17" i="83" s="1"/>
  <c r="O7" i="83"/>
  <c r="S7" i="83" s="1"/>
  <c r="O41" i="83"/>
  <c r="O18" i="83"/>
  <c r="S18" i="83" s="1"/>
  <c r="O38" i="83"/>
  <c r="O42" i="83"/>
  <c r="O10" i="83"/>
  <c r="S10" i="83" s="1"/>
  <c r="O12" i="83"/>
  <c r="S12" i="83" s="1"/>
  <c r="O6" i="83"/>
  <c r="S6" i="83" s="1"/>
  <c r="O15" i="83"/>
  <c r="S15" i="83" s="1"/>
  <c r="K38" i="83"/>
  <c r="K73" i="83"/>
  <c r="O31" i="83"/>
  <c r="O33" i="83"/>
  <c r="O39" i="83"/>
  <c r="O43" i="83"/>
  <c r="O73" i="83"/>
  <c r="AC73" i="83" s="1"/>
  <c r="O8" i="83"/>
  <c r="S8" i="83" s="1"/>
  <c r="O32" i="83"/>
  <c r="O11" i="83"/>
  <c r="S11" i="83" s="1"/>
  <c r="O16" i="83"/>
  <c r="S16" i="83" s="1"/>
  <c r="O34" i="83"/>
  <c r="O45" i="83"/>
  <c r="O49" i="83" s="1"/>
  <c r="O40" i="83"/>
  <c r="G44" i="83"/>
  <c r="AQ50" i="83" l="1"/>
  <c r="AK73" i="83"/>
  <c r="AG73" i="83"/>
  <c r="W73" i="83"/>
  <c r="AC45" i="83"/>
  <c r="S73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0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0" i="83"/>
  <c r="AY50" i="83" s="1"/>
  <c r="BG50" i="83" s="1"/>
  <c r="AQ44" i="83"/>
  <c r="AK44" i="83"/>
  <c r="AG44" i="83"/>
  <c r="AC49" i="83"/>
  <c r="AG45" i="83"/>
  <c r="W44" i="83"/>
  <c r="S44" i="83"/>
  <c r="S49" i="83"/>
  <c r="W45" i="83"/>
  <c r="W49" i="83" s="1"/>
  <c r="N107" i="9"/>
  <c r="AB107" i="9" s="1"/>
  <c r="AF107" i="9" s="1"/>
  <c r="N108" i="9"/>
  <c r="AB108" i="9" s="1"/>
  <c r="AF108" i="9" s="1"/>
  <c r="M133" i="73"/>
  <c r="M132" i="73"/>
  <c r="Q132" i="73" s="1"/>
  <c r="M128" i="73"/>
  <c r="Q128" i="73" s="1"/>
  <c r="M126" i="73"/>
  <c r="M125" i="73"/>
  <c r="M123" i="73"/>
  <c r="M122" i="73"/>
  <c r="M121" i="73"/>
  <c r="M116" i="73"/>
  <c r="Q116" i="73" s="1"/>
  <c r="U116" i="73" s="1"/>
  <c r="M115" i="73"/>
  <c r="Q115" i="73" s="1"/>
  <c r="U115" i="73" s="1"/>
  <c r="M113" i="73"/>
  <c r="Q113" i="73" s="1"/>
  <c r="U113" i="73" s="1"/>
  <c r="M112" i="73"/>
  <c r="Q112" i="73" s="1"/>
  <c r="U112" i="73" s="1"/>
  <c r="M111" i="73"/>
  <c r="M110" i="73"/>
  <c r="Q110" i="73" s="1"/>
  <c r="U110" i="73" s="1"/>
  <c r="M109" i="73"/>
  <c r="Q109" i="73" s="1"/>
  <c r="U109" i="73" s="1"/>
  <c r="M107" i="73"/>
  <c r="Q107" i="73" s="1"/>
  <c r="U107" i="73" s="1"/>
  <c r="M106" i="73"/>
  <c r="Q106" i="73" s="1"/>
  <c r="U106" i="73" s="1"/>
  <c r="M104" i="73"/>
  <c r="Q104" i="73" s="1"/>
  <c r="U104" i="73" s="1"/>
  <c r="M103" i="73"/>
  <c r="Q103" i="73" s="1"/>
  <c r="U103" i="73" s="1"/>
  <c r="M66" i="73"/>
  <c r="Q66" i="73" s="1"/>
  <c r="U66" i="73" s="1"/>
  <c r="M64" i="73"/>
  <c r="Q64" i="73" s="1"/>
  <c r="U64" i="73" s="1"/>
  <c r="M60" i="73"/>
  <c r="Q60" i="73" s="1"/>
  <c r="U60" i="73" s="1"/>
  <c r="M59" i="73"/>
  <c r="M57" i="73"/>
  <c r="M55" i="73"/>
  <c r="M54" i="73"/>
  <c r="Q54" i="73" s="1"/>
  <c r="U54" i="73" s="1"/>
  <c r="M52" i="73"/>
  <c r="M51" i="73"/>
  <c r="M50" i="73"/>
  <c r="M49" i="73"/>
  <c r="Q49" i="73" s="1"/>
  <c r="U49" i="73" s="1"/>
  <c r="M35" i="73"/>
  <c r="Q35" i="73" s="1"/>
  <c r="U35" i="73" s="1"/>
  <c r="M33" i="73"/>
  <c r="M24" i="73"/>
  <c r="Q24" i="73" s="1"/>
  <c r="U24" i="73" s="1"/>
  <c r="AY44" i="83" l="1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Q33" i="73"/>
  <c r="U33" i="73" s="1"/>
  <c r="AA51" i="73"/>
  <c r="AE51" i="73" s="1"/>
  <c r="AI51" i="73" s="1"/>
  <c r="AO51" i="73" s="1"/>
  <c r="AS51" i="73" s="1"/>
  <c r="Q51" i="73"/>
  <c r="U51" i="73" s="1"/>
  <c r="AA52" i="73"/>
  <c r="AE52" i="73" s="1"/>
  <c r="AI52" i="73" s="1"/>
  <c r="AO52" i="73" s="1"/>
  <c r="AS52" i="73" s="1"/>
  <c r="Q52" i="73"/>
  <c r="U52" i="73" s="1"/>
  <c r="AA59" i="73"/>
  <c r="AE59" i="73" s="1"/>
  <c r="AI59" i="73" s="1"/>
  <c r="AO59" i="73" s="1"/>
  <c r="AS59" i="73" s="1"/>
  <c r="Q59" i="73"/>
  <c r="U59" i="73" s="1"/>
  <c r="Q127" i="73"/>
  <c r="U128" i="73"/>
  <c r="U127" i="73" s="1"/>
  <c r="Q131" i="73"/>
  <c r="U132" i="73"/>
  <c r="U131" i="73" s="1"/>
  <c r="AA50" i="73"/>
  <c r="AE50" i="73" s="1"/>
  <c r="AI50" i="73" s="1"/>
  <c r="AO50" i="73" s="1"/>
  <c r="AS50" i="73" s="1"/>
  <c r="Q50" i="73"/>
  <c r="U50" i="73" s="1"/>
  <c r="AA123" i="73"/>
  <c r="Q123" i="73"/>
  <c r="U123" i="73" s="1"/>
  <c r="AA121" i="73"/>
  <c r="Q121" i="73"/>
  <c r="U121" i="73" s="1"/>
  <c r="AA122" i="73"/>
  <c r="Q122" i="73"/>
  <c r="U122" i="73" s="1"/>
  <c r="AA125" i="73"/>
  <c r="Q125" i="73"/>
  <c r="U125" i="73" s="1"/>
  <c r="AA133" i="73"/>
  <c r="Q133" i="73"/>
  <c r="U133" i="73" s="1"/>
  <c r="AA126" i="73"/>
  <c r="Q126" i="73"/>
  <c r="U126" i="73" s="1"/>
  <c r="AA55" i="73"/>
  <c r="AE55" i="73" s="1"/>
  <c r="AI55" i="73" s="1"/>
  <c r="AO55" i="73" s="1"/>
  <c r="AS55" i="73" s="1"/>
  <c r="Q55" i="73"/>
  <c r="U55" i="73" s="1"/>
  <c r="AA57" i="73"/>
  <c r="AE57" i="73" s="1"/>
  <c r="AI57" i="73" s="1"/>
  <c r="AO57" i="73" s="1"/>
  <c r="AS57" i="73" s="1"/>
  <c r="Q57" i="73"/>
  <c r="U57" i="73" s="1"/>
  <c r="AA111" i="73"/>
  <c r="AE111" i="73" s="1"/>
  <c r="AI111" i="73" s="1"/>
  <c r="AO111" i="73" s="1"/>
  <c r="AS111" i="73" s="1"/>
  <c r="Q111" i="73"/>
  <c r="AU44" i="83"/>
  <c r="BG14" i="61"/>
  <c r="BG13" i="61"/>
  <c r="M127" i="73"/>
  <c r="AA127" i="73" s="1"/>
  <c r="AA128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1" i="73"/>
  <c r="AA131" i="73" s="1"/>
  <c r="AA132" i="73"/>
  <c r="AA24" i="73"/>
  <c r="AE24" i="73" s="1"/>
  <c r="AA35" i="73"/>
  <c r="AE35" i="73" s="1"/>
  <c r="AA103" i="73"/>
  <c r="M124" i="73"/>
  <c r="AA124" i="73" s="1"/>
  <c r="AG49" i="83"/>
  <c r="AK45" i="83"/>
  <c r="R108" i="9"/>
  <c r="V108" i="9" s="1"/>
  <c r="R107" i="9"/>
  <c r="V107" i="9" s="1"/>
  <c r="AE33" i="73"/>
  <c r="AI33" i="73" s="1"/>
  <c r="AO33" i="73" s="1"/>
  <c r="AS33" i="73" s="1"/>
  <c r="AW57" i="73" l="1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Q108" i="73"/>
  <c r="U111" i="73"/>
  <c r="U108" i="73" s="1"/>
  <c r="U124" i="73"/>
  <c r="Q124" i="73"/>
  <c r="AK49" i="83"/>
  <c r="AQ45" i="83"/>
  <c r="AE125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49" i="83"/>
  <c r="AU45" i="83"/>
  <c r="AI125" i="73"/>
  <c r="R106" i="9"/>
  <c r="V106" i="9" s="1"/>
  <c r="R105" i="9"/>
  <c r="V105" i="9" s="1"/>
  <c r="AB105" i="9"/>
  <c r="AF105" i="9" s="1"/>
  <c r="AX106" i="9" l="1"/>
  <c r="BF106" i="9" s="1"/>
  <c r="AU49" i="83"/>
  <c r="AY45" i="83"/>
  <c r="BG45" i="83" s="1"/>
  <c r="BG49" i="83" s="1"/>
  <c r="AJ105" i="9"/>
  <c r="AP105" i="9" s="1"/>
  <c r="AT105" i="9" s="1"/>
  <c r="AO125" i="73"/>
  <c r="AS125" i="73" s="1"/>
  <c r="M72" i="8"/>
  <c r="I72" i="8"/>
  <c r="AX105" i="9" l="1"/>
  <c r="BF105" i="9" s="1"/>
  <c r="AY49" i="83"/>
  <c r="AW125" i="73"/>
  <c r="BE125" i="73" l="1"/>
  <c r="M89" i="7"/>
  <c r="L154" i="10" l="1"/>
  <c r="L155" i="10" s="1"/>
  <c r="L15" i="52"/>
  <c r="K15" i="52"/>
  <c r="M11" i="52" l="1"/>
  <c r="Q11" i="52" l="1"/>
  <c r="U11" i="52" s="1"/>
  <c r="AA11" i="52"/>
  <c r="AE11" i="52" s="1"/>
  <c r="AI11" i="52" s="1"/>
  <c r="AO11" i="52" s="1"/>
  <c r="AS11" i="52" l="1"/>
  <c r="AW11" i="52" s="1"/>
  <c r="BE11" i="52" s="1"/>
  <c r="I459" i="28"/>
  <c r="M459" i="28"/>
  <c r="E458" i="28"/>
  <c r="I458" i="28"/>
  <c r="M458" i="28"/>
  <c r="I60" i="73" l="1"/>
  <c r="I30" i="73"/>
  <c r="R40" i="11" l="1"/>
  <c r="V40" i="11" s="1"/>
  <c r="N7" i="10"/>
  <c r="AB7" i="10" l="1"/>
  <c r="R48" i="11"/>
  <c r="V48" i="11" s="1"/>
  <c r="R46" i="11"/>
  <c r="V46" i="11" s="1"/>
  <c r="R43" i="11"/>
  <c r="V43" i="11" s="1"/>
  <c r="R50" i="11"/>
  <c r="V50" i="11" s="1"/>
  <c r="R45" i="11"/>
  <c r="V45" i="11" s="1"/>
  <c r="R49" i="11"/>
  <c r="V49" i="11" s="1"/>
  <c r="R44" i="11"/>
  <c r="V44" i="11" s="1"/>
  <c r="R7" i="10"/>
  <c r="V7" i="10" s="1"/>
  <c r="V192" i="10" s="1"/>
  <c r="V151" i="10" l="1"/>
  <c r="V150" i="10"/>
  <c r="AF7" i="10"/>
  <c r="AJ7" i="10" s="1"/>
  <c r="V193" i="10" l="1"/>
  <c r="V165" i="10"/>
  <c r="AJ151" i="10"/>
  <c r="AJ165" i="10" s="1"/>
  <c r="AJ150" i="10"/>
  <c r="V189" i="10"/>
  <c r="V183" i="10"/>
  <c r="V185" i="10" s="1"/>
  <c r="AP7" i="10"/>
  <c r="AT7" i="10" s="1"/>
  <c r="AX7" i="10" l="1"/>
  <c r="BF7" i="10" s="1"/>
  <c r="BF192" i="10" s="1"/>
  <c r="AJ189" i="10"/>
  <c r="AJ183" i="10"/>
  <c r="AJ185" i="10" s="1"/>
  <c r="AJ170" i="10"/>
  <c r="AJ193" i="10"/>
  <c r="L17" i="36"/>
  <c r="R30" i="8"/>
  <c r="V30" i="8" s="1"/>
  <c r="AX150" i="10" l="1"/>
  <c r="AX192" i="10"/>
  <c r="AX151" i="10"/>
  <c r="AX165" i="10" s="1"/>
  <c r="O55" i="59"/>
  <c r="L18" i="36"/>
  <c r="O56" i="59" s="1"/>
  <c r="R130" i="9"/>
  <c r="V130" i="9" s="1"/>
  <c r="R129" i="9"/>
  <c r="V129" i="9" s="1"/>
  <c r="AX170" i="10" l="1"/>
  <c r="AX193" i="10"/>
  <c r="AX183" i="10"/>
  <c r="AX189" i="10"/>
  <c r="K112" i="7"/>
  <c r="K111" i="7"/>
  <c r="AX185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L15" i="36" l="1"/>
  <c r="O53" i="59" l="1"/>
  <c r="L74" i="8"/>
  <c r="L77" i="83" l="1"/>
  <c r="L93" i="50"/>
  <c r="L91" i="50" s="1"/>
  <c r="G96" i="50"/>
  <c r="K96" i="50" l="1"/>
  <c r="O96" i="50"/>
  <c r="S96" i="50" l="1"/>
  <c r="D110" i="26" l="1"/>
  <c r="D80" i="26"/>
  <c r="D73" i="26"/>
  <c r="D112" i="26"/>
  <c r="D108" i="26"/>
  <c r="F111" i="45" s="1"/>
  <c r="D106" i="26"/>
  <c r="D104" i="26"/>
  <c r="E169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I89" i="26"/>
  <c r="M89" i="26" s="1"/>
  <c r="H91" i="26"/>
  <c r="L91" i="26" s="1"/>
  <c r="I91" i="26"/>
  <c r="M91" i="26" s="1"/>
  <c r="I93" i="26"/>
  <c r="I87" i="26"/>
  <c r="M87" i="26" s="1"/>
  <c r="Q87" i="26" s="1"/>
  <c r="U87" i="26" s="1"/>
  <c r="H87" i="26"/>
  <c r="L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69" i="10"/>
  <c r="G111" i="45"/>
  <c r="AW89" i="26" l="1"/>
  <c r="BE89" i="26" s="1"/>
  <c r="BF74" i="11" s="1"/>
  <c r="AW91" i="26"/>
  <c r="BE91" i="26" s="1"/>
  <c r="BF168" i="10" s="1"/>
  <c r="AV53" i="26"/>
  <c r="BD53" i="26" s="1"/>
  <c r="O25" i="83"/>
  <c r="H54" i="26"/>
  <c r="L54" i="26" s="1"/>
  <c r="P54" i="26" l="1"/>
  <c r="T54" i="26" s="1"/>
  <c r="Z54" i="26"/>
  <c r="AD54" i="26" s="1"/>
  <c r="S25" i="83"/>
  <c r="W25" i="83" s="1"/>
  <c r="AC25" i="83"/>
  <c r="AG25" i="83" s="1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R411" i="28"/>
  <c r="V411" i="28" s="1"/>
  <c r="H15" i="52"/>
  <c r="G15" i="52"/>
  <c r="N11" i="52"/>
  <c r="R11" i="52" l="1"/>
  <c r="V11" i="52" s="1"/>
  <c r="AB11" i="52"/>
  <c r="AF11" i="52" s="1"/>
  <c r="AJ11" i="52" s="1"/>
  <c r="AP11" i="52" s="1"/>
  <c r="AT11" i="52" s="1"/>
  <c r="AX11" i="52" s="1"/>
  <c r="BF11" i="52" s="1"/>
  <c r="J1" i="35"/>
  <c r="I1" i="35"/>
  <c r="I194" i="73" l="1"/>
  <c r="F58" i="73"/>
  <c r="F117" i="73" s="1"/>
  <c r="H58" i="73"/>
  <c r="E58" i="73"/>
  <c r="I50" i="73"/>
  <c r="H117" i="73" l="1"/>
  <c r="M58" i="73"/>
  <c r="Q58" i="73" s="1"/>
  <c r="U58" i="73" s="1"/>
  <c r="I58" i="73"/>
  <c r="AA58" i="73" l="1"/>
  <c r="N185" i="28" l="1"/>
  <c r="R185" i="28" l="1"/>
  <c r="V185" i="28" s="1"/>
  <c r="AB185" i="28"/>
  <c r="AF185" i="28" s="1"/>
  <c r="R97" i="28"/>
  <c r="V97" i="28" s="1"/>
  <c r="R98" i="28"/>
  <c r="V98" i="28" s="1"/>
  <c r="AJ185" i="28" l="1"/>
  <c r="J10" i="52"/>
  <c r="J11" i="52"/>
  <c r="J12" i="52"/>
  <c r="J13" i="52"/>
  <c r="J14" i="52"/>
  <c r="I10" i="52"/>
  <c r="I11" i="52"/>
  <c r="I12" i="52"/>
  <c r="I13" i="52"/>
  <c r="I14" i="52"/>
  <c r="AP185" i="28" l="1"/>
  <c r="AT185" i="28" l="1"/>
  <c r="J192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J378" i="28" l="1"/>
  <c r="J379" i="28"/>
  <c r="J380" i="28"/>
  <c r="J381" i="28"/>
  <c r="J377" i="28"/>
  <c r="J358" i="28"/>
  <c r="J359" i="28"/>
  <c r="J264" i="28"/>
  <c r="J265" i="28"/>
  <c r="J269" i="28"/>
  <c r="J270" i="28"/>
  <c r="J271" i="28"/>
  <c r="J272" i="28"/>
  <c r="J232" i="28"/>
  <c r="J216" i="28"/>
  <c r="J227" i="28"/>
  <c r="J228" i="28"/>
  <c r="J78" i="28"/>
  <c r="J77" i="28"/>
  <c r="J74" i="28"/>
  <c r="J73" i="28"/>
  <c r="J70" i="28"/>
  <c r="J69" i="28"/>
  <c r="J66" i="28"/>
  <c r="J65" i="28"/>
  <c r="J43" i="28"/>
  <c r="J44" i="28"/>
  <c r="J45" i="28"/>
  <c r="J46" i="28"/>
  <c r="R46" i="28" s="1"/>
  <c r="V46" i="28" s="1"/>
  <c r="J42" i="28"/>
  <c r="R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I32" i="28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J8" i="28"/>
  <c r="N8" i="28" s="1"/>
  <c r="R8" i="28" s="1"/>
  <c r="J9" i="28"/>
  <c r="N9" i="28" s="1"/>
  <c r="R9" i="28" s="1"/>
  <c r="V9" i="28" s="1"/>
  <c r="J10" i="28"/>
  <c r="N10" i="28" s="1"/>
  <c r="R10" i="28" s="1"/>
  <c r="J11" i="28"/>
  <c r="N11" i="28" s="1"/>
  <c r="R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B8" i="28"/>
  <c r="AF8" i="28" s="1"/>
  <c r="AJ8" i="28" s="1"/>
  <c r="AP8" i="28" s="1"/>
  <c r="AT8" i="28" s="1"/>
  <c r="V8" i="28"/>
  <c r="AB21" i="28"/>
  <c r="AF21" i="28" s="1"/>
  <c r="AJ21" i="28" s="1"/>
  <c r="AP21" i="28" s="1"/>
  <c r="AT21" i="28" s="1"/>
  <c r="V21" i="28"/>
  <c r="AB14" i="28"/>
  <c r="AF14" i="28" s="1"/>
  <c r="AJ14" i="28" s="1"/>
  <c r="AP14" i="28" s="1"/>
  <c r="AT14" i="28" s="1"/>
  <c r="V14" i="28"/>
  <c r="AB10" i="28"/>
  <c r="AF10" i="28" s="1"/>
  <c r="AJ10" i="28" s="1"/>
  <c r="AP10" i="28" s="1"/>
  <c r="AT10" i="28" s="1"/>
  <c r="V10" i="28"/>
  <c r="AB42" i="28"/>
  <c r="AF42" i="28" s="1"/>
  <c r="V42" i="28"/>
  <c r="AB11" i="28"/>
  <c r="AF11" i="28" s="1"/>
  <c r="AJ11" i="28" s="1"/>
  <c r="AP11" i="28" s="1"/>
  <c r="AT11" i="28" s="1"/>
  <c r="V11" i="28"/>
  <c r="AB9" i="28"/>
  <c r="AF9" i="28" s="1"/>
  <c r="AJ9" i="28" s="1"/>
  <c r="AP9" i="28" s="1"/>
  <c r="AT9" i="28" s="1"/>
  <c r="R38" i="28"/>
  <c r="V38" i="28" s="1"/>
  <c r="R65" i="28"/>
  <c r="R73" i="28"/>
  <c r="V73" i="28" s="1"/>
  <c r="R86" i="28"/>
  <c r="R100" i="28"/>
  <c r="V100" i="28" s="1"/>
  <c r="R94" i="28"/>
  <c r="V94" i="28" s="1"/>
  <c r="R272" i="28"/>
  <c r="V272" i="28" s="1"/>
  <c r="R425" i="28"/>
  <c r="V425" i="28" s="1"/>
  <c r="R420" i="28"/>
  <c r="V420" i="28" s="1"/>
  <c r="R17" i="28"/>
  <c r="V17" i="28" s="1"/>
  <c r="Q25" i="28"/>
  <c r="R45" i="28"/>
  <c r="V45" i="28" s="1"/>
  <c r="R66" i="28"/>
  <c r="V66" i="28" s="1"/>
  <c r="R74" i="28"/>
  <c r="V74" i="28" s="1"/>
  <c r="R210" i="28"/>
  <c r="V210" i="28" s="1"/>
  <c r="R99" i="28"/>
  <c r="V99" i="28" s="1"/>
  <c r="R91" i="28"/>
  <c r="V91" i="28" s="1"/>
  <c r="R271" i="28"/>
  <c r="V271" i="28" s="1"/>
  <c r="R424" i="28"/>
  <c r="V424" i="28" s="1"/>
  <c r="R419" i="28"/>
  <c r="V419" i="28" s="1"/>
  <c r="Q10" i="28"/>
  <c r="Q24" i="28"/>
  <c r="AA17" i="28"/>
  <c r="AE17" i="28" s="1"/>
  <c r="AI17" i="28" s="1"/>
  <c r="AO17" i="28" s="1"/>
  <c r="AS17" i="28" s="1"/>
  <c r="Q30" i="28"/>
  <c r="R25" i="28"/>
  <c r="V25" i="28" s="1"/>
  <c r="R35" i="28"/>
  <c r="R44" i="28"/>
  <c r="V44" i="28" s="1"/>
  <c r="R69" i="28"/>
  <c r="V69" i="28" s="1"/>
  <c r="R77" i="28"/>
  <c r="V77" i="28" s="1"/>
  <c r="R209" i="28"/>
  <c r="V209" i="28" s="1"/>
  <c r="R105" i="28"/>
  <c r="V105" i="28" s="1"/>
  <c r="R96" i="28"/>
  <c r="V96" i="28" s="1"/>
  <c r="R90" i="28"/>
  <c r="V90" i="28" s="1"/>
  <c r="R216" i="28"/>
  <c r="R270" i="28"/>
  <c r="R359" i="28"/>
  <c r="R378" i="28"/>
  <c r="R423" i="28"/>
  <c r="V423" i="28" s="1"/>
  <c r="Q32" i="28"/>
  <c r="Q18" i="28"/>
  <c r="Q9" i="28"/>
  <c r="R18" i="28"/>
  <c r="V18" i="28" s="1"/>
  <c r="Q11" i="28"/>
  <c r="Q31" i="28"/>
  <c r="R24" i="28"/>
  <c r="V24" i="28" s="1"/>
  <c r="R43" i="28"/>
  <c r="V43" i="28" s="1"/>
  <c r="R70" i="28"/>
  <c r="V70" i="28" s="1"/>
  <c r="R78" i="28"/>
  <c r="V78" i="28" s="1"/>
  <c r="R104" i="28"/>
  <c r="V104" i="28" s="1"/>
  <c r="R95" i="28"/>
  <c r="V95" i="28" s="1"/>
  <c r="R228" i="28"/>
  <c r="V228" i="28" s="1"/>
  <c r="R232" i="28"/>
  <c r="R422" i="28"/>
  <c r="V422" i="28" s="1"/>
  <c r="R23" i="28"/>
  <c r="V23" i="28" s="1"/>
  <c r="I273" i="28"/>
  <c r="M16" i="28"/>
  <c r="I372" i="28"/>
  <c r="I184" i="73"/>
  <c r="I125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B378" i="28"/>
  <c r="AF378" i="28" s="1"/>
  <c r="V378" i="28"/>
  <c r="AB232" i="28"/>
  <c r="AF232" i="28" s="1"/>
  <c r="AJ232" i="28" s="1"/>
  <c r="AP232" i="28" s="1"/>
  <c r="AT232" i="28" s="1"/>
  <c r="V232" i="28"/>
  <c r="AB359" i="28"/>
  <c r="AF359" i="28" s="1"/>
  <c r="AJ359" i="28" s="1"/>
  <c r="AP359" i="28" s="1"/>
  <c r="AT359" i="28" s="1"/>
  <c r="V359" i="28"/>
  <c r="AB270" i="28"/>
  <c r="AF270" i="28" s="1"/>
  <c r="AJ270" i="28" s="1"/>
  <c r="AP270" i="28" s="1"/>
  <c r="AT270" i="28" s="1"/>
  <c r="V270" i="28"/>
  <c r="AB216" i="28"/>
  <c r="AF216" i="28" s="1"/>
  <c r="AJ216" i="28" s="1"/>
  <c r="AP216" i="28" s="1"/>
  <c r="AT216" i="28" s="1"/>
  <c r="V216" i="28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B35" i="28"/>
  <c r="AF35" i="28" s="1"/>
  <c r="V35" i="28"/>
  <c r="AA24" i="28"/>
  <c r="AE24" i="28" s="1"/>
  <c r="AI24" i="28" s="1"/>
  <c r="AO24" i="28" s="1"/>
  <c r="AS24" i="28" s="1"/>
  <c r="U24" i="28"/>
  <c r="AB65" i="28"/>
  <c r="AF65" i="28" s="1"/>
  <c r="V65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B86" i="28"/>
  <c r="AF86" i="28" s="1"/>
  <c r="AJ86" i="28" s="1"/>
  <c r="AP86" i="28" s="1"/>
  <c r="AT86" i="28" s="1"/>
  <c r="V86" i="28"/>
  <c r="Q23" i="28"/>
  <c r="U23" i="28" s="1"/>
  <c r="U372" i="28" s="1"/>
  <c r="Q16" i="28"/>
  <c r="U16" i="28" s="1"/>
  <c r="U273" i="28" s="1"/>
  <c r="AX232" i="28" l="1"/>
  <c r="BF232" i="28" s="1"/>
  <c r="AX270" i="28"/>
  <c r="BF270" i="28" s="1"/>
  <c r="AX216" i="28"/>
  <c r="BF216" i="28" s="1"/>
  <c r="AX359" i="28"/>
  <c r="BF359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78" i="28"/>
  <c r="AP378" i="28" s="1"/>
  <c r="AT378" i="28" s="1"/>
  <c r="AJ65" i="28"/>
  <c r="AP65" i="28" s="1"/>
  <c r="AT65" i="28" s="1"/>
  <c r="AJ35" i="28"/>
  <c r="AP35" i="28" s="1"/>
  <c r="AT35" i="28" s="1"/>
  <c r="Q273" i="28"/>
  <c r="Q372" i="28"/>
  <c r="AX378" i="28" l="1"/>
  <c r="BF378" i="28" s="1"/>
  <c r="AX65" i="28"/>
  <c r="BF65" i="28" s="1"/>
  <c r="AX35" i="28"/>
  <c r="BF35" i="28" s="1"/>
  <c r="Y273" i="28" l="1"/>
  <c r="AA16" i="28"/>
  <c r="AA23" i="28"/>
  <c r="H93" i="50"/>
  <c r="H91" i="50" s="1"/>
  <c r="AA372" i="28" l="1"/>
  <c r="AE23" i="28"/>
  <c r="AA273" i="28"/>
  <c r="AE16" i="28"/>
  <c r="N60" i="6"/>
  <c r="N61" i="6"/>
  <c r="G9" i="50" l="1"/>
  <c r="F151" i="10"/>
  <c r="F150" i="10"/>
  <c r="F189" i="10" s="1"/>
  <c r="AE273" i="28"/>
  <c r="AI16" i="28"/>
  <c r="AE372" i="28"/>
  <c r="AI23" i="28"/>
  <c r="K28" i="83"/>
  <c r="K9" i="83"/>
  <c r="K27" i="83"/>
  <c r="K24" i="83"/>
  <c r="K29" i="83"/>
  <c r="K30" i="83"/>
  <c r="G4" i="50"/>
  <c r="G4" i="83"/>
  <c r="E72" i="8"/>
  <c r="F153" i="10" l="1"/>
  <c r="O9" i="50"/>
  <c r="J150" i="10"/>
  <c r="J151" i="10"/>
  <c r="N150" i="10"/>
  <c r="N151" i="10"/>
  <c r="N165" i="10" s="1"/>
  <c r="O4" i="50"/>
  <c r="K4" i="50"/>
  <c r="F193" i="10"/>
  <c r="AI273" i="28"/>
  <c r="AO273" i="28" s="1"/>
  <c r="AO16" i="28"/>
  <c r="AS16" i="28" s="1"/>
  <c r="AW16" i="28" s="1"/>
  <c r="AW273" i="28" s="1"/>
  <c r="AI372" i="28"/>
  <c r="AO372" i="28" s="1"/>
  <c r="AO23" i="28"/>
  <c r="AS23" i="28" s="1"/>
  <c r="AW23" i="28" s="1"/>
  <c r="AW372" i="28" s="1"/>
  <c r="O24" i="83"/>
  <c r="S24" i="83" s="1"/>
  <c r="O9" i="83"/>
  <c r="S9" i="83" s="1"/>
  <c r="O28" i="83"/>
  <c r="O29" i="83"/>
  <c r="O30" i="83"/>
  <c r="K4" i="83"/>
  <c r="G37" i="83"/>
  <c r="O4" i="83"/>
  <c r="O27" i="83"/>
  <c r="G110" i="50"/>
  <c r="J193" i="10" l="1"/>
  <c r="J165" i="10"/>
  <c r="O38" i="50"/>
  <c r="AC9" i="50"/>
  <c r="AG9" i="50" s="1"/>
  <c r="AK9" i="50" s="1"/>
  <c r="AQ9" i="50" s="1"/>
  <c r="AU9" i="50" s="1"/>
  <c r="AY9" i="50" s="1"/>
  <c r="BG9" i="50" s="1"/>
  <c r="S9" i="50"/>
  <c r="W9" i="50" s="1"/>
  <c r="S27" i="50"/>
  <c r="W27" i="50" s="1"/>
  <c r="AK27" i="50"/>
  <c r="AQ27" i="50" s="1"/>
  <c r="AU27" i="50" s="1"/>
  <c r="AY27" i="50" s="1"/>
  <c r="BG27" i="50" s="1"/>
  <c r="S28" i="50"/>
  <c r="W28" i="50" s="1"/>
  <c r="AK28" i="50"/>
  <c r="AQ28" i="50" s="1"/>
  <c r="AU28" i="50" s="1"/>
  <c r="AY28" i="50" s="1"/>
  <c r="BG28" i="50" s="1"/>
  <c r="S29" i="50"/>
  <c r="W29" i="50" s="1"/>
  <c r="AK29" i="50"/>
  <c r="AQ29" i="50" s="1"/>
  <c r="AU29" i="50" s="1"/>
  <c r="AY29" i="50" s="1"/>
  <c r="BG29" i="50" s="1"/>
  <c r="K110" i="50"/>
  <c r="O110" i="50"/>
  <c r="K38" i="50"/>
  <c r="AC4" i="50"/>
  <c r="S4" i="50"/>
  <c r="AS372" i="28"/>
  <c r="AS273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10" i="50"/>
  <c r="W110" i="50" s="1"/>
  <c r="AC110" i="50"/>
  <c r="AG110" i="50" s="1"/>
  <c r="AK110" i="50" s="1"/>
  <c r="AQ110" i="50" s="1"/>
  <c r="AU110" i="50" s="1"/>
  <c r="AY110" i="50" s="1"/>
  <c r="BG110" i="50" s="1"/>
  <c r="AC38" i="50"/>
  <c r="S38" i="50"/>
  <c r="W4" i="50"/>
  <c r="W38" i="50" s="1"/>
  <c r="AG4" i="50"/>
  <c r="AU4" i="83"/>
  <c r="BE16" i="28"/>
  <c r="BE273" i="28" s="1"/>
  <c r="BE23" i="28"/>
  <c r="BE372" i="28" s="1"/>
  <c r="AG37" i="83"/>
  <c r="W37" i="83"/>
  <c r="S37" i="83"/>
  <c r="D47" i="28"/>
  <c r="D426" i="28" s="1"/>
  <c r="D40" i="28"/>
  <c r="D26" i="28"/>
  <c r="D19" i="28"/>
  <c r="D268" i="28" s="1"/>
  <c r="D12" i="28"/>
  <c r="D213" i="28" s="1"/>
  <c r="E372" i="28"/>
  <c r="M372" i="28" s="1"/>
  <c r="D372" i="28"/>
  <c r="E229" i="28"/>
  <c r="D229" i="28"/>
  <c r="E273" i="28"/>
  <c r="M273" i="28" s="1"/>
  <c r="D273" i="28"/>
  <c r="E54" i="28"/>
  <c r="E53" i="28"/>
  <c r="E52" i="28"/>
  <c r="D32" i="28"/>
  <c r="D54" i="28" s="1"/>
  <c r="D31" i="28"/>
  <c r="D53" i="28" s="1"/>
  <c r="D30" i="28"/>
  <c r="D52" i="28" s="1"/>
  <c r="D28" i="28"/>
  <c r="D409" i="28" l="1"/>
  <c r="D357" i="28"/>
  <c r="AY4" i="83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54" i="10"/>
  <c r="V155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29" i="28"/>
  <c r="M229" i="28"/>
  <c r="Q229" i="28" s="1"/>
  <c r="D33" i="28"/>
  <c r="D427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29" i="28"/>
  <c r="AE229" i="28" s="1"/>
  <c r="AI229" i="28" s="1"/>
  <c r="AO229" i="28" s="1"/>
  <c r="AS229" i="28" s="1"/>
  <c r="U229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Q65" i="73" s="1"/>
  <c r="U65" i="73" s="1"/>
  <c r="AE107" i="73"/>
  <c r="AI107" i="73" s="1"/>
  <c r="AO107" i="73" s="1"/>
  <c r="AS107" i="73" s="1"/>
  <c r="D27" i="21"/>
  <c r="AW107" i="73" l="1"/>
  <c r="BE107" i="73" s="1"/>
  <c r="AY24" i="83"/>
  <c r="BG24" i="83" s="1"/>
  <c r="BG37" i="83" s="1"/>
  <c r="AW229" i="28"/>
  <c r="BE229" i="28" s="1"/>
  <c r="AW52" i="28"/>
  <c r="BE52" i="28" s="1"/>
  <c r="AQ38" i="50"/>
  <c r="AP154" i="10" s="1"/>
  <c r="AU4" i="50"/>
  <c r="AU37" i="83"/>
  <c r="AJ154" i="10"/>
  <c r="AJ155" i="10" s="1"/>
  <c r="AA65" i="73"/>
  <c r="AY37" i="83" l="1"/>
  <c r="AU38" i="50"/>
  <c r="AY4" i="50"/>
  <c r="M29" i="15"/>
  <c r="Q29" i="15" s="1"/>
  <c r="I29" i="15"/>
  <c r="F15" i="52"/>
  <c r="E15" i="52"/>
  <c r="F356" i="28"/>
  <c r="J356" i="28" s="1"/>
  <c r="F267" i="28"/>
  <c r="F266" i="28"/>
  <c r="F212" i="28"/>
  <c r="F211" i="28"/>
  <c r="F47" i="28"/>
  <c r="F40" i="28"/>
  <c r="AY38" i="50" l="1"/>
  <c r="BG4" i="50"/>
  <c r="BG38" i="50" s="1"/>
  <c r="BF154" i="10" s="1"/>
  <c r="U29" i="15"/>
  <c r="AA29" i="15"/>
  <c r="AE29" i="15" s="1"/>
  <c r="J47" i="28"/>
  <c r="N47" i="28"/>
  <c r="R47" i="28" s="1"/>
  <c r="N356" i="28"/>
  <c r="R356" i="28" s="1"/>
  <c r="V356" i="28" s="1"/>
  <c r="J267" i="28"/>
  <c r="N267" i="28"/>
  <c r="AB267" i="28" s="1"/>
  <c r="J211" i="28"/>
  <c r="N211" i="28"/>
  <c r="AB211" i="28" s="1"/>
  <c r="J212" i="28"/>
  <c r="N212" i="28"/>
  <c r="AB212" i="28" s="1"/>
  <c r="J40" i="28"/>
  <c r="N40" i="28"/>
  <c r="R40" i="28" s="1"/>
  <c r="J266" i="28"/>
  <c r="N266" i="28"/>
  <c r="F33" i="28"/>
  <c r="F31" i="28"/>
  <c r="N31" i="28" s="1"/>
  <c r="AB31" i="28" s="1"/>
  <c r="AF31" i="28" s="1"/>
  <c r="AJ31" i="28" s="1"/>
  <c r="AP31" i="28" s="1"/>
  <c r="AT31" i="28" s="1"/>
  <c r="F30" i="28"/>
  <c r="N30" i="28" s="1"/>
  <c r="AB30" i="28" s="1"/>
  <c r="AF30" i="28" s="1"/>
  <c r="AJ30" i="28" s="1"/>
  <c r="AP30" i="28" s="1"/>
  <c r="AT30" i="28" s="1"/>
  <c r="F29" i="28"/>
  <c r="F28" i="28"/>
  <c r="G40" i="50"/>
  <c r="G41" i="50"/>
  <c r="G43" i="50"/>
  <c r="G44" i="50"/>
  <c r="G45" i="50"/>
  <c r="G39" i="50"/>
  <c r="AX30" i="28" l="1"/>
  <c r="BF30" i="28" s="1"/>
  <c r="AX31" i="28"/>
  <c r="BF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F211" i="28"/>
  <c r="AJ211" i="28" s="1"/>
  <c r="AP211" i="28" s="1"/>
  <c r="AT211" i="28" s="1"/>
  <c r="AF212" i="28"/>
  <c r="AJ212" i="28" s="1"/>
  <c r="AP212" i="28" s="1"/>
  <c r="AT212" i="28" s="1"/>
  <c r="AF267" i="28"/>
  <c r="AB40" i="28"/>
  <c r="AF40" i="28" s="1"/>
  <c r="V40" i="28"/>
  <c r="AB47" i="28"/>
  <c r="AF47" i="28" s="1"/>
  <c r="V47" i="28"/>
  <c r="AB356" i="28"/>
  <c r="AB266" i="28"/>
  <c r="R266" i="28"/>
  <c r="V266" i="28" s="1"/>
  <c r="R212" i="28"/>
  <c r="V212" i="28" s="1"/>
  <c r="J33" i="28"/>
  <c r="N33" i="28"/>
  <c r="AB33" i="28" s="1"/>
  <c r="AF33" i="28" s="1"/>
  <c r="R211" i="28"/>
  <c r="V211" i="28" s="1"/>
  <c r="R267" i="28"/>
  <c r="V267" i="28" s="1"/>
  <c r="F53" i="28"/>
  <c r="J31" i="28"/>
  <c r="F50" i="28"/>
  <c r="J28" i="28"/>
  <c r="N28" i="28" s="1"/>
  <c r="R28" i="28" s="1"/>
  <c r="F54" i="28"/>
  <c r="J32" i="28"/>
  <c r="F51" i="28"/>
  <c r="J29" i="28"/>
  <c r="N29" i="28" s="1"/>
  <c r="F52" i="28"/>
  <c r="J30" i="28"/>
  <c r="R30" i="28" s="1"/>
  <c r="V30" i="28" s="1"/>
  <c r="E28" i="27"/>
  <c r="AW29" i="15" l="1"/>
  <c r="BE29" i="15" s="1"/>
  <c r="AX211" i="28"/>
  <c r="BF211" i="28" s="1"/>
  <c r="AX212" i="28"/>
  <c r="BF212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90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90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67" i="28"/>
  <c r="AP267" i="28" s="1"/>
  <c r="AT267" i="28" s="1"/>
  <c r="AJ40" i="28"/>
  <c r="AJ459" i="28" s="1"/>
  <c r="AJ47" i="28"/>
  <c r="AP47" i="28" s="1"/>
  <c r="AT47" i="28" s="1"/>
  <c r="AJ33" i="28"/>
  <c r="AP33" i="28" s="1"/>
  <c r="AT33" i="28" s="1"/>
  <c r="AF356" i="28"/>
  <c r="AJ356" i="28" s="1"/>
  <c r="AP356" i="28" s="1"/>
  <c r="AT356" i="28" s="1"/>
  <c r="AF266" i="28"/>
  <c r="AF459" i="28"/>
  <c r="AB28" i="28"/>
  <c r="AF28" i="28" s="1"/>
  <c r="V28" i="28"/>
  <c r="R29" i="28"/>
  <c r="V29" i="28" s="1"/>
  <c r="AB29" i="28"/>
  <c r="AF29" i="28" s="1"/>
  <c r="AJ29" i="28" s="1"/>
  <c r="AP29" i="28" s="1"/>
  <c r="AT29" i="28" s="1"/>
  <c r="J51" i="28"/>
  <c r="N51" i="28"/>
  <c r="AB51" i="28" s="1"/>
  <c r="AF51" i="28" s="1"/>
  <c r="AJ51" i="28" s="1"/>
  <c r="AP51" i="28" s="1"/>
  <c r="AT51" i="28" s="1"/>
  <c r="J50" i="28"/>
  <c r="N50" i="28"/>
  <c r="AB50" i="28" s="1"/>
  <c r="AF50" i="28" s="1"/>
  <c r="J52" i="28"/>
  <c r="N52" i="28"/>
  <c r="AB52" i="28" s="1"/>
  <c r="AF52" i="28" s="1"/>
  <c r="AJ52" i="28" s="1"/>
  <c r="AP52" i="28" s="1"/>
  <c r="AT52" i="28" s="1"/>
  <c r="J54" i="28"/>
  <c r="N54" i="28"/>
  <c r="AB54" i="28" s="1"/>
  <c r="AF54" i="28" s="1"/>
  <c r="AJ54" i="28" s="1"/>
  <c r="AP54" i="28" s="1"/>
  <c r="AT54" i="28" s="1"/>
  <c r="J53" i="28"/>
  <c r="N53" i="28"/>
  <c r="AB53" i="28" s="1"/>
  <c r="AF53" i="28" s="1"/>
  <c r="AJ53" i="28" s="1"/>
  <c r="AP53" i="28" s="1"/>
  <c r="AT53" i="28" s="1"/>
  <c r="R33" i="28"/>
  <c r="V33" i="28" s="1"/>
  <c r="R32" i="28"/>
  <c r="V32" i="28" s="1"/>
  <c r="R31" i="28"/>
  <c r="V31" i="28" s="1"/>
  <c r="AX356" i="28" l="1"/>
  <c r="BF356" i="28" s="1"/>
  <c r="AX267" i="28"/>
  <c r="BF267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90" i="50" s="1"/>
  <c r="AG39" i="50"/>
  <c r="W39" i="50"/>
  <c r="W46" i="50" s="1"/>
  <c r="W90" i="50" s="1"/>
  <c r="S46" i="50"/>
  <c r="S90" i="50" s="1"/>
  <c r="AP40" i="28"/>
  <c r="AP459" i="28" s="1"/>
  <c r="AJ266" i="28"/>
  <c r="AP266" i="28" s="1"/>
  <c r="AT266" i="28" s="1"/>
  <c r="AJ28" i="28"/>
  <c r="AP28" i="28" s="1"/>
  <c r="AT28" i="28" s="1"/>
  <c r="AJ50" i="28"/>
  <c r="AP50" i="28" s="1"/>
  <c r="AT50" i="28" s="1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8" i="50"/>
  <c r="G38" i="50"/>
  <c r="G4" i="61"/>
  <c r="AX266" i="28" l="1"/>
  <c r="BF266" i="28" s="1"/>
  <c r="AX50" i="28"/>
  <c r="BF50" i="28" s="1"/>
  <c r="AX28" i="28"/>
  <c r="BF28" i="28" s="1"/>
  <c r="AT40" i="28"/>
  <c r="AX40" i="28" s="1"/>
  <c r="O118" i="50"/>
  <c r="K118" i="50"/>
  <c r="AG46" i="50"/>
  <c r="AG90" i="50" s="1"/>
  <c r="AK39" i="50"/>
  <c r="G104" i="50"/>
  <c r="AB154" i="10"/>
  <c r="AT459" i="28"/>
  <c r="F26" i="22"/>
  <c r="N24" i="22"/>
  <c r="N10" i="22"/>
  <c r="N15" i="22" s="1"/>
  <c r="G132" i="50"/>
  <c r="F12" i="22"/>
  <c r="J15" i="22"/>
  <c r="D129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K46" i="50" l="1"/>
  <c r="AK90" i="50" s="1"/>
  <c r="AQ39" i="50"/>
  <c r="O132" i="50"/>
  <c r="K132" i="50"/>
  <c r="O104" i="50"/>
  <c r="K104" i="50"/>
  <c r="S118" i="50"/>
  <c r="W118" i="50" s="1"/>
  <c r="AC118" i="50"/>
  <c r="AG118" i="50" s="1"/>
  <c r="AK118" i="50" s="1"/>
  <c r="AQ118" i="50" s="1"/>
  <c r="AU118" i="50" s="1"/>
  <c r="AY118" i="50" s="1"/>
  <c r="BG118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59" i="28"/>
  <c r="BF40" i="28"/>
  <c r="BF459" i="28" s="1"/>
  <c r="G134" i="50"/>
  <c r="G133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E15" i="15" l="1"/>
  <c r="E16" i="15" s="1"/>
  <c r="AQ46" i="50"/>
  <c r="AQ90" i="50" s="1"/>
  <c r="AU39" i="50"/>
  <c r="AC132" i="50"/>
  <c r="AG132" i="50" s="1"/>
  <c r="AK132" i="50" s="1"/>
  <c r="AQ132" i="50" s="1"/>
  <c r="S132" i="50"/>
  <c r="W132" i="50" s="1"/>
  <c r="AC104" i="50"/>
  <c r="AG104" i="50" s="1"/>
  <c r="AK104" i="50" s="1"/>
  <c r="AQ104" i="50" s="1"/>
  <c r="AU104" i="50" s="1"/>
  <c r="AY104" i="50" s="1"/>
  <c r="BG104" i="50" s="1"/>
  <c r="S104" i="50"/>
  <c r="W104" i="50" s="1"/>
  <c r="O134" i="50"/>
  <c r="K134" i="50"/>
  <c r="G140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F129" i="6"/>
  <c r="F128" i="6"/>
  <c r="F136" i="6"/>
  <c r="J136" i="6" s="1"/>
  <c r="AI30" i="15" l="1"/>
  <c r="AO30" i="15" s="1"/>
  <c r="AS30" i="15" s="1"/>
  <c r="AU46" i="50"/>
  <c r="AU90" i="50" s="1"/>
  <c r="AY39" i="50"/>
  <c r="AQ133" i="50"/>
  <c r="AU132" i="50"/>
  <c r="AI24" i="15"/>
  <c r="AO24" i="15" s="1"/>
  <c r="AS24" i="15" s="1"/>
  <c r="S134" i="50"/>
  <c r="W134" i="50" s="1"/>
  <c r="AC134" i="50"/>
  <c r="AG134" i="50" s="1"/>
  <c r="AK134" i="50" s="1"/>
  <c r="AQ134" i="50" s="1"/>
  <c r="AU134" i="50" s="1"/>
  <c r="AY134" i="50" s="1"/>
  <c r="BG134" i="50" s="1"/>
  <c r="K140" i="50"/>
  <c r="O140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6" i="50"/>
  <c r="AY90" i="50" s="1"/>
  <c r="BG39" i="50"/>
  <c r="BG46" i="50" s="1"/>
  <c r="BG90" i="50" s="1"/>
  <c r="AU133" i="50"/>
  <c r="AY132" i="50"/>
  <c r="BE21" i="15"/>
  <c r="S140" i="50"/>
  <c r="W140" i="50" s="1"/>
  <c r="AC140" i="50"/>
  <c r="AG140" i="50" s="1"/>
  <c r="AK140" i="50" s="1"/>
  <c r="AQ140" i="50" s="1"/>
  <c r="AI31" i="15"/>
  <c r="U35" i="15"/>
  <c r="AJ129" i="6"/>
  <c r="AO10" i="17"/>
  <c r="R129" i="6"/>
  <c r="V129" i="6" s="1"/>
  <c r="E108" i="73"/>
  <c r="M108" i="73" s="1"/>
  <c r="AU140" i="50" l="1"/>
  <c r="AY140" i="50" s="1"/>
  <c r="BG140" i="50" s="1"/>
  <c r="BE140" i="50"/>
  <c r="BE30" i="15"/>
  <c r="AY133" i="50"/>
  <c r="BG132" i="50"/>
  <c r="BG133" i="50" s="1"/>
  <c r="AS10" i="17"/>
  <c r="AW10" i="17" s="1"/>
  <c r="AO31" i="15"/>
  <c r="AO28" i="15"/>
  <c r="AP129" i="6"/>
  <c r="G117" i="50"/>
  <c r="AS31" i="15" l="1"/>
  <c r="BE10" i="17"/>
  <c r="O117" i="50"/>
  <c r="K117" i="50"/>
  <c r="AS28" i="15"/>
  <c r="AW28" i="15" s="1"/>
  <c r="AT129" i="6"/>
  <c r="AX129" i="6" s="1"/>
  <c r="BF129" i="6" s="1"/>
  <c r="G119" i="50"/>
  <c r="AW31" i="15" l="1"/>
  <c r="S117" i="50"/>
  <c r="W117" i="50" s="1"/>
  <c r="AC117" i="50"/>
  <c r="AG117" i="50" s="1"/>
  <c r="AK117" i="50" s="1"/>
  <c r="BE31" i="15" l="1"/>
  <c r="AK119" i="50"/>
  <c r="AQ117" i="50"/>
  <c r="BE28" i="15"/>
  <c r="G98" i="50"/>
  <c r="N95" i="9"/>
  <c r="AQ119" i="50" l="1"/>
  <c r="AU117" i="50"/>
  <c r="K98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19" i="50" l="1"/>
  <c r="AY117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I131" i="6" s="1"/>
  <c r="E132" i="6"/>
  <c r="D128" i="6"/>
  <c r="D129" i="6"/>
  <c r="D131" i="6"/>
  <c r="D132" i="6"/>
  <c r="E135" i="6"/>
  <c r="E136" i="6"/>
  <c r="I136" i="6" s="1"/>
  <c r="D135" i="6"/>
  <c r="D136" i="6"/>
  <c r="D137" i="6"/>
  <c r="F77" i="8" l="1"/>
  <c r="E2" i="17"/>
  <c r="E2" i="26"/>
  <c r="AY119" i="50"/>
  <c r="BG117" i="50"/>
  <c r="BG119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J37" i="8" l="1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M7" i="28" s="1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Q7" i="28"/>
  <c r="AW14" i="28" l="1"/>
  <c r="BE14" i="28" s="1"/>
  <c r="AW21" i="28"/>
  <c r="BE21" i="28" s="1"/>
  <c r="AA7" i="28"/>
  <c r="AE7" i="28" s="1"/>
  <c r="AI7" i="28" s="1"/>
  <c r="AO7" i="28" s="1"/>
  <c r="AS7" i="28" s="1"/>
  <c r="U7" i="28"/>
  <c r="H10" i="15"/>
  <c r="AW7" i="28" l="1"/>
  <c r="BE7" i="28" s="1"/>
  <c r="I10" i="15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BG110" i="45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8" i="50" l="1"/>
  <c r="Q99" i="50" s="1"/>
  <c r="Q100" i="50" s="1"/>
  <c r="U98" i="50"/>
  <c r="W98" i="50" l="1"/>
  <c r="W99" i="50" s="1"/>
  <c r="U99" i="50"/>
  <c r="U100" i="50" s="1"/>
  <c r="I189" i="73" l="1"/>
  <c r="I190" i="73"/>
  <c r="I193" i="73"/>
  <c r="I176" i="73"/>
  <c r="I178" i="73"/>
  <c r="I179" i="73"/>
  <c r="I181" i="73"/>
  <c r="I185" i="73"/>
  <c r="I121" i="73"/>
  <c r="I122" i="73"/>
  <c r="I123" i="73"/>
  <c r="I126" i="73"/>
  <c r="I124" i="73" s="1"/>
  <c r="I128" i="73"/>
  <c r="I127" i="73" s="1"/>
  <c r="I132" i="73"/>
  <c r="I131" i="73" s="1"/>
  <c r="I133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2" i="73"/>
  <c r="AI122" i="73" s="1"/>
  <c r="AO122" i="73" s="1"/>
  <c r="AS122" i="73" s="1"/>
  <c r="AE113" i="73"/>
  <c r="AI113" i="73" s="1"/>
  <c r="AO113" i="73" s="1"/>
  <c r="AS113" i="73" s="1"/>
  <c r="AI24" i="73"/>
  <c r="AO24" i="73" s="1"/>
  <c r="AS24" i="73" s="1"/>
  <c r="AE121" i="73"/>
  <c r="AI121" i="73" s="1"/>
  <c r="AO121" i="73" s="1"/>
  <c r="AS121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3" i="73"/>
  <c r="AI123" i="73" s="1"/>
  <c r="AO123" i="73" s="1"/>
  <c r="AS123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3" i="73"/>
  <c r="BE123" i="73" s="1"/>
  <c r="AW121" i="73"/>
  <c r="BE121" i="73" s="1"/>
  <c r="AW122" i="73"/>
  <c r="BE122" i="73" s="1"/>
  <c r="AW35" i="73"/>
  <c r="BE35" i="73" s="1"/>
  <c r="BE66" i="73"/>
  <c r="AE126" i="73"/>
  <c r="AE132" i="73"/>
  <c r="AE128" i="73"/>
  <c r="AE133" i="73"/>
  <c r="AI128" i="73" l="1"/>
  <c r="AE127" i="73"/>
  <c r="AI132" i="73"/>
  <c r="AE131" i="73"/>
  <c r="AI126" i="73"/>
  <c r="AE124" i="73"/>
  <c r="AI133" i="73"/>
  <c r="AO126" i="73" l="1"/>
  <c r="AS126" i="73" s="1"/>
  <c r="AW126" i="73" s="1"/>
  <c r="AW124" i="73" s="1"/>
  <c r="AI124" i="73"/>
  <c r="AO124" i="73" s="1"/>
  <c r="AO132" i="73"/>
  <c r="AS132" i="73" s="1"/>
  <c r="AW132" i="73" s="1"/>
  <c r="AW131" i="73" s="1"/>
  <c r="AI131" i="73"/>
  <c r="AO131" i="73" s="1"/>
  <c r="AO133" i="73"/>
  <c r="AS133" i="73" s="1"/>
  <c r="AO128" i="73"/>
  <c r="AS128" i="73" s="1"/>
  <c r="AW128" i="73" s="1"/>
  <c r="AW127" i="73" s="1"/>
  <c r="AI127" i="73"/>
  <c r="AO127" i="73" s="1"/>
  <c r="AW133" i="73" l="1"/>
  <c r="BE133" i="73" s="1"/>
  <c r="AS127" i="73"/>
  <c r="AS131" i="73"/>
  <c r="AS124" i="73"/>
  <c r="BE126" i="73" l="1"/>
  <c r="BE124" i="73" s="1"/>
  <c r="BE132" i="73"/>
  <c r="BE131" i="73" s="1"/>
  <c r="BE128" i="73"/>
  <c r="BE127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N192" i="10"/>
  <c r="AW49" i="39" l="1"/>
  <c r="AS51" i="39"/>
  <c r="AF152" i="10"/>
  <c r="AF184" i="10" s="1"/>
  <c r="AB152" i="10"/>
  <c r="R51" i="11"/>
  <c r="V51" i="11" s="1"/>
  <c r="AB42" i="11"/>
  <c r="AF42" i="11" s="1"/>
  <c r="AJ42" i="11" s="1"/>
  <c r="AW51" i="39" l="1"/>
  <c r="BE49" i="39"/>
  <c r="AJ54" i="11"/>
  <c r="AB192" i="10"/>
  <c r="AB151" i="10"/>
  <c r="AB165" i="10" s="1"/>
  <c r="AB150" i="10"/>
  <c r="AP152" i="10"/>
  <c r="AF176" i="10"/>
  <c r="AF54" i="11"/>
  <c r="AF90" i="11" s="1"/>
  <c r="F39" i="35"/>
  <c r="BE51" i="39" l="1"/>
  <c r="AJ90" i="11"/>
  <c r="AJ82" i="11"/>
  <c r="AF150" i="10"/>
  <c r="AF151" i="10"/>
  <c r="AF165" i="10" s="1"/>
  <c r="AB155" i="10"/>
  <c r="AT152" i="10"/>
  <c r="AF82" i="11"/>
  <c r="AP42" i="11"/>
  <c r="AT42" i="11" s="1"/>
  <c r="AX42" i="11" s="1"/>
  <c r="AX54" i="11" s="1"/>
  <c r="AF192" i="10"/>
  <c r="Z97" i="8"/>
  <c r="AX90" i="11" l="1"/>
  <c r="AX82" i="11"/>
  <c r="AT54" i="11"/>
  <c r="AT82" i="11" s="1"/>
  <c r="AT176" i="10"/>
  <c r="AP184" i="10"/>
  <c r="AP176" i="10"/>
  <c r="AP54" i="11"/>
  <c r="AF193" i="10"/>
  <c r="AF170" i="10"/>
  <c r="AI66" i="59" s="1"/>
  <c r="AF183" i="10"/>
  <c r="AF185" i="10" s="1"/>
  <c r="AF189" i="10"/>
  <c r="Z9" i="52"/>
  <c r="Y9" i="52"/>
  <c r="Z5" i="52"/>
  <c r="Y5" i="52"/>
  <c r="AT90" i="11" l="1"/>
  <c r="BF42" i="11"/>
  <c r="BF54" i="11" s="1"/>
  <c r="AP151" i="10"/>
  <c r="AP150" i="10"/>
  <c r="BF152" i="10"/>
  <c r="AP192" i="10"/>
  <c r="AT184" i="10"/>
  <c r="AP90" i="11"/>
  <c r="AP82" i="11"/>
  <c r="AM66" i="59"/>
  <c r="Y8" i="52"/>
  <c r="Z15" i="52"/>
  <c r="Y15" i="52"/>
  <c r="Z8" i="52"/>
  <c r="AP155" i="10" l="1"/>
  <c r="AP165" i="10"/>
  <c r="AP183" i="10"/>
  <c r="AP185" i="10" s="1"/>
  <c r="BF90" i="11"/>
  <c r="BF82" i="11"/>
  <c r="AP193" i="10"/>
  <c r="BF184" i="10"/>
  <c r="BF176" i="10"/>
  <c r="AP170" i="10"/>
  <c r="AS66" i="59" s="1"/>
  <c r="AT150" i="10"/>
  <c r="AT151" i="10"/>
  <c r="AT165" i="10" s="1"/>
  <c r="AP189" i="10"/>
  <c r="AT192" i="10"/>
  <c r="Y16" i="52"/>
  <c r="Z16" i="52"/>
  <c r="AT183" i="10" l="1"/>
  <c r="AT185" i="10" s="1"/>
  <c r="AT170" i="10"/>
  <c r="AW66" i="59" s="1"/>
  <c r="AT189" i="10"/>
  <c r="AT193" i="10"/>
  <c r="BF151" i="10" l="1"/>
  <c r="BF165" i="10" s="1"/>
  <c r="BF150" i="10"/>
  <c r="BA66" i="59"/>
  <c r="M50" i="71"/>
  <c r="F56" i="11"/>
  <c r="R42" i="11"/>
  <c r="V42" i="11" s="1"/>
  <c r="V54" i="11" s="1"/>
  <c r="BF193" i="10" l="1"/>
  <c r="BF155" i="10"/>
  <c r="V82" i="11"/>
  <c r="V90" i="11"/>
  <c r="BF183" i="10"/>
  <c r="BF189" i="10"/>
  <c r="R151" i="10"/>
  <c r="R165" i="10" s="1"/>
  <c r="BF170" i="10"/>
  <c r="BI66" i="59" s="1"/>
  <c r="N189" i="10"/>
  <c r="N193" i="10"/>
  <c r="V70" i="59"/>
  <c r="V74" i="59"/>
  <c r="R152" i="10" l="1"/>
  <c r="R150" i="10"/>
  <c r="BF185" i="10"/>
  <c r="U93" i="50"/>
  <c r="U91" i="50" s="1"/>
  <c r="AA77" i="83" l="1"/>
  <c r="Y190" i="6"/>
  <c r="AA75" i="83" l="1"/>
  <c r="Y70" i="11" l="1"/>
  <c r="Y164" i="10"/>
  <c r="AA90" i="45" l="1"/>
  <c r="Z54" i="11"/>
  <c r="AA127" i="45" l="1"/>
  <c r="AA118" i="45"/>
  <c r="Z189" i="10"/>
  <c r="Z193" i="10"/>
  <c r="Z39" i="9"/>
  <c r="Z40" i="9"/>
  <c r="Z41" i="9"/>
  <c r="Z42" i="9"/>
  <c r="Z43" i="9"/>
  <c r="Z44" i="9"/>
  <c r="AB193" i="10" l="1"/>
  <c r="Y6" i="7" l="1"/>
  <c r="W112" i="7"/>
  <c r="W111" i="7"/>
  <c r="Y20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3" i="11"/>
  <c r="Z89" i="45"/>
  <c r="AA133" i="50" l="1"/>
  <c r="Y52" i="11"/>
  <c r="Y95" i="11"/>
  <c r="Y17" i="15"/>
  <c r="Z52" i="36"/>
  <c r="Z10" i="6"/>
  <c r="Z92" i="45"/>
  <c r="Z88" i="45"/>
  <c r="N39" i="27" l="1"/>
  <c r="N33" i="27"/>
  <c r="N10" i="52" l="1"/>
  <c r="AB10" i="52" s="1"/>
  <c r="AF10" i="52" s="1"/>
  <c r="AJ10" i="52" s="1"/>
  <c r="AP10" i="52" s="1"/>
  <c r="AT10" i="52" s="1"/>
  <c r="AX10" i="52" s="1"/>
  <c r="BF10" i="52" s="1"/>
  <c r="M10" i="52"/>
  <c r="AA10" i="52" s="1"/>
  <c r="AE10" i="52" s="1"/>
  <c r="AI10" i="52" s="1"/>
  <c r="AO10" i="52" s="1"/>
  <c r="AS10" i="52" l="1"/>
  <c r="AW10" i="52" s="1"/>
  <c r="BE10" i="52" s="1"/>
  <c r="Q10" i="52"/>
  <c r="U10" i="52" s="1"/>
  <c r="R10" i="52"/>
  <c r="V10" i="52" s="1"/>
  <c r="AD43" i="38" l="1"/>
  <c r="AD41" i="38"/>
  <c r="AD35" i="38"/>
  <c r="AD19" i="38"/>
  <c r="AD13" i="38"/>
  <c r="AA125" i="45"/>
  <c r="U128" i="50"/>
  <c r="U129" i="50" s="1"/>
  <c r="AA128" i="50" l="1"/>
  <c r="AA129" i="50" s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88" i="73"/>
  <c r="Y53" i="73"/>
  <c r="Y48" i="73"/>
  <c r="AX34" i="8" l="1"/>
  <c r="BF34" i="8" s="1"/>
  <c r="AX35" i="8"/>
  <c r="BF35" i="8" s="1"/>
  <c r="Y120" i="73"/>
  <c r="Y134" i="73" s="1"/>
  <c r="Y186" i="73"/>
  <c r="R7" i="15"/>
  <c r="R6" i="15"/>
  <c r="R5" i="15"/>
  <c r="T7" i="15"/>
  <c r="T6" i="15"/>
  <c r="T5" i="15"/>
  <c r="Z18" i="21"/>
  <c r="Y117" i="73" l="1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98" i="50"/>
  <c r="S98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N24" i="27" l="1"/>
  <c r="Y14" i="36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A123" i="50"/>
  <c r="Z25" i="36"/>
  <c r="AA93" i="50"/>
  <c r="AA91" i="50" s="1"/>
  <c r="AF1" i="35" l="1"/>
  <c r="AJ1" i="35" s="1"/>
  <c r="AP1" i="35"/>
  <c r="AT1" i="35" s="1"/>
  <c r="Y151" i="10"/>
  <c r="Y150" i="10" s="1"/>
  <c r="AX1" i="35" l="1"/>
  <c r="BF1" i="35" s="1"/>
  <c r="BE50" i="71"/>
  <c r="BA50" i="71"/>
  <c r="O36" i="27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0" i="71" l="1"/>
  <c r="Y25" i="36"/>
  <c r="Z93" i="50"/>
  <c r="Z91" i="50" s="1"/>
  <c r="Z10" i="22"/>
  <c r="Z15" i="22" s="1"/>
  <c r="R15" i="22"/>
  <c r="X57" i="17"/>
  <c r="X59" i="17" s="1"/>
  <c r="X62" i="17" s="1"/>
  <c r="X114" i="17"/>
  <c r="O24" i="27"/>
  <c r="O33" i="27"/>
  <c r="Z24" i="22"/>
  <c r="Z26" i="22" s="1"/>
  <c r="O39" i="27"/>
  <c r="Y35" i="17"/>
  <c r="X22" i="17"/>
  <c r="Y52" i="17"/>
  <c r="Y9" i="17"/>
  <c r="X50" i="17"/>
  <c r="X54" i="17" s="1"/>
  <c r="P16" i="52"/>
  <c r="O16" i="52"/>
  <c r="J52" i="71"/>
  <c r="Y80" i="8"/>
  <c r="P15" i="36"/>
  <c r="Y39" i="7"/>
  <c r="BK50" i="71" l="1"/>
  <c r="BG50" i="71"/>
  <c r="S53" i="59"/>
  <c r="P74" i="8"/>
  <c r="Z12" i="22"/>
  <c r="Y16" i="17"/>
  <c r="Y33" i="17" s="1"/>
  <c r="X91" i="17"/>
  <c r="X35" i="17"/>
  <c r="X32" i="17"/>
  <c r="X34" i="17"/>
  <c r="X31" i="17"/>
  <c r="Y50" i="17"/>
  <c r="Y114" i="17"/>
  <c r="M39" i="72"/>
  <c r="M41" i="72" l="1"/>
  <c r="W39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P14" i="27"/>
  <c r="T14" i="27" s="1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4" i="50"/>
  <c r="E26" i="9"/>
  <c r="F372" i="28"/>
  <c r="AR34" i="17" l="1"/>
  <c r="AR31" i="17"/>
  <c r="AR32" i="17"/>
  <c r="BD19" i="17"/>
  <c r="BD22" i="17" s="1"/>
  <c r="AV22" i="17"/>
  <c r="O114" i="50"/>
  <c r="K114" i="50"/>
  <c r="F450" i="28"/>
  <c r="N372" i="28"/>
  <c r="R372" i="28" s="1"/>
  <c r="V372" i="28" s="1"/>
  <c r="V450" i="28" s="1"/>
  <c r="J372" i="28"/>
  <c r="J450" i="28" s="1"/>
  <c r="BD32" i="17" l="1"/>
  <c r="BD31" i="17"/>
  <c r="BD34" i="17"/>
  <c r="AV34" i="17"/>
  <c r="AV32" i="17"/>
  <c r="AV31" i="17"/>
  <c r="S114" i="50"/>
  <c r="W114" i="50" s="1"/>
  <c r="AC114" i="50"/>
  <c r="AG114" i="50" s="1"/>
  <c r="AK114" i="50" s="1"/>
  <c r="AQ114" i="50" s="1"/>
  <c r="AU114" i="50" s="1"/>
  <c r="AY114" i="50" s="1"/>
  <c r="BG114" i="50" s="1"/>
  <c r="K7" i="72"/>
  <c r="N450" i="28" l="1"/>
  <c r="E39" i="72"/>
  <c r="E41" i="72" l="1"/>
  <c r="R450" i="28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Z450" i="28"/>
  <c r="AB372" i="28"/>
  <c r="F57" i="9"/>
  <c r="N57" i="9" s="1"/>
  <c r="AH21" i="15" l="1"/>
  <c r="AN21" i="15" s="1"/>
  <c r="AB450" i="28"/>
  <c r="AF372" i="28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V29" i="9" s="1"/>
  <c r="BK76" i="99" s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F450" i="28"/>
  <c r="AJ372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V21" i="15" l="1"/>
  <c r="BD21" i="15" s="1"/>
  <c r="BK52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50" i="28"/>
  <c r="AP372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50" i="28"/>
  <c r="AT372" i="28"/>
  <c r="AX372" i="28" s="1"/>
  <c r="AX42" i="38"/>
  <c r="AX14" i="38"/>
  <c r="AX7" i="38"/>
  <c r="AX47" i="38"/>
  <c r="AX20" i="38"/>
  <c r="BB20" i="38" s="1"/>
  <c r="AP193" i="6"/>
  <c r="AX37" i="38"/>
  <c r="R42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M18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H45" i="59"/>
  <c r="H49" i="59"/>
  <c r="H51" i="59"/>
  <c r="Q60" i="8"/>
  <c r="U60" i="8" s="1"/>
  <c r="BD168" i="6"/>
  <c r="BD194" i="6"/>
  <c r="AP42" i="9"/>
  <c r="BB168" i="6"/>
  <c r="BB194" i="6"/>
  <c r="AT450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Q18" i="7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R18" i="7"/>
  <c r="V18" i="7" s="1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15" i="8"/>
  <c r="U15" i="8" s="1"/>
  <c r="M13" i="8"/>
  <c r="M73" i="7"/>
  <c r="N73" i="7"/>
  <c r="N65" i="7"/>
  <c r="N33" i="7" s="1"/>
  <c r="N95" i="7" s="1"/>
  <c r="M65" i="7"/>
  <c r="AI12" i="7" l="1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O14" i="7"/>
  <c r="AS14" i="7" s="1"/>
  <c r="AI14" i="7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U74" i="7"/>
  <c r="U79" i="7"/>
  <c r="X28" i="59" s="1"/>
  <c r="V27" i="7"/>
  <c r="V90" i="7" s="1"/>
  <c r="N32" i="7"/>
  <c r="N97" i="7" s="1"/>
  <c r="N59" i="7"/>
  <c r="N99" i="7" s="1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50" i="28"/>
  <c r="BF372" i="28"/>
  <c r="BF450" i="28" s="1"/>
  <c r="Q73" i="7"/>
  <c r="AO6" i="7"/>
  <c r="AO8" i="7"/>
  <c r="AS8" i="7" s="1"/>
  <c r="AW8" i="7" s="1"/>
  <c r="N56" i="7"/>
  <c r="N54" i="7"/>
  <c r="N94" i="7" s="1"/>
  <c r="N55" i="7"/>
  <c r="N57" i="7"/>
  <c r="N58" i="7"/>
  <c r="N53" i="7"/>
  <c r="N60" i="7"/>
  <c r="Q13" i="8"/>
  <c r="U13" i="8" s="1"/>
  <c r="U16" i="8" s="1"/>
  <c r="N110" i="8"/>
  <c r="N111" i="8" s="1"/>
  <c r="N26" i="7"/>
  <c r="N89" i="7" s="1"/>
  <c r="N29" i="7"/>
  <c r="R20" i="7"/>
  <c r="N51" i="8"/>
  <c r="Q42" i="59" s="1"/>
  <c r="R108" i="8"/>
  <c r="R110" i="8" s="1"/>
  <c r="R26" i="8"/>
  <c r="N30" i="7"/>
  <c r="N93" i="7" s="1"/>
  <c r="Q35" i="59" s="1"/>
  <c r="N35" i="7"/>
  <c r="N100" i="7" s="1"/>
  <c r="Q20" i="7"/>
  <c r="R86" i="8"/>
  <c r="V86" i="8" s="1"/>
  <c r="N74" i="7"/>
  <c r="Q79" i="7"/>
  <c r="Q74" i="7"/>
  <c r="N76" i="7"/>
  <c r="N28" i="7"/>
  <c r="N91" i="7" s="1"/>
  <c r="Q33" i="59" s="1"/>
  <c r="N25" i="7"/>
  <c r="N52" i="7"/>
  <c r="M74" i="7"/>
  <c r="N31" i="7"/>
  <c r="N96" i="7" s="1"/>
  <c r="N23" i="7"/>
  <c r="N24" i="7"/>
  <c r="N22" i="7"/>
  <c r="N27" i="7"/>
  <c r="N90" i="7" s="1"/>
  <c r="N67" i="7"/>
  <c r="N34" i="7"/>
  <c r="N88" i="7" s="1"/>
  <c r="N79" i="7"/>
  <c r="M79" i="7"/>
  <c r="V23" i="7" l="1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86" i="7" s="1"/>
  <c r="Y30" i="59" s="1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98" i="7" s="1"/>
  <c r="R26" i="7"/>
  <c r="R89" i="7" s="1"/>
  <c r="R76" i="7"/>
  <c r="R27" i="7"/>
  <c r="R90" i="7" s="1"/>
  <c r="R60" i="7"/>
  <c r="Q16" i="8"/>
  <c r="BE8" i="7"/>
  <c r="AS6" i="7"/>
  <c r="AW6" i="7" s="1"/>
  <c r="R109" i="8"/>
  <c r="R111" i="8" s="1"/>
  <c r="N92" i="7"/>
  <c r="Q34" i="59" s="1"/>
  <c r="N52" i="8"/>
  <c r="Q43" i="59" s="1"/>
  <c r="Q44" i="59" s="1"/>
  <c r="N36" i="7"/>
  <c r="N51" i="7" s="1"/>
  <c r="N75" i="7" s="1"/>
  <c r="N98" i="7"/>
  <c r="N86" i="7"/>
  <c r="N87" i="7"/>
  <c r="N85" i="7"/>
  <c r="R87" i="7" l="1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R101" i="7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V125" i="7" l="1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U66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V102" i="6" l="1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20" i="45"/>
  <c r="O115" i="45"/>
  <c r="O114" i="45"/>
  <c r="O103" i="45"/>
  <c r="N103" i="45"/>
  <c r="O101" i="45"/>
  <c r="N101" i="45"/>
  <c r="O90" i="45"/>
  <c r="O6" i="45"/>
  <c r="O5" i="45"/>
  <c r="N5" i="45"/>
  <c r="O89" i="45" l="1"/>
  <c r="O139" i="45"/>
  <c r="O143" i="45" s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05" i="45"/>
  <c r="O119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05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U174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90" i="45"/>
  <c r="V174" i="6" l="1"/>
  <c r="Y15" i="59"/>
  <c r="V7" i="36"/>
  <c r="Y8" i="59" s="1"/>
  <c r="Q174" i="6"/>
  <c r="R174" i="6"/>
  <c r="V8" i="36"/>
  <c r="Y9" i="59" s="1"/>
  <c r="R149" i="6"/>
  <c r="U15" i="59"/>
  <c r="N83" i="11" l="1"/>
  <c r="N88" i="11" s="1"/>
  <c r="N79" i="11"/>
  <c r="N78" i="11"/>
  <c r="N7" i="11"/>
  <c r="N5" i="11"/>
  <c r="M5" i="11"/>
  <c r="N177" i="10"/>
  <c r="N182" i="10" s="1"/>
  <c r="N173" i="10"/>
  <c r="N172" i="10"/>
  <c r="N5" i="10"/>
  <c r="N163" i="10" s="1"/>
  <c r="M5" i="10"/>
  <c r="N153" i="10" l="1"/>
  <c r="N69" i="11"/>
  <c r="N160" i="10"/>
  <c r="Q65" i="59" s="1"/>
  <c r="M69" i="11"/>
  <c r="AB54" i="11"/>
  <c r="N54" i="11"/>
  <c r="N56" i="11"/>
  <c r="N53" i="11"/>
  <c r="N52" i="11"/>
  <c r="N80" i="11"/>
  <c r="N87" i="11" s="1"/>
  <c r="M163" i="10"/>
  <c r="M66" i="11"/>
  <c r="P69" i="59" s="1"/>
  <c r="N162" i="10"/>
  <c r="N174" i="10"/>
  <c r="N181" i="10" s="1"/>
  <c r="N180" i="10"/>
  <c r="N66" i="11"/>
  <c r="Q69" i="59" s="1"/>
  <c r="N68" i="11"/>
  <c r="M68" i="11"/>
  <c r="N86" i="11"/>
  <c r="M162" i="10"/>
  <c r="M160" i="10"/>
  <c r="P65" i="59" s="1"/>
  <c r="N55" i="11" l="1"/>
  <c r="N175" i="10"/>
  <c r="N57" i="11"/>
  <c r="N81" i="11"/>
  <c r="R54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1" i="35"/>
  <c r="R51" i="35" s="1"/>
  <c r="M51" i="35"/>
  <c r="Q51" i="35" s="1"/>
  <c r="M49" i="35"/>
  <c r="M48" i="35"/>
  <c r="N42" i="35"/>
  <c r="R42" i="35" s="1"/>
  <c r="V42" i="35" s="1"/>
  <c r="N35" i="35"/>
  <c r="M35" i="35"/>
  <c r="N34" i="35"/>
  <c r="M34" i="35"/>
  <c r="M32" i="35"/>
  <c r="Q32" i="35" s="1"/>
  <c r="U32" i="35" s="1"/>
  <c r="V89" i="45" s="1"/>
  <c r="M31" i="35"/>
  <c r="Q31" i="35" s="1"/>
  <c r="U31" i="35" s="1"/>
  <c r="U53" i="11" s="1"/>
  <c r="M30" i="35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48" i="35"/>
  <c r="AE48" i="35" s="1"/>
  <c r="AI48" i="35" s="1"/>
  <c r="AO48" i="35" s="1"/>
  <c r="AS48" i="35" s="1"/>
  <c r="AW48" i="35" s="1"/>
  <c r="BE48" i="35" s="1"/>
  <c r="Q48" i="35"/>
  <c r="U48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R27" i="35"/>
  <c r="V27" i="35" s="1"/>
  <c r="AA34" i="35"/>
  <c r="AE34" i="35" s="1"/>
  <c r="Q34" i="35"/>
  <c r="AA49" i="35"/>
  <c r="AE49" i="35" s="1"/>
  <c r="AI49" i="35" s="1"/>
  <c r="AO49" i="35" s="1"/>
  <c r="AS49" i="35" s="1"/>
  <c r="AW49" i="35" s="1"/>
  <c r="BE49" i="35" s="1"/>
  <c r="Q49" i="35"/>
  <c r="U49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R34" i="35"/>
  <c r="U51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2" i="11"/>
  <c r="U95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1" i="35"/>
  <c r="V21" i="35" s="1"/>
  <c r="V26" i="9" s="1"/>
  <c r="R21" i="35"/>
  <c r="V88" i="45"/>
  <c r="V92" i="45"/>
  <c r="M151" i="10"/>
  <c r="M153" i="10" s="1"/>
  <c r="Q30" i="35"/>
  <c r="AF10" i="35"/>
  <c r="AB9" i="6"/>
  <c r="AB35" i="35"/>
  <c r="AB34" i="35"/>
  <c r="AT27" i="35"/>
  <c r="AX27" i="35" s="1"/>
  <c r="BF27" i="35" s="1"/>
  <c r="M46" i="36"/>
  <c r="M43" i="36"/>
  <c r="M45" i="36" s="1"/>
  <c r="M40" i="36"/>
  <c r="M42" i="36" s="1"/>
  <c r="N49" i="36"/>
  <c r="N51" i="36"/>
  <c r="N52" i="36"/>
  <c r="AQ52" i="36" s="1"/>
  <c r="N54" i="36"/>
  <c r="N48" i="36"/>
  <c r="N15" i="35"/>
  <c r="AB9" i="35"/>
  <c r="N11" i="35"/>
  <c r="N10" i="6" s="1"/>
  <c r="AA32" i="35"/>
  <c r="AE32" i="35" s="1"/>
  <c r="N89" i="45"/>
  <c r="L9" i="15"/>
  <c r="AA28" i="35"/>
  <c r="AE28" i="35" s="1"/>
  <c r="M9" i="15"/>
  <c r="AB28" i="35"/>
  <c r="AF28" i="35" s="1"/>
  <c r="L17" i="15"/>
  <c r="AA18" i="35"/>
  <c r="AE18" i="35" s="1"/>
  <c r="AI18" i="35" s="1"/>
  <c r="AA30" i="35"/>
  <c r="M17" i="15"/>
  <c r="AB18" i="35"/>
  <c r="AF18" i="35" s="1"/>
  <c r="AJ18" i="35" s="1"/>
  <c r="AA31" i="35"/>
  <c r="AE31" i="35" s="1"/>
  <c r="M53" i="11"/>
  <c r="M95" i="11" s="1"/>
  <c r="AB42" i="35"/>
  <c r="AF42" i="35" s="1"/>
  <c r="AJ42" i="35" s="1"/>
  <c r="AP42" i="35" s="1"/>
  <c r="AB51" i="35"/>
  <c r="AF51" i="35" s="1"/>
  <c r="N21" i="35"/>
  <c r="AA51" i="35"/>
  <c r="AE51" i="35" s="1"/>
  <c r="M21" i="35"/>
  <c r="M26" i="9" s="1"/>
  <c r="N28" i="21"/>
  <c r="N12" i="21"/>
  <c r="N24" i="21"/>
  <c r="N25" i="21" s="1"/>
  <c r="R12" i="21" l="1"/>
  <c r="V12" i="21"/>
  <c r="U7" i="21"/>
  <c r="AE26" i="35"/>
  <c r="AJ17" i="35"/>
  <c r="AF11" i="36"/>
  <c r="AI38" i="59" s="1"/>
  <c r="AF12" i="36"/>
  <c r="AI39" i="59" s="1"/>
  <c r="AE96" i="50"/>
  <c r="AG96" i="50" s="1"/>
  <c r="AI26" i="35"/>
  <c r="AF26" i="35"/>
  <c r="AO26" i="35"/>
  <c r="AP26" i="35"/>
  <c r="AJ26" i="35"/>
  <c r="V9" i="35"/>
  <c r="R11" i="35"/>
  <c r="AI96" i="50"/>
  <c r="V34" i="35"/>
  <c r="R36" i="35"/>
  <c r="R46" i="35" s="1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6" i="35" s="1"/>
  <c r="U5" i="9"/>
  <c r="U46" i="36"/>
  <c r="U40" i="36"/>
  <c r="U42" i="36" s="1"/>
  <c r="U43" i="36"/>
  <c r="U45" i="36" s="1"/>
  <c r="M150" i="10"/>
  <c r="Q33" i="35"/>
  <c r="U30" i="35"/>
  <c r="BC52" i="36"/>
  <c r="O52" i="36"/>
  <c r="AI35" i="35"/>
  <c r="AF9" i="35"/>
  <c r="AF8" i="6" s="1"/>
  <c r="AB8" i="6"/>
  <c r="AJ10" i="35"/>
  <c r="AF9" i="6"/>
  <c r="O133" i="50"/>
  <c r="AF35" i="35"/>
  <c r="AF34" i="35"/>
  <c r="AE30" i="35"/>
  <c r="AE33" i="35" s="1"/>
  <c r="AA151" i="10"/>
  <c r="AW26" i="35"/>
  <c r="BE26" i="35"/>
  <c r="AT42" i="35"/>
  <c r="AX42" i="35" s="1"/>
  <c r="BF42" i="35" s="1"/>
  <c r="AS26" i="35"/>
  <c r="AT26" i="35"/>
  <c r="AX24" i="35"/>
  <c r="AI51" i="35"/>
  <c r="AE21" i="35"/>
  <c r="AE26" i="9" s="1"/>
  <c r="AJ28" i="35"/>
  <c r="AI9" i="15" s="1"/>
  <c r="AE9" i="15"/>
  <c r="AF21" i="35"/>
  <c r="AF26" i="9" s="1"/>
  <c r="AJ51" i="35"/>
  <c r="AJ21" i="35" s="1"/>
  <c r="AI28" i="35"/>
  <c r="AH9" i="15" s="1"/>
  <c r="AD9" i="15"/>
  <c r="AI34" i="35"/>
  <c r="AM96" i="50" s="1"/>
  <c r="AM99" i="50" s="1"/>
  <c r="AM100" i="50" s="1"/>
  <c r="AE36" i="35"/>
  <c r="AE46" i="35" s="1"/>
  <c r="AE99" i="50"/>
  <c r="AE100" i="50" s="1"/>
  <c r="AJ54" i="36"/>
  <c r="AI43" i="36"/>
  <c r="AI45" i="36" s="1"/>
  <c r="AI46" i="36"/>
  <c r="AI40" i="36"/>
  <c r="AI42" i="36" s="1"/>
  <c r="AE53" i="11"/>
  <c r="AE52" i="11" s="1"/>
  <c r="AI31" i="35"/>
  <c r="AI53" i="11" s="1"/>
  <c r="AF89" i="45"/>
  <c r="AF88" i="45" s="1"/>
  <c r="AI32" i="35"/>
  <c r="AJ89" i="45" s="1"/>
  <c r="AD17" i="15"/>
  <c r="AE40" i="36"/>
  <c r="AE42" i="36" s="1"/>
  <c r="AE43" i="36"/>
  <c r="AE45" i="36" s="1"/>
  <c r="AE46" i="36"/>
  <c r="AE5" i="9"/>
  <c r="AF5" i="9"/>
  <c r="AE17" i="15"/>
  <c r="AF54" i="36"/>
  <c r="M170" i="10"/>
  <c r="P66" i="59" s="1"/>
  <c r="N50" i="36"/>
  <c r="AB52" i="36"/>
  <c r="AC52" i="36" s="1"/>
  <c r="N53" i="36"/>
  <c r="AB11" i="35"/>
  <c r="AB10" i="6" s="1"/>
  <c r="M52" i="11"/>
  <c r="M55" i="11"/>
  <c r="AA53" i="11"/>
  <c r="N92" i="45"/>
  <c r="N88" i="45"/>
  <c r="N91" i="45"/>
  <c r="M76" i="11"/>
  <c r="P70" i="59" s="1"/>
  <c r="AB89" i="45"/>
  <c r="F26" i="9"/>
  <c r="AP17" i="35" l="1"/>
  <c r="AJ11" i="36"/>
  <c r="AM38" i="59" s="1"/>
  <c r="AJ12" i="36"/>
  <c r="AM39" i="59" s="1"/>
  <c r="Q37" i="35"/>
  <c r="U36" i="35"/>
  <c r="U46" i="35" s="1"/>
  <c r="W52" i="36"/>
  <c r="AY52" i="36"/>
  <c r="AI99" i="50"/>
  <c r="AI100" i="50" s="1"/>
  <c r="AQ96" i="50"/>
  <c r="AQ99" i="50" s="1"/>
  <c r="AQ100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1" i="26" s="1"/>
  <c r="AP54" i="36"/>
  <c r="AI33" i="22"/>
  <c r="AH131" i="26"/>
  <c r="AI131" i="26"/>
  <c r="AJ33" i="22"/>
  <c r="AJ78" i="9"/>
  <c r="AJ77" i="9"/>
  <c r="AJ79" i="9"/>
  <c r="AI95" i="11"/>
  <c r="AI52" i="11"/>
  <c r="T131" i="26"/>
  <c r="U33" i="22"/>
  <c r="U89" i="9"/>
  <c r="Y37" i="59"/>
  <c r="V13" i="36"/>
  <c r="Y40" i="59" s="1"/>
  <c r="V50" i="36"/>
  <c r="U131" i="26"/>
  <c r="V33" i="22"/>
  <c r="V77" i="9"/>
  <c r="V76" i="9"/>
  <c r="V73" i="9"/>
  <c r="V75" i="9"/>
  <c r="V78" i="9"/>
  <c r="V94" i="9"/>
  <c r="Y60" i="59"/>
  <c r="V89" i="9"/>
  <c r="V72" i="9"/>
  <c r="V74" i="9"/>
  <c r="V79" i="9"/>
  <c r="AJ92" i="45"/>
  <c r="AJ88" i="45"/>
  <c r="AK96" i="50"/>
  <c r="AK99" i="50" s="1"/>
  <c r="AK100" i="50" s="1"/>
  <c r="V36" i="35"/>
  <c r="V46" i="35" s="1"/>
  <c r="V8" i="6"/>
  <c r="V11" i="35"/>
  <c r="V10" i="6" s="1"/>
  <c r="U151" i="10"/>
  <c r="U33" i="35"/>
  <c r="AF11" i="35"/>
  <c r="AF10" i="6" s="1"/>
  <c r="AJ9" i="35"/>
  <c r="AJ8" i="6" s="1"/>
  <c r="AO35" i="35"/>
  <c r="AP10" i="35"/>
  <c r="AJ9" i="6"/>
  <c r="AT54" i="36"/>
  <c r="AC133" i="50"/>
  <c r="AJ35" i="35"/>
  <c r="AE37" i="35"/>
  <c r="AF93" i="50" s="1"/>
  <c r="AF91" i="50" s="1"/>
  <c r="AF36" i="35"/>
  <c r="AF46" i="35" s="1"/>
  <c r="AJ34" i="35"/>
  <c r="AA150" i="10"/>
  <c r="AI30" i="35"/>
  <c r="AE151" i="10"/>
  <c r="AX26" i="35"/>
  <c r="BF24" i="35"/>
  <c r="BF26" i="35" s="1"/>
  <c r="AI36" i="35"/>
  <c r="AI46" i="35" s="1"/>
  <c r="AO46" i="35" s="1"/>
  <c r="AO34" i="35"/>
  <c r="AS96" i="50" s="1"/>
  <c r="AG99" i="50"/>
  <c r="AP28" i="35"/>
  <c r="AP51" i="35"/>
  <c r="AJ26" i="9"/>
  <c r="AO28" i="35"/>
  <c r="AO51" i="35"/>
  <c r="AI21" i="35"/>
  <c r="AI26" i="9" s="1"/>
  <c r="AO32" i="35"/>
  <c r="AO31" i="35"/>
  <c r="AE95" i="11"/>
  <c r="AF92" i="45"/>
  <c r="AM60" i="59"/>
  <c r="AF33" i="22"/>
  <c r="AE131" i="26"/>
  <c r="AF78" i="9"/>
  <c r="AF79" i="9"/>
  <c r="AI60" i="59"/>
  <c r="AF77" i="9"/>
  <c r="AE33" i="22"/>
  <c r="AD131" i="26"/>
  <c r="AA52" i="11"/>
  <c r="AA95" i="11"/>
  <c r="AB92" i="45"/>
  <c r="AB88" i="45"/>
  <c r="BL42" i="35"/>
  <c r="BL39" i="35"/>
  <c r="AS60" i="59" l="1"/>
  <c r="V19" i="36"/>
  <c r="Y57" i="59" s="1"/>
  <c r="AP33" i="22"/>
  <c r="AP12" i="36"/>
  <c r="AS39" i="59" s="1"/>
  <c r="AT17" i="35"/>
  <c r="AP11" i="36"/>
  <c r="AS38" i="59" s="1"/>
  <c r="U37" i="35"/>
  <c r="AS99" i="50"/>
  <c r="AS100" i="50" s="1"/>
  <c r="AU96" i="50"/>
  <c r="AU99" i="50" s="1"/>
  <c r="AU100" i="50" s="1"/>
  <c r="AN131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I33" i="35"/>
  <c r="AI37" i="35" s="1"/>
  <c r="AJ93" i="50" s="1"/>
  <c r="AJ91" i="50" s="1"/>
  <c r="AI151" i="10"/>
  <c r="AP9" i="35"/>
  <c r="AP8" i="6" s="1"/>
  <c r="U150" i="10"/>
  <c r="AJ11" i="35"/>
  <c r="AJ10" i="6" s="1"/>
  <c r="AS35" i="35"/>
  <c r="AP9" i="6"/>
  <c r="AT10" i="35"/>
  <c r="AG133" i="50"/>
  <c r="AP35" i="35"/>
  <c r="AP34" i="35"/>
  <c r="AJ36" i="35"/>
  <c r="AJ46" i="35" s="1"/>
  <c r="AP46" i="35" s="1"/>
  <c r="AO30" i="35"/>
  <c r="AO33" i="35" s="1"/>
  <c r="AE150" i="10"/>
  <c r="AE170" i="10"/>
  <c r="AH66" i="59" s="1"/>
  <c r="AS31" i="35"/>
  <c r="AS53" i="11" s="1"/>
  <c r="AS34" i="35"/>
  <c r="AW96" i="50" s="1"/>
  <c r="AY96" i="50" s="1"/>
  <c r="AY99" i="50" s="1"/>
  <c r="AY100" i="50" s="1"/>
  <c r="AO36" i="35"/>
  <c r="AP89" i="45"/>
  <c r="AP92" i="45" s="1"/>
  <c r="AS32" i="35"/>
  <c r="AS51" i="35"/>
  <c r="AO21" i="35"/>
  <c r="AO26" i="9" s="1"/>
  <c r="AT51" i="35"/>
  <c r="AP21" i="35"/>
  <c r="AP26" i="9" s="1"/>
  <c r="AT28" i="35"/>
  <c r="AO9" i="15"/>
  <c r="AN9" i="15"/>
  <c r="AS28" i="35"/>
  <c r="AO53" i="11"/>
  <c r="BQ42" i="35"/>
  <c r="BN46" i="35"/>
  <c r="BN42" i="35"/>
  <c r="BN41" i="35"/>
  <c r="BN39" i="35"/>
  <c r="BM47" i="35"/>
  <c r="BO47" i="35"/>
  <c r="BP47" i="35"/>
  <c r="BL47" i="35"/>
  <c r="AX17" i="35" l="1"/>
  <c r="AT11" i="36"/>
  <c r="AW38" i="59" s="1"/>
  <c r="AT12" i="36"/>
  <c r="AW39" i="59" s="1"/>
  <c r="AW99" i="50"/>
  <c r="AW100" i="50" s="1"/>
  <c r="AW33" i="22"/>
  <c r="AV131" i="26"/>
  <c r="AW131" i="26"/>
  <c r="AX33" i="22"/>
  <c r="AR131" i="26"/>
  <c r="AX77" i="9"/>
  <c r="AX78" i="9"/>
  <c r="AX79" i="9"/>
  <c r="BA60" i="59"/>
  <c r="AT79" i="9"/>
  <c r="AS131" i="26"/>
  <c r="AT78" i="9"/>
  <c r="AT77" i="9"/>
  <c r="AT33" i="22"/>
  <c r="AP11" i="35"/>
  <c r="AP10" i="6" s="1"/>
  <c r="AI170" i="10"/>
  <c r="AL66" i="59" s="1"/>
  <c r="AI150" i="10"/>
  <c r="AT9" i="35"/>
  <c r="AT8" i="6" s="1"/>
  <c r="AK133" i="50"/>
  <c r="AW35" i="35"/>
  <c r="AX10" i="35"/>
  <c r="AX9" i="6" s="1"/>
  <c r="AT9" i="6"/>
  <c r="BE33" i="22"/>
  <c r="BD131" i="26"/>
  <c r="AT35" i="35"/>
  <c r="AP36" i="35"/>
  <c r="AT34" i="35"/>
  <c r="AO151" i="10"/>
  <c r="AS30" i="35"/>
  <c r="BF33" i="22"/>
  <c r="BE131" i="26"/>
  <c r="BI60" i="59"/>
  <c r="AS52" i="11"/>
  <c r="AS95" i="11"/>
  <c r="AW31" i="35"/>
  <c r="BF77" i="9"/>
  <c r="BF78" i="9"/>
  <c r="BF79" i="9"/>
  <c r="AS9" i="15"/>
  <c r="AX28" i="35"/>
  <c r="AW9" i="15" s="1"/>
  <c r="AT21" i="35"/>
  <c r="AT26" i="9" s="1"/>
  <c r="AX51" i="35"/>
  <c r="AS21" i="35"/>
  <c r="AS26" i="9" s="1"/>
  <c r="AW51" i="35"/>
  <c r="AS36" i="35"/>
  <c r="AS46" i="35" s="1"/>
  <c r="AW34" i="35"/>
  <c r="BA96" i="50" s="1"/>
  <c r="BA99" i="50" s="1"/>
  <c r="BA100" i="50" s="1"/>
  <c r="AR9" i="15"/>
  <c r="AW28" i="35"/>
  <c r="AV9" i="15" s="1"/>
  <c r="AT89" i="45"/>
  <c r="AT92" i="45" s="1"/>
  <c r="AW32" i="35"/>
  <c r="AP88" i="45"/>
  <c r="AO37" i="35"/>
  <c r="AO95" i="11"/>
  <c r="AO52" i="11"/>
  <c r="BN47" i="35"/>
  <c r="BL53" i="35" s="1"/>
  <c r="BJ53" i="35"/>
  <c r="BK53" i="35"/>
  <c r="BM53" i="35"/>
  <c r="BF17" i="35" l="1"/>
  <c r="AX11" i="36"/>
  <c r="BA38" i="59" s="1"/>
  <c r="AX12" i="36"/>
  <c r="BA39" i="59" s="1"/>
  <c r="BG96" i="50"/>
  <c r="BG99" i="50" s="1"/>
  <c r="BG100" i="50" s="1"/>
  <c r="AW53" i="11"/>
  <c r="AW52" i="11" s="1"/>
  <c r="BE52" i="11" s="1"/>
  <c r="BE32" i="35"/>
  <c r="BF89" i="45" s="1"/>
  <c r="BF88" i="45" s="1"/>
  <c r="AX89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1" i="35"/>
  <c r="BF21" i="35" s="1"/>
  <c r="BF26" i="9" s="1"/>
  <c r="AW21" i="35"/>
  <c r="AW26" i="9" s="1"/>
  <c r="BE51" i="35"/>
  <c r="BE21" i="35" s="1"/>
  <c r="BE26" i="9" s="1"/>
  <c r="BF9" i="35"/>
  <c r="AX34" i="35"/>
  <c r="AT36" i="35"/>
  <c r="AT46" i="35" s="1"/>
  <c r="AW30" i="35"/>
  <c r="AS151" i="10"/>
  <c r="AO150" i="10"/>
  <c r="AO170" i="10"/>
  <c r="AR66" i="59" s="1"/>
  <c r="AS33" i="35"/>
  <c r="AS37" i="35" s="1"/>
  <c r="AT93" i="50" s="1"/>
  <c r="AT91" i="50" s="1"/>
  <c r="BE31" i="35"/>
  <c r="BE28" i="35"/>
  <c r="BD9" i="15" s="1"/>
  <c r="AW36" i="35"/>
  <c r="AW46" i="35" s="1"/>
  <c r="BE46" i="35" s="1"/>
  <c r="BE34" i="35"/>
  <c r="AT88" i="45"/>
  <c r="N39" i="35"/>
  <c r="BF92" i="45" l="1"/>
  <c r="AW95" i="11"/>
  <c r="BF12" i="36"/>
  <c r="BI39" i="59" s="1"/>
  <c r="BF11" i="36"/>
  <c r="BI38" i="59" s="1"/>
  <c r="AX11" i="35"/>
  <c r="AX10" i="6" s="1"/>
  <c r="BE53" i="11"/>
  <c r="BE95" i="11" s="1"/>
  <c r="AX92" i="45"/>
  <c r="AX88" i="45"/>
  <c r="AW33" i="35"/>
  <c r="AW37" i="35" s="1"/>
  <c r="AX93" i="50" s="1"/>
  <c r="AX91" i="50" s="1"/>
  <c r="AW151" i="10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11" i="35"/>
  <c r="BF10" i="6" s="1"/>
  <c r="BF8" i="6"/>
  <c r="BF35" i="35"/>
  <c r="BF34" i="35"/>
  <c r="AX36" i="35"/>
  <c r="AX46" i="35" s="1"/>
  <c r="BF46" i="35" s="1"/>
  <c r="AS150" i="10"/>
  <c r="AS170" i="10"/>
  <c r="AV66" i="59" s="1"/>
  <c r="BE30" i="35"/>
  <c r="BE151" i="10" s="1"/>
  <c r="AW170" i="10" l="1"/>
  <c r="AW150" i="10"/>
  <c r="BF36" i="35"/>
  <c r="AZ66" i="59"/>
  <c r="BE150" i="10"/>
  <c r="BE170" i="10"/>
  <c r="BH66" i="59" s="1"/>
  <c r="BE33" i="35"/>
  <c r="BE37" i="35" s="1"/>
  <c r="BF93" i="50" s="1"/>
  <c r="BF91" i="50" s="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0" i="17"/>
  <c r="Q110" i="17" s="1"/>
  <c r="U110" i="17" s="1"/>
  <c r="J9" i="52" l="1"/>
  <c r="I9" i="52"/>
  <c r="J6" i="52"/>
  <c r="J7" i="52"/>
  <c r="J5" i="52"/>
  <c r="I6" i="52"/>
  <c r="I7" i="52"/>
  <c r="I5" i="52"/>
  <c r="J8" i="52" l="1"/>
  <c r="J15" i="52"/>
  <c r="I8" i="52"/>
  <c r="I15" i="52"/>
  <c r="J16" i="52" l="1"/>
  <c r="I16" i="52"/>
  <c r="H10" i="17"/>
  <c r="P10" i="17" s="1"/>
  <c r="T10" i="17" s="1"/>
  <c r="E12" i="17"/>
  <c r="G52" i="71" l="1"/>
  <c r="F53" i="11" l="1"/>
  <c r="F57" i="11" l="1"/>
  <c r="G113" i="50"/>
  <c r="F173" i="26"/>
  <c r="N76" i="11"/>
  <c r="Q70" i="59" s="1"/>
  <c r="N22" i="36"/>
  <c r="Q68" i="59" s="1"/>
  <c r="F31" i="35"/>
  <c r="F95" i="11" s="1"/>
  <c r="F168" i="26"/>
  <c r="K113" i="50" l="1"/>
  <c r="O113" i="50"/>
  <c r="G115" i="50"/>
  <c r="N31" i="35"/>
  <c r="R31" i="35" s="1"/>
  <c r="V31" i="35" s="1"/>
  <c r="F172" i="26"/>
  <c r="F165" i="26"/>
  <c r="S113" i="50" l="1"/>
  <c r="W113" i="50" s="1"/>
  <c r="AC113" i="50"/>
  <c r="AG113" i="50" s="1"/>
  <c r="AK113" i="50" s="1"/>
  <c r="AQ113" i="50" s="1"/>
  <c r="AB31" i="35"/>
  <c r="AF31" i="35" s="1"/>
  <c r="N95" i="11"/>
  <c r="AQ115" i="50" l="1"/>
  <c r="AU113" i="50"/>
  <c r="AJ31" i="35"/>
  <c r="K90" i="45"/>
  <c r="AU115" i="50" l="1"/>
  <c r="AY113" i="50"/>
  <c r="O4" i="61"/>
  <c r="O16" i="61" s="1"/>
  <c r="AP31" i="35"/>
  <c r="F76" i="11"/>
  <c r="AY115" i="50" l="1"/>
  <c r="BG113" i="50"/>
  <c r="BG115" i="50" s="1"/>
  <c r="AT31" i="35"/>
  <c r="AX31" i="35" s="1"/>
  <c r="J54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Y111" i="7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0" i="73" l="1"/>
  <c r="Q120" i="73" l="1"/>
  <c r="Q134" i="73" s="1"/>
  <c r="M134" i="73"/>
  <c r="U120" i="73"/>
  <c r="U134" i="73" s="1"/>
  <c r="AA120" i="73"/>
  <c r="AA134" i="73" s="1"/>
  <c r="I120" i="73"/>
  <c r="I134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0" i="73"/>
  <c r="AE134" i="73" s="1"/>
  <c r="L5" i="15"/>
  <c r="P77" i="59"/>
  <c r="P6" i="59"/>
  <c r="L6" i="15"/>
  <c r="P78" i="59"/>
  <c r="L7" i="15"/>
  <c r="P79" i="59"/>
  <c r="Y50" i="36"/>
  <c r="AA50" i="36"/>
  <c r="BE50" i="36"/>
  <c r="AY19" i="36" l="1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S19" i="36"/>
  <c r="V57" i="59" s="1"/>
  <c r="O19" i="36"/>
  <c r="R57" i="59" s="1"/>
  <c r="K19" i="36"/>
  <c r="N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0" i="73"/>
  <c r="AI134" i="73" s="1"/>
  <c r="J10" i="21"/>
  <c r="J6" i="21"/>
  <c r="J42" i="35"/>
  <c r="J43" i="35"/>
  <c r="AO120" i="73" l="1"/>
  <c r="AS120" i="73" l="1"/>
  <c r="AO134" i="73"/>
  <c r="AW120" i="73" l="1"/>
  <c r="AS134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AW134" i="73" l="1"/>
  <c r="BE120" i="73"/>
  <c r="BE134" i="73" s="1"/>
  <c r="T12" i="15"/>
  <c r="T11" i="15"/>
  <c r="Z11" i="15"/>
  <c r="AD11" i="15" s="1"/>
  <c r="T14" i="15"/>
  <c r="U14" i="15"/>
  <c r="Z14" i="15"/>
  <c r="AD14" i="15" s="1"/>
  <c r="D173" i="26"/>
  <c r="AH14" i="15" l="1"/>
  <c r="AN14" i="15" s="1"/>
  <c r="AR14" i="15" s="1"/>
  <c r="AH11" i="15"/>
  <c r="AN11" i="15" s="1"/>
  <c r="AR11" i="15" s="1"/>
  <c r="T15" i="15"/>
  <c r="Z15" i="15"/>
  <c r="AD15" i="15" s="1"/>
  <c r="D168" i="26"/>
  <c r="D165" i="26"/>
  <c r="D16" i="17"/>
  <c r="D115" i="17"/>
  <c r="D113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2" i="26"/>
  <c r="D50" i="17"/>
  <c r="D112" i="17" s="1"/>
  <c r="E33" i="17"/>
  <c r="D117" i="17"/>
  <c r="D114" i="17"/>
  <c r="E30" i="17"/>
  <c r="E32" i="17"/>
  <c r="E34" i="17"/>
  <c r="E50" i="17"/>
  <c r="E114" i="17"/>
  <c r="E62" i="17"/>
  <c r="AI32" i="17" l="1"/>
  <c r="AI31" i="17"/>
  <c r="AI34" i="17"/>
  <c r="AI33" i="17"/>
  <c r="AV15" i="15"/>
  <c r="BD15" i="15" s="1"/>
  <c r="AV44" i="17"/>
  <c r="AS26" i="17"/>
  <c r="AI11" i="17"/>
  <c r="AI114" i="17"/>
  <c r="AE34" i="17"/>
  <c r="AO16" i="17"/>
  <c r="AS16" i="17" s="1"/>
  <c r="AE32" i="17"/>
  <c r="AE31" i="17"/>
  <c r="AN9" i="17"/>
  <c r="AE33" i="17"/>
  <c r="AO52" i="17"/>
  <c r="AO9" i="17"/>
  <c r="AE114" i="17"/>
  <c r="AE11" i="17"/>
  <c r="AN16" i="17"/>
  <c r="AR16" i="17" s="1"/>
  <c r="D62" i="17"/>
  <c r="E115" i="17"/>
  <c r="AA114" i="17"/>
  <c r="D34" i="17"/>
  <c r="D33" i="17"/>
  <c r="D32" i="17"/>
  <c r="E15" i="17"/>
  <c r="D116" i="17"/>
  <c r="D54" i="17"/>
  <c r="E54" i="17"/>
  <c r="E51" i="17"/>
  <c r="E112" i="17"/>
  <c r="E116" i="17" s="1"/>
  <c r="G90" i="45"/>
  <c r="F89" i="45"/>
  <c r="G125" i="45"/>
  <c r="G122" i="45"/>
  <c r="G116" i="45"/>
  <c r="G109" i="45"/>
  <c r="F109" i="45"/>
  <c r="G108" i="45"/>
  <c r="F108" i="45"/>
  <c r="G106" i="45"/>
  <c r="G104" i="45"/>
  <c r="F104" i="45"/>
  <c r="G102" i="45"/>
  <c r="F102" i="45"/>
  <c r="G99" i="45"/>
  <c r="F99" i="45"/>
  <c r="AS31" i="17" l="1"/>
  <c r="AW16" i="17"/>
  <c r="BE16" i="17" s="1"/>
  <c r="AS34" i="17"/>
  <c r="AS32" i="17"/>
  <c r="AV16" i="17"/>
  <c r="AR9" i="17"/>
  <c r="AS9" i="17"/>
  <c r="AS52" i="17"/>
  <c r="O125" i="45"/>
  <c r="N99" i="45"/>
  <c r="G123" i="45"/>
  <c r="BD44" i="17"/>
  <c r="AS33" i="17"/>
  <c r="AW26" i="17"/>
  <c r="AW33" i="17" s="1"/>
  <c r="E113" i="17"/>
  <c r="E117" i="17" s="1"/>
  <c r="E55" i="17"/>
  <c r="BD16" i="17"/>
  <c r="AO34" i="17"/>
  <c r="AO32" i="17"/>
  <c r="AO31" i="17"/>
  <c r="AO114" i="17"/>
  <c r="AO11" i="17"/>
  <c r="AO33" i="17"/>
  <c r="F91" i="45"/>
  <c r="G92" i="45"/>
  <c r="G100" i="45"/>
  <c r="O99" i="45"/>
  <c r="F100" i="45"/>
  <c r="O106" i="45"/>
  <c r="G88" i="45"/>
  <c r="G127" i="45"/>
  <c r="F88" i="45"/>
  <c r="F112" i="45"/>
  <c r="G117" i="45"/>
  <c r="F92" i="45"/>
  <c r="G118" i="45"/>
  <c r="AW31" i="17" l="1"/>
  <c r="AW34" i="17"/>
  <c r="AW32" i="17"/>
  <c r="AV9" i="17"/>
  <c r="AW52" i="17"/>
  <c r="AW9" i="17"/>
  <c r="AS114" i="17"/>
  <c r="AS11" i="17"/>
  <c r="G126" i="45"/>
  <c r="G128" i="45" s="1"/>
  <c r="BE26" i="17"/>
  <c r="BE33" i="17" s="1"/>
  <c r="BE34" i="17"/>
  <c r="BE31" i="17"/>
  <c r="BE32" i="17"/>
  <c r="O88" i="45"/>
  <c r="F32" i="35"/>
  <c r="G112" i="45"/>
  <c r="G93" i="45"/>
  <c r="E66" i="11"/>
  <c r="E53" i="11"/>
  <c r="F52" i="11"/>
  <c r="BD9" i="17" l="1"/>
  <c r="AW114" i="17"/>
  <c r="AW11" i="17"/>
  <c r="BE9" i="17"/>
  <c r="BE52" i="17"/>
  <c r="F23" i="36"/>
  <c r="E76" i="11"/>
  <c r="E95" i="11"/>
  <c r="N32" i="35"/>
  <c r="R32" i="35" s="1"/>
  <c r="V32" i="35" s="1"/>
  <c r="O91" i="45"/>
  <c r="O92" i="45"/>
  <c r="O93" i="45" s="1"/>
  <c r="F55" i="11"/>
  <c r="F22" i="36" s="1"/>
  <c r="E52" i="11"/>
  <c r="E55" i="11"/>
  <c r="BE11" i="17" l="1"/>
  <c r="BE114" i="17"/>
  <c r="AB32" i="35"/>
  <c r="AF32" i="35" s="1"/>
  <c r="N89" i="11"/>
  <c r="N93" i="11" s="1"/>
  <c r="F88" i="11"/>
  <c r="F86" i="11"/>
  <c r="F87" i="11"/>
  <c r="F75" i="11"/>
  <c r="E75" i="11"/>
  <c r="F73" i="11"/>
  <c r="E73" i="11"/>
  <c r="F72" i="11"/>
  <c r="E72" i="11"/>
  <c r="F70" i="11"/>
  <c r="N70" i="11" s="1"/>
  <c r="F68" i="11"/>
  <c r="E68" i="11"/>
  <c r="F66" i="11"/>
  <c r="F63" i="11"/>
  <c r="E63" i="11"/>
  <c r="M63" i="11" s="1"/>
  <c r="F54" i="11"/>
  <c r="AJ32" i="35" l="1"/>
  <c r="E64" i="11"/>
  <c r="M64" i="11"/>
  <c r="F64" i="11"/>
  <c r="N63" i="11"/>
  <c r="N64" i="11" s="1"/>
  <c r="N82" i="11"/>
  <c r="N90" i="11"/>
  <c r="N91" i="11" s="1"/>
  <c r="F90" i="11"/>
  <c r="F81" i="11"/>
  <c r="F82" i="11"/>
  <c r="F89" i="11"/>
  <c r="AP32" i="35" l="1"/>
  <c r="AT32" i="35" s="1"/>
  <c r="F40" i="35"/>
  <c r="N40" i="35" s="1"/>
  <c r="R40" i="35" s="1"/>
  <c r="V40" i="35" s="1"/>
  <c r="G103" i="50"/>
  <c r="F91" i="11"/>
  <c r="F30" i="35"/>
  <c r="F170" i="10"/>
  <c r="F93" i="11"/>
  <c r="AX32" i="35" l="1"/>
  <c r="BF32" i="35" s="1"/>
  <c r="O103" i="50"/>
  <c r="K103" i="50"/>
  <c r="K105" i="50" s="1"/>
  <c r="N30" i="35"/>
  <c r="R30" i="35" s="1"/>
  <c r="J40" i="35"/>
  <c r="G106" i="50"/>
  <c r="G111" i="50" s="1"/>
  <c r="G105" i="50"/>
  <c r="AB40" i="35"/>
  <c r="AF40" i="35" s="1"/>
  <c r="AJ40" i="35" s="1"/>
  <c r="AP40" i="35" s="1"/>
  <c r="F21" i="36"/>
  <c r="E151" i="10"/>
  <c r="F182" i="10"/>
  <c r="F180" i="10"/>
  <c r="F174" i="10"/>
  <c r="F181" i="10" s="1"/>
  <c r="F167" i="10"/>
  <c r="E167" i="10"/>
  <c r="F166" i="10"/>
  <c r="E166" i="10"/>
  <c r="F164" i="10"/>
  <c r="F162" i="10"/>
  <c r="E162" i="10"/>
  <c r="F160" i="10"/>
  <c r="E160" i="10"/>
  <c r="F157" i="10"/>
  <c r="N157" i="10" s="1"/>
  <c r="E157" i="10"/>
  <c r="N164" i="10" l="1"/>
  <c r="AB164" i="10" s="1"/>
  <c r="AF164" i="10" s="1"/>
  <c r="AJ164" i="10" s="1"/>
  <c r="K106" i="50"/>
  <c r="K111" i="50" s="1"/>
  <c r="O106" i="50"/>
  <c r="O111" i="50" s="1"/>
  <c r="S103" i="50"/>
  <c r="AC103" i="50"/>
  <c r="O105" i="50"/>
  <c r="R33" i="35"/>
  <c r="R37" i="35" s="1"/>
  <c r="V30" i="35"/>
  <c r="V33" i="35" s="1"/>
  <c r="V37" i="35" s="1"/>
  <c r="AT40" i="35"/>
  <c r="AX40" i="35" s="1"/>
  <c r="BF40" i="35" s="1"/>
  <c r="AP164" i="10"/>
  <c r="E153" i="10"/>
  <c r="AB30" i="35"/>
  <c r="R64" i="9"/>
  <c r="V64" i="9" s="1"/>
  <c r="R95" i="9"/>
  <c r="V95" i="9" s="1"/>
  <c r="V96" i="9" s="1"/>
  <c r="E158" i="10"/>
  <c r="F158" i="10"/>
  <c r="F184" i="10"/>
  <c r="E150" i="10"/>
  <c r="F175" i="10"/>
  <c r="E170" i="10"/>
  <c r="F176" i="10"/>
  <c r="F183" i="10"/>
  <c r="AC106" i="50" l="1"/>
  <c r="S106" i="50"/>
  <c r="AG103" i="50"/>
  <c r="AC105" i="50"/>
  <c r="W103" i="50"/>
  <c r="W105" i="50" s="1"/>
  <c r="S105" i="50"/>
  <c r="AT164" i="10"/>
  <c r="AX164" i="10" s="1"/>
  <c r="AF30" i="35"/>
  <c r="F185" i="10"/>
  <c r="N158" i="10"/>
  <c r="F187" i="10"/>
  <c r="W106" i="50" l="1"/>
  <c r="W111" i="50" s="1"/>
  <c r="S111" i="50"/>
  <c r="AG106" i="50"/>
  <c r="AC111" i="50"/>
  <c r="AK103" i="50"/>
  <c r="AG105" i="50"/>
  <c r="BF164" i="10"/>
  <c r="AJ30" i="35"/>
  <c r="AP30" i="35" s="1"/>
  <c r="AF33" i="35"/>
  <c r="AF37" i="35" s="1"/>
  <c r="AG93" i="50" s="1"/>
  <c r="AG91" i="50" s="1"/>
  <c r="AK105" i="50" l="1"/>
  <c r="AQ103" i="50"/>
  <c r="AK106" i="50"/>
  <c r="AG111" i="50"/>
  <c r="AP33" i="35"/>
  <c r="AP37" i="35" s="1"/>
  <c r="AQ93" i="50" s="1"/>
  <c r="AQ91" i="50" s="1"/>
  <c r="AT30" i="35"/>
  <c r="AJ33" i="35"/>
  <c r="AJ37" i="35" s="1"/>
  <c r="AK93" i="50" s="1"/>
  <c r="AK91" i="50" s="1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E95" i="90" l="1"/>
  <c r="G127" i="50"/>
  <c r="AX30" i="35"/>
  <c r="BF30" i="35" s="1"/>
  <c r="BF33" i="35" s="1"/>
  <c r="BF37" i="35" s="1"/>
  <c r="AQ105" i="50"/>
  <c r="AU103" i="50"/>
  <c r="AK111" i="50"/>
  <c r="AQ106" i="50"/>
  <c r="R20" i="35"/>
  <c r="V20" i="35" s="1"/>
  <c r="AB20" i="35"/>
  <c r="AF20" i="35" s="1"/>
  <c r="F14" i="9"/>
  <c r="I60" i="59"/>
  <c r="F96" i="9"/>
  <c r="AT33" i="35"/>
  <c r="AT37" i="35" s="1"/>
  <c r="AU93" i="50" s="1"/>
  <c r="AU91" i="50" s="1"/>
  <c r="E59" i="9"/>
  <c r="M59" i="9" s="1"/>
  <c r="E55" i="9"/>
  <c r="E61" i="9"/>
  <c r="M61" i="9" s="1"/>
  <c r="E56" i="9"/>
  <c r="M56" i="9" s="1"/>
  <c r="E58" i="9"/>
  <c r="M58" i="9" s="1"/>
  <c r="G97" i="50"/>
  <c r="F33" i="22"/>
  <c r="E131" i="26"/>
  <c r="E33" i="22"/>
  <c r="D131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BG93" i="50" l="1"/>
  <c r="BG91" i="50" s="1"/>
  <c r="AX33" i="35"/>
  <c r="AX37" i="35" s="1"/>
  <c r="AY93" i="50" s="1"/>
  <c r="AY91" i="50" s="1"/>
  <c r="E101" i="90"/>
  <c r="E107" i="90" s="1"/>
  <c r="M95" i="90"/>
  <c r="I95" i="90"/>
  <c r="AA95" i="90"/>
  <c r="BE95" i="90" s="1"/>
  <c r="Q95" i="90"/>
  <c r="AI95" i="90"/>
  <c r="AE95" i="90"/>
  <c r="U95" i="90"/>
  <c r="AO95" i="90"/>
  <c r="AS95" i="90" s="1"/>
  <c r="AW95" i="90" s="1"/>
  <c r="U25" i="9"/>
  <c r="U88" i="9" s="1"/>
  <c r="O127" i="50"/>
  <c r="K127" i="50"/>
  <c r="AU105" i="50"/>
  <c r="AY103" i="50"/>
  <c r="AQ111" i="50"/>
  <c r="AU106" i="50"/>
  <c r="U93" i="9"/>
  <c r="U94" i="9"/>
  <c r="R19" i="35"/>
  <c r="V19" i="35" s="1"/>
  <c r="AB19" i="35"/>
  <c r="AF19" i="35" s="1"/>
  <c r="G99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7" i="50"/>
  <c r="K99" i="50" s="1"/>
  <c r="O97" i="50"/>
  <c r="G128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A101" i="90" l="1"/>
  <c r="M101" i="90"/>
  <c r="M107" i="90" s="1"/>
  <c r="I101" i="90"/>
  <c r="I107" i="90" s="1"/>
  <c r="Q101" i="90"/>
  <c r="Q107" i="90" s="1"/>
  <c r="AI101" i="90"/>
  <c r="AI107" i="90" s="1"/>
  <c r="AE101" i="90"/>
  <c r="AE107" i="90" s="1"/>
  <c r="U101" i="90"/>
  <c r="U107" i="90" s="1"/>
  <c r="AO101" i="90"/>
  <c r="E132" i="90"/>
  <c r="E135" i="90" s="1"/>
  <c r="U85" i="9"/>
  <c r="U87" i="9"/>
  <c r="X61" i="59" s="1"/>
  <c r="U82" i="9"/>
  <c r="X62" i="59" s="1"/>
  <c r="U83" i="9"/>
  <c r="S127" i="50"/>
  <c r="W127" i="50" s="1"/>
  <c r="AC127" i="50"/>
  <c r="AG127" i="50" s="1"/>
  <c r="AK127" i="50" s="1"/>
  <c r="AQ127" i="50" s="1"/>
  <c r="AU127" i="50" s="1"/>
  <c r="AY127" i="50" s="1"/>
  <c r="BG127" i="50" s="1"/>
  <c r="AY105" i="50"/>
  <c r="BG103" i="50"/>
  <c r="BG105" i="50" s="1"/>
  <c r="AU111" i="50"/>
  <c r="AY106" i="50"/>
  <c r="K128" i="50"/>
  <c r="O128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7" i="50"/>
  <c r="S99" i="50" s="1"/>
  <c r="O99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BE101" i="90" l="1"/>
  <c r="BE107" i="90" s="1"/>
  <c r="AA107" i="90"/>
  <c r="AS101" i="90"/>
  <c r="AO107" i="90"/>
  <c r="AA132" i="90"/>
  <c r="I132" i="90"/>
  <c r="I135" i="90" s="1"/>
  <c r="M132" i="90"/>
  <c r="M135" i="90" s="1"/>
  <c r="U132" i="90"/>
  <c r="U135" i="90" s="1"/>
  <c r="Q132" i="90"/>
  <c r="Q135" i="90" s="1"/>
  <c r="AI132" i="90"/>
  <c r="AI135" i="90" s="1"/>
  <c r="AO132" i="90"/>
  <c r="AO135" i="90" s="1"/>
  <c r="AE132" i="90"/>
  <c r="AE135" i="90" s="1"/>
  <c r="AY111" i="50"/>
  <c r="BG106" i="50"/>
  <c r="BG111" i="50" s="1"/>
  <c r="S128" i="50"/>
  <c r="AC128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32" i="90" l="1"/>
  <c r="BE135" i="90" s="1"/>
  <c r="AA135" i="90"/>
  <c r="AW101" i="90"/>
  <c r="AW107" i="90" s="1"/>
  <c r="AS107" i="90"/>
  <c r="AS132" i="90"/>
  <c r="AS135" i="90" s="1"/>
  <c r="AX47" i="9"/>
  <c r="BF47" i="9" s="1"/>
  <c r="AX48" i="9"/>
  <c r="BF48" i="9" s="1"/>
  <c r="AG128" i="50"/>
  <c r="W128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F59" i="7" s="1"/>
  <c r="F99" i="7" s="1"/>
  <c r="E65" i="7"/>
  <c r="E59" i="7" s="1"/>
  <c r="E99" i="7" s="1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N426" i="28"/>
  <c r="F273" i="28"/>
  <c r="F229" i="28"/>
  <c r="N229" i="28" s="1"/>
  <c r="F213" i="28"/>
  <c r="F82" i="28"/>
  <c r="F81" i="28"/>
  <c r="F79" i="28"/>
  <c r="F75" i="28"/>
  <c r="F71" i="28"/>
  <c r="F67" i="28"/>
  <c r="F26" i="28"/>
  <c r="N26" i="28" s="1"/>
  <c r="F19" i="28"/>
  <c r="N19" i="28" s="1"/>
  <c r="F12" i="28"/>
  <c r="AW132" i="90" l="1"/>
  <c r="AW135" i="90" s="1"/>
  <c r="AK128" i="50"/>
  <c r="AQ128" i="50" s="1"/>
  <c r="AU128" i="50" s="1"/>
  <c r="AY128" i="50" s="1"/>
  <c r="BG128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M19" i="22"/>
  <c r="F26" i="7"/>
  <c r="F89" i="7" s="1"/>
  <c r="F32" i="7"/>
  <c r="F97" i="7" s="1"/>
  <c r="N273" i="28"/>
  <c r="N446" i="28" s="1"/>
  <c r="F446" i="28"/>
  <c r="E13" i="22"/>
  <c r="M13" i="22" s="1"/>
  <c r="M14" i="22" s="1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J79" i="28"/>
  <c r="N79" i="28"/>
  <c r="AB79" i="28" s="1"/>
  <c r="AF79" i="28" s="1"/>
  <c r="J75" i="28"/>
  <c r="N75" i="28"/>
  <c r="AB75" i="28" s="1"/>
  <c r="AF75" i="28" s="1"/>
  <c r="J81" i="28"/>
  <c r="N81" i="28"/>
  <c r="R81" i="28" s="1"/>
  <c r="I266" i="28"/>
  <c r="M266" i="28"/>
  <c r="Q266" i="28" s="1"/>
  <c r="J213" i="28"/>
  <c r="N213" i="28"/>
  <c r="J67" i="28"/>
  <c r="N67" i="28"/>
  <c r="R67" i="28" s="1"/>
  <c r="J12" i="28"/>
  <c r="N12" i="28"/>
  <c r="J71" i="28"/>
  <c r="N71" i="28"/>
  <c r="AB71" i="28" s="1"/>
  <c r="AF71" i="28" s="1"/>
  <c r="J82" i="28"/>
  <c r="N82" i="28"/>
  <c r="AB82" i="28" s="1"/>
  <c r="AF82" i="28" s="1"/>
  <c r="I267" i="28"/>
  <c r="M267" i="28"/>
  <c r="Q267" i="28" s="1"/>
  <c r="E27" i="22"/>
  <c r="M27" i="22" s="1"/>
  <c r="M26" i="22"/>
  <c r="F35" i="7"/>
  <c r="F100" i="7" s="1"/>
  <c r="N110" i="7"/>
  <c r="N104" i="7"/>
  <c r="N108" i="7"/>
  <c r="N107" i="7"/>
  <c r="N105" i="7"/>
  <c r="F459" i="28"/>
  <c r="J426" i="28"/>
  <c r="J458" i="28" s="1"/>
  <c r="F458" i="28"/>
  <c r="J273" i="28"/>
  <c r="J446" i="28" s="1"/>
  <c r="F443" i="28"/>
  <c r="J19" i="28"/>
  <c r="F447" i="28"/>
  <c r="J26" i="28"/>
  <c r="F442" i="28"/>
  <c r="J229" i="28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98" i="7" s="1"/>
  <c r="H32" i="59" s="1"/>
  <c r="E27" i="7"/>
  <c r="E90" i="7" s="1"/>
  <c r="F451" i="28"/>
  <c r="F58" i="28"/>
  <c r="F439" i="28"/>
  <c r="F440" i="28"/>
  <c r="F441" i="28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M12" i="28" s="1"/>
  <c r="E19" i="28"/>
  <c r="M19" i="28" s="1"/>
  <c r="F357" i="28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N427" i="28"/>
  <c r="F83" i="28"/>
  <c r="N83" i="28" s="1"/>
  <c r="AB83" i="28" s="1"/>
  <c r="AF83" i="28" s="1"/>
  <c r="F60" i="28"/>
  <c r="F268" i="28"/>
  <c r="F55" i="28"/>
  <c r="F59" i="28"/>
  <c r="F61" i="28"/>
  <c r="E86" i="7" l="1"/>
  <c r="H30" i="59" s="1"/>
  <c r="M12" i="21"/>
  <c r="M22" i="21" s="1"/>
  <c r="Q6" i="21"/>
  <c r="AJ71" i="28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7" i="7"/>
  <c r="H31" i="59" s="1"/>
  <c r="AA266" i="28"/>
  <c r="AE266" i="28" s="1"/>
  <c r="AI266" i="28" s="1"/>
  <c r="AO266" i="28" s="1"/>
  <c r="AS266" i="28" s="1"/>
  <c r="U266" i="28"/>
  <c r="AA267" i="28"/>
  <c r="AE267" i="28" s="1"/>
  <c r="AI267" i="28" s="1"/>
  <c r="AO267" i="28" s="1"/>
  <c r="AS267" i="28" s="1"/>
  <c r="U267" i="28"/>
  <c r="AB81" i="28"/>
  <c r="AF81" i="28" s="1"/>
  <c r="V81" i="28"/>
  <c r="AB67" i="28"/>
  <c r="AF67" i="28" s="1"/>
  <c r="V67" i="28"/>
  <c r="J18" i="49"/>
  <c r="N18" i="49"/>
  <c r="AJ135" i="6"/>
  <c r="AO39" i="7"/>
  <c r="AT49" i="9"/>
  <c r="AF84" i="28"/>
  <c r="AJ83" i="28"/>
  <c r="AF451" i="28"/>
  <c r="J440" i="28"/>
  <c r="Q135" i="6"/>
  <c r="U135" i="6" s="1"/>
  <c r="AA135" i="6"/>
  <c r="AE135" i="6" s="1"/>
  <c r="AI135" i="6" s="1"/>
  <c r="R75" i="28"/>
  <c r="V75" i="28" s="1"/>
  <c r="J439" i="28"/>
  <c r="J441" i="28"/>
  <c r="J268" i="28"/>
  <c r="J436" i="28" s="1"/>
  <c r="N268" i="28"/>
  <c r="N436" i="28" s="1"/>
  <c r="J55" i="28"/>
  <c r="N55" i="28"/>
  <c r="R55" i="28" s="1"/>
  <c r="J61" i="28"/>
  <c r="N61" i="28"/>
  <c r="AB61" i="28" s="1"/>
  <c r="AF61" i="28" s="1"/>
  <c r="J60" i="28"/>
  <c r="N60" i="28"/>
  <c r="AB60" i="28" s="1"/>
  <c r="AF60" i="28" s="1"/>
  <c r="AJ60" i="28" s="1"/>
  <c r="AP60" i="28" s="1"/>
  <c r="AT60" i="28" s="1"/>
  <c r="J59" i="28"/>
  <c r="N59" i="28"/>
  <c r="AB59" i="28" s="1"/>
  <c r="AF59" i="28" s="1"/>
  <c r="AJ59" i="28" s="1"/>
  <c r="AP59" i="28" s="1"/>
  <c r="AT59" i="28" s="1"/>
  <c r="J357" i="28"/>
  <c r="J449" i="28" s="1"/>
  <c r="N357" i="28"/>
  <c r="N448" i="28" s="1"/>
  <c r="J58" i="28"/>
  <c r="N58" i="28"/>
  <c r="R71" i="28"/>
  <c r="V71" i="28" s="1"/>
  <c r="M31" i="22"/>
  <c r="M29" i="22"/>
  <c r="R213" i="28"/>
  <c r="V213" i="28" s="1"/>
  <c r="R82" i="28"/>
  <c r="V82" i="28" s="1"/>
  <c r="R79" i="28"/>
  <c r="V79" i="28" s="1"/>
  <c r="R135" i="6"/>
  <c r="V135" i="6" s="1"/>
  <c r="F98" i="7"/>
  <c r="F87" i="7"/>
  <c r="F86" i="7"/>
  <c r="J459" i="28"/>
  <c r="N439" i="28"/>
  <c r="R12" i="28"/>
  <c r="V12" i="28" s="1"/>
  <c r="R19" i="28"/>
  <c r="V19" i="28" s="1"/>
  <c r="J443" i="28"/>
  <c r="J442" i="28"/>
  <c r="N451" i="28"/>
  <c r="F453" i="28"/>
  <c r="J427" i="28"/>
  <c r="J447" i="28"/>
  <c r="F84" i="28"/>
  <c r="J83" i="28"/>
  <c r="N440" i="28"/>
  <c r="N441" i="28"/>
  <c r="E59" i="28"/>
  <c r="I19" i="28"/>
  <c r="E58" i="28"/>
  <c r="I12" i="28"/>
  <c r="E357" i="28"/>
  <c r="M357" i="28" s="1"/>
  <c r="I26" i="28"/>
  <c r="F56" i="28"/>
  <c r="F452" i="28"/>
  <c r="F448" i="28"/>
  <c r="F449" i="28"/>
  <c r="F437" i="28"/>
  <c r="F444" i="28"/>
  <c r="F436" i="28"/>
  <c r="F445" i="28"/>
  <c r="E213" i="28"/>
  <c r="M213" i="28" s="1"/>
  <c r="F121" i="7"/>
  <c r="F144" i="7"/>
  <c r="F138" i="7"/>
  <c r="F36" i="7"/>
  <c r="F51" i="7" s="1"/>
  <c r="F61" i="7" s="1"/>
  <c r="F431" i="28"/>
  <c r="E60" i="28"/>
  <c r="M60" i="28" s="1"/>
  <c r="AA60" i="28" s="1"/>
  <c r="AE60" i="28" s="1"/>
  <c r="AI60" i="28" s="1"/>
  <c r="AO60" i="28" s="1"/>
  <c r="AS60" i="28" s="1"/>
  <c r="E268" i="28"/>
  <c r="M268" i="28" s="1"/>
  <c r="F430" i="28"/>
  <c r="F62" i="28"/>
  <c r="N62" i="28" s="1"/>
  <c r="U6" i="21" l="1"/>
  <c r="U12" i="21" s="1"/>
  <c r="U22" i="21" s="1"/>
  <c r="Q12" i="21"/>
  <c r="Q22" i="21" s="1"/>
  <c r="AX49" i="9"/>
  <c r="AW266" i="28"/>
  <c r="BE266" i="28" s="1"/>
  <c r="AW267" i="28"/>
  <c r="BE267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51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V441" i="28"/>
  <c r="V443" i="28"/>
  <c r="V451" i="28"/>
  <c r="AB55" i="28"/>
  <c r="AF55" i="28" s="1"/>
  <c r="V55" i="28"/>
  <c r="V439" i="28"/>
  <c r="V440" i="28"/>
  <c r="F123" i="7"/>
  <c r="AP135" i="6"/>
  <c r="AS39" i="7"/>
  <c r="AW39" i="7" s="1"/>
  <c r="AW49" i="7" s="1"/>
  <c r="AO49" i="7"/>
  <c r="AP451" i="28"/>
  <c r="AT79" i="28"/>
  <c r="AX79" i="28" s="1"/>
  <c r="AO135" i="6"/>
  <c r="AJ84" i="28"/>
  <c r="AP83" i="28"/>
  <c r="J437" i="28"/>
  <c r="J445" i="28"/>
  <c r="J444" i="28"/>
  <c r="J448" i="28"/>
  <c r="N444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R357" i="28"/>
  <c r="V357" i="28" s="1"/>
  <c r="V448" i="28" s="1"/>
  <c r="R60" i="28"/>
  <c r="V60" i="28" s="1"/>
  <c r="I58" i="28"/>
  <c r="M58" i="28"/>
  <c r="Q58" i="28" s="1"/>
  <c r="N456" i="28"/>
  <c r="R58" i="28"/>
  <c r="R268" i="28"/>
  <c r="R56" i="28"/>
  <c r="R440" i="28"/>
  <c r="R451" i="28"/>
  <c r="Q26" i="28"/>
  <c r="AB19" i="28"/>
  <c r="AF19" i="28" s="1"/>
  <c r="Z445" i="28"/>
  <c r="Z443" i="28"/>
  <c r="AB12" i="28"/>
  <c r="AF12" i="28" s="1"/>
  <c r="Z439" i="28"/>
  <c r="N458" i="28"/>
  <c r="Z56" i="28"/>
  <c r="R26" i="28"/>
  <c r="AB268" i="28"/>
  <c r="AF268" i="28" s="1"/>
  <c r="AJ268" i="28" s="1"/>
  <c r="AP268" i="28" s="1"/>
  <c r="AT268" i="28" s="1"/>
  <c r="Z437" i="28"/>
  <c r="Z436" i="28"/>
  <c r="Q12" i="28"/>
  <c r="U12" i="28" s="1"/>
  <c r="Q19" i="28"/>
  <c r="R426" i="28"/>
  <c r="V426" i="28" s="1"/>
  <c r="V458" i="28" s="1"/>
  <c r="N437" i="28"/>
  <c r="E65" i="28"/>
  <c r="N459" i="28"/>
  <c r="R409" i="28"/>
  <c r="V409" i="28" s="1"/>
  <c r="V459" i="28" s="1"/>
  <c r="N442" i="28"/>
  <c r="R229" i="28"/>
  <c r="V229" i="28" s="1"/>
  <c r="V442" i="28" s="1"/>
  <c r="R273" i="28"/>
  <c r="R439" i="28"/>
  <c r="R441" i="28"/>
  <c r="R443" i="28"/>
  <c r="N449" i="28"/>
  <c r="N447" i="28"/>
  <c r="J431" i="28"/>
  <c r="J452" i="28"/>
  <c r="J84" i="28"/>
  <c r="N443" i="28"/>
  <c r="N445" i="28"/>
  <c r="E69" i="28"/>
  <c r="E441" i="28"/>
  <c r="I213" i="28"/>
  <c r="E437" i="28"/>
  <c r="I268" i="28"/>
  <c r="E73" i="28"/>
  <c r="I60" i="28"/>
  <c r="E449" i="28"/>
  <c r="I357" i="28"/>
  <c r="J62" i="28"/>
  <c r="F75" i="7"/>
  <c r="F122" i="7"/>
  <c r="E445" i="28"/>
  <c r="E49" i="7"/>
  <c r="BF49" i="9" l="1"/>
  <c r="AX268" i="28"/>
  <c r="BF268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4" i="7"/>
  <c r="AB56" i="28"/>
  <c r="AF56" i="28"/>
  <c r="R446" i="28"/>
  <c r="V273" i="28"/>
  <c r="V446" i="28" s="1"/>
  <c r="R445" i="28"/>
  <c r="V268" i="28"/>
  <c r="AB26" i="28"/>
  <c r="AF26" i="28" s="1"/>
  <c r="AF447" i="28" s="1"/>
  <c r="V26" i="28"/>
  <c r="AA26" i="28"/>
  <c r="AE26" i="28" s="1"/>
  <c r="AI26" i="28" s="1"/>
  <c r="AO26" i="28" s="1"/>
  <c r="AS26" i="28" s="1"/>
  <c r="U26" i="28"/>
  <c r="V456" i="28"/>
  <c r="V56" i="28"/>
  <c r="AB58" i="28"/>
  <c r="AF58" i="28" s="1"/>
  <c r="AJ58" i="28" s="1"/>
  <c r="AP58" i="28" s="1"/>
  <c r="AT58" i="28" s="1"/>
  <c r="V58" i="28"/>
  <c r="AA19" i="28"/>
  <c r="AE19" i="28" s="1"/>
  <c r="AI19" i="28" s="1"/>
  <c r="AO19" i="28" s="1"/>
  <c r="AS19" i="28" s="1"/>
  <c r="U19" i="28"/>
  <c r="AA58" i="28"/>
  <c r="AE58" i="28" s="1"/>
  <c r="AI58" i="28" s="1"/>
  <c r="AO58" i="28" s="1"/>
  <c r="AS58" i="28" s="1"/>
  <c r="U58" i="28"/>
  <c r="R437" i="28"/>
  <c r="AS49" i="7"/>
  <c r="AT451" i="28"/>
  <c r="AP84" i="28"/>
  <c r="AT83" i="28"/>
  <c r="AX83" i="28" s="1"/>
  <c r="AX84" i="28" s="1"/>
  <c r="AT135" i="6"/>
  <c r="AX135" i="6" s="1"/>
  <c r="BF135" i="6" s="1"/>
  <c r="AT436" i="28"/>
  <c r="AT444" i="28"/>
  <c r="AS135" i="6"/>
  <c r="AW135" i="6" s="1"/>
  <c r="BE135" i="6" s="1"/>
  <c r="AP436" i="28"/>
  <c r="AP444" i="28"/>
  <c r="AF439" i="28"/>
  <c r="AJ12" i="28"/>
  <c r="AP12" i="28" s="1"/>
  <c r="AT12" i="28" s="1"/>
  <c r="AJ436" i="28"/>
  <c r="AJ444" i="28"/>
  <c r="AF443" i="28"/>
  <c r="AJ19" i="28"/>
  <c r="AP19" i="28" s="1"/>
  <c r="AF444" i="28"/>
  <c r="AF437" i="28"/>
  <c r="AF445" i="28"/>
  <c r="AF436" i="28"/>
  <c r="R448" i="28"/>
  <c r="R449" i="28"/>
  <c r="I69" i="28"/>
  <c r="I443" i="28" s="1"/>
  <c r="M69" i="28"/>
  <c r="AA69" i="28" s="1"/>
  <c r="AE69" i="28" s="1"/>
  <c r="AI69" i="28" s="1"/>
  <c r="I65" i="28"/>
  <c r="I439" i="28" s="1"/>
  <c r="M65" i="28"/>
  <c r="Q65" i="28" s="1"/>
  <c r="I73" i="28"/>
  <c r="I447" i="28" s="1"/>
  <c r="M73" i="28"/>
  <c r="AA73" i="28" s="1"/>
  <c r="AE73" i="28" s="1"/>
  <c r="AI73" i="28" s="1"/>
  <c r="AO73" i="28" s="1"/>
  <c r="Q59" i="28"/>
  <c r="U59" i="28" s="1"/>
  <c r="R436" i="28"/>
  <c r="R444" i="28"/>
  <c r="R447" i="28"/>
  <c r="Z447" i="28"/>
  <c r="AB445" i="28"/>
  <c r="AB443" i="28"/>
  <c r="Q268" i="28"/>
  <c r="U268" i="28" s="1"/>
  <c r="Z440" i="28"/>
  <c r="AB213" i="28"/>
  <c r="AB439" i="28"/>
  <c r="Q60" i="28"/>
  <c r="U60" i="28" s="1"/>
  <c r="Z451" i="28"/>
  <c r="Z441" i="28"/>
  <c r="R427" i="28"/>
  <c r="AA12" i="28"/>
  <c r="AE12" i="28" s="1"/>
  <c r="AI12" i="28" s="1"/>
  <c r="AO12" i="28" s="1"/>
  <c r="AS12" i="28" s="1"/>
  <c r="AB436" i="28"/>
  <c r="AB437" i="28"/>
  <c r="AB444" i="28"/>
  <c r="R458" i="28"/>
  <c r="R442" i="28"/>
  <c r="E439" i="28"/>
  <c r="E440" i="28"/>
  <c r="R459" i="28"/>
  <c r="N457" i="28"/>
  <c r="R62" i="28"/>
  <c r="V62" i="28" s="1"/>
  <c r="V457" i="28" s="1"/>
  <c r="N84" i="28"/>
  <c r="R83" i="28"/>
  <c r="V83" i="28" s="1"/>
  <c r="V84" i="28" s="1"/>
  <c r="E443" i="28"/>
  <c r="N431" i="28"/>
  <c r="N430" i="28"/>
  <c r="N453" i="28"/>
  <c r="N452" i="28"/>
  <c r="E444" i="28"/>
  <c r="M437" i="28"/>
  <c r="E436" i="28"/>
  <c r="M445" i="28"/>
  <c r="I449" i="28"/>
  <c r="I441" i="28"/>
  <c r="E447" i="28"/>
  <c r="I437" i="28"/>
  <c r="I445" i="28"/>
  <c r="E448" i="28"/>
  <c r="N93" i="8"/>
  <c r="N17" i="8"/>
  <c r="N13" i="8"/>
  <c r="AX436" i="28" l="1"/>
  <c r="AX444" i="28"/>
  <c r="F125" i="7"/>
  <c r="AP56" i="28"/>
  <c r="BF444" i="28"/>
  <c r="BF436" i="28"/>
  <c r="AX12" i="28"/>
  <c r="BF12" i="28" s="1"/>
  <c r="BF439" i="28" s="1"/>
  <c r="AW19" i="28"/>
  <c r="BE19" i="28" s="1"/>
  <c r="AX55" i="28"/>
  <c r="AX56" i="28" s="1"/>
  <c r="AX58" i="28"/>
  <c r="BF58" i="28" s="1"/>
  <c r="AW26" i="28"/>
  <c r="BE26" i="28" s="1"/>
  <c r="AW12" i="28"/>
  <c r="BE12" i="28" s="1"/>
  <c r="AW58" i="28"/>
  <c r="BE58" i="28" s="1"/>
  <c r="AJ56" i="28"/>
  <c r="AJ26" i="28"/>
  <c r="AP26" i="28" s="1"/>
  <c r="AT26" i="28" s="1"/>
  <c r="AT447" i="28" s="1"/>
  <c r="AB447" i="28"/>
  <c r="AB427" i="28"/>
  <c r="AF427" i="28" s="1"/>
  <c r="AJ427" i="28" s="1"/>
  <c r="AP427" i="28" s="1"/>
  <c r="AT427" i="28" s="1"/>
  <c r="V427" i="28"/>
  <c r="V436" i="28"/>
  <c r="V437" i="28"/>
  <c r="V444" i="28"/>
  <c r="V445" i="28"/>
  <c r="Q439" i="28"/>
  <c r="U65" i="28"/>
  <c r="U445" i="28"/>
  <c r="U437" i="28"/>
  <c r="V447" i="28"/>
  <c r="V449" i="28"/>
  <c r="AX451" i="28"/>
  <c r="BF79" i="28"/>
  <c r="BF451" i="28" s="1"/>
  <c r="BE39" i="7"/>
  <c r="BE49" i="7" s="1"/>
  <c r="AT84" i="28"/>
  <c r="AO447" i="28"/>
  <c r="AS73" i="28"/>
  <c r="AP437" i="28"/>
  <c r="AT19" i="28"/>
  <c r="AT439" i="28"/>
  <c r="AP439" i="28"/>
  <c r="AP443" i="28"/>
  <c r="AP445" i="28"/>
  <c r="AI443" i="28"/>
  <c r="AO69" i="28"/>
  <c r="AS69" i="28" s="1"/>
  <c r="AJ445" i="28"/>
  <c r="AJ443" i="28"/>
  <c r="AJ437" i="28"/>
  <c r="AJ439" i="28"/>
  <c r="AI447" i="28"/>
  <c r="AB440" i="28"/>
  <c r="AF213" i="28"/>
  <c r="AJ213" i="28" s="1"/>
  <c r="I448" i="28"/>
  <c r="Q69" i="28"/>
  <c r="AE443" i="28"/>
  <c r="AE447" i="28"/>
  <c r="Q73" i="28"/>
  <c r="M436" i="28"/>
  <c r="I444" i="28"/>
  <c r="I440" i="28"/>
  <c r="I436" i="28"/>
  <c r="M444" i="28"/>
  <c r="M443" i="28"/>
  <c r="M439" i="28"/>
  <c r="Z444" i="28"/>
  <c r="R452" i="28"/>
  <c r="Q437" i="28"/>
  <c r="Q445" i="28"/>
  <c r="R453" i="28"/>
  <c r="R431" i="28"/>
  <c r="AB441" i="28"/>
  <c r="R430" i="28"/>
  <c r="Z458" i="28"/>
  <c r="AB426" i="28"/>
  <c r="AB451" i="28"/>
  <c r="Z431" i="28"/>
  <c r="Z430" i="28"/>
  <c r="Z453" i="28"/>
  <c r="Z452" i="28"/>
  <c r="Q213" i="28"/>
  <c r="U213" i="28" s="1"/>
  <c r="U441" i="28" s="1"/>
  <c r="AB62" i="28"/>
  <c r="AF62" i="28" s="1"/>
  <c r="R84" i="28"/>
  <c r="M449" i="28"/>
  <c r="Q357" i="28"/>
  <c r="U357" i="28" s="1"/>
  <c r="U449" i="28" s="1"/>
  <c r="M448" i="28"/>
  <c r="M447" i="28"/>
  <c r="M441" i="28"/>
  <c r="M440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188" i="73"/>
  <c r="E177" i="73"/>
  <c r="M177" i="73" s="1"/>
  <c r="E114" i="73"/>
  <c r="E102" i="73"/>
  <c r="M102" i="73" s="1"/>
  <c r="Q102" i="73" s="1"/>
  <c r="U102" i="73" s="1"/>
  <c r="E53" i="73"/>
  <c r="M53" i="73" s="1"/>
  <c r="Q53" i="73" s="1"/>
  <c r="U53" i="73" s="1"/>
  <c r="E48" i="73"/>
  <c r="M48" i="73" s="1"/>
  <c r="Q48" i="73" s="1"/>
  <c r="U48" i="73" s="1"/>
  <c r="E34" i="73"/>
  <c r="M34" i="73" s="1"/>
  <c r="Q34" i="73" s="1"/>
  <c r="E23" i="73"/>
  <c r="AJ447" i="28" l="1"/>
  <c r="AX439" i="28"/>
  <c r="AX427" i="28"/>
  <c r="BF427" i="28" s="1"/>
  <c r="BF55" i="28"/>
  <c r="BF56" i="28" s="1"/>
  <c r="AW69" i="28"/>
  <c r="BE69" i="28" s="1"/>
  <c r="BE443" i="28" s="1"/>
  <c r="AX19" i="28"/>
  <c r="AX443" i="28" s="1"/>
  <c r="AX26" i="28"/>
  <c r="AX447" i="28" s="1"/>
  <c r="AW73" i="28"/>
  <c r="BE73" i="28" s="1"/>
  <c r="BE447" i="28" s="1"/>
  <c r="AP447" i="28"/>
  <c r="AJ452" i="28"/>
  <c r="AT452" i="28"/>
  <c r="AT453" i="28"/>
  <c r="AB453" i="28"/>
  <c r="AF430" i="28"/>
  <c r="AB431" i="28"/>
  <c r="AF453" i="28"/>
  <c r="AF431" i="28"/>
  <c r="AB452" i="28"/>
  <c r="AJ431" i="28"/>
  <c r="AP431" i="28"/>
  <c r="AP430" i="28"/>
  <c r="AJ453" i="28"/>
  <c r="AT430" i="28"/>
  <c r="AB430" i="28"/>
  <c r="AF452" i="28"/>
  <c r="AJ430" i="28"/>
  <c r="AT431" i="28"/>
  <c r="AP453" i="28"/>
  <c r="AP452" i="28"/>
  <c r="V16" i="8"/>
  <c r="V453" i="28"/>
  <c r="V430" i="28"/>
  <c r="V431" i="28"/>
  <c r="V452" i="28"/>
  <c r="U34" i="73"/>
  <c r="Y447" i="28"/>
  <c r="U73" i="28"/>
  <c r="U440" i="28"/>
  <c r="U439" i="28"/>
  <c r="Q444" i="28"/>
  <c r="U69" i="28"/>
  <c r="AA177" i="73"/>
  <c r="Q177" i="73"/>
  <c r="E117" i="73"/>
  <c r="AA48" i="73"/>
  <c r="AA53" i="73"/>
  <c r="AA102" i="73"/>
  <c r="AA34" i="73"/>
  <c r="BF83" i="28"/>
  <c r="BF84" i="28" s="1"/>
  <c r="AS447" i="28"/>
  <c r="AS443" i="28"/>
  <c r="AT443" i="28"/>
  <c r="AT445" i="28"/>
  <c r="AT437" i="28"/>
  <c r="AJ440" i="28"/>
  <c r="AP213" i="28"/>
  <c r="AT213" i="28" s="1"/>
  <c r="AO443" i="28"/>
  <c r="AJ441" i="28"/>
  <c r="AJ62" i="28"/>
  <c r="AB458" i="28"/>
  <c r="AF426" i="28"/>
  <c r="Q447" i="28"/>
  <c r="Q436" i="28"/>
  <c r="Q443" i="28"/>
  <c r="AF440" i="28"/>
  <c r="AF441" i="28"/>
  <c r="Q441" i="28"/>
  <c r="Z459" i="28"/>
  <c r="AB459" i="28"/>
  <c r="Y437" i="28"/>
  <c r="Y436" i="28"/>
  <c r="Y445" i="28"/>
  <c r="AA268" i="28"/>
  <c r="AE268" i="28" s="1"/>
  <c r="AI268" i="28" s="1"/>
  <c r="AO268" i="28" s="1"/>
  <c r="AS268" i="28" s="1"/>
  <c r="AW268" i="28" s="1"/>
  <c r="AA447" i="28"/>
  <c r="Y440" i="28"/>
  <c r="AA65" i="28"/>
  <c r="AE65" i="28" s="1"/>
  <c r="AI65" i="28" s="1"/>
  <c r="AO65" i="28" s="1"/>
  <c r="AS65" i="28" s="1"/>
  <c r="Y439" i="28"/>
  <c r="AB273" i="28"/>
  <c r="AB446" i="28" s="1"/>
  <c r="Z442" i="28"/>
  <c r="AB229" i="28"/>
  <c r="Q440" i="28"/>
  <c r="Y444" i="28"/>
  <c r="AA443" i="28"/>
  <c r="Y443" i="28"/>
  <c r="M186" i="73"/>
  <c r="AA186" i="73" s="1"/>
  <c r="Q449" i="28"/>
  <c r="Q448" i="28"/>
  <c r="E11" i="15"/>
  <c r="E12" i="15" s="1"/>
  <c r="E13" i="15" s="1"/>
  <c r="M114" i="73"/>
  <c r="Q114" i="73" s="1"/>
  <c r="U114" i="73" s="1"/>
  <c r="E186" i="73"/>
  <c r="M23" i="73"/>
  <c r="Q23" i="73" s="1"/>
  <c r="U23" i="73" s="1"/>
  <c r="M188" i="73"/>
  <c r="I109" i="73"/>
  <c r="I108" i="73" s="1"/>
  <c r="I114" i="73"/>
  <c r="I23" i="73"/>
  <c r="I34" i="73"/>
  <c r="I102" i="73"/>
  <c r="I48" i="73"/>
  <c r="I177" i="73"/>
  <c r="I186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88" i="73"/>
  <c r="F10" i="49"/>
  <c r="N10" i="49" s="1"/>
  <c r="R10" i="49" s="1"/>
  <c r="V10" i="49" s="1"/>
  <c r="F128" i="7"/>
  <c r="F127" i="7"/>
  <c r="BF26" i="28" l="1"/>
  <c r="BF447" i="28" s="1"/>
  <c r="AW447" i="28"/>
  <c r="AX430" i="28"/>
  <c r="AX452" i="28"/>
  <c r="AX431" i="28"/>
  <c r="AX453" i="28"/>
  <c r="AX437" i="28"/>
  <c r="AW443" i="28"/>
  <c r="BF430" i="28"/>
  <c r="BF452" i="28"/>
  <c r="BF453" i="28"/>
  <c r="BF431" i="28"/>
  <c r="AX445" i="28"/>
  <c r="BF19" i="28"/>
  <c r="AX213" i="28"/>
  <c r="BF213" i="28" s="1"/>
  <c r="AW65" i="28"/>
  <c r="BE65" i="28" s="1"/>
  <c r="BE439" i="28" s="1"/>
  <c r="U117" i="73"/>
  <c r="Q117" i="73"/>
  <c r="Q186" i="73"/>
  <c r="U177" i="73"/>
  <c r="U186" i="73" s="1"/>
  <c r="AA188" i="73"/>
  <c r="AE188" i="73" s="1"/>
  <c r="Q188" i="73"/>
  <c r="U188" i="73" s="1"/>
  <c r="U444" i="28"/>
  <c r="U436" i="28"/>
  <c r="U443" i="28"/>
  <c r="U448" i="28"/>
  <c r="U447" i="28"/>
  <c r="AA23" i="73"/>
  <c r="M117" i="73"/>
  <c r="AA117" i="73" s="1"/>
  <c r="F12" i="49"/>
  <c r="J10" i="49"/>
  <c r="F129" i="7"/>
  <c r="I117" i="73"/>
  <c r="AA114" i="73"/>
  <c r="AE114" i="73" s="1"/>
  <c r="AI114" i="73" s="1"/>
  <c r="AO114" i="73" s="1"/>
  <c r="AS114" i="73" s="1"/>
  <c r="AS444" i="28"/>
  <c r="BE268" i="28"/>
  <c r="AS439" i="28"/>
  <c r="AS437" i="28"/>
  <c r="AS436" i="28"/>
  <c r="AS445" i="28"/>
  <c r="AT440" i="28"/>
  <c r="AT441" i="28"/>
  <c r="AP62" i="28"/>
  <c r="AO439" i="28"/>
  <c r="AP440" i="28"/>
  <c r="AP441" i="28"/>
  <c r="AO437" i="28"/>
  <c r="AO436" i="28"/>
  <c r="AO445" i="28"/>
  <c r="AO444" i="28"/>
  <c r="AF458" i="28"/>
  <c r="AJ426" i="28"/>
  <c r="AI437" i="28"/>
  <c r="AI436" i="28"/>
  <c r="AI445" i="28"/>
  <c r="AI444" i="28"/>
  <c r="AI439" i="28"/>
  <c r="AE177" i="73"/>
  <c r="AB442" i="28"/>
  <c r="AF229" i="28"/>
  <c r="AF273" i="28"/>
  <c r="AF446" i="28" s="1"/>
  <c r="AE437" i="28"/>
  <c r="AE436" i="28"/>
  <c r="AE445" i="28"/>
  <c r="AE444" i="28"/>
  <c r="AE439" i="28"/>
  <c r="Z84" i="28"/>
  <c r="AB84" i="28"/>
  <c r="AA439" i="28"/>
  <c r="Y449" i="28"/>
  <c r="AA357" i="28"/>
  <c r="AE357" i="28" s="1"/>
  <c r="AI357" i="28" s="1"/>
  <c r="AO357" i="28" s="1"/>
  <c r="AS357" i="28" s="1"/>
  <c r="Y448" i="28"/>
  <c r="Y441" i="28"/>
  <c r="AA213" i="28"/>
  <c r="AA444" i="28"/>
  <c r="AA437" i="28"/>
  <c r="AA436" i="28"/>
  <c r="AA445" i="28"/>
  <c r="R64" i="8"/>
  <c r="V64" i="8" s="1"/>
  <c r="V71" i="8" s="1"/>
  <c r="N60" i="8"/>
  <c r="N58" i="8"/>
  <c r="R68" i="8"/>
  <c r="V68" i="8" s="1"/>
  <c r="V73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W102" i="73" l="1"/>
  <c r="BE102" i="73" s="1"/>
  <c r="AW65" i="73"/>
  <c r="BE65" i="73" s="1"/>
  <c r="AW58" i="73"/>
  <c r="BE58" i="73" s="1"/>
  <c r="AW114" i="73"/>
  <c r="BE114" i="73" s="1"/>
  <c r="AW48" i="73"/>
  <c r="BE48" i="73" s="1"/>
  <c r="AW34" i="73"/>
  <c r="AX441" i="28"/>
  <c r="AX440" i="28"/>
  <c r="AW439" i="28"/>
  <c r="BF441" i="28"/>
  <c r="BF440" i="28"/>
  <c r="BF437" i="28"/>
  <c r="BF443" i="28"/>
  <c r="BF445" i="28"/>
  <c r="AW357" i="28"/>
  <c r="BE357" i="28" s="1"/>
  <c r="AO53" i="73"/>
  <c r="AS53" i="73" s="1"/>
  <c r="F130" i="7"/>
  <c r="J12" i="49"/>
  <c r="N12" i="49"/>
  <c r="R12" i="49" s="1"/>
  <c r="V12" i="49" s="1"/>
  <c r="R60" i="8"/>
  <c r="V60" i="8" s="1"/>
  <c r="BE437" i="28"/>
  <c r="BE436" i="28"/>
  <c r="BE445" i="28"/>
  <c r="BE444" i="28"/>
  <c r="AW445" i="28"/>
  <c r="AW436" i="28"/>
  <c r="AW437" i="28"/>
  <c r="AW444" i="28"/>
  <c r="AS449" i="28"/>
  <c r="AS448" i="28"/>
  <c r="AT62" i="28"/>
  <c r="AO449" i="28"/>
  <c r="AO448" i="28"/>
  <c r="AJ458" i="28"/>
  <c r="AP426" i="28"/>
  <c r="AE23" i="73"/>
  <c r="AE117" i="73" s="1"/>
  <c r="AI188" i="73"/>
  <c r="AO188" i="73" s="1"/>
  <c r="AS188" i="73" s="1"/>
  <c r="AE108" i="73"/>
  <c r="AI109" i="73"/>
  <c r="AE186" i="73"/>
  <c r="AI177" i="73"/>
  <c r="AF442" i="28"/>
  <c r="AJ229" i="28"/>
  <c r="AJ273" i="28"/>
  <c r="AJ446" i="28" s="1"/>
  <c r="AI449" i="28"/>
  <c r="AI448" i="28"/>
  <c r="AE449" i="28"/>
  <c r="AE448" i="28"/>
  <c r="AA441" i="28"/>
  <c r="AE213" i="28"/>
  <c r="AI213" i="28" s="1"/>
  <c r="AO213" i="28" s="1"/>
  <c r="AS213" i="28" s="1"/>
  <c r="R71" i="8"/>
  <c r="AA440" i="28"/>
  <c r="AA449" i="28"/>
  <c r="AA448" i="28"/>
  <c r="N62" i="8"/>
  <c r="R62" i="8" s="1"/>
  <c r="V62" i="8" s="1"/>
  <c r="R58" i="8"/>
  <c r="V58" i="8" s="1"/>
  <c r="R73" i="8"/>
  <c r="M16" i="15"/>
  <c r="I15" i="15"/>
  <c r="I16" i="15" s="1"/>
  <c r="AW53" i="73" l="1"/>
  <c r="BE53" i="73" s="1"/>
  <c r="AW188" i="73"/>
  <c r="BE188" i="73" s="1"/>
  <c r="BE34" i="73"/>
  <c r="AX62" i="28"/>
  <c r="BF62" i="28" s="1"/>
  <c r="AW448" i="28"/>
  <c r="BE449" i="28"/>
  <c r="BE448" i="28"/>
  <c r="AW449" i="28"/>
  <c r="AW213" i="28"/>
  <c r="BE213" i="28" s="1"/>
  <c r="F132" i="7"/>
  <c r="V70" i="8"/>
  <c r="V69" i="8"/>
  <c r="AS441" i="28"/>
  <c r="AS440" i="28"/>
  <c r="AP458" i="28"/>
  <c r="AT426" i="28"/>
  <c r="AX426" i="28" s="1"/>
  <c r="AP273" i="28"/>
  <c r="AP446" i="28" s="1"/>
  <c r="AJ442" i="28"/>
  <c r="AP229" i="28"/>
  <c r="BD442" i="28" s="1"/>
  <c r="AO441" i="28"/>
  <c r="AO440" i="28"/>
  <c r="AI108" i="73"/>
  <c r="AO108" i="73" s="1"/>
  <c r="AO109" i="73"/>
  <c r="AS109" i="73" s="1"/>
  <c r="AW109" i="73" s="1"/>
  <c r="AW108" i="73" s="1"/>
  <c r="AI186" i="73"/>
  <c r="AO186" i="73" s="1"/>
  <c r="AO177" i="73"/>
  <c r="AS177" i="73" s="1"/>
  <c r="AW177" i="73" s="1"/>
  <c r="AW186" i="73" s="1"/>
  <c r="AI23" i="73"/>
  <c r="AI441" i="28"/>
  <c r="AI440" i="28"/>
  <c r="AE441" i="28"/>
  <c r="AE440" i="28"/>
  <c r="U15" i="15"/>
  <c r="U16" i="15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31" i="6"/>
  <c r="M131" i="6"/>
  <c r="AA131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1" i="6"/>
  <c r="AF131" i="6" s="1"/>
  <c r="AB132" i="6"/>
  <c r="AF132" i="6" s="1"/>
  <c r="AJ132" i="6" s="1"/>
  <c r="N141" i="6"/>
  <c r="R141" i="6" s="1"/>
  <c r="V141" i="6" s="1"/>
  <c r="M140" i="6"/>
  <c r="Q140" i="6" s="1"/>
  <c r="U140" i="6" s="1"/>
  <c r="AW440" i="28"/>
  <c r="AW441" i="28"/>
  <c r="M18" i="6"/>
  <c r="M195" i="6" s="1"/>
  <c r="BE440" i="28"/>
  <c r="BE441" i="28"/>
  <c r="AT458" i="28"/>
  <c r="AS186" i="73"/>
  <c r="AS108" i="73"/>
  <c r="AJ127" i="6"/>
  <c r="AT273" i="28"/>
  <c r="AJ128" i="6"/>
  <c r="AJ137" i="6"/>
  <c r="AJ134" i="6"/>
  <c r="AF138" i="6"/>
  <c r="AP442" i="28"/>
  <c r="AT229" i="28"/>
  <c r="AX229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Q131" i="6"/>
  <c r="U131" i="6" s="1"/>
  <c r="AE131" i="6"/>
  <c r="AI131" i="6" s="1"/>
  <c r="R132" i="6"/>
  <c r="V132" i="6" s="1"/>
  <c r="R137" i="6"/>
  <c r="V137" i="6" s="1"/>
  <c r="R142" i="6"/>
  <c r="V142" i="6" s="1"/>
  <c r="AB142" i="6"/>
  <c r="AF142" i="6" s="1"/>
  <c r="R127" i="6"/>
  <c r="V127" i="6" s="1"/>
  <c r="R131" i="6"/>
  <c r="V131" i="6" s="1"/>
  <c r="R134" i="6"/>
  <c r="V134" i="6" s="1"/>
  <c r="R140" i="6"/>
  <c r="V140" i="6" s="1"/>
  <c r="AB140" i="6"/>
  <c r="AF140" i="6" s="1"/>
  <c r="R128" i="6"/>
  <c r="V128" i="6" s="1"/>
  <c r="M137" i="6"/>
  <c r="D138" i="6"/>
  <c r="Q18" i="6"/>
  <c r="U18" i="6" s="1"/>
  <c r="U188" i="6" s="1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AB141" i="6" l="1"/>
  <c r="AF141" i="6" s="1"/>
  <c r="AJ131" i="6"/>
  <c r="AF133" i="6"/>
  <c r="AF139" i="6" s="1"/>
  <c r="AA140" i="6"/>
  <c r="AE140" i="6" s="1"/>
  <c r="AI140" i="6" s="1"/>
  <c r="AO140" i="6" s="1"/>
  <c r="E175" i="6"/>
  <c r="AT446" i="28"/>
  <c r="AX273" i="28"/>
  <c r="V138" i="6"/>
  <c r="U133" i="6"/>
  <c r="V133" i="6"/>
  <c r="V139" i="6" s="1"/>
  <c r="V143" i="6" s="1"/>
  <c r="Q195" i="6"/>
  <c r="U195" i="6" s="1"/>
  <c r="M17" i="6"/>
  <c r="Q17" i="6" s="1"/>
  <c r="BE109" i="73"/>
  <c r="BE108" i="73" s="1"/>
  <c r="BE177" i="73"/>
  <c r="BE186" i="73" s="1"/>
  <c r="AX458" i="28"/>
  <c r="BF426" i="28"/>
  <c r="BF458" i="28" s="1"/>
  <c r="AT442" i="28"/>
  <c r="AX446" i="28"/>
  <c r="R138" i="6"/>
  <c r="AP128" i="6"/>
  <c r="AJ142" i="6"/>
  <c r="AJ141" i="6"/>
  <c r="AO132" i="6"/>
  <c r="AO134" i="6"/>
  <c r="AO128" i="6"/>
  <c r="AP137" i="6"/>
  <c r="AP134" i="6"/>
  <c r="AJ138" i="6"/>
  <c r="AP132" i="6"/>
  <c r="AP131" i="6"/>
  <c r="AJ140" i="6"/>
  <c r="AO131" i="6"/>
  <c r="AI127" i="6"/>
  <c r="AE133" i="6"/>
  <c r="AP127" i="6"/>
  <c r="AJ133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M169" i="6" l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Q169" i="6"/>
  <c r="U139" i="6"/>
  <c r="U143" i="6" s="1"/>
  <c r="U204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Q210" i="6" s="1"/>
  <c r="BF273" i="28"/>
  <c r="BF446" i="28" s="1"/>
  <c r="AX442" i="28"/>
  <c r="BF229" i="28"/>
  <c r="BF442" i="28" s="1"/>
  <c r="R139" i="6"/>
  <c r="R143" i="6" s="1"/>
  <c r="R199" i="6" s="1"/>
  <c r="AJ139" i="6"/>
  <c r="AJ143" i="6" s="1"/>
  <c r="AE138" i="6"/>
  <c r="AE139" i="6" s="1"/>
  <c r="AE143" i="6" s="1"/>
  <c r="AE210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F199" i="6" s="1"/>
  <c r="AT132" i="6"/>
  <c r="AX132" i="6" s="1"/>
  <c r="BF132" i="6" s="1"/>
  <c r="AT131" i="6"/>
  <c r="AX131" i="6" s="1"/>
  <c r="BF131" i="6" s="1"/>
  <c r="AO127" i="6"/>
  <c r="AI133" i="6"/>
  <c r="AS131" i="6"/>
  <c r="AW131" i="6" s="1"/>
  <c r="BE131" i="6" s="1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Q81" i="6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BF133" i="6" l="1"/>
  <c r="F205" i="6"/>
  <c r="V219" i="6"/>
  <c r="E219" i="6"/>
  <c r="BF138" i="6"/>
  <c r="BF139" i="6" s="1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E133" i="6" l="1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AO138" i="6"/>
  <c r="AO139" i="6" s="1"/>
  <c r="AO143" i="6" s="1"/>
  <c r="AO213" i="6" s="1"/>
  <c r="AV11" i="59"/>
  <c r="AF209" i="6"/>
  <c r="AP218" i="6"/>
  <c r="AS133" i="6"/>
  <c r="AF214" i="6"/>
  <c r="AI11" i="59" s="1"/>
  <c r="AT139" i="6"/>
  <c r="AT143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Q215" i="6" l="1"/>
  <c r="Q220" i="6" s="1"/>
  <c r="E220" i="6"/>
  <c r="I11" i="59"/>
  <c r="BF143" i="6"/>
  <c r="U215" i="6"/>
  <c r="U220" i="6" s="1"/>
  <c r="AT217" i="6"/>
  <c r="AX143" i="6"/>
  <c r="AW138" i="6"/>
  <c r="AW139" i="6" s="1"/>
  <c r="AW143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81" i="7" s="1"/>
  <c r="H36" i="59" s="1"/>
  <c r="E164" i="10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06" i="45"/>
  <c r="F107" i="45" s="1"/>
  <c r="E70" i="1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X215" i="6" s="1"/>
  <c r="AX220" i="6" s="1"/>
  <c r="AW209" i="6"/>
  <c r="AW215" i="6" s="1"/>
  <c r="AW220" i="6" s="1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0" i="11"/>
  <c r="M164" i="10"/>
  <c r="AA164" i="10" s="1"/>
  <c r="AE164" i="10" s="1"/>
  <c r="AI164" i="10" s="1"/>
  <c r="I40" i="38"/>
  <c r="Q40" i="38" s="1"/>
  <c r="AE40" i="38" s="1"/>
  <c r="AI40" i="38" s="1"/>
  <c r="AM40" i="38" s="1"/>
  <c r="N106" i="45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3" i="38" l="1"/>
  <c r="BA23" i="38" s="1"/>
  <c r="AO90" i="8"/>
  <c r="BE216" i="6"/>
  <c r="BE207" i="6"/>
  <c r="BE208" i="6"/>
  <c r="BI23" i="38"/>
  <c r="BE90" i="8" s="1"/>
  <c r="AW90" i="8"/>
  <c r="BE205" i="6"/>
  <c r="AT220" i="6"/>
  <c r="BE210" i="6"/>
  <c r="BE204" i="6"/>
  <c r="BE211" i="6"/>
  <c r="BE203" i="6"/>
  <c r="BE212" i="6"/>
  <c r="BA91" i="8"/>
  <c r="BE219" i="6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4" i="10"/>
  <c r="AE26" i="36"/>
  <c r="AE25" i="36"/>
  <c r="AH76" i="59" s="1"/>
  <c r="AT18" i="38"/>
  <c r="AF26" i="36"/>
  <c r="AF25" i="36"/>
  <c r="AI76" i="59" s="1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K18" i="36" l="1"/>
  <c r="N56" i="59" s="1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U18" i="36"/>
  <c r="X56" i="59" s="1"/>
  <c r="O18" i="36"/>
  <c r="R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P25" i="36"/>
  <c r="AS76" i="59" s="1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4" i="10"/>
  <c r="AW164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25" i="36"/>
  <c r="AL76" i="59" s="1"/>
  <c r="AI18" i="36"/>
  <c r="AL56" i="59" s="1"/>
  <c r="AG18" i="36"/>
  <c r="AJ56" i="59" s="1"/>
  <c r="AE18" i="36"/>
  <c r="AH56" i="59" s="1"/>
  <c r="AJ26" i="36"/>
  <c r="AJ25" i="36"/>
  <c r="AM76" i="59" s="1"/>
  <c r="Y18" i="36"/>
  <c r="AB56" i="59" s="1"/>
  <c r="N18" i="21"/>
  <c r="R18" i="21" s="1"/>
  <c r="V18" i="21" s="1"/>
  <c r="F20" i="21"/>
  <c r="F456" i="28"/>
  <c r="F457" i="28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R20" i="21" l="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4" i="10"/>
  <c r="AX40" i="38"/>
  <c r="AW18" i="38"/>
  <c r="AO26" i="36"/>
  <c r="AO25" i="36"/>
  <c r="AR76" i="59" s="1"/>
  <c r="AW40" i="38"/>
  <c r="AT26" i="36"/>
  <c r="AT25" i="36"/>
  <c r="AW76" i="59" s="1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49" i="35"/>
  <c r="N48" i="35"/>
  <c r="E42" i="35"/>
  <c r="D42" i="35"/>
  <c r="F41" i="35"/>
  <c r="E41" i="35"/>
  <c r="M41" i="35" s="1"/>
  <c r="D41" i="35"/>
  <c r="E39" i="35"/>
  <c r="M39" i="35" s="1"/>
  <c r="D39" i="35"/>
  <c r="F36" i="35"/>
  <c r="F46" i="35" s="1"/>
  <c r="N46" i="35" s="1"/>
  <c r="AB46" i="35" s="1"/>
  <c r="E36" i="35"/>
  <c r="E28" i="28" s="1"/>
  <c r="M28" i="28" s="1"/>
  <c r="D36" i="35"/>
  <c r="D46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F25" i="36" s="1"/>
  <c r="BI76" i="59" s="1"/>
  <c r="AX25" i="36"/>
  <c r="BA76" i="59" s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49" i="35"/>
  <c r="AF49" i="35" s="1"/>
  <c r="AJ49" i="35" s="1"/>
  <c r="AP49" i="35" s="1"/>
  <c r="AT49" i="35" s="1"/>
  <c r="AX49" i="35" s="1"/>
  <c r="BF49" i="35" s="1"/>
  <c r="R49" i="35"/>
  <c r="V49" i="35" s="1"/>
  <c r="AA41" i="35"/>
  <c r="AE41" i="35" s="1"/>
  <c r="AI41" i="35" s="1"/>
  <c r="AO41" i="35" s="1"/>
  <c r="AS41" i="35" s="1"/>
  <c r="AW41" i="35" s="1"/>
  <c r="BE41" i="35" s="1"/>
  <c r="Q41" i="35"/>
  <c r="U41" i="35" s="1"/>
  <c r="AB48" i="35"/>
  <c r="AF48" i="35" s="1"/>
  <c r="AJ48" i="35" s="1"/>
  <c r="AP48" i="35" s="1"/>
  <c r="AT48" i="35" s="1"/>
  <c r="AX48" i="35" s="1"/>
  <c r="BF48" i="35" s="1"/>
  <c r="R48" i="35"/>
  <c r="V48" i="35" s="1"/>
  <c r="AI11" i="15"/>
  <c r="AO11" i="15" s="1"/>
  <c r="AS11" i="15" s="1"/>
  <c r="AA39" i="35"/>
  <c r="AE39" i="35" s="1"/>
  <c r="AI39" i="35" s="1"/>
  <c r="AO39" i="35" s="1"/>
  <c r="AS39" i="35" s="1"/>
  <c r="AW39" i="35" s="1"/>
  <c r="BE39" i="35" s="1"/>
  <c r="Q39" i="35"/>
  <c r="U39" i="35" s="1"/>
  <c r="E13" i="35"/>
  <c r="E8" i="6"/>
  <c r="D14" i="35"/>
  <c r="D15" i="35" s="1"/>
  <c r="D9" i="6"/>
  <c r="D13" i="35"/>
  <c r="D8" i="6"/>
  <c r="M10" i="35"/>
  <c r="E14" i="35"/>
  <c r="M14" i="35" s="1"/>
  <c r="M26" i="21"/>
  <c r="E28" i="21"/>
  <c r="AX17" i="38"/>
  <c r="AW17" i="38"/>
  <c r="AS25" i="36"/>
  <c r="AV76" i="59" s="1"/>
  <c r="AS26" i="36"/>
  <c r="D11" i="35"/>
  <c r="D10" i="6" s="1"/>
  <c r="M9" i="35"/>
  <c r="Q9" i="35" s="1"/>
  <c r="E11" i="35"/>
  <c r="E10" i="6" s="1"/>
  <c r="I28" i="28"/>
  <c r="E33" i="28"/>
  <c r="M33" i="28" s="1"/>
  <c r="E50" i="28"/>
  <c r="M50" i="28" s="1"/>
  <c r="M13" i="15"/>
  <c r="F6" i="6"/>
  <c r="M42" i="35"/>
  <c r="Q42" i="35" s="1"/>
  <c r="U42" i="35" s="1"/>
  <c r="I42" i="35"/>
  <c r="J41" i="35"/>
  <c r="N41" i="35"/>
  <c r="R41" i="35" s="1"/>
  <c r="F37" i="35"/>
  <c r="F47" i="35"/>
  <c r="D47" i="35"/>
  <c r="D37" i="35"/>
  <c r="E37" i="35"/>
  <c r="E46" i="35"/>
  <c r="BB17" i="38" l="1"/>
  <c r="AW25" i="36"/>
  <c r="AZ76" i="59" s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U47" i="35"/>
  <c r="U53" i="35" s="1"/>
  <c r="R47" i="35"/>
  <c r="R53" i="35" s="1"/>
  <c r="V41" i="35"/>
  <c r="V47" i="35" s="1"/>
  <c r="V53" i="35" s="1"/>
  <c r="Q47" i="35"/>
  <c r="Q53" i="35" s="1"/>
  <c r="F77" i="83"/>
  <c r="AA10" i="35"/>
  <c r="AA9" i="6" s="1"/>
  <c r="AA9" i="35"/>
  <c r="AA8" i="6" s="1"/>
  <c r="M8" i="6"/>
  <c r="G77" i="83"/>
  <c r="O77" i="83" s="1"/>
  <c r="AC77" i="83" s="1"/>
  <c r="G93" i="50"/>
  <c r="Q28" i="28"/>
  <c r="F18" i="6"/>
  <c r="M13" i="35"/>
  <c r="Q13" i="35" s="1"/>
  <c r="E15" i="35"/>
  <c r="M11" i="35"/>
  <c r="M10" i="6" s="1"/>
  <c r="U12" i="15"/>
  <c r="U13" i="15" s="1"/>
  <c r="I50" i="28"/>
  <c r="E55" i="28"/>
  <c r="M55" i="28" s="1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27" i="28"/>
  <c r="M427" i="28" s="1"/>
  <c r="AA427" i="28" s="1"/>
  <c r="F16" i="6"/>
  <c r="AA42" i="35"/>
  <c r="AE42" i="35" s="1"/>
  <c r="AB41" i="35"/>
  <c r="AF41" i="35" s="1"/>
  <c r="E47" i="35"/>
  <c r="E53" i="35" s="1"/>
  <c r="M46" i="35"/>
  <c r="F53" i="35"/>
  <c r="F17" i="6"/>
  <c r="F15" i="6"/>
  <c r="F7" i="6"/>
  <c r="BI17" i="38" l="1"/>
  <c r="BE25" i="36"/>
  <c r="BH76" i="59" s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F47" i="35"/>
  <c r="AF53" i="35" s="1"/>
  <c r="AJ41" i="35"/>
  <c r="AE47" i="35"/>
  <c r="AE53" i="35" s="1"/>
  <c r="AI42" i="35"/>
  <c r="AG77" i="83"/>
  <c r="Q50" i="28"/>
  <c r="AA13" i="35"/>
  <c r="AE13" i="35" s="1"/>
  <c r="M15" i="35"/>
  <c r="S77" i="83"/>
  <c r="Q23" i="59"/>
  <c r="E453" i="28"/>
  <c r="E430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M62" i="28" s="1"/>
  <c r="I55" i="28"/>
  <c r="E456" i="28"/>
  <c r="I427" i="28"/>
  <c r="I453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AA50" i="28"/>
  <c r="AE50" i="28" s="1"/>
  <c r="AI50" i="28" s="1"/>
  <c r="AO50" i="28" s="1"/>
  <c r="AS50" i="28" s="1"/>
  <c r="U50" i="28"/>
  <c r="N83" i="6"/>
  <c r="N82" i="6"/>
  <c r="N79" i="6"/>
  <c r="AE15" i="35"/>
  <c r="AI13" i="35"/>
  <c r="AI47" i="35"/>
  <c r="AI53" i="35" s="1"/>
  <c r="AO42" i="35"/>
  <c r="AJ47" i="35"/>
  <c r="AJ53" i="35" s="1"/>
  <c r="AP41" i="35"/>
  <c r="AK77" i="83"/>
  <c r="Q61" i="28"/>
  <c r="U61" i="28" s="1"/>
  <c r="N169" i="6"/>
  <c r="W77" i="83"/>
  <c r="I430" i="28"/>
  <c r="I62" i="28"/>
  <c r="E457" i="28"/>
  <c r="Q33" i="28"/>
  <c r="I77" i="28"/>
  <c r="I431" i="28" s="1"/>
  <c r="E81" i="28"/>
  <c r="E452" i="28"/>
  <c r="E451" i="28"/>
  <c r="E431" i="28"/>
  <c r="Q55" i="28"/>
  <c r="U55" i="28" s="1"/>
  <c r="U456" i="28" s="1"/>
  <c r="M456" i="28"/>
  <c r="R17" i="6"/>
  <c r="V17" i="6" s="1"/>
  <c r="F84" i="6"/>
  <c r="F81" i="6"/>
  <c r="F38" i="6"/>
  <c r="F39" i="6"/>
  <c r="F40" i="6"/>
  <c r="F37" i="6"/>
  <c r="R189" i="6" l="1"/>
  <c r="AW50" i="28"/>
  <c r="BE50" i="28" s="1"/>
  <c r="V164" i="6"/>
  <c r="V19" i="6"/>
  <c r="R169" i="6"/>
  <c r="V169" i="6" s="1"/>
  <c r="AA33" i="28"/>
  <c r="AE33" i="28" s="1"/>
  <c r="AI33" i="28" s="1"/>
  <c r="AO33" i="28" s="1"/>
  <c r="AS33" i="28" s="1"/>
  <c r="U33" i="28"/>
  <c r="AO47" i="35"/>
  <c r="AO53" i="35" s="1"/>
  <c r="AS42" i="35"/>
  <c r="AO13" i="35"/>
  <c r="BC15" i="35" s="1"/>
  <c r="AI15" i="35"/>
  <c r="AP47" i="35"/>
  <c r="AP53" i="35" s="1"/>
  <c r="AT41" i="35"/>
  <c r="AQ77" i="83"/>
  <c r="AU77" i="83" s="1"/>
  <c r="AY77" i="83" s="1"/>
  <c r="BG77" i="83" s="1"/>
  <c r="I81" i="28"/>
  <c r="M81" i="28"/>
  <c r="AA81" i="28" s="1"/>
  <c r="AE81" i="28" s="1"/>
  <c r="AI81" i="28" s="1"/>
  <c r="AO81" i="28" s="1"/>
  <c r="AS81" i="28" s="1"/>
  <c r="AA55" i="28"/>
  <c r="AE55" i="28" s="1"/>
  <c r="Y453" i="28"/>
  <c r="I452" i="28"/>
  <c r="I451" i="28"/>
  <c r="Q62" i="28"/>
  <c r="U62" i="28" s="1"/>
  <c r="U457" i="28" s="1"/>
  <c r="M457" i="28"/>
  <c r="M453" i="28"/>
  <c r="M430" i="28"/>
  <c r="Q427" i="28"/>
  <c r="Q453" i="28" s="1"/>
  <c r="R19" i="6"/>
  <c r="R164" i="6"/>
  <c r="F41" i="6"/>
  <c r="AW33" i="28" l="1"/>
  <c r="AW427" i="28" s="1"/>
  <c r="AW81" i="28"/>
  <c r="BE81" i="28" s="1"/>
  <c r="V40" i="6"/>
  <c r="V38" i="6"/>
  <c r="V39" i="6"/>
  <c r="V37" i="6"/>
  <c r="AE451" i="28"/>
  <c r="AO451" i="28"/>
  <c r="AA453" i="28"/>
  <c r="AE427" i="28"/>
  <c r="AE453" i="28" s="1"/>
  <c r="AS451" i="28"/>
  <c r="AI427" i="28"/>
  <c r="AO427" i="28" s="1"/>
  <c r="AO453" i="28" s="1"/>
  <c r="AI451" i="28"/>
  <c r="AS427" i="28"/>
  <c r="AS430" i="28" s="1"/>
  <c r="U427" i="28"/>
  <c r="U453" i="28" s="1"/>
  <c r="AT47" i="35"/>
  <c r="AT53" i="35" s="1"/>
  <c r="AX41" i="35"/>
  <c r="AS47" i="35"/>
  <c r="AS53" i="35" s="1"/>
  <c r="AW42" i="35"/>
  <c r="AS13" i="35"/>
  <c r="AO15" i="35"/>
  <c r="AI55" i="28"/>
  <c r="Q81" i="28"/>
  <c r="U81" i="28" s="1"/>
  <c r="M431" i="28"/>
  <c r="AA62" i="28"/>
  <c r="AE62" i="28" s="1"/>
  <c r="Y430" i="28"/>
  <c r="AA430" i="28"/>
  <c r="Q430" i="28"/>
  <c r="Q77" i="28"/>
  <c r="U77" i="28" s="1"/>
  <c r="M452" i="28"/>
  <c r="M451" i="28"/>
  <c r="R40" i="6"/>
  <c r="R38" i="6"/>
  <c r="R39" i="6"/>
  <c r="R37" i="6"/>
  <c r="V41" i="6" l="1"/>
  <c r="AW451" i="28"/>
  <c r="AW453" i="28"/>
  <c r="BE33" i="28"/>
  <c r="U452" i="28"/>
  <c r="AI431" i="28"/>
  <c r="AE430" i="28"/>
  <c r="AE452" i="28"/>
  <c r="AE431" i="28"/>
  <c r="AO430" i="28"/>
  <c r="AW431" i="28"/>
  <c r="AW452" i="28"/>
  <c r="AS453" i="28"/>
  <c r="AW430" i="28"/>
  <c r="AS431" i="28"/>
  <c r="AS452" i="28"/>
  <c r="AI430" i="28"/>
  <c r="AI453" i="28"/>
  <c r="AO452" i="28"/>
  <c r="AI452" i="28"/>
  <c r="AO431" i="28"/>
  <c r="U451" i="28"/>
  <c r="U430" i="28"/>
  <c r="U431" i="28"/>
  <c r="AW47" i="35"/>
  <c r="AW53" i="35" s="1"/>
  <c r="BE42" i="35"/>
  <c r="BE47" i="35" s="1"/>
  <c r="BE53" i="35" s="1"/>
  <c r="AX47" i="35"/>
  <c r="AX53" i="35" s="1"/>
  <c r="BF41" i="35"/>
  <c r="BF47" i="35" s="1"/>
  <c r="BF53" i="35" s="1"/>
  <c r="AS15" i="35"/>
  <c r="AW13" i="35"/>
  <c r="AO55" i="28"/>
  <c r="AI62" i="28"/>
  <c r="AA452" i="28"/>
  <c r="AA451" i="28"/>
  <c r="AA431" i="28"/>
  <c r="Y452" i="28"/>
  <c r="Y451" i="28"/>
  <c r="Y431" i="28"/>
  <c r="Q452" i="28"/>
  <c r="Q451" i="28"/>
  <c r="Q431" i="28"/>
  <c r="R41" i="6"/>
  <c r="K52" i="71"/>
  <c r="H52" i="71"/>
  <c r="BE451" i="28" l="1"/>
  <c r="BE427" i="28"/>
  <c r="AW15" i="35"/>
  <c r="BE13" i="35"/>
  <c r="BE15" i="35" s="1"/>
  <c r="AS55" i="28"/>
  <c r="AO62" i="28"/>
  <c r="BE453" i="28" l="1"/>
  <c r="BE430" i="28"/>
  <c r="BE452" i="28"/>
  <c r="BE431" i="28"/>
  <c r="AW55" i="28"/>
  <c r="BE55" i="28" s="1"/>
  <c r="AS62" i="28"/>
  <c r="AW62" i="28" l="1"/>
  <c r="BE62" i="28" s="1"/>
  <c r="W7" i="72"/>
  <c r="F50" i="71"/>
  <c r="CO50" i="71"/>
  <c r="CO52" i="71" s="1"/>
  <c r="CK50" i="71"/>
  <c r="CK52" i="71" s="1"/>
  <c r="V50" i="71"/>
  <c r="R50" i="71"/>
  <c r="N50" i="71"/>
  <c r="F52" i="71" l="1"/>
  <c r="BM50" i="71"/>
  <c r="BM52" i="71" s="1"/>
  <c r="CG50" i="71"/>
  <c r="CG52" i="71" s="1"/>
  <c r="CQ50" i="71"/>
  <c r="CQ52" i="71" s="1"/>
  <c r="CA50" i="71"/>
  <c r="CA52" i="71" s="1"/>
  <c r="CU50" i="71"/>
  <c r="BW50" i="71"/>
  <c r="BW52" i="71" s="1"/>
  <c r="BY50" i="71"/>
  <c r="BO50" i="71"/>
  <c r="C39" i="72"/>
  <c r="I52" i="71"/>
  <c r="W50" i="71"/>
  <c r="Y7" i="72"/>
  <c r="AC7" i="72" s="1"/>
  <c r="AG7" i="72" s="1"/>
  <c r="BA52" i="71"/>
  <c r="BE52" i="71"/>
  <c r="AU52" i="71"/>
  <c r="AW52" i="71"/>
  <c r="C41" i="72" l="1"/>
  <c r="K39" i="72"/>
  <c r="Y39" i="72" s="1"/>
  <c r="AC39" i="72" s="1"/>
  <c r="AG39" i="72" s="1"/>
  <c r="AM39" i="72" s="1"/>
  <c r="AQ39" i="72" s="1"/>
  <c r="AU39" i="72" s="1"/>
  <c r="BC39" i="72" s="1"/>
  <c r="O39" i="72"/>
  <c r="S39" i="72" s="1"/>
  <c r="G39" i="72"/>
  <c r="CC50" i="71"/>
  <c r="CC52" i="71" s="1"/>
  <c r="CS50" i="71"/>
  <c r="CS52" i="71" s="1"/>
  <c r="BU50" i="71"/>
  <c r="BQ50" i="71"/>
  <c r="A84" i="9"/>
  <c r="CE50" i="71" l="1"/>
  <c r="O41" i="72"/>
  <c r="AM7" i="72"/>
  <c r="CI50" i="71" l="1"/>
  <c r="AQ7" i="72"/>
  <c r="AU7" i="72" s="1"/>
  <c r="CM50" i="71" l="1"/>
  <c r="BA41" i="72"/>
  <c r="X167" i="26"/>
  <c r="L167" i="26"/>
  <c r="BC7" i="72" l="1"/>
  <c r="Z167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0" i="52"/>
  <c r="N30" i="52"/>
  <c r="M30" i="52"/>
  <c r="L30" i="52"/>
  <c r="H30" i="52"/>
  <c r="G30" i="52"/>
  <c r="F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O23" i="52"/>
  <c r="K23" i="52"/>
  <c r="N14" i="52"/>
  <c r="N13" i="52"/>
  <c r="N12" i="52"/>
  <c r="N9" i="52"/>
  <c r="N7" i="52"/>
  <c r="N6" i="52"/>
  <c r="N5" i="52"/>
  <c r="M14" i="52"/>
  <c r="M13" i="52"/>
  <c r="M12" i="52"/>
  <c r="M9" i="52"/>
  <c r="M7" i="52"/>
  <c r="M6" i="52"/>
  <c r="M5" i="52"/>
  <c r="Q12" i="52" l="1"/>
  <c r="U12" i="52" s="1"/>
  <c r="AA12" i="52"/>
  <c r="AE12" i="52" s="1"/>
  <c r="AI12" i="52" s="1"/>
  <c r="AO12" i="52" s="1"/>
  <c r="R13" i="52"/>
  <c r="V13" i="52" s="1"/>
  <c r="AB13" i="52"/>
  <c r="AF13" i="52" s="1"/>
  <c r="AJ13" i="52" s="1"/>
  <c r="AP13" i="52" s="1"/>
  <c r="AT13" i="52" s="1"/>
  <c r="AX13" i="52" s="1"/>
  <c r="BF13" i="52" s="1"/>
  <c r="Q6" i="52"/>
  <c r="U6" i="52" s="1"/>
  <c r="AA6" i="52"/>
  <c r="AE6" i="52" s="1"/>
  <c r="AI6" i="52" s="1"/>
  <c r="AO6" i="52" s="1"/>
  <c r="AS6" i="52" s="1"/>
  <c r="AW6" i="52" s="1"/>
  <c r="BE6" i="52" s="1"/>
  <c r="Q13" i="52"/>
  <c r="U13" i="52" s="1"/>
  <c r="AA13" i="52"/>
  <c r="AE13" i="52" s="1"/>
  <c r="AI13" i="52" s="1"/>
  <c r="AO13" i="52" s="1"/>
  <c r="AS13" i="52" s="1"/>
  <c r="AW13" i="52" s="1"/>
  <c r="BE13" i="52" s="1"/>
  <c r="R7" i="52"/>
  <c r="V7" i="52" s="1"/>
  <c r="AB7" i="52"/>
  <c r="AF7" i="52" s="1"/>
  <c r="AJ7" i="52" s="1"/>
  <c r="AP7" i="52" s="1"/>
  <c r="AT7" i="52" s="1"/>
  <c r="AX7" i="52" s="1"/>
  <c r="BF7" i="52" s="1"/>
  <c r="R14" i="52"/>
  <c r="V14" i="52" s="1"/>
  <c r="AB14" i="52"/>
  <c r="AF14" i="52" s="1"/>
  <c r="AJ14" i="52" s="1"/>
  <c r="AP14" i="52" s="1"/>
  <c r="AT14" i="52" s="1"/>
  <c r="AX14" i="52" s="1"/>
  <c r="BF14" i="52" s="1"/>
  <c r="R12" i="52"/>
  <c r="V12" i="52" s="1"/>
  <c r="AB12" i="52"/>
  <c r="AF12" i="52" s="1"/>
  <c r="AJ12" i="52" s="1"/>
  <c r="AP12" i="52" s="1"/>
  <c r="AT12" i="52" s="1"/>
  <c r="AX12" i="52" s="1"/>
  <c r="BF12" i="52" s="1"/>
  <c r="R6" i="52"/>
  <c r="V6" i="52" s="1"/>
  <c r="AB6" i="52"/>
  <c r="AF6" i="52" s="1"/>
  <c r="AJ6" i="52" s="1"/>
  <c r="AP6" i="52" s="1"/>
  <c r="AT6" i="52" s="1"/>
  <c r="AX6" i="52" s="1"/>
  <c r="BF6" i="52" s="1"/>
  <c r="Q7" i="52"/>
  <c r="U7" i="52" s="1"/>
  <c r="AA7" i="52"/>
  <c r="AE7" i="52" s="1"/>
  <c r="AI7" i="52" s="1"/>
  <c r="AO7" i="52" s="1"/>
  <c r="AS7" i="52" s="1"/>
  <c r="AW7" i="52" s="1"/>
  <c r="BE7" i="52" s="1"/>
  <c r="Q14" i="52"/>
  <c r="U14" i="52" s="1"/>
  <c r="AA14" i="52"/>
  <c r="AE14" i="52" s="1"/>
  <c r="AI14" i="52" s="1"/>
  <c r="AO14" i="52" s="1"/>
  <c r="AS14" i="52" s="1"/>
  <c r="AW14" i="52" s="1"/>
  <c r="BE14" i="52" s="1"/>
  <c r="N15" i="52"/>
  <c r="M15" i="52"/>
  <c r="AA9" i="52"/>
  <c r="Q9" i="52"/>
  <c r="U9" i="52" s="1"/>
  <c r="AB9" i="52"/>
  <c r="AF9" i="52" s="1"/>
  <c r="R9" i="52"/>
  <c r="V9" i="52" s="1"/>
  <c r="AA5" i="52"/>
  <c r="AE5" i="52" s="1"/>
  <c r="Q5" i="52"/>
  <c r="U5" i="52" s="1"/>
  <c r="AB5" i="52"/>
  <c r="AF5" i="52" s="1"/>
  <c r="R5" i="52"/>
  <c r="V5" i="52" s="1"/>
  <c r="P26" i="52"/>
  <c r="T26" i="52" s="1"/>
  <c r="P24" i="52"/>
  <c r="T24" i="52" s="1"/>
  <c r="P28" i="52"/>
  <c r="T28" i="52" s="1"/>
  <c r="P23" i="52"/>
  <c r="T23" i="52" s="1"/>
  <c r="P25" i="52"/>
  <c r="T25" i="52" s="1"/>
  <c r="P27" i="52"/>
  <c r="T27" i="52" s="1"/>
  <c r="P29" i="52"/>
  <c r="T29" i="52" s="1"/>
  <c r="O30" i="52"/>
  <c r="K30" i="52"/>
  <c r="AS12" i="52" l="1"/>
  <c r="AW12" i="52" s="1"/>
  <c r="BE12" i="52" s="1"/>
  <c r="U15" i="52"/>
  <c r="AJ5" i="52"/>
  <c r="AF8" i="52"/>
  <c r="AA15" i="52"/>
  <c r="AE9" i="52"/>
  <c r="AI5" i="52"/>
  <c r="AE8" i="52"/>
  <c r="AJ9" i="52"/>
  <c r="AF15" i="52"/>
  <c r="V8" i="52"/>
  <c r="U8" i="52"/>
  <c r="V15" i="52"/>
  <c r="AB15" i="52"/>
  <c r="Q15" i="52"/>
  <c r="R15" i="52"/>
  <c r="AB8" i="52"/>
  <c r="R8" i="52"/>
  <c r="Q8" i="52"/>
  <c r="AA8" i="52"/>
  <c r="T30" i="52"/>
  <c r="P30" i="52"/>
  <c r="U16" i="52" l="1"/>
  <c r="AO5" i="52"/>
  <c r="AI8" i="52"/>
  <c r="AF16" i="52"/>
  <c r="AI9" i="52"/>
  <c r="AE15" i="52"/>
  <c r="AE16" i="52" s="1"/>
  <c r="V16" i="52"/>
  <c r="AP9" i="52"/>
  <c r="AJ15" i="52"/>
  <c r="AP5" i="52"/>
  <c r="AJ8" i="52"/>
  <c r="R16" i="52"/>
  <c r="AA16" i="52"/>
  <c r="Q16" i="52"/>
  <c r="AB16" i="52"/>
  <c r="AP8" i="52" l="1"/>
  <c r="AT5" i="52"/>
  <c r="AO8" i="52"/>
  <c r="AS5" i="52"/>
  <c r="AP15" i="52"/>
  <c r="AT9" i="52"/>
  <c r="AJ16" i="52"/>
  <c r="AO9" i="52"/>
  <c r="AI15" i="52"/>
  <c r="AI16" i="52" s="1"/>
  <c r="N97" i="8"/>
  <c r="AT15" i="52" l="1"/>
  <c r="AX9" i="52"/>
  <c r="AS8" i="52"/>
  <c r="AW5" i="52"/>
  <c r="AT8" i="52"/>
  <c r="AX5" i="52"/>
  <c r="AP16" i="52"/>
  <c r="AO15" i="52"/>
  <c r="AO16" i="52" s="1"/>
  <c r="AS9" i="52"/>
  <c r="R97" i="8"/>
  <c r="V97" i="8" s="1"/>
  <c r="AB97" i="8"/>
  <c r="AF97" i="8" s="1"/>
  <c r="AJ97" i="8" s="1"/>
  <c r="AS15" i="52" l="1"/>
  <c r="AS16" i="52" s="1"/>
  <c r="AW9" i="52"/>
  <c r="BF9" i="52"/>
  <c r="BF15" i="52" s="1"/>
  <c r="AX15" i="52"/>
  <c r="BF5" i="52"/>
  <c r="BF8" i="52" s="1"/>
  <c r="AX8" i="52"/>
  <c r="BE5" i="52"/>
  <c r="BE8" i="52" s="1"/>
  <c r="AW8" i="52"/>
  <c r="AT16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6" i="52"/>
  <c r="BF16" i="52"/>
  <c r="BE9" i="52"/>
  <c r="BE15" i="52" s="1"/>
  <c r="BE16" i="52" s="1"/>
  <c r="AW15" i="52"/>
  <c r="AW16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X93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25" i="45" l="1"/>
  <c r="S125" i="45" s="1"/>
  <c r="W125" i="45" s="1"/>
  <c r="K120" i="45"/>
  <c r="AC125" i="45" l="1"/>
  <c r="AG125" i="45" s="1"/>
  <c r="AC120" i="45"/>
  <c r="AG120" i="45" s="1"/>
  <c r="S120" i="45"/>
  <c r="W120" i="45" s="1"/>
  <c r="AK120" i="45" l="1"/>
  <c r="AQ120" i="45" s="1"/>
  <c r="AU120" i="45" s="1"/>
  <c r="AK125" i="45"/>
  <c r="AQ125" i="45" s="1"/>
  <c r="AU125" i="45" s="1"/>
  <c r="AA4" i="61"/>
  <c r="AA16" i="61" s="1"/>
  <c r="AY125" i="45" l="1"/>
  <c r="BG125" i="45" s="1"/>
  <c r="AY120" i="45"/>
  <c r="BG120" i="45" s="1"/>
  <c r="AA103" i="45"/>
  <c r="Z103" i="45"/>
  <c r="AA101" i="45"/>
  <c r="Z101" i="45"/>
  <c r="AA6" i="45"/>
  <c r="AA5" i="45"/>
  <c r="Z5" i="45"/>
  <c r="AA2" i="45"/>
  <c r="AA110" i="45" s="1"/>
  <c r="Z2" i="45"/>
  <c r="Z110" i="45" s="1"/>
  <c r="Z83" i="11"/>
  <c r="Z88" i="11" s="1"/>
  <c r="Z79" i="11"/>
  <c r="Z78" i="11"/>
  <c r="Z7" i="11"/>
  <c r="Z5" i="11"/>
  <c r="Y5" i="11"/>
  <c r="Z2" i="11"/>
  <c r="Z74" i="11" s="1"/>
  <c r="Y2" i="11"/>
  <c r="Y74" i="11" s="1"/>
  <c r="Z177" i="10"/>
  <c r="Z182" i="10" s="1"/>
  <c r="Z172" i="10"/>
  <c r="Z173" i="10"/>
  <c r="Z5" i="10"/>
  <c r="Z153" i="10" s="1"/>
  <c r="Y5" i="10"/>
  <c r="Y153" i="10" s="1"/>
  <c r="Z2" i="10"/>
  <c r="Z168" i="10" s="1"/>
  <c r="Y2" i="10"/>
  <c r="Y168" i="10" s="1"/>
  <c r="D100" i="9"/>
  <c r="D95" i="9"/>
  <c r="D92" i="9"/>
  <c r="D90" i="9"/>
  <c r="D89" i="9"/>
  <c r="D74" i="9"/>
  <c r="D79" i="9" s="1"/>
  <c r="G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A89" i="45" l="1"/>
  <c r="AA139" i="45"/>
  <c r="AA143" i="45" s="1"/>
  <c r="AY79" i="9"/>
  <c r="AU79" i="9"/>
  <c r="AQ79" i="9"/>
  <c r="AK79" i="9"/>
  <c r="AG79" i="9"/>
  <c r="AC79" i="9"/>
  <c r="AJ18" i="9"/>
  <c r="AP18" i="9" s="1"/>
  <c r="AT18" i="9" s="1"/>
  <c r="W79" i="9"/>
  <c r="S79" i="9"/>
  <c r="O79" i="9"/>
  <c r="K79" i="9"/>
  <c r="AA119" i="50"/>
  <c r="Z53" i="11"/>
  <c r="Z52" i="11"/>
  <c r="AB15" i="9"/>
  <c r="AF15" i="9" s="1"/>
  <c r="AJ15" i="9" s="1"/>
  <c r="AJ89" i="9" s="1"/>
  <c r="AA105" i="45"/>
  <c r="AA122" i="45"/>
  <c r="AA117" i="45"/>
  <c r="Z69" i="11"/>
  <c r="E79" i="9"/>
  <c r="Y51" i="9"/>
  <c r="AA15" i="9"/>
  <c r="AE15" i="9" s="1"/>
  <c r="AI15" i="9" s="1"/>
  <c r="AI89" i="9" s="1"/>
  <c r="Z163" i="10"/>
  <c r="Z21" i="36"/>
  <c r="AA88" i="45"/>
  <c r="AA126" i="45" s="1"/>
  <c r="AA128" i="45" s="1"/>
  <c r="Z105" i="45"/>
  <c r="Z91" i="45"/>
  <c r="Y69" i="11"/>
  <c r="Y55" i="11"/>
  <c r="Z56" i="11"/>
  <c r="Z86" i="11"/>
  <c r="D25" i="9"/>
  <c r="D91" i="9"/>
  <c r="Z80" i="11"/>
  <c r="Z81" i="11" s="1"/>
  <c r="Z180" i="10"/>
  <c r="Y163" i="10"/>
  <c r="AA104" i="45"/>
  <c r="Z104" i="45"/>
  <c r="Z102" i="45"/>
  <c r="AB73" i="59" s="1"/>
  <c r="AA102" i="45"/>
  <c r="AC73" i="59" s="1"/>
  <c r="Z90" i="11"/>
  <c r="Y160" i="10"/>
  <c r="AB65" i="59" s="1"/>
  <c r="Z158" i="10"/>
  <c r="Z174" i="10"/>
  <c r="Z181" i="10" s="1"/>
  <c r="Z162" i="10"/>
  <c r="Y162" i="10"/>
  <c r="Z160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59" i="7" s="1"/>
  <c r="D99" i="7" s="1"/>
  <c r="D49" i="7"/>
  <c r="D1" i="7"/>
  <c r="AX18" i="9" l="1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D32" i="7"/>
  <c r="D97" i="7" s="1"/>
  <c r="D26" i="7"/>
  <c r="D89" i="7" s="1"/>
  <c r="Z95" i="11"/>
  <c r="AA115" i="50"/>
  <c r="AP7" i="9"/>
  <c r="AF38" i="36"/>
  <c r="AF16" i="36" s="1"/>
  <c r="AF89" i="9"/>
  <c r="AP8" i="9"/>
  <c r="AE89" i="9"/>
  <c r="Z55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57" i="11"/>
  <c r="AA91" i="45"/>
  <c r="Z23" i="36" s="1"/>
  <c r="AA92" i="45"/>
  <c r="AA93" i="45" s="1"/>
  <c r="D22" i="7"/>
  <c r="D25" i="7"/>
  <c r="D28" i="7"/>
  <c r="D24" i="7"/>
  <c r="D27" i="7"/>
  <c r="D23" i="7"/>
  <c r="D64" i="8"/>
  <c r="D34" i="8" s="1"/>
  <c r="Z87" i="11"/>
  <c r="D81" i="7"/>
  <c r="D79" i="7"/>
  <c r="D74" i="7"/>
  <c r="D76" i="7"/>
  <c r="D26" i="8"/>
  <c r="D78" i="7"/>
  <c r="D36" i="8"/>
  <c r="Z175" i="10"/>
  <c r="Z82" i="11"/>
  <c r="D42" i="8"/>
  <c r="U56" i="7" l="1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J20" i="7"/>
  <c r="AW31" i="7"/>
  <c r="AW96" i="7" s="1"/>
  <c r="AI31" i="7"/>
  <c r="AI96" i="7" s="1"/>
  <c r="U22" i="7"/>
  <c r="U85" i="7" s="1"/>
  <c r="AW22" i="7"/>
  <c r="AI22" i="7"/>
  <c r="U23" i="7"/>
  <c r="U86" i="7" s="1"/>
  <c r="X30" i="59" s="1"/>
  <c r="AW23" i="7"/>
  <c r="AW86" i="7" s="1"/>
  <c r="AZ30" i="59" s="1"/>
  <c r="AI23" i="7"/>
  <c r="AI86" i="7" s="1"/>
  <c r="AW27" i="7"/>
  <c r="AW90" i="7" s="1"/>
  <c r="AI27" i="7"/>
  <c r="AI90" i="7" s="1"/>
  <c r="U24" i="7"/>
  <c r="AW24" i="7"/>
  <c r="AW87" i="7" s="1"/>
  <c r="AZ31" i="59" s="1"/>
  <c r="AI24" i="7"/>
  <c r="AI87" i="7" s="1"/>
  <c r="AW30" i="7"/>
  <c r="AW93" i="7" s="1"/>
  <c r="AZ35" i="59" s="1"/>
  <c r="AI30" i="7"/>
  <c r="AI93" i="7" s="1"/>
  <c r="U31" i="7"/>
  <c r="U96" i="7" s="1"/>
  <c r="M31" i="7"/>
  <c r="U87" i="7"/>
  <c r="X31" i="59" s="1"/>
  <c r="U29" i="7"/>
  <c r="U92" i="7" s="1"/>
  <c r="X34" i="59" s="1"/>
  <c r="M29" i="7"/>
  <c r="M92" i="7" s="1"/>
  <c r="P34" i="59" s="1"/>
  <c r="U30" i="7"/>
  <c r="U93" i="7" s="1"/>
  <c r="X35" i="59" s="1"/>
  <c r="M30" i="7"/>
  <c r="U35" i="7"/>
  <c r="U100" i="7" s="1"/>
  <c r="M35" i="7"/>
  <c r="M100" i="7" s="1"/>
  <c r="U28" i="7"/>
  <c r="U91" i="7" s="1"/>
  <c r="X33" i="59" s="1"/>
  <c r="M28" i="7"/>
  <c r="Q26" i="7"/>
  <c r="Q89" i="7" s="1"/>
  <c r="U26" i="7"/>
  <c r="U89" i="7" s="1"/>
  <c r="U27" i="7"/>
  <c r="U90" i="7" s="1"/>
  <c r="M27" i="7"/>
  <c r="M90" i="7" s="1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M94" i="7" s="1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29" i="7"/>
  <c r="AO92" i="7" s="1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A86" i="7" s="1"/>
  <c r="BD30" i="59" s="1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27" i="7"/>
  <c r="AM90" i="7" s="1"/>
  <c r="AO27" i="7"/>
  <c r="AO90" i="7" s="1"/>
  <c r="AS31" i="7"/>
  <c r="AS96" i="7" s="1"/>
  <c r="AM31" i="7"/>
  <c r="AM96" i="7" s="1"/>
  <c r="AO31" i="7"/>
  <c r="AO96" i="7" s="1"/>
  <c r="AM88" i="7"/>
  <c r="AS30" i="7"/>
  <c r="AS93" i="7" s="1"/>
  <c r="AV35" i="59" s="1"/>
  <c r="AM30" i="7"/>
  <c r="AM93" i="7" s="1"/>
  <c r="AP35" i="59" s="1"/>
  <c r="AO30" i="7"/>
  <c r="AO93" i="7" s="1"/>
  <c r="AR35" i="59" s="1"/>
  <c r="AL35" i="59"/>
  <c r="AO15" i="9"/>
  <c r="AS24" i="7"/>
  <c r="AS87" i="7" s="1"/>
  <c r="AV31" i="59" s="1"/>
  <c r="AO24" i="7"/>
  <c r="AO87" i="7" s="1"/>
  <c r="AR31" i="59" s="1"/>
  <c r="AM24" i="7"/>
  <c r="AL31" i="59"/>
  <c r="AE22" i="7"/>
  <c r="AE85" i="7" s="1"/>
  <c r="AS22" i="7"/>
  <c r="AM22" i="7"/>
  <c r="AO22" i="7"/>
  <c r="AF20" i="7"/>
  <c r="AT8" i="9"/>
  <c r="AX8" i="9" s="1"/>
  <c r="AP15" i="9"/>
  <c r="AJ38" i="36"/>
  <c r="AE25" i="7"/>
  <c r="AE98" i="7" s="1"/>
  <c r="AH32" i="59" s="1"/>
  <c r="AS25" i="7"/>
  <c r="AS98" i="7" s="1"/>
  <c r="AV32" i="59" s="1"/>
  <c r="AM25" i="7"/>
  <c r="AO25" i="7"/>
  <c r="AS23" i="7"/>
  <c r="AS86" i="7" s="1"/>
  <c r="AV30" i="59" s="1"/>
  <c r="AO23" i="7"/>
  <c r="AO86" i="7" s="1"/>
  <c r="AR30" i="59" s="1"/>
  <c r="AM23" i="7"/>
  <c r="AM86" i="7" s="1"/>
  <c r="AP30" i="59" s="1"/>
  <c r="AS28" i="7"/>
  <c r="AS91" i="7" s="1"/>
  <c r="AV33" i="59" s="1"/>
  <c r="AO28" i="7"/>
  <c r="AO91" i="7" s="1"/>
  <c r="AR33" i="59" s="1"/>
  <c r="AM28" i="7"/>
  <c r="AM91" i="7" s="1"/>
  <c r="AP33" i="59" s="1"/>
  <c r="AL33" i="59"/>
  <c r="AT7" i="9"/>
  <c r="AX7" i="9" s="1"/>
  <c r="AA24" i="7"/>
  <c r="AE24" i="7"/>
  <c r="AE87" i="7" s="1"/>
  <c r="AH31" i="59" s="1"/>
  <c r="AA23" i="7"/>
  <c r="AE23" i="7"/>
  <c r="AE86" i="7" s="1"/>
  <c r="AH30" i="59" s="1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87" i="7" s="1"/>
  <c r="Q25" i="7"/>
  <c r="M91" i="7"/>
  <c r="P33" i="59" s="1"/>
  <c r="M25" i="7"/>
  <c r="M23" i="7"/>
  <c r="M86" i="7" s="1"/>
  <c r="P30" i="59" s="1"/>
  <c r="M93" i="7"/>
  <c r="P35" i="59" s="1"/>
  <c r="M22" i="7"/>
  <c r="M88" i="7"/>
  <c r="M24" i="7"/>
  <c r="M87" i="7" s="1"/>
  <c r="P31" i="59" s="1"/>
  <c r="M96" i="7"/>
  <c r="Y23" i="7"/>
  <c r="Y86" i="7" s="1"/>
  <c r="Y28" i="7"/>
  <c r="Y91" i="7" s="1"/>
  <c r="Y31" i="7"/>
  <c r="Y96" i="7" s="1"/>
  <c r="Y30" i="7"/>
  <c r="Y93" i="7" s="1"/>
  <c r="Y24" i="7"/>
  <c r="Y87" i="7" s="1"/>
  <c r="Y22" i="7"/>
  <c r="Y85" i="7" s="1"/>
  <c r="AA22" i="7"/>
  <c r="Y27" i="7"/>
  <c r="Y90" i="7" s="1"/>
  <c r="Y25" i="7"/>
  <c r="BE87" i="7" l="1"/>
  <c r="BH31" i="59" s="1"/>
  <c r="AM98" i="7"/>
  <c r="AP32" i="59" s="1"/>
  <c r="BE98" i="7"/>
  <c r="BH32" i="59" s="1"/>
  <c r="BA98" i="7"/>
  <c r="BD32" i="59" s="1"/>
  <c r="M98" i="7"/>
  <c r="P32" i="59" s="1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U101" i="7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38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M85" i="7"/>
  <c r="D61" i="7"/>
  <c r="D75" i="7"/>
  <c r="U75" i="7" l="1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3" i="35" l="1"/>
  <c r="W53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0" i="11" l="1"/>
  <c r="AB82" i="11"/>
  <c r="K4" i="61" l="1"/>
  <c r="K16" i="61" s="1"/>
  <c r="N176" i="10" l="1"/>
  <c r="N184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S18" i="15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T15" i="36"/>
  <c r="W53" i="59" l="1"/>
  <c r="T74" i="8"/>
  <c r="BE60" i="9"/>
  <c r="BE77" i="9" s="1"/>
  <c r="AS79" i="9"/>
  <c r="BE62" i="9" l="1"/>
  <c r="BE79" i="9" s="1"/>
  <c r="Z89" i="11" l="1"/>
  <c r="AC68" i="59" l="1"/>
  <c r="Z76" i="11"/>
  <c r="AC70" i="59" s="1"/>
  <c r="Z93" i="11"/>
  <c r="Z91" i="11"/>
  <c r="AA111" i="45"/>
  <c r="Z111" i="45"/>
  <c r="AA109" i="45"/>
  <c r="Z109" i="45"/>
  <c r="AA108" i="45"/>
  <c r="Z75" i="11"/>
  <c r="Y75" i="11"/>
  <c r="Z73" i="11"/>
  <c r="Y73" i="11"/>
  <c r="Z72" i="11"/>
  <c r="J7" i="11"/>
  <c r="AB7" i="11" l="1"/>
  <c r="AF7" i="11" s="1"/>
  <c r="J56" i="11"/>
  <c r="J53" i="11"/>
  <c r="J52" i="11"/>
  <c r="AJ7" i="11" l="1"/>
  <c r="AF53" i="11"/>
  <c r="AF56" i="11"/>
  <c r="AF52" i="11"/>
  <c r="AF89" i="11" s="1"/>
  <c r="J189" i="10"/>
  <c r="J57" i="11"/>
  <c r="AB53" i="11"/>
  <c r="AB56" i="11"/>
  <c r="AB52" i="11"/>
  <c r="Z112" i="45"/>
  <c r="AA112" i="45"/>
  <c r="AJ53" i="11" l="1"/>
  <c r="AJ56" i="11"/>
  <c r="AJ57" i="11" s="1"/>
  <c r="AJ52" i="11"/>
  <c r="AJ89" i="11" s="1"/>
  <c r="AP7" i="11"/>
  <c r="AF57" i="11"/>
  <c r="AF95" i="11"/>
  <c r="AF91" i="11"/>
  <c r="AB95" i="11"/>
  <c r="AB57" i="11"/>
  <c r="AC74" i="59"/>
  <c r="AB72" i="59"/>
  <c r="AA130" i="45"/>
  <c r="AT7" i="11" l="1"/>
  <c r="AX7" i="11" s="1"/>
  <c r="AP56" i="11"/>
  <c r="AP52" i="11"/>
  <c r="AP89" i="11" s="1"/>
  <c r="AP91" i="11" s="1"/>
  <c r="AP53" i="11"/>
  <c r="AP95" i="11" s="1"/>
  <c r="AJ91" i="11"/>
  <c r="AJ95" i="11"/>
  <c r="R189" i="10"/>
  <c r="AC72" i="59"/>
  <c r="AX53" i="11" l="1"/>
  <c r="AX52" i="11"/>
  <c r="AX89" i="11" s="1"/>
  <c r="AX91" i="11" s="1"/>
  <c r="AX56" i="11"/>
  <c r="AX57" i="11" s="1"/>
  <c r="AP57" i="11"/>
  <c r="AT56" i="11"/>
  <c r="AT53" i="11"/>
  <c r="AT95" i="11" s="1"/>
  <c r="AT52" i="11"/>
  <c r="AT89" i="11" s="1"/>
  <c r="AT91" i="11" s="1"/>
  <c r="H90" i="17"/>
  <c r="H89" i="17"/>
  <c r="L89" i="17" s="1"/>
  <c r="P89" i="17" s="1"/>
  <c r="T89" i="17" s="1"/>
  <c r="H32" i="27"/>
  <c r="AT57" i="11" l="1"/>
  <c r="BF7" i="11"/>
  <c r="AX95" i="11"/>
  <c r="L90" i="17"/>
  <c r="P90" i="17" s="1"/>
  <c r="P32" i="27"/>
  <c r="T32" i="27" s="1"/>
  <c r="Z89" i="17"/>
  <c r="AD89" i="17" s="1"/>
  <c r="AH89" i="17" s="1"/>
  <c r="BF52" i="11" l="1"/>
  <c r="BF56" i="11"/>
  <c r="BF53" i="11"/>
  <c r="BF95" i="11" s="1"/>
  <c r="T90" i="17"/>
  <c r="X90" i="17" s="1"/>
  <c r="AN89" i="17"/>
  <c r="Z32" i="27"/>
  <c r="AD32" i="27" s="1"/>
  <c r="AR89" i="17" l="1"/>
  <c r="AV89" i="17" s="1"/>
  <c r="BD89" i="17" s="1"/>
  <c r="BF89" i="11"/>
  <c r="AH32" i="27"/>
  <c r="AN32" i="27" s="1"/>
  <c r="AR32" i="27" s="1"/>
  <c r="BF57" i="11"/>
  <c r="X17" i="26"/>
  <c r="X15" i="26"/>
  <c r="X11" i="26"/>
  <c r="X9" i="26"/>
  <c r="BF91" i="11" l="1"/>
  <c r="AV32" i="27"/>
  <c r="BD32" i="27" s="1"/>
  <c r="X12" i="26"/>
  <c r="X19" i="26" s="1"/>
  <c r="R31" i="36" l="1"/>
  <c r="Q31" i="36"/>
  <c r="J5" i="45"/>
  <c r="J105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91" i="45" l="1"/>
  <c r="V91" i="45"/>
  <c r="AP5" i="45"/>
  <c r="AF91" i="45"/>
  <c r="AB79" i="59"/>
  <c r="Z29" i="36"/>
  <c r="Y7" i="15" s="1"/>
  <c r="Z28" i="36"/>
  <c r="Y6" i="15" s="1"/>
  <c r="Z27" i="36"/>
  <c r="Y5" i="15" s="1"/>
  <c r="AB91" i="45"/>
  <c r="AB77" i="59"/>
  <c r="AB78" i="59"/>
  <c r="Y42" i="36"/>
  <c r="AP91" i="45" l="1"/>
  <c r="AR72" i="59" s="1"/>
  <c r="AT5" i="45"/>
  <c r="AX5" i="45" s="1"/>
  <c r="AX91" i="45" s="1"/>
  <c r="F154" i="10"/>
  <c r="F155" i="10" s="1"/>
  <c r="AT91" i="45" l="1"/>
  <c r="AV72" i="59" s="1"/>
  <c r="BF5" i="45" l="1"/>
  <c r="AZ72" i="59"/>
  <c r="N183" i="10"/>
  <c r="N187" i="10" s="1"/>
  <c r="BF91" i="45" l="1"/>
  <c r="N185" i="10"/>
  <c r="AC4" i="61"/>
  <c r="N170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/>
  <c r="AU4" i="61"/>
  <c r="AY4" i="61" s="1"/>
  <c r="AY16" i="61" s="1"/>
  <c r="R7" i="11"/>
  <c r="V7" i="11" s="1"/>
  <c r="I20" i="8"/>
  <c r="J20" i="8"/>
  <c r="V53" i="11" l="1"/>
  <c r="V56" i="11"/>
  <c r="V57" i="11" s="1"/>
  <c r="V52" i="11"/>
  <c r="V89" i="11" s="1"/>
  <c r="AU16" i="61"/>
  <c r="R53" i="11"/>
  <c r="R56" i="11"/>
  <c r="R52" i="11"/>
  <c r="V91" i="11" l="1"/>
  <c r="V95" i="11"/>
  <c r="BG4" i="61"/>
  <c r="BG16" i="61" s="1"/>
  <c r="R57" i="11"/>
  <c r="S90" i="45"/>
  <c r="AC118" i="45"/>
  <c r="AC127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8" i="52"/>
  <c r="G8" i="52"/>
  <c r="H8" i="52"/>
  <c r="K8" i="52"/>
  <c r="L8" i="52"/>
  <c r="AN17" i="26" l="1"/>
  <c r="AR17" i="26" s="1"/>
  <c r="G16" i="52"/>
  <c r="F16" i="52"/>
  <c r="H16" i="52"/>
  <c r="L16" i="52"/>
  <c r="K16" i="52"/>
  <c r="M8" i="52"/>
  <c r="N8" i="52"/>
  <c r="AV17" i="26" l="1"/>
  <c r="BD17" i="26" s="1"/>
  <c r="N16" i="52"/>
  <c r="M16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K139" i="45" s="1"/>
  <c r="K143" i="45" s="1"/>
  <c r="I21" i="8"/>
  <c r="AH11" i="26" l="1"/>
  <c r="AN11" i="26" s="1"/>
  <c r="AR11" i="26" s="1"/>
  <c r="AH9" i="26"/>
  <c r="T18" i="26"/>
  <c r="N154" i="10"/>
  <c r="N155" i="10" s="1"/>
  <c r="AD12" i="26"/>
  <c r="P18" i="26"/>
  <c r="K89" i="45"/>
  <c r="K88" i="45"/>
  <c r="R81" i="7"/>
  <c r="L19" i="26"/>
  <c r="Z12" i="26"/>
  <c r="Z19" i="26" s="1"/>
  <c r="J154" i="10"/>
  <c r="J155" i="10" s="1"/>
  <c r="H19" i="26"/>
  <c r="K119" i="50" l="1"/>
  <c r="AV11" i="26"/>
  <c r="BD11" i="26" s="1"/>
  <c r="AH12" i="26"/>
  <c r="AH19" i="26" s="1"/>
  <c r="AN9" i="26"/>
  <c r="K115" i="50"/>
  <c r="R154" i="10"/>
  <c r="R155" i="10" s="1"/>
  <c r="AD19" i="26"/>
  <c r="AD18" i="26"/>
  <c r="K92" i="45"/>
  <c r="K93" i="45" s="1"/>
  <c r="Z18" i="26"/>
  <c r="AA17" i="26"/>
  <c r="AE17" i="26" s="1"/>
  <c r="AH18" i="26" l="1"/>
  <c r="AH13" i="26"/>
  <c r="AI17" i="26"/>
  <c r="AO17" i="26" s="1"/>
  <c r="AS17" i="26" s="1"/>
  <c r="AR9" i="26"/>
  <c r="AV9" i="26" s="1"/>
  <c r="AV12" i="26" s="1"/>
  <c r="AN12" i="26"/>
  <c r="AF154" i="10"/>
  <c r="AF155" i="10" s="1"/>
  <c r="E8" i="52"/>
  <c r="H69" i="59"/>
  <c r="H65" i="59"/>
  <c r="AW17" i="26" l="1"/>
  <c r="BE17" i="26" s="1"/>
  <c r="AV18" i="26"/>
  <c r="AV13" i="26"/>
  <c r="AV19" i="26"/>
  <c r="AK115" i="50"/>
  <c r="AN18" i="26"/>
  <c r="AN19" i="26"/>
  <c r="AR12" i="26"/>
  <c r="O115" i="50"/>
  <c r="S115" i="50"/>
  <c r="W115" i="50"/>
  <c r="AC115" i="50"/>
  <c r="E16" i="52"/>
  <c r="AR19" i="26" l="1"/>
  <c r="AR18" i="26"/>
  <c r="BD9" i="26"/>
  <c r="BD12" i="26" s="1"/>
  <c r="AG115" i="50"/>
  <c r="BD18" i="26" l="1"/>
  <c r="BD19" i="26"/>
  <c r="R176" i="10"/>
  <c r="R184" i="10"/>
  <c r="AB89" i="11" l="1"/>
  <c r="AB91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5" i="36"/>
  <c r="BB36" i="36" s="1"/>
  <c r="H144" i="7" l="1"/>
  <c r="BB30" i="36"/>
  <c r="BE80" i="59" s="1"/>
  <c r="BD35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BL118" i="7" s="1"/>
  <c r="BN118" i="7" s="1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4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15" i="45"/>
  <c r="K114" i="45"/>
  <c r="K103" i="45"/>
  <c r="J103" i="45"/>
  <c r="I73" i="59"/>
  <c r="H73" i="59"/>
  <c r="K101" i="45"/>
  <c r="J101" i="45"/>
  <c r="K5" i="45"/>
  <c r="K91" i="45" s="1"/>
  <c r="K2" i="45"/>
  <c r="K110" i="45" s="1"/>
  <c r="J2" i="45"/>
  <c r="N2" i="45" l="1"/>
  <c r="N110" i="45" s="1"/>
  <c r="J110" i="45"/>
  <c r="AT49" i="36"/>
  <c r="BF41" i="36"/>
  <c r="BF49" i="36" s="1"/>
  <c r="AC101" i="45"/>
  <c r="AG101" i="45" s="1"/>
  <c r="AK101" i="45" s="1"/>
  <c r="N108" i="45"/>
  <c r="N111" i="45"/>
  <c r="N109" i="45"/>
  <c r="Z99" i="45"/>
  <c r="S114" i="45"/>
  <c r="W114" i="45" s="1"/>
  <c r="W116" i="45" s="1"/>
  <c r="AC114" i="45"/>
  <c r="AG114" i="45" s="1"/>
  <c r="AK114" i="45" s="1"/>
  <c r="AA99" i="45"/>
  <c r="R2" i="45"/>
  <c r="V2" i="45" s="1"/>
  <c r="AB2" i="45"/>
  <c r="AF2" i="45" s="1"/>
  <c r="AJ2" i="45" s="1"/>
  <c r="AP2" i="45" s="1"/>
  <c r="AT2" i="45" s="1"/>
  <c r="AX2" i="45" s="1"/>
  <c r="BF2" i="45" s="1"/>
  <c r="S115" i="45"/>
  <c r="W115" i="45" s="1"/>
  <c r="AC115" i="45"/>
  <c r="AG115" i="45" s="1"/>
  <c r="AA106" i="45"/>
  <c r="N23" i="36"/>
  <c r="Q72" i="59" s="1"/>
  <c r="J102" i="45"/>
  <c r="L73" i="59" s="1"/>
  <c r="K102" i="45"/>
  <c r="M73" i="59" s="1"/>
  <c r="J109" i="45"/>
  <c r="J108" i="45"/>
  <c r="J111" i="45"/>
  <c r="K109" i="45"/>
  <c r="K108" i="45"/>
  <c r="O2" i="45"/>
  <c r="O110" i="45" s="1"/>
  <c r="K111" i="45"/>
  <c r="I74" i="59"/>
  <c r="H74" i="59"/>
  <c r="K104" i="45"/>
  <c r="O112" i="45"/>
  <c r="Q74" i="59" s="1"/>
  <c r="K106" i="45"/>
  <c r="K122" i="45"/>
  <c r="K105" i="45"/>
  <c r="J99" i="45"/>
  <c r="O116" i="45"/>
  <c r="K99" i="45"/>
  <c r="S101" i="45"/>
  <c r="W101" i="45" s="1"/>
  <c r="J104" i="45"/>
  <c r="K116" i="45"/>
  <c r="AK115" i="45" l="1"/>
  <c r="AK116" i="45" s="1"/>
  <c r="W123" i="45"/>
  <c r="R110" i="45"/>
  <c r="V110" i="45" s="1"/>
  <c r="AB110" i="45"/>
  <c r="AF110" i="45" s="1"/>
  <c r="AJ110" i="45" s="1"/>
  <c r="AP110" i="45" s="1"/>
  <c r="AT110" i="45" s="1"/>
  <c r="AX110" i="45" s="1"/>
  <c r="AQ114" i="45"/>
  <c r="AQ101" i="45"/>
  <c r="AU101" i="45" s="1"/>
  <c r="AY101" i="45" s="1"/>
  <c r="AG116" i="45"/>
  <c r="O108" i="45"/>
  <c r="O109" i="45"/>
  <c r="O111" i="45"/>
  <c r="AC103" i="45"/>
  <c r="AG103" i="45" s="1"/>
  <c r="AK103" i="45" s="1"/>
  <c r="AK102" i="45" s="1"/>
  <c r="AB103" i="45"/>
  <c r="AF103" i="45" s="1"/>
  <c r="AJ103" i="45" s="1"/>
  <c r="AC5" i="45"/>
  <c r="AG5" i="45" s="1"/>
  <c r="AK5" i="45" s="1"/>
  <c r="N112" i="45"/>
  <c r="P74" i="59" s="1"/>
  <c r="S116" i="45"/>
  <c r="S123" i="45" s="1"/>
  <c r="AC116" i="45"/>
  <c r="AC123" i="45" s="1"/>
  <c r="S2" i="45"/>
  <c r="W2" i="45" s="1"/>
  <c r="AC2" i="45"/>
  <c r="AG2" i="45" s="1"/>
  <c r="AK2" i="45" s="1"/>
  <c r="AQ2" i="45" s="1"/>
  <c r="AU2" i="45" s="1"/>
  <c r="AY2" i="45" s="1"/>
  <c r="BG2" i="45" s="1"/>
  <c r="R101" i="45"/>
  <c r="V101" i="45" s="1"/>
  <c r="AB101" i="45"/>
  <c r="AF101" i="45" s="1"/>
  <c r="AJ101" i="45" s="1"/>
  <c r="AA100" i="45"/>
  <c r="Z100" i="45"/>
  <c r="R109" i="45"/>
  <c r="V109" i="45" s="1"/>
  <c r="AB109" i="45"/>
  <c r="AF109" i="45" s="1"/>
  <c r="R111" i="45"/>
  <c r="V111" i="45" s="1"/>
  <c r="AB111" i="45"/>
  <c r="AF111" i="45" s="1"/>
  <c r="O122" i="45"/>
  <c r="S5" i="45"/>
  <c r="J100" i="45"/>
  <c r="AB99" i="45"/>
  <c r="AF99" i="45" s="1"/>
  <c r="AC106" i="45"/>
  <c r="AG106" i="45" s="1"/>
  <c r="AK106" i="45" s="1"/>
  <c r="K123" i="45"/>
  <c r="K117" i="45"/>
  <c r="O104" i="45"/>
  <c r="S103" i="45"/>
  <c r="W103" i="45" s="1"/>
  <c r="W102" i="45" s="1"/>
  <c r="O102" i="45"/>
  <c r="Q73" i="59" s="1"/>
  <c r="K100" i="45"/>
  <c r="AC99" i="45"/>
  <c r="AG99" i="45" s="1"/>
  <c r="AK99" i="45" s="1"/>
  <c r="AK100" i="45" s="1"/>
  <c r="O123" i="45"/>
  <c r="O117" i="45"/>
  <c r="N104" i="45"/>
  <c r="R103" i="45"/>
  <c r="V103" i="45" s="1"/>
  <c r="N102" i="45"/>
  <c r="P73" i="59" s="1"/>
  <c r="K127" i="45"/>
  <c r="K118" i="45"/>
  <c r="AK117" i="45" l="1"/>
  <c r="AK123" i="45"/>
  <c r="W104" i="45"/>
  <c r="S110" i="45"/>
  <c r="W110" i="45" s="1"/>
  <c r="V104" i="45"/>
  <c r="V102" i="45"/>
  <c r="X73" i="59" s="1"/>
  <c r="V112" i="45"/>
  <c r="W5" i="45"/>
  <c r="AJ104" i="45"/>
  <c r="AJ102" i="45"/>
  <c r="AJ112" i="45"/>
  <c r="AL74" i="59" s="1"/>
  <c r="AK104" i="45"/>
  <c r="AJ99" i="45"/>
  <c r="AJ100" i="45" s="1"/>
  <c r="AQ115" i="45"/>
  <c r="AU115" i="45" s="1"/>
  <c r="AK122" i="45"/>
  <c r="AC110" i="45"/>
  <c r="AG110" i="45" s="1"/>
  <c r="AK110" i="45" s="1"/>
  <c r="AQ110" i="45" s="1"/>
  <c r="AU110" i="45" s="1"/>
  <c r="AY110" i="45" s="1"/>
  <c r="AJ111" i="45"/>
  <c r="AP111" i="45" s="1"/>
  <c r="AT111" i="45" s="1"/>
  <c r="AJ109" i="45"/>
  <c r="AP109" i="45" s="1"/>
  <c r="AT109" i="45" s="1"/>
  <c r="BG101" i="45"/>
  <c r="AU114" i="45"/>
  <c r="AY114" i="45" s="1"/>
  <c r="AQ103" i="45"/>
  <c r="AU103" i="45" s="1"/>
  <c r="AY103" i="45" s="1"/>
  <c r="AM73" i="59"/>
  <c r="AF100" i="45"/>
  <c r="AQ5" i="45"/>
  <c r="AG100" i="45"/>
  <c r="AP103" i="45"/>
  <c r="AT103" i="45" s="1"/>
  <c r="AX103" i="45" s="1"/>
  <c r="AG122" i="45"/>
  <c r="AF102" i="45"/>
  <c r="AH73" i="59" s="1"/>
  <c r="AF104" i="45"/>
  <c r="AF112" i="45"/>
  <c r="AH74" i="59" s="1"/>
  <c r="AG104" i="45"/>
  <c r="AG102" i="45"/>
  <c r="AI73" i="59" s="1"/>
  <c r="AG123" i="45"/>
  <c r="AG117" i="45"/>
  <c r="Y73" i="59"/>
  <c r="AC105" i="45"/>
  <c r="AG105" i="45" s="1"/>
  <c r="AK105" i="45" s="1"/>
  <c r="AC102" i="45"/>
  <c r="AE73" i="59" s="1"/>
  <c r="AC104" i="45"/>
  <c r="AC122" i="45"/>
  <c r="AB112" i="45"/>
  <c r="AC6" i="45"/>
  <c r="AC117" i="45"/>
  <c r="AB102" i="45"/>
  <c r="AD73" i="59" s="1"/>
  <c r="AC100" i="45"/>
  <c r="AB104" i="45"/>
  <c r="R105" i="45"/>
  <c r="V105" i="45" s="1"/>
  <c r="AB105" i="45"/>
  <c r="AF105" i="45" s="1"/>
  <c r="S108" i="45"/>
  <c r="W108" i="45" s="1"/>
  <c r="AC108" i="45"/>
  <c r="AG108" i="45" s="1"/>
  <c r="S109" i="45"/>
  <c r="W109" i="45" s="1"/>
  <c r="AC109" i="45"/>
  <c r="AG109" i="45" s="1"/>
  <c r="S111" i="45"/>
  <c r="W111" i="45" s="1"/>
  <c r="AC111" i="45"/>
  <c r="AG111" i="45" s="1"/>
  <c r="AB100" i="45"/>
  <c r="S6" i="45"/>
  <c r="S117" i="45"/>
  <c r="S122" i="45"/>
  <c r="S105" i="45"/>
  <c r="R104" i="45"/>
  <c r="R102" i="45"/>
  <c r="T73" i="59" s="1"/>
  <c r="S99" i="45"/>
  <c r="W99" i="45" s="1"/>
  <c r="W100" i="45" s="1"/>
  <c r="O100" i="45"/>
  <c r="K126" i="45"/>
  <c r="S106" i="45"/>
  <c r="W106" i="45" s="1"/>
  <c r="O127" i="45"/>
  <c r="O118" i="45"/>
  <c r="R99" i="45"/>
  <c r="V99" i="45" s="1"/>
  <c r="V100" i="45" s="1"/>
  <c r="N100" i="45"/>
  <c r="S127" i="45"/>
  <c r="S118" i="45"/>
  <c r="S104" i="45"/>
  <c r="S102" i="45"/>
  <c r="U73" i="59" s="1"/>
  <c r="AG6" i="45" l="1"/>
  <c r="AC139" i="45"/>
  <c r="AC143" i="45" s="1"/>
  <c r="W6" i="45"/>
  <c r="W139" i="45" s="1"/>
  <c r="W143" i="45" s="1"/>
  <c r="S139" i="45"/>
  <c r="S143" i="45" s="1"/>
  <c r="W105" i="45"/>
  <c r="AY115" i="45"/>
  <c r="BG115" i="45" s="1"/>
  <c r="AX109" i="45"/>
  <c r="BF109" i="45" s="1"/>
  <c r="AX112" i="45"/>
  <c r="AZ74" i="59" s="1"/>
  <c r="AY102" i="45"/>
  <c r="BA73" i="59" s="1"/>
  <c r="AY104" i="45"/>
  <c r="AX111" i="45"/>
  <c r="BF111" i="45" s="1"/>
  <c r="AP99" i="45"/>
  <c r="AT99" i="45" s="1"/>
  <c r="AJ105" i="45"/>
  <c r="AP105" i="45" s="1"/>
  <c r="AT105" i="45" s="1"/>
  <c r="W122" i="45"/>
  <c r="W117" i="45"/>
  <c r="AQ116" i="45"/>
  <c r="AQ123" i="45" s="1"/>
  <c r="W88" i="45"/>
  <c r="AK111" i="45"/>
  <c r="AQ111" i="45" s="1"/>
  <c r="AU111" i="45" s="1"/>
  <c r="AK109" i="45"/>
  <c r="AQ109" i="45" s="1"/>
  <c r="AU109" i="45" s="1"/>
  <c r="AK108" i="45"/>
  <c r="AQ108" i="45" s="1"/>
  <c r="AU108" i="45" s="1"/>
  <c r="AU116" i="45"/>
  <c r="AU123" i="45" s="1"/>
  <c r="BG103" i="45"/>
  <c r="BF103" i="45"/>
  <c r="AU102" i="45"/>
  <c r="AW73" i="59" s="1"/>
  <c r="AU104" i="45"/>
  <c r="AT112" i="45"/>
  <c r="AV74" i="59" s="1"/>
  <c r="AQ122" i="45"/>
  <c r="AU5" i="45"/>
  <c r="AY5" i="45" s="1"/>
  <c r="AY122" i="45" s="1"/>
  <c r="AQ105" i="45"/>
  <c r="AP101" i="45"/>
  <c r="AP102" i="45" s="1"/>
  <c r="AR73" i="59" s="1"/>
  <c r="AP112" i="45"/>
  <c r="AR74" i="59" s="1"/>
  <c r="AQ99" i="45"/>
  <c r="AL73" i="59"/>
  <c r="AQ102" i="45"/>
  <c r="AS73" i="59" s="1"/>
  <c r="AQ104" i="45"/>
  <c r="AQ106" i="45"/>
  <c r="AG89" i="45"/>
  <c r="AG88" i="45"/>
  <c r="AC89" i="45"/>
  <c r="AC119" i="50" s="1"/>
  <c r="S89" i="45"/>
  <c r="AC88" i="45"/>
  <c r="AC126" i="45" s="1"/>
  <c r="S88" i="45"/>
  <c r="AD72" i="59"/>
  <c r="R100" i="45"/>
  <c r="K128" i="45"/>
  <c r="O126" i="45"/>
  <c r="S100" i="45"/>
  <c r="W89" i="45" l="1"/>
  <c r="W92" i="45" s="1"/>
  <c r="W93" i="45" s="1"/>
  <c r="AK6" i="45"/>
  <c r="AG139" i="45"/>
  <c r="AG143" i="45" s="1"/>
  <c r="AQ117" i="45"/>
  <c r="S119" i="50"/>
  <c r="AG126" i="45"/>
  <c r="AG128" i="45" s="1"/>
  <c r="W126" i="45"/>
  <c r="W128" i="45" s="1"/>
  <c r="AG119" i="50"/>
  <c r="AY116" i="45"/>
  <c r="AY123" i="45" s="1"/>
  <c r="AY109" i="45"/>
  <c r="BG109" i="45" s="1"/>
  <c r="AX105" i="45"/>
  <c r="BF105" i="45" s="1"/>
  <c r="AY111" i="45"/>
  <c r="BG111" i="45" s="1"/>
  <c r="AX99" i="45"/>
  <c r="BF99" i="45" s="1"/>
  <c r="AY108" i="45"/>
  <c r="BG108" i="45" s="1"/>
  <c r="AU122" i="45"/>
  <c r="BG114" i="45"/>
  <c r="BF112" i="45"/>
  <c r="AP104" i="45"/>
  <c r="BG102" i="45"/>
  <c r="BG104" i="45"/>
  <c r="AU105" i="45"/>
  <c r="AY105" i="45" s="1"/>
  <c r="AP100" i="45"/>
  <c r="AT101" i="45"/>
  <c r="AX101" i="45" s="1"/>
  <c r="AU117" i="45"/>
  <c r="AU106" i="45"/>
  <c r="AY106" i="45" s="1"/>
  <c r="AQ100" i="45"/>
  <c r="AU99" i="45"/>
  <c r="AY99" i="45" s="1"/>
  <c r="AY100" i="45" s="1"/>
  <c r="AG91" i="45"/>
  <c r="AF23" i="36" s="1"/>
  <c r="AI72" i="59" s="1"/>
  <c r="AG112" i="45"/>
  <c r="AI74" i="59" s="1"/>
  <c r="AG92" i="45"/>
  <c r="AG93" i="45" s="1"/>
  <c r="W119" i="50"/>
  <c r="S92" i="45"/>
  <c r="S93" i="45" s="1"/>
  <c r="S91" i="45"/>
  <c r="S112" i="45"/>
  <c r="U74" i="59" s="1"/>
  <c r="AC91" i="45"/>
  <c r="AE72" i="59" s="1"/>
  <c r="AC92" i="45"/>
  <c r="AC93" i="45" s="1"/>
  <c r="AC112" i="45"/>
  <c r="AE74" i="59" s="1"/>
  <c r="AC128" i="45"/>
  <c r="S126" i="45"/>
  <c r="O128" i="45"/>
  <c r="W112" i="45" l="1"/>
  <c r="Y74" i="59" s="1"/>
  <c r="W91" i="45"/>
  <c r="AK139" i="45"/>
  <c r="AK143" i="45" s="1"/>
  <c r="AK88" i="45"/>
  <c r="AK126" i="45" s="1"/>
  <c r="AK128" i="45" s="1"/>
  <c r="AQ6" i="45"/>
  <c r="AK89" i="45"/>
  <c r="AY117" i="45"/>
  <c r="BH74" i="59"/>
  <c r="BG116" i="45"/>
  <c r="BI73" i="59"/>
  <c r="AX102" i="45"/>
  <c r="AZ73" i="59" s="1"/>
  <c r="AX100" i="45"/>
  <c r="AX104" i="45"/>
  <c r="AU100" i="45"/>
  <c r="BG5" i="45"/>
  <c r="BF101" i="45"/>
  <c r="AT104" i="45"/>
  <c r="AT100" i="45"/>
  <c r="AT102" i="45"/>
  <c r="AV73" i="59" s="1"/>
  <c r="U72" i="59"/>
  <c r="R23" i="36"/>
  <c r="AB23" i="36"/>
  <c r="S128" i="45"/>
  <c r="AK92" i="45" l="1"/>
  <c r="AK93" i="45" s="1"/>
  <c r="AK91" i="45"/>
  <c r="AJ23" i="36" s="1"/>
  <c r="AM72" i="59" s="1"/>
  <c r="AK112" i="45"/>
  <c r="AM74" i="59" s="1"/>
  <c r="AU6" i="45"/>
  <c r="AQ139" i="45"/>
  <c r="AQ143" i="45" s="1"/>
  <c r="AQ89" i="45"/>
  <c r="AQ88" i="45"/>
  <c r="AQ126" i="45" s="1"/>
  <c r="AQ128" i="45" s="1"/>
  <c r="BG122" i="45"/>
  <c r="BG105" i="45"/>
  <c r="BG123" i="45"/>
  <c r="Y72" i="59"/>
  <c r="V23" i="36"/>
  <c r="BG117" i="45"/>
  <c r="BG99" i="45"/>
  <c r="BG106" i="45"/>
  <c r="BF100" i="45"/>
  <c r="BF104" i="45"/>
  <c r="BF102" i="45"/>
  <c r="AQ112" i="45" l="1"/>
  <c r="AS74" i="59" s="1"/>
  <c r="AQ92" i="45"/>
  <c r="AQ93" i="45" s="1"/>
  <c r="AQ91" i="45"/>
  <c r="AY6" i="45"/>
  <c r="AU139" i="45"/>
  <c r="AU143" i="45" s="1"/>
  <c r="AU89" i="45"/>
  <c r="AU88" i="45"/>
  <c r="AU126" i="45" s="1"/>
  <c r="AU128" i="45" s="1"/>
  <c r="BH73" i="59"/>
  <c r="BG100" i="45"/>
  <c r="BC13" i="36"/>
  <c r="BF40" i="59" s="1"/>
  <c r="AP23" i="36" l="1"/>
  <c r="AS72" i="59"/>
  <c r="AU112" i="45"/>
  <c r="AW74" i="59" s="1"/>
  <c r="AU91" i="45"/>
  <c r="AU92" i="45"/>
  <c r="AU93" i="45" s="1"/>
  <c r="AY139" i="45"/>
  <c r="AY143" i="45" s="1"/>
  <c r="BG6" i="45"/>
  <c r="AY88" i="45"/>
  <c r="AY126" i="45" s="1"/>
  <c r="AY128" i="45" s="1"/>
  <c r="AY89" i="45"/>
  <c r="Z3" i="22"/>
  <c r="Y3" i="22"/>
  <c r="J3" i="22"/>
  <c r="N3" i="22" s="1"/>
  <c r="R3" i="22" s="1"/>
  <c r="AB3" i="22" s="1"/>
  <c r="AF3" i="22" s="1"/>
  <c r="AJ3" i="22" s="1"/>
  <c r="AP3" i="22" s="1"/>
  <c r="AT3" i="22" s="1"/>
  <c r="AX3" i="22" s="1"/>
  <c r="BF3" i="22" s="1"/>
  <c r="I3" i="22"/>
  <c r="M3" i="22" s="1"/>
  <c r="Q3" i="22" s="1"/>
  <c r="AA3" i="22" s="1"/>
  <c r="AE3" i="22" s="1"/>
  <c r="AI3" i="22" s="1"/>
  <c r="AO3" i="22" s="1"/>
  <c r="AS3" i="22" s="1"/>
  <c r="AW3" i="22" s="1"/>
  <c r="BE3" i="22" s="1"/>
  <c r="AY112" i="45" l="1"/>
  <c r="BA74" i="59" s="1"/>
  <c r="AY91" i="45"/>
  <c r="AY92" i="45"/>
  <c r="AY93" i="45" s="1"/>
  <c r="AW72" i="59"/>
  <c r="AT23" i="36"/>
  <c r="BG139" i="45"/>
  <c r="BG143" i="45" s="1"/>
  <c r="BG88" i="45"/>
  <c r="BG89" i="45"/>
  <c r="Y2" i="27"/>
  <c r="X2" i="27"/>
  <c r="BG91" i="45" l="1"/>
  <c r="BG112" i="45"/>
  <c r="BG92" i="45"/>
  <c r="BA72" i="59"/>
  <c r="AX23" i="36"/>
  <c r="BG126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1" i="72" s="1"/>
  <c r="Z45" i="9"/>
  <c r="AB45" i="9" s="1"/>
  <c r="AF45" i="9" s="1"/>
  <c r="Z38" i="9"/>
  <c r="W41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2" i="71" l="1"/>
  <c r="BO76" i="99"/>
  <c r="BG93" i="45"/>
  <c r="BI74" i="59"/>
  <c r="BG128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2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2" i="17"/>
  <c r="Y116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2" i="17"/>
  <c r="X116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BQ76" i="99" l="1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1" i="72"/>
  <c r="AE29" i="9"/>
  <c r="BT76" i="99" s="1"/>
  <c r="BP52" i="71"/>
  <c r="AJ94" i="9"/>
  <c r="AI18" i="15" s="1"/>
  <c r="AJ93" i="9"/>
  <c r="AJ53" i="9"/>
  <c r="AJ32" i="9"/>
  <c r="AP32" i="9" s="1"/>
  <c r="AT32" i="9" s="1"/>
  <c r="AJ25" i="9"/>
  <c r="AJ52" i="9" s="1"/>
  <c r="AF29" i="9"/>
  <c r="BQ52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5" i="17"/>
  <c r="X67" i="17"/>
  <c r="X69" i="17" s="1"/>
  <c r="Y79" i="17"/>
  <c r="X51" i="17"/>
  <c r="X115" i="17"/>
  <c r="X15" i="17"/>
  <c r="Y113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BU52" i="71" l="1"/>
  <c r="BU76" i="99"/>
  <c r="AW38" i="9"/>
  <c r="BE38" i="9" s="1"/>
  <c r="AI29" i="9"/>
  <c r="BT52" i="71"/>
  <c r="AX32" i="9"/>
  <c r="BF32" i="9" s="1"/>
  <c r="Z129" i="7"/>
  <c r="AJ35" i="9"/>
  <c r="AP35" i="9" s="1"/>
  <c r="AT35" i="9" s="1"/>
  <c r="AJ29" i="9"/>
  <c r="BY76" i="99" s="1"/>
  <c r="AI19" i="35"/>
  <c r="AJ31" i="9"/>
  <c r="AP31" i="9" s="1"/>
  <c r="AT31" i="9" s="1"/>
  <c r="AJ34" i="9"/>
  <c r="AP34" i="9" s="1"/>
  <c r="AT34" i="9" s="1"/>
  <c r="AJ30" i="9"/>
  <c r="AP30" i="9" s="1"/>
  <c r="AT30" i="9" s="1"/>
  <c r="AJ38" i="9"/>
  <c r="AC41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7" i="17"/>
  <c r="X55" i="17"/>
  <c r="X113" i="17"/>
  <c r="X117" i="17" s="1"/>
  <c r="AB37" i="9"/>
  <c r="AF37" i="9" s="1"/>
  <c r="AJ37" i="9" s="1"/>
  <c r="Z130" i="7"/>
  <c r="Z25" i="9"/>
  <c r="Z93" i="9"/>
  <c r="BX52" i="71" l="1"/>
  <c r="BX76" i="99"/>
  <c r="AX30" i="9"/>
  <c r="BF30" i="9" s="1"/>
  <c r="AX35" i="9"/>
  <c r="BF35" i="9" s="1"/>
  <c r="AX34" i="9"/>
  <c r="BF34" i="9" s="1"/>
  <c r="AX31" i="9"/>
  <c r="BF31" i="9" s="1"/>
  <c r="AO29" i="9"/>
  <c r="AP29" i="9"/>
  <c r="CE76" i="99" s="1"/>
  <c r="BY52" i="71"/>
  <c r="AT46" i="9"/>
  <c r="AP20" i="35"/>
  <c r="AT20" i="35" s="1"/>
  <c r="AX20" i="35" s="1"/>
  <c r="BF20" i="35" s="1"/>
  <c r="AO19" i="35"/>
  <c r="AS19" i="35" s="1"/>
  <c r="AW19" i="35" s="1"/>
  <c r="BE19" i="35" s="1"/>
  <c r="AP38" i="9"/>
  <c r="AT38" i="9" s="1"/>
  <c r="AG41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CD52" i="71" l="1"/>
  <c r="CD76" i="99"/>
  <c r="AJ64" i="7"/>
  <c r="AP64" i="7" s="1"/>
  <c r="AT64" i="7" s="1"/>
  <c r="AJ65" i="7"/>
  <c r="AJ33" i="7" s="1"/>
  <c r="AJ95" i="7" s="1"/>
  <c r="AX10" i="9"/>
  <c r="AX38" i="9"/>
  <c r="BF38" i="9" s="1"/>
  <c r="BC41" i="72" s="1"/>
  <c r="AT29" i="9"/>
  <c r="CI76" i="99" s="1"/>
  <c r="CE52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5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1" i="7"/>
  <c r="Z143" i="7" s="1"/>
  <c r="Z144" i="7" s="1"/>
  <c r="Y65" i="7"/>
  <c r="Z135" i="7"/>
  <c r="Z137" i="7" s="1"/>
  <c r="Z138" i="7" s="1"/>
  <c r="Z65" i="7"/>
  <c r="Z73" i="7"/>
  <c r="Y73" i="7"/>
  <c r="X120" i="7"/>
  <c r="X121" i="7" s="1"/>
  <c r="AX64" i="7" l="1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52" i="71"/>
  <c r="AX29" i="9"/>
  <c r="CH52" i="71"/>
  <c r="AW29" i="9"/>
  <c r="AX37" i="9"/>
  <c r="BF37" i="9" s="1"/>
  <c r="AF32" i="7"/>
  <c r="AF97" i="7" s="1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6" i="7"/>
  <c r="AF89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CM52" i="71" l="1"/>
  <c r="CM76" i="99"/>
  <c r="CL52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4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X65" i="7" s="1"/>
  <c r="AX33" i="7" s="1"/>
  <c r="AX95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P59" i="7" l="1"/>
  <c r="AP99" i="7" s="1"/>
  <c r="AP33" i="7"/>
  <c r="AP95" i="7" s="1"/>
  <c r="CU52" i="71"/>
  <c r="CU76" i="99"/>
  <c r="CT52" i="71"/>
  <c r="CT76" i="99"/>
  <c r="AX66" i="7"/>
  <c r="BF66" i="7" s="1"/>
  <c r="AX74" i="7"/>
  <c r="AX79" i="7"/>
  <c r="AX59" i="7"/>
  <c r="AX99" i="7" s="1"/>
  <c r="AX32" i="7"/>
  <c r="AX97" i="7" s="1"/>
  <c r="AX52" i="7"/>
  <c r="AX23" i="7"/>
  <c r="AX31" i="7"/>
  <c r="AX96" i="7" s="1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33" i="7" s="1"/>
  <c r="AT95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AX87" i="7" l="1"/>
  <c r="AX98" i="7"/>
  <c r="AX67" i="7"/>
  <c r="AX85" i="7"/>
  <c r="AX36" i="7"/>
  <c r="AX51" i="7" s="1"/>
  <c r="AX86" i="7"/>
  <c r="AT32" i="7"/>
  <c r="AT97" i="7" s="1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57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BF59" i="7" l="1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BF56" i="8" s="1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4" i="8" l="1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X121" i="6"/>
  <c r="AX125" i="6" s="1"/>
  <c r="AX172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Y207" i="6" s="1"/>
  <c r="Z143" i="6"/>
  <c r="Z212" i="6" s="1"/>
  <c r="Y149" i="6"/>
  <c r="Y26" i="9"/>
  <c r="AB68" i="59"/>
  <c r="Y76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73" i="6" l="1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56" i="28"/>
  <c r="Y457" i="28"/>
  <c r="Z456" i="28"/>
  <c r="Z457" i="28"/>
  <c r="Z33" i="22"/>
  <c r="AC60" i="59"/>
  <c r="AB64" i="59"/>
  <c r="Y170" i="10"/>
  <c r="AB66" i="59" s="1"/>
  <c r="Z50" i="36"/>
  <c r="AC40" i="59"/>
  <c r="Y131" i="26"/>
  <c r="Z102" i="9"/>
  <c r="Z104" i="9"/>
  <c r="AC59" i="59" s="1"/>
  <c r="Z94" i="9"/>
  <c r="Y18" i="15" s="1"/>
  <c r="Y104" i="9"/>
  <c r="AB59" i="59" s="1"/>
  <c r="Y102" i="9"/>
  <c r="X131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X129" i="26"/>
  <c r="Y129" i="26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6" i="35" s="1"/>
  <c r="BQ47" i="35" s="1"/>
  <c r="BF8" i="36" l="1"/>
  <c r="BI9" i="59" s="1"/>
  <c r="R19" i="49"/>
  <c r="V19" i="49" s="1"/>
  <c r="AB19" i="49"/>
  <c r="BE149" i="6"/>
  <c r="BH15" i="59"/>
  <c r="BP37" i="35"/>
  <c r="BQ37" i="35"/>
  <c r="BO53" i="35" s="1"/>
  <c r="BN53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3" i="8" l="1"/>
  <c r="AB93" i="8" l="1"/>
  <c r="AF93" i="8" s="1"/>
  <c r="AJ93" i="8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2" i="17"/>
  <c r="AI116" i="17" s="1"/>
  <c r="AI54" i="17"/>
  <c r="AI90" i="17"/>
  <c r="AO90" i="17" s="1"/>
  <c r="AS90" i="17" s="1"/>
  <c r="AW90" i="17" s="1"/>
  <c r="AM90" i="17"/>
  <c r="AO46" i="17"/>
  <c r="AS46" i="17" s="1"/>
  <c r="AE50" i="17"/>
  <c r="AW46" i="17" l="1"/>
  <c r="AW50" i="17" s="1"/>
  <c r="AS50" i="17"/>
  <c r="BE90" i="17"/>
  <c r="BA90" i="17"/>
  <c r="BC90" i="17" s="1"/>
  <c r="BE46" i="17"/>
  <c r="AO50" i="17"/>
  <c r="AE112" i="17"/>
  <c r="AE116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2" i="17" l="1"/>
  <c r="AS116" i="17" s="1"/>
  <c r="AS54" i="17"/>
  <c r="AW112" i="17"/>
  <c r="AW116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2" i="17"/>
  <c r="AO116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2" i="17"/>
  <c r="BE116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M2" i="26" l="1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39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J39" i="36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3" i="8"/>
  <c r="AT39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67" i="11"/>
  <c r="J65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67" i="11"/>
  <c r="V67" i="11" s="1"/>
  <c r="AB67" i="11"/>
  <c r="AF67" i="11" s="1"/>
  <c r="J63" i="11"/>
  <c r="R65" i="11"/>
  <c r="V65" i="11" s="1"/>
  <c r="J66" i="11"/>
  <c r="M69" i="59" s="1"/>
  <c r="BF69" i="8" l="1"/>
  <c r="BF70" i="8"/>
  <c r="AJ67" i="11"/>
  <c r="V66" i="11"/>
  <c r="Y69" i="59" s="1"/>
  <c r="V68" i="11"/>
  <c r="V76" i="11"/>
  <c r="Y70" i="59" s="1"/>
  <c r="BF66" i="8"/>
  <c r="BF72" i="8" s="1"/>
  <c r="AF76" i="11"/>
  <c r="AI70" i="59" s="1"/>
  <c r="AB76" i="11"/>
  <c r="AE70" i="59" s="1"/>
  <c r="R68" i="11"/>
  <c r="R66" i="11"/>
  <c r="U69" i="59" s="1"/>
  <c r="J64" i="11"/>
  <c r="AB63" i="11"/>
  <c r="AF63" i="11" s="1"/>
  <c r="AJ76" i="11" l="1"/>
  <c r="AM70" i="59" s="1"/>
  <c r="AJ63" i="11"/>
  <c r="AP63" i="11" s="1"/>
  <c r="AT63" i="11" s="1"/>
  <c r="AP67" i="11"/>
  <c r="Z68" i="11"/>
  <c r="Z66" i="11"/>
  <c r="AC69" i="59" s="1"/>
  <c r="Z64" i="11"/>
  <c r="AB65" i="11"/>
  <c r="AF65" i="11" s="1"/>
  <c r="R63" i="11"/>
  <c r="V63" i="11" s="1"/>
  <c r="V64" i="11" s="1"/>
  <c r="J161" i="10"/>
  <c r="J159" i="10"/>
  <c r="J157" i="10"/>
  <c r="AX63" i="11" l="1"/>
  <c r="BF63" i="11" s="1"/>
  <c r="AT67" i="11"/>
  <c r="AX67" i="11" s="1"/>
  <c r="AP76" i="11"/>
  <c r="AS70" i="59" s="1"/>
  <c r="AJ65" i="11"/>
  <c r="AP65" i="11" s="1"/>
  <c r="AB64" i="11"/>
  <c r="AF64" i="11"/>
  <c r="AF66" i="11"/>
  <c r="AI69" i="59" s="1"/>
  <c r="AF68" i="11"/>
  <c r="AB68" i="11"/>
  <c r="AB66" i="11"/>
  <c r="AE69" i="59" s="1"/>
  <c r="R161" i="10"/>
  <c r="V161" i="10" s="1"/>
  <c r="R159" i="10"/>
  <c r="V159" i="10" s="1"/>
  <c r="R64" i="11"/>
  <c r="J158" i="10"/>
  <c r="J160" i="10"/>
  <c r="M65" i="59" s="1"/>
  <c r="AX76" i="11" l="1"/>
  <c r="AT65" i="11"/>
  <c r="AX65" i="11" s="1"/>
  <c r="AX64" i="11" s="1"/>
  <c r="AP68" i="11"/>
  <c r="AP66" i="11"/>
  <c r="AS69" i="59" s="1"/>
  <c r="AP64" i="11"/>
  <c r="AJ64" i="11"/>
  <c r="AJ66" i="11"/>
  <c r="AM69" i="59" s="1"/>
  <c r="AJ68" i="11"/>
  <c r="AT76" i="11"/>
  <c r="AW70" i="59" s="1"/>
  <c r="V162" i="10"/>
  <c r="V160" i="10"/>
  <c r="Y65" i="59" s="1"/>
  <c r="V170" i="10"/>
  <c r="Y66" i="59" s="1"/>
  <c r="R170" i="10"/>
  <c r="R157" i="10"/>
  <c r="V157" i="10" s="1"/>
  <c r="V158" i="10" s="1"/>
  <c r="AB157" i="10"/>
  <c r="AF157" i="10" s="1"/>
  <c r="AJ157" i="10" s="1"/>
  <c r="AJ158" i="10" s="1"/>
  <c r="AB160" i="10"/>
  <c r="AE65" i="59" s="1"/>
  <c r="AB162" i="10"/>
  <c r="R160" i="10"/>
  <c r="U65" i="59" s="1"/>
  <c r="R162" i="10"/>
  <c r="AX66" i="11" l="1"/>
  <c r="AX68" i="11"/>
  <c r="BF67" i="11"/>
  <c r="BA70" i="59"/>
  <c r="AT66" i="11"/>
  <c r="AW69" i="59" s="1"/>
  <c r="AT64" i="11"/>
  <c r="AT68" i="11"/>
  <c r="AF158" i="10"/>
  <c r="R158" i="10"/>
  <c r="AB158" i="10"/>
  <c r="BF65" i="11" l="1"/>
  <c r="BF64" i="11" s="1"/>
  <c r="BA69" i="59"/>
  <c r="BF76" i="11"/>
  <c r="BI70" i="59" s="1"/>
  <c r="BF68" i="11"/>
  <c r="BF66" i="11"/>
  <c r="BI69" i="59" s="1"/>
  <c r="AP157" i="10"/>
  <c r="I38" i="27"/>
  <c r="Q38" i="27" s="1"/>
  <c r="U38" i="27" s="1"/>
  <c r="H38" i="27"/>
  <c r="P38" i="27" s="1"/>
  <c r="T38" i="27" s="1"/>
  <c r="I23" i="27"/>
  <c r="H23" i="27"/>
  <c r="P23" i="27" s="1"/>
  <c r="T23" i="27" s="1"/>
  <c r="AT157" i="10" l="1"/>
  <c r="AX157" i="10" s="1"/>
  <c r="AX158" i="10" s="1"/>
  <c r="AP158" i="10"/>
  <c r="Z23" i="27"/>
  <c r="AD23" i="27" s="1"/>
  <c r="Q23" i="27"/>
  <c r="U23" i="27" s="1"/>
  <c r="AH23" i="27" l="1"/>
  <c r="AN23" i="27" s="1"/>
  <c r="AR23" i="27" s="1"/>
  <c r="AT158" i="10"/>
  <c r="AA23" i="27"/>
  <c r="AE23" i="27" s="1"/>
  <c r="AV23" i="27" l="1"/>
  <c r="BD23" i="27" s="1"/>
  <c r="AI23" i="27"/>
  <c r="AO23" i="27" s="1"/>
  <c r="AS23" i="27" s="1"/>
  <c r="BF157" i="10"/>
  <c r="BF158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06" i="45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X80" i="7" s="1"/>
  <c r="AX81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T81" i="7"/>
  <c r="AW36" i="59" s="1"/>
  <c r="AS26" i="6"/>
  <c r="AO29" i="6"/>
  <c r="AS27" i="6"/>
  <c r="AW27" i="6" s="1"/>
  <c r="AS194" i="6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Y77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3" i="36"/>
  <c r="BE2" i="26" l="1"/>
  <c r="BE2" i="17"/>
  <c r="AC76" i="59"/>
  <c r="Z53" i="35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78" i="11"/>
  <c r="J83" i="11"/>
  <c r="J88" i="11" s="1"/>
  <c r="J79" i="11"/>
  <c r="J173" i="10"/>
  <c r="AB173" i="10" s="1"/>
  <c r="AF173" i="10" s="1"/>
  <c r="J177" i="10"/>
  <c r="J182" i="10" s="1"/>
  <c r="J172" i="10"/>
  <c r="AJ173" i="10" l="1"/>
  <c r="AP173" i="10" s="1"/>
  <c r="AT173" i="10" s="1"/>
  <c r="BF168" i="6"/>
  <c r="BF19" i="6"/>
  <c r="BF164" i="6"/>
  <c r="AX40" i="6"/>
  <c r="AX39" i="6"/>
  <c r="AX38" i="6"/>
  <c r="R79" i="11"/>
  <c r="V79" i="11" s="1"/>
  <c r="AB79" i="11"/>
  <c r="AF79" i="11" s="1"/>
  <c r="R173" i="10"/>
  <c r="V173" i="10" s="1"/>
  <c r="J80" i="11"/>
  <c r="J87" i="11" s="1"/>
  <c r="J174" i="10"/>
  <c r="J181" i="10" s="1"/>
  <c r="AB83" i="11"/>
  <c r="AF83" i="11" s="1"/>
  <c r="AJ83" i="11" s="1"/>
  <c r="AJ88" i="11" s="1"/>
  <c r="AB177" i="10"/>
  <c r="AF177" i="10" s="1"/>
  <c r="AJ177" i="10" s="1"/>
  <c r="AJ182" i="10" s="1"/>
  <c r="AX173" i="10" l="1"/>
  <c r="BF173" i="10" s="1"/>
  <c r="BF40" i="6"/>
  <c r="BF39" i="6"/>
  <c r="BF38" i="6"/>
  <c r="AJ79" i="11"/>
  <c r="AP79" i="11" s="1"/>
  <c r="AT79" i="11" s="1"/>
  <c r="AF182" i="10"/>
  <c r="AF88" i="11"/>
  <c r="AB88" i="11"/>
  <c r="AB182" i="10"/>
  <c r="R78" i="11"/>
  <c r="V78" i="11" s="1"/>
  <c r="V80" i="11" s="1"/>
  <c r="AB78" i="11"/>
  <c r="AF78" i="11" s="1"/>
  <c r="AJ78" i="11" s="1"/>
  <c r="AJ80" i="11" s="1"/>
  <c r="R172" i="10"/>
  <c r="V172" i="10" s="1"/>
  <c r="V174" i="10" s="1"/>
  <c r="V181" i="10" s="1"/>
  <c r="AB172" i="10"/>
  <c r="AF172" i="10" s="1"/>
  <c r="AJ172" i="10" s="1"/>
  <c r="AJ174" i="10" s="1"/>
  <c r="AJ181" i="10" s="1"/>
  <c r="R177" i="10"/>
  <c r="V177" i="10" s="1"/>
  <c r="V182" i="10" s="1"/>
  <c r="R83" i="11"/>
  <c r="V83" i="11" s="1"/>
  <c r="V88" i="11" s="1"/>
  <c r="AX79" i="11" l="1"/>
  <c r="BF79" i="11" s="1"/>
  <c r="AJ87" i="11"/>
  <c r="V87" i="11"/>
  <c r="AF174" i="10"/>
  <c r="AF181" i="10" s="1"/>
  <c r="AP177" i="10"/>
  <c r="AF80" i="11"/>
  <c r="AP83" i="11"/>
  <c r="AB80" i="11"/>
  <c r="AB87" i="11" s="1"/>
  <c r="R80" i="11"/>
  <c r="R87" i="11" s="1"/>
  <c r="AB174" i="10"/>
  <c r="AB181" i="10" s="1"/>
  <c r="R174" i="10"/>
  <c r="R181" i="10" s="1"/>
  <c r="R182" i="10"/>
  <c r="R88" i="11"/>
  <c r="AP88" i="11" l="1"/>
  <c r="AT83" i="11"/>
  <c r="AX83" i="11" s="1"/>
  <c r="AX88" i="11" s="1"/>
  <c r="AT177" i="10"/>
  <c r="AX177" i="10" s="1"/>
  <c r="AX182" i="10" s="1"/>
  <c r="AP182" i="10"/>
  <c r="AP172" i="10"/>
  <c r="AF87" i="11"/>
  <c r="AP78" i="11"/>
  <c r="AT88" i="11" l="1"/>
  <c r="AT182" i="10"/>
  <c r="AP80" i="11"/>
  <c r="AP87" i="11" s="1"/>
  <c r="AT78" i="11"/>
  <c r="AX78" i="11" s="1"/>
  <c r="AX80" i="11" s="1"/>
  <c r="AT172" i="10"/>
  <c r="AX172" i="10" s="1"/>
  <c r="AX174" i="10" s="1"/>
  <c r="AP174" i="10"/>
  <c r="Q53" i="38"/>
  <c r="AX87" i="11" l="1"/>
  <c r="AX181" i="10"/>
  <c r="BF83" i="11"/>
  <c r="BF88" i="11" s="1"/>
  <c r="AT80" i="11"/>
  <c r="AT87" i="11" s="1"/>
  <c r="AT174" i="10"/>
  <c r="AT181" i="10" s="1"/>
  <c r="BF177" i="10"/>
  <c r="BF182" i="10" s="1"/>
  <c r="AP181" i="10"/>
  <c r="J90" i="11"/>
  <c r="BF78" i="11" l="1"/>
  <c r="BF80" i="11" s="1"/>
  <c r="BF87" i="11" s="1"/>
  <c r="BF172" i="10"/>
  <c r="BF174" i="10" s="1"/>
  <c r="J82" i="11"/>
  <c r="BF181" i="10" l="1"/>
  <c r="M157" i="10"/>
  <c r="M158" i="10" s="1"/>
  <c r="R90" i="11"/>
  <c r="R82" i="11"/>
  <c r="J184" i="10"/>
  <c r="J176" i="10" l="1"/>
  <c r="Y157" i="10" l="1"/>
  <c r="Y158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K30" i="36"/>
  <c r="N80" i="59" s="1"/>
  <c r="L30" i="36"/>
  <c r="O80" i="59" s="1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73" i="8" s="1"/>
  <c r="AI27" i="8"/>
  <c r="U44" i="8"/>
  <c r="U73" i="8"/>
  <c r="U43" i="8"/>
  <c r="U108" i="8"/>
  <c r="U110" i="8" s="1"/>
  <c r="U109" i="8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AI108" i="8" l="1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06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4" i="10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06" i="45"/>
  <c r="AF106" i="45" s="1"/>
  <c r="AJ106" i="45" s="1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W73" i="8" l="1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64" i="10"/>
  <c r="V164" i="10" s="1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06" i="45"/>
  <c r="V106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W109" i="8" l="1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AS111" i="8" s="1"/>
  <c r="AS52" i="8" s="1"/>
  <c r="AV43" i="59" s="1"/>
  <c r="AV44" i="59" s="1"/>
  <c r="BE27" i="8"/>
  <c r="AZ46" i="59"/>
  <c r="V84" i="38"/>
  <c r="V61" i="38"/>
  <c r="V60" i="38"/>
  <c r="BE80" i="7"/>
  <c r="AP106" i="45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BE73" i="8" l="1"/>
  <c r="AZ49" i="59"/>
  <c r="BE43" i="8"/>
  <c r="BH46" i="59" s="1"/>
  <c r="BE108" i="8"/>
  <c r="BE109" i="8" s="1"/>
  <c r="BE44" i="8"/>
  <c r="BH48" i="59" s="1"/>
  <c r="BH49" i="59" s="1"/>
  <c r="BE110" i="8"/>
  <c r="BE111" i="8" s="1"/>
  <c r="BE52" i="8" s="1"/>
  <c r="BH43" i="59" s="1"/>
  <c r="BH44" i="59" s="1"/>
  <c r="BE58" i="8"/>
  <c r="BE70" i="8" s="1"/>
  <c r="V26" i="36"/>
  <c r="V25" i="36"/>
  <c r="Y76" i="59" s="1"/>
  <c r="U90" i="8"/>
  <c r="U91" i="8" s="1"/>
  <c r="U193" i="6"/>
  <c r="U194" i="6" s="1"/>
  <c r="AI3" i="38"/>
  <c r="AI61" i="38" s="1"/>
  <c r="AE61" i="38"/>
  <c r="AT106" i="45"/>
  <c r="AX106" i="45" s="1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AZ43" i="59" l="1"/>
  <c r="AZ44" i="59" s="1"/>
  <c r="U26" i="36"/>
  <c r="U25" i="36"/>
  <c r="X76" i="59" s="1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06" i="45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48" i="35"/>
  <c r="I49" i="35"/>
  <c r="I44" i="35"/>
  <c r="J44" i="35"/>
  <c r="I45" i="35"/>
  <c r="J45" i="35"/>
  <c r="I34" i="35"/>
  <c r="I35" i="35"/>
  <c r="J35" i="35"/>
  <c r="N26" i="9" l="1"/>
  <c r="I36" i="35"/>
  <c r="I46" i="35" s="1"/>
  <c r="K133" i="50" l="1"/>
  <c r="S133" i="50"/>
  <c r="M36" i="35"/>
  <c r="J51" i="35"/>
  <c r="I51" i="35"/>
  <c r="W133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6" i="35" s="1"/>
  <c r="AA21" i="35" l="1"/>
  <c r="AA26" i="9" s="1"/>
  <c r="E91" i="8"/>
  <c r="AB21" i="35" l="1"/>
  <c r="AB26" i="9" s="1"/>
  <c r="F32" i="36" l="1"/>
  <c r="E32" i="36"/>
  <c r="F18" i="36"/>
  <c r="I56" i="59" s="1"/>
  <c r="J2" i="36"/>
  <c r="I2" i="36"/>
  <c r="J49" i="35"/>
  <c r="J48" i="35"/>
  <c r="I43" i="35"/>
  <c r="J39" i="35"/>
  <c r="I32" i="35"/>
  <c r="J89" i="45" s="1"/>
  <c r="J32" i="35"/>
  <c r="I31" i="35"/>
  <c r="I53" i="11" s="1"/>
  <c r="I30" i="35"/>
  <c r="I151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0" i="10"/>
  <c r="I52" i="11"/>
  <c r="I95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88" i="45"/>
  <c r="J92" i="45"/>
  <c r="J91" i="45"/>
  <c r="E34" i="36"/>
  <c r="M34" i="36" s="1"/>
  <c r="M33" i="36"/>
  <c r="M32" i="36"/>
  <c r="N32" i="36"/>
  <c r="J112" i="45"/>
  <c r="L74" i="59" s="1"/>
  <c r="J5" i="9"/>
  <c r="I17" i="15"/>
  <c r="I26" i="36"/>
  <c r="J26" i="36"/>
  <c r="H9" i="15"/>
  <c r="H17" i="15"/>
  <c r="I41" i="35"/>
  <c r="I39" i="35"/>
  <c r="I33" i="35"/>
  <c r="I37" i="35" s="1"/>
  <c r="J93" i="50" s="1"/>
  <c r="J91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1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12" i="45"/>
  <c r="M74" i="59" s="1"/>
  <c r="J23" i="36"/>
  <c r="M72" i="59" s="1"/>
  <c r="N5" i="9"/>
  <c r="N94" i="9" s="1"/>
  <c r="Q34" i="36"/>
  <c r="U34" i="36" s="1"/>
  <c r="Q33" i="36"/>
  <c r="U33" i="36" s="1"/>
  <c r="H76" i="59"/>
  <c r="F93" i="50"/>
  <c r="R2" i="36"/>
  <c r="V2" i="36" s="1"/>
  <c r="Q2" i="36"/>
  <c r="U2" i="36" s="1"/>
  <c r="F33" i="36"/>
  <c r="N26" i="36"/>
  <c r="M26" i="36"/>
  <c r="I47" i="35"/>
  <c r="I53" i="35" s="1"/>
  <c r="N16" i="36"/>
  <c r="Q54" i="59" s="1"/>
  <c r="N17" i="36"/>
  <c r="Q55" i="59" s="1"/>
  <c r="M33" i="35"/>
  <c r="M37" i="35" s="1"/>
  <c r="N93" i="50" s="1"/>
  <c r="N91" i="50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29" i="26" l="1"/>
  <c r="Q78" i="59"/>
  <c r="R6" i="35"/>
  <c r="R7" i="35"/>
  <c r="V7" i="35" s="1"/>
  <c r="V6" i="6" s="1"/>
  <c r="Q8" i="35"/>
  <c r="U7" i="35"/>
  <c r="U6" i="6" s="1"/>
  <c r="U5" i="6"/>
  <c r="Q151" i="10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89" i="45"/>
  <c r="U9" i="15"/>
  <c r="R5" i="36"/>
  <c r="R13" i="49" s="1"/>
  <c r="Q53" i="11"/>
  <c r="AA6" i="35"/>
  <c r="Q79" i="59"/>
  <c r="M35" i="36"/>
  <c r="M36" i="36" s="1"/>
  <c r="Q5" i="9"/>
  <c r="AA7" i="35"/>
  <c r="AE7" i="35" s="1"/>
  <c r="M131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0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M47" i="35"/>
  <c r="M53" i="35" s="1"/>
  <c r="N5" i="6"/>
  <c r="AB2" i="35"/>
  <c r="AF2" i="35" s="1"/>
  <c r="AJ2" i="35" s="1"/>
  <c r="AP2" i="35" s="1"/>
  <c r="AT2" i="35" s="1"/>
  <c r="AX2" i="35" s="1"/>
  <c r="N6" i="6"/>
  <c r="R93" i="50"/>
  <c r="R91" i="50" s="1"/>
  <c r="M5" i="6"/>
  <c r="M6" i="6"/>
  <c r="H5" i="15"/>
  <c r="N18" i="36"/>
  <c r="Q56" i="59" s="1"/>
  <c r="N26" i="35"/>
  <c r="M26" i="35"/>
  <c r="M25" i="36" s="1"/>
  <c r="P76" i="59" s="1"/>
  <c r="R8" i="35" l="1"/>
  <c r="V6" i="35"/>
  <c r="V8" i="35" s="1"/>
  <c r="S52" i="36"/>
  <c r="AU52" i="36"/>
  <c r="U7" i="6"/>
  <c r="V5" i="6"/>
  <c r="U8" i="35"/>
  <c r="U39" i="36"/>
  <c r="U38" i="36"/>
  <c r="Q150" i="10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2" i="11"/>
  <c r="Q95" i="11"/>
  <c r="AF32" i="36"/>
  <c r="AJ32" i="36" s="1"/>
  <c r="AE32" i="36"/>
  <c r="R91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92" i="45"/>
  <c r="R27" i="36"/>
  <c r="Q5" i="15" s="1"/>
  <c r="R88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1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1" i="26"/>
  <c r="R100" i="9"/>
  <c r="R96" i="9"/>
  <c r="R89" i="9"/>
  <c r="R94" i="9"/>
  <c r="Q18" i="15" s="1"/>
  <c r="R90" i="9"/>
  <c r="R112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3" i="35"/>
  <c r="Q25" i="36"/>
  <c r="T76" i="59" s="1"/>
  <c r="P129" i="26" l="1"/>
  <c r="V7" i="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M129" i="26"/>
  <c r="Q9" i="6"/>
  <c r="V93" i="50"/>
  <c r="V91" i="50" s="1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1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A33" i="35"/>
  <c r="AA37" i="35" s="1"/>
  <c r="AB93" i="50" s="1"/>
  <c r="AB91" i="50" s="1"/>
  <c r="AP28" i="36" l="1"/>
  <c r="AJ102" i="9"/>
  <c r="AP102" i="9" s="1"/>
  <c r="AT102" i="9" s="1"/>
  <c r="N24" i="36"/>
  <c r="Q129" i="2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A25" i="36"/>
  <c r="AD76" i="59" s="1"/>
  <c r="AB18" i="36"/>
  <c r="AE56" i="59" s="1"/>
  <c r="AB50" i="36"/>
  <c r="AD74" i="59"/>
  <c r="R35" i="36"/>
  <c r="AA47" i="35"/>
  <c r="AA53" i="35" s="1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I129" i="26"/>
  <c r="AS79" i="59"/>
  <c r="AI7" i="15"/>
  <c r="AE129" i="26"/>
  <c r="AI102" i="9"/>
  <c r="AO102" i="9" s="1"/>
  <c r="AS102" i="9" s="1"/>
  <c r="AA129" i="26"/>
  <c r="U129" i="26"/>
  <c r="V24" i="36" s="1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129" i="26"/>
  <c r="AS129" i="26" s="1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BF7" i="6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8" i="26"/>
  <c r="N168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3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3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AI93" i="26" l="1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2" i="26"/>
  <c r="N165" i="26"/>
  <c r="J172" i="26"/>
  <c r="J165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H56" i="26"/>
  <c r="AH51" i="26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8" i="26"/>
  <c r="U56" i="26"/>
  <c r="U13" i="26"/>
  <c r="U19" i="26"/>
  <c r="U18" i="26"/>
  <c r="T86" i="17"/>
  <c r="T168" i="26"/>
  <c r="T51" i="26"/>
  <c r="T56" i="26"/>
  <c r="H56" i="26"/>
  <c r="AO61" i="26"/>
  <c r="AE50" i="26"/>
  <c r="AE56" i="26" s="1"/>
  <c r="AJ82" i="7"/>
  <c r="AD50" i="26"/>
  <c r="AD82" i="26"/>
  <c r="AE12" i="26"/>
  <c r="AD114" i="26"/>
  <c r="AD83" i="26"/>
  <c r="AA100" i="26"/>
  <c r="AE100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5" i="26"/>
  <c r="I56" i="26"/>
  <c r="I168" i="26"/>
  <c r="H51" i="26"/>
  <c r="H168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AI83" i="26" l="1"/>
  <c r="U24" i="27"/>
  <c r="T20" i="27"/>
  <c r="Z20" i="27" s="1"/>
  <c r="T28" i="27"/>
  <c r="T33" i="27" s="1"/>
  <c r="U39" i="27"/>
  <c r="Z2" i="27"/>
  <c r="U31" i="27"/>
  <c r="T22" i="27"/>
  <c r="U33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H87" i="17"/>
  <c r="AO59" i="26"/>
  <c r="AS59" i="26" s="1"/>
  <c r="AW59" i="26" s="1"/>
  <c r="T13" i="26"/>
  <c r="T85" i="17"/>
  <c r="T87" i="17"/>
  <c r="U83" i="26"/>
  <c r="U82" i="26"/>
  <c r="T83" i="26"/>
  <c r="T82" i="26"/>
  <c r="U114" i="26"/>
  <c r="U87" i="17"/>
  <c r="U165" i="26"/>
  <c r="AS61" i="26"/>
  <c r="AW61" i="26" s="1"/>
  <c r="AN48" i="26"/>
  <c r="AO48" i="26"/>
  <c r="AO43" i="26"/>
  <c r="AE51" i="26"/>
  <c r="AE57" i="26"/>
  <c r="AE85" i="17"/>
  <c r="AH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5" i="26"/>
  <c r="P57" i="26"/>
  <c r="T57" i="26" s="1"/>
  <c r="T165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5" i="26"/>
  <c r="L168" i="26"/>
  <c r="AA84" i="17"/>
  <c r="P33" i="27"/>
  <c r="AA77" i="26"/>
  <c r="AE77" i="26" s="1"/>
  <c r="AI77" i="26" s="1"/>
  <c r="AA82" i="26"/>
  <c r="AA13" i="26"/>
  <c r="X94" i="26"/>
  <c r="X50" i="26"/>
  <c r="X168" i="26" s="1"/>
  <c r="X75" i="26"/>
  <c r="AN114" i="26" l="1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AH86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5" i="26"/>
  <c r="AA19" i="27"/>
  <c r="AA7" i="26"/>
  <c r="AE7" i="26" s="1"/>
  <c r="Q7" i="26"/>
  <c r="U7" i="26" s="1"/>
  <c r="P165" i="26"/>
  <c r="P168" i="26"/>
  <c r="AA57" i="26"/>
  <c r="Q168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8" i="26" s="1"/>
  <c r="AA50" i="26"/>
  <c r="Z18" i="27"/>
  <c r="AD18" i="27" s="1"/>
  <c r="AH18" i="27" s="1"/>
  <c r="AV82" i="26" l="1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E24" i="27" s="1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1" i="26"/>
  <c r="AV56" i="26"/>
  <c r="AW43" i="26"/>
  <c r="AX82" i="7" s="1"/>
  <c r="AW21" i="26"/>
  <c r="AW13" i="26"/>
  <c r="AW18" i="26"/>
  <c r="AW19" i="26"/>
  <c r="AV87" i="17"/>
  <c r="AR87" i="17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5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W75" i="26" l="1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H33" i="27"/>
  <c r="AN26" i="27"/>
  <c r="BE77" i="26"/>
  <c r="BE43" i="26"/>
  <c r="BE82" i="26"/>
  <c r="AV61" i="26"/>
  <c r="AV75" i="26" s="1"/>
  <c r="AS84" i="17"/>
  <c r="AW29" i="26"/>
  <c r="AW84" i="17" s="1"/>
  <c r="AW23" i="26"/>
  <c r="AW45" i="26" s="1"/>
  <c r="BE21" i="26"/>
  <c r="AV85" i="17"/>
  <c r="AR85" i="17"/>
  <c r="AV86" i="17"/>
  <c r="AR86" i="17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N20" i="27" l="1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N24" i="27"/>
  <c r="AR18" i="27"/>
  <c r="AV18" i="27" s="1"/>
  <c r="AS18" i="27"/>
  <c r="AW18" i="27" s="1"/>
  <c r="AR3" i="26"/>
  <c r="AV3" i="26" s="1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Z28" i="22" l="1"/>
  <c r="V27" i="22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AB27" i="22"/>
  <c r="AF27" i="22" s="1"/>
  <c r="AJ27" i="22" s="1"/>
  <c r="AW35" i="27" l="1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AF456" i="28"/>
  <c r="AF457" i="28"/>
  <c r="J59" i="8"/>
  <c r="AJ456" i="28" l="1"/>
  <c r="AJ457" i="28"/>
  <c r="AT6" i="21"/>
  <c r="AP12" i="21"/>
  <c r="AE22" i="21"/>
  <c r="AE456" i="28"/>
  <c r="AE457" i="28"/>
  <c r="AO6" i="21"/>
  <c r="AI12" i="21"/>
  <c r="J61" i="8"/>
  <c r="J58" i="8"/>
  <c r="AT12" i="21" l="1"/>
  <c r="AT456" i="28" s="1"/>
  <c r="AX6" i="21"/>
  <c r="AS6" i="21"/>
  <c r="AO12" i="21"/>
  <c r="AP456" i="28"/>
  <c r="AP457" i="28"/>
  <c r="AI22" i="21"/>
  <c r="AO22" i="21" s="1"/>
  <c r="AI456" i="28"/>
  <c r="AI457" i="28"/>
  <c r="J62" i="8"/>
  <c r="AT457" i="28" l="1"/>
  <c r="AX12" i="21"/>
  <c r="AX457" i="28" s="1"/>
  <c r="BF6" i="21"/>
  <c r="BF12" i="21" s="1"/>
  <c r="AS12" i="21"/>
  <c r="AW6" i="21"/>
  <c r="BE6" i="21" s="1"/>
  <c r="AO456" i="28"/>
  <c r="AO457" i="28"/>
  <c r="I66" i="9"/>
  <c r="J66" i="9"/>
  <c r="AX456" i="28" l="1"/>
  <c r="BF456" i="28"/>
  <c r="BF457" i="28"/>
  <c r="AS457" i="28"/>
  <c r="AS456" i="28"/>
  <c r="AW12" i="21"/>
  <c r="AW457" i="28" s="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BE456" i="28"/>
  <c r="BE457" i="28"/>
  <c r="AW22" i="21"/>
  <c r="AW456" i="28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V30" i="22" s="1"/>
  <c r="R19" i="22"/>
  <c r="R17" i="22"/>
  <c r="V17" i="22" s="1"/>
  <c r="R18" i="22"/>
  <c r="V18" i="22" s="1"/>
  <c r="R16" i="22"/>
  <c r="V16" i="22" s="1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9" i="22" l="1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J9" i="22" s="1"/>
  <c r="AB22" i="22"/>
  <c r="AF22" i="22" s="1"/>
  <c r="AJ22" i="22" s="1"/>
  <c r="AB21" i="22"/>
  <c r="AF21" i="22" s="1"/>
  <c r="AJ21" i="22" s="1"/>
  <c r="AJ23" i="22" s="1"/>
  <c r="AB24" i="22"/>
  <c r="AF24" i="22" s="1"/>
  <c r="AA13" i="22"/>
  <c r="AE13" i="22" s="1"/>
  <c r="I12" i="22"/>
  <c r="AJ24" i="22" l="1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J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8" i="22" l="1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3" i="7"/>
  <c r="Z104" i="7"/>
  <c r="Z105" i="7"/>
  <c r="Z83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I86" i="17"/>
  <c r="AO94" i="26"/>
  <c r="AS85" i="26"/>
  <c r="AW85" i="26" s="1"/>
  <c r="AW94" i="26" s="1"/>
  <c r="AO86" i="17"/>
  <c r="AA94" i="26"/>
  <c r="AW86" i="17" l="1"/>
  <c r="AS86" i="17"/>
  <c r="BE85" i="26"/>
  <c r="AS94" i="26"/>
  <c r="L120" i="7"/>
  <c r="L121" i="7" s="1"/>
  <c r="BE94" i="26" l="1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0" i="11"/>
  <c r="AB70" i="11" s="1"/>
  <c r="AF70" i="11" s="1"/>
  <c r="AJ70" i="11" s="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AI61" i="17" l="1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4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4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4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0" i="11"/>
  <c r="V70" i="11" s="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4" i="17"/>
  <c r="I11" i="17"/>
  <c r="I67" i="11"/>
  <c r="I65" i="11"/>
  <c r="J2" i="11"/>
  <c r="J74" i="11" s="1"/>
  <c r="I2" i="11"/>
  <c r="I74" i="11" s="1"/>
  <c r="I5" i="11"/>
  <c r="I55" i="11" s="1"/>
  <c r="I161" i="10"/>
  <c r="I159" i="10"/>
  <c r="J2" i="10"/>
  <c r="J168" i="10" s="1"/>
  <c r="I2" i="10"/>
  <c r="I168" i="10" s="1"/>
  <c r="AI59" i="17" l="1"/>
  <c r="AI62" i="17" s="1"/>
  <c r="AS58" i="17"/>
  <c r="AW58" i="17" s="1"/>
  <c r="BE58" i="17" s="1"/>
  <c r="M91" i="17"/>
  <c r="AH50" i="17"/>
  <c r="T30" i="17"/>
  <c r="AH58" i="17"/>
  <c r="AH59" i="17" s="1"/>
  <c r="Q14" i="17"/>
  <c r="U3" i="17"/>
  <c r="AW61" i="17"/>
  <c r="AV48" i="17"/>
  <c r="BD48" i="17" s="1"/>
  <c r="AH112" i="17"/>
  <c r="U59" i="17"/>
  <c r="U11" i="17"/>
  <c r="T22" i="17"/>
  <c r="AO57" i="17"/>
  <c r="AS57" i="17" s="1"/>
  <c r="AP70" i="11"/>
  <c r="AT70" i="11" s="1"/>
  <c r="AX70" i="11" s="1"/>
  <c r="AE62" i="17"/>
  <c r="M60" i="17"/>
  <c r="Z114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T71" i="17" s="1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5" i="17"/>
  <c r="M30" i="17"/>
  <c r="Q16" i="17"/>
  <c r="U16" i="17" s="1"/>
  <c r="Q82" i="17"/>
  <c r="U82" i="17" s="1"/>
  <c r="L53" i="17"/>
  <c r="L115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5" i="17"/>
  <c r="Q12" i="17"/>
  <c r="Q11" i="17"/>
  <c r="M33" i="17"/>
  <c r="M32" i="17"/>
  <c r="L79" i="17"/>
  <c r="L67" i="17"/>
  <c r="L69" i="17" s="1"/>
  <c r="M35" i="17"/>
  <c r="M79" i="17"/>
  <c r="I50" i="17"/>
  <c r="I54" i="17" s="1"/>
  <c r="Q44" i="17"/>
  <c r="U44" i="17" s="1"/>
  <c r="L114" i="17"/>
  <c r="M12" i="17"/>
  <c r="M11" i="17"/>
  <c r="M31" i="17"/>
  <c r="L22" i="17"/>
  <c r="M34" i="17"/>
  <c r="I170" i="10"/>
  <c r="L66" i="59" s="1"/>
  <c r="I76" i="11"/>
  <c r="L70" i="59" s="1"/>
  <c r="Q161" i="10"/>
  <c r="U161" i="10" s="1"/>
  <c r="AA59" i="17"/>
  <c r="H91" i="17"/>
  <c r="Q65" i="11"/>
  <c r="U65" i="11" s="1"/>
  <c r="I75" i="11"/>
  <c r="I72" i="11"/>
  <c r="I73" i="11"/>
  <c r="Q67" i="11"/>
  <c r="U67" i="11" s="1"/>
  <c r="N2" i="11"/>
  <c r="N74" i="11" s="1"/>
  <c r="J75" i="11"/>
  <c r="J73" i="11"/>
  <c r="J72" i="11"/>
  <c r="I45" i="17"/>
  <c r="I167" i="10"/>
  <c r="I169" i="10"/>
  <c r="I166" i="10"/>
  <c r="N2" i="10"/>
  <c r="N168" i="10" s="1"/>
  <c r="J169" i="10"/>
  <c r="J167" i="10"/>
  <c r="J166" i="10"/>
  <c r="H22" i="17"/>
  <c r="I63" i="11"/>
  <c r="H60" i="17"/>
  <c r="M2" i="11"/>
  <c r="M74" i="11" s="1"/>
  <c r="I69" i="11"/>
  <c r="I162" i="10"/>
  <c r="I68" i="11"/>
  <c r="I164" i="10"/>
  <c r="I157" i="10"/>
  <c r="M2" i="10"/>
  <c r="M168" i="10" s="1"/>
  <c r="H70" i="59"/>
  <c r="H66" i="59"/>
  <c r="I15" i="17"/>
  <c r="I70" i="11"/>
  <c r="AA70" i="11" s="1"/>
  <c r="AE70" i="11" s="1"/>
  <c r="AI70" i="11" s="1"/>
  <c r="I66" i="11"/>
  <c r="L69" i="59" s="1"/>
  <c r="I160" i="10"/>
  <c r="L65" i="59" s="1"/>
  <c r="J5" i="11"/>
  <c r="J55" i="11" s="1"/>
  <c r="AV8" i="17" l="1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U43" i="17"/>
  <c r="U53" i="17"/>
  <c r="U49" i="17"/>
  <c r="U39" i="17"/>
  <c r="U41" i="17"/>
  <c r="U47" i="17"/>
  <c r="U14" i="17"/>
  <c r="U13" i="17"/>
  <c r="U12" i="17"/>
  <c r="AN58" i="17"/>
  <c r="AH114" i="17"/>
  <c r="AH116" i="17" s="1"/>
  <c r="U71" i="17"/>
  <c r="U75" i="17"/>
  <c r="U77" i="17"/>
  <c r="AR50" i="17"/>
  <c r="AR112" i="17" s="1"/>
  <c r="BE61" i="17"/>
  <c r="Q74" i="11"/>
  <c r="U74" i="11" s="1"/>
  <c r="U76" i="11"/>
  <c r="X70" i="59" s="1"/>
  <c r="U68" i="11"/>
  <c r="U66" i="11"/>
  <c r="U170" i="10"/>
  <c r="X66" i="59" s="1"/>
  <c r="U67" i="17"/>
  <c r="U69" i="17" s="1"/>
  <c r="T15" i="17"/>
  <c r="T83" i="17"/>
  <c r="T79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5" i="17" s="1"/>
  <c r="T114" i="17"/>
  <c r="T59" i="17"/>
  <c r="Q91" i="17"/>
  <c r="U91" i="17" s="1"/>
  <c r="L62" i="17"/>
  <c r="BD46" i="17"/>
  <c r="BD50" i="17" s="1"/>
  <c r="BD8" i="17"/>
  <c r="BF70" i="11"/>
  <c r="AO59" i="17"/>
  <c r="AO62" i="17" s="1"/>
  <c r="Q60" i="17"/>
  <c r="P83" i="17"/>
  <c r="AN11" i="17"/>
  <c r="AN57" i="17"/>
  <c r="AR57" i="17" s="1"/>
  <c r="AN50" i="17"/>
  <c r="AD54" i="17"/>
  <c r="AD62" i="17"/>
  <c r="AD112" i="17"/>
  <c r="AN52" i="17"/>
  <c r="AD114" i="17"/>
  <c r="AA91" i="17"/>
  <c r="AE91" i="17" s="1"/>
  <c r="AI91" i="17" s="1"/>
  <c r="P59" i="17"/>
  <c r="P67" i="17"/>
  <c r="P69" i="17" s="1"/>
  <c r="P79" i="17"/>
  <c r="Q35" i="17"/>
  <c r="U35" i="17" s="1"/>
  <c r="P15" i="17"/>
  <c r="Q115" i="17"/>
  <c r="Q79" i="17"/>
  <c r="P31" i="17"/>
  <c r="P34" i="17"/>
  <c r="P32" i="17"/>
  <c r="P47" i="17"/>
  <c r="Z3" i="17"/>
  <c r="P53" i="17"/>
  <c r="P115" i="17" s="1"/>
  <c r="P114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2" i="11"/>
  <c r="N75" i="11"/>
  <c r="N73" i="11"/>
  <c r="M166" i="10"/>
  <c r="M167" i="10"/>
  <c r="Y167" i="10" s="1"/>
  <c r="M169" i="10"/>
  <c r="Y169" i="10" s="1"/>
  <c r="M72" i="11"/>
  <c r="M75" i="11"/>
  <c r="M73" i="11"/>
  <c r="N167" i="10"/>
  <c r="Z167" i="10" s="1"/>
  <c r="N166" i="10"/>
  <c r="Z166" i="10" s="1"/>
  <c r="N169" i="10"/>
  <c r="Z169" i="10" s="1"/>
  <c r="AA170" i="10"/>
  <c r="AD66" i="59" s="1"/>
  <c r="Q170" i="10"/>
  <c r="T66" i="59" s="1"/>
  <c r="Q76" i="11"/>
  <c r="T70" i="59" s="1"/>
  <c r="AA67" i="11"/>
  <c r="AE67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3" i="11"/>
  <c r="U63" i="11" s="1"/>
  <c r="U64" i="11" s="1"/>
  <c r="AA63" i="11"/>
  <c r="AE63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2" i="10"/>
  <c r="AA160" i="10"/>
  <c r="AD65" i="59" s="1"/>
  <c r="AA3" i="17"/>
  <c r="AE3" i="17" s="1"/>
  <c r="AA22" i="17"/>
  <c r="Q159" i="10"/>
  <c r="U159" i="10" s="1"/>
  <c r="U162" i="10" s="1"/>
  <c r="H32" i="17"/>
  <c r="H31" i="17"/>
  <c r="H34" i="17"/>
  <c r="H33" i="17"/>
  <c r="J86" i="11"/>
  <c r="J81" i="11"/>
  <c r="J69" i="11"/>
  <c r="Q68" i="11"/>
  <c r="Q66" i="11"/>
  <c r="T69" i="59" s="1"/>
  <c r="Q70" i="11"/>
  <c r="U70" i="11" s="1"/>
  <c r="I51" i="17"/>
  <c r="I70" i="59"/>
  <c r="Q5" i="11"/>
  <c r="U5" i="11" s="1"/>
  <c r="U55" i="11" s="1"/>
  <c r="AA157" i="10"/>
  <c r="AE157" i="10" s="1"/>
  <c r="AI157" i="10" s="1"/>
  <c r="AI158" i="10" s="1"/>
  <c r="H35" i="17"/>
  <c r="L35" i="17" s="1"/>
  <c r="P35" i="17" s="1"/>
  <c r="T35" i="17" s="1"/>
  <c r="I64" i="11"/>
  <c r="I158" i="10"/>
  <c r="J89" i="11"/>
  <c r="I66" i="59"/>
  <c r="U115" i="17" l="1"/>
  <c r="U79" i="17"/>
  <c r="AV57" i="17"/>
  <c r="AR52" i="17"/>
  <c r="AV50" i="17"/>
  <c r="AV112" i="17" s="1"/>
  <c r="AR58" i="17"/>
  <c r="AV58" i="17" s="1"/>
  <c r="BD58" i="17" s="1"/>
  <c r="U15" i="17"/>
  <c r="AA74" i="11"/>
  <c r="AE74" i="11" s="1"/>
  <c r="AI74" i="11" s="1"/>
  <c r="AO74" i="11" s="1"/>
  <c r="AS74" i="11" s="1"/>
  <c r="AW74" i="11" s="1"/>
  <c r="R74" i="11"/>
  <c r="V74" i="11" s="1"/>
  <c r="AB74" i="11"/>
  <c r="AF74" i="11" s="1"/>
  <c r="AJ74" i="11" s="1"/>
  <c r="AP74" i="11" s="1"/>
  <c r="AT74" i="11" s="1"/>
  <c r="AX74" i="11" s="1"/>
  <c r="AA168" i="10"/>
  <c r="AE168" i="10" s="1"/>
  <c r="AI168" i="10" s="1"/>
  <c r="AO168" i="10" s="1"/>
  <c r="Q168" i="10"/>
  <c r="U168" i="10" s="1"/>
  <c r="R168" i="10"/>
  <c r="V168" i="10" s="1"/>
  <c r="AB168" i="10"/>
  <c r="AF168" i="10" s="1"/>
  <c r="AJ168" i="10" s="1"/>
  <c r="AP168" i="10" s="1"/>
  <c r="AI5" i="11"/>
  <c r="AI67" i="11"/>
  <c r="AI63" i="11"/>
  <c r="AO63" i="11" s="1"/>
  <c r="AS63" i="11" s="1"/>
  <c r="U160" i="10"/>
  <c r="X65" i="59" s="1"/>
  <c r="T62" i="17"/>
  <c r="T60" i="17"/>
  <c r="U51" i="17"/>
  <c r="U113" i="17" s="1"/>
  <c r="U117" i="17" s="1"/>
  <c r="U54" i="17"/>
  <c r="U55" i="17" s="1"/>
  <c r="U112" i="17"/>
  <c r="U116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2" i="17"/>
  <c r="AN59" i="17"/>
  <c r="AN62" i="17" s="1"/>
  <c r="AN54" i="17"/>
  <c r="AN114" i="17"/>
  <c r="AN112" i="17"/>
  <c r="AE55" i="11"/>
  <c r="AO70" i="11"/>
  <c r="AS70" i="11" s="1"/>
  <c r="AW70" i="11" s="1"/>
  <c r="AE158" i="10"/>
  <c r="AD3" i="17"/>
  <c r="AD88" i="17" s="1"/>
  <c r="AD116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6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AD78" i="17" s="1"/>
  <c r="Z72" i="17"/>
  <c r="Z77" i="17"/>
  <c r="Z73" i="17"/>
  <c r="Z75" i="17"/>
  <c r="P62" i="17"/>
  <c r="P60" i="17"/>
  <c r="P91" i="17"/>
  <c r="T91" i="17" s="1"/>
  <c r="Y68" i="11"/>
  <c r="Y66" i="11"/>
  <c r="AB69" i="59" s="1"/>
  <c r="Y64" i="11"/>
  <c r="AA65" i="11"/>
  <c r="AE65" i="11" s="1"/>
  <c r="AI65" i="11" s="1"/>
  <c r="Z66" i="17"/>
  <c r="Q51" i="17"/>
  <c r="Q113" i="17" s="1"/>
  <c r="Q117" i="17" s="1"/>
  <c r="Q54" i="17"/>
  <c r="Q55" i="17" s="1"/>
  <c r="Q112" i="17"/>
  <c r="Q116" i="17" s="1"/>
  <c r="Z81" i="17"/>
  <c r="Z82" i="17"/>
  <c r="AA35" i="17"/>
  <c r="AE35" i="17" s="1"/>
  <c r="AA55" i="11"/>
  <c r="AD68" i="59" s="1"/>
  <c r="Q55" i="11"/>
  <c r="T68" i="59" s="1"/>
  <c r="AA60" i="17"/>
  <c r="AA72" i="17"/>
  <c r="AE72" i="17" s="1"/>
  <c r="AI72" i="17" s="1"/>
  <c r="AA41" i="17"/>
  <c r="AA49" i="17"/>
  <c r="AA43" i="17"/>
  <c r="M51" i="17"/>
  <c r="M113" i="17" s="1"/>
  <c r="M117" i="17" s="1"/>
  <c r="M54" i="17"/>
  <c r="M55" i="17" s="1"/>
  <c r="M112" i="17"/>
  <c r="AA53" i="17"/>
  <c r="AA47" i="17"/>
  <c r="AA39" i="17"/>
  <c r="AA11" i="17"/>
  <c r="AA76" i="11"/>
  <c r="AD70" i="59" s="1"/>
  <c r="AA69" i="11"/>
  <c r="AE69" i="11" s="1"/>
  <c r="AI69" i="11" s="1"/>
  <c r="AB167" i="10"/>
  <c r="AF167" i="10" s="1"/>
  <c r="AB166" i="10"/>
  <c r="AF166" i="10" s="1"/>
  <c r="AA13" i="17"/>
  <c r="AA169" i="10"/>
  <c r="AE169" i="10" s="1"/>
  <c r="Q64" i="11"/>
  <c r="X68" i="59"/>
  <c r="AB5" i="11"/>
  <c r="AF5" i="11" s="1"/>
  <c r="AJ5" i="11" s="1"/>
  <c r="AA158" i="10"/>
  <c r="AA81" i="17"/>
  <c r="AE81" i="17" s="1"/>
  <c r="AI81" i="17" s="1"/>
  <c r="AA77" i="17"/>
  <c r="AE77" i="17" s="1"/>
  <c r="AI77" i="17" s="1"/>
  <c r="AA82" i="17"/>
  <c r="AE82" i="17" s="1"/>
  <c r="AI82" i="17" s="1"/>
  <c r="AI83" i="17" s="1"/>
  <c r="AA71" i="17"/>
  <c r="AE71" i="17" s="1"/>
  <c r="AI71" i="17" s="1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3" i="11"/>
  <c r="U73" i="11" s="1"/>
  <c r="AA73" i="11"/>
  <c r="AE73" i="11" s="1"/>
  <c r="R73" i="11"/>
  <c r="V73" i="11" s="1"/>
  <c r="AB73" i="11"/>
  <c r="AF73" i="11" s="1"/>
  <c r="R75" i="11"/>
  <c r="V75" i="11" s="1"/>
  <c r="AB75" i="11"/>
  <c r="AF75" i="11" s="1"/>
  <c r="Q75" i="11"/>
  <c r="U75" i="11" s="1"/>
  <c r="AA75" i="11"/>
  <c r="AE75" i="11" s="1"/>
  <c r="R72" i="11"/>
  <c r="V72" i="11" s="1"/>
  <c r="AB72" i="11"/>
  <c r="AF72" i="11" s="1"/>
  <c r="AA167" i="10"/>
  <c r="AE167" i="10" s="1"/>
  <c r="AB169" i="10"/>
  <c r="AF169" i="10" s="1"/>
  <c r="Z65" i="17"/>
  <c r="Q160" i="10"/>
  <c r="T65" i="59" s="1"/>
  <c r="Q162" i="10"/>
  <c r="Q169" i="10"/>
  <c r="U169" i="10" s="1"/>
  <c r="Q157" i="10"/>
  <c r="U157" i="10" s="1"/>
  <c r="U158" i="10" s="1"/>
  <c r="R169" i="10"/>
  <c r="V169" i="10" s="1"/>
  <c r="R166" i="10"/>
  <c r="V166" i="10" s="1"/>
  <c r="Q164" i="10"/>
  <c r="U164" i="10" s="1"/>
  <c r="Q167" i="10"/>
  <c r="U167" i="10" s="1"/>
  <c r="R167" i="10"/>
  <c r="V167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3" i="11"/>
  <c r="J91" i="11"/>
  <c r="J183" i="10"/>
  <c r="J185" i="10" s="1"/>
  <c r="R5" i="11"/>
  <c r="V5" i="11" s="1"/>
  <c r="Q69" i="11"/>
  <c r="U69" i="11" s="1"/>
  <c r="I5" i="10"/>
  <c r="I153" i="10" s="1"/>
  <c r="AI35" i="17" l="1"/>
  <c r="AO35" i="17" s="1"/>
  <c r="AI67" i="17"/>
  <c r="AI69" i="17" s="1"/>
  <c r="AI75" i="17"/>
  <c r="AO75" i="17" s="1"/>
  <c r="AS75" i="17" s="1"/>
  <c r="AV52" i="17"/>
  <c r="AR114" i="17"/>
  <c r="AR116" i="17" s="1"/>
  <c r="AI79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68" i="10"/>
  <c r="AW168" i="10" s="1"/>
  <c r="AT168" i="10"/>
  <c r="AX168" i="10" s="1"/>
  <c r="AW63" i="11"/>
  <c r="BE63" i="11" s="1"/>
  <c r="AJ86" i="11"/>
  <c r="AJ93" i="11" s="1"/>
  <c r="AJ55" i="11"/>
  <c r="AJ81" i="11"/>
  <c r="V86" i="11"/>
  <c r="V93" i="11" s="1"/>
  <c r="V55" i="11"/>
  <c r="V81" i="11"/>
  <c r="AI55" i="11"/>
  <c r="AI66" i="11"/>
  <c r="AI64" i="11"/>
  <c r="AI68" i="11"/>
  <c r="AI76" i="11"/>
  <c r="AL70" i="59" s="1"/>
  <c r="AE66" i="11"/>
  <c r="AH69" i="59" s="1"/>
  <c r="AO67" i="11"/>
  <c r="AJ75" i="11"/>
  <c r="AP75" i="11" s="1"/>
  <c r="AT75" i="11" s="1"/>
  <c r="AI169" i="10"/>
  <c r="AO169" i="10" s="1"/>
  <c r="AS169" i="10" s="1"/>
  <c r="AI75" i="11"/>
  <c r="AO75" i="11" s="1"/>
  <c r="AS75" i="11" s="1"/>
  <c r="AJ169" i="10"/>
  <c r="AP169" i="10" s="1"/>
  <c r="AT169" i="10" s="1"/>
  <c r="AJ167" i="10"/>
  <c r="AP167" i="10" s="1"/>
  <c r="AT167" i="10" s="1"/>
  <c r="AI167" i="10"/>
  <c r="AO167" i="10" s="1"/>
  <c r="AS167" i="10" s="1"/>
  <c r="AJ73" i="11"/>
  <c r="AP73" i="11" s="1"/>
  <c r="AT73" i="11" s="1"/>
  <c r="AI73" i="11"/>
  <c r="AO73" i="11" s="1"/>
  <c r="AS73" i="11" s="1"/>
  <c r="AJ72" i="11"/>
  <c r="AP72" i="11" s="1"/>
  <c r="AT72" i="11" s="1"/>
  <c r="AJ166" i="10"/>
  <c r="AP166" i="10" s="1"/>
  <c r="AT166" i="10" s="1"/>
  <c r="AO73" i="17"/>
  <c r="AO82" i="17"/>
  <c r="AO72" i="17"/>
  <c r="AS72" i="17" s="1"/>
  <c r="AD13" i="17"/>
  <c r="AD82" i="17"/>
  <c r="AD77" i="17"/>
  <c r="AD65" i="17"/>
  <c r="AO78" i="17"/>
  <c r="AS78" i="17" s="1"/>
  <c r="AD72" i="17"/>
  <c r="AH72" i="17" s="1"/>
  <c r="AN91" i="17"/>
  <c r="AN116" i="17"/>
  <c r="BC169" i="10"/>
  <c r="BC166" i="10"/>
  <c r="BC167" i="10"/>
  <c r="BD169" i="10"/>
  <c r="BD167" i="10"/>
  <c r="BD166" i="10"/>
  <c r="BE57" i="17"/>
  <c r="BE59" i="17" s="1"/>
  <c r="BE91" i="17" s="1"/>
  <c r="BE70" i="11"/>
  <c r="AE115" i="17"/>
  <c r="AO157" i="10"/>
  <c r="AO30" i="17"/>
  <c r="AO13" i="17"/>
  <c r="AO53" i="17"/>
  <c r="AO47" i="17"/>
  <c r="AO51" i="17"/>
  <c r="AD75" i="17"/>
  <c r="AD76" i="17"/>
  <c r="AD66" i="17"/>
  <c r="AD73" i="17"/>
  <c r="AF86" i="11"/>
  <c r="AF93" i="11" s="1"/>
  <c r="AF55" i="11"/>
  <c r="AF22" i="36" s="1"/>
  <c r="AI68" i="59" s="1"/>
  <c r="AF81" i="11"/>
  <c r="AO5" i="11"/>
  <c r="AA68" i="11"/>
  <c r="AA64" i="11"/>
  <c r="AO65" i="11"/>
  <c r="AS65" i="11" s="1"/>
  <c r="AE79" i="17"/>
  <c r="AE113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4" i="11"/>
  <c r="AE68" i="11"/>
  <c r="AA66" i="11"/>
  <c r="AD69" i="59" s="1"/>
  <c r="AA115" i="17"/>
  <c r="M116" i="17"/>
  <c r="Z15" i="17"/>
  <c r="AB55" i="11"/>
  <c r="AE68" i="59" s="1"/>
  <c r="R55" i="11"/>
  <c r="R22" i="36" s="1"/>
  <c r="Z49" i="17"/>
  <c r="AA12" i="17"/>
  <c r="AB86" i="11"/>
  <c r="AB93" i="11" s="1"/>
  <c r="J31" i="35"/>
  <c r="J95" i="11" s="1"/>
  <c r="AB81" i="11"/>
  <c r="AB69" i="11"/>
  <c r="AF69" i="11" s="1"/>
  <c r="AJ69" i="11" s="1"/>
  <c r="AA83" i="17"/>
  <c r="AA79" i="17"/>
  <c r="Q158" i="10"/>
  <c r="Z22" i="17"/>
  <c r="Z83" i="17"/>
  <c r="Z79" i="17"/>
  <c r="Z67" i="17"/>
  <c r="R183" i="10"/>
  <c r="R185" i="10" s="1"/>
  <c r="U66" i="59"/>
  <c r="AA67" i="17"/>
  <c r="Z60" i="17"/>
  <c r="Z62" i="17"/>
  <c r="Z47" i="17"/>
  <c r="Z53" i="17"/>
  <c r="Z115" i="17" s="1"/>
  <c r="R69" i="11"/>
  <c r="V69" i="11" s="1"/>
  <c r="R86" i="11"/>
  <c r="R81" i="11"/>
  <c r="R89" i="11"/>
  <c r="I163" i="10"/>
  <c r="J5" i="10"/>
  <c r="J153" i="10" s="1"/>
  <c r="I95" i="9"/>
  <c r="AR91" i="17" l="1"/>
  <c r="AV91" i="17" s="1"/>
  <c r="AS35" i="17"/>
  <c r="AW35" i="17" s="1"/>
  <c r="BE35" i="17" s="1"/>
  <c r="AS82" i="17"/>
  <c r="AI115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115" i="17" s="1"/>
  <c r="AS55" i="17"/>
  <c r="AH65" i="17"/>
  <c r="AW78" i="17"/>
  <c r="AO14" i="17"/>
  <c r="AO66" i="17"/>
  <c r="AH73" i="17"/>
  <c r="AO39" i="17"/>
  <c r="AH77" i="17"/>
  <c r="AI113" i="17"/>
  <c r="AI15" i="17"/>
  <c r="AV114" i="17"/>
  <c r="AV116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0" i="17"/>
  <c r="AR62" i="17"/>
  <c r="AS73" i="17"/>
  <c r="AW73" i="17" s="1"/>
  <c r="AO55" i="17"/>
  <c r="AO49" i="17"/>
  <c r="AH13" i="17"/>
  <c r="AV62" i="17"/>
  <c r="AX72" i="11"/>
  <c r="BF72" i="11" s="1"/>
  <c r="AW75" i="11"/>
  <c r="BE75" i="11" s="1"/>
  <c r="AW73" i="11"/>
  <c r="BE73" i="11" s="1"/>
  <c r="AW65" i="11"/>
  <c r="AX73" i="11"/>
  <c r="BF73" i="11" s="1"/>
  <c r="AX75" i="11"/>
  <c r="BF75" i="11" s="1"/>
  <c r="AW169" i="10"/>
  <c r="BE169" i="10" s="1"/>
  <c r="AW167" i="10"/>
  <c r="BE167" i="10" s="1"/>
  <c r="AX167" i="10"/>
  <c r="BF167" i="10" s="1"/>
  <c r="AX166" i="10"/>
  <c r="BF166" i="10" s="1"/>
  <c r="AX169" i="10"/>
  <c r="BF169" i="10" s="1"/>
  <c r="AS67" i="11"/>
  <c r="AW67" i="11" s="1"/>
  <c r="AO76" i="11"/>
  <c r="AR70" i="59" s="1"/>
  <c r="AD83" i="17"/>
  <c r="AD67" i="17"/>
  <c r="AD69" i="17" s="1"/>
  <c r="AD115" i="17"/>
  <c r="AD15" i="17"/>
  <c r="BD57" i="17"/>
  <c r="BD59" i="17" s="1"/>
  <c r="BE62" i="17"/>
  <c r="AE117" i="17"/>
  <c r="AO55" i="11"/>
  <c r="AR68" i="59" s="1"/>
  <c r="AS5" i="11"/>
  <c r="AW5" i="11" s="1"/>
  <c r="AS157" i="10"/>
  <c r="AW157" i="10" s="1"/>
  <c r="AW158" i="10" s="1"/>
  <c r="AO158" i="10"/>
  <c r="AS64" i="11"/>
  <c r="AO115" i="17"/>
  <c r="AN3" i="17"/>
  <c r="AR3" i="17" s="1"/>
  <c r="AO113" i="17"/>
  <c r="AO71" i="17"/>
  <c r="AS71" i="17" s="1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4" i="11"/>
  <c r="AO66" i="11"/>
  <c r="AR69" i="59" s="1"/>
  <c r="AO68" i="11"/>
  <c r="AO69" i="11"/>
  <c r="AL69" i="59"/>
  <c r="AD79" i="17"/>
  <c r="Z69" i="17"/>
  <c r="AA69" i="17"/>
  <c r="AA15" i="17"/>
  <c r="AB22" i="36"/>
  <c r="J33" i="35"/>
  <c r="J21" i="36"/>
  <c r="M64" i="59" s="1"/>
  <c r="AA5" i="10"/>
  <c r="AA153" i="10" s="1"/>
  <c r="Q5" i="10"/>
  <c r="Z34" i="17"/>
  <c r="Z32" i="17"/>
  <c r="Z31" i="17"/>
  <c r="Z35" i="17"/>
  <c r="AD35" i="17" s="1"/>
  <c r="R93" i="11"/>
  <c r="AA45" i="17"/>
  <c r="AA50" i="17"/>
  <c r="AA112" i="17" s="1"/>
  <c r="AA116" i="17" s="1"/>
  <c r="J180" i="10"/>
  <c r="J187" i="10" s="1"/>
  <c r="R91" i="11"/>
  <c r="R76" i="11"/>
  <c r="U70" i="59" s="1"/>
  <c r="J175" i="10"/>
  <c r="J163" i="10"/>
  <c r="N21" i="36"/>
  <c r="Q64" i="59" s="1"/>
  <c r="I92" i="9"/>
  <c r="J99" i="9"/>
  <c r="J95" i="9"/>
  <c r="J92" i="9"/>
  <c r="I99" i="9"/>
  <c r="AO15" i="17" l="1"/>
  <c r="AI117" i="17"/>
  <c r="AS15" i="17"/>
  <c r="AS66" i="17"/>
  <c r="AW66" i="17" s="1"/>
  <c r="BE66" i="17" s="1"/>
  <c r="AH67" i="17"/>
  <c r="AH69" i="17" s="1"/>
  <c r="AS77" i="17"/>
  <c r="AW77" i="17" s="1"/>
  <c r="BE77" i="17" s="1"/>
  <c r="BD114" i="17"/>
  <c r="BD116" i="17" s="1"/>
  <c r="BD54" i="17"/>
  <c r="AS117" i="17"/>
  <c r="AW65" i="17"/>
  <c r="AS67" i="17"/>
  <c r="AS69" i="17" s="1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W83" i="17" s="1"/>
  <c r="AS83" i="17"/>
  <c r="AH79" i="17"/>
  <c r="AH51" i="17"/>
  <c r="AS113" i="17"/>
  <c r="AW82" i="17"/>
  <c r="BE82" i="17" s="1"/>
  <c r="AW71" i="17"/>
  <c r="AH83" i="17"/>
  <c r="AH15" i="17"/>
  <c r="AH115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5" i="11"/>
  <c r="AX86" i="11"/>
  <c r="AX55" i="11"/>
  <c r="AX22" i="36" s="1"/>
  <c r="BA68" i="59" s="1"/>
  <c r="AX81" i="11"/>
  <c r="AW68" i="11"/>
  <c r="AW76" i="11"/>
  <c r="AS68" i="11"/>
  <c r="AS66" i="11"/>
  <c r="AV69" i="59" s="1"/>
  <c r="AW66" i="11"/>
  <c r="AW64" i="11"/>
  <c r="BE65" i="11"/>
  <c r="BE64" i="11" s="1"/>
  <c r="AS76" i="11"/>
  <c r="AV70" i="59" s="1"/>
  <c r="Q153" i="10"/>
  <c r="T64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69" i="11"/>
  <c r="AW69" i="11" s="1"/>
  <c r="AX93" i="11"/>
  <c r="BF5" i="11"/>
  <c r="BD62" i="17"/>
  <c r="AD113" i="17"/>
  <c r="AD117" i="17" s="1"/>
  <c r="AS158" i="10"/>
  <c r="AO79" i="17"/>
  <c r="AN73" i="17"/>
  <c r="AN13" i="17"/>
  <c r="AR13" i="17" s="1"/>
  <c r="AS55" i="11"/>
  <c r="AO83" i="17"/>
  <c r="AO117" i="17"/>
  <c r="AN72" i="17"/>
  <c r="AT86" i="11"/>
  <c r="AT93" i="11" s="1"/>
  <c r="AT55" i="11"/>
  <c r="AT22" i="36" s="1"/>
  <c r="AW68" i="59" s="1"/>
  <c r="AT81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6" i="11"/>
  <c r="AP93" i="11" s="1"/>
  <c r="AP55" i="11"/>
  <c r="AP81" i="11"/>
  <c r="AP69" i="11"/>
  <c r="AT69" i="11" s="1"/>
  <c r="AX69" i="11" s="1"/>
  <c r="AD64" i="59"/>
  <c r="AE5" i="10"/>
  <c r="AA54" i="17"/>
  <c r="J76" i="11"/>
  <c r="M70" i="59" s="1"/>
  <c r="J22" i="36"/>
  <c r="M68" i="59" s="1"/>
  <c r="J34" i="35"/>
  <c r="N33" i="35"/>
  <c r="AA163" i="10"/>
  <c r="AB5" i="10"/>
  <c r="AB153" i="10" s="1"/>
  <c r="R5" i="10"/>
  <c r="Q163" i="10"/>
  <c r="AA51" i="17"/>
  <c r="AA113" i="17" s="1"/>
  <c r="AA117" i="17" s="1"/>
  <c r="I38" i="9"/>
  <c r="I20" i="9"/>
  <c r="I15" i="9"/>
  <c r="J2" i="9"/>
  <c r="I2" i="9"/>
  <c r="AW67" i="17" l="1"/>
  <c r="AW69" i="17" s="1"/>
  <c r="AW113" i="17"/>
  <c r="AS79" i="17"/>
  <c r="AR15" i="17"/>
  <c r="AW115" i="17"/>
  <c r="AW117" i="17" s="1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W79" i="17"/>
  <c r="AR51" i="17"/>
  <c r="AV81" i="17"/>
  <c r="AV65" i="17"/>
  <c r="AV13" i="17"/>
  <c r="AR115" i="17"/>
  <c r="AR71" i="17"/>
  <c r="AH113" i="17"/>
  <c r="AH117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3" i="10"/>
  <c r="AR88" i="17"/>
  <c r="BE67" i="11"/>
  <c r="AZ70" i="59"/>
  <c r="AZ69" i="59"/>
  <c r="AE153" i="10"/>
  <c r="AI5" i="10"/>
  <c r="R153" i="10"/>
  <c r="U64" i="59" s="1"/>
  <c r="V5" i="10"/>
  <c r="U153" i="10"/>
  <c r="X64" i="59" s="1"/>
  <c r="AN115" i="17"/>
  <c r="BD14" i="17"/>
  <c r="BD45" i="17"/>
  <c r="BD30" i="17"/>
  <c r="BD49" i="17"/>
  <c r="BD47" i="17"/>
  <c r="BD53" i="17"/>
  <c r="BD78" i="17"/>
  <c r="AE163" i="10"/>
  <c r="BD13" i="17"/>
  <c r="BF81" i="11"/>
  <c r="BF86" i="11"/>
  <c r="BF93" i="11" s="1"/>
  <c r="BF55" i="11"/>
  <c r="BF22" i="36" s="1"/>
  <c r="BI68" i="59" s="1"/>
  <c r="BF69" i="11"/>
  <c r="BE69" i="11"/>
  <c r="BE55" i="11"/>
  <c r="BE157" i="10"/>
  <c r="BE158" i="10" s="1"/>
  <c r="AN67" i="17"/>
  <c r="AN69" i="17" s="1"/>
  <c r="AN15" i="17"/>
  <c r="AN79" i="17"/>
  <c r="AN83" i="17"/>
  <c r="AN51" i="17"/>
  <c r="AN113" i="17" s="1"/>
  <c r="AS68" i="59"/>
  <c r="AP22" i="36"/>
  <c r="AF5" i="10"/>
  <c r="R95" i="11"/>
  <c r="AA55" i="17"/>
  <c r="J36" i="35"/>
  <c r="U68" i="59"/>
  <c r="AB163" i="10"/>
  <c r="AB180" i="10"/>
  <c r="AB175" i="10"/>
  <c r="R163" i="10"/>
  <c r="R180" i="10"/>
  <c r="R187" i="10" s="1"/>
  <c r="R175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1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H125" i="26" l="1"/>
  <c r="H117" i="26"/>
  <c r="H118" i="26"/>
  <c r="H116" i="26"/>
  <c r="H122" i="26"/>
  <c r="H121" i="26"/>
  <c r="H124" i="26"/>
  <c r="H126" i="26"/>
  <c r="H128" i="26"/>
  <c r="H123" i="26"/>
  <c r="H119" i="26"/>
  <c r="H120" i="26"/>
  <c r="H127" i="26"/>
  <c r="AI163" i="10"/>
  <c r="BE115" i="17"/>
  <c r="AV83" i="17"/>
  <c r="AR83" i="17"/>
  <c r="R21" i="36"/>
  <c r="BE113" i="17"/>
  <c r="BE117" i="17" s="1"/>
  <c r="BE15" i="17"/>
  <c r="AR113" i="17"/>
  <c r="AR117" i="17" s="1"/>
  <c r="AR55" i="17"/>
  <c r="AV71" i="17"/>
  <c r="AR79" i="17"/>
  <c r="AV115" i="17"/>
  <c r="AV15" i="17"/>
  <c r="AV51" i="17"/>
  <c r="AR67" i="17"/>
  <c r="AR69" i="17" s="1"/>
  <c r="AV67" i="17"/>
  <c r="AV69" i="17" s="1"/>
  <c r="V163" i="10"/>
  <c r="AV88" i="17"/>
  <c r="BD88" i="17" s="1"/>
  <c r="BE76" i="11"/>
  <c r="BH70" i="59" s="1"/>
  <c r="BE68" i="11"/>
  <c r="BE66" i="11"/>
  <c r="BH69" i="59" s="1"/>
  <c r="AF153" i="10"/>
  <c r="AF21" i="36" s="1"/>
  <c r="AI64" i="59" s="1"/>
  <c r="AJ5" i="10"/>
  <c r="AI153" i="10"/>
  <c r="AN117" i="17"/>
  <c r="V180" i="10"/>
  <c r="V187" i="10" s="1"/>
  <c r="V175" i="10"/>
  <c r="V153" i="10"/>
  <c r="V21" i="36" s="1"/>
  <c r="J88" i="8"/>
  <c r="BD51" i="17"/>
  <c r="BD113" i="17" s="1"/>
  <c r="BE65" i="17"/>
  <c r="BE67" i="17" s="1"/>
  <c r="BE69" i="17" s="1"/>
  <c r="BD15" i="17"/>
  <c r="BD115" i="17"/>
  <c r="AO5" i="10"/>
  <c r="AO153" i="10" s="1"/>
  <c r="AR64" i="59" s="1"/>
  <c r="BE71" i="17"/>
  <c r="BE79" i="17" s="1"/>
  <c r="BE81" i="17"/>
  <c r="BE83" i="17" s="1"/>
  <c r="AN55" i="17"/>
  <c r="AF163" i="10"/>
  <c r="AF175" i="10"/>
  <c r="AF180" i="10"/>
  <c r="AF187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6" i="35"/>
  <c r="J47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H129" i="26" l="1"/>
  <c r="AV55" i="17"/>
  <c r="AV113" i="17"/>
  <c r="AV117" i="17" s="1"/>
  <c r="AV79" i="17"/>
  <c r="BD71" i="17"/>
  <c r="AJ163" i="10"/>
  <c r="AJ180" i="10"/>
  <c r="AJ187" i="10" s="1"/>
  <c r="AJ175" i="10"/>
  <c r="AJ153" i="10"/>
  <c r="AJ21" i="36" s="1"/>
  <c r="AM64" i="59" s="1"/>
  <c r="Y64" i="59"/>
  <c r="BD55" i="17"/>
  <c r="BD117" i="17"/>
  <c r="AS5" i="10"/>
  <c r="AO163" i="10"/>
  <c r="BD65" i="17"/>
  <c r="BD67" i="17" s="1"/>
  <c r="BD69" i="17" s="1"/>
  <c r="AP5" i="10"/>
  <c r="AP153" i="10" s="1"/>
  <c r="K77" i="83"/>
  <c r="K93" i="50"/>
  <c r="K91" i="50" s="1"/>
  <c r="BD81" i="17"/>
  <c r="BD83" i="17" s="1"/>
  <c r="BD77" i="17"/>
  <c r="AM39" i="36"/>
  <c r="N88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3" i="35"/>
  <c r="N47" i="35"/>
  <c r="N37" i="35"/>
  <c r="O93" i="50" s="1"/>
  <c r="O91" i="50" s="1"/>
  <c r="J25" i="36"/>
  <c r="M76" i="59" s="1"/>
  <c r="AB33" i="35"/>
  <c r="N85" i="9"/>
  <c r="I7" i="9"/>
  <c r="N126" i="7"/>
  <c r="BL126" i="7" s="1"/>
  <c r="BN126" i="7" s="1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AS163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T129" i="26"/>
  <c r="U24" i="36" s="1"/>
  <c r="X75" i="59" s="1"/>
  <c r="AS153" i="10"/>
  <c r="AV64" i="59" s="1"/>
  <c r="I24" i="36"/>
  <c r="L75" i="59" s="1"/>
  <c r="M24" i="36"/>
  <c r="P75" i="59" s="1"/>
  <c r="J129" i="7"/>
  <c r="AP175" i="10"/>
  <c r="AP180" i="10"/>
  <c r="AP187" i="10" s="1"/>
  <c r="AP163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3" i="35"/>
  <c r="N25" i="36"/>
  <c r="Q76" i="59" s="1"/>
  <c r="S93" i="50"/>
  <c r="S91" i="50" s="1"/>
  <c r="M7" i="9"/>
  <c r="R126" i="7"/>
  <c r="N83" i="9"/>
  <c r="J130" i="7"/>
  <c r="N128" i="7"/>
  <c r="N127" i="7"/>
  <c r="BL127" i="7" s="1"/>
  <c r="BN127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53" i="10"/>
  <c r="AW64" i="59" s="1"/>
  <c r="AX5" i="10"/>
  <c r="BF5" i="10" s="1"/>
  <c r="AW163" i="10"/>
  <c r="AW153" i="10"/>
  <c r="AZ64" i="59" s="1"/>
  <c r="BE5" i="10"/>
  <c r="BE153" i="10" s="1"/>
  <c r="BH64" i="59" s="1"/>
  <c r="AX97" i="9"/>
  <c r="BF97" i="9" s="1"/>
  <c r="N129" i="7"/>
  <c r="BL129" i="7" s="1"/>
  <c r="BN129" i="7" s="1"/>
  <c r="BL128" i="7"/>
  <c r="BN128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W93" i="50"/>
  <c r="W91" i="50" s="1"/>
  <c r="I82" i="8"/>
  <c r="L50" i="59" s="1"/>
  <c r="I83" i="8"/>
  <c r="L51" i="59" s="1"/>
  <c r="AO98" i="9"/>
  <c r="AS98" i="9" s="1"/>
  <c r="AT163" i="10"/>
  <c r="AT175" i="10"/>
  <c r="AT180" i="10"/>
  <c r="AT187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R25" i="36"/>
  <c r="U76" i="59" s="1"/>
  <c r="AB36" i="35"/>
  <c r="N130" i="7"/>
  <c r="BL130" i="7" s="1"/>
  <c r="BN130" i="7" s="1"/>
  <c r="R128" i="7"/>
  <c r="R129" i="7" s="1"/>
  <c r="R127" i="7"/>
  <c r="Y16" i="8"/>
  <c r="AA33" i="22"/>
  <c r="Z131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3" i="10" l="1"/>
  <c r="AT21" i="36"/>
  <c r="M77" i="8"/>
  <c r="L2" i="26"/>
  <c r="L2" i="17"/>
  <c r="I77" i="8"/>
  <c r="H2" i="17"/>
  <c r="H2" i="26"/>
  <c r="AX103" i="9"/>
  <c r="BF103" i="9" s="1"/>
  <c r="AW103" i="9"/>
  <c r="BE103" i="9" s="1"/>
  <c r="BE163" i="10"/>
  <c r="AX180" i="10"/>
  <c r="AX187" i="10" s="1"/>
  <c r="AX153" i="10"/>
  <c r="BA64" i="59" s="1"/>
  <c r="AX175" i="10"/>
  <c r="AW98" i="9"/>
  <c r="BE98" i="9" s="1"/>
  <c r="AX98" i="9"/>
  <c r="BF98" i="9" s="1"/>
  <c r="L49" i="59"/>
  <c r="AF2" i="8"/>
  <c r="AF87" i="8" s="1"/>
  <c r="AB88" i="8"/>
  <c r="Y45" i="59"/>
  <c r="BF163" i="10"/>
  <c r="BF180" i="10"/>
  <c r="BF187" i="10" s="1"/>
  <c r="BF153" i="10"/>
  <c r="BF175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47" i="35"/>
  <c r="AB37" i="35"/>
  <c r="AC93" i="50" s="1"/>
  <c r="AC91" i="50" s="1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Z2" i="26" l="1"/>
  <c r="Z2" i="17"/>
  <c r="J77" i="8"/>
  <c r="I2" i="26"/>
  <c r="I2" i="17"/>
  <c r="P2" i="17"/>
  <c r="P2" i="26"/>
  <c r="AF88" i="8"/>
  <c r="AF77" i="8"/>
  <c r="AJ2" i="8"/>
  <c r="AJ77" i="8" s="1"/>
  <c r="AF80" i="8"/>
  <c r="AJ80" i="8" s="1"/>
  <c r="BD129" i="26"/>
  <c r="AJ21" i="8"/>
  <c r="AP21" i="8" s="1"/>
  <c r="AT21" i="8" s="1"/>
  <c r="Z129" i="26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D129" i="26"/>
  <c r="AA108" i="8"/>
  <c r="AA109" i="8" s="1"/>
  <c r="J110" i="8"/>
  <c r="J111" i="8" s="1"/>
  <c r="Q77" i="8"/>
  <c r="J51" i="8"/>
  <c r="M42" i="59" s="1"/>
  <c r="AE45" i="59"/>
  <c r="AB126" i="7"/>
  <c r="AB72" i="9"/>
  <c r="AB53" i="35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B25" i="36"/>
  <c r="AE76" i="59" s="1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U77" i="8" l="1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H129" i="26"/>
  <c r="AI21" i="8"/>
  <c r="AO21" i="8" s="1"/>
  <c r="AS21" i="8" s="1"/>
  <c r="AI50" i="8"/>
  <c r="AI49" i="8"/>
  <c r="Q49" i="59"/>
  <c r="AB128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N129" i="26"/>
  <c r="AI24" i="36"/>
  <c r="AL75" i="59" s="1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s="1"/>
  <c r="I99" i="7" s="1"/>
  <c r="J26" i="7" l="1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R129" i="26"/>
  <c r="AO24" i="36"/>
  <c r="AR75" i="59" s="1"/>
  <c r="AB130" i="7"/>
  <c r="AD49" i="59"/>
  <c r="J143" i="7"/>
  <c r="J137" i="7"/>
  <c r="I32" i="7"/>
  <c r="I97" i="7" s="1"/>
  <c r="I29" i="7"/>
  <c r="I92" i="7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I31" i="7"/>
  <c r="I96" i="7" s="1"/>
  <c r="I30" i="7"/>
  <c r="I93" i="7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B59" i="7" l="1"/>
  <c r="AB99" i="7" s="1"/>
  <c r="AB33" i="7"/>
  <c r="AB95" i="7" s="1"/>
  <c r="AW64" i="7"/>
  <c r="BE64" i="7" s="1"/>
  <c r="AI79" i="7"/>
  <c r="AI74" i="7"/>
  <c r="AI76" i="7"/>
  <c r="AI35" i="7"/>
  <c r="AI100" i="7" s="1"/>
  <c r="AI34" i="7"/>
  <c r="AI78" i="7"/>
  <c r="AI81" i="7"/>
  <c r="I87" i="7"/>
  <c r="N143" i="7"/>
  <c r="BL141" i="7"/>
  <c r="BN141" i="7" s="1"/>
  <c r="N121" i="7"/>
  <c r="BL121" i="7" s="1"/>
  <c r="BN121" i="7" s="1"/>
  <c r="BL120" i="7"/>
  <c r="BN120" i="7" s="1"/>
  <c r="N137" i="7"/>
  <c r="BL135" i="7"/>
  <c r="BN135" i="7" s="1"/>
  <c r="AR2" i="17"/>
  <c r="AR2" i="26"/>
  <c r="AW50" i="8"/>
  <c r="AW77" i="8" s="1"/>
  <c r="AW49" i="8"/>
  <c r="AW88" i="8"/>
  <c r="AV129" i="26"/>
  <c r="AW24" i="36" s="1"/>
  <c r="AZ75" i="59" s="1"/>
  <c r="AS24" i="36"/>
  <c r="AV75" i="59" s="1"/>
  <c r="I98" i="7"/>
  <c r="I85" i="7"/>
  <c r="I36" i="7"/>
  <c r="I51" i="7" s="1"/>
  <c r="I61" i="7" s="1"/>
  <c r="H122" i="7"/>
  <c r="I86" i="7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AA35" i="7" s="1"/>
  <c r="AA100" i="7" s="1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AI88" i="7" l="1"/>
  <c r="AI101" i="7" s="1"/>
  <c r="AI36" i="7"/>
  <c r="AI51" i="7" s="1"/>
  <c r="BE14" i="36"/>
  <c r="BH41" i="59" s="1"/>
  <c r="N122" i="7"/>
  <c r="BL122" i="7" s="1"/>
  <c r="BN122" i="7" s="1"/>
  <c r="N123" i="7"/>
  <c r="N124" i="7" s="1"/>
  <c r="BL124" i="7" s="1"/>
  <c r="BN124" i="7" s="1"/>
  <c r="AJ108" i="7"/>
  <c r="AP108" i="7" s="1"/>
  <c r="AT108" i="7" s="1"/>
  <c r="AE34" i="7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BL138" i="7" s="1"/>
  <c r="BN138" i="7" s="1"/>
  <c r="BL137" i="7"/>
  <c r="BN137" i="7" s="1"/>
  <c r="N144" i="7"/>
  <c r="BL144" i="7" s="1"/>
  <c r="BN144" i="7" s="1"/>
  <c r="BL143" i="7"/>
  <c r="BN143" i="7" s="1"/>
  <c r="AV2" i="17"/>
  <c r="AV2" i="26"/>
  <c r="AE88" i="7"/>
  <c r="AE101" i="7" s="1"/>
  <c r="AE36" i="7"/>
  <c r="AE51" i="7" s="1"/>
  <c r="AA74" i="7"/>
  <c r="AA34" i="7"/>
  <c r="AA36" i="7" s="1"/>
  <c r="AA51" i="7" s="1"/>
  <c r="AA6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BL123" i="7" l="1"/>
  <c r="BN123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/>
  <c r="BL132" i="7" s="1"/>
  <c r="BL125" i="7"/>
  <c r="BE77" i="8"/>
  <c r="BD2" i="26"/>
  <c r="BD2" i="17"/>
  <c r="AB137" i="7"/>
  <c r="AE61" i="7"/>
  <c r="AE75" i="7"/>
  <c r="AS71" i="7"/>
  <c r="AT71" i="7"/>
  <c r="BE64" i="9"/>
  <c r="BE81" i="9" s="1"/>
  <c r="AB82" i="7"/>
  <c r="AF2" i="7"/>
  <c r="AS63" i="7"/>
  <c r="AW63" i="7" s="1"/>
  <c r="AW65" i="7" s="1"/>
  <c r="AO65" i="7"/>
  <c r="AT39" i="7"/>
  <c r="AX39" i="7" s="1"/>
  <c r="AX4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BN125" i="7" l="1"/>
  <c r="AO34" i="7"/>
  <c r="AO35" i="7"/>
  <c r="AO100" i="7" s="1"/>
  <c r="AW74" i="7"/>
  <c r="AW79" i="7"/>
  <c r="AW76" i="7"/>
  <c r="AW35" i="7"/>
  <c r="AW100" i="7" s="1"/>
  <c r="AW34" i="7"/>
  <c r="AW78" i="7"/>
  <c r="AW81" i="7"/>
  <c r="AB121" i="7"/>
  <c r="AB123" i="7" s="1"/>
  <c r="AB143" i="7"/>
  <c r="AB138" i="7"/>
  <c r="AO88" i="7"/>
  <c r="AO36" i="7"/>
  <c r="AO51" i="7" s="1"/>
  <c r="BF69" i="7"/>
  <c r="BF71" i="7" s="1"/>
  <c r="BE69" i="7"/>
  <c r="BE71" i="7" s="1"/>
  <c r="AS65" i="7"/>
  <c r="AS35" i="7" s="1"/>
  <c r="AS100" i="7" s="1"/>
  <c r="AT49" i="7"/>
  <c r="AO78" i="7"/>
  <c r="AO74" i="7"/>
  <c r="AO79" i="7"/>
  <c r="AR28" i="59" s="1"/>
  <c r="AO76" i="7"/>
  <c r="AO81" i="7"/>
  <c r="AR36" i="59" s="1"/>
  <c r="AJ2" i="7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B122" i="7"/>
  <c r="AW88" i="7" l="1"/>
  <c r="AW101" i="7" s="1"/>
  <c r="AW36" i="7"/>
  <c r="AW51" i="7" s="1"/>
  <c r="AO101" i="7"/>
  <c r="BN132" i="7"/>
  <c r="AB144" i="7"/>
  <c r="AB124" i="7"/>
  <c r="AB125" i="7" s="1"/>
  <c r="AS78" i="7"/>
  <c r="AS34" i="7"/>
  <c r="AO61" i="7"/>
  <c r="AO75" i="7"/>
  <c r="AS79" i="7"/>
  <c r="AV28" i="59" s="1"/>
  <c r="AS76" i="7"/>
  <c r="AS74" i="7"/>
  <c r="AS81" i="7"/>
  <c r="AV36" i="59" s="1"/>
  <c r="BE63" i="7"/>
  <c r="BE65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W75" i="7" l="1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S66" i="7"/>
  <c r="AW66" i="7" s="1"/>
  <c r="AW67" i="7" s="1"/>
  <c r="AO67" i="7"/>
  <c r="M143" i="6"/>
  <c r="M205" i="6" s="1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BE61" i="7" l="1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N205" i="6" s="1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I12" i="6" l="1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AA214" i="6" s="1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A209" i="6"/>
  <c r="AB175" i="6"/>
  <c r="AB172" i="6"/>
  <c r="AB143" i="6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Z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56" i="28"/>
  <c r="I457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Q456" i="28"/>
  <c r="Q457" i="28"/>
  <c r="AA12" i="21"/>
  <c r="AS28" i="21" l="1"/>
  <c r="AW27" i="21"/>
  <c r="AT15" i="21"/>
  <c r="AP20" i="21"/>
  <c r="AA456" i="28"/>
  <c r="AA457" i="28"/>
  <c r="AA22" i="21"/>
  <c r="AW28" i="21" l="1"/>
  <c r="BE27" i="21"/>
  <c r="BE28" i="21" s="1"/>
  <c r="AT20" i="21"/>
  <c r="AX15" i="21"/>
  <c r="J68" i="11"/>
  <c r="AX20" i="21" l="1"/>
  <c r="BF15" i="21"/>
  <c r="BF20" i="21" s="1"/>
  <c r="J102" i="9"/>
  <c r="J89" i="9"/>
  <c r="J90" i="9"/>
  <c r="J33" i="22"/>
  <c r="I131" i="26"/>
  <c r="J94" i="9"/>
  <c r="I18" i="15" s="1"/>
  <c r="J96" i="9"/>
  <c r="J100" i="9"/>
  <c r="J104" i="9"/>
  <c r="M59" i="59" s="1"/>
  <c r="J188" i="6"/>
  <c r="I116" i="26" l="1"/>
  <c r="I127" i="26"/>
  <c r="I126" i="26"/>
  <c r="I121" i="26"/>
  <c r="I118" i="26"/>
  <c r="I123" i="26"/>
  <c r="I128" i="26"/>
  <c r="I120" i="26"/>
  <c r="I125" i="26"/>
  <c r="I117" i="26"/>
  <c r="I122" i="26"/>
  <c r="I124" i="26"/>
  <c r="I119" i="26"/>
  <c r="N96" i="9"/>
  <c r="N100" i="9"/>
  <c r="M18" i="15"/>
  <c r="N90" i="9"/>
  <c r="N89" i="9"/>
  <c r="J190" i="6"/>
  <c r="J84" i="8"/>
  <c r="J86" i="8" s="1"/>
  <c r="I129" i="26" l="1"/>
  <c r="Q75" i="59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E129" i="26"/>
  <c r="BF24" i="36" s="1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2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R456" i="28"/>
  <c r="R457" i="28"/>
  <c r="AB12" i="21"/>
  <c r="AJ25" i="21" l="1"/>
  <c r="AT22" i="21"/>
  <c r="AP24" i="21"/>
  <c r="AP25" i="21" s="1"/>
  <c r="AB456" i="28"/>
  <c r="AB457" i="28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2" i="10" l="1"/>
  <c r="I114" i="17"/>
  <c r="I116" i="17" s="1"/>
  <c r="I115" i="17"/>
  <c r="J24" i="36" l="1"/>
  <c r="M75" i="59" s="1"/>
  <c r="J7" i="6"/>
  <c r="J16" i="6"/>
  <c r="J15" i="6"/>
  <c r="I113" i="17"/>
  <c r="I117" i="17" s="1"/>
  <c r="J39" i="7"/>
  <c r="J61" i="7" s="1"/>
  <c r="J18" i="6"/>
  <c r="J17" i="6"/>
  <c r="J79" i="6" l="1"/>
  <c r="J82" i="6"/>
  <c r="J85" i="6"/>
  <c r="R85" i="6"/>
  <c r="V85" i="6" s="1"/>
  <c r="R82" i="6"/>
  <c r="V82" i="6" s="1"/>
  <c r="R79" i="6"/>
  <c r="V79" i="6" s="1"/>
  <c r="AF79" i="6"/>
  <c r="AJ79" i="6" s="1"/>
  <c r="AP79" i="6" s="1"/>
  <c r="AT79" i="6" s="1"/>
  <c r="AF85" i="6"/>
  <c r="AJ85" i="6" s="1"/>
  <c r="AP85" i="6" s="1"/>
  <c r="AT85" i="6" s="1"/>
  <c r="AF82" i="6"/>
  <c r="AJ82" i="6" s="1"/>
  <c r="AP82" i="6" s="1"/>
  <c r="AT82" i="6" s="1"/>
  <c r="J83" i="6"/>
  <c r="J80" i="6"/>
  <c r="R83" i="6"/>
  <c r="V83" i="6" s="1"/>
  <c r="R80" i="6"/>
  <c r="V80" i="6" s="1"/>
  <c r="AF83" i="6"/>
  <c r="AJ83" i="6" s="1"/>
  <c r="AP83" i="6" s="1"/>
  <c r="AT83" i="6" s="1"/>
  <c r="AF80" i="6"/>
  <c r="AJ80" i="6" s="1"/>
  <c r="AP80" i="6" s="1"/>
  <c r="AT80" i="6" s="1"/>
  <c r="J168" i="6"/>
  <c r="J169" i="6"/>
  <c r="J195" i="6"/>
  <c r="J75" i="7"/>
  <c r="N7" i="6"/>
  <c r="N16" i="6"/>
  <c r="N15" i="6"/>
  <c r="J49" i="7"/>
  <c r="J194" i="6"/>
  <c r="J189" i="6"/>
  <c r="J19" i="6"/>
  <c r="AX82" i="6" l="1"/>
  <c r="BF82" i="6" s="1"/>
  <c r="AX80" i="6"/>
  <c r="BF80" i="6" s="1"/>
  <c r="AX85" i="6"/>
  <c r="BF85" i="6" s="1"/>
  <c r="AX83" i="6"/>
  <c r="AX79" i="6"/>
  <c r="BF79" i="6" s="1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4" i="8"/>
  <c r="N39" i="6"/>
  <c r="N40" i="6"/>
  <c r="N37" i="6"/>
  <c r="N38" i="6"/>
  <c r="J41" i="6"/>
  <c r="R81" i="6" l="1"/>
  <c r="V81" i="6" s="1"/>
  <c r="R84" i="6"/>
  <c r="V84" i="6" s="1"/>
  <c r="N41" i="6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F81" i="6" s="1"/>
  <c r="AJ81" i="6" s="1"/>
  <c r="AP81" i="6" s="1"/>
  <c r="AT81" i="6" s="1"/>
  <c r="AB84" i="6"/>
  <c r="AF84" i="6" s="1"/>
  <c r="AJ84" i="6" s="1"/>
  <c r="AP84" i="6" s="1"/>
  <c r="AT84" i="6" s="1"/>
  <c r="AB39" i="6"/>
  <c r="AB61" i="7"/>
  <c r="AB40" i="6"/>
  <c r="AB38" i="6"/>
  <c r="AX81" i="6" l="1"/>
  <c r="BF81" i="6" s="1"/>
  <c r="AX84" i="6"/>
  <c r="I101" i="7"/>
  <c r="BF84" i="6" l="1"/>
  <c r="I39" i="7"/>
  <c r="I49" i="7" s="1"/>
  <c r="I75" i="7" l="1"/>
  <c r="AA101" i="7" l="1"/>
  <c r="AA75" i="7" l="1"/>
  <c r="I80" i="7"/>
  <c r="I81" i="7" s="1"/>
  <c r="P36" i="59" l="1"/>
  <c r="T36" i="59" l="1"/>
  <c r="AA81" i="7" l="1"/>
  <c r="AD36" i="59" s="1"/>
  <c r="Q165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4" i="8"/>
  <c r="AS15" i="36"/>
  <c r="AR53" i="59"/>
  <c r="T54" i="17"/>
  <c r="T112" i="17"/>
  <c r="T116" i="17" s="1"/>
  <c r="T55" i="17"/>
  <c r="T113" i="17"/>
  <c r="T117" i="17" s="1"/>
  <c r="AL53" i="59"/>
  <c r="P54" i="17"/>
  <c r="P112" i="17"/>
  <c r="P116" i="17" s="1"/>
  <c r="P55" i="17"/>
  <c r="P113" i="17"/>
  <c r="P117" i="17" s="1"/>
  <c r="L54" i="17"/>
  <c r="L112" i="17"/>
  <c r="L116" i="17" s="1"/>
  <c r="L113" i="17"/>
  <c r="L117" i="17" s="1"/>
  <c r="L55" i="17"/>
  <c r="H55" i="17"/>
  <c r="H113" i="17"/>
  <c r="H117" i="17" s="1"/>
  <c r="H112" i="17"/>
  <c r="H116" i="17" s="1"/>
  <c r="H54" i="17"/>
  <c r="AW19" i="49" l="1"/>
  <c r="AS20" i="49"/>
  <c r="AS74" i="8"/>
  <c r="AW15" i="36"/>
  <c r="AV53" i="59"/>
  <c r="Z45" i="17"/>
  <c r="Z50" i="17"/>
  <c r="Z112" i="17" s="1"/>
  <c r="Z116" i="17" s="1"/>
  <c r="AW20" i="49" l="1"/>
  <c r="BE19" i="49"/>
  <c r="BE20" i="49" s="1"/>
  <c r="BE15" i="36" s="1"/>
  <c r="AZ53" i="59"/>
  <c r="AW74" i="8"/>
  <c r="Z51" i="17"/>
  <c r="Z113" i="17" s="1"/>
  <c r="Z117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3" i="10"/>
  <c r="Z176" i="10" l="1"/>
  <c r="Z184" i="10"/>
  <c r="Z185" i="10" s="1"/>
  <c r="Z170" i="10"/>
  <c r="AC66" i="59" s="1"/>
  <c r="Z187" i="10"/>
  <c r="AB189" i="10" l="1"/>
  <c r="AC64" i="59"/>
  <c r="AB184" i="10"/>
  <c r="AB176" i="10"/>
  <c r="AB183" i="10"/>
  <c r="AB185" i="10" l="1"/>
  <c r="AB187" i="10"/>
  <c r="AB170" i="10"/>
  <c r="AE66" i="59" l="1"/>
  <c r="AE64" i="59"/>
  <c r="AB21" i="36"/>
  <c r="J451" i="28" l="1"/>
  <c r="J453" i="28"/>
  <c r="J430" i="28"/>
  <c r="J457" i="28"/>
  <c r="J456" i="28"/>
  <c r="J56" i="28" l="1"/>
  <c r="G77" i="50" l="1"/>
  <c r="G66" i="83" s="1"/>
  <c r="O66" i="83" l="1"/>
  <c r="K66" i="83"/>
  <c r="K67" i="83" s="1"/>
  <c r="G67" i="83"/>
  <c r="G74" i="83" s="1"/>
  <c r="G90" i="50"/>
  <c r="K100" i="50"/>
  <c r="G100" i="50"/>
  <c r="G122" i="50"/>
  <c r="K74" i="83" l="1"/>
  <c r="K75" i="83" s="1"/>
  <c r="O74" i="83"/>
  <c r="G75" i="83"/>
  <c r="AC66" i="83"/>
  <c r="AG66" i="83" s="1"/>
  <c r="S66" i="83"/>
  <c r="O67" i="83"/>
  <c r="AC67" i="83" s="1"/>
  <c r="O122" i="50"/>
  <c r="K122" i="50"/>
  <c r="K123" i="50" s="1"/>
  <c r="G124" i="50"/>
  <c r="G129" i="50" s="1"/>
  <c r="O100" i="50"/>
  <c r="G123" i="50"/>
  <c r="G91" i="50"/>
  <c r="W66" i="83" l="1"/>
  <c r="W67" i="83" s="1"/>
  <c r="S67" i="83"/>
  <c r="AK66" i="83"/>
  <c r="AG67" i="83"/>
  <c r="S74" i="83"/>
  <c r="AC74" i="83"/>
  <c r="O75" i="83"/>
  <c r="AC122" i="50"/>
  <c r="S122" i="50"/>
  <c r="O123" i="50"/>
  <c r="O124" i="50"/>
  <c r="O129" i="50" s="1"/>
  <c r="K124" i="50"/>
  <c r="K129" i="50" s="1"/>
  <c r="AG100" i="50"/>
  <c r="S100" i="50"/>
  <c r="X21" i="26"/>
  <c r="Y166" i="6" s="1"/>
  <c r="P21" i="26"/>
  <c r="T21" i="26" s="1"/>
  <c r="AG74" i="83" l="1"/>
  <c r="AC75" i="83"/>
  <c r="W74" i="83"/>
  <c r="W75" i="83" s="1"/>
  <c r="S75" i="83"/>
  <c r="AQ66" i="83"/>
  <c r="AK67" i="83"/>
  <c r="W122" i="50"/>
  <c r="W123" i="50" s="1"/>
  <c r="S123" i="50"/>
  <c r="AG122" i="50"/>
  <c r="AC123" i="50"/>
  <c r="AC124" i="50"/>
  <c r="S124" i="50"/>
  <c r="U166" i="6"/>
  <c r="W100" i="50"/>
  <c r="Q166" i="6"/>
  <c r="Z21" i="26"/>
  <c r="AD21" i="26" s="1"/>
  <c r="AU66" i="83" l="1"/>
  <c r="AY66" i="83" s="1"/>
  <c r="AQ67" i="83"/>
  <c r="AK74" i="83"/>
  <c r="AG75" i="83"/>
  <c r="W124" i="50"/>
  <c r="W129" i="50" s="1"/>
  <c r="S129" i="50"/>
  <c r="AG124" i="50"/>
  <c r="AC129" i="50"/>
  <c r="AK122" i="50"/>
  <c r="AG123" i="50"/>
  <c r="AH21" i="26"/>
  <c r="AE166" i="6"/>
  <c r="AA166" i="6"/>
  <c r="AY67" i="83" l="1"/>
  <c r="BG66" i="83"/>
  <c r="BG67" i="83"/>
  <c r="AQ74" i="83"/>
  <c r="AK75" i="83"/>
  <c r="AU67" i="83"/>
  <c r="AK123" i="50"/>
  <c r="AQ122" i="50"/>
  <c r="AK124" i="50"/>
  <c r="AG129" i="50"/>
  <c r="AI166" i="6"/>
  <c r="AN21" i="26"/>
  <c r="P23" i="26"/>
  <c r="T23" i="26" s="1"/>
  <c r="X23" i="26"/>
  <c r="AU74" i="83" l="1"/>
  <c r="AY74" i="83" s="1"/>
  <c r="AQ75" i="83"/>
  <c r="AQ123" i="50"/>
  <c r="AU122" i="50"/>
  <c r="AK129" i="50"/>
  <c r="AQ124" i="50"/>
  <c r="AR21" i="26"/>
  <c r="AV21" i="26" s="1"/>
  <c r="AO166" i="6"/>
  <c r="U191" i="6"/>
  <c r="Q191" i="6"/>
  <c r="Z23" i="26"/>
  <c r="AD23" i="26" s="1"/>
  <c r="Y191" i="6"/>
  <c r="AY75" i="83" l="1"/>
  <c r="BG74" i="83"/>
  <c r="BG75" i="83" s="1"/>
  <c r="AU123" i="50"/>
  <c r="AY122" i="50"/>
  <c r="AU75" i="83"/>
  <c r="AQ129" i="50"/>
  <c r="AU124" i="50"/>
  <c r="AH23" i="26"/>
  <c r="AI191" i="6" s="1"/>
  <c r="AW166" i="6"/>
  <c r="AS166" i="6"/>
  <c r="AE191" i="6"/>
  <c r="AA191" i="6"/>
  <c r="AY123" i="50" l="1"/>
  <c r="BG122" i="50"/>
  <c r="BG123" i="50" s="1"/>
  <c r="AU129" i="50"/>
  <c r="AY124" i="50"/>
  <c r="BD21" i="26"/>
  <c r="BE166" i="6" s="1"/>
  <c r="AN23" i="26"/>
  <c r="P25" i="26"/>
  <c r="T25" i="26" s="1"/>
  <c r="X25" i="26"/>
  <c r="Y87" i="8" s="1"/>
  <c r="AY129" i="50" l="1"/>
  <c r="BG124" i="50"/>
  <c r="BG129" i="50" s="1"/>
  <c r="AO191" i="6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66" i="10"/>
  <c r="AA166" i="10" s="1"/>
  <c r="AE166" i="10" s="1"/>
  <c r="X35" i="26"/>
  <c r="Z35" i="26" s="1"/>
  <c r="AD35" i="26" s="1"/>
  <c r="AV33" i="26" l="1"/>
  <c r="BD33" i="26" s="1"/>
  <c r="AI166" i="10"/>
  <c r="AO166" i="10" s="1"/>
  <c r="AS166" i="10" s="1"/>
  <c r="AH35" i="26"/>
  <c r="AN35" i="26" s="1"/>
  <c r="AR35" i="26" s="1"/>
  <c r="BD29" i="26"/>
  <c r="BD84" i="17" s="1"/>
  <c r="Q166" i="10"/>
  <c r="U166" i="10" s="1"/>
  <c r="AV35" i="26" l="1"/>
  <c r="BD35" i="26" s="1"/>
  <c r="AW166" i="10"/>
  <c r="BE166" i="10" s="1"/>
  <c r="P37" i="26"/>
  <c r="T37" i="26" s="1"/>
  <c r="Y72" i="11"/>
  <c r="AA72" i="11" s="1"/>
  <c r="AE72" i="11" s="1"/>
  <c r="X37" i="26"/>
  <c r="Z37" i="26" s="1"/>
  <c r="AD37" i="26" s="1"/>
  <c r="AH37" i="26" l="1"/>
  <c r="AN37" i="26" s="1"/>
  <c r="AR37" i="26" s="1"/>
  <c r="AI72" i="11"/>
  <c r="AO72" i="11" s="1"/>
  <c r="AS72" i="11" s="1"/>
  <c r="Q72" i="11"/>
  <c r="U72" i="11" s="1"/>
  <c r="AV37" i="26" l="1"/>
  <c r="BD37" i="26" s="1"/>
  <c r="AW72" i="11"/>
  <c r="BE72" i="11" s="1"/>
  <c r="P39" i="26"/>
  <c r="T39" i="26" s="1"/>
  <c r="X39" i="26"/>
  <c r="Z39" i="26" s="1"/>
  <c r="AD39" i="26" s="1"/>
  <c r="R108" i="45"/>
  <c r="V108" i="45" s="1"/>
  <c r="AH39" i="26" l="1"/>
  <c r="AN39" i="26" s="1"/>
  <c r="AR39" i="26" s="1"/>
  <c r="Z108" i="45"/>
  <c r="AB108" i="45" s="1"/>
  <c r="AF108" i="45" s="1"/>
  <c r="AV39" i="26" l="1"/>
  <c r="BD39" i="26" s="1"/>
  <c r="AJ108" i="45"/>
  <c r="AP108" i="45" s="1"/>
  <c r="AT108" i="45" s="1"/>
  <c r="Y82" i="7"/>
  <c r="X43" i="26"/>
  <c r="X45" i="26" s="1"/>
  <c r="P43" i="26"/>
  <c r="T43" i="26" s="1"/>
  <c r="AX108" i="45" l="1"/>
  <c r="BF108" i="45" s="1"/>
  <c r="U82" i="7"/>
  <c r="T45" i="26"/>
  <c r="Q82" i="7"/>
  <c r="Z43" i="26"/>
  <c r="AD43" i="26" s="1"/>
  <c r="AH43" i="26" s="1"/>
  <c r="AH45" i="26" s="1"/>
  <c r="P45" i="26"/>
  <c r="AN43" i="26" l="1"/>
  <c r="AI82" i="7"/>
  <c r="AN45" i="26"/>
  <c r="AR43" i="26"/>
  <c r="AV43" i="26" s="1"/>
  <c r="AV45" i="26" s="1"/>
  <c r="AO82" i="7"/>
  <c r="AE82" i="7"/>
  <c r="AD45" i="26"/>
  <c r="Z45" i="26"/>
  <c r="AA82" i="7"/>
  <c r="BD43" i="26" l="1"/>
  <c r="AW82" i="7"/>
  <c r="BE82" i="7"/>
  <c r="BD45" i="26"/>
  <c r="AR45" i="26"/>
  <c r="AS82" i="7"/>
  <c r="Y84" i="8"/>
  <c r="Y85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A53" i="59"/>
  <c r="X74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4" i="39" l="1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BF23" i="6" s="1"/>
  <c r="BF37" i="6" s="1"/>
  <c r="BF41" i="6" s="1"/>
  <c r="AX182" i="6"/>
  <c r="BF182" i="6" s="1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57" i="6" l="1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Z357" i="28"/>
  <c r="Z449" i="28" l="1"/>
  <c r="AB357" i="28"/>
  <c r="AF357" i="28" s="1"/>
  <c r="AJ357" i="28" s="1"/>
  <c r="AP357" i="28" s="1"/>
  <c r="AT357" i="28" s="1"/>
  <c r="Z448" i="28"/>
  <c r="AX357" i="28" l="1"/>
  <c r="BF357" i="28" s="1"/>
  <c r="AT448" i="28"/>
  <c r="AT449" i="28"/>
  <c r="AP448" i="28"/>
  <c r="AP449" i="28"/>
  <c r="AJ448" i="28"/>
  <c r="AJ449" i="28"/>
  <c r="AF448" i="28"/>
  <c r="AF449" i="28"/>
  <c r="AB448" i="28"/>
  <c r="AB449" i="28"/>
  <c r="AX449" i="28" l="1"/>
  <c r="BF448" i="28"/>
  <c r="BF449" i="28"/>
  <c r="AX448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Y27" i="15"/>
  <c r="Y35" i="15" s="1"/>
  <c r="W35" i="15"/>
  <c r="W15" i="15" s="1"/>
  <c r="W16" i="15" l="1"/>
  <c r="Y15" i="15"/>
  <c r="AA27" i="15"/>
  <c r="Y16" i="15" l="1"/>
  <c r="AA15" i="15"/>
  <c r="AA35" i="15"/>
  <c r="AE27" i="15"/>
  <c r="AI27" i="15" s="1"/>
  <c r="AI35" i="15" s="1"/>
  <c r="AE15" i="15" l="1"/>
  <c r="AI15" i="15" s="1"/>
  <c r="AI16" i="15" s="1"/>
  <c r="AA16" i="15"/>
  <c r="AE35" i="15"/>
  <c r="AE16" i="15" l="1"/>
  <c r="AO27" i="15"/>
  <c r="AO15" i="15" l="1"/>
  <c r="AO35" i="15"/>
  <c r="AS27" i="15"/>
  <c r="AW27" i="15" s="1"/>
  <c r="AW35" i="15" s="1"/>
  <c r="AO16" i="15" l="1"/>
  <c r="AS15" i="15"/>
  <c r="AW15" i="15" s="1"/>
  <c r="AW16" i="15" s="1"/>
  <c r="AS35" i="15"/>
  <c r="AS16" i="15" l="1"/>
  <c r="BE27" i="15"/>
  <c r="BE35" i="15" s="1"/>
  <c r="BE15" i="15" l="1"/>
  <c r="BE16" i="15" s="1"/>
  <c r="K119" i="45"/>
  <c r="K124" i="45" s="1"/>
  <c r="K130" i="45" s="1"/>
  <c r="G124" i="45"/>
  <c r="O119" i="45"/>
  <c r="O124" i="45" s="1"/>
  <c r="O130" i="45" s="1"/>
  <c r="G130" i="45" l="1"/>
  <c r="AC119" i="45"/>
  <c r="S119" i="45"/>
  <c r="AC124" i="45" l="1"/>
  <c r="AC130" i="45" s="1"/>
  <c r="AG119" i="45"/>
  <c r="W119" i="45"/>
  <c r="W124" i="45" s="1"/>
  <c r="W130" i="45" s="1"/>
  <c r="S124" i="45"/>
  <c r="S130" i="45" s="1"/>
  <c r="AG124" i="45" l="1"/>
  <c r="AG130" i="45" s="1"/>
  <c r="AK119" i="45"/>
  <c r="AK124" i="45" l="1"/>
  <c r="AK130" i="45" s="1"/>
  <c r="AQ119" i="45"/>
  <c r="AU119" i="45" l="1"/>
  <c r="AQ124" i="45"/>
  <c r="AQ130" i="45" s="1"/>
  <c r="AY119" i="45" l="1"/>
  <c r="AU124" i="45"/>
  <c r="AU130" i="45" s="1"/>
  <c r="AY124" i="45" l="1"/>
  <c r="AY130" i="45" s="1"/>
  <c r="BG119" i="45"/>
  <c r="BG124" i="45" l="1"/>
  <c r="BG130" i="45" l="1"/>
  <c r="H93" i="26" l="1"/>
  <c r="L93" i="26" s="1"/>
  <c r="L94" i="26" l="1"/>
  <c r="Z93" i="26"/>
  <c r="P93" i="26"/>
  <c r="H94" i="26"/>
  <c r="T93" i="26" l="1"/>
  <c r="T94" i="26" s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K195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O195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S195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5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O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S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W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L91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</commentList>
</comments>
</file>

<file path=xl/sharedStrings.xml><?xml version="1.0" encoding="utf-8"?>
<sst xmlns="http://schemas.openxmlformats.org/spreadsheetml/2006/main" count="9542" uniqueCount="2337">
  <si>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</si>
  <si>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</si>
  <si>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</si>
  <si>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</si>
  <si>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</si>
  <si>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</si>
  <si>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</si>
  <si>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</si>
  <si>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</si>
  <si>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</si>
  <si>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</si>
  <si>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</si>
  <si>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</si>
  <si>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</si>
  <si>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</si>
  <si>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</si>
  <si>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</si>
  <si>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</si>
  <si>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</si>
  <si>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</si>
  <si>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</si>
  <si>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</si>
  <si>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</si>
  <si>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</si>
  <si>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</si>
  <si>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</si>
  <si>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</si>
  <si>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</si>
  <si>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</si>
  <si>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</si>
  <si>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</si>
  <si>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</si>
  <si>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</si>
  <si>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</si>
  <si>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</si>
  <si>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</si>
  <si>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</si>
  <si>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</si>
  <si>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</si>
  <si>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</si>
  <si>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</si>
  <si>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</si>
  <si>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</si>
  <si>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</si>
  <si>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</si>
  <si>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</si>
  <si>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</si>
  <si>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</si>
  <si>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</si>
  <si>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</si>
  <si>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</si>
  <si>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</si>
  <si>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</si>
  <si>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</si>
  <si>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</si>
  <si>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</si>
  <si>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</si>
  <si>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</si>
  <si>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</si>
  <si>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</si>
  <si>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</si>
  <si>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</si>
  <si>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</si>
  <si>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</si>
  <si>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</si>
  <si>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</si>
  <si>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</si>
  <si>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</si>
  <si>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</si>
  <si>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</si>
  <si>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</si>
  <si>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</si>
  <si>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</si>
  <si>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</si>
  <si>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</si>
  <si>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</si>
  <si>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</si>
  <si>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</si>
  <si>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</si>
  <si>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</si>
  <si>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</si>
  <si>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</si>
  <si>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</si>
  <si>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</si>
  <si>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</si>
  <si>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</si>
  <si>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</si>
  <si>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</si>
  <si>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</si>
  <si>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</si>
  <si>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</si>
  <si>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</si>
  <si>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</si>
  <si>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</si>
  <si>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</si>
  <si>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</si>
  <si>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</si>
  <si>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</si>
  <si>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</si>
  <si>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</si>
  <si>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</si>
  <si>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</si>
  <si>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</si>
  <si>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</si>
  <si>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</si>
  <si>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</si>
  <si>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</si>
  <si>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</si>
  <si>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</si>
  <si>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</si>
  <si>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</si>
  <si>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</si>
  <si>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</si>
  <si>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</si>
  <si>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</si>
  <si>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</si>
  <si>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</si>
  <si>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</si>
  <si>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</si>
  <si>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</si>
  <si>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</si>
  <si>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</si>
  <si>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</si>
  <si>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</si>
  <si>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</si>
  <si>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</si>
  <si>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</si>
  <si>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</si>
  <si>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</si>
  <si>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</si>
  <si>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</si>
  <si>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</si>
  <si>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</si>
  <si>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</si>
  <si>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</si>
  <si>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</si>
  <si>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</si>
  <si>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</si>
  <si>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</si>
  <si>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</si>
  <si>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</si>
  <si>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</si>
  <si>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</si>
  <si>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</si>
  <si>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</si>
  <si>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</si>
  <si>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</si>
  <si>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</si>
  <si>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</si>
  <si>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</si>
  <si>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</si>
  <si>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</si>
  <si>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</si>
  <si>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</si>
  <si>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</si>
  <si>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</si>
  <si>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</si>
  <si>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</si>
  <si>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</si>
  <si>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</si>
  <si>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</si>
  <si>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</si>
  <si>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</si>
  <si>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</si>
  <si>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</si>
  <si>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</si>
  <si>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</si>
  <si>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</si>
  <si>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</si>
  <si>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</si>
  <si>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</si>
  <si>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</si>
  <si>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</si>
  <si>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</si>
  <si>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</si>
  <si>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</si>
  <si>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</si>
  <si>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</si>
  <si>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</si>
  <si>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</si>
  <si>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</si>
  <si>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</si>
  <si>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</si>
  <si>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</si>
  <si>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</si>
  <si>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</si>
  <si>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</si>
  <si>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</si>
  <si>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</si>
  <si>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</si>
  <si>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</si>
  <si>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</si>
  <si>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</si>
  <si>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</si>
  <si>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</si>
  <si>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</si>
  <si>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</si>
  <si>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</si>
  <si>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</si>
  <si>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</si>
  <si>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</si>
  <si>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</si>
  <si>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</si>
  <si>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</si>
  <si>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</si>
  <si>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</si>
  <si>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</si>
  <si>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</si>
  <si>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</si>
  <si>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</si>
  <si>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</si>
  <si>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</si>
  <si>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</si>
  <si>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</si>
  <si>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</si>
  <si>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</si>
  <si>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</si>
  <si>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</si>
  <si>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</si>
  <si>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</si>
  <si>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</si>
  <si>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</si>
  <si>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</si>
  <si>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</si>
  <si>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</si>
  <si>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</si>
  <si>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</si>
  <si>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</si>
  <si>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</si>
  <si>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</si>
  <si>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</si>
  <si>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</si>
  <si>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</si>
  <si>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</si>
  <si>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</si>
  <si>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</si>
  <si>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</si>
  <si>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</si>
  <si>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</si>
  <si>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</si>
  <si>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</si>
  <si>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</si>
  <si>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</si>
  <si>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</si>
  <si>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</si>
  <si>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</si>
  <si>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</si>
  <si>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</si>
  <si>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</si>
  <si>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</si>
  <si>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</si>
  <si>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</si>
  <si>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</si>
  <si>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</si>
  <si>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</si>
  <si>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</si>
  <si>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</si>
  <si>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</si>
  <si>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</si>
  <si>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</si>
  <si>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</si>
  <si>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</si>
  <si>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</si>
  <si>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</si>
  <si>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</si>
  <si>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</si>
  <si>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</si>
  <si>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</si>
  <si>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</si>
  <si>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</si>
  <si>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</si>
  <si>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</si>
  <si>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</si>
  <si>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</si>
  <si>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</si>
  <si>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</si>
  <si>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</si>
  <si>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</si>
  <si>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</si>
  <si>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</si>
  <si>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</si>
  <si>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</si>
  <si>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</si>
  <si>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</si>
  <si>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</si>
  <si>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</si>
  <si>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</si>
  <si>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</si>
  <si>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</si>
  <si>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</si>
  <si>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</si>
  <si>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</si>
  <si>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</si>
  <si>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</si>
  <si>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</si>
  <si>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</si>
  <si>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</si>
  <si>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</si>
  <si>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</si>
  <si>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</si>
  <si>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</si>
  <si>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</si>
  <si>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</si>
  <si>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</si>
  <si>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</si>
  <si>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</si>
  <si>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</si>
  <si>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</si>
  <si>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</si>
  <si>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</si>
  <si>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</si>
  <si>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</si>
  <si>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</si>
  <si>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</si>
  <si>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</si>
  <si>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</si>
  <si>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</si>
  <si>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</si>
  <si>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</si>
  <si>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</si>
  <si>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</si>
  <si>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</si>
  <si>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</si>
  <si>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</si>
  <si>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</si>
  <si>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</si>
  <si>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</si>
  <si>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</si>
  <si>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</si>
  <si>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</si>
  <si>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</si>
  <si>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</si>
  <si>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</si>
  <si>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</si>
  <si>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</si>
  <si>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</si>
  <si>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</si>
  <si>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</si>
  <si>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</si>
  <si>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</si>
  <si>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</si>
  <si>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</si>
  <si>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</si>
  <si>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</si>
  <si>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</si>
  <si>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</si>
  <si>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</si>
  <si>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</si>
  <si>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</si>
  <si>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</si>
  <si>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</si>
  <si>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</si>
  <si>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</si>
  <si>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</si>
  <si>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</si>
  <si>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</si>
  <si>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</si>
  <si>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</si>
  <si>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</si>
  <si>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</si>
  <si>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</si>
  <si>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</si>
  <si>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</si>
  <si>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</si>
  <si>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</si>
  <si>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</si>
  <si>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</si>
  <si>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</si>
  <si>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</si>
  <si>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</si>
  <si>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</si>
  <si>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</si>
  <si>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</si>
  <si>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</si>
  <si>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</si>
  <si>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</si>
  <si>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</si>
  <si>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</si>
  <si>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</si>
  <si>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</si>
  <si>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</si>
  <si>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</si>
  <si>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</si>
  <si>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</si>
  <si>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</si>
  <si>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</si>
  <si>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</si>
  <si>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</si>
  <si>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</si>
  <si>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</si>
  <si>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</si>
  <si>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</si>
  <si>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</si>
  <si>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</si>
  <si>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</si>
  <si>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</si>
  <si>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</si>
  <si>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</si>
  <si>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</si>
  <si>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</si>
  <si>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</si>
  <si>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</si>
  <si>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</si>
  <si>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</si>
  <si>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</si>
  <si>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</si>
  <si>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</si>
  <si>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</si>
  <si>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</si>
  <si>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</si>
  <si>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</si>
  <si>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</si>
  <si>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</si>
  <si>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</si>
  <si>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</si>
  <si>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</si>
  <si>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</si>
  <si>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</si>
  <si>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</si>
  <si>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</si>
  <si>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</si>
  <si>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</si>
  <si>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</si>
  <si>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</si>
  <si>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</si>
  <si>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</si>
  <si>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</si>
  <si>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</si>
  <si>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</si>
  <si>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</si>
  <si>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</si>
  <si>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</si>
  <si>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</si>
  <si>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</si>
  <si>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</si>
  <si>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</si>
  <si>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</si>
  <si>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</si>
  <si>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</si>
  <si>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</si>
  <si>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</si>
  <si>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</si>
  <si>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</si>
  <si>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</si>
  <si>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</si>
  <si>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</si>
  <si>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</si>
  <si>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</si>
  <si>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</si>
  <si>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</si>
  <si>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</si>
  <si>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</si>
  <si>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</si>
  <si>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</si>
  <si>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</si>
  <si>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</si>
  <si>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</si>
  <si>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</si>
  <si>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</si>
  <si>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</si>
  <si>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</si>
  <si>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</si>
  <si>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</si>
  <si>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</si>
  <si>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</si>
  <si>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</si>
  <si>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</si>
  <si>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</si>
  <si>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</si>
  <si>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</si>
  <si>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</si>
  <si>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</si>
  <si>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</si>
  <si>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</si>
  <si>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</si>
  <si>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</si>
  <si>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</si>
  <si>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</si>
  <si>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</si>
  <si>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</si>
  <si>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</si>
  <si>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</si>
  <si>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</si>
  <si>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</si>
  <si>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</si>
  <si>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</si>
  <si>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</si>
  <si>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</si>
  <si>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</si>
  <si>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</si>
  <si>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</si>
  <si>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</si>
  <si>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</si>
  <si>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</si>
  <si>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</si>
  <si>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</si>
  <si>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</si>
  <si>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</si>
  <si>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</si>
  <si>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</si>
  <si>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</si>
  <si>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</si>
  <si>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</si>
  <si>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</si>
  <si>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</si>
  <si>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</si>
  <si>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</si>
  <si>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</si>
  <si>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</si>
  <si>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</si>
  <si>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</si>
  <si>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</si>
  <si>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</si>
  <si>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</si>
  <si>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</si>
  <si>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</si>
  <si>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</si>
  <si>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</si>
  <si>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</si>
  <si>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</si>
  <si>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</si>
  <si>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</si>
  <si>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</si>
  <si>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</si>
  <si>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</si>
  <si>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</si>
  <si>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</si>
  <si>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</si>
  <si>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</si>
  <si>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</si>
  <si>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</si>
  <si>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</si>
  <si>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</si>
  <si>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</si>
  <si>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</si>
  <si>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</si>
  <si>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</si>
  <si>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</si>
  <si>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</si>
  <si>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</si>
  <si>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</si>
  <si>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</si>
  <si>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</si>
  <si>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</si>
  <si>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</si>
  <si>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</si>
  <si>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</si>
  <si>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</si>
  <si>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</si>
  <si>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</si>
  <si>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</si>
  <si>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</si>
  <si>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</si>
  <si>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</si>
  <si>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</si>
  <si>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</si>
  <si>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</si>
  <si>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</si>
  <si>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</si>
  <si>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</si>
  <si>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</si>
  <si>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</si>
  <si>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</si>
  <si>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</si>
  <si>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</si>
  <si>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</si>
  <si>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</si>
  <si>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</si>
  <si>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</si>
  <si>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</si>
  <si>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</si>
  <si>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</si>
  <si>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</si>
  <si>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</si>
  <si>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</si>
  <si>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</si>
  <si>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</si>
  <si>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</si>
  <si>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</si>
  <si>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</si>
  <si>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</si>
  <si>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</si>
  <si>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</si>
  <si>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</si>
  <si>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</si>
  <si>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</si>
  <si>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</si>
  <si>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</si>
  <si>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</si>
  <si>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</si>
  <si>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</si>
  <si>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</si>
  <si>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</si>
  <si>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</si>
  <si>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</si>
  <si>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</si>
  <si>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</si>
  <si>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</si>
  <si>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</si>
  <si>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</si>
  <si>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</si>
  <si>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</si>
  <si>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</si>
  <si>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</si>
  <si>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</si>
  <si>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</si>
  <si>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</si>
  <si>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</si>
  <si>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</si>
  <si>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</si>
  <si>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</si>
  <si>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</si>
  <si>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</si>
  <si>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</si>
  <si>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</si>
  <si>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</si>
  <si>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</si>
  <si>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</si>
  <si>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</si>
  <si>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</si>
  <si>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</si>
  <si>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</si>
  <si>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</si>
  <si>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</si>
  <si>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</si>
  <si>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</si>
  <si>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</si>
  <si>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</si>
  <si>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</si>
  <si>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</si>
  <si>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</si>
  <si>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</si>
  <si>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</si>
  <si>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</si>
  <si>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</si>
  <si>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</si>
  <si>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</si>
  <si>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</si>
  <si>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</si>
  <si>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</si>
  <si>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</si>
  <si>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</si>
  <si>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</si>
  <si>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</si>
  <si>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</si>
  <si>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</si>
  <si>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</si>
  <si>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</si>
  <si>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</si>
  <si>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</si>
  <si>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</si>
  <si>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</si>
  <si>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</si>
  <si>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</si>
  <si>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</si>
  <si>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</si>
  <si>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</si>
  <si>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</si>
  <si>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</si>
  <si>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</si>
  <si>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</si>
  <si>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</si>
  <si>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</si>
  <si>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</si>
  <si>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</si>
  <si>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</si>
  <si>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</si>
  <si>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</si>
  <si>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</si>
  <si>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</si>
  <si>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</si>
  <si>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</si>
  <si>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</si>
  <si>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</si>
  <si>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</si>
  <si>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</si>
  <si>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</si>
  <si>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</si>
  <si>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</si>
  <si>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</si>
  <si>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</si>
  <si>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</si>
  <si>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</si>
  <si>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</si>
  <si>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</si>
  <si>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</si>
  <si>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</si>
  <si>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</si>
  <si>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</si>
  <si>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</si>
  <si>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</si>
  <si>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</si>
  <si>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</si>
  <si>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</si>
  <si>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</si>
  <si>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</si>
  <si>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</si>
  <si>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</si>
  <si>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</si>
  <si>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</si>
  <si>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</si>
  <si>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</si>
  <si>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</si>
  <si>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</si>
  <si>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</si>
  <si>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</si>
  <si>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</si>
  <si>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</si>
  <si>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</si>
  <si>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</si>
  <si>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</si>
  <si>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</si>
  <si>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</si>
  <si>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</si>
  <si>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</si>
  <si>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</si>
  <si>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</si>
  <si>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</si>
  <si>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</si>
  <si>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</si>
  <si>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</si>
  <si>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</si>
  <si>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</si>
  <si>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</si>
  <si>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</si>
  <si>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</si>
  <si>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</si>
  <si>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</si>
  <si>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</si>
  <si>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</si>
  <si>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</si>
  <si>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</si>
  <si>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</si>
  <si>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</si>
  <si>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</si>
  <si>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</si>
  <si>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</si>
  <si>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</si>
  <si>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</si>
  <si>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</si>
  <si>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</si>
  <si>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</si>
  <si>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</si>
  <si>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</si>
  <si>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</si>
  <si>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</si>
  <si>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</si>
  <si>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</si>
  <si>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</si>
  <si>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</si>
  <si>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</si>
  <si>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</si>
  <si>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</si>
  <si>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</si>
  <si>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</si>
  <si>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</si>
  <si>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</si>
  <si>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</si>
  <si>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</si>
  <si>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</si>
  <si>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</si>
  <si>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</si>
  <si>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</si>
  <si>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</si>
  <si>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</si>
  <si>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</si>
  <si>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</si>
  <si>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</si>
  <si>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</si>
  <si>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</si>
  <si>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</si>
  <si>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</si>
  <si>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</si>
  <si>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</si>
  <si>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</si>
  <si>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</si>
  <si>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</si>
  <si>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</si>
  <si>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</si>
  <si>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</si>
  <si>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</si>
  <si>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</si>
  <si>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</si>
  <si>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</si>
  <si>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</si>
  <si>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</si>
  <si>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</si>
  <si>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</si>
  <si>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</si>
  <si>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</si>
  <si>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</si>
  <si>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</si>
  <si>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</si>
  <si>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</si>
  <si>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</si>
  <si>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</si>
  <si>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</si>
  <si>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</si>
  <si>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</si>
  <si>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</si>
  <si>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</si>
  <si>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</si>
  <si>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</si>
  <si>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</si>
  <si>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</si>
  <si>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</si>
  <si>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</si>
  <si>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</si>
  <si>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</si>
  <si>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</si>
  <si>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</si>
  <si>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</si>
  <si>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</si>
  <si>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</si>
  <si>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</si>
  <si>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</si>
  <si>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</si>
  <si>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</si>
  <si>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</si>
  <si>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</si>
  <si>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</si>
  <si>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</si>
  <si>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</si>
  <si>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</si>
  <si>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</si>
  <si>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</si>
  <si>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</si>
  <si>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</si>
  <si>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</si>
  <si>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</si>
  <si>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</si>
  <si>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</si>
  <si>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</si>
  <si>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</si>
  <si>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</si>
  <si>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</si>
  <si>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</si>
  <si>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</si>
  <si>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</si>
  <si>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</si>
  <si>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</si>
  <si>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</si>
  <si>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</si>
  <si>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</si>
  <si>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</si>
  <si>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</si>
  <si>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</si>
  <si>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</si>
  <si>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</si>
  <si>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</si>
  <si>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</si>
  <si>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</si>
  <si>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</si>
  <si>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</si>
  <si>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</si>
  <si>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</si>
  <si>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</si>
  <si>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</si>
  <si>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</si>
  <si>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</si>
  <si>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</si>
  <si>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</si>
  <si>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</si>
  <si>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</si>
  <si>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</si>
  <si>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</si>
  <si>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</si>
  <si>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</si>
  <si>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</si>
  <si>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</si>
  <si>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</si>
  <si>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</si>
  <si>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</si>
  <si>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</si>
  <si>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</si>
  <si>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</si>
  <si>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</si>
  <si>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</si>
  <si>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</si>
  <si>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</si>
  <si>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</si>
  <si>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</si>
  <si>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</si>
  <si>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</si>
  <si>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</si>
  <si>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</si>
  <si>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</si>
  <si>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</si>
  <si>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</si>
  <si>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</si>
  <si>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</si>
  <si>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</si>
  <si>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</si>
  <si>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</si>
  <si>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</si>
  <si>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</si>
  <si>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</si>
  <si>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</si>
  <si>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</si>
  <si>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</si>
  <si>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</si>
  <si>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</si>
  <si>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</si>
  <si>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</si>
  <si>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</si>
  <si>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</si>
  <si>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</si>
  <si>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</si>
  <si>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</si>
  <si>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</si>
  <si>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</si>
  <si>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</si>
  <si>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</si>
  <si>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</si>
  <si>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</si>
  <si>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</si>
  <si>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</si>
  <si>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</si>
  <si>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</si>
  <si>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</si>
  <si>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</si>
  <si>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</si>
  <si>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</si>
  <si>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</si>
  <si>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</si>
  <si>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</si>
  <si>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</si>
  <si>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</si>
  <si>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</si>
  <si>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</si>
  <si>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</si>
  <si>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</si>
  <si>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</si>
  <si>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</si>
  <si>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</si>
  <si>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</si>
  <si>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</si>
  <si>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</si>
  <si>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</si>
  <si>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</si>
  <si>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</si>
  <si>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</si>
  <si>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</si>
  <si>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</si>
  <si>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</si>
  <si>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</si>
  <si>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</si>
  <si>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</si>
  <si>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</si>
  <si>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</si>
  <si>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</si>
  <si>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</si>
  <si>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</si>
  <si>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</si>
  <si>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</si>
  <si>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</si>
  <si>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</si>
  <si>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</si>
  <si>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</si>
  <si>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</si>
  <si>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</si>
  <si>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</si>
  <si>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</si>
  <si>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</si>
  <si>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</si>
  <si>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</si>
  <si>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</si>
  <si>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</si>
  <si>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</si>
  <si>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</si>
  <si>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</si>
  <si>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</si>
  <si>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</si>
  <si>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</si>
  <si>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</si>
  <si>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</si>
  <si>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</si>
  <si>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</si>
  <si>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</si>
  <si>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</si>
  <si>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</si>
  <si>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</si>
  <si>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</si>
  <si>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</si>
  <si>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</si>
  <si>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6 TMTC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</si>
  <si>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</si>
  <si>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</si>
  <si>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</si>
  <si>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</si>
  <si>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</si>
  <si>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</si>
  <si>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</si>
  <si>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</si>
  <si>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</si>
  <si>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</si>
  <si>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</si>
  <si>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</si>
  <si>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</si>
  <si>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</si>
  <si>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</si>
  <si>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</si>
  <si>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</si>
  <si>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</si>
  <si>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</si>
  <si>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</si>
  <si>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</si>
  <si>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</si>
  <si>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</si>
  <si>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</si>
  <si>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</si>
  <si>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</si>
  <si>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</si>
  <si>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</si>
  <si>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</si>
  <si>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</si>
  <si>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</si>
  <si>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</si>
  <si>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</si>
  <si>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</si>
  <si>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</si>
  <si>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</si>
  <si>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</si>
  <si>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</si>
  <si>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</si>
  <si>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</si>
  <si>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</si>
  <si>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</si>
  <si>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</si>
  <si>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</si>
  <si>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</si>
  <si>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</si>
  <si>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</si>
  <si>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</si>
  <si>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</si>
  <si>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</si>
  <si>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</si>
  <si>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</si>
  <si>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</si>
  <si>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</si>
  <si>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</si>
  <si>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</si>
  <si>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</si>
  <si>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</si>
  <si>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</si>
  <si>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</si>
  <si>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</si>
  <si>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</si>
  <si>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</si>
  <si>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</si>
  <si>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</si>
  <si>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</si>
  <si>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</si>
  <si>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</si>
  <si>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</si>
  <si>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</si>
  <si>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</si>
  <si>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</si>
  <si>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</si>
  <si>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</si>
  <si>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</si>
  <si>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</si>
  <si>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</si>
  <si>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</si>
  <si>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</si>
  <si>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</si>
  <si>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</si>
  <si>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</si>
  <si>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</si>
  <si>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</si>
  <si>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</si>
  <si>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</si>
  <si>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</si>
  <si>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</si>
  <si>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</si>
  <si>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</si>
  <si>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</si>
  <si>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</si>
  <si>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</si>
  <si>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</si>
  <si>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</si>
  <si>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</si>
  <si>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</si>
  <si>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</si>
  <si>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</si>
  <si>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</si>
  <si>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</si>
  <si>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</si>
  <si>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</si>
  <si>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</si>
  <si>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</si>
  <si>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</si>
  <si>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</si>
  <si>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</si>
  <si>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</si>
  <si>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</si>
  <si>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</si>
  <si>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</si>
  <si>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</si>
  <si>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</si>
  <si>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</si>
  <si>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</si>
  <si>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</si>
  <si>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</si>
  <si>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</si>
  <si>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</si>
  <si>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</si>
  <si>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</si>
  <si>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</si>
  <si>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</si>
  <si>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</si>
  <si>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</si>
  <si>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</si>
  <si>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</si>
  <si>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</si>
  <si>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</si>
  <si>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</si>
  <si>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</si>
  <si>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</si>
  <si>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</si>
  <si>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</si>
  <si>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</si>
  <si>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</si>
  <si>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</si>
  <si>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</si>
  <si>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</si>
  <si>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</si>
  <si>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</si>
  <si>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</si>
  <si>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</si>
  <si>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</si>
  <si>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</si>
  <si>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</si>
  <si>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</si>
  <si>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</si>
  <si>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</si>
  <si>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</si>
  <si>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</si>
  <si>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</si>
  <si>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</si>
  <si>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</si>
  <si>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</si>
  <si>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</si>
  <si>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</si>
  <si>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</si>
  <si>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</si>
  <si>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</si>
  <si>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</si>
  <si>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</si>
  <si>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</si>
  <si>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</si>
  <si>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</si>
  <si>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</si>
  <si>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</si>
  <si>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</si>
  <si>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</si>
  <si>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</si>
  <si>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</si>
  <si>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</si>
  <si>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</si>
  <si>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</si>
  <si>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</si>
  <si>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</si>
  <si>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</si>
  <si>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</si>
  <si>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</si>
  <si>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</si>
  <si>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</si>
  <si>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</si>
  <si>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</si>
  <si>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</si>
  <si>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</si>
  <si>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</si>
  <si>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</si>
  <si>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</si>
  <si>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</si>
  <si>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</si>
  <si>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</si>
  <si>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</si>
  <si>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</si>
  <si>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</si>
  <si>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</si>
  <si>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</si>
  <si>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</si>
  <si>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</si>
  <si>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</si>
  <si>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</si>
  <si>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</si>
  <si>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</si>
  <si>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</si>
  <si>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</si>
  <si>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</si>
  <si>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</si>
  <si>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</si>
  <si>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</si>
  <si>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</si>
  <si>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</si>
  <si>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</si>
  <si>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</si>
  <si>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</si>
  <si>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</si>
  <si>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</si>
  <si>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</si>
  <si>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</si>
  <si>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</si>
  <si>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</si>
  <si>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</si>
  <si>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</si>
  <si>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</si>
  <si>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</si>
  <si>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</si>
  <si>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</si>
  <si>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</si>
  <si>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</si>
  <si>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</si>
  <si>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</si>
  <si>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</si>
  <si>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</si>
  <si>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</si>
  <si>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</si>
  <si>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</si>
  <si>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</si>
  <si>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</si>
  <si>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</si>
  <si>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</si>
  <si>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</si>
  <si>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</si>
  <si>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</si>
  <si>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</si>
  <si>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</si>
  <si>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</si>
  <si>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</si>
  <si>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</si>
  <si>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</si>
  <si>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</si>
  <si>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</si>
  <si>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</si>
  <si>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</si>
  <si>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</si>
  <si>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</si>
  <si>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</si>
  <si>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</si>
  <si>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</si>
  <si>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</si>
  <si>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</si>
  <si>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</si>
  <si>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</si>
  <si>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</si>
  <si>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</si>
  <si>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</si>
  <si>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</si>
  <si>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</si>
  <si>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</si>
  <si>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</si>
  <si>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</si>
  <si>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</si>
  <si>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</si>
  <si>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</si>
  <si>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</si>
  <si>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</si>
  <si>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</si>
  <si>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</si>
  <si>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</si>
  <si>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</si>
  <si>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</si>
  <si>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</si>
  <si>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</si>
  <si>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</si>
  <si>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</si>
  <si>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</si>
  <si>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</si>
  <si>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</si>
  <si>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</si>
  <si>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</si>
  <si>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</si>
  <si>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</si>
  <si>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</si>
  <si>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</si>
  <si>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</si>
  <si>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</si>
  <si>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</si>
  <si>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</si>
  <si>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</si>
  <si>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</si>
  <si>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</si>
  <si>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</si>
  <si>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</si>
  <si>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</si>
  <si>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</si>
  <si>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</si>
  <si>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</si>
  <si>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</si>
  <si>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</si>
  <si>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</si>
  <si>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</si>
  <si>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</si>
  <si>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</si>
  <si>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</si>
  <si>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</si>
  <si>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</si>
  <si>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</si>
  <si>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</si>
  <si>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</si>
  <si>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</si>
  <si>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</si>
  <si>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</si>
  <si>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</si>
  <si>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</si>
  <si>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</si>
  <si>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</si>
  <si>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</si>
  <si>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</si>
  <si>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</si>
  <si>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</si>
  <si>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</si>
  <si>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</si>
  <si>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</si>
  <si>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</si>
  <si>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</si>
  <si>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</si>
  <si>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</si>
  <si>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</si>
  <si>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</si>
  <si>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</si>
  <si>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</si>
  <si>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</si>
  <si>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</si>
  <si>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</si>
  <si>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</si>
  <si>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</si>
  <si>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</si>
  <si>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</si>
  <si>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</si>
  <si>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</si>
  <si>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</si>
  <si>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</si>
  <si>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</si>
  <si>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</si>
  <si>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</si>
  <si>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</si>
  <si>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</si>
  <si>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</si>
  <si>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</si>
  <si>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</si>
  <si>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</si>
  <si>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</si>
  <si>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</si>
  <si>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</si>
  <si>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</si>
  <si>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</si>
  <si>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</si>
  <si>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</si>
  <si>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</si>
  <si>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</si>
  <si>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</si>
  <si>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>ELEC,GRAPHITE,457MM,1800-2100MM (Graphite Electrode)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</si>
  <si>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</si>
  <si>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</si>
  <si>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</si>
  <si>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</si>
  <si>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</si>
  <si>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</si>
  <si>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</si>
  <si>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</si>
  <si>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</si>
  <si>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</si>
  <si>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</si>
  <si>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</si>
  <si>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</si>
  <si>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</si>
  <si>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</si>
  <si>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</si>
  <si>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</si>
  <si>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</si>
  <si>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</si>
  <si>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</si>
  <si>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</si>
  <si>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</si>
  <si>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</si>
  <si>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</si>
  <si>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</si>
  <si>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</si>
  <si>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</si>
  <si>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</si>
  <si>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</si>
  <si>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</si>
  <si>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</si>
  <si>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</si>
  <si>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</si>
  <si>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</si>
  <si>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</si>
  <si>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</si>
  <si>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</si>
  <si>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</si>
  <si>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</si>
  <si>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</si>
  <si>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</si>
  <si>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</si>
  <si>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</si>
  <si>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</si>
  <si>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IS 2062 E250BO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</si>
  <si>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</si>
  <si>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</si>
  <si>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</si>
  <si>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</si>
  <si>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</si>
  <si>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</si>
  <si>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</si>
  <si>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</si>
  <si>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</si>
  <si>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</si>
  <si>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</si>
  <si>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</si>
  <si>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</si>
  <si>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</si>
  <si>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</si>
  <si>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</si>
  <si>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</si>
  <si>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</si>
  <si>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</si>
  <si>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</si>
  <si>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</si>
  <si>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</si>
  <si>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</si>
  <si>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</si>
  <si>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</si>
  <si>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</si>
  <si>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</si>
  <si>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</si>
  <si>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</si>
  <si>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</si>
  <si>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</si>
  <si>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</si>
  <si>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</si>
  <si>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</si>
  <si>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</si>
  <si>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</si>
  <si>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</si>
  <si>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</si>
  <si>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</si>
  <si>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</si>
  <si>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</si>
  <si>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</si>
  <si>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</si>
  <si>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</si>
  <si>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REJECTED/BROKEN GRAPHITE ELECTRODES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</si>
  <si>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</si>
  <si>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</si>
  <si>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</si>
  <si>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</si>
  <si>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</si>
  <si>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</si>
  <si>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</si>
  <si>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</si>
  <si>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</si>
  <si>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</si>
  <si>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</si>
  <si>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</si>
  <si>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</si>
  <si>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</si>
  <si>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</si>
  <si>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</si>
  <si>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</si>
  <si>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</si>
  <si>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</si>
  <si>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</si>
  <si>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</si>
  <si>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</si>
  <si>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</si>
  <si>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</si>
  <si>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</si>
  <si>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</si>
  <si>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</si>
  <si>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</si>
  <si>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</si>
  <si>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</si>
  <si>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</si>
  <si>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</si>
  <si>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</si>
  <si>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</si>
  <si>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</si>
  <si>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</si>
  <si>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</si>
  <si>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</si>
  <si>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</si>
  <si>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</si>
  <si>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</si>
  <si>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</si>
  <si>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</si>
  <si>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</si>
  <si>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</si>
  <si>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</si>
  <si>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</si>
  <si>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</si>
  <si>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</si>
  <si>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</si>
  <si>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</si>
  <si>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</si>
  <si>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</si>
  <si>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</si>
  <si>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</si>
  <si>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</si>
  <si>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</si>
  <si>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</si>
  <si>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</si>
  <si>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</si>
  <si>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</si>
  <si>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</si>
  <si>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</si>
  <si>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</si>
  <si>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</si>
  <si>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</si>
  <si>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</si>
  <si>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</si>
  <si>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</si>
  <si>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</si>
  <si>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</si>
  <si>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</si>
  <si>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</si>
  <si>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</si>
  <si>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</si>
  <si>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</si>
  <si>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</si>
  <si>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</si>
  <si>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</si>
  <si>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</si>
  <si>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</si>
  <si>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</si>
  <si>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</si>
  <si>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</si>
  <si>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</si>
  <si>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</si>
  <si>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</si>
  <si>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</si>
  <si>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</si>
  <si>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</si>
  <si>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</si>
  <si>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</si>
  <si>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</si>
  <si>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</si>
  <si>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</si>
  <si>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BILLET CB IS2830C20MMNC 200*280- Bhilai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</si>
  <si>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</si>
  <si>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</si>
  <si>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</si>
  <si>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</si>
  <si>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</si>
  <si>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</si>
  <si>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</si>
  <si>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</si>
  <si>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</si>
  <si>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</si>
  <si>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</si>
  <si>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</si>
  <si>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</si>
  <si>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</si>
  <si>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</si>
  <si>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</si>
  <si>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</si>
  <si>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</si>
  <si>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</si>
  <si>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</si>
  <si>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</si>
  <si>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</si>
  <si>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</si>
  <si>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</si>
  <si>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</si>
  <si>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</si>
  <si>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</si>
  <si>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</si>
  <si>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</si>
  <si>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</si>
  <si>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</si>
  <si>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</si>
  <si>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</si>
  <si>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</si>
  <si>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</si>
  <si>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</si>
  <si>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</si>
  <si>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</si>
  <si>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</si>
  <si>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</si>
  <si>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</si>
  <si>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</si>
  <si>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</si>
  <si>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</si>
  <si>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</si>
  <si>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</si>
  <si>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</si>
  <si>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</si>
  <si>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</si>
  <si>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</si>
  <si>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</si>
  <si>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</si>
  <si>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</si>
  <si>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</si>
  <si>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</si>
  <si>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</si>
  <si>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</si>
  <si>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</si>
  <si>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</si>
  <si>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</si>
  <si>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</si>
  <si>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</si>
  <si>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</si>
  <si>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</si>
  <si>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</si>
  <si>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</si>
  <si>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</si>
  <si>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</si>
  <si>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</si>
  <si>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</si>
  <si>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</si>
  <si>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</si>
  <si>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</si>
  <si>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</si>
  <si>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</si>
  <si>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</si>
  <si>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</si>
  <si>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</si>
  <si>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</si>
  <si>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</si>
  <si>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</si>
  <si>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</si>
  <si>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</si>
  <si>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</si>
  <si>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</si>
  <si>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</si>
  <si>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</si>
  <si>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</si>
  <si>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</si>
  <si>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</si>
  <si>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</si>
  <si>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</si>
  <si>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</si>
  <si>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</si>
  <si>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</si>
  <si>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</si>
  <si>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</si>
  <si>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</si>
  <si>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</si>
  <si>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</si>
  <si>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</si>
  <si>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</si>
  <si>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</si>
  <si>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</si>
  <si>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</si>
  <si>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</si>
  <si>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</si>
  <si>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</si>
  <si>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</si>
  <si>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</si>
  <si>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</si>
  <si>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</si>
  <si>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</si>
  <si>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</si>
  <si>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</si>
  <si>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</si>
  <si>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</si>
  <si>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</si>
  <si>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</si>
  <si>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</si>
  <si>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</si>
  <si>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</si>
  <si>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</si>
  <si>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</si>
  <si>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</si>
  <si>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</si>
  <si>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</si>
  <si>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</si>
  <si>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</si>
  <si>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</si>
  <si>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</si>
  <si>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</si>
  <si>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</si>
  <si>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Plant Sales (Other Parties)- Road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</si>
  <si>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</si>
  <si>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</si>
  <si>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</si>
  <si>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</si>
  <si>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</si>
  <si>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</si>
  <si>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</si>
  <si>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</si>
  <si>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</si>
  <si>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</si>
  <si>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</si>
  <si>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</si>
  <si>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</si>
  <si>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</si>
  <si>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</si>
  <si>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</si>
  <si>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</si>
  <si>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</si>
  <si>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</si>
  <si>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</si>
  <si>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</si>
  <si>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</si>
  <si>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</si>
  <si>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</si>
  <si>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</si>
  <si>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</si>
  <si>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</si>
  <si>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</si>
  <si>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</si>
  <si>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</si>
  <si>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</si>
  <si>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</si>
  <si>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</si>
  <si>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</si>
  <si>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</si>
  <si>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</si>
  <si>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FERRO TITANIUM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</si>
  <si>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</si>
  <si>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</si>
  <si>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</si>
  <si>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</si>
  <si>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</si>
  <si>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</si>
  <si>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</si>
  <si>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</si>
  <si>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</si>
  <si>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</si>
  <si>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</si>
  <si>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</si>
  <si>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</si>
  <si>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</si>
  <si>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</si>
  <si>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</si>
  <si>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</si>
  <si>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</si>
  <si>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</si>
  <si>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</si>
  <si>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</si>
  <si>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</si>
  <si>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</si>
  <si>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</si>
  <si>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</si>
  <si>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</si>
  <si>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</si>
  <si>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</si>
  <si>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</si>
  <si>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</si>
  <si>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</si>
  <si>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</si>
  <si>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</si>
  <si>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</si>
  <si>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</si>
  <si>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</si>
  <si>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</si>
  <si>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</si>
  <si>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</si>
  <si>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</si>
  <si>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</si>
  <si>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</si>
  <si>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</si>
  <si>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</si>
  <si>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</si>
  <si>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</si>
  <si>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</si>
  <si>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</si>
  <si>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</si>
  <si>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</si>
  <si>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</si>
  <si>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</si>
  <si>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</si>
  <si>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</si>
  <si>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</si>
  <si>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</si>
  <si>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</si>
  <si>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</si>
  <si>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</si>
  <si>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</si>
  <si>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</si>
  <si>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</si>
  <si>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</si>
  <si>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</si>
  <si>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</si>
  <si>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</si>
  <si>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</si>
  <si>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</si>
  <si>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</si>
  <si>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</si>
  <si>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</si>
  <si>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</si>
  <si>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</si>
  <si>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</si>
  <si>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</si>
  <si>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</si>
  <si>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</si>
  <si>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</si>
  <si>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</si>
  <si>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</si>
  <si>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</si>
  <si>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</si>
  <si>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</si>
  <si>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</si>
  <si>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</si>
  <si>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</si>
  <si>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</si>
  <si>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</si>
  <si>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</si>
  <si>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BF Slag Analysis 2024-25</t>
  </si>
  <si>
    <t>BOF Slag Analysis 2024-25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</si>
  <si>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</si>
  <si>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</si>
  <si>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</si>
  <si>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</si>
  <si>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</si>
  <si>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</si>
  <si>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</si>
  <si>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</si>
  <si>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</si>
  <si>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</si>
  <si>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</si>
  <si>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</si>
  <si>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</si>
  <si>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</si>
  <si>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</si>
  <si>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</si>
  <si>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</si>
  <si>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</si>
  <si>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</si>
  <si>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</si>
  <si>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</si>
  <si>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</si>
  <si>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</si>
  <si>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</si>
  <si>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</si>
  <si>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</si>
  <si>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</si>
  <si>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</si>
  <si>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</si>
  <si>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</si>
  <si>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</si>
  <si>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</si>
  <si>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</si>
  <si>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</si>
  <si>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</si>
  <si>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</si>
  <si>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</si>
  <si>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</si>
  <si>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</si>
  <si>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</si>
  <si>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</si>
  <si>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</si>
  <si>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</si>
  <si>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</si>
  <si>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</si>
  <si>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</si>
  <si>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</si>
  <si>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</si>
  <si>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</si>
  <si>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</si>
  <si>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</si>
  <si>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</si>
  <si>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</si>
  <si>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</si>
  <si>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</si>
  <si>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</si>
  <si>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</si>
  <si>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</si>
  <si>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</si>
  <si>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</si>
  <si>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</si>
  <si>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</si>
  <si>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</si>
  <si>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</si>
  <si>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</si>
  <si>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</si>
  <si>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</si>
  <si>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</si>
  <si>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</si>
  <si>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</si>
  <si>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</si>
  <si>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</si>
  <si>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</si>
  <si>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</si>
  <si>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</si>
  <si>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</si>
  <si>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</si>
  <si>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</si>
  <si>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</si>
  <si>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</si>
  <si>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</si>
  <si>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</si>
  <si>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</si>
  <si>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</si>
  <si>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</si>
  <si>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</si>
  <si>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</si>
  <si>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</si>
  <si>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</si>
  <si>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</si>
  <si>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</si>
  <si>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</si>
  <si>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</si>
  <si>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</si>
  <si>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</si>
  <si>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</si>
  <si>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</si>
  <si>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</si>
  <si>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</si>
  <si>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</si>
  <si>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</si>
  <si>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</si>
  <si>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</si>
  <si>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</si>
  <si>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June'24</t>
  </si>
  <si>
    <t>SiMn consumed in Jun(2088)(SiMn (1099) +Chandrapur SiMn (989))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</si>
  <si>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t>
  </si>
  <si>
    <t xml:space="preserve">
10th Relining carried on 28.07.22-02.08.22 which has resulted in 3510 Heats till 21.03.23.11th relining carried on from 22.03.2023-27.03.2023 which has resulted 6740 Heats till 30.06.2024.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</si>
  <si>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</si>
  <si>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</si>
  <si>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</si>
  <si>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</si>
  <si>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</si>
  <si>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</si>
  <si>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</si>
  <si>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</si>
  <si>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</si>
  <si>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</si>
  <si>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</si>
  <si>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</si>
  <si>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</si>
  <si>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</si>
  <si>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</si>
  <si>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</si>
  <si>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Prime:WR COIL SWR 10 7 (BOKARO)</t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</si>
  <si>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</si>
  <si>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</si>
  <si>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</si>
  <si>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</si>
  <si>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</si>
  <si>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</si>
  <si>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</si>
  <si>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</si>
  <si>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</si>
  <si>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July'24</t>
  </si>
  <si>
    <t>SiMn consumed in Jul(3644)(SiMn (2782) +Chandrapur SiMn (862))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</si>
  <si>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t>
  </si>
  <si>
    <t xml:space="preserve">
10th Relining carried on 28.07.22-02.08.22 which has resulted in 3510 Heats till 21.03.23.11th relining carried on from 22.03.2023-27.03.2023 which has resulted 7232 Heats till 31.07.2024.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</si>
  <si>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</si>
  <si>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</si>
  <si>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</si>
  <si>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</si>
  <si>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</si>
  <si>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</si>
  <si>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</si>
  <si>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</si>
  <si>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</si>
  <si>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</si>
  <si>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</si>
  <si>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</si>
  <si>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</si>
  <si>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</si>
  <si>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</si>
  <si>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</si>
  <si>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</si>
  <si>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</si>
  <si>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</si>
  <si>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</si>
  <si>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</si>
  <si>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</si>
  <si>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</si>
  <si>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</si>
  <si>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</si>
  <si>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</si>
  <si>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</si>
  <si>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</si>
  <si>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</si>
  <si>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</si>
  <si>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</si>
  <si>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</si>
  <si>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</si>
  <si>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</si>
  <si>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</si>
  <si>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</si>
  <si>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</si>
  <si>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</si>
  <si>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</si>
  <si>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>SiMn consumed in Aug(3948)(SiMn (3326) +Chandrapur SiMn (622))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</si>
  <si>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</si>
  <si>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</si>
  <si>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</si>
  <si>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</si>
  <si>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</si>
  <si>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</si>
  <si>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</si>
  <si>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</si>
  <si>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</si>
  <si>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</si>
  <si>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</si>
  <si>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</si>
  <si>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</si>
  <si>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</si>
  <si>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</si>
  <si>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</si>
  <si>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</si>
  <si>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</si>
  <si>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</si>
  <si>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</si>
  <si>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</si>
  <si>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</si>
  <si>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</si>
  <si>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</si>
  <si>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</si>
  <si>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</si>
  <si>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</si>
  <si>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</si>
  <si>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</si>
  <si>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</si>
  <si>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</si>
  <si>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</si>
  <si>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</si>
  <si>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</si>
  <si>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</si>
  <si>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</si>
  <si>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</si>
  <si>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</si>
  <si>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</si>
  <si>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</si>
  <si>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</si>
  <si>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</si>
  <si>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</si>
  <si>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</si>
  <si>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</si>
  <si>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</si>
  <si>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</si>
  <si>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</si>
  <si>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</si>
  <si>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</si>
  <si>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</si>
  <si>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</si>
  <si>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</si>
  <si>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</si>
  <si>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</si>
  <si>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</si>
  <si>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</si>
  <si>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</si>
  <si>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</si>
  <si>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</si>
  <si>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</si>
  <si>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</si>
  <si>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</si>
  <si>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</si>
  <si>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</si>
  <si>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</si>
  <si>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</si>
  <si>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</si>
  <si>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</si>
  <si>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</si>
  <si>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</si>
  <si>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</si>
  <si>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</si>
  <si>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</si>
  <si>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</si>
  <si>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</si>
  <si>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</si>
  <si>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</si>
  <si>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</si>
  <si>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</si>
  <si>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</si>
  <si>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</si>
  <si>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</si>
  <si>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</si>
  <si>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</si>
  <si>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</si>
  <si>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</si>
  <si>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</si>
  <si>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</si>
  <si>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</si>
  <si>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</si>
  <si>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</si>
  <si>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</si>
  <si>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</si>
  <si>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</si>
  <si>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</si>
  <si>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</si>
  <si>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</si>
  <si>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</si>
  <si>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</si>
  <si>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</si>
  <si>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</si>
  <si>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</si>
  <si>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</si>
  <si>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</si>
  <si>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</si>
  <si>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</si>
  <si>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</si>
  <si>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</si>
  <si>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</si>
  <si>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</si>
  <si>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</si>
  <si>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</si>
  <si>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</si>
  <si>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</si>
  <si>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</si>
  <si>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</si>
  <si>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</si>
  <si>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</si>
  <si>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</si>
  <si>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</si>
  <si>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</si>
  <si>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</si>
  <si>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</si>
  <si>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</si>
  <si>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</si>
  <si>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</si>
  <si>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</si>
  <si>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</si>
  <si>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</si>
  <si>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</si>
  <si>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</si>
  <si>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</si>
  <si>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</si>
  <si>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</si>
  <si>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</si>
  <si>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</si>
  <si>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</si>
  <si>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</si>
  <si>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</si>
  <si>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</si>
  <si>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</si>
  <si>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</si>
  <si>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</si>
  <si>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</si>
  <si>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</si>
  <si>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</si>
  <si>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</si>
  <si>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</si>
  <si>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</si>
  <si>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</si>
  <si>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</si>
  <si>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</si>
  <si>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</si>
  <si>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</si>
  <si>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</si>
  <si>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</si>
  <si>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</si>
  <si>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</si>
  <si>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</si>
  <si>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</si>
  <si>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</si>
  <si>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</si>
  <si>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</si>
  <si>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</si>
  <si>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</si>
  <si>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</si>
  <si>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</si>
  <si>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</si>
  <si>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</si>
  <si>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</si>
  <si>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</si>
  <si>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</si>
  <si>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</si>
  <si>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</si>
  <si>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</si>
  <si>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</si>
  <si>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</si>
  <si>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</si>
  <si>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</si>
  <si>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</si>
  <si>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</si>
  <si>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</si>
  <si>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</si>
  <si>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</si>
  <si>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</si>
  <si>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</si>
  <si>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</si>
  <si>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</si>
  <si>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</si>
  <si>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</si>
  <si>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</si>
  <si>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</si>
  <si>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</si>
  <si>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</si>
  <si>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</si>
  <si>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</si>
  <si>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</si>
  <si>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</si>
  <si>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</si>
  <si>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</si>
  <si>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</si>
  <si>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</si>
  <si>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</si>
  <si>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</si>
  <si>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</si>
  <si>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</si>
  <si>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</si>
  <si>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</si>
  <si>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</si>
  <si>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</si>
  <si>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</si>
  <si>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</si>
  <si>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</si>
  <si>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</si>
  <si>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</si>
  <si>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</si>
  <si>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</si>
  <si>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</si>
  <si>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</si>
  <si>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</si>
  <si>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</si>
  <si>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</si>
  <si>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</si>
  <si>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</si>
  <si>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</si>
  <si>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</si>
  <si>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</si>
  <si>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</si>
  <si>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</si>
  <si>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</si>
  <si>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</si>
  <si>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</si>
  <si>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</si>
  <si>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</si>
  <si>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</si>
  <si>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</si>
  <si>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</si>
  <si>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</si>
  <si>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</si>
  <si>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</si>
  <si>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</si>
  <si>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</si>
  <si>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</si>
  <si>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</si>
  <si>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</si>
  <si>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</si>
  <si>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</si>
  <si>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</si>
  <si>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</si>
  <si>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APR 24</t>
  </si>
  <si>
    <t>MAY 24</t>
  </si>
  <si>
    <t>JUN 24</t>
  </si>
  <si>
    <t>JUL 24</t>
  </si>
  <si>
    <t>AUG 24</t>
  </si>
  <si>
    <t>SEP 24</t>
  </si>
  <si>
    <t>OCT 24</t>
  </si>
  <si>
    <t>DEC 24</t>
  </si>
  <si>
    <t>JAN 25</t>
  </si>
  <si>
    <t>FEB 25</t>
  </si>
  <si>
    <t>MAR 25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</si>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</sst>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8" fillId="0" borderId="0"/>
    <xf numFmtId="0" fontId="202" fillId="0" borderId="0"/>
    <xf numFmtId="0" fontId="204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8059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0" fontId="45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5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1" fontId="18" fillId="5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67" fontId="21" fillId="8" borderId="1" xfId="0" applyNumberFormat="1" applyFont="1" applyFill="1" applyBorder="1" applyAlignment="1">
      <alignment horizontal="center" vertical="center"/>
    </xf>
    <xf numFmtId="167" fontId="21" fillId="8" borderId="1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45" fillId="0" borderId="118" xfId="0" applyFont="1" applyBorder="1" applyAlignment="1">
      <alignment horizontal="center" vertical="center"/>
    </xf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17" xfId="0" applyFont="1" applyFill="1" applyBorder="1" applyAlignment="1">
      <alignment horizontal="center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12" fillId="8" borderId="33" xfId="0" applyFont="1" applyFill="1" applyBorder="1" applyAlignment="1">
      <alignment horizont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8" borderId="31" xfId="0" applyFill="1" applyBorder="1"/>
    <xf numFmtId="1" fontId="0" fillId="8" borderId="118" xfId="0" applyNumberFormat="1" applyFill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8" borderId="29" xfId="0" applyFill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" fontId="12" fillId="8" borderId="17" xfId="0" applyNumberFormat="1" applyFont="1" applyFill="1" applyBorder="1" applyAlignment="1">
      <alignment horizontal="center"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1" fontId="18" fillId="0" borderId="33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4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54" borderId="17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1" fontId="21" fillId="54" borderId="3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2" fontId="12" fillId="8" borderId="17" xfId="0" applyNumberFormat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0" fontId="4" fillId="8" borderId="4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69" fontId="21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1" fontId="20" fillId="0" borderId="0" xfId="0" applyNumberFormat="1" applyFont="1" applyBorder="1" applyAlignment="1">
      <alignment horizontal="center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40" fillId="0" borderId="24" xfId="0" applyFont="1" applyBorder="1" applyAlignment="1">
      <alignment horizontal="left" vertical="top"/>
    </xf>
    <xf numFmtId="1" fontId="20" fillId="7" borderId="10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67" fontId="18" fillId="8" borderId="17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6" fillId="0" borderId="127" xfId="0" applyNumberFormat="1" applyFont="1" applyBorder="1" applyAlignment="1">
      <alignment horizontal="center" wrapText="1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7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7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ont="1" applyFill="1" applyBorder="1" applyAlignment="1">
      <alignment horizontal="center" vertical="center"/>
    </xf>
    <xf numFmtId="0" fontId="0" fillId="8" borderId="76" xfId="0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54" borderId="13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0" fillId="0" borderId="0" xfId="0" applyNumberFormat="1" applyFont="1"/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20" fillId="50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0" borderId="46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9" fillId="8" borderId="11" xfId="0" applyNumberFormat="1" applyFont="1" applyFill="1" applyBorder="1" applyAlignment="1">
      <alignment horizontal="center" vertical="center"/>
    </xf>
    <xf numFmtId="1" fontId="189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9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8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1" fontId="20" fillId="0" borderId="118" xfId="0" applyNumberFormat="1" applyFont="1" applyBorder="1" applyAlignment="1">
      <alignment horizontal="center" vertical="center"/>
    </xf>
    <xf numFmtId="0" fontId="140" fillId="5" borderId="133" xfId="376" applyFont="1" applyFill="1" applyBorder="1" applyAlignment="1">
      <alignment wrapText="1"/>
    </xf>
    <xf numFmtId="0" fontId="140" fillId="5" borderId="133" xfId="376" applyFont="1" applyFill="1" applyBorder="1"/>
    <xf numFmtId="2" fontId="141" fillId="5" borderId="133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54" borderId="133" xfId="0" applyNumberFormat="1" applyFont="1" applyFill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90" fillId="0" borderId="0" xfId="0" applyFont="1"/>
    <xf numFmtId="167" fontId="190" fillId="0" borderId="0" xfId="0" applyNumberFormat="1" applyFont="1" applyAlignment="1">
      <alignment horizontal="center" vertical="center"/>
    </xf>
    <xf numFmtId="1" fontId="190" fillId="0" borderId="0" xfId="0" applyNumberFormat="1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0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1" fillId="8" borderId="118" xfId="0" applyNumberFormat="1" applyFont="1" applyFill="1" applyBorder="1" applyAlignment="1">
      <alignment horizontal="center" vertical="center"/>
    </xf>
    <xf numFmtId="1" fontId="191" fillId="8" borderId="118" xfId="0" applyNumberFormat="1" applyFont="1" applyFill="1" applyBorder="1" applyAlignment="1">
      <alignment horizontal="center" vertical="center"/>
    </xf>
    <xf numFmtId="1" fontId="191" fillId="7" borderId="118" xfId="0" applyNumberFormat="1" applyFont="1" applyFill="1" applyBorder="1" applyAlignment="1">
      <alignment horizontal="center" vertical="center"/>
    </xf>
    <xf numFmtId="0" fontId="192" fillId="0" borderId="0" xfId="0" applyFont="1"/>
    <xf numFmtId="0" fontId="193" fillId="8" borderId="118" xfId="0" applyFont="1" applyFill="1" applyBorder="1" applyAlignment="1">
      <alignment horizontal="center" vertical="center"/>
    </xf>
    <xf numFmtId="0" fontId="194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0" fontId="196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67" fontId="190" fillId="8" borderId="0" xfId="0" applyNumberFormat="1" applyFont="1" applyFill="1" applyAlignment="1">
      <alignment horizontal="center" vertical="center"/>
    </xf>
    <xf numFmtId="167" fontId="190" fillId="0" borderId="0" xfId="0" applyNumberFormat="1" applyFont="1" applyFill="1" applyAlignment="1">
      <alignment horizontal="center" vertical="center"/>
    </xf>
    <xf numFmtId="1" fontId="190" fillId="8" borderId="0" xfId="0" applyNumberFormat="1" applyFont="1" applyFill="1" applyAlignment="1">
      <alignment horizontal="center" vertical="center"/>
    </xf>
    <xf numFmtId="1" fontId="190" fillId="0" borderId="0" xfId="0" applyNumberFormat="1" applyFont="1" applyFill="1" applyAlignment="1">
      <alignment horizontal="center" vertical="center"/>
    </xf>
    <xf numFmtId="2" fontId="190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7" fillId="0" borderId="10" xfId="0" applyFont="1" applyBorder="1" applyAlignment="1">
      <alignment horizontal="center" vertical="center"/>
    </xf>
    <xf numFmtId="0" fontId="197" fillId="6" borderId="10" xfId="0" applyFont="1" applyFill="1" applyBorder="1" applyAlignment="1">
      <alignment horizontal="center" vertical="center"/>
    </xf>
    <xf numFmtId="0" fontId="198" fillId="0" borderId="10" xfId="0" applyFont="1" applyBorder="1"/>
    <xf numFmtId="0" fontId="198" fillId="8" borderId="10" xfId="0" applyFont="1" applyFill="1" applyBorder="1"/>
    <xf numFmtId="1" fontId="198" fillId="0" borderId="10" xfId="0" applyNumberFormat="1" applyFont="1" applyBorder="1" applyAlignment="1">
      <alignment horizontal="center"/>
    </xf>
    <xf numFmtId="1" fontId="198" fillId="7" borderId="10" xfId="0" applyNumberFormat="1" applyFont="1" applyFill="1" applyBorder="1" applyAlignment="1">
      <alignment horizontal="center"/>
    </xf>
    <xf numFmtId="1" fontId="198" fillId="5" borderId="10" xfId="0" applyNumberFormat="1" applyFont="1" applyFill="1" applyBorder="1" applyAlignment="1">
      <alignment horizontal="center"/>
    </xf>
    <xf numFmtId="0" fontId="198" fillId="0" borderId="0" xfId="0" applyFont="1"/>
    <xf numFmtId="1" fontId="198" fillId="8" borderId="118" xfId="0" applyNumberFormat="1" applyFont="1" applyFill="1" applyBorder="1" applyAlignment="1">
      <alignment horizontal="center"/>
    </xf>
    <xf numFmtId="1" fontId="198" fillId="6" borderId="118" xfId="0" applyNumberFormat="1" applyFont="1" applyFill="1" applyBorder="1" applyAlignment="1">
      <alignment horizontal="center"/>
    </xf>
    <xf numFmtId="1" fontId="198" fillId="6" borderId="10" xfId="0" applyNumberFormat="1" applyFont="1" applyFill="1" applyBorder="1" applyAlignment="1">
      <alignment horizontal="center"/>
    </xf>
    <xf numFmtId="0" fontId="198" fillId="0" borderId="118" xfId="0" applyFont="1" applyBorder="1"/>
    <xf numFmtId="0" fontId="198" fillId="8" borderId="118" xfId="0" applyFont="1" applyFill="1" applyBorder="1"/>
    <xf numFmtId="1" fontId="198" fillId="0" borderId="118" xfId="0" applyNumberFormat="1" applyFont="1" applyBorder="1" applyAlignment="1">
      <alignment horizontal="center"/>
    </xf>
    <xf numFmtId="1" fontId="198" fillId="5" borderId="118" xfId="0" applyNumberFormat="1" applyFont="1" applyFill="1" applyBorder="1" applyAlignment="1">
      <alignment horizontal="center"/>
    </xf>
    <xf numFmtId="1" fontId="198" fillId="7" borderId="118" xfId="0" applyNumberFormat="1" applyFont="1" applyFill="1" applyBorder="1" applyAlignment="1">
      <alignment horizontal="center"/>
    </xf>
    <xf numFmtId="1" fontId="198" fillId="0" borderId="0" xfId="0" applyNumberFormat="1" applyFont="1"/>
    <xf numFmtId="0" fontId="197" fillId="43" borderId="10" xfId="0" applyFont="1" applyFill="1" applyBorder="1"/>
    <xf numFmtId="1" fontId="197" fillId="43" borderId="10" xfId="0" applyNumberFormat="1" applyFont="1" applyFill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1" fontId="198" fillId="8" borderId="10" xfId="0" applyNumberFormat="1" applyFont="1" applyFill="1" applyBorder="1" applyAlignment="1">
      <alignment horizontal="center"/>
    </xf>
    <xf numFmtId="0" fontId="198" fillId="0" borderId="117" xfId="0" applyFont="1" applyBorder="1"/>
    <xf numFmtId="1" fontId="198" fillId="8" borderId="117" xfId="0" applyNumberFormat="1" applyFont="1" applyFill="1" applyBorder="1" applyAlignment="1">
      <alignment horizontal="center"/>
    </xf>
    <xf numFmtId="1" fontId="198" fillId="7" borderId="117" xfId="0" applyNumberFormat="1" applyFont="1" applyFill="1" applyBorder="1" applyAlignment="1">
      <alignment horizontal="center"/>
    </xf>
    <xf numFmtId="1" fontId="198" fillId="5" borderId="117" xfId="0" applyNumberFormat="1" applyFont="1" applyFill="1" applyBorder="1" applyAlignment="1">
      <alignment horizontal="center"/>
    </xf>
    <xf numFmtId="0" fontId="198" fillId="0" borderId="132" xfId="0" applyFont="1" applyBorder="1"/>
    <xf numFmtId="1" fontId="198" fillId="8" borderId="132" xfId="0" applyNumberFormat="1" applyFont="1" applyFill="1" applyBorder="1" applyAlignment="1">
      <alignment horizontal="center"/>
    </xf>
    <xf numFmtId="1" fontId="198" fillId="7" borderId="132" xfId="0" applyNumberFormat="1" applyFont="1" applyFill="1" applyBorder="1" applyAlignment="1">
      <alignment horizontal="center"/>
    </xf>
    <xf numFmtId="1" fontId="198" fillId="5" borderId="132" xfId="0" applyNumberFormat="1" applyFont="1" applyFill="1" applyBorder="1" applyAlignment="1">
      <alignment horizontal="center"/>
    </xf>
    <xf numFmtId="1" fontId="198" fillId="6" borderId="132" xfId="0" applyNumberFormat="1" applyFont="1" applyFill="1" applyBorder="1" applyAlignment="1">
      <alignment horizontal="center"/>
    </xf>
    <xf numFmtId="0" fontId="198" fillId="8" borderId="10" xfId="0" applyFont="1" applyFill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0" fontId="199" fillId="0" borderId="10" xfId="0" applyFont="1" applyBorder="1"/>
    <xf numFmtId="0" fontId="200" fillId="0" borderId="10" xfId="0" applyFont="1" applyBorder="1"/>
    <xf numFmtId="1" fontId="199" fillId="8" borderId="10" xfId="0" applyNumberFormat="1" applyFont="1" applyFill="1" applyBorder="1" applyAlignment="1">
      <alignment horizontal="center"/>
    </xf>
    <xf numFmtId="0" fontId="199" fillId="0" borderId="10" xfId="0" applyFont="1" applyBorder="1" applyAlignment="1">
      <alignment horizontal="center"/>
    </xf>
    <xf numFmtId="0" fontId="199" fillId="7" borderId="10" xfId="0" applyFont="1" applyFill="1" applyBorder="1" applyAlignment="1">
      <alignment horizontal="center"/>
    </xf>
    <xf numFmtId="0" fontId="199" fillId="5" borderId="10" xfId="0" applyFont="1" applyFill="1" applyBorder="1" applyAlignment="1">
      <alignment horizontal="center"/>
    </xf>
    <xf numFmtId="1" fontId="199" fillId="0" borderId="10" xfId="0" applyNumberFormat="1" applyFont="1" applyBorder="1" applyAlignment="1">
      <alignment horizontal="center"/>
    </xf>
    <xf numFmtId="0" fontId="199" fillId="0" borderId="0" xfId="0" applyFont="1"/>
    <xf numFmtId="1" fontId="199" fillId="8" borderId="29" xfId="0" applyNumberFormat="1" applyFont="1" applyFill="1" applyBorder="1" applyAlignment="1">
      <alignment horizontal="center"/>
    </xf>
    <xf numFmtId="0" fontId="200" fillId="0" borderId="0" xfId="0" applyFont="1"/>
    <xf numFmtId="0" fontId="198" fillId="0" borderId="10" xfId="0" applyFont="1" applyBorder="1" applyAlignment="1">
      <alignment horizontal="center"/>
    </xf>
    <xf numFmtId="1" fontId="198" fillId="8" borderId="29" xfId="0" applyNumberFormat="1" applyFont="1" applyFill="1" applyBorder="1" applyAlignment="1">
      <alignment horizontal="center"/>
    </xf>
    <xf numFmtId="0" fontId="197" fillId="0" borderId="10" xfId="0" applyFont="1" applyBorder="1"/>
    <xf numFmtId="1" fontId="197" fillId="4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 vertical="center"/>
    </xf>
    <xf numFmtId="9" fontId="197" fillId="8" borderId="10" xfId="22" applyFont="1" applyFill="1" applyBorder="1" applyAlignment="1">
      <alignment horizontal="center"/>
    </xf>
    <xf numFmtId="9" fontId="197" fillId="7" borderId="10" xfId="22" applyFont="1" applyFill="1" applyBorder="1" applyAlignment="1">
      <alignment horizontal="center"/>
    </xf>
    <xf numFmtId="9" fontId="197" fillId="5" borderId="10" xfId="22" applyFont="1" applyFill="1" applyBorder="1" applyAlignment="1">
      <alignment horizontal="center"/>
    </xf>
    <xf numFmtId="9" fontId="197" fillId="6" borderId="10" xfId="22" applyFont="1" applyFill="1" applyBorder="1" applyAlignment="1">
      <alignment horizontal="center"/>
    </xf>
    <xf numFmtId="0" fontId="198" fillId="8" borderId="0" xfId="0" applyFont="1" applyFill="1"/>
    <xf numFmtId="0" fontId="198" fillId="7" borderId="0" xfId="0" applyFont="1" applyFill="1"/>
    <xf numFmtId="0" fontId="198" fillId="5" borderId="0" xfId="0" applyFont="1" applyFill="1"/>
    <xf numFmtId="0" fontId="198" fillId="6" borderId="0" xfId="0" applyFont="1" applyFill="1"/>
    <xf numFmtId="0" fontId="197" fillId="8" borderId="10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1" fontId="198" fillId="7" borderId="0" xfId="0" applyNumberFormat="1" applyFont="1" applyFill="1"/>
    <xf numFmtId="1" fontId="198" fillId="5" borderId="0" xfId="0" applyNumberFormat="1" applyFont="1" applyFill="1"/>
    <xf numFmtId="1" fontId="198" fillId="8" borderId="0" xfId="0" applyNumberFormat="1" applyFont="1" applyFill="1"/>
    <xf numFmtId="1" fontId="198" fillId="6" borderId="0" xfId="0" applyNumberFormat="1" applyFont="1" applyFill="1"/>
    <xf numFmtId="0" fontId="198" fillId="0" borderId="41" xfId="0" applyFont="1" applyBorder="1"/>
    <xf numFmtId="0" fontId="198" fillId="0" borderId="46" xfId="0" applyFont="1" applyBorder="1"/>
    <xf numFmtId="0" fontId="198" fillId="0" borderId="23" xfId="0" applyFont="1" applyBorder="1"/>
    <xf numFmtId="0" fontId="198" fillId="0" borderId="30" xfId="0" applyFont="1" applyBorder="1"/>
    <xf numFmtId="0" fontId="198" fillId="0" borderId="40" xfId="0" applyFont="1" applyBorder="1" applyAlignment="1">
      <alignment horizontal="center" vertical="center"/>
    </xf>
    <xf numFmtId="0" fontId="197" fillId="8" borderId="118" xfId="0" applyFont="1" applyFill="1" applyBorder="1" applyAlignment="1">
      <alignment horizontal="center" vertical="center"/>
    </xf>
    <xf numFmtId="0" fontId="197" fillId="6" borderId="29" xfId="0" applyFont="1" applyFill="1" applyBorder="1" applyAlignment="1">
      <alignment horizontal="center" vertical="center"/>
    </xf>
    <xf numFmtId="0" fontId="198" fillId="0" borderId="59" xfId="0" applyFont="1" applyBorder="1" applyAlignment="1">
      <alignment horizontal="right" vertical="center"/>
    </xf>
    <xf numFmtId="1" fontId="198" fillId="0" borderId="23" xfId="0" applyNumberFormat="1" applyFont="1" applyBorder="1" applyAlignment="1">
      <alignment horizontal="center" vertical="center"/>
    </xf>
    <xf numFmtId="9" fontId="198" fillId="7" borderId="23" xfId="22" applyFont="1" applyFill="1" applyBorder="1" applyAlignment="1">
      <alignment horizontal="center" vertical="center"/>
    </xf>
    <xf numFmtId="9" fontId="198" fillId="5" borderId="23" xfId="22" applyFont="1" applyFill="1" applyBorder="1" applyAlignment="1">
      <alignment horizontal="center" vertical="center"/>
    </xf>
    <xf numFmtId="9" fontId="198" fillId="6" borderId="23" xfId="22" applyFont="1" applyFill="1" applyBorder="1" applyAlignment="1">
      <alignment horizontal="center" vertical="center"/>
    </xf>
    <xf numFmtId="0" fontId="198" fillId="0" borderId="38" xfId="0" applyFont="1" applyBorder="1" applyAlignment="1">
      <alignment horizontal="right" vertical="center"/>
    </xf>
    <xf numFmtId="1" fontId="198" fillId="0" borderId="46" xfId="0" applyNumberFormat="1" applyFont="1" applyBorder="1" applyAlignment="1">
      <alignment horizontal="center" vertical="center"/>
    </xf>
    <xf numFmtId="1" fontId="198" fillId="7" borderId="46" xfId="0" applyNumberFormat="1" applyFont="1" applyFill="1" applyBorder="1" applyAlignment="1">
      <alignment horizontal="center" vertical="center"/>
    </xf>
    <xf numFmtId="1" fontId="198" fillId="5" borderId="46" xfId="0" applyNumberFormat="1" applyFont="1" applyFill="1" applyBorder="1" applyAlignment="1">
      <alignment horizontal="center" vertical="center"/>
    </xf>
    <xf numFmtId="1" fontId="198" fillId="6" borderId="46" xfId="0" applyNumberFormat="1" applyFont="1" applyFill="1" applyBorder="1" applyAlignment="1">
      <alignment horizontal="center" vertical="center"/>
    </xf>
    <xf numFmtId="0" fontId="198" fillId="0" borderId="3" xfId="0" applyFont="1" applyBorder="1" applyAlignment="1">
      <alignment horizontal="left" vertical="center"/>
    </xf>
    <xf numFmtId="1" fontId="198" fillId="0" borderId="41" xfId="0" applyNumberFormat="1" applyFont="1" applyBorder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59" xfId="0" applyFont="1" applyBorder="1" applyAlignment="1">
      <alignment horizontal="left" vertical="center"/>
    </xf>
    <xf numFmtId="9" fontId="198" fillId="0" borderId="23" xfId="22" applyFont="1" applyBorder="1" applyAlignment="1">
      <alignment horizontal="center" vertical="center"/>
    </xf>
    <xf numFmtId="1" fontId="198" fillId="0" borderId="30" xfId="0" applyNumberFormat="1" applyFont="1" applyBorder="1" applyAlignment="1">
      <alignment horizontal="center" vertical="center"/>
    </xf>
    <xf numFmtId="1" fontId="198" fillId="7" borderId="41" xfId="0" applyNumberFormat="1" applyFont="1" applyFill="1" applyBorder="1" applyAlignment="1">
      <alignment horizontal="center"/>
    </xf>
    <xf numFmtId="1" fontId="198" fillId="5" borderId="41" xfId="0" applyNumberFormat="1" applyFont="1" applyFill="1" applyBorder="1" applyAlignment="1">
      <alignment horizontal="center"/>
    </xf>
    <xf numFmtId="1" fontId="198" fillId="6" borderId="41" xfId="0" applyNumberFormat="1" applyFont="1" applyFill="1" applyBorder="1" applyAlignment="1">
      <alignment horizontal="center"/>
    </xf>
    <xf numFmtId="1" fontId="198" fillId="7" borderId="42" xfId="0" applyNumberFormat="1" applyFont="1" applyFill="1" applyBorder="1" applyAlignment="1">
      <alignment horizontal="center"/>
    </xf>
    <xf numFmtId="0" fontId="198" fillId="0" borderId="135" xfId="0" applyFont="1" applyBorder="1" applyAlignment="1">
      <alignment horizontal="left" vertical="center"/>
    </xf>
    <xf numFmtId="0" fontId="198" fillId="0" borderId="133" xfId="0" applyFont="1" applyBorder="1"/>
    <xf numFmtId="1" fontId="198" fillId="0" borderId="133" xfId="0" applyNumberFormat="1" applyFont="1" applyBorder="1" applyAlignment="1">
      <alignment horizontal="center" vertical="center"/>
    </xf>
    <xf numFmtId="1" fontId="198" fillId="7" borderId="133" xfId="0" applyNumberFormat="1" applyFont="1" applyFill="1" applyBorder="1" applyAlignment="1">
      <alignment horizontal="center"/>
    </xf>
    <xf numFmtId="1" fontId="198" fillId="5" borderId="133" xfId="0" applyNumberFormat="1" applyFont="1" applyFill="1" applyBorder="1" applyAlignment="1">
      <alignment horizontal="center"/>
    </xf>
    <xf numFmtId="1" fontId="198" fillId="6" borderId="133" xfId="0" applyNumberFormat="1" applyFont="1" applyFill="1" applyBorder="1" applyAlignment="1">
      <alignment horizontal="center"/>
    </xf>
    <xf numFmtId="1" fontId="198" fillId="7" borderId="17" xfId="0" applyNumberFormat="1" applyFont="1" applyFill="1" applyBorder="1" applyAlignment="1">
      <alignment horizontal="center"/>
    </xf>
    <xf numFmtId="9" fontId="198" fillId="0" borderId="133" xfId="22" applyFont="1" applyBorder="1" applyAlignment="1">
      <alignment horizontal="center" vertical="center"/>
    </xf>
    <xf numFmtId="9" fontId="198" fillId="7" borderId="133" xfId="22" applyFont="1" applyFill="1" applyBorder="1" applyAlignment="1">
      <alignment horizontal="center" vertical="center"/>
    </xf>
    <xf numFmtId="9" fontId="198" fillId="5" borderId="133" xfId="22" applyFont="1" applyFill="1" applyBorder="1" applyAlignment="1">
      <alignment horizontal="center" vertical="center"/>
    </xf>
    <xf numFmtId="9" fontId="198" fillId="6" borderId="133" xfId="22" applyFont="1" applyFill="1" applyBorder="1" applyAlignment="1">
      <alignment horizontal="center" vertical="center"/>
    </xf>
    <xf numFmtId="9" fontId="198" fillId="7" borderId="17" xfId="22" applyFont="1" applyFill="1" applyBorder="1" applyAlignment="1">
      <alignment horizontal="center" vertical="center"/>
    </xf>
    <xf numFmtId="0" fontId="198" fillId="8" borderId="135" xfId="0" applyFont="1" applyFill="1" applyBorder="1" applyAlignment="1">
      <alignment horizontal="right" vertical="center"/>
    </xf>
    <xf numFmtId="0" fontId="198" fillId="8" borderId="133" xfId="0" applyFont="1" applyFill="1" applyBorder="1"/>
    <xf numFmtId="1" fontId="198" fillId="8" borderId="133" xfId="0" applyNumberFormat="1" applyFont="1" applyFill="1" applyBorder="1" applyAlignment="1">
      <alignment horizontal="center" vertical="center"/>
    </xf>
    <xf numFmtId="0" fontId="198" fillId="0" borderId="135" xfId="0" applyFont="1" applyBorder="1" applyAlignment="1">
      <alignment horizontal="right" vertical="center"/>
    </xf>
    <xf numFmtId="1" fontId="198" fillId="7" borderId="23" xfId="0" applyNumberFormat="1" applyFont="1" applyFill="1" applyBorder="1" applyAlignment="1">
      <alignment horizontal="center"/>
    </xf>
    <xf numFmtId="1" fontId="198" fillId="5" borderId="23" xfId="0" applyNumberFormat="1" applyFont="1" applyFill="1" applyBorder="1" applyAlignment="1">
      <alignment horizontal="center"/>
    </xf>
    <xf numFmtId="1" fontId="198" fillId="6" borderId="23" xfId="0" applyNumberFormat="1" applyFont="1" applyFill="1" applyBorder="1" applyAlignment="1">
      <alignment horizontal="center"/>
    </xf>
    <xf numFmtId="1" fontId="198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8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200" fillId="0" borderId="5" xfId="0" applyFont="1" applyBorder="1"/>
    <xf numFmtId="0" fontId="55" fillId="0" borderId="55" xfId="0" applyFont="1" applyBorder="1"/>
    <xf numFmtId="1" fontId="200" fillId="8" borderId="133" xfId="0" applyNumberFormat="1" applyFont="1" applyFill="1" applyBorder="1" applyAlignment="1">
      <alignment horizontal="center" vertical="center"/>
    </xf>
    <xf numFmtId="0" fontId="200" fillId="0" borderId="25" xfId="0" applyFont="1" applyBorder="1"/>
    <xf numFmtId="0" fontId="200" fillId="0" borderId="55" xfId="0" applyFont="1" applyBorder="1"/>
    <xf numFmtId="1" fontId="200" fillId="0" borderId="5" xfId="0" applyNumberFormat="1" applyFont="1" applyBorder="1" applyAlignment="1">
      <alignment horizontal="center" vertical="center"/>
    </xf>
    <xf numFmtId="1" fontId="200" fillId="7" borderId="5" xfId="0" applyNumberFormat="1" applyFont="1" applyFill="1" applyBorder="1" applyAlignment="1">
      <alignment horizontal="center"/>
    </xf>
    <xf numFmtId="1" fontId="200" fillId="5" borderId="5" xfId="0" applyNumberFormat="1" applyFont="1" applyFill="1" applyBorder="1" applyAlignment="1">
      <alignment horizontal="center"/>
    </xf>
    <xf numFmtId="1" fontId="200" fillId="6" borderId="5" xfId="0" applyNumberFormat="1" applyFont="1" applyFill="1" applyBorder="1" applyAlignment="1">
      <alignment horizontal="center"/>
    </xf>
    <xf numFmtId="1" fontId="200" fillId="7" borderId="11" xfId="0" applyNumberFormat="1" applyFont="1" applyFill="1" applyBorder="1" applyAlignment="1">
      <alignment horizontal="center"/>
    </xf>
    <xf numFmtId="1" fontId="198" fillId="0" borderId="133" xfId="0" applyNumberFormat="1" applyFont="1" applyBorder="1" applyAlignment="1">
      <alignment horizontal="center"/>
    </xf>
    <xf numFmtId="1" fontId="198" fillId="8" borderId="133" xfId="0" applyNumberFormat="1" applyFont="1" applyFill="1" applyBorder="1" applyAlignment="1">
      <alignment horizontal="center"/>
    </xf>
    <xf numFmtId="0" fontId="198" fillId="0" borderId="136" xfId="0" applyFont="1" applyBorder="1"/>
    <xf numFmtId="1" fontId="198" fillId="0" borderId="136" xfId="0" applyNumberFormat="1" applyFont="1" applyBorder="1" applyAlignment="1">
      <alignment horizontal="center"/>
    </xf>
    <xf numFmtId="1" fontId="198" fillId="7" borderId="136" xfId="0" applyNumberFormat="1" applyFont="1" applyFill="1" applyBorder="1" applyAlignment="1">
      <alignment horizontal="center"/>
    </xf>
    <xf numFmtId="1" fontId="198" fillId="5" borderId="136" xfId="0" applyNumberFormat="1" applyFont="1" applyFill="1" applyBorder="1" applyAlignment="1">
      <alignment horizontal="center"/>
    </xf>
    <xf numFmtId="1" fontId="198" fillId="8" borderId="136" xfId="0" applyNumberFormat="1" applyFont="1" applyFill="1" applyBorder="1" applyAlignment="1">
      <alignment horizontal="center"/>
    </xf>
    <xf numFmtId="1" fontId="198" fillId="6" borderId="136" xfId="0" applyNumberFormat="1" applyFont="1" applyFill="1" applyBorder="1" applyAlignment="1">
      <alignment horizontal="center"/>
    </xf>
    <xf numFmtId="0" fontId="198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8" fillId="0" borderId="0" xfId="0" applyNumberFormat="1" applyFont="1" applyBorder="1" applyAlignment="1">
      <alignment horizontal="center"/>
    </xf>
    <xf numFmtId="1" fontId="197" fillId="43" borderId="136" xfId="0" applyNumberFormat="1" applyFont="1" applyFill="1" applyBorder="1" applyAlignment="1">
      <alignment horizontal="center"/>
    </xf>
    <xf numFmtId="1" fontId="198" fillId="8" borderId="0" xfId="0" applyNumberFormat="1" applyFont="1" applyFill="1" applyBorder="1" applyAlignment="1">
      <alignment horizontal="center"/>
    </xf>
    <xf numFmtId="1" fontId="199" fillId="0" borderId="0" xfId="0" applyNumberFormat="1" applyFont="1" applyBorder="1" applyAlignment="1">
      <alignment horizontal="center"/>
    </xf>
    <xf numFmtId="0" fontId="198" fillId="0" borderId="0" xfId="0" applyFont="1" applyBorder="1" applyAlignment="1">
      <alignment horizontal="center"/>
    </xf>
    <xf numFmtId="1" fontId="197" fillId="4" borderId="136" xfId="0" applyNumberFormat="1" applyFont="1" applyFill="1" applyBorder="1" applyAlignment="1">
      <alignment horizontal="center"/>
    </xf>
    <xf numFmtId="9" fontId="197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8" fillId="0" borderId="136" xfId="0" applyNumberFormat="1" applyFont="1" applyBorder="1" applyAlignment="1">
      <alignment horizontal="center" vertical="center"/>
    </xf>
    <xf numFmtId="9" fontId="198" fillId="0" borderId="136" xfId="22" applyFont="1" applyBorder="1" applyAlignment="1">
      <alignment horizontal="center" vertical="center"/>
    </xf>
    <xf numFmtId="1" fontId="198" fillId="8" borderId="136" xfId="0" applyNumberFormat="1" applyFont="1" applyFill="1" applyBorder="1" applyAlignment="1">
      <alignment horizontal="center" vertical="center"/>
    </xf>
    <xf numFmtId="1" fontId="200" fillId="8" borderId="136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0" fillId="8" borderId="0" xfId="0" applyNumberFormat="1" applyFill="1"/>
    <xf numFmtId="2" fontId="201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4" borderId="13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Fill="1" applyBorder="1" applyAlignment="1">
      <alignment horizontal="center" vertical="center"/>
    </xf>
    <xf numFmtId="0" fontId="23" fillId="0" borderId="139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8" fillId="4" borderId="10" xfId="0" applyNumberFormat="1" applyFont="1" applyFill="1" applyBorder="1" applyAlignment="1">
      <alignment horizontal="center"/>
    </xf>
    <xf numFmtId="1" fontId="198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86" fillId="0" borderId="140" xfId="0" applyFont="1" applyBorder="1" applyAlignment="1">
      <alignment horizontal="center" vertical="center"/>
    </xf>
    <xf numFmtId="0" fontId="45" fillId="0" borderId="140" xfId="0" applyFont="1" applyBorder="1" applyAlignment="1">
      <alignment horizontal="center" vertical="center"/>
    </xf>
    <xf numFmtId="0" fontId="86" fillId="0" borderId="59" xfId="0" applyFont="1" applyBorder="1" applyAlignment="1">
      <alignment horizontal="center" vertical="center"/>
    </xf>
    <xf numFmtId="1" fontId="203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9" fontId="197" fillId="8" borderId="10" xfId="22" applyNumberFormat="1" applyFont="1" applyFill="1" applyBorder="1" applyAlignment="1">
      <alignment horizontal="center"/>
    </xf>
    <xf numFmtId="9" fontId="197" fillId="7" borderId="10" xfId="22" applyNumberFormat="1" applyFont="1" applyFill="1" applyBorder="1" applyAlignment="1">
      <alignment horizont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7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8" fillId="0" borderId="141" xfId="0" applyFont="1" applyBorder="1"/>
    <xf numFmtId="0" fontId="198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1" fontId="20" fillId="6" borderId="14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2" xfId="376" applyFont="1" applyFill="1" applyBorder="1" applyAlignment="1">
      <alignment wrapText="1"/>
    </xf>
    <xf numFmtId="0" fontId="140" fillId="5" borderId="142" xfId="376" applyFont="1" applyFill="1" applyBorder="1"/>
    <xf numFmtId="2" fontId="141" fillId="5" borderId="142" xfId="376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2" xfId="0" applyFont="1" applyBorder="1"/>
    <xf numFmtId="1" fontId="20" fillId="54" borderId="142" xfId="0" applyNumberFormat="1" applyFont="1" applyFill="1" applyBorder="1" applyAlignment="1">
      <alignment horizontal="center" vertical="center"/>
    </xf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21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horizontal="center"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3" xfId="536" applyFont="1" applyBorder="1" applyAlignment="1">
      <alignment horizontal="center" vertical="center"/>
    </xf>
    <xf numFmtId="0" fontId="160" fillId="0" borderId="144" xfId="536" applyFont="1" applyBorder="1" applyAlignment="1">
      <alignment horizontal="center" vertical="center"/>
    </xf>
    <xf numFmtId="1" fontId="161" fillId="0" borderId="144" xfId="536" applyNumberFormat="1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2" fillId="0" borderId="144" xfId="0" applyFont="1" applyBorder="1" applyAlignment="1">
      <alignment horizontal="center" vertical="center"/>
    </xf>
    <xf numFmtId="1" fontId="162" fillId="0" borderId="145" xfId="0" applyNumberFormat="1" applyFont="1" applyBorder="1" applyAlignment="1">
      <alignment horizontal="center" vertical="center"/>
    </xf>
    <xf numFmtId="1" fontId="161" fillId="0" borderId="144" xfId="536" applyNumberFormat="1" applyFont="1" applyFill="1" applyBorder="1" applyAlignment="1">
      <alignment horizontal="center" vertical="center"/>
    </xf>
    <xf numFmtId="0" fontId="163" fillId="0" borderId="146" xfId="536" applyFont="1" applyBorder="1" applyAlignment="1">
      <alignment horizontal="center" vertical="center"/>
    </xf>
    <xf numFmtId="0" fontId="160" fillId="0" borderId="147" xfId="536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61" fillId="0" borderId="147" xfId="536" applyNumberFormat="1" applyFont="1" applyBorder="1" applyAlignment="1">
      <alignment horizontal="center" vertical="center"/>
    </xf>
    <xf numFmtId="1" fontId="160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20" fillId="5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20" fillId="5" borderId="5" xfId="0" applyNumberFormat="1" applyFont="1" applyFill="1" applyBorder="1" applyAlignment="1">
      <alignment horizontal="center" vertical="center"/>
    </xf>
    <xf numFmtId="1" fontId="45" fillId="54" borderId="5" xfId="0" applyNumberFormat="1" applyFont="1" applyFill="1" applyBorder="1" applyAlignment="1">
      <alignment vertical="center"/>
    </xf>
    <xf numFmtId="1" fontId="20" fillId="54" borderId="5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21" fillId="54" borderId="145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0" fillId="8" borderId="85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0" fontId="27" fillId="0" borderId="155" xfId="0" applyFont="1" applyBorder="1" applyAlignment="1">
      <alignment horizontal="right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36" fillId="0" borderId="155" xfId="0" applyNumberFormat="1" applyFont="1" applyBorder="1" applyAlignment="1">
      <alignment horizontal="right" vertical="center"/>
    </xf>
    <xf numFmtId="167" fontId="27" fillId="7" borderId="155" xfId="0" applyNumberFormat="1" applyFont="1" applyFill="1" applyBorder="1" applyAlignment="1">
      <alignment horizontal="center" vertical="center"/>
    </xf>
    <xf numFmtId="1" fontId="23" fillId="0" borderId="155" xfId="0" applyNumberFormat="1" applyFont="1" applyBorder="1" applyAlignment="1">
      <alignment horizontal="left" vertical="center"/>
    </xf>
    <xf numFmtId="1" fontId="27" fillId="0" borderId="155" xfId="0" applyNumberFormat="1" applyFont="1" applyBorder="1" applyAlignment="1">
      <alignment horizontal="left" vertical="center"/>
    </xf>
    <xf numFmtId="0" fontId="140" fillId="5" borderId="155" xfId="376" applyFont="1" applyFill="1" applyBorder="1" applyAlignment="1">
      <alignment wrapText="1"/>
    </xf>
    <xf numFmtId="0" fontId="140" fillId="5" borderId="155" xfId="376" applyFont="1" applyFill="1" applyBorder="1"/>
    <xf numFmtId="2" fontId="141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8" borderId="118" xfId="0" applyNumberFormat="1" applyFont="1" applyFill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7" fillId="0" borderId="55" xfId="0" applyFont="1" applyBorder="1" applyAlignment="1"/>
    <xf numFmtId="0" fontId="55" fillId="0" borderId="118" xfId="0" applyFont="1" applyBorder="1"/>
    <xf numFmtId="0" fontId="206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6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0" fontId="32" fillId="8" borderId="161" xfId="0" applyFont="1" applyFill="1" applyBorder="1" applyAlignment="1">
      <alignment horizontal="center" vertical="center"/>
    </xf>
    <xf numFmtId="0" fontId="32" fillId="8" borderId="162" xfId="0" applyFont="1" applyFill="1" applyBorder="1" applyAlignment="1">
      <alignment horizontal="center" vertical="center"/>
    </xf>
    <xf numFmtId="0" fontId="32" fillId="8" borderId="38" xfId="0" applyFont="1" applyFill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161" xfId="0" applyNumberFormat="1" applyFont="1" applyBorder="1" applyAlignment="1">
      <alignment horizontal="center" vertical="center"/>
    </xf>
    <xf numFmtId="1" fontId="20" fillId="0" borderId="162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1" fontId="20" fillId="0" borderId="163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8" borderId="3" xfId="0" applyNumberFormat="1" applyFont="1" applyFill="1" applyBorder="1" applyAlignment="1">
      <alignment horizontal="center" vertical="center"/>
    </xf>
    <xf numFmtId="1" fontId="20" fillId="8" borderId="161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69" xfId="0" applyNumberFormat="1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4" xfId="0" applyFont="1" applyFill="1" applyBorder="1" applyAlignment="1">
      <alignment horizontal="left" vertical="center"/>
    </xf>
    <xf numFmtId="0" fontId="19" fillId="0" borderId="164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2" fontId="20" fillId="0" borderId="158" xfId="0" applyNumberFormat="1" applyFont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2" fontId="45" fillId="0" borderId="5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5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6" xfId="0" applyNumberFormat="1" applyFont="1" applyFill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7" xfId="0" applyFont="1" applyBorder="1" applyAlignment="1">
      <alignment horizontal="right" vertical="center"/>
    </xf>
    <xf numFmtId="1" fontId="14" fillId="0" borderId="168" xfId="0" applyNumberFormat="1" applyFont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0" borderId="169" xfId="0" applyNumberFormat="1" applyFont="1" applyBorder="1" applyAlignment="1">
      <alignment horizontal="center" vertical="center"/>
    </xf>
    <xf numFmtId="0" fontId="27" fillId="8" borderId="165" xfId="0" applyFont="1" applyFill="1" applyBorder="1" applyAlignment="1">
      <alignment horizontal="left" vertical="center"/>
    </xf>
    <xf numFmtId="0" fontId="27" fillId="8" borderId="167" xfId="0" applyFont="1" applyFill="1" applyBorder="1" applyAlignment="1">
      <alignment horizontal="left" vertical="center"/>
    </xf>
    <xf numFmtId="167" fontId="27" fillId="0" borderId="168" xfId="0" applyNumberFormat="1" applyFont="1" applyBorder="1" applyAlignment="1">
      <alignment horizontal="center" vertical="center"/>
    </xf>
    <xf numFmtId="1" fontId="27" fillId="0" borderId="170" xfId="0" applyNumberFormat="1" applyFont="1" applyBorder="1" applyAlignment="1">
      <alignment horizontal="center" vertical="center"/>
    </xf>
    <xf numFmtId="167" fontId="27" fillId="8" borderId="168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0" borderId="171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5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8" borderId="172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5" borderId="174" xfId="0" applyNumberFormat="1" applyFont="1" applyFill="1" applyBorder="1" applyAlignment="1">
      <alignment horizontal="center" vertical="center"/>
    </xf>
    <xf numFmtId="167" fontId="14" fillId="6" borderId="175" xfId="0" applyNumberFormat="1" applyFont="1" applyFill="1" applyBorder="1" applyAlignment="1">
      <alignment horizontal="center" vertical="center"/>
    </xf>
    <xf numFmtId="1" fontId="14" fillId="6" borderId="175" xfId="0" applyNumberFormat="1" applyFont="1" applyFill="1" applyBorder="1" applyAlignment="1">
      <alignment horizontal="center" vertical="center"/>
    </xf>
    <xf numFmtId="167" fontId="27" fillId="6" borderId="175" xfId="0" applyNumberFormat="1" applyFont="1" applyFill="1" applyBorder="1" applyAlignment="1">
      <alignment horizontal="center" vertical="center"/>
    </xf>
    <xf numFmtId="1" fontId="27" fillId="6" borderId="175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5" xfId="0" applyNumberFormat="1" applyFont="1" applyFill="1" applyBorder="1" applyAlignment="1">
      <alignment horizontal="center" vertical="center"/>
    </xf>
    <xf numFmtId="1" fontId="14" fillId="7" borderId="175" xfId="0" applyNumberFormat="1" applyFont="1" applyFill="1" applyBorder="1" applyAlignment="1">
      <alignment horizontal="center" vertical="center"/>
    </xf>
    <xf numFmtId="167" fontId="14" fillId="8" borderId="175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8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1" fontId="18" fillId="4" borderId="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5" borderId="173" xfId="0" applyNumberFormat="1" applyFont="1" applyFill="1" applyBorder="1" applyAlignment="1">
      <alignment vertical="center"/>
    </xf>
    <xf numFmtId="1" fontId="20" fillId="5" borderId="170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20" fillId="7" borderId="170" xfId="0" applyNumberFormat="1" applyFont="1" applyFill="1" applyBorder="1" applyAlignment="1">
      <alignment horizontal="center" vertical="center"/>
    </xf>
    <xf numFmtId="1" fontId="20" fillId="5" borderId="175" xfId="0" applyNumberFormat="1" applyFont="1" applyFill="1" applyBorder="1" applyAlignment="1">
      <alignment vertical="center"/>
    </xf>
    <xf numFmtId="1" fontId="20" fillId="5" borderId="175" xfId="0" applyNumberFormat="1" applyFont="1" applyFill="1" applyBorder="1" applyAlignment="1">
      <alignment horizontal="center" vertical="center"/>
    </xf>
    <xf numFmtId="1" fontId="20" fillId="6" borderId="175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horizontal="center" vertical="center"/>
    </xf>
    <xf numFmtId="1" fontId="20" fillId="44" borderId="175" xfId="0" applyNumberFormat="1" applyFont="1" applyFill="1" applyBorder="1" applyAlignment="1">
      <alignment vertical="center"/>
    </xf>
    <xf numFmtId="1" fontId="20" fillId="44" borderId="175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1" fillId="0" borderId="155" xfId="0" applyFont="1" applyBorder="1" applyAlignment="1">
      <alignment vertical="center" wrapText="1"/>
    </xf>
    <xf numFmtId="17" fontId="169" fillId="0" borderId="155" xfId="0" applyNumberFormat="1" applyFont="1" applyBorder="1" applyAlignment="1">
      <alignment wrapText="1"/>
    </xf>
    <xf numFmtId="1" fontId="169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0" fontId="171" fillId="0" borderId="155" xfId="0" applyFont="1" applyBorder="1" applyAlignment="1">
      <alignment wrapText="1"/>
    </xf>
    <xf numFmtId="0" fontId="173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8" borderId="155" xfId="0" applyFont="1" applyFill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7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1" fontId="173" fillId="8" borderId="155" xfId="0" applyNumberFormat="1" applyFont="1" applyFill="1" applyBorder="1" applyAlignment="1">
      <alignment horizontal="center" vertical="center" wrapText="1"/>
    </xf>
    <xf numFmtId="0" fontId="169" fillId="8" borderId="155" xfId="0" applyFont="1" applyFill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1" fontId="175" fillId="8" borderId="155" xfId="0" applyNumberFormat="1" applyFont="1" applyFill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7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2" fontId="175" fillId="0" borderId="155" xfId="0" applyNumberFormat="1" applyFont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9" fontId="169" fillId="0" borderId="155" xfId="22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67" fontId="172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9" fillId="0" borderId="155" xfId="0" applyFont="1" applyBorder="1" applyAlignment="1">
      <alignment horizontal="left" vertical="center" wrapText="1" indent="1"/>
    </xf>
    <xf numFmtId="167" fontId="169" fillId="0" borderId="155" xfId="0" applyNumberFormat="1" applyFont="1" applyBorder="1" applyAlignment="1">
      <alignment horizontal="center" wrapText="1"/>
    </xf>
    <xf numFmtId="2" fontId="169" fillId="0" borderId="155" xfId="0" applyNumberFormat="1" applyFont="1" applyBorder="1" applyAlignment="1">
      <alignment horizontal="center" wrapText="1"/>
    </xf>
    <xf numFmtId="2" fontId="175" fillId="8" borderId="155" xfId="0" applyNumberFormat="1" applyFont="1" applyFill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wrapText="1"/>
    </xf>
    <xf numFmtId="1" fontId="169" fillId="0" borderId="155" xfId="0" applyNumberFormat="1" applyFont="1" applyBorder="1" applyAlignment="1">
      <alignment horizontal="center" wrapText="1"/>
    </xf>
    <xf numFmtId="167" fontId="0" fillId="0" borderId="155" xfId="0" applyNumberFormat="1" applyFont="1" applyBorder="1" applyAlignment="1">
      <alignment horizontal="center" vertical="center"/>
    </xf>
    <xf numFmtId="2" fontId="0" fillId="0" borderId="155" xfId="0" applyNumberFormat="1" applyFont="1" applyBorder="1" applyAlignment="1">
      <alignment horizontal="center" vertical="center"/>
    </xf>
    <xf numFmtId="1" fontId="0" fillId="0" borderId="155" xfId="0" applyNumberFormat="1" applyFon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1" fillId="0" borderId="159" xfId="0" applyFont="1" applyBorder="1" applyAlignment="1">
      <alignment horizontal="center" vertical="center" wrapText="1"/>
    </xf>
    <xf numFmtId="0" fontId="171" fillId="0" borderId="161" xfId="0" applyFont="1" applyBorder="1" applyAlignment="1">
      <alignment horizontal="center" vertical="center" wrapText="1"/>
    </xf>
    <xf numFmtId="1" fontId="171" fillId="0" borderId="159" xfId="0" applyNumberFormat="1" applyFont="1" applyBorder="1" applyAlignment="1">
      <alignment horizontal="center" vertical="center" wrapText="1"/>
    </xf>
    <xf numFmtId="2" fontId="175" fillId="8" borderId="155" xfId="0" applyNumberFormat="1" applyFont="1" applyFill="1" applyBorder="1" applyAlignment="1">
      <alignment horizontal="center" vertical="center" wrapText="1"/>
    </xf>
    <xf numFmtId="1" fontId="173" fillId="8" borderId="161" xfId="0" applyNumberFormat="1" applyFont="1" applyFill="1" applyBorder="1" applyAlignment="1">
      <alignment horizontal="center" vertical="center" wrapText="1"/>
    </xf>
    <xf numFmtId="2" fontId="169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1" fillId="0" borderId="154" xfId="0" applyFont="1" applyBorder="1" applyAlignment="1">
      <alignment horizontal="center" vertical="center" wrapText="1"/>
    </xf>
    <xf numFmtId="0" fontId="169" fillId="0" borderId="155" xfId="0" applyFont="1" applyBorder="1" applyAlignment="1">
      <alignment horizontal="left" wrapText="1" indent="1"/>
    </xf>
    <xf numFmtId="1" fontId="171" fillId="0" borderId="155" xfId="0" applyNumberFormat="1" applyFont="1" applyBorder="1" applyAlignment="1">
      <alignment horizontal="center" wrapText="1"/>
    </xf>
    <xf numFmtId="17" fontId="176" fillId="0" borderId="155" xfId="0" applyNumberFormat="1" applyFont="1" applyBorder="1" applyAlignment="1">
      <alignment horizontal="left" vertical="center" wrapText="1" indent="1"/>
    </xf>
    <xf numFmtId="0" fontId="169" fillId="0" borderId="161" xfId="0" applyFont="1" applyBorder="1" applyAlignment="1">
      <alignment wrapText="1"/>
    </xf>
    <xf numFmtId="0" fontId="169" fillId="0" borderId="155" xfId="0" applyFont="1" applyBorder="1" applyAlignment="1">
      <alignment horizontal="center" wrapText="1"/>
    </xf>
    <xf numFmtId="17" fontId="171" fillId="0" borderId="161" xfId="0" applyNumberFormat="1" applyFont="1" applyBorder="1" applyAlignment="1">
      <alignment wrapText="1"/>
    </xf>
    <xf numFmtId="0" fontId="169" fillId="0" borderId="161" xfId="0" applyFont="1" applyBorder="1" applyAlignment="1">
      <alignment horizontal="left" wrapText="1" indent="1"/>
    </xf>
    <xf numFmtId="0" fontId="176" fillId="0" borderId="155" xfId="0" applyFont="1" applyBorder="1" applyAlignment="1">
      <alignment horizontal="center"/>
    </xf>
    <xf numFmtId="167" fontId="176" fillId="0" borderId="155" xfId="0" applyNumberFormat="1" applyFont="1" applyBorder="1" applyAlignment="1">
      <alignment horizontal="center"/>
    </xf>
    <xf numFmtId="0" fontId="169" fillId="0" borderId="161" xfId="0" applyFont="1" applyBorder="1" applyAlignment="1">
      <alignment horizontal="left" vertical="center" wrapText="1" indent="1"/>
    </xf>
    <xf numFmtId="17" fontId="171" fillId="0" borderId="155" xfId="0" applyNumberFormat="1" applyFont="1" applyBorder="1" applyAlignment="1">
      <alignment wrapText="1"/>
    </xf>
    <xf numFmtId="2" fontId="176" fillId="0" borderId="155" xfId="0" applyNumberFormat="1" applyFont="1" applyBorder="1" applyAlignment="1">
      <alignment horizontal="center"/>
    </xf>
    <xf numFmtId="1" fontId="173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16" fontId="0" fillId="0" borderId="155" xfId="0" quotePrefix="1" applyNumberFormat="1" applyFill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9" fillId="0" borderId="155" xfId="0" applyFont="1" applyBorder="1"/>
    <xf numFmtId="2" fontId="17" fillId="0" borderId="155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161" xfId="186" applyNumberFormat="1" applyFont="1" applyFill="1" applyBorder="1" applyAlignment="1">
      <alignment horizontal="center" vertical="top"/>
    </xf>
    <xf numFmtId="1" fontId="19" fillId="8" borderId="155" xfId="186" applyNumberFormat="1" applyFont="1" applyFill="1" applyBorder="1" applyAlignment="1">
      <alignment horizontal="center" vertical="top"/>
    </xf>
    <xf numFmtId="1" fontId="19" fillId="5" borderId="155" xfId="186" applyNumberFormat="1" applyFont="1" applyFill="1" applyBorder="1" applyAlignment="1">
      <alignment horizontal="center" vertical="top"/>
    </xf>
    <xf numFmtId="1" fontId="19" fillId="7" borderId="155" xfId="186" applyNumberFormat="1" applyFont="1" applyFill="1" applyBorder="1" applyAlignment="1">
      <alignment horizontal="center" vertical="top"/>
    </xf>
    <xf numFmtId="1" fontId="19" fillId="54" borderId="155" xfId="186" applyNumberFormat="1" applyFont="1" applyFill="1" applyBorder="1" applyAlignment="1">
      <alignment horizontal="center" vertical="top"/>
    </xf>
    <xf numFmtId="1" fontId="18" fillId="7" borderId="155" xfId="186" applyNumberFormat="1" applyFont="1" applyFill="1" applyBorder="1" applyAlignment="1">
      <alignment horizontal="center" vertical="top"/>
    </xf>
    <xf numFmtId="1" fontId="79" fillId="0" borderId="161" xfId="186" applyNumberFormat="1" applyFont="1" applyBorder="1" applyAlignment="1">
      <alignment horizontal="center" vertical="center"/>
    </xf>
    <xf numFmtId="1" fontId="79" fillId="7" borderId="161" xfId="186" applyNumberFormat="1" applyFont="1" applyFill="1" applyBorder="1" applyAlignment="1">
      <alignment horizontal="center" vertical="center"/>
    </xf>
    <xf numFmtId="1" fontId="79" fillId="8" borderId="161" xfId="186" applyNumberFormat="1" applyFont="1" applyFill="1" applyBorder="1" applyAlignment="1">
      <alignment horizontal="center" vertical="center"/>
    </xf>
    <xf numFmtId="1" fontId="79" fillId="5" borderId="166" xfId="186" applyNumberFormat="1" applyFont="1" applyFill="1" applyBorder="1" applyAlignment="1">
      <alignment horizontal="center" vertical="center"/>
    </xf>
    <xf numFmtId="1" fontId="78" fillId="5" borderId="157" xfId="186" applyNumberFormat="1" applyFont="1" applyFill="1" applyBorder="1" applyAlignment="1">
      <alignment horizontal="center" vertical="center"/>
    </xf>
    <xf numFmtId="1" fontId="79" fillId="0" borderId="166" xfId="186" applyNumberFormat="1" applyFont="1" applyBorder="1" applyAlignment="1">
      <alignment horizontal="center" vertical="center"/>
    </xf>
    <xf numFmtId="1" fontId="78" fillId="7" borderId="157" xfId="186" applyNumberFormat="1" applyFont="1" applyFill="1" applyBorder="1" applyAlignment="1">
      <alignment horizontal="center" vertical="center"/>
    </xf>
    <xf numFmtId="1" fontId="78" fillId="6" borderId="155" xfId="186" applyNumberFormat="1" applyFont="1" applyFill="1" applyBorder="1" applyAlignment="1">
      <alignment horizontal="center" vertical="center"/>
    </xf>
    <xf numFmtId="1" fontId="78" fillId="7" borderId="155" xfId="186" applyNumberFormat="1" applyFont="1" applyFill="1" applyBorder="1" applyAlignment="1">
      <alignment horizontal="center" vertical="center"/>
    </xf>
    <xf numFmtId="1" fontId="78" fillId="7" borderId="161" xfId="186" applyNumberFormat="1" applyFont="1" applyFill="1" applyBorder="1" applyAlignment="1">
      <alignment horizontal="center" vertical="center"/>
    </xf>
    <xf numFmtId="0" fontId="20" fillId="8" borderId="154" xfId="0" quotePrefix="1" applyFont="1" applyFill="1" applyBorder="1" applyAlignment="1">
      <alignment horizontal="left" vertical="center" wrapText="1"/>
    </xf>
    <xf numFmtId="1" fontId="20" fillId="54" borderId="155" xfId="0" applyNumberFormat="1" applyFont="1" applyFill="1" applyBorder="1" applyAlignment="1">
      <alignment horizontal="center" vertical="center"/>
    </xf>
    <xf numFmtId="1" fontId="21" fillId="5" borderId="155" xfId="0" applyNumberFormat="1" applyFont="1" applyFill="1" applyBorder="1" applyAlignment="1">
      <alignment horizontal="center" vertical="center"/>
    </xf>
    <xf numFmtId="1" fontId="21" fillId="54" borderId="157" xfId="0" applyNumberFormat="1" applyFont="1" applyFill="1" applyBorder="1" applyAlignment="1">
      <alignment horizontal="center" vertical="center"/>
    </xf>
    <xf numFmtId="1" fontId="21" fillId="6" borderId="15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5" xfId="0" applyFont="1" applyBorder="1" applyAlignment="1">
      <alignment horizontal="right" vertical="center"/>
    </xf>
    <xf numFmtId="1" fontId="18" fillId="8" borderId="155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54" xfId="0" applyNumberFormat="1" applyFont="1" applyFill="1" applyBorder="1" applyAlignment="1">
      <alignment horizontal="center" vertical="center"/>
    </xf>
    <xf numFmtId="0" fontId="20" fillId="0" borderId="173" xfId="0" applyFont="1" applyBorder="1" applyAlignment="1">
      <alignment horizontal="left" vertical="center" wrapText="1" indent="2"/>
    </xf>
    <xf numFmtId="0" fontId="20" fillId="0" borderId="170" xfId="0" applyFont="1" applyBorder="1" applyAlignment="1">
      <alignment horizontal="center" vertical="center"/>
    </xf>
    <xf numFmtId="1" fontId="21" fillId="8" borderId="146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9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73" xfId="0" applyFont="1" applyBorder="1" applyAlignment="1">
      <alignment horizontal="right" vertical="center" wrapText="1" indent="2"/>
    </xf>
    <xf numFmtId="0" fontId="20" fillId="0" borderId="154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2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5" xfId="0" applyNumberFormat="1" applyFont="1" applyFill="1" applyBorder="1" applyAlignment="1">
      <alignment horizontal="center" vertical="center" wrapText="1"/>
    </xf>
    <xf numFmtId="1" fontId="20" fillId="8" borderId="165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21" fillId="8" borderId="146" xfId="0" applyFont="1" applyFill="1" applyBorder="1" applyAlignment="1">
      <alignment vertical="center"/>
    </xf>
    <xf numFmtId="0" fontId="21" fillId="8" borderId="158" xfId="0" applyFont="1" applyFill="1" applyBorder="1" applyAlignment="1">
      <alignment vertical="center"/>
    </xf>
    <xf numFmtId="0" fontId="21" fillId="8" borderId="158" xfId="0" applyFont="1" applyFill="1" applyBorder="1" applyAlignment="1">
      <alignment horizontal="center" vertical="center"/>
    </xf>
    <xf numFmtId="9" fontId="21" fillId="8" borderId="158" xfId="22" applyFont="1" applyFill="1" applyBorder="1" applyAlignment="1">
      <alignment horizontal="center" vertical="center"/>
    </xf>
    <xf numFmtId="1" fontId="19" fillId="8" borderId="160" xfId="0" applyNumberFormat="1" applyFont="1" applyFill="1" applyBorder="1" applyAlignment="1">
      <alignment horizontal="center" vertical="center"/>
    </xf>
    <xf numFmtId="2" fontId="141" fillId="9" borderId="159" xfId="376" applyNumberFormat="1" applyFont="1" applyFill="1" applyBorder="1" applyAlignment="1">
      <alignment vertical="center"/>
    </xf>
    <xf numFmtId="2" fontId="141" fillId="9" borderId="166" xfId="376" applyNumberFormat="1" applyFont="1" applyFill="1" applyBorder="1" applyAlignment="1">
      <alignment vertical="center"/>
    </xf>
    <xf numFmtId="2" fontId="141" fillId="9" borderId="161" xfId="376" applyNumberFormat="1" applyFont="1" applyFill="1" applyBorder="1" applyAlignment="1">
      <alignment vertical="center"/>
    </xf>
    <xf numFmtId="0" fontId="14" fillId="0" borderId="16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162" fillId="8" borderId="155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4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0" borderId="157" xfId="0" applyNumberFormat="1" applyFont="1" applyBorder="1" applyAlignment="1">
      <alignment horizontal="center" vertical="center"/>
    </xf>
    <xf numFmtId="0" fontId="18" fillId="0" borderId="154" xfId="0" applyFont="1" applyBorder="1" applyAlignment="1">
      <alignment vertical="center"/>
    </xf>
    <xf numFmtId="0" fontId="18" fillId="0" borderId="159" xfId="0" applyFont="1" applyBorder="1" applyAlignment="1">
      <alignment horizontal="center" vertical="center"/>
    </xf>
    <xf numFmtId="167" fontId="21" fillId="8" borderId="154" xfId="0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7" fillId="8" borderId="10" xfId="22" applyNumberFormat="1" applyFont="1" applyFill="1" applyBorder="1" applyAlignment="1">
      <alignment horizontal="center"/>
    </xf>
    <xf numFmtId="0" fontId="198" fillId="0" borderId="155" xfId="0" applyFont="1" applyBorder="1"/>
    <xf numFmtId="1" fontId="198" fillId="8" borderId="155" xfId="0" applyNumberFormat="1" applyFont="1" applyFill="1" applyBorder="1" applyAlignment="1">
      <alignment horizontal="center"/>
    </xf>
    <xf numFmtId="1" fontId="198" fillId="7" borderId="155" xfId="0" applyNumberFormat="1" applyFont="1" applyFill="1" applyBorder="1" applyAlignment="1">
      <alignment horizontal="center"/>
    </xf>
    <xf numFmtId="1" fontId="198" fillId="5" borderId="155" xfId="0" applyNumberFormat="1" applyFont="1" applyFill="1" applyBorder="1" applyAlignment="1">
      <alignment horizontal="center"/>
    </xf>
    <xf numFmtId="1" fontId="198" fillId="6" borderId="155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right" vertical="center"/>
    </xf>
    <xf numFmtId="0" fontId="12" fillId="0" borderId="176" xfId="0" applyFont="1" applyBorder="1" applyAlignment="1">
      <alignment horizontal="center" vertical="center"/>
    </xf>
    <xf numFmtId="1" fontId="20" fillId="0" borderId="176" xfId="0" applyNumberFormat="1" applyFont="1" applyBorder="1" applyAlignment="1">
      <alignment horizontal="center" vertical="center"/>
    </xf>
    <xf numFmtId="1" fontId="12" fillId="0" borderId="176" xfId="0" applyNumberFormat="1" applyFont="1" applyBorder="1" applyAlignment="1">
      <alignment horizontal="center" vertical="center"/>
    </xf>
    <xf numFmtId="1" fontId="12" fillId="7" borderId="176" xfId="0" applyNumberFormat="1" applyFont="1" applyFill="1" applyBorder="1" applyAlignment="1">
      <alignment horizontal="center" vertical="center"/>
    </xf>
    <xf numFmtId="1" fontId="12" fillId="5" borderId="176" xfId="0" applyNumberFormat="1" applyFont="1" applyFill="1" applyBorder="1" applyAlignment="1">
      <alignment horizontal="center" vertical="center"/>
    </xf>
    <xf numFmtId="1" fontId="12" fillId="6" borderId="176" xfId="0" applyNumberFormat="1" applyFont="1" applyFill="1" applyBorder="1" applyAlignment="1">
      <alignment horizontal="center" vertical="center"/>
    </xf>
    <xf numFmtId="0" fontId="12" fillId="8" borderId="154" xfId="0" applyFont="1" applyFill="1" applyBorder="1" applyAlignment="1">
      <alignment horizontal="right" vertical="center"/>
    </xf>
    <xf numFmtId="2" fontId="12" fillId="8" borderId="176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6" xfId="0" applyNumberFormat="1" applyFont="1" applyFill="1" applyBorder="1" applyAlignment="1">
      <alignment horizontal="center" vertical="center"/>
    </xf>
    <xf numFmtId="1" fontId="20" fillId="7" borderId="176" xfId="0" applyNumberFormat="1" applyFont="1" applyFill="1" applyBorder="1" applyAlignment="1">
      <alignment horizontal="center" vertical="center"/>
    </xf>
    <xf numFmtId="1" fontId="20" fillId="7" borderId="176" xfId="0" applyNumberFormat="1" applyFont="1" applyFill="1" applyBorder="1" applyAlignment="1">
      <alignment vertical="center"/>
    </xf>
    <xf numFmtId="1" fontId="19" fillId="6" borderId="176" xfId="0" applyNumberFormat="1" applyFont="1" applyFill="1" applyBorder="1" applyAlignment="1">
      <alignment horizontal="center" vertical="center"/>
    </xf>
    <xf numFmtId="1" fontId="78" fillId="6" borderId="176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0" fontId="7" fillId="0" borderId="159" xfId="0" applyFont="1" applyBorder="1" applyAlignment="1">
      <alignment horizontal="left" vertical="center"/>
    </xf>
    <xf numFmtId="0" fontId="7" fillId="0" borderId="176" xfId="0" applyFont="1" applyBorder="1" applyAlignment="1">
      <alignment horizontal="left" vertical="center"/>
    </xf>
    <xf numFmtId="0" fontId="7" fillId="0" borderId="176" xfId="0" applyFont="1" applyBorder="1" applyAlignment="1">
      <alignment horizontal="center" vertical="center"/>
    </xf>
    <xf numFmtId="0" fontId="7" fillId="7" borderId="176" xfId="0" applyFont="1" applyFill="1" applyBorder="1" applyAlignment="1">
      <alignment horizontal="center" vertical="center"/>
    </xf>
    <xf numFmtId="0" fontId="7" fillId="5" borderId="176" xfId="0" applyFont="1" applyFill="1" applyBorder="1" applyAlignment="1">
      <alignment horizontal="center" vertical="center"/>
    </xf>
    <xf numFmtId="0" fontId="0" fillId="0" borderId="176" xfId="0" applyFont="1" applyBorder="1" applyAlignment="1">
      <alignment horizontal="center" vertical="center"/>
    </xf>
    <xf numFmtId="0" fontId="7" fillId="6" borderId="176" xfId="0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45" fillId="8" borderId="23" xfId="0" applyNumberFormat="1" applyFont="1" applyFill="1" applyBorder="1" applyAlignment="1">
      <alignment horizontal="center" vertical="center"/>
    </xf>
    <xf numFmtId="0" fontId="20" fillId="0" borderId="177" xfId="0" applyFont="1" applyBorder="1" applyAlignment="1">
      <alignment horizontal="center" vertical="center"/>
    </xf>
    <xf numFmtId="1" fontId="19" fillId="0" borderId="177" xfId="0" applyNumberFormat="1" applyFont="1" applyBorder="1" applyAlignment="1">
      <alignment horizontal="center" vertical="center"/>
    </xf>
    <xf numFmtId="1" fontId="19" fillId="50" borderId="177" xfId="0" applyNumberFormat="1" applyFont="1" applyFill="1" applyBorder="1" applyAlignment="1">
      <alignment horizontal="center" vertical="center"/>
    </xf>
    <xf numFmtId="1" fontId="112" fillId="5" borderId="177" xfId="0" applyNumberFormat="1" applyFont="1" applyFill="1" applyBorder="1" applyAlignment="1">
      <alignment horizontal="center" vertical="center"/>
    </xf>
    <xf numFmtId="1" fontId="18" fillId="6" borderId="177" xfId="0" applyNumberFormat="1" applyFont="1" applyFill="1" applyBorder="1" applyAlignment="1">
      <alignment horizontal="center" vertical="center"/>
    </xf>
    <xf numFmtId="1" fontId="27" fillId="0" borderId="177" xfId="0" applyNumberFormat="1" applyFont="1" applyBorder="1" applyAlignment="1">
      <alignment horizontal="center" vertical="center"/>
    </xf>
    <xf numFmtId="1" fontId="19" fillId="7" borderId="177" xfId="0" applyNumberFormat="1" applyFont="1" applyFill="1" applyBorder="1" applyAlignment="1">
      <alignment horizontal="center" vertical="center"/>
    </xf>
    <xf numFmtId="1" fontId="18" fillId="7" borderId="157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7" xfId="0" applyFont="1" applyFill="1" applyBorder="1" applyAlignment="1">
      <alignment horizontal="right" vertical="center"/>
    </xf>
    <xf numFmtId="0" fontId="18" fillId="8" borderId="177" xfId="0" applyFont="1" applyFill="1" applyBorder="1" applyAlignment="1">
      <alignment horizontal="center" vertical="center"/>
    </xf>
    <xf numFmtId="0" fontId="45" fillId="8" borderId="177" xfId="0" applyFont="1" applyFill="1" applyBorder="1" applyAlignment="1">
      <alignment horizontal="right" vertical="center"/>
    </xf>
    <xf numFmtId="1" fontId="112" fillId="8" borderId="177" xfId="0" applyNumberFormat="1" applyFont="1" applyFill="1" applyBorder="1" applyAlignment="1">
      <alignment horizontal="center" vertical="center"/>
    </xf>
    <xf numFmtId="0" fontId="112" fillId="7" borderId="177" xfId="0" applyFont="1" applyFill="1" applyBorder="1" applyAlignment="1">
      <alignment horizontal="center" vertical="center"/>
    </xf>
    <xf numFmtId="0" fontId="112" fillId="5" borderId="177" xfId="0" applyFont="1" applyFill="1" applyBorder="1" applyAlignment="1">
      <alignment horizontal="right" vertical="center"/>
    </xf>
    <xf numFmtId="1" fontId="19" fillId="5" borderId="177" xfId="0" applyNumberFormat="1" applyFont="1" applyFill="1" applyBorder="1" applyAlignment="1">
      <alignment horizontal="center" vertical="center"/>
    </xf>
    <xf numFmtId="0" fontId="45" fillId="0" borderId="177" xfId="0" applyFont="1" applyBorder="1" applyAlignment="1">
      <alignment horizontal="center" vertical="center"/>
    </xf>
    <xf numFmtId="0" fontId="112" fillId="6" borderId="177" xfId="0" applyFont="1" applyFill="1" applyBorder="1"/>
    <xf numFmtId="1" fontId="19" fillId="6" borderId="177" xfId="0" applyNumberFormat="1" applyFont="1" applyFill="1" applyBorder="1" applyAlignment="1">
      <alignment horizontal="center" vertical="center"/>
    </xf>
    <xf numFmtId="171" fontId="197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8" borderId="31" xfId="0" applyNumberFormat="1" applyFill="1" applyBorder="1" applyAlignment="1">
      <alignment horizontal="center" vertical="center"/>
    </xf>
    <xf numFmtId="1" fontId="19" fillId="8" borderId="177" xfId="186" applyNumberFormat="1" applyFont="1" applyFill="1" applyBorder="1" applyAlignment="1">
      <alignment horizontal="center" vertical="top"/>
    </xf>
    <xf numFmtId="1" fontId="19" fillId="5" borderId="177" xfId="186" applyNumberFormat="1" applyFont="1" applyFill="1" applyBorder="1" applyAlignment="1">
      <alignment horizontal="center" vertical="top"/>
    </xf>
    <xf numFmtId="1" fontId="19" fillId="7" borderId="177" xfId="186" applyNumberFormat="1" applyFont="1" applyFill="1" applyBorder="1" applyAlignment="1">
      <alignment horizontal="center" vertical="top"/>
    </xf>
    <xf numFmtId="1" fontId="19" fillId="54" borderId="177" xfId="186" applyNumberFormat="1" applyFont="1" applyFill="1" applyBorder="1" applyAlignment="1">
      <alignment horizontal="center" vertical="top"/>
    </xf>
    <xf numFmtId="1" fontId="18" fillId="7" borderId="177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7" xfId="0" applyFont="1" applyFill="1" applyBorder="1" applyAlignment="1">
      <alignment horizontal="left" vertical="center"/>
    </xf>
    <xf numFmtId="0" fontId="45" fillId="8" borderId="177" xfId="0" applyFont="1" applyFill="1" applyBorder="1"/>
    <xf numFmtId="1" fontId="19" fillId="8" borderId="177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5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5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5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31" xfId="0" applyNumberFormat="1" applyFont="1" applyFill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0" fillId="0" borderId="12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8" fillId="0" borderId="43" xfId="0" applyFont="1" applyBorder="1" applyAlignment="1">
      <alignment horizontal="center" vertical="center"/>
    </xf>
    <xf numFmtId="0" fontId="198" fillId="0" borderId="40" xfId="0" applyFont="1" applyBorder="1" applyAlignment="1">
      <alignment horizontal="center" vertical="center"/>
    </xf>
    <xf numFmtId="0" fontId="198" fillId="0" borderId="16" xfId="0" applyFont="1" applyBorder="1" applyAlignment="1">
      <alignment horizontal="center" vertical="center"/>
    </xf>
    <xf numFmtId="0" fontId="197" fillId="7" borderId="10" xfId="0" applyFont="1" applyFill="1" applyBorder="1" applyAlignment="1">
      <alignment horizontal="center" vertical="center"/>
    </xf>
    <xf numFmtId="0" fontId="198" fillId="0" borderId="18" xfId="0" applyFont="1" applyBorder="1" applyAlignment="1">
      <alignment horizontal="center" vertical="center"/>
    </xf>
    <xf numFmtId="0" fontId="198" fillId="0" borderId="12" xfId="0" applyFont="1" applyBorder="1" applyAlignment="1">
      <alignment horizontal="center" vertical="center"/>
    </xf>
    <xf numFmtId="0" fontId="198" fillId="0" borderId="20" xfId="0" applyFont="1" applyBorder="1" applyAlignment="1">
      <alignment horizontal="center" vertical="center"/>
    </xf>
    <xf numFmtId="0" fontId="197" fillId="7" borderId="37" xfId="0" applyFont="1" applyFill="1" applyBorder="1" applyAlignment="1">
      <alignment horizontal="center" vertical="center"/>
    </xf>
    <xf numFmtId="0" fontId="197" fillId="7" borderId="29" xfId="0" applyFont="1" applyFill="1" applyBorder="1" applyAlignment="1">
      <alignment horizontal="center" vertical="center"/>
    </xf>
    <xf numFmtId="0" fontId="197" fillId="0" borderId="37" xfId="0" applyFont="1" applyBorder="1" applyAlignment="1">
      <alignment horizontal="center" vertical="center"/>
    </xf>
    <xf numFmtId="0" fontId="197" fillId="0" borderId="29" xfId="0" applyFont="1" applyBorder="1" applyAlignment="1">
      <alignment horizontal="center" vertical="center"/>
    </xf>
    <xf numFmtId="0" fontId="197" fillId="0" borderId="10" xfId="0" applyFont="1" applyBorder="1" applyAlignment="1">
      <alignment horizontal="center" vertical="center"/>
    </xf>
    <xf numFmtId="0" fontId="197" fillId="5" borderId="37" xfId="0" applyFont="1" applyFill="1" applyBorder="1" applyAlignment="1">
      <alignment horizontal="center" vertical="center"/>
    </xf>
    <xf numFmtId="0" fontId="197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8" fillId="0" borderId="10" xfId="0" applyFont="1" applyBorder="1" applyAlignment="1">
      <alignment horizontal="center"/>
    </xf>
    <xf numFmtId="0" fontId="197" fillId="43" borderId="10" xfId="0" applyFont="1" applyFill="1" applyBorder="1" applyAlignment="1">
      <alignment horizontal="center"/>
    </xf>
    <xf numFmtId="0" fontId="197" fillId="4" borderId="10" xfId="0" applyFont="1" applyFill="1" applyBorder="1" applyAlignment="1">
      <alignment horizontal="center"/>
    </xf>
    <xf numFmtId="0" fontId="198" fillId="0" borderId="46" xfId="0" applyFont="1" applyBorder="1" applyAlignment="1">
      <alignment horizontal="center" vertical="center"/>
    </xf>
    <xf numFmtId="0" fontId="198" fillId="0" borderId="30" xfId="0" applyFont="1" applyBorder="1" applyAlignment="1">
      <alignment horizontal="center" vertical="center"/>
    </xf>
    <xf numFmtId="17" fontId="197" fillId="0" borderId="10" xfId="0" applyNumberFormat="1" applyFont="1" applyBorder="1" applyAlignment="1">
      <alignment horizontal="center" vertical="center"/>
    </xf>
    <xf numFmtId="0" fontId="197" fillId="0" borderId="137" xfId="0" applyFont="1" applyBorder="1" applyAlignment="1">
      <alignment horizontal="center" vertical="center"/>
    </xf>
    <xf numFmtId="0" fontId="197" fillId="0" borderId="138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7" xfId="0" applyNumberFormat="1" applyFont="1" applyFill="1" applyBorder="1" applyAlignment="1">
      <alignment horizontal="center" vertical="center"/>
    </xf>
    <xf numFmtId="1" fontId="45" fillId="8" borderId="133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7" borderId="177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4" xfId="376" applyNumberFormat="1" applyFont="1" applyFill="1" applyBorder="1" applyAlignment="1">
      <alignment horizontal="center" vertical="center"/>
    </xf>
    <xf numFmtId="2" fontId="141" fillId="7" borderId="134" xfId="376" applyNumberFormat="1" applyFont="1" applyFill="1" applyBorder="1" applyAlignment="1">
      <alignment horizontal="center" vertical="center"/>
    </xf>
    <xf numFmtId="2" fontId="141" fillId="7" borderId="168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Border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4" borderId="118" xfId="0" applyFont="1" applyFill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8" xfId="0" applyFont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8" fillId="0" borderId="155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5" xfId="0" applyFont="1" applyBorder="1" applyAlignment="1">
      <alignment horizontal="center" vertical="center" wrapText="1"/>
    </xf>
    <xf numFmtId="17" fontId="170" fillId="0" borderId="15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1" xfId="0" applyFont="1" applyFill="1" applyBorder="1" applyAlignment="1">
      <alignment horizontal="center" vertical="center"/>
    </xf>
    <xf numFmtId="0" fontId="36" fillId="0" borderId="46" xfId="0" applyFont="1" applyFill="1" applyBorder="1" applyAlignment="1">
      <alignment horizontal="center" vertical="center"/>
    </xf>
    <xf numFmtId="0" fontId="36" fillId="0" borderId="30" xfId="0" applyFont="1" applyFill="1" applyBorder="1" applyAlignment="1">
      <alignment horizontal="center" vertical="center"/>
    </xf>
    <xf numFmtId="0" fontId="23" fillId="0" borderId="131" xfId="0" applyFont="1" applyFill="1" applyBorder="1" applyAlignment="1">
      <alignment horizontal="left" vertical="center"/>
    </xf>
    <xf numFmtId="0" fontId="23" fillId="0" borderId="46" xfId="0" applyFont="1" applyFill="1" applyBorder="1" applyAlignment="1">
      <alignment horizontal="left" vertical="center"/>
    </xf>
    <xf numFmtId="0" fontId="23" fillId="0" borderId="30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P/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W65"/>
  <sheetViews>
    <sheetView tabSelected="1" topLeftCell="A19" zoomScale="110" zoomScaleNormal="110" workbookViewId="0">
      <pane xSplit="4" topLeftCell="E1" activePane="topRight" state="frozen"/>
      <selection pane="topRight" activeCell="B46" sqref="B46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10" width="10.7109375" customWidth="1"/>
    <col min="11" max="28" width="10.7109375" hidden="1" customWidth="1"/>
    <col min="29" max="32" width="10.7109375" style="2611" hidden="1" customWidth="1"/>
    <col min="33" max="36" width="10.7109375" style="2660" hidden="1" customWidth="1"/>
    <col min="37" max="42" width="10.7109375" style="2716" hidden="1" customWidth="1"/>
    <col min="43" max="46" width="10.7109375" style="2788" hidden="1" customWidth="1"/>
    <col min="47" max="50" width="10.7109375" style="2837" hidden="1" customWidth="1"/>
    <col min="51" max="58" width="10.7109375" style="3008" hidden="1" customWidth="1"/>
    <col min="59" max="59" width="11.28515625" style="3308" hidden="1" customWidth="1"/>
    <col min="60" max="60" width="11.28515625" style="3308" customWidth="1"/>
    <col min="61" max="61" width="11.28515625" hidden="1" customWidth="1"/>
    <col min="62" max="63" width="11.28515625" customWidth="1"/>
    <col min="64" max="69" width="11.28515625" hidden="1" customWidth="1"/>
    <col min="70" max="71" width="12.85546875" bestFit="1" customWidth="1"/>
    <col min="72" max="85" width="9.140625" customWidth="1"/>
  </cols>
  <sheetData>
    <row r="1" spans="1:75" ht="18.75" x14ac:dyDescent="0.3">
      <c r="B1" s="3347" t="s">
        <v>339</v>
      </c>
      <c r="C1" s="5664"/>
      <c r="D1" s="5666">
        <v>341.01686746987951</v>
      </c>
      <c r="E1" s="5666">
        <v>29</v>
      </c>
      <c r="F1" s="5666">
        <f>F2-'B-FCE'!F3</f>
        <v>26.666666666666668</v>
      </c>
      <c r="G1" s="5666">
        <v>30</v>
      </c>
      <c r="H1" s="5666">
        <f>H2-'B-FCE'!H3</f>
        <v>29.791666666666668</v>
      </c>
      <c r="I1" s="5666">
        <f>E1+G1</f>
        <v>59</v>
      </c>
      <c r="J1" s="5666">
        <f>F1+H1</f>
        <v>56.458333333333336</v>
      </c>
      <c r="K1" s="5666">
        <v>29</v>
      </c>
      <c r="L1" s="5665">
        <f>L2-'B-FCE'!L3</f>
        <v>25.083333333333332</v>
      </c>
      <c r="M1" s="5666">
        <f>+E1+G1+K1</f>
        <v>88</v>
      </c>
      <c r="N1" s="5666">
        <f>+F1+H1+L1</f>
        <v>81.541666666666671</v>
      </c>
      <c r="O1" s="5665">
        <v>30</v>
      </c>
      <c r="P1" s="5665">
        <f>P2-'B-FCE'!P3</f>
        <v>30.25</v>
      </c>
      <c r="Q1" s="5666">
        <f>+M1+O1</f>
        <v>118</v>
      </c>
      <c r="R1" s="5666">
        <f>+N1+P1</f>
        <v>111.79166666666667</v>
      </c>
      <c r="S1" s="5666">
        <v>30</v>
      </c>
      <c r="T1" s="5740">
        <f>T2-'B-FCE'!T3</f>
        <v>29.583333333333332</v>
      </c>
      <c r="U1" s="5666">
        <f>+Q1+S1</f>
        <v>148</v>
      </c>
      <c r="V1" s="5666">
        <f>+R1+T1</f>
        <v>141.375</v>
      </c>
      <c r="W1" s="5666">
        <v>17.016867469879518</v>
      </c>
      <c r="X1" s="5740">
        <f>X2-'B-FCE'!X3</f>
        <v>29.916666666666668</v>
      </c>
      <c r="Y1" s="5666">
        <f>+O1+S1+W1</f>
        <v>77.016867469879514</v>
      </c>
      <c r="Z1" s="5666">
        <f>+P1+T1+X1</f>
        <v>89.75</v>
      </c>
      <c r="AA1" s="5666">
        <f>+U1+W1</f>
        <v>165.01686746987951</v>
      </c>
      <c r="AB1" s="5666">
        <f>+V1+X1</f>
        <v>171.29166666666666</v>
      </c>
      <c r="AC1" s="5666">
        <v>30</v>
      </c>
      <c r="AD1" s="5666">
        <f>AD2-'B-FCE'!AD3</f>
        <v>29.965416666666666</v>
      </c>
      <c r="AE1" s="5666">
        <f>AA1+AC1</f>
        <v>195.01686746987951</v>
      </c>
      <c r="AF1" s="5666">
        <f>AB1+AD1</f>
        <v>201.25708333333333</v>
      </c>
      <c r="AG1" s="5666">
        <v>29</v>
      </c>
      <c r="AH1" s="5665">
        <v>1</v>
      </c>
      <c r="AI1" s="5666">
        <f>AE1+AG1</f>
        <v>224.01686746987951</v>
      </c>
      <c r="AJ1" s="5666">
        <f>AF1+AH1</f>
        <v>202.25708333333333</v>
      </c>
      <c r="AK1" s="2910">
        <v>30</v>
      </c>
      <c r="AL1" s="2910">
        <f>31-'B-FCE'!AL3</f>
        <v>30.75</v>
      </c>
      <c r="AM1" s="2910">
        <f>+AC1+AG1+AK1</f>
        <v>89</v>
      </c>
      <c r="AN1" s="2910">
        <f>+AD1+AH1+AL1</f>
        <v>61.71541666666667</v>
      </c>
      <c r="AO1" s="2910">
        <f>AI1+AK1</f>
        <v>254.01686746987951</v>
      </c>
      <c r="AP1" s="2910">
        <f>AJ1+AL1</f>
        <v>233.00708333333333</v>
      </c>
      <c r="AQ1" s="2910">
        <v>30</v>
      </c>
      <c r="AR1" s="6165">
        <f>31-'B-FCE'!AR3</f>
        <v>29.875</v>
      </c>
      <c r="AS1" s="2910">
        <f>AO1+AQ1</f>
        <v>284.01686746987951</v>
      </c>
      <c r="AT1" s="2910">
        <f>AP1+AR1</f>
        <v>262.8820833333333</v>
      </c>
      <c r="AU1" s="2910">
        <v>27</v>
      </c>
      <c r="AV1" s="2936">
        <f>28-'B-FCE'!AV3</f>
        <v>27.1875</v>
      </c>
      <c r="AW1" s="2910">
        <f>AS1+AU1</f>
        <v>311.01686746987951</v>
      </c>
      <c r="AX1" s="2910">
        <f>AT1+AV1</f>
        <v>290.0695833333333</v>
      </c>
      <c r="AY1" s="3009">
        <v>30</v>
      </c>
      <c r="AZ1" s="2936">
        <f>31-'B-FCE'!AZ3</f>
        <v>30.229166666666668</v>
      </c>
      <c r="BA1" s="3009">
        <f>+AQ1+AU1+AY1</f>
        <v>87</v>
      </c>
      <c r="BB1" s="3009">
        <f>+AR1+AV1+AZ1</f>
        <v>87.291666666666671</v>
      </c>
      <c r="BC1" s="3009">
        <f>+AM1+BA1</f>
        <v>176</v>
      </c>
      <c r="BD1" s="3009">
        <f>+AN1+BB1</f>
        <v>149.00708333333336</v>
      </c>
      <c r="BE1" s="3009">
        <f>AW1+AY1</f>
        <v>341.01686746987951</v>
      </c>
      <c r="BF1" s="3009">
        <f>AX1+AZ1</f>
        <v>320.29874999999998</v>
      </c>
      <c r="BG1" s="7145"/>
      <c r="BH1" s="7145"/>
      <c r="BI1" s="3309"/>
      <c r="BJ1" s="3309"/>
      <c r="BK1" s="1435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">
      <c r="B2" s="4"/>
      <c r="C2" s="5664"/>
      <c r="D2" s="5667">
        <v>365</v>
      </c>
      <c r="E2" s="5667">
        <v>30</v>
      </c>
      <c r="F2" s="5667">
        <v>30</v>
      </c>
      <c r="G2" s="5667">
        <v>31</v>
      </c>
      <c r="H2" s="5667">
        <v>31</v>
      </c>
      <c r="I2" s="5667">
        <f>+E2+G2</f>
        <v>61</v>
      </c>
      <c r="J2" s="5667">
        <f>+F2+H2</f>
        <v>61</v>
      </c>
      <c r="K2" s="5667">
        <v>30</v>
      </c>
      <c r="L2" s="5667">
        <v>30</v>
      </c>
      <c r="M2" s="5667">
        <f>+I2+K2</f>
        <v>91</v>
      </c>
      <c r="N2" s="5667">
        <f>+J2+L2</f>
        <v>91</v>
      </c>
      <c r="O2" s="5668">
        <v>31</v>
      </c>
      <c r="P2" s="5667">
        <v>31</v>
      </c>
      <c r="Q2" s="5667">
        <f>+M2+O2</f>
        <v>122</v>
      </c>
      <c r="R2" s="5667">
        <f>+N2+P2</f>
        <v>122</v>
      </c>
      <c r="S2" s="5667">
        <v>31</v>
      </c>
      <c r="T2" s="5667">
        <v>31</v>
      </c>
      <c r="U2" s="5667">
        <f>+Q2+S2</f>
        <v>153</v>
      </c>
      <c r="V2" s="5667">
        <f>+R2+T2</f>
        <v>153</v>
      </c>
      <c r="W2" s="5667">
        <v>30</v>
      </c>
      <c r="X2" s="5667">
        <v>30</v>
      </c>
      <c r="Y2" s="5667">
        <f>+O2+S2+W2</f>
        <v>92</v>
      </c>
      <c r="Z2" s="5667">
        <f>+P2+T2+X2</f>
        <v>92</v>
      </c>
      <c r="AA2" s="5667">
        <f>+U2+W2</f>
        <v>183</v>
      </c>
      <c r="AB2" s="5667">
        <f>+V2+X2</f>
        <v>183</v>
      </c>
      <c r="AC2" s="5667">
        <v>31</v>
      </c>
      <c r="AD2" s="5667">
        <v>31</v>
      </c>
      <c r="AE2" s="5667">
        <f>AA2+AC2</f>
        <v>214</v>
      </c>
      <c r="AF2" s="5667">
        <f>AB2+AD2</f>
        <v>214</v>
      </c>
      <c r="AG2" s="5667">
        <v>30</v>
      </c>
      <c r="AH2" s="5667">
        <v>30</v>
      </c>
      <c r="AI2" s="5667">
        <f>AE2+AG2</f>
        <v>244</v>
      </c>
      <c r="AJ2" s="5667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25">
      <c r="B3" s="7325" t="s">
        <v>171</v>
      </c>
      <c r="C3" s="7327" t="s">
        <v>172</v>
      </c>
      <c r="D3" s="7329" t="s">
        <v>2255</v>
      </c>
      <c r="E3" s="7294" t="s">
        <v>2254</v>
      </c>
      <c r="F3" s="7295"/>
      <c r="G3" s="7294" t="s">
        <v>2306</v>
      </c>
      <c r="H3" s="7295"/>
      <c r="I3" s="7296" t="s">
        <v>14</v>
      </c>
      <c r="J3" s="7297"/>
      <c r="K3" s="7323" t="s">
        <v>1903</v>
      </c>
      <c r="L3" s="7324"/>
      <c r="M3" s="7321" t="s">
        <v>637</v>
      </c>
      <c r="N3" s="7322"/>
      <c r="O3" s="7294" t="s">
        <v>1937</v>
      </c>
      <c r="P3" s="7295"/>
      <c r="Q3" s="7296" t="s">
        <v>17</v>
      </c>
      <c r="R3" s="7297"/>
      <c r="S3" s="7294" t="s">
        <v>1961</v>
      </c>
      <c r="T3" s="7295"/>
      <c r="U3" s="7296" t="s">
        <v>18</v>
      </c>
      <c r="V3" s="7297"/>
      <c r="W3" s="7317" t="s">
        <v>1983</v>
      </c>
      <c r="X3" s="7318"/>
      <c r="Y3" s="7305" t="s">
        <v>839</v>
      </c>
      <c r="Z3" s="7305"/>
      <c r="AA3" s="7300" t="s">
        <v>657</v>
      </c>
      <c r="AB3" s="7300"/>
      <c r="AC3" s="7294" t="s">
        <v>2002</v>
      </c>
      <c r="AD3" s="7295"/>
      <c r="AE3" s="7296" t="s">
        <v>24</v>
      </c>
      <c r="AF3" s="7297"/>
      <c r="AG3" s="7294" t="s">
        <v>2018</v>
      </c>
      <c r="AH3" s="7295"/>
      <c r="AI3" s="7296" t="s">
        <v>27</v>
      </c>
      <c r="AJ3" s="7297"/>
      <c r="AK3" s="7317" t="s">
        <v>2033</v>
      </c>
      <c r="AL3" s="7318"/>
      <c r="AM3" s="7305" t="s">
        <v>1682</v>
      </c>
      <c r="AN3" s="7305"/>
      <c r="AO3" s="7296" t="s">
        <v>1683</v>
      </c>
      <c r="AP3" s="7297"/>
      <c r="AQ3" s="7294" t="s">
        <v>2137</v>
      </c>
      <c r="AR3" s="7295"/>
      <c r="AS3" s="7296" t="s">
        <v>28</v>
      </c>
      <c r="AT3" s="7297"/>
      <c r="AU3" s="7294" t="s">
        <v>2151</v>
      </c>
      <c r="AV3" s="7295"/>
      <c r="AW3" s="7296" t="s">
        <v>30</v>
      </c>
      <c r="AX3" s="7297"/>
      <c r="AY3" s="7294" t="s">
        <v>2163</v>
      </c>
      <c r="AZ3" s="7295"/>
      <c r="BA3" s="7305" t="s">
        <v>1727</v>
      </c>
      <c r="BB3" s="7305"/>
      <c r="BC3" s="7300" t="s">
        <v>671</v>
      </c>
      <c r="BD3" s="7300"/>
      <c r="BE3" s="7296" t="s">
        <v>1765</v>
      </c>
      <c r="BF3" s="7297"/>
      <c r="BG3" s="7333" t="s">
        <v>1765</v>
      </c>
      <c r="BH3" s="7334"/>
      <c r="BI3" s="7333" t="s">
        <v>1408</v>
      </c>
      <c r="BJ3" s="7334"/>
      <c r="BK3" s="3304" t="s">
        <v>1257</v>
      </c>
      <c r="BL3" s="7331" t="s">
        <v>947</v>
      </c>
      <c r="BM3" s="7331"/>
      <c r="BN3" s="7331" t="s">
        <v>679</v>
      </c>
      <c r="BO3" s="7331"/>
      <c r="BP3" s="7331" t="s">
        <v>669</v>
      </c>
      <c r="BQ3" s="7332"/>
    </row>
    <row r="4" spans="1:75" ht="23.25" customHeight="1" thickBot="1" x14ac:dyDescent="0.3">
      <c r="B4" s="7326"/>
      <c r="C4" s="7328"/>
      <c r="D4" s="7330"/>
      <c r="E4" s="2057" t="s">
        <v>173</v>
      </c>
      <c r="F4" s="2058" t="s">
        <v>174</v>
      </c>
      <c r="G4" s="2057" t="s">
        <v>173</v>
      </c>
      <c r="H4" s="2058" t="s">
        <v>174</v>
      </c>
      <c r="I4" s="2063" t="s">
        <v>173</v>
      </c>
      <c r="J4" s="2023" t="s">
        <v>174</v>
      </c>
      <c r="K4" s="2065" t="s">
        <v>173</v>
      </c>
      <c r="L4" s="2066" t="s">
        <v>174</v>
      </c>
      <c r="M4" s="2067" t="s">
        <v>173</v>
      </c>
      <c r="N4" s="2068" t="s">
        <v>174</v>
      </c>
      <c r="O4" s="2065" t="s">
        <v>173</v>
      </c>
      <c r="P4" s="2058" t="s">
        <v>174</v>
      </c>
      <c r="Q4" s="2063" t="s">
        <v>173</v>
      </c>
      <c r="R4" s="2023" t="s">
        <v>174</v>
      </c>
      <c r="S4" s="2057" t="s">
        <v>173</v>
      </c>
      <c r="T4" s="2058" t="s">
        <v>174</v>
      </c>
      <c r="U4" s="2063" t="s">
        <v>173</v>
      </c>
      <c r="V4" s="2023" t="s">
        <v>174</v>
      </c>
      <c r="W4" s="1735" t="s">
        <v>173</v>
      </c>
      <c r="X4" s="2911" t="s">
        <v>174</v>
      </c>
      <c r="Y4" s="2913" t="s">
        <v>173</v>
      </c>
      <c r="Z4" s="2913" t="s">
        <v>174</v>
      </c>
      <c r="AA4" s="2914" t="s">
        <v>173</v>
      </c>
      <c r="AB4" s="2914" t="s">
        <v>174</v>
      </c>
      <c r="AC4" s="2057" t="s">
        <v>173</v>
      </c>
      <c r="AD4" s="2058" t="s">
        <v>174</v>
      </c>
      <c r="AE4" s="2063" t="s">
        <v>173</v>
      </c>
      <c r="AF4" s="2023" t="s">
        <v>174</v>
      </c>
      <c r="AG4" s="2057" t="s">
        <v>173</v>
      </c>
      <c r="AH4" s="2058" t="s">
        <v>174</v>
      </c>
      <c r="AI4" s="2063" t="s">
        <v>173</v>
      </c>
      <c r="AJ4" s="2023" t="s">
        <v>174</v>
      </c>
      <c r="AK4" s="1735" t="s">
        <v>173</v>
      </c>
      <c r="AL4" s="2911" t="s">
        <v>174</v>
      </c>
      <c r="AM4" s="2913" t="s">
        <v>173</v>
      </c>
      <c r="AN4" s="2913" t="s">
        <v>174</v>
      </c>
      <c r="AO4" s="2063" t="s">
        <v>173</v>
      </c>
      <c r="AP4" s="2023" t="s">
        <v>174</v>
      </c>
      <c r="AQ4" s="2057" t="s">
        <v>173</v>
      </c>
      <c r="AR4" s="2058" t="s">
        <v>174</v>
      </c>
      <c r="AS4" s="2063" t="s">
        <v>173</v>
      </c>
      <c r="AT4" s="2023" t="s">
        <v>174</v>
      </c>
      <c r="AU4" s="2057" t="s">
        <v>173</v>
      </c>
      <c r="AV4" s="2058" t="s">
        <v>174</v>
      </c>
      <c r="AW4" s="2063" t="s">
        <v>173</v>
      </c>
      <c r="AX4" s="2023" t="s">
        <v>174</v>
      </c>
      <c r="AY4" s="2057" t="s">
        <v>173</v>
      </c>
      <c r="AZ4" s="2058" t="s">
        <v>174</v>
      </c>
      <c r="BA4" s="3010" t="s">
        <v>173</v>
      </c>
      <c r="BB4" s="3010" t="s">
        <v>174</v>
      </c>
      <c r="BC4" s="3011" t="s">
        <v>173</v>
      </c>
      <c r="BD4" s="3011" t="s">
        <v>174</v>
      </c>
      <c r="BE4" s="2063" t="s">
        <v>173</v>
      </c>
      <c r="BF4" s="2023" t="s">
        <v>174</v>
      </c>
      <c r="BG4" s="1141" t="s">
        <v>173</v>
      </c>
      <c r="BH4" s="1141" t="s">
        <v>174</v>
      </c>
      <c r="BI4" s="1141" t="s">
        <v>173</v>
      </c>
      <c r="BJ4" s="1141" t="s">
        <v>174</v>
      </c>
      <c r="BK4" s="1141" t="s">
        <v>174</v>
      </c>
      <c r="BL4" s="1141" t="s">
        <v>173</v>
      </c>
      <c r="BM4" s="1141" t="s">
        <v>174</v>
      </c>
      <c r="BN4" s="1141" t="s">
        <v>173</v>
      </c>
      <c r="BO4" s="1141" t="s">
        <v>174</v>
      </c>
      <c r="BP4" s="1141" t="s">
        <v>173</v>
      </c>
      <c r="BQ4" s="2075" t="s">
        <v>174</v>
      </c>
      <c r="BS4" s="5172"/>
    </row>
    <row r="5" spans="1:75" ht="15" customHeight="1" x14ac:dyDescent="0.25">
      <c r="A5" s="149"/>
      <c r="B5" s="2044" t="s">
        <v>345</v>
      </c>
      <c r="C5" s="2024"/>
      <c r="D5" s="2917"/>
      <c r="E5" s="891"/>
      <c r="F5" s="2918"/>
      <c r="G5" s="891"/>
      <c r="H5" s="2918"/>
      <c r="I5" s="891"/>
      <c r="J5" s="2918"/>
      <c r="K5" s="891"/>
      <c r="L5" s="2918"/>
      <c r="M5" s="891"/>
      <c r="N5" s="2918"/>
      <c r="O5" s="891"/>
      <c r="P5" s="2918"/>
      <c r="Q5" s="891"/>
      <c r="R5" s="2918"/>
      <c r="S5" s="891"/>
      <c r="T5" s="2918"/>
      <c r="U5" s="891"/>
      <c r="V5" s="2918"/>
      <c r="W5" s="1686"/>
      <c r="X5" s="862"/>
      <c r="Y5" s="862"/>
      <c r="Z5" s="862"/>
      <c r="AA5" s="862"/>
      <c r="AB5" s="862"/>
      <c r="AC5" s="891"/>
      <c r="AD5" s="2918"/>
      <c r="AE5" s="891"/>
      <c r="AF5" s="2918"/>
      <c r="AG5" s="891"/>
      <c r="AH5" s="2918"/>
      <c r="AI5" s="891"/>
      <c r="AJ5" s="2918"/>
      <c r="AK5" s="1686"/>
      <c r="AL5" s="862"/>
      <c r="AM5" s="862"/>
      <c r="AN5" s="862"/>
      <c r="AO5" s="891"/>
      <c r="AP5" s="2918"/>
      <c r="AQ5" s="891"/>
      <c r="AR5" s="2918"/>
      <c r="AS5" s="891"/>
      <c r="AT5" s="2918"/>
      <c r="AU5" s="891"/>
      <c r="AV5" s="2918"/>
      <c r="AW5" s="891"/>
      <c r="AX5" s="2918"/>
      <c r="AY5" s="891"/>
      <c r="AZ5" s="2918"/>
      <c r="BA5" s="862"/>
      <c r="BB5" s="862"/>
      <c r="BC5" s="862"/>
      <c r="BD5" s="862"/>
      <c r="BE5" s="891"/>
      <c r="BF5" s="2918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36"/>
    </row>
    <row r="6" spans="1:75" ht="15" customHeight="1" x14ac:dyDescent="0.25">
      <c r="B6" s="2045" t="s">
        <v>349</v>
      </c>
      <c r="C6" s="2016" t="s">
        <v>353</v>
      </c>
      <c r="D6" s="3302">
        <v>94.512328767123293</v>
      </c>
      <c r="E6" s="3303">
        <v>98</v>
      </c>
      <c r="F6" s="101">
        <f>+F9/F2</f>
        <v>97.2</v>
      </c>
      <c r="G6" s="7141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775">
        <v>97.456666666666663</v>
      </c>
      <c r="L6" s="101">
        <f>+L9/L2</f>
        <v>97.4</v>
      </c>
      <c r="M6" s="77">
        <f>+((E6*$E$2)+(G6*$G$2)+(K6*$K$2))/$M$2</f>
        <v>97.820879120879127</v>
      </c>
      <c r="N6" s="114">
        <f>+((F6*$F$2)+(H6*$H$2)+(L6*$L$2))/$N$2</f>
        <v>97.406593406593402</v>
      </c>
      <c r="O6" s="775">
        <v>96</v>
      </c>
      <c r="P6" s="101">
        <f>+P9/P2</f>
        <v>97.58064516129032</v>
      </c>
      <c r="Q6" s="53">
        <f>+((M6*M$2)+(O6*O$2))/Q$2</f>
        <v>97.358196721311486</v>
      </c>
      <c r="R6" s="107">
        <f>+((N6*N$2)+(P6*P$2))/R$2</f>
        <v>97.450819672131146</v>
      </c>
      <c r="S6" s="775">
        <v>96</v>
      </c>
      <c r="T6" s="101">
        <f>+T9/T2</f>
        <v>98</v>
      </c>
      <c r="U6" s="53">
        <f>+((Q6*Q$2)+(S6*S$2))/U$2</f>
        <v>97.083006535947717</v>
      </c>
      <c r="V6" s="107">
        <f>+((R6*R$2)+(T6*T$2))/V$2</f>
        <v>97.562091503267979</v>
      </c>
      <c r="W6" s="775">
        <v>96</v>
      </c>
      <c r="X6" s="101">
        <f>+X9/X2</f>
        <v>98</v>
      </c>
      <c r="Y6" s="353">
        <f>+((O$6*O$2)+(S$6*S$2)+(W$6*W$2))/Y$2</f>
        <v>96</v>
      </c>
      <c r="Z6" s="353">
        <f>+((P$6*P$2)+(T$6*T$2)+(X$6*X$2))/Z$2</f>
        <v>97.858695652173907</v>
      </c>
      <c r="AA6" s="466">
        <f>+((M6*M$2)+(Y6*Y$2))/AA$2</f>
        <v>96.905464480874315</v>
      </c>
      <c r="AB6" s="466">
        <f>+((N6*N$2)+(Z6*Z$2))/AB$2</f>
        <v>97.63387978142076</v>
      </c>
      <c r="AC6" s="775">
        <v>96</v>
      </c>
      <c r="AD6" s="101">
        <f>+AD9/AD2</f>
        <v>98</v>
      </c>
      <c r="AE6" s="53">
        <f>+((AA6*$AA$2)+(AC6*$AC$2))/$AE$2</f>
        <v>96.774299065420564</v>
      </c>
      <c r="AF6" s="107">
        <f>+((AB6*$AB$2)+(AD6*$AD$2))/$AF$2</f>
        <v>97.686915887850461</v>
      </c>
      <c r="AG6" s="775">
        <v>96</v>
      </c>
      <c r="AH6" s="101">
        <f>+AH9/AH2</f>
        <v>94.3</v>
      </c>
      <c r="AI6" s="53">
        <f>+((AE6*$AE$2)+(AG6*$AG$2))/$AI$2</f>
        <v>96.679098360655743</v>
      </c>
      <c r="AJ6" s="53">
        <f>+((AF6*$AF$2)+(AH6*$AH$2))/$AJ$2</f>
        <v>97.270491803278688</v>
      </c>
      <c r="AK6" s="775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96.602545454545464</v>
      </c>
      <c r="AP6" s="53">
        <f>+((AL6*$AL$2)+(AJ6*$AJ$2))/$AP$2</f>
        <v>97.352727272727279</v>
      </c>
      <c r="AQ6" s="775">
        <v>96</v>
      </c>
      <c r="AR6" s="101">
        <f>+AR9/AR2</f>
        <v>98</v>
      </c>
      <c r="AS6" s="53">
        <f>+((AO6*$AO$2)+(AQ6*$AQ$2))/$AS$2</f>
        <v>96.541503267973852</v>
      </c>
      <c r="AT6" s="53">
        <f>+((AP6*$AP$2)+(AR6*$AR$2))/$AT$2</f>
        <v>97.41830065359477</v>
      </c>
      <c r="AU6" s="775">
        <v>96</v>
      </c>
      <c r="AV6" s="101">
        <f>+AV9/AV2</f>
        <v>97.678571428571431</v>
      </c>
      <c r="AW6" s="53">
        <f>+((AS6*$AS$2)+(AU6*$AU$2))/$AW$2</f>
        <v>96.496107784431132</v>
      </c>
      <c r="AX6" s="53">
        <f>+((AT6*$AT$2)+(AV6*$AV$2))/$AX$2</f>
        <v>97.440119760479035</v>
      </c>
      <c r="AY6" s="775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3007">
        <f>+((AM6*AM$2)+(BA6*BA$2))/BC$2</f>
        <v>96</v>
      </c>
      <c r="BD6" s="3007">
        <f>+((AN6*AN$2)+(BB6*BB$2))/BD$2</f>
        <v>97.340659340659343</v>
      </c>
      <c r="BE6" s="53">
        <f>+((AW6*$AW$2)+(AY6*$AY$2))/$BE$2</f>
        <v>96.453972602739725</v>
      </c>
      <c r="BF6" s="53">
        <f>+((AZ6*$AZ$2)+(AX6*$AX$2))/$BF$2</f>
        <v>97.487671232876707</v>
      </c>
      <c r="BG6" s="1212">
        <v>96.420547945205485</v>
      </c>
      <c r="BH6" s="1212">
        <v>97.709589041095896</v>
      </c>
      <c r="BI6" s="1212">
        <v>99</v>
      </c>
      <c r="BJ6" s="1212">
        <v>98.976067110347017</v>
      </c>
      <c r="BK6" s="1212">
        <v>98.783561643835611</v>
      </c>
      <c r="BL6" s="1212">
        <v>99</v>
      </c>
      <c r="BM6" s="1212">
        <v>97.824657534246569</v>
      </c>
      <c r="BN6" s="1212">
        <v>95.547945205479451</v>
      </c>
      <c r="BO6" s="1212">
        <v>95.342465753424662</v>
      </c>
      <c r="BP6" s="1212">
        <v>97</v>
      </c>
      <c r="BQ6" s="1200">
        <v>97.109590163934413</v>
      </c>
      <c r="BR6" s="26"/>
      <c r="BS6" s="1222"/>
      <c r="BT6" s="1549"/>
      <c r="BU6" s="1549"/>
    </row>
    <row r="7" spans="1:75" ht="15" customHeight="1" x14ac:dyDescent="0.25">
      <c r="B7" s="2045" t="s">
        <v>350</v>
      </c>
      <c r="C7" s="2016" t="s">
        <v>353</v>
      </c>
      <c r="D7" s="3302">
        <v>97.630136986301366</v>
      </c>
      <c r="E7" s="3303">
        <v>98</v>
      </c>
      <c r="F7" s="101">
        <f>+F10/F2</f>
        <v>97.1</v>
      </c>
      <c r="G7" s="7141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4555">
        <v>96.006666666666661</v>
      </c>
      <c r="L7" s="101">
        <f>+L10/L2</f>
        <v>96.7</v>
      </c>
      <c r="M7" s="77">
        <f>+((E7*$E$2)+(G7*$G$2)+(K7*$K$2))/$M$2</f>
        <v>97.342857142857156</v>
      </c>
      <c r="N7" s="114">
        <f>+((F7*$F$2)+(H7*$H$2)+(L7*$L$2))/$N$2</f>
        <v>97.098901098901095</v>
      </c>
      <c r="O7" s="775">
        <v>94.064516129032256</v>
      </c>
      <c r="P7" s="101">
        <f>+P10/P2</f>
        <v>98.806451612903231</v>
      </c>
      <c r="Q7" s="53">
        <f>+((M7*M$2)+(O7*O$2))/Q$2</f>
        <v>96.509836065573779</v>
      </c>
      <c r="R7" s="107">
        <f>+((N7*N$2)+(P7*P$2))/R$2</f>
        <v>97.532786885245898</v>
      </c>
      <c r="S7" s="775">
        <v>99</v>
      </c>
      <c r="T7" s="101">
        <f>+T10/T2</f>
        <v>98.645161290322577</v>
      </c>
      <c r="U7" s="53">
        <f>+((Q7*Q$2)+(S7*S$2))/U$2</f>
        <v>97.014379084967331</v>
      </c>
      <c r="V7" s="107">
        <f>+((R7*R$2)+(T7*T$2))/V$2</f>
        <v>97.75816993464052</v>
      </c>
      <c r="W7" s="775">
        <v>99</v>
      </c>
      <c r="X7" s="101">
        <f>+X10/X2</f>
        <v>98.3</v>
      </c>
      <c r="Y7" s="353">
        <f>((O7*O2)+(S7*S2)+(W7*W2))/Y2</f>
        <v>97.336956521739125</v>
      </c>
      <c r="Z7" s="353">
        <f>+((P$7*P$2)+(T$7*T$2)+(X$7*X$2))/Z$2</f>
        <v>98.586956521739125</v>
      </c>
      <c r="AA7" s="466">
        <f>+((M7*M$2)+(Y7*Y$2))/AA$2</f>
        <v>97.33989071038252</v>
      </c>
      <c r="AB7" s="466">
        <f>+((N7*N$2)+(Z7*Z$2))/AB$2</f>
        <v>97.84699453551913</v>
      </c>
      <c r="AC7" s="775">
        <v>99</v>
      </c>
      <c r="AD7" s="101">
        <f>+AD10/AD2</f>
        <v>97.838709677419359</v>
      </c>
      <c r="AE7" s="53">
        <f>+((AA7*$AA$2)+(AC7*$AC$2))/$AE$2</f>
        <v>97.580373831775702</v>
      </c>
      <c r="AF7" s="107">
        <f>+((AB7*$AB$2)+(AD7*$AD$2))/$AF$2</f>
        <v>97.845794392523359</v>
      </c>
      <c r="AG7" s="775">
        <v>99</v>
      </c>
      <c r="AH7" s="101">
        <f>+AH10/AH2</f>
        <v>94</v>
      </c>
      <c r="AI7" s="53">
        <f>+((AE7*$AE$2)+(AG7*$AG$2))/$AI$2</f>
        <v>97.75491803278689</v>
      </c>
      <c r="AJ7" s="53">
        <f>+((AF7*$AF$2)+(AH7*$AH$2))/$AJ$2</f>
        <v>97.372950819672127</v>
      </c>
      <c r="AK7" s="775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97.895272727272726</v>
      </c>
      <c r="AP7" s="53">
        <f>+((AL7*$AL$2)+(AJ7*$AJ$2))/$AP$2</f>
        <v>97.49818181818182</v>
      </c>
      <c r="AQ7" s="775">
        <v>99</v>
      </c>
      <c r="AR7" s="101">
        <f>+AR10/AR2</f>
        <v>98.483870967741936</v>
      </c>
      <c r="AS7" s="53">
        <f>+((AO7*$AO$2)+(AQ7*$AQ$2))/$AS$2</f>
        <v>98.007189542483658</v>
      </c>
      <c r="AT7" s="53">
        <f>+((AP7*$AP$2)+(AR7*$AR$2))/$AT$2</f>
        <v>97.598039215686271</v>
      </c>
      <c r="AU7" s="775">
        <v>99</v>
      </c>
      <c r="AV7" s="101">
        <f>+AV10/AV2</f>
        <v>98.392857142857139</v>
      </c>
      <c r="AW7" s="53">
        <f>+((AS7*$AS$2)+(AU7*$AU$2))/$AW$2</f>
        <v>98.09041916167665</v>
      </c>
      <c r="AX7" s="53">
        <f>+((AT7*$AT$2)+(AV7*$AV$2))/$AX$2</f>
        <v>97.664670658682638</v>
      </c>
      <c r="AY7" s="775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3007">
        <f>+((AM7*AM$2)+(BA7*BA$2))/BC$2</f>
        <v>99</v>
      </c>
      <c r="BD7" s="3007">
        <f>+((AN7*AN$2)+(BB7*BB$2))/BD$2</f>
        <v>97.64835164835165</v>
      </c>
      <c r="BE7" s="53">
        <f>+((AW7*$AW$2)+(AY7*$AY$2))/$BE$2</f>
        <v>98.1676712328767</v>
      </c>
      <c r="BF7" s="53">
        <f>+((AZ7*$AZ$2)+(AX7*$AX$2))/$BF$2</f>
        <v>97.747945205479454</v>
      </c>
      <c r="BG7" s="1212">
        <v>98.1676712328767</v>
      </c>
      <c r="BH7" s="1212">
        <v>97.991780821917814</v>
      </c>
      <c r="BI7" s="1212">
        <v>98.000061398661487</v>
      </c>
      <c r="BJ7" s="1212">
        <v>96.670250945044899</v>
      </c>
      <c r="BK7" s="1212">
        <v>92.210958904109589</v>
      </c>
      <c r="BL7" s="1212">
        <v>99</v>
      </c>
      <c r="BM7" s="1212">
        <v>96.816438356164383</v>
      </c>
      <c r="BN7" s="1212">
        <v>94.2</v>
      </c>
      <c r="BO7" s="1212">
        <v>90.778082191780825</v>
      </c>
      <c r="BP7" s="1212">
        <v>97</v>
      </c>
      <c r="BQ7" s="1200">
        <v>95.71024590163934</v>
      </c>
      <c r="BR7" s="26"/>
      <c r="BS7" s="4713"/>
      <c r="BT7" s="1549"/>
      <c r="BU7" s="1549"/>
    </row>
    <row r="8" spans="1:75" ht="15" customHeight="1" x14ac:dyDescent="0.25">
      <c r="B8" s="2046" t="s">
        <v>79</v>
      </c>
      <c r="C8" s="2017" t="s">
        <v>353</v>
      </c>
      <c r="D8" s="3311">
        <f t="shared" ref="D8:K8" si="0">+D6+(D7*(31.55/17.2))</f>
        <v>273.59551608792611</v>
      </c>
      <c r="E8" s="2919">
        <f t="shared" si="0"/>
        <v>277.76162790697674</v>
      </c>
      <c r="F8" s="2920">
        <f t="shared" si="0"/>
        <v>275.31075581395351</v>
      </c>
      <c r="G8" s="2919">
        <f t="shared" ref="G8" si="1">+G6+(G7*(31.55/17.2))</f>
        <v>277.76162790697674</v>
      </c>
      <c r="H8" s="2920">
        <f t="shared" ref="H8" si="2">+H6+(H7*(31.55/17.2))</f>
        <v>276.42779444861219</v>
      </c>
      <c r="I8" s="2921">
        <f t="shared" si="0"/>
        <v>277.76162790697674</v>
      </c>
      <c r="J8" s="2922">
        <f t="shared" si="0"/>
        <v>275.87843118566531</v>
      </c>
      <c r="K8" s="2919">
        <f t="shared" si="0"/>
        <v>273.56191860465117</v>
      </c>
      <c r="L8" s="2920">
        <f t="shared" ref="L8" si="3">+L6+(L7*(31.55/17.2))</f>
        <v>274.77703488372094</v>
      </c>
      <c r="M8" s="2106">
        <f t="shared" ref="M8" si="4">+M6+(M7*(31.55/17.2))</f>
        <v>276.37710835675955</v>
      </c>
      <c r="N8" s="2107">
        <f t="shared" ref="N8" si="5">+N6+(N7*(31.55/17.2))</f>
        <v>275.51533350370562</v>
      </c>
      <c r="O8" s="2919">
        <f>+O6+(O7*(31.55/17.2))</f>
        <v>268.54276069017254</v>
      </c>
      <c r="P8" s="2920">
        <f t="shared" ref="P8" si="6">+P6+(P7*(31.55/17.2))</f>
        <v>278.82154913728436</v>
      </c>
      <c r="Q8" s="2114">
        <f t="shared" ref="Q8" si="7">+Q6+(Q7*(31.55/17.2))</f>
        <v>274.38641345787272</v>
      </c>
      <c r="R8" s="2115">
        <f t="shared" ref="R8" si="8">+R6+(R7*(31.55/17.2))</f>
        <v>276.35543747617231</v>
      </c>
      <c r="S8" s="2919">
        <f>+S6+(S7*(31.55/17.2))</f>
        <v>277.59593023255815</v>
      </c>
      <c r="T8" s="2920">
        <f t="shared" ref="T8:V8" si="9">+T6+(T7*(31.55/17.2))</f>
        <v>278.94504876219059</v>
      </c>
      <c r="U8" s="2114">
        <f t="shared" si="9"/>
        <v>275.0367077063384</v>
      </c>
      <c r="V8" s="4043">
        <f t="shared" si="9"/>
        <v>276.88012995896037</v>
      </c>
      <c r="W8" s="2919">
        <f>+W6+(W7*(31.55/17.2))</f>
        <v>277.59593023255815</v>
      </c>
      <c r="X8" s="2920">
        <f t="shared" ref="X8" si="10">+X6+(X7*(31.55/17.2))</f>
        <v>278.31191860465117</v>
      </c>
      <c r="Y8" s="5020">
        <f>Y6+(Y7*31.55/17.2)</f>
        <v>274.54540571284122</v>
      </c>
      <c r="Z8" s="5020">
        <f>Z6+(Z7*31.55/17.2)</f>
        <v>278.69697927199195</v>
      </c>
      <c r="AA8" s="544">
        <f>AA6+(AA7*31.55/17.2)</f>
        <v>275.45625238276784</v>
      </c>
      <c r="AB8" s="544">
        <f>AB6+(AB7*31.55/17.2)</f>
        <v>277.1148494090736</v>
      </c>
      <c r="AC8" s="2919">
        <f>+AC6+(AC7*(31.55/17.2))</f>
        <v>277.59593023255815</v>
      </c>
      <c r="AD8" s="2920">
        <f t="shared" ref="AD8" si="11">+AD6+(AD7*(31.55/17.2))</f>
        <v>277.46577269317334</v>
      </c>
      <c r="AE8" s="2921">
        <f t="shared" ref="AE8:AF8" si="12">+AE6+(AE7*(31.55/17.2))</f>
        <v>275.76620571614865</v>
      </c>
      <c r="AF8" s="2922">
        <f t="shared" si="12"/>
        <v>277.16568409041508</v>
      </c>
      <c r="AG8" s="2919">
        <f>+AG6+(AG7*(31.55/17.2))</f>
        <v>277.59593023255815</v>
      </c>
      <c r="AH8" s="2920">
        <f t="shared" ref="AH8" si="13">+AH6+(AH7*(31.55/17.2))</f>
        <v>266.72441860465119</v>
      </c>
      <c r="AI8" s="2921">
        <f t="shared" ref="AI8:AJ8" si="14">+AI6+(AI7*(31.55/17.2))</f>
        <v>275.99117184521543</v>
      </c>
      <c r="AJ8" s="2922">
        <f t="shared" si="14"/>
        <v>275.88192194052613</v>
      </c>
      <c r="AK8" s="2919">
        <f>+AK6+(AK7*(31.55/17.2))</f>
        <v>277.59593023255815</v>
      </c>
      <c r="AL8" s="2920">
        <f t="shared" ref="AL8" si="15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921">
        <f t="shared" ref="AO8:AT8" si="16">+AO6+(AO7*(31.55/17.2))</f>
        <v>276.17207188160683</v>
      </c>
      <c r="AP8" s="2922">
        <f t="shared" si="16"/>
        <v>276.1938689217759</v>
      </c>
      <c r="AQ8" s="2919">
        <f>+AQ6+(AQ7*(31.55/17.2))</f>
        <v>277.59593023255815</v>
      </c>
      <c r="AR8" s="2920">
        <f t="shared" ref="AR8" si="17">+AR6+(AR7*(31.55/17.2))</f>
        <v>278.64919354838707</v>
      </c>
      <c r="AS8" s="2921">
        <f t="shared" si="16"/>
        <v>276.31631896944828</v>
      </c>
      <c r="AT8" s="2922">
        <f t="shared" si="16"/>
        <v>276.44261095911236</v>
      </c>
      <c r="AU8" s="2919">
        <f>+AU6+(AU7*(31.55/17.2))</f>
        <v>277.59593023255815</v>
      </c>
      <c r="AV8" s="2920">
        <f t="shared" ref="AV8" si="18">+AV6+(AV7*(31.55/17.2))</f>
        <v>278.16081810631232</v>
      </c>
      <c r="AW8" s="2921">
        <f t="shared" ref="AW8:AX8" si="19">+AW6+(AW7*(31.55/17.2))</f>
        <v>276.42359176994853</v>
      </c>
      <c r="AX8" s="2922">
        <f t="shared" si="19"/>
        <v>276.58665227684168</v>
      </c>
      <c r="AY8" s="2919">
        <f>+AY6+(AY7*(31.55/17.2))</f>
        <v>277.59593023255815</v>
      </c>
      <c r="AZ8" s="2920">
        <f t="shared" ref="AZ8" si="20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6603">
        <f t="shared" ref="BE8:BF8" si="21">+BE6+(BE7*(31.55/17.2))</f>
        <v>276.5231602421153</v>
      </c>
      <c r="BF8" s="6610">
        <f t="shared" si="21"/>
        <v>276.7869544440905</v>
      </c>
      <c r="BG8" s="1494">
        <v>276.48973558458107</v>
      </c>
      <c r="BH8" s="1494">
        <v>277.45614049060214</v>
      </c>
      <c r="BI8" s="1494">
        <v>278.76174053068428</v>
      </c>
      <c r="BJ8" s="1494">
        <v>276.29853323338</v>
      </c>
      <c r="BK8" s="1494">
        <v>267.92633800573469</v>
      </c>
      <c r="BL8" s="1142">
        <v>280.5959302325586</v>
      </c>
      <c r="BM8" s="1494">
        <v>275.41527556546714</v>
      </c>
      <c r="BN8" s="1142">
        <v>268.33922427524732</v>
      </c>
      <c r="BO8" s="1494">
        <v>261.85691302962772</v>
      </c>
      <c r="BP8" s="1142">
        <v>274.92732558139579</v>
      </c>
      <c r="BQ8" s="2076">
        <v>272.67111680327912</v>
      </c>
      <c r="BR8" s="26"/>
      <c r="BS8" s="4713"/>
      <c r="BT8" s="1549"/>
      <c r="BU8" s="1549"/>
    </row>
    <row r="9" spans="1:75" ht="15" customHeight="1" x14ac:dyDescent="0.25">
      <c r="B9" s="2045" t="s">
        <v>349</v>
      </c>
      <c r="C9" s="2016" t="s">
        <v>680</v>
      </c>
      <c r="D9" s="2021">
        <f>+D6*D2</f>
        <v>34497</v>
      </c>
      <c r="E9" s="2904">
        <f>+E6*E2</f>
        <v>2940</v>
      </c>
      <c r="F9" s="181">
        <v>2916</v>
      </c>
      <c r="G9" s="7141">
        <f>+G6*G2</f>
        <v>3038</v>
      </c>
      <c r="H9" s="181">
        <v>3026</v>
      </c>
      <c r="I9" s="2903">
        <f>+I6*I2</f>
        <v>5978</v>
      </c>
      <c r="J9" s="39">
        <f>+F9+H9</f>
        <v>5942</v>
      </c>
      <c r="K9" s="4555">
        <f>+K6*K2</f>
        <v>2923.7</v>
      </c>
      <c r="L9" s="181">
        <v>2922</v>
      </c>
      <c r="M9" s="2906">
        <f>+E9+G9+K9</f>
        <v>8901.7000000000007</v>
      </c>
      <c r="N9" s="69">
        <f>+F9+H9+L9</f>
        <v>8864</v>
      </c>
      <c r="O9" s="4761">
        <f>+O6*O2</f>
        <v>2976</v>
      </c>
      <c r="P9" s="181">
        <v>3025</v>
      </c>
      <c r="Q9" s="4760">
        <f>+M9+O9</f>
        <v>11877.7</v>
      </c>
      <c r="R9" s="39">
        <f>+N9+P9</f>
        <v>11889</v>
      </c>
      <c r="S9" s="4865">
        <f>+S6*S2</f>
        <v>2976</v>
      </c>
      <c r="T9" s="181">
        <v>3038</v>
      </c>
      <c r="U9" s="4864">
        <f>+Q9+S9</f>
        <v>14853.7</v>
      </c>
      <c r="V9" s="39">
        <f>+R9+T9</f>
        <v>14927</v>
      </c>
      <c r="W9" s="5017">
        <f>+W6*W2</f>
        <v>2880</v>
      </c>
      <c r="X9" s="181">
        <v>2940</v>
      </c>
      <c r="Y9" s="5018">
        <f>+O9+S9+W9</f>
        <v>8832</v>
      </c>
      <c r="Z9" s="5018">
        <f>+P9+T9+X9</f>
        <v>9003</v>
      </c>
      <c r="AA9" s="2907">
        <f>M9+Y9</f>
        <v>17733.7</v>
      </c>
      <c r="AB9" s="2907">
        <f>+N9+Z9</f>
        <v>17867</v>
      </c>
      <c r="AC9" s="5329">
        <f>+AC6*AC2</f>
        <v>2976</v>
      </c>
      <c r="AD9" s="181">
        <v>3038</v>
      </c>
      <c r="AE9" s="2903">
        <f>+AE6*AE2</f>
        <v>20709.7</v>
      </c>
      <c r="AF9" s="39">
        <f>+AB9+AD9</f>
        <v>20905</v>
      </c>
      <c r="AG9" s="5496">
        <f>+AG6*AG2</f>
        <v>2880</v>
      </c>
      <c r="AH9" s="181">
        <v>2829</v>
      </c>
      <c r="AI9" s="2903">
        <f>+AI6*AI2</f>
        <v>23589.7</v>
      </c>
      <c r="AJ9" s="39">
        <f>+AF9+AH9</f>
        <v>23734</v>
      </c>
      <c r="AK9" s="5898">
        <f>+AK6*AK2</f>
        <v>2976</v>
      </c>
      <c r="AL9" s="181">
        <v>3038</v>
      </c>
      <c r="AM9" s="2905">
        <f>+AC9+AG9+AK9</f>
        <v>8832</v>
      </c>
      <c r="AN9" s="2905">
        <f>+AD9+AH9+AL9</f>
        <v>8905</v>
      </c>
      <c r="AO9" s="2903">
        <f>AI9+AK9</f>
        <v>26565.7</v>
      </c>
      <c r="AP9" s="2903">
        <f>AJ9+AL9</f>
        <v>26772</v>
      </c>
      <c r="AQ9" s="6059">
        <f>+AQ6*AQ2</f>
        <v>2976</v>
      </c>
      <c r="AR9" s="181">
        <v>3038</v>
      </c>
      <c r="AS9" s="2903">
        <f>+AS6*AS2</f>
        <v>29541.699999999997</v>
      </c>
      <c r="AT9" s="39">
        <f>+AP9+AR9</f>
        <v>29810</v>
      </c>
      <c r="AU9" s="6166">
        <f>+AU6*AU2</f>
        <v>2688</v>
      </c>
      <c r="AV9" s="181">
        <v>2735</v>
      </c>
      <c r="AW9" s="2903">
        <f>+AW6*AW2</f>
        <v>32229.699999999997</v>
      </c>
      <c r="AX9" s="39">
        <f>+AT9+AV9</f>
        <v>32545</v>
      </c>
      <c r="AY9" s="6381">
        <f>+AY6*AY2</f>
        <v>2976</v>
      </c>
      <c r="AZ9" s="181">
        <v>3038</v>
      </c>
      <c r="BA9" s="3006">
        <f>+AQ9+AU9+AY9</f>
        <v>8640</v>
      </c>
      <c r="BB9" s="3006">
        <f>+AR9+AV9+AZ9</f>
        <v>8811</v>
      </c>
      <c r="BC9" s="3007">
        <f>AM9+BA9</f>
        <v>17472</v>
      </c>
      <c r="BD9" s="3007">
        <f t="shared" ref="BD9:BD10" si="22">AN9+BB9</f>
        <v>17716</v>
      </c>
      <c r="BE9" s="3005">
        <f>AW9+AY9</f>
        <v>35205.699999999997</v>
      </c>
      <c r="BF9" s="3005">
        <f>AX9+AZ9</f>
        <v>35583</v>
      </c>
      <c r="BG9" s="1495">
        <v>35193.5</v>
      </c>
      <c r="BH9" s="1495">
        <v>35664</v>
      </c>
      <c r="BI9" s="1495">
        <v>36234</v>
      </c>
      <c r="BJ9" s="1495">
        <v>36225</v>
      </c>
      <c r="BK9" s="1495">
        <v>36056</v>
      </c>
      <c r="BL9" s="1969">
        <v>36135</v>
      </c>
      <c r="BM9" s="1495">
        <v>35706</v>
      </c>
      <c r="BN9" s="1969">
        <v>34875</v>
      </c>
      <c r="BO9" s="1495">
        <v>34800</v>
      </c>
      <c r="BP9" s="1969">
        <v>35502</v>
      </c>
      <c r="BQ9" s="2077">
        <v>35543</v>
      </c>
      <c r="BR9" s="3252"/>
      <c r="BS9" s="3252"/>
      <c r="BT9" s="1549"/>
      <c r="BU9" s="4713"/>
      <c r="BV9" s="1549"/>
      <c r="BW9" s="1549"/>
    </row>
    <row r="10" spans="1:75" ht="15" customHeight="1" x14ac:dyDescent="0.25">
      <c r="B10" s="2045" t="s">
        <v>350</v>
      </c>
      <c r="C10" s="2016" t="s">
        <v>680</v>
      </c>
      <c r="D10" s="2021">
        <f>+D7*D2</f>
        <v>35635</v>
      </c>
      <c r="E10" s="1339">
        <f>+E7*E2</f>
        <v>2940</v>
      </c>
      <c r="F10" s="181">
        <v>2913</v>
      </c>
      <c r="G10" s="1339">
        <f>+G7*G2</f>
        <v>3038</v>
      </c>
      <c r="H10" s="181">
        <v>3022</v>
      </c>
      <c r="I10" s="2903">
        <f>+I7*I2</f>
        <v>5978</v>
      </c>
      <c r="J10" s="39">
        <f>+F10+H10</f>
        <v>5935</v>
      </c>
      <c r="K10" s="4555">
        <f>+K7*K2</f>
        <v>2880.2</v>
      </c>
      <c r="L10" s="181">
        <v>2901</v>
      </c>
      <c r="M10" s="2906">
        <f>+E10+G10+K10</f>
        <v>8858.2000000000007</v>
      </c>
      <c r="N10" s="69">
        <f>+F10+H10+L10</f>
        <v>8836</v>
      </c>
      <c r="O10" s="4761">
        <f>+O7*O2</f>
        <v>2916</v>
      </c>
      <c r="P10" s="181">
        <v>3063</v>
      </c>
      <c r="Q10" s="4760">
        <f>+M10+O10</f>
        <v>11774.2</v>
      </c>
      <c r="R10" s="39">
        <f>+N10+P10</f>
        <v>11899</v>
      </c>
      <c r="S10" s="4865">
        <f>+S7*S2</f>
        <v>3069</v>
      </c>
      <c r="T10" s="181">
        <v>3058</v>
      </c>
      <c r="U10" s="4864">
        <f>+Q10+S10</f>
        <v>14843.2</v>
      </c>
      <c r="V10" s="39">
        <f>+R10+T10</f>
        <v>14957</v>
      </c>
      <c r="W10" s="5017">
        <f>+W7*W2</f>
        <v>2970</v>
      </c>
      <c r="X10" s="181">
        <v>2949</v>
      </c>
      <c r="Y10" s="5018">
        <f>+O10+S10+W10</f>
        <v>8955</v>
      </c>
      <c r="Z10" s="5018">
        <f>+P10+T10+X10</f>
        <v>9070</v>
      </c>
      <c r="AA10" s="2907">
        <f>+M10+Y10</f>
        <v>17813.2</v>
      </c>
      <c r="AB10" s="2907">
        <f>+N10+Z10</f>
        <v>17906</v>
      </c>
      <c r="AC10" s="5329">
        <f>+AC7*AC2</f>
        <v>3069</v>
      </c>
      <c r="AD10" s="181">
        <v>3033</v>
      </c>
      <c r="AE10" s="2903">
        <f>+AE7*AE2</f>
        <v>20882.2</v>
      </c>
      <c r="AF10" s="39">
        <f>+AB10+AD10</f>
        <v>20939</v>
      </c>
      <c r="AG10" s="5496">
        <f>+AG7*AG2</f>
        <v>2970</v>
      </c>
      <c r="AH10" s="181">
        <v>2820</v>
      </c>
      <c r="AI10" s="2903">
        <f>+AI7*AI2</f>
        <v>23852.2</v>
      </c>
      <c r="AJ10" s="39">
        <f>+AF10+AH10</f>
        <v>23759</v>
      </c>
      <c r="AK10" s="5898">
        <f>+AK7*AK2</f>
        <v>3069</v>
      </c>
      <c r="AL10" s="181">
        <v>3053</v>
      </c>
      <c r="AM10" s="2905">
        <f>+AC10+AG10+AK10</f>
        <v>9108</v>
      </c>
      <c r="AN10" s="2905">
        <f>+AD10+AH10+AL10</f>
        <v>8906</v>
      </c>
      <c r="AO10" s="2903">
        <f>AI10+AK10</f>
        <v>26921.200000000001</v>
      </c>
      <c r="AP10" s="2903">
        <f>AJ10+AL10</f>
        <v>26812</v>
      </c>
      <c r="AQ10" s="6059">
        <f>+AQ7*AQ2</f>
        <v>3069</v>
      </c>
      <c r="AR10" s="181">
        <v>3053</v>
      </c>
      <c r="AS10" s="2903">
        <f>+AS7*AS2</f>
        <v>29990.2</v>
      </c>
      <c r="AT10" s="39">
        <f>+AP10+AR10</f>
        <v>29865</v>
      </c>
      <c r="AU10" s="6166">
        <f>+AU7*AU2</f>
        <v>2772</v>
      </c>
      <c r="AV10" s="181">
        <v>2755</v>
      </c>
      <c r="AW10" s="2903">
        <f>+AW7*AW2</f>
        <v>32762.2</v>
      </c>
      <c r="AX10" s="39">
        <f>+AT10+AV10</f>
        <v>32620</v>
      </c>
      <c r="AY10" s="6381">
        <f>+AY7*AY2</f>
        <v>3069</v>
      </c>
      <c r="AZ10" s="181">
        <v>3058</v>
      </c>
      <c r="BA10" s="3006">
        <f>+AQ10+AU10+AY10</f>
        <v>8910</v>
      </c>
      <c r="BB10" s="3006">
        <f>+AR10+AV10+AZ10</f>
        <v>8866</v>
      </c>
      <c r="BC10" s="3007">
        <f>AM10+BA10</f>
        <v>18018</v>
      </c>
      <c r="BD10" s="3007">
        <f t="shared" si="22"/>
        <v>17772</v>
      </c>
      <c r="BE10" s="3005">
        <f>AW10+AY10</f>
        <v>35831.199999999997</v>
      </c>
      <c r="BF10" s="3005">
        <f>AX10+AZ10</f>
        <v>35678</v>
      </c>
      <c r="BG10" s="1495">
        <v>35831.199999999997</v>
      </c>
      <c r="BH10" s="1495">
        <v>35767</v>
      </c>
      <c r="BI10" s="1495">
        <v>35868.022471910102</v>
      </c>
      <c r="BJ10" s="1495">
        <v>35382</v>
      </c>
      <c r="BK10" s="1495">
        <v>33657</v>
      </c>
      <c r="BL10" s="1969">
        <v>36135</v>
      </c>
      <c r="BM10" s="1495">
        <v>35338</v>
      </c>
      <c r="BN10" s="1969">
        <v>34383</v>
      </c>
      <c r="BO10" s="1495">
        <v>33134</v>
      </c>
      <c r="BP10" s="1969">
        <v>35502</v>
      </c>
      <c r="BQ10" s="2077">
        <v>35030</v>
      </c>
      <c r="BR10" s="3252"/>
      <c r="BS10" s="3252"/>
      <c r="BT10" s="4713"/>
      <c r="BU10" s="4713"/>
      <c r="BV10" s="1549"/>
      <c r="BW10" s="1549"/>
    </row>
    <row r="11" spans="1:75" ht="15" customHeight="1" thickBot="1" x14ac:dyDescent="0.3">
      <c r="B11" s="2047" t="s">
        <v>681</v>
      </c>
      <c r="C11" s="2025" t="s">
        <v>680</v>
      </c>
      <c r="D11" s="2923">
        <f t="shared" ref="D11:L11" si="23">+D9+(D10*(31.55/17.2))</f>
        <v>99862.363372093037</v>
      </c>
      <c r="E11" s="2924">
        <f t="shared" si="23"/>
        <v>8332.8488372093016</v>
      </c>
      <c r="F11" s="2925">
        <f t="shared" si="23"/>
        <v>8259.3226744186049</v>
      </c>
      <c r="G11" s="2924">
        <f t="shared" ref="G11" si="24">+G9+(G10*(31.55/17.2))</f>
        <v>8610.6104651162786</v>
      </c>
      <c r="H11" s="2925">
        <f t="shared" ref="H11" si="25">+H9+(H10*(31.55/17.2))</f>
        <v>8569.2616279069771</v>
      </c>
      <c r="I11" s="2926">
        <f t="shared" si="23"/>
        <v>16943.45930232558</v>
      </c>
      <c r="J11" s="2927">
        <f t="shared" si="23"/>
        <v>16828.58430232558</v>
      </c>
      <c r="K11" s="2924">
        <f t="shared" si="23"/>
        <v>8206.8575581395344</v>
      </c>
      <c r="L11" s="2925">
        <f t="shared" si="23"/>
        <v>8243.3110465116297</v>
      </c>
      <c r="M11" s="2072">
        <f t="shared" ref="M11" si="26">+M9+(M10*(31.55/17.2))</f>
        <v>25150.316860465122</v>
      </c>
      <c r="N11" s="2073">
        <f t="shared" ref="N11:P11" si="27">+N9+(N10*(31.55/17.2))</f>
        <v>25071.89534883721</v>
      </c>
      <c r="O11" s="2924">
        <f t="shared" si="27"/>
        <v>8324.8255813953492</v>
      </c>
      <c r="P11" s="2925">
        <f t="shared" si="27"/>
        <v>8643.4680232558148</v>
      </c>
      <c r="Q11" s="2064">
        <f t="shared" ref="Q11" si="28">+Q9+(Q10*(31.55/17.2))</f>
        <v>33475.142441860473</v>
      </c>
      <c r="R11" s="2031">
        <f t="shared" ref="R11:U11" si="29">+R9+(R10*(31.55/17.2))</f>
        <v>33715.363372093023</v>
      </c>
      <c r="S11" s="2924">
        <f t="shared" si="29"/>
        <v>8605.4738372093016</v>
      </c>
      <c r="T11" s="2925">
        <f t="shared" si="29"/>
        <v>8647.2965116279083</v>
      </c>
      <c r="U11" s="2064">
        <f t="shared" si="29"/>
        <v>42080.616279069771</v>
      </c>
      <c r="V11" s="2031">
        <f t="shared" ref="V11:X11" si="30">+V9+(V10*(31.55/17.2))</f>
        <v>42362.659883720931</v>
      </c>
      <c r="W11" s="2924">
        <f t="shared" si="30"/>
        <v>8327.8779069767443</v>
      </c>
      <c r="X11" s="2925">
        <f t="shared" si="30"/>
        <v>8349.3575581395344</v>
      </c>
      <c r="Y11" s="5020">
        <f>Y9+(Y10*31.55/17.2)</f>
        <v>25258.177325581397</v>
      </c>
      <c r="Z11" s="5020">
        <f>Z9+(Z10*31.55/17.2)</f>
        <v>25640.122093023256</v>
      </c>
      <c r="AA11" s="544">
        <f>AA9+(AA10*31.55/17.2)</f>
        <v>50408.494186046519</v>
      </c>
      <c r="AB11" s="544">
        <f>AB9+(AB10*31.55/17.2)</f>
        <v>50712.017441860466</v>
      </c>
      <c r="AC11" s="2924">
        <f t="shared" ref="AC11:AD11" si="31">+AC9+(AC10*(31.55/17.2))</f>
        <v>8605.4738372093016</v>
      </c>
      <c r="AD11" s="2925">
        <f t="shared" si="31"/>
        <v>8601.4389534883721</v>
      </c>
      <c r="AE11" s="2926">
        <f t="shared" ref="AE11:AH11" si="32">+AE9+(AE10*(31.55/17.2))</f>
        <v>59013.968023255817</v>
      </c>
      <c r="AF11" s="2927">
        <f t="shared" si="32"/>
        <v>59313.45639534884</v>
      </c>
      <c r="AG11" s="2924">
        <f t="shared" si="32"/>
        <v>8327.8779069767443</v>
      </c>
      <c r="AH11" s="2925">
        <f t="shared" si="32"/>
        <v>8001.7325581395353</v>
      </c>
      <c r="AI11" s="2926">
        <f t="shared" ref="AI11:AL11" si="33">+AI9+(AI10*(31.55/17.2))</f>
        <v>67341.845930232565</v>
      </c>
      <c r="AJ11" s="2927">
        <f t="shared" si="33"/>
        <v>67315.188953488367</v>
      </c>
      <c r="AK11" s="2924">
        <f t="shared" si="33"/>
        <v>8605.4738372093016</v>
      </c>
      <c r="AL11" s="2925">
        <f t="shared" si="33"/>
        <v>8638.125</v>
      </c>
      <c r="AM11" s="378">
        <f>AM9+(AM10*31.55/17.2)</f>
        <v>25538.825581395351</v>
      </c>
      <c r="AN11" s="378">
        <f>AN9+(AN10*31.55/17.2)</f>
        <v>25241.296511627908</v>
      </c>
      <c r="AO11" s="2926">
        <f t="shared" ref="AO11:AT11" si="34">+AO9+(AO10*(31.55/17.2))</f>
        <v>75947.319767441862</v>
      </c>
      <c r="AP11" s="2927">
        <f t="shared" si="34"/>
        <v>75953.313953488367</v>
      </c>
      <c r="AQ11" s="2924">
        <f t="shared" si="34"/>
        <v>8605.4738372093016</v>
      </c>
      <c r="AR11" s="2925">
        <f t="shared" si="34"/>
        <v>8638.125</v>
      </c>
      <c r="AS11" s="2926">
        <f t="shared" si="34"/>
        <v>84552.793604651175</v>
      </c>
      <c r="AT11" s="2927">
        <f t="shared" si="34"/>
        <v>84591.438953488367</v>
      </c>
      <c r="AU11" s="2924">
        <f t="shared" ref="AU11:AV11" si="35">+AU9+(AU10*(31.55/17.2))</f>
        <v>7772.6860465116288</v>
      </c>
      <c r="AV11" s="2925">
        <f t="shared" si="35"/>
        <v>7788.5029069767443</v>
      </c>
      <c r="AW11" s="2926">
        <f t="shared" ref="AW11:AZ11" si="36">+AW9+(AW10*(31.55/17.2))</f>
        <v>92325.479651162794</v>
      </c>
      <c r="AX11" s="2927">
        <f t="shared" si="36"/>
        <v>92379.941860465129</v>
      </c>
      <c r="AY11" s="2924">
        <f t="shared" si="36"/>
        <v>8605.4738372093016</v>
      </c>
      <c r="AZ11" s="2925">
        <f t="shared" si="36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926">
        <f t="shared" ref="BE11:BF11" si="37">+BE9+(BE10*(31.55/17.2))</f>
        <v>100930.95348837209</v>
      </c>
      <c r="BF11" s="2927">
        <f t="shared" si="37"/>
        <v>101027.23837209304</v>
      </c>
      <c r="BG11" s="1142">
        <v>100918.75348837209</v>
      </c>
      <c r="BH11" s="1142">
        <v>101271.49127906977</v>
      </c>
      <c r="BI11" s="1142">
        <v>102026.79703423046</v>
      </c>
      <c r="BJ11" s="1142">
        <v>101126.28488372095</v>
      </c>
      <c r="BK11" s="1142">
        <v>97793.113372093183</v>
      </c>
      <c r="BL11" s="1142">
        <v>102417.51453488389</v>
      </c>
      <c r="BM11" s="1142">
        <v>100526.5755813955</v>
      </c>
      <c r="BN11" s="1142">
        <v>97943.816860465275</v>
      </c>
      <c r="BO11" s="1142">
        <v>95577.7732558141</v>
      </c>
      <c r="BP11" s="1142">
        <v>100623.40116279086</v>
      </c>
      <c r="BQ11" s="2078">
        <v>99798.61046511645</v>
      </c>
      <c r="BR11" s="3252"/>
      <c r="BS11" s="3252"/>
      <c r="BT11" s="4713"/>
      <c r="BU11" s="4713"/>
      <c r="BV11" s="1549"/>
      <c r="BW11" s="1549"/>
    </row>
    <row r="12" spans="1:75" ht="15" hidden="1" customHeight="1" x14ac:dyDescent="0.3">
      <c r="A12" s="149"/>
      <c r="B12" s="2048" t="s">
        <v>342</v>
      </c>
      <c r="C12" s="2079"/>
      <c r="D12" s="2915"/>
      <c r="E12" s="2915"/>
      <c r="F12" s="2915"/>
      <c r="G12" s="2915"/>
      <c r="H12" s="2915"/>
      <c r="I12" s="2915"/>
      <c r="J12" s="2915"/>
      <c r="K12" s="2915"/>
      <c r="L12" s="2915"/>
      <c r="M12" s="2915"/>
      <c r="N12" s="2915"/>
      <c r="O12" s="2915"/>
      <c r="P12" s="2915"/>
      <c r="Q12" s="2915"/>
      <c r="R12" s="2915"/>
      <c r="S12" s="2915"/>
      <c r="T12" s="2915"/>
      <c r="U12" s="2915"/>
      <c r="V12" s="2915"/>
      <c r="W12" s="2915"/>
      <c r="X12" s="2915"/>
      <c r="Y12" s="2915"/>
      <c r="Z12" s="2915"/>
      <c r="AA12" s="2915"/>
      <c r="AB12" s="2915"/>
      <c r="AC12" s="2915"/>
      <c r="AD12" s="2915"/>
      <c r="AE12" s="2915"/>
      <c r="AF12" s="2915"/>
      <c r="AG12" s="2915"/>
      <c r="AH12" s="2915"/>
      <c r="AI12" s="2915"/>
      <c r="AJ12" s="2915"/>
      <c r="AK12" s="2915"/>
      <c r="AL12" s="2915"/>
      <c r="AM12" s="2915"/>
      <c r="AN12" s="2915"/>
      <c r="AO12" s="2915"/>
      <c r="AP12" s="2915"/>
      <c r="AQ12" s="2915"/>
      <c r="AR12" s="2915"/>
      <c r="AS12" s="2915"/>
      <c r="AT12" s="2915"/>
      <c r="AU12" s="2915"/>
      <c r="AV12" s="2915"/>
      <c r="AW12" s="2915"/>
      <c r="AX12" s="2915"/>
      <c r="AY12" s="2915"/>
      <c r="AZ12" s="2915"/>
      <c r="BA12" s="2915"/>
      <c r="BB12" s="2915"/>
      <c r="BC12" s="2915"/>
      <c r="BD12" s="2915"/>
      <c r="BE12" s="2915"/>
      <c r="BF12" s="2915"/>
      <c r="BG12" s="2079"/>
      <c r="BH12" s="2079"/>
      <c r="BI12" s="2079"/>
      <c r="BJ12" s="2079"/>
      <c r="BK12" s="2079"/>
      <c r="BL12" s="2079"/>
      <c r="BM12" s="2079"/>
      <c r="BN12" s="2079"/>
      <c r="BO12" s="2079"/>
      <c r="BP12" s="2079"/>
      <c r="BQ12" s="2080"/>
      <c r="BR12" s="3252"/>
      <c r="BS12" s="3252"/>
      <c r="BT12" s="4713"/>
      <c r="BU12" s="4713"/>
      <c r="BV12" s="1549"/>
      <c r="BW12" s="1549"/>
    </row>
    <row r="13" spans="1:75" ht="15" hidden="1" customHeight="1" x14ac:dyDescent="0.3">
      <c r="B13" s="2049" t="s">
        <v>146</v>
      </c>
      <c r="C13" s="2016" t="s">
        <v>50</v>
      </c>
      <c r="D13" s="2021">
        <f>+D9*0.7*17.2</f>
        <v>415343.87999999995</v>
      </c>
      <c r="E13" s="2904">
        <f>+E9*0.7*17.2</f>
        <v>35397.599999999999</v>
      </c>
      <c r="F13" s="18">
        <f>'COKE OVENS'!F21</f>
        <v>35359.415999999997</v>
      </c>
      <c r="G13" s="7141">
        <f>+G9*0.7*17.2</f>
        <v>36577.519999999997</v>
      </c>
      <c r="H13" s="18">
        <f>'COKE OVENS'!H21</f>
        <v>36693.275999999998</v>
      </c>
      <c r="I13" s="2903">
        <f>+E13+G13</f>
        <v>71975.12</v>
      </c>
      <c r="J13" s="39">
        <f>+F13+H13</f>
        <v>72052.691999999995</v>
      </c>
      <c r="K13" s="4555">
        <f>+K9*0.7*17.2</f>
        <v>35201.347999999991</v>
      </c>
      <c r="L13" s="18">
        <f>'COKE OVENS'!L21</f>
        <v>35185.905840000007</v>
      </c>
      <c r="M13" s="2906">
        <f>+E13+G13+K13</f>
        <v>107176.46799999999</v>
      </c>
      <c r="N13" s="69">
        <f>+F13+H13+L13</f>
        <v>107238.59784</v>
      </c>
      <c r="O13" s="4761">
        <f>+O9*0.7*17.2</f>
        <v>35831.039999999994</v>
      </c>
      <c r="P13" s="18">
        <f>'COKE OVENS'!P21</f>
        <v>36682.905207141288</v>
      </c>
      <c r="Q13" s="4760">
        <f>+M13+O13</f>
        <v>143007.50799999997</v>
      </c>
      <c r="R13" s="39">
        <f>+N13+P13</f>
        <v>143921.5030471413</v>
      </c>
      <c r="S13" s="4865">
        <f>+S9*0.7*17.2</f>
        <v>35831.039999999994</v>
      </c>
      <c r="T13" s="18">
        <f>'COKE OVENS'!T21</f>
        <v>36838.788</v>
      </c>
      <c r="U13" s="4864">
        <f>+Q13+S13</f>
        <v>178838.54799999995</v>
      </c>
      <c r="V13" s="39">
        <f>+R13+T13</f>
        <v>180760.29104714131</v>
      </c>
      <c r="W13" s="5017">
        <f>+W9*0.7*17.2</f>
        <v>34675.199999999997</v>
      </c>
      <c r="X13" s="18">
        <f>'COKE OVENS'!X21</f>
        <v>35650.439999999995</v>
      </c>
      <c r="Y13" s="5018">
        <f>+O13+S13+W13</f>
        <v>106337.27999999998</v>
      </c>
      <c r="Z13" s="5018">
        <f>+P13+T13+X13</f>
        <v>109172.13320714128</v>
      </c>
      <c r="AA13" s="2907">
        <f>+M13+Y13</f>
        <v>213513.74799999996</v>
      </c>
      <c r="AB13" s="2907">
        <f>+N13+Z13</f>
        <v>216410.73104714128</v>
      </c>
      <c r="AC13" s="5329">
        <f>+AC9*0.7*17.2</f>
        <v>35831.039999999994</v>
      </c>
      <c r="AD13" s="18">
        <f>'COKE OVENS'!AD21</f>
        <v>36839</v>
      </c>
      <c r="AE13" s="2903">
        <f>+AA13+AC13</f>
        <v>249344.78799999994</v>
      </c>
      <c r="AF13" s="39">
        <f>+AB13+AD13</f>
        <v>253249.73104714128</v>
      </c>
      <c r="AG13" s="5496">
        <f>+AG9*0.7*17.2</f>
        <v>34675.199999999997</v>
      </c>
      <c r="AH13" s="18">
        <f>'COKE OVENS'!AH21</f>
        <v>34299.58812</v>
      </c>
      <c r="AI13" s="2903">
        <f>+AE13+AG13</f>
        <v>284019.98799999995</v>
      </c>
      <c r="AJ13" s="39">
        <f>+AF13+AH13</f>
        <v>287549.31916714128</v>
      </c>
      <c r="AK13" s="5898">
        <f>+AK9*0.7*17.2</f>
        <v>35831.039999999994</v>
      </c>
      <c r="AL13" s="18">
        <f>'COKE OVENS'!AL21</f>
        <v>36582.745360000001</v>
      </c>
      <c r="AM13" s="2905">
        <f>+AC13+AG13+AK13</f>
        <v>106337.27999999998</v>
      </c>
      <c r="AN13" s="2905">
        <f>+AD13+AH13+AL13</f>
        <v>107721.33348</v>
      </c>
      <c r="AO13" s="2903">
        <f>AI13+AK13</f>
        <v>319851.02799999993</v>
      </c>
      <c r="AP13" s="2903">
        <f>AJ13+AL13</f>
        <v>324132.06452714128</v>
      </c>
      <c r="AQ13" s="6059">
        <f>+AQ9*0.7*17.2</f>
        <v>35831.039999999994</v>
      </c>
      <c r="AR13" s="18">
        <f>'COKE OVENS'!AR21</f>
        <v>36888.428919999984</v>
      </c>
      <c r="AS13" s="2903">
        <f>+AO13+AQ13</f>
        <v>355682.06799999991</v>
      </c>
      <c r="AT13" s="39">
        <f>+AP13+AR13</f>
        <v>361020.49344714126</v>
      </c>
      <c r="AU13" s="6166">
        <f>+AU9*0.7*17.2</f>
        <v>32363.519999999997</v>
      </c>
      <c r="AV13" s="18">
        <f>'COKE OVENS'!AV21</f>
        <v>33164.609999999986</v>
      </c>
      <c r="AW13" s="2903">
        <f>+AS13+AU13</f>
        <v>388045.58799999993</v>
      </c>
      <c r="AX13" s="39">
        <f>+AT13+AV13</f>
        <v>394185.10344714124</v>
      </c>
      <c r="AY13" s="6381">
        <f>+AY9*0.7*17.2</f>
        <v>35831.039999999994</v>
      </c>
      <c r="AZ13" s="18">
        <f>'COKE OVENS'!AZ21</f>
        <v>36838.788</v>
      </c>
      <c r="BA13" s="3006">
        <f>+AQ13+AU13+AY13</f>
        <v>104025.59999999999</v>
      </c>
      <c r="BB13" s="3006">
        <f>+AR13+AV13+AZ13</f>
        <v>106891.82691999996</v>
      </c>
      <c r="BC13" s="3007">
        <f>AM13+BA13</f>
        <v>210362.87999999998</v>
      </c>
      <c r="BD13" s="3007">
        <f t="shared" ref="BD13:BD14" si="38">AN13+BB13</f>
        <v>214613.16039999996</v>
      </c>
      <c r="BE13" s="3005">
        <f>AW13+AY13</f>
        <v>423876.62799999991</v>
      </c>
      <c r="BF13" s="3005">
        <f>AX13+AZ13</f>
        <v>431023.89144714124</v>
      </c>
      <c r="BG13" s="7142">
        <v>423729.73999999993</v>
      </c>
      <c r="BH13" s="7142">
        <v>431508.83856714121</v>
      </c>
      <c r="BI13" s="3341">
        <v>433141.23599999998</v>
      </c>
      <c r="BJ13" s="3305">
        <v>432382.84677469998</v>
      </c>
      <c r="BK13" s="1969">
        <v>430769.03254755842</v>
      </c>
      <c r="BL13" s="1969">
        <v>438172.79000000004</v>
      </c>
      <c r="BM13" s="1969">
        <v>428806</v>
      </c>
      <c r="BN13" s="1969">
        <v>425506</v>
      </c>
      <c r="BO13" s="1969">
        <v>430922.2</v>
      </c>
      <c r="BP13" s="1969">
        <v>406071.87599999999</v>
      </c>
      <c r="BQ13" s="1102">
        <v>412610.14</v>
      </c>
      <c r="BR13" s="3252"/>
      <c r="BS13" s="3252"/>
      <c r="BT13" s="4713"/>
      <c r="BU13" s="4713"/>
      <c r="BV13" s="4713"/>
      <c r="BW13" s="1549"/>
    </row>
    <row r="14" spans="1:75" ht="15" hidden="1" customHeight="1" x14ac:dyDescent="0.3">
      <c r="B14" s="2049" t="s">
        <v>147</v>
      </c>
      <c r="C14" s="2016" t="s">
        <v>50</v>
      </c>
      <c r="D14" s="2021">
        <f>+D10*0.7*31.55</f>
        <v>786998.97499999998</v>
      </c>
      <c r="E14" s="2904">
        <f>+E10*31.55*0.7</f>
        <v>64929.899999999994</v>
      </c>
      <c r="F14" s="18">
        <f>'COKE OVENS'!F22</f>
        <v>64793.130750000004</v>
      </c>
      <c r="G14" s="7141">
        <f>+G10*31.55*0.7</f>
        <v>67094.23</v>
      </c>
      <c r="H14" s="18">
        <f>'COKE OVENS'!H22</f>
        <v>67217.590500000006</v>
      </c>
      <c r="I14" s="2903">
        <f>+E14+G14</f>
        <v>132024.13</v>
      </c>
      <c r="J14" s="39">
        <f>+F14+H14</f>
        <v>132010.72125</v>
      </c>
      <c r="K14" s="4555">
        <f>+K10*31.55*0.7</f>
        <v>63609.216999999997</v>
      </c>
      <c r="L14" s="18">
        <f>'COKE OVENS'!L22</f>
        <v>64077.737655000004</v>
      </c>
      <c r="M14" s="2906">
        <f>+E14+G14+K14</f>
        <v>195633.34700000001</v>
      </c>
      <c r="N14" s="69">
        <f>+F14+H14+L14</f>
        <v>196088.45890500001</v>
      </c>
      <c r="O14" s="4761">
        <f>+O10*31.55*0.7</f>
        <v>64399.86</v>
      </c>
      <c r="P14" s="18">
        <f>'COKE OVENS'!P22</f>
        <v>68132.803274858685</v>
      </c>
      <c r="Q14" s="4760">
        <f>+M14+O14</f>
        <v>260033.20699999999</v>
      </c>
      <c r="R14" s="39">
        <f>+N14+P14</f>
        <v>264221.26217985869</v>
      </c>
      <c r="S14" s="4865">
        <f>+S10*31.55*0.7</f>
        <v>67778.864999999991</v>
      </c>
      <c r="T14" s="18">
        <f>'COKE OVENS'!T22</f>
        <v>68018.329500000007</v>
      </c>
      <c r="U14" s="4864">
        <f>+Q14+S14</f>
        <v>327812.07199999999</v>
      </c>
      <c r="V14" s="39">
        <f>+R14+T14</f>
        <v>332239.59167985868</v>
      </c>
      <c r="W14" s="5017">
        <f>+W10*31.55*0.7</f>
        <v>65592.45</v>
      </c>
      <c r="X14" s="18">
        <f>'COKE OVENS'!X22</f>
        <v>65593.869749999998</v>
      </c>
      <c r="Y14" s="5018">
        <f>+O14+S14+W14</f>
        <v>197771.17499999999</v>
      </c>
      <c r="Z14" s="5018">
        <f>+P14+T14+X14</f>
        <v>201745.00252485869</v>
      </c>
      <c r="AA14" s="2907">
        <f>+M14+Y14</f>
        <v>393404.522</v>
      </c>
      <c r="AB14" s="2907">
        <f>+N14+Z14</f>
        <v>397833.4614298587</v>
      </c>
      <c r="AC14" s="5329">
        <f>+AC10*31.55*0.7</f>
        <v>67778.864999999991</v>
      </c>
      <c r="AD14" s="18">
        <f>'COKE OVENS'!AD22</f>
        <v>67418</v>
      </c>
      <c r="AE14" s="2903">
        <f>+AA14+AC14</f>
        <v>461183.38699999999</v>
      </c>
      <c r="AF14" s="39">
        <f>+AB14+AD14</f>
        <v>465251.4614298587</v>
      </c>
      <c r="AG14" s="5496">
        <f>+AG10*31.55*0.7</f>
        <v>65592.45</v>
      </c>
      <c r="AH14" s="18">
        <f>'COKE OVENS'!AH22</f>
        <v>62715.657900000006</v>
      </c>
      <c r="AI14" s="2903">
        <f>+AE14+AG14</f>
        <v>526775.83699999994</v>
      </c>
      <c r="AJ14" s="39">
        <f>+AF14+AH14</f>
        <v>527967.11932985869</v>
      </c>
      <c r="AK14" s="5898">
        <f>+AK10*31.55*0.7</f>
        <v>67778.864999999991</v>
      </c>
      <c r="AL14" s="18">
        <f>'COKE OVENS'!AL22</f>
        <v>67435.13721500001</v>
      </c>
      <c r="AM14" s="2905">
        <f>+AC14+AG14+AK14</f>
        <v>201150.18</v>
      </c>
      <c r="AN14" s="2905">
        <f>+AD14+AH14+AL14</f>
        <v>197568.79511500002</v>
      </c>
      <c r="AO14" s="2903">
        <f>AI14+AK14</f>
        <v>594554.70199999993</v>
      </c>
      <c r="AP14" s="2903">
        <f>AJ14+AL14</f>
        <v>595402.25654485868</v>
      </c>
      <c r="AQ14" s="6059">
        <f>+AQ10*31.55*0.7</f>
        <v>67778.864999999991</v>
      </c>
      <c r="AR14" s="18">
        <f>'COKE OVENS'!AR22</f>
        <v>67998.62179249998</v>
      </c>
      <c r="AS14" s="2903">
        <f>+AO14+AQ14</f>
        <v>662333.56699999992</v>
      </c>
      <c r="AT14" s="39">
        <f>+AP14+AR14</f>
        <v>663400.87833735871</v>
      </c>
      <c r="AU14" s="6166">
        <f>+AU10*31.55*0.7</f>
        <v>61219.62</v>
      </c>
      <c r="AV14" s="18">
        <f>'COKE OVENS'!AV22</f>
        <v>61278.776249999981</v>
      </c>
      <c r="AW14" s="2903">
        <f>+AS14+AU14</f>
        <v>723553.18699999992</v>
      </c>
      <c r="AX14" s="39">
        <f>+AT14+AV14</f>
        <v>724679.6545873587</v>
      </c>
      <c r="AY14" s="6381">
        <f>+AY10*31.55*0.7</f>
        <v>67778.864999999991</v>
      </c>
      <c r="AZ14" s="18">
        <f>'COKE OVENS'!AZ22</f>
        <v>68018.329500000007</v>
      </c>
      <c r="BA14" s="3006">
        <f>+AQ14+AU14+AY14</f>
        <v>196777.34999999998</v>
      </c>
      <c r="BB14" s="3006">
        <f>+AR14+AV14+AZ14</f>
        <v>197295.72754249995</v>
      </c>
      <c r="BC14" s="3007">
        <f>AM14+BA14</f>
        <v>397927.52999999997</v>
      </c>
      <c r="BD14" s="3007">
        <f t="shared" si="38"/>
        <v>394864.5226575</v>
      </c>
      <c r="BE14" s="3005">
        <f>AW14+AY14</f>
        <v>791332.05199999991</v>
      </c>
      <c r="BF14" s="3005">
        <f>AX14+AZ14</f>
        <v>792697.98408735869</v>
      </c>
      <c r="BG14" s="7142">
        <v>791332.05199999991</v>
      </c>
      <c r="BH14" s="7142">
        <v>793765.3142773587</v>
      </c>
      <c r="BI14" s="3341">
        <v>786486.60299999989</v>
      </c>
      <c r="BJ14" s="3305">
        <v>774691.64970837045</v>
      </c>
      <c r="BK14" s="1969">
        <v>737579.37599844171</v>
      </c>
      <c r="BL14" s="1969">
        <v>803741.80374999996</v>
      </c>
      <c r="BM14" s="1969">
        <v>778192</v>
      </c>
      <c r="BN14" s="1969">
        <v>770203</v>
      </c>
      <c r="BO14" s="1969">
        <v>752591.4</v>
      </c>
      <c r="BP14" s="1969">
        <v>744858.58650000009</v>
      </c>
      <c r="BQ14" s="1102">
        <v>745859.84</v>
      </c>
      <c r="BR14" s="3252"/>
      <c r="BS14" s="3252"/>
      <c r="BT14" s="4713"/>
      <c r="BU14" s="4713"/>
      <c r="BV14" s="4713"/>
      <c r="BW14" s="1549"/>
    </row>
    <row r="15" spans="1:75" ht="15" hidden="1" customHeight="1" thickBot="1" x14ac:dyDescent="0.3">
      <c r="B15" s="2047" t="s">
        <v>1593</v>
      </c>
      <c r="C15" s="2025" t="s">
        <v>50</v>
      </c>
      <c r="D15" s="2022">
        <f t="shared" ref="D15:N15" si="39">SUM(D13:D14)</f>
        <v>1202342.855</v>
      </c>
      <c r="E15" s="1770">
        <f t="shared" si="39"/>
        <v>100327.5</v>
      </c>
      <c r="F15" s="2062">
        <f t="shared" si="39"/>
        <v>100152.54675000001</v>
      </c>
      <c r="G15" s="7147">
        <f t="shared" ref="G15" si="40">SUM(G13:G14)</f>
        <v>103671.75</v>
      </c>
      <c r="H15" s="2062">
        <f t="shared" ref="H15" si="41">SUM(H13:H14)</f>
        <v>103910.8665</v>
      </c>
      <c r="I15" s="2928">
        <f t="shared" si="39"/>
        <v>203999.25</v>
      </c>
      <c r="J15" s="2929">
        <f t="shared" si="39"/>
        <v>204063.41324999998</v>
      </c>
      <c r="K15" s="4560">
        <f t="shared" si="39"/>
        <v>98810.564999999988</v>
      </c>
      <c r="L15" s="2062">
        <f t="shared" si="39"/>
        <v>99263.643495000011</v>
      </c>
      <c r="M15" s="2072">
        <f t="shared" si="39"/>
        <v>302809.815</v>
      </c>
      <c r="N15" s="2073">
        <f t="shared" si="39"/>
        <v>303327.05674500001</v>
      </c>
      <c r="O15" s="4764">
        <f t="shared" ref="O15:P15" si="42">SUM(O13:O14)</f>
        <v>100230.9</v>
      </c>
      <c r="P15" s="2062">
        <f t="shared" si="42"/>
        <v>104815.70848199997</v>
      </c>
      <c r="Q15" s="2064">
        <f>SUM(Q13:Q14)</f>
        <v>403040.71499999997</v>
      </c>
      <c r="R15" s="2031">
        <f>SUM(R13:R14)</f>
        <v>408142.765227</v>
      </c>
      <c r="S15" s="4873">
        <f t="shared" ref="S15:T15" si="43">SUM(S13:S14)</f>
        <v>103609.90499999998</v>
      </c>
      <c r="T15" s="2062">
        <f t="shared" si="43"/>
        <v>104857.11750000001</v>
      </c>
      <c r="U15" s="2064">
        <f t="shared" ref="U15:X15" si="44">SUM(U13:U14)</f>
        <v>506650.61999999994</v>
      </c>
      <c r="V15" s="2031">
        <f t="shared" si="44"/>
        <v>512999.88272699999</v>
      </c>
      <c r="W15" s="5034">
        <f t="shared" si="44"/>
        <v>100267.65</v>
      </c>
      <c r="X15" s="2062">
        <f t="shared" si="44"/>
        <v>101244.30974999999</v>
      </c>
      <c r="Y15" s="5020">
        <f t="shared" ref="Y15:AD15" si="45">SUM(Y13:Y14)</f>
        <v>304108.45499999996</v>
      </c>
      <c r="Z15" s="5020">
        <f t="shared" si="45"/>
        <v>310917.135732</v>
      </c>
      <c r="AA15" s="544">
        <f t="shared" si="45"/>
        <v>606918.27</v>
      </c>
      <c r="AB15" s="544">
        <f t="shared" si="45"/>
        <v>614244.19247699995</v>
      </c>
      <c r="AC15" s="5348">
        <f t="shared" si="45"/>
        <v>103609.90499999998</v>
      </c>
      <c r="AD15" s="2062">
        <f t="shared" si="45"/>
        <v>104257</v>
      </c>
      <c r="AE15" s="2928">
        <f t="shared" ref="AE15:AH15" si="46">SUM(AE13:AE14)</f>
        <v>710528.17499999993</v>
      </c>
      <c r="AF15" s="2929">
        <f t="shared" si="46"/>
        <v>718501.19247699995</v>
      </c>
      <c r="AG15" s="5501">
        <f t="shared" si="46"/>
        <v>100267.65</v>
      </c>
      <c r="AH15" s="2062">
        <f t="shared" si="46"/>
        <v>97015.246020000006</v>
      </c>
      <c r="AI15" s="2928">
        <f t="shared" ref="AI15:AN15" si="47">SUM(AI13:AI14)</f>
        <v>810795.82499999995</v>
      </c>
      <c r="AJ15" s="2929">
        <f t="shared" si="47"/>
        <v>815516.43849699991</v>
      </c>
      <c r="AK15" s="5900">
        <f t="shared" si="47"/>
        <v>103609.90499999998</v>
      </c>
      <c r="AL15" s="2062">
        <f t="shared" si="47"/>
        <v>104017.88257500001</v>
      </c>
      <c r="AM15" s="378">
        <f t="shared" si="47"/>
        <v>307487.45999999996</v>
      </c>
      <c r="AN15" s="378">
        <f t="shared" si="47"/>
        <v>305290.12859500002</v>
      </c>
      <c r="AO15" s="2928">
        <f t="shared" ref="AO15:AT15" si="48">SUM(AO13:AO14)</f>
        <v>914405.72999999986</v>
      </c>
      <c r="AP15" s="2929">
        <f t="shared" si="48"/>
        <v>919534.32107199996</v>
      </c>
      <c r="AQ15" s="6075">
        <f t="shared" si="48"/>
        <v>103609.90499999998</v>
      </c>
      <c r="AR15" s="2062">
        <f t="shared" si="48"/>
        <v>104887.05071249997</v>
      </c>
      <c r="AS15" s="2928">
        <f t="shared" si="48"/>
        <v>1018015.6349999998</v>
      </c>
      <c r="AT15" s="2929">
        <f t="shared" si="48"/>
        <v>1024421.3717845</v>
      </c>
      <c r="AU15" s="6179">
        <f t="shared" ref="AU15:AV15" si="49">SUM(AU13:AU14)</f>
        <v>93583.14</v>
      </c>
      <c r="AV15" s="2062">
        <f t="shared" si="49"/>
        <v>94443.386249999967</v>
      </c>
      <c r="AW15" s="2928">
        <f t="shared" ref="AW15:BF15" si="50">SUM(AW13:AW14)</f>
        <v>1111598.7749999999</v>
      </c>
      <c r="AX15" s="2929">
        <f t="shared" si="50"/>
        <v>1118864.7580344998</v>
      </c>
      <c r="AY15" s="6394">
        <f t="shared" si="50"/>
        <v>103609.90499999998</v>
      </c>
      <c r="AZ15" s="2062">
        <f t="shared" si="50"/>
        <v>104857.11750000001</v>
      </c>
      <c r="BA15" s="378">
        <f t="shared" si="50"/>
        <v>300802.94999999995</v>
      </c>
      <c r="BB15" s="378">
        <f t="shared" si="50"/>
        <v>304187.55446249992</v>
      </c>
      <c r="BC15" s="544">
        <f t="shared" si="50"/>
        <v>608290.40999999992</v>
      </c>
      <c r="BD15" s="544">
        <f t="shared" si="50"/>
        <v>609477.68305749993</v>
      </c>
      <c r="BE15" s="2928">
        <f t="shared" si="50"/>
        <v>1215208.6799999997</v>
      </c>
      <c r="BF15" s="2929">
        <f t="shared" si="50"/>
        <v>1223721.8755345</v>
      </c>
      <c r="BG15" s="1142">
        <v>1215061.7919999999</v>
      </c>
      <c r="BH15" s="1142">
        <v>1225274.1528444998</v>
      </c>
      <c r="BI15" s="1142">
        <v>1219627.8389999999</v>
      </c>
      <c r="BJ15" s="1142">
        <v>1207074.4964830703</v>
      </c>
      <c r="BK15" s="1142">
        <v>1168348.4085460003</v>
      </c>
      <c r="BL15" s="1142">
        <v>1241914.59375</v>
      </c>
      <c r="BM15" s="1142">
        <v>1206998</v>
      </c>
      <c r="BN15" s="1142">
        <v>1195709</v>
      </c>
      <c r="BO15" s="1142">
        <v>1183513.6000000001</v>
      </c>
      <c r="BP15" s="1142">
        <v>1150930.4625000001</v>
      </c>
      <c r="BQ15" s="2078">
        <v>1158469.98</v>
      </c>
      <c r="BR15" s="3252"/>
      <c r="BS15" s="3252"/>
      <c r="BT15" s="4713"/>
      <c r="BU15" s="4713"/>
      <c r="BV15" s="4713"/>
      <c r="BW15" s="1549"/>
    </row>
    <row r="16" spans="1:75" ht="15" customHeight="1" thickBot="1" x14ac:dyDescent="0.3">
      <c r="B16" s="2050" t="s">
        <v>347</v>
      </c>
      <c r="C16" s="2026" t="s">
        <v>50</v>
      </c>
      <c r="D16" s="2027">
        <f>4362.87596292192*1000+124</f>
        <v>4362999.9629219202</v>
      </c>
      <c r="E16" s="1872">
        <f>372.191438188584*1000</f>
        <v>372191.438188584</v>
      </c>
      <c r="F16" s="2059">
        <v>321830</v>
      </c>
      <c r="G16" s="1872">
        <f>383.372118766*1000</f>
        <v>383372.11876600003</v>
      </c>
      <c r="H16" s="2059">
        <v>355306</v>
      </c>
      <c r="I16" s="1874">
        <f t="shared" ref="I16:J18" si="51">+E16+G16</f>
        <v>755563.55695458408</v>
      </c>
      <c r="J16" s="1875">
        <f t="shared" si="51"/>
        <v>677136</v>
      </c>
      <c r="K16" s="1872">
        <f>287.450612610825*1000</f>
        <v>287450.61261082499</v>
      </c>
      <c r="L16" s="2059">
        <v>260737</v>
      </c>
      <c r="M16" s="1876">
        <f t="shared" ref="M16:N20" si="52">+E16+G16+K16</f>
        <v>1043014.1695654091</v>
      </c>
      <c r="N16" s="2071">
        <f t="shared" si="52"/>
        <v>937873</v>
      </c>
      <c r="O16" s="1872">
        <f>172.935203578531*1000</f>
        <v>172935.20357853101</v>
      </c>
      <c r="P16" s="2059">
        <v>393033</v>
      </c>
      <c r="Q16" s="1874">
        <f t="shared" ref="Q16:R18" si="53">+M16+O16</f>
        <v>1215949.37314394</v>
      </c>
      <c r="R16" s="1875">
        <f t="shared" si="53"/>
        <v>1330906</v>
      </c>
      <c r="S16" s="1872">
        <v>391249.30890334299</v>
      </c>
      <c r="T16" s="2059">
        <v>367891</v>
      </c>
      <c r="U16" s="1874">
        <f t="shared" ref="U16:U17" si="54">+Q16+S16</f>
        <v>1607198.682047283</v>
      </c>
      <c r="V16" s="1875">
        <f t="shared" ref="V16" si="55">+R16+T16</f>
        <v>1698797</v>
      </c>
      <c r="W16" s="1872">
        <v>374607.66527323198</v>
      </c>
      <c r="X16" s="2059">
        <v>370427</v>
      </c>
      <c r="Y16" s="5018">
        <f t="shared" ref="Y16:Z18" si="56">+O16+S16+W16</f>
        <v>938792.17775510601</v>
      </c>
      <c r="Z16" s="5018">
        <f t="shared" si="56"/>
        <v>1131351</v>
      </c>
      <c r="AA16" s="2907">
        <f t="shared" ref="AA16:AB18" si="57">+M16+Y16</f>
        <v>1981806.3473205152</v>
      </c>
      <c r="AB16" s="2907">
        <f t="shared" si="57"/>
        <v>2069224</v>
      </c>
      <c r="AC16" s="1872">
        <v>403051.36344098201</v>
      </c>
      <c r="AD16" s="2059">
        <v>372857</v>
      </c>
      <c r="AE16" s="1874">
        <f t="shared" ref="AE16:AE18" si="58">+AA16+AC16</f>
        <v>2384857.7107614973</v>
      </c>
      <c r="AF16" s="1875">
        <f t="shared" ref="AF16" si="59">+AB16+AD16</f>
        <v>2442081</v>
      </c>
      <c r="AG16" s="1872">
        <f>392.409719810871*1000</f>
        <v>392409.719810871</v>
      </c>
      <c r="AH16" s="2059">
        <v>24407</v>
      </c>
      <c r="AI16" s="1874">
        <f t="shared" ref="AI16:AI18" si="60">+AE16+AG16</f>
        <v>2777267.4305723682</v>
      </c>
      <c r="AJ16" s="1875">
        <f t="shared" ref="AJ16" si="61">+AF16+AH16</f>
        <v>2466488</v>
      </c>
      <c r="AK16" s="1872">
        <f>403.051363440982*1000</f>
        <v>403051.36344098201</v>
      </c>
      <c r="AL16" s="2059">
        <v>361604</v>
      </c>
      <c r="AM16" s="2905">
        <f t="shared" ref="AM16:AM18" si="62">+AC16+AG16+AK16</f>
        <v>1198512.4466928351</v>
      </c>
      <c r="AN16" s="2905">
        <f t="shared" ref="AN16:AN18" si="63">+AD16+AH16+AL16</f>
        <v>758868</v>
      </c>
      <c r="AO16" s="2903">
        <f t="shared" ref="AO16:AP18" si="64">AI16+AK16</f>
        <v>3180318.7940133503</v>
      </c>
      <c r="AP16" s="2903">
        <f t="shared" si="64"/>
        <v>2828092</v>
      </c>
      <c r="AQ16" s="1872">
        <f>403.051363440982*1000</f>
        <v>403051.36344098201</v>
      </c>
      <c r="AR16" s="2059">
        <v>369250</v>
      </c>
      <c r="AS16" s="1874">
        <f t="shared" ref="AS16:AS18" si="65">+AO16+AQ16</f>
        <v>3583370.1574543323</v>
      </c>
      <c r="AT16" s="1875">
        <f t="shared" ref="AT16" si="66">+AP16+AR16</f>
        <v>3197342</v>
      </c>
      <c r="AU16" s="1872">
        <f>365.546227096884*1000</f>
        <v>365546.22709688405</v>
      </c>
      <c r="AV16" s="2059">
        <v>342499</v>
      </c>
      <c r="AW16" s="1874">
        <f t="shared" ref="AW16:AW18" si="67">+AS16+AU16</f>
        <v>3948916.3845512164</v>
      </c>
      <c r="AX16" s="1875">
        <f t="shared" ref="AX16" si="68">+AT16+AV16</f>
        <v>3539841</v>
      </c>
      <c r="AY16" s="1872">
        <f>403.051363440982*1000</f>
        <v>403051.36344098201</v>
      </c>
      <c r="AZ16" s="2059">
        <v>410020</v>
      </c>
      <c r="BA16" s="3006">
        <f t="shared" ref="BA16:BA18" si="69">+AQ16+AU16+AY16</f>
        <v>1171648.9539788482</v>
      </c>
      <c r="BB16" s="3006">
        <f t="shared" ref="BB16:BB18" si="70">+AR16+AV16+AZ16</f>
        <v>1121769</v>
      </c>
      <c r="BC16" s="3007">
        <f>AM16+BA16</f>
        <v>2370161.4006716833</v>
      </c>
      <c r="BD16" s="3007">
        <f t="shared" ref="BD16:BD18" si="71">AN16+BB16</f>
        <v>1880637</v>
      </c>
      <c r="BE16" s="3005">
        <f t="shared" ref="BE16:BE18" si="72">AW16+AY16</f>
        <v>4351967.747992198</v>
      </c>
      <c r="BF16" s="3005">
        <f t="shared" ref="BF16:BF18" si="73">AX16+AZ16</f>
        <v>3949861</v>
      </c>
      <c r="BG16" s="7142">
        <v>4387544.4524744106</v>
      </c>
      <c r="BH16" s="7142">
        <v>3980714</v>
      </c>
      <c r="BI16" s="3341">
        <v>4499999.9123089341</v>
      </c>
      <c r="BJ16" s="3305">
        <v>4398445</v>
      </c>
      <c r="BK16" s="1969">
        <v>4395665</v>
      </c>
      <c r="BL16" s="1969">
        <v>4183927.7727635596</v>
      </c>
      <c r="BM16" s="1969">
        <v>4277831</v>
      </c>
      <c r="BN16" s="1969">
        <v>3665891.272345175</v>
      </c>
      <c r="BO16" s="1969">
        <v>3629577</v>
      </c>
      <c r="BP16" s="1969">
        <v>3903932.5274391733</v>
      </c>
      <c r="BQ16" s="1102">
        <v>3709525</v>
      </c>
      <c r="BR16" s="3252"/>
      <c r="BS16" s="3252"/>
      <c r="BT16" s="4713"/>
      <c r="BU16" s="4713"/>
      <c r="BV16" s="4713"/>
      <c r="BW16" s="1549"/>
    </row>
    <row r="17" spans="1:75" ht="15" customHeight="1" thickBot="1" x14ac:dyDescent="0.3">
      <c r="A17" s="185"/>
      <c r="B17" s="2050" t="s">
        <v>340</v>
      </c>
      <c r="C17" s="2026" t="s">
        <v>50</v>
      </c>
      <c r="D17" s="2027">
        <v>2950000</v>
      </c>
      <c r="E17" s="1872">
        <v>252000</v>
      </c>
      <c r="F17" s="2059">
        <v>226125.59999999995</v>
      </c>
      <c r="G17" s="1872">
        <v>260000</v>
      </c>
      <c r="H17" s="2059">
        <v>255730.90000000002</v>
      </c>
      <c r="I17" s="1874">
        <f t="shared" si="51"/>
        <v>512000</v>
      </c>
      <c r="J17" s="1875">
        <f t="shared" si="51"/>
        <v>481856.5</v>
      </c>
      <c r="K17" s="1872">
        <v>149000</v>
      </c>
      <c r="L17" s="2059">
        <v>167351.5</v>
      </c>
      <c r="M17" s="1876">
        <f t="shared" si="52"/>
        <v>661000</v>
      </c>
      <c r="N17" s="2071">
        <f t="shared" si="52"/>
        <v>649208</v>
      </c>
      <c r="O17" s="1872">
        <f>74*1000</f>
        <v>74000</v>
      </c>
      <c r="P17" s="2059">
        <v>250033.8</v>
      </c>
      <c r="Q17" s="1874">
        <f t="shared" si="53"/>
        <v>735000</v>
      </c>
      <c r="R17" s="1875">
        <f>+N17+P17</f>
        <v>899241.8</v>
      </c>
      <c r="S17" s="1872">
        <v>240000</v>
      </c>
      <c r="T17" s="2059">
        <v>245401.9</v>
      </c>
      <c r="U17" s="1874">
        <f t="shared" si="54"/>
        <v>975000</v>
      </c>
      <c r="V17" s="1875">
        <f>+R17+T17</f>
        <v>1144643.7</v>
      </c>
      <c r="W17" s="1872">
        <v>232000</v>
      </c>
      <c r="X17" s="2059">
        <v>245769.8</v>
      </c>
      <c r="Y17" s="5018">
        <f t="shared" si="56"/>
        <v>546000</v>
      </c>
      <c r="Z17" s="5018">
        <f t="shared" si="56"/>
        <v>741205.5</v>
      </c>
      <c r="AA17" s="2907">
        <f t="shared" si="57"/>
        <v>1207000</v>
      </c>
      <c r="AB17" s="2907">
        <f t="shared" si="57"/>
        <v>1390413.5</v>
      </c>
      <c r="AC17" s="1872">
        <v>250000</v>
      </c>
      <c r="AD17" s="2059">
        <v>237886.3</v>
      </c>
      <c r="AE17" s="1874">
        <f t="shared" si="58"/>
        <v>1457000</v>
      </c>
      <c r="AF17" s="1875">
        <f>+AB17+AD17</f>
        <v>1628299.8</v>
      </c>
      <c r="AG17" s="1872">
        <v>242000</v>
      </c>
      <c r="AH17" s="2059">
        <v>8246.5</v>
      </c>
      <c r="AI17" s="1874">
        <f t="shared" si="60"/>
        <v>1699000</v>
      </c>
      <c r="AJ17" s="1875">
        <f>+AF17+AH17</f>
        <v>1636546.3</v>
      </c>
      <c r="AK17" s="1872">
        <v>250000</v>
      </c>
      <c r="AL17" s="2059">
        <v>257290.9</v>
      </c>
      <c r="AM17" s="2905">
        <f t="shared" si="62"/>
        <v>742000</v>
      </c>
      <c r="AN17" s="2905">
        <f t="shared" si="63"/>
        <v>503423.69999999995</v>
      </c>
      <c r="AO17" s="2903">
        <f t="shared" si="64"/>
        <v>1949000</v>
      </c>
      <c r="AP17" s="2903">
        <f t="shared" si="64"/>
        <v>1893837.2</v>
      </c>
      <c r="AQ17" s="1872">
        <f>250*1000</f>
        <v>250000</v>
      </c>
      <c r="AR17" s="2059">
        <v>261845.40000000002</v>
      </c>
      <c r="AS17" s="1874">
        <f t="shared" si="65"/>
        <v>2199000</v>
      </c>
      <c r="AT17" s="1875">
        <f>+AP17+AR17</f>
        <v>2155682.6</v>
      </c>
      <c r="AU17" s="1872">
        <f>225*1000</f>
        <v>225000</v>
      </c>
      <c r="AV17" s="2059">
        <v>239624</v>
      </c>
      <c r="AW17" s="1874">
        <f t="shared" si="67"/>
        <v>2424000</v>
      </c>
      <c r="AX17" s="1875">
        <f>+AT17+AV17</f>
        <v>2395306.6</v>
      </c>
      <c r="AY17" s="1872">
        <v>250000</v>
      </c>
      <c r="AZ17" s="2059">
        <v>263830.00000000006</v>
      </c>
      <c r="BA17" s="3006">
        <f t="shared" si="69"/>
        <v>725000</v>
      </c>
      <c r="BB17" s="3006">
        <f t="shared" si="70"/>
        <v>765299.40000000014</v>
      </c>
      <c r="BC17" s="3007">
        <f>AM17+BA17</f>
        <v>1467000</v>
      </c>
      <c r="BD17" s="3007">
        <f t="shared" si="71"/>
        <v>1268723.1000000001</v>
      </c>
      <c r="BE17" s="3005">
        <f t="shared" si="72"/>
        <v>2674000</v>
      </c>
      <c r="BF17" s="3005">
        <f t="shared" si="73"/>
        <v>2659136.6</v>
      </c>
      <c r="BG17" s="7142">
        <v>2650000</v>
      </c>
      <c r="BH17" s="7142">
        <v>2622585.6999999997</v>
      </c>
      <c r="BI17" s="3341">
        <v>2800000</v>
      </c>
      <c r="BJ17" s="3305">
        <v>2721268.1</v>
      </c>
      <c r="BK17" s="1969">
        <v>2592119.6</v>
      </c>
      <c r="BL17" s="1969">
        <v>2650000.9700000002</v>
      </c>
      <c r="BM17" s="1969">
        <v>2406785.7000000002</v>
      </c>
      <c r="BN17" s="1969">
        <v>2496672.1533415001</v>
      </c>
      <c r="BO17" s="1969">
        <v>2092798</v>
      </c>
      <c r="BP17" s="1969">
        <v>2700000</v>
      </c>
      <c r="BQ17" s="1102">
        <v>2505193</v>
      </c>
      <c r="BR17" s="3252"/>
      <c r="BS17" s="3252"/>
      <c r="BT17" s="4713"/>
      <c r="BU17" s="4713"/>
      <c r="BV17" s="4713"/>
      <c r="BW17" s="1549"/>
    </row>
    <row r="18" spans="1:75" ht="16.5" thickBot="1" x14ac:dyDescent="0.3">
      <c r="B18" s="2051" t="s">
        <v>341</v>
      </c>
      <c r="C18" s="2026" t="s">
        <v>50</v>
      </c>
      <c r="D18" s="2027">
        <f>2770.01888574126*1000-19</f>
        <v>2769999.8857412599</v>
      </c>
      <c r="E18" s="1872">
        <f>237.110481586402*1000</f>
        <v>237110.48158640199</v>
      </c>
      <c r="F18" s="2059">
        <v>207020</v>
      </c>
      <c r="G18" s="1872">
        <f>244.66477809254*1000</f>
        <v>244664.77809253999</v>
      </c>
      <c r="H18" s="2059">
        <v>236638</v>
      </c>
      <c r="I18" s="1874">
        <f t="shared" si="51"/>
        <v>481775.25967894198</v>
      </c>
      <c r="J18" s="1875">
        <f t="shared" si="51"/>
        <v>443658</v>
      </c>
      <c r="K18" s="1872">
        <v>139811.32075471699</v>
      </c>
      <c r="L18" s="2059">
        <v>144189</v>
      </c>
      <c r="M18" s="1876">
        <f t="shared" si="52"/>
        <v>621586.58043365902</v>
      </c>
      <c r="N18" s="2071">
        <f t="shared" si="52"/>
        <v>587847</v>
      </c>
      <c r="O18" s="1872">
        <f>63.6792452830189*1000</f>
        <v>63679.245283018899</v>
      </c>
      <c r="P18" s="2059">
        <v>234513</v>
      </c>
      <c r="Q18" s="1874">
        <f>+M18+O18</f>
        <v>685265.82571667794</v>
      </c>
      <c r="R18" s="1875">
        <f t="shared" si="53"/>
        <v>822360</v>
      </c>
      <c r="S18" s="1872">
        <v>226056.603773585</v>
      </c>
      <c r="T18" s="2059">
        <v>231517</v>
      </c>
      <c r="U18" s="1874">
        <f>+Q18+S18</f>
        <v>911322.42949026288</v>
      </c>
      <c r="V18" s="1875">
        <f t="shared" ref="V18:V20" si="74">+R18+T18</f>
        <v>1053877</v>
      </c>
      <c r="W18" s="1872">
        <v>218509.43396226401</v>
      </c>
      <c r="X18" s="2059">
        <v>231269</v>
      </c>
      <c r="Y18" s="5018">
        <f t="shared" si="56"/>
        <v>508245.28301886795</v>
      </c>
      <c r="Z18" s="5018">
        <f t="shared" si="56"/>
        <v>697299</v>
      </c>
      <c r="AA18" s="2907">
        <f t="shared" si="57"/>
        <v>1129831.863452527</v>
      </c>
      <c r="AB18" s="2907">
        <f t="shared" si="57"/>
        <v>1285146</v>
      </c>
      <c r="AC18" s="1872">
        <v>235490.56603773599</v>
      </c>
      <c r="AD18" s="2059">
        <v>222138</v>
      </c>
      <c r="AE18" s="1874">
        <f t="shared" si="58"/>
        <v>1365322.4294902629</v>
      </c>
      <c r="AF18" s="1875">
        <f t="shared" ref="AF18:AF20" si="75">+AB18+AD18</f>
        <v>1507284</v>
      </c>
      <c r="AG18" s="1872">
        <f>227.943396226415*1000</f>
        <v>227943.396226415</v>
      </c>
      <c r="AH18" s="2059">
        <v>7935</v>
      </c>
      <c r="AI18" s="1874">
        <f t="shared" si="60"/>
        <v>1593265.8257166778</v>
      </c>
      <c r="AJ18" s="1875">
        <f t="shared" ref="AJ18" si="76">+AF18+AH18</f>
        <v>1515219</v>
      </c>
      <c r="AK18" s="1872">
        <f>235.490566037736*1000</f>
        <v>235490.56603773599</v>
      </c>
      <c r="AL18" s="2059">
        <v>234930</v>
      </c>
      <c r="AM18" s="2905">
        <f t="shared" si="62"/>
        <v>698924.52830188698</v>
      </c>
      <c r="AN18" s="2905">
        <f t="shared" si="63"/>
        <v>465003</v>
      </c>
      <c r="AO18" s="2903">
        <f t="shared" si="64"/>
        <v>1828756.3917544137</v>
      </c>
      <c r="AP18" s="2903">
        <f t="shared" si="64"/>
        <v>1750149</v>
      </c>
      <c r="AQ18" s="1872">
        <f>235.490566037736*1000</f>
        <v>235490.56603773599</v>
      </c>
      <c r="AR18" s="2059">
        <v>246040</v>
      </c>
      <c r="AS18" s="1874">
        <f t="shared" si="65"/>
        <v>2064246.9577921496</v>
      </c>
      <c r="AT18" s="1875">
        <f t="shared" ref="AT18:AT20" si="77">+AP18+AR18</f>
        <v>1996189</v>
      </c>
      <c r="AU18" s="1872">
        <f>211.905660377358*1000</f>
        <v>211905.660377358</v>
      </c>
      <c r="AV18" s="2059">
        <v>222895</v>
      </c>
      <c r="AW18" s="1874">
        <f t="shared" si="67"/>
        <v>2276152.6181695075</v>
      </c>
      <c r="AX18" s="1875">
        <f t="shared" ref="AX18" si="78">+AT18+AV18</f>
        <v>2219084</v>
      </c>
      <c r="AY18" s="1872">
        <f>235.490566037736*1000</f>
        <v>235490.56603773599</v>
      </c>
      <c r="AZ18" s="2059">
        <v>243552</v>
      </c>
      <c r="BA18" s="3006">
        <f t="shared" si="69"/>
        <v>682886.79245283001</v>
      </c>
      <c r="BB18" s="3006">
        <f t="shared" si="70"/>
        <v>712487</v>
      </c>
      <c r="BC18" s="3007">
        <f>AM18+BA18</f>
        <v>1381811.3207547171</v>
      </c>
      <c r="BD18" s="3007">
        <f t="shared" si="71"/>
        <v>1177490</v>
      </c>
      <c r="BE18" s="3005">
        <f t="shared" si="72"/>
        <v>2511643.1842072434</v>
      </c>
      <c r="BF18" s="3005">
        <f t="shared" si="73"/>
        <v>2462636</v>
      </c>
      <c r="BG18" s="7142">
        <v>2489528.3018867923</v>
      </c>
      <c r="BH18" s="7142">
        <v>2436959</v>
      </c>
      <c r="BI18" s="3341">
        <v>2620075.4716981109</v>
      </c>
      <c r="BJ18" s="3305">
        <v>2528925</v>
      </c>
      <c r="BK18" s="1969">
        <v>2422324.3024999998</v>
      </c>
      <c r="BL18" s="1969">
        <v>2451737.723004695</v>
      </c>
      <c r="BM18" s="1969">
        <v>2227867</v>
      </c>
      <c r="BN18" s="1969">
        <v>2297163.5</v>
      </c>
      <c r="BO18" s="1969">
        <v>1847433</v>
      </c>
      <c r="BP18" s="1969">
        <v>2500000</v>
      </c>
      <c r="BQ18" s="1102">
        <v>2083412</v>
      </c>
      <c r="BR18" s="3252"/>
      <c r="BS18" s="3252"/>
      <c r="BT18" s="4713"/>
      <c r="BU18" s="4713"/>
      <c r="BV18" s="4713"/>
      <c r="BW18" s="1549"/>
    </row>
    <row r="19" spans="1:75" s="3336" customFormat="1" ht="16.5" thickBot="1" x14ac:dyDescent="0.3">
      <c r="B19" s="3340" t="s">
        <v>1775</v>
      </c>
      <c r="C19" s="2026" t="s">
        <v>50</v>
      </c>
      <c r="D19" s="2027">
        <f>1978.46215750908*1000-2</f>
        <v>1978460.1575090801</v>
      </c>
      <c r="E19" s="1872">
        <f>SMS!E29</f>
        <v>171675.125385875</v>
      </c>
      <c r="F19" s="2059">
        <f>SMS!F37</f>
        <v>149261</v>
      </c>
      <c r="G19" s="1872">
        <f>SMS!G29</f>
        <v>176063.19497908399</v>
      </c>
      <c r="H19" s="2059">
        <f>SMS!H37</f>
        <v>175199.53999999998</v>
      </c>
      <c r="I19" s="1874">
        <f>+E19+G19</f>
        <v>347738.32036495896</v>
      </c>
      <c r="J19" s="1875">
        <f>SMS!J37</f>
        <v>324460.53999999998</v>
      </c>
      <c r="K19" s="1872">
        <f>SMS!K29</f>
        <v>106020</v>
      </c>
      <c r="L19" s="2059">
        <f>SMS!L37</f>
        <v>113537</v>
      </c>
      <c r="M19" s="1876">
        <f t="shared" si="52"/>
        <v>453758.32036495896</v>
      </c>
      <c r="N19" s="1876">
        <f t="shared" si="52"/>
        <v>437997.54</v>
      </c>
      <c r="O19" s="1872">
        <f>SMS!O29</f>
        <v>50085</v>
      </c>
      <c r="P19" s="2059">
        <f>SMS!P37</f>
        <v>175693.36</v>
      </c>
      <c r="Q19" s="1874">
        <f t="shared" ref="Q19:Q20" si="79">+M19+O19</f>
        <v>503843.32036495896</v>
      </c>
      <c r="R19" s="1875">
        <f t="shared" ref="R19:R20" si="80">+N19+P19</f>
        <v>613690.89999999991</v>
      </c>
      <c r="S19" s="1872">
        <f>SMS!S29</f>
        <v>168750</v>
      </c>
      <c r="T19" s="2059">
        <f>SMS!T37</f>
        <v>173992</v>
      </c>
      <c r="U19" s="1874">
        <f t="shared" ref="U19:U20" si="81">+Q19+S19</f>
        <v>672593.32036495896</v>
      </c>
      <c r="V19" s="1875">
        <f t="shared" si="74"/>
        <v>787682.89999999991</v>
      </c>
      <c r="W19" s="1872">
        <f>SMS!W29</f>
        <v>163125</v>
      </c>
      <c r="X19" s="2059">
        <f>SMS!X37</f>
        <v>174717</v>
      </c>
      <c r="Y19" s="5018">
        <f t="shared" ref="Y19:Y20" si="82">+O19+S19+W19</f>
        <v>381960</v>
      </c>
      <c r="Z19" s="5018">
        <f t="shared" ref="Z19:Z20" si="83">+P19+T19+X19</f>
        <v>524402.36</v>
      </c>
      <c r="AA19" s="5019">
        <f t="shared" ref="AA19:AA20" si="84">+M19+Y19</f>
        <v>835718.32036495896</v>
      </c>
      <c r="AB19" s="5019">
        <f t="shared" ref="AB19:AB20" si="85">+N19+Z19</f>
        <v>962399.89999999991</v>
      </c>
      <c r="AC19" s="1872">
        <f>SMS!AC29</f>
        <v>177750</v>
      </c>
      <c r="AD19" s="2059">
        <f>SMS!AD37</f>
        <v>168140</v>
      </c>
      <c r="AE19" s="1874">
        <f t="shared" ref="AE19:AE20" si="86">+AA19+AC19</f>
        <v>1013468.320364959</v>
      </c>
      <c r="AF19" s="1875">
        <f t="shared" si="75"/>
        <v>1130539.8999999999</v>
      </c>
      <c r="AG19" s="1872">
        <f>SMS!AG29</f>
        <v>171825</v>
      </c>
      <c r="AH19" s="2059">
        <f>SMS!AH37</f>
        <v>7935</v>
      </c>
      <c r="AI19" s="1874">
        <f>SMS!AI29</f>
        <v>1185293.3203649591</v>
      </c>
      <c r="AJ19" s="1875">
        <f>SMS!AJ37</f>
        <v>1138474.8999999999</v>
      </c>
      <c r="AK19" s="1872">
        <f>SMS!AK29</f>
        <v>177840.45</v>
      </c>
      <c r="AL19" s="2059">
        <f>SMS!AL37</f>
        <v>176215.37</v>
      </c>
      <c r="AM19" s="5896">
        <f>SMS!AM29</f>
        <v>527415.44999999995</v>
      </c>
      <c r="AN19" s="5896">
        <f>SMS!AN37</f>
        <v>352290.37</v>
      </c>
      <c r="AO19" s="5897">
        <f>SMS!AO29</f>
        <v>1363133.770364959</v>
      </c>
      <c r="AP19" s="5897">
        <f>SMS!AP37</f>
        <v>1314690.27</v>
      </c>
      <c r="AQ19" s="1872">
        <f>SMS!AQ29</f>
        <v>177750</v>
      </c>
      <c r="AR19" s="2059">
        <f>SMS!AR37</f>
        <v>183526</v>
      </c>
      <c r="AS19" s="1874">
        <f t="shared" ref="AS19:AS20" si="87">+AO19+AQ19</f>
        <v>1540883.770364959</v>
      </c>
      <c r="AT19" s="1875">
        <f t="shared" si="77"/>
        <v>1498216.27</v>
      </c>
      <c r="AU19" s="1872">
        <f>SMS!AU29</f>
        <v>159975</v>
      </c>
      <c r="AV19" s="2059">
        <f>SMS!AV37</f>
        <v>163924</v>
      </c>
      <c r="AW19" s="1874">
        <f t="shared" ref="AW19:AW20" si="88">+AS19+AU19</f>
        <v>1700858.770364959</v>
      </c>
      <c r="AX19" s="1875">
        <f t="shared" ref="AX19:AX20" si="89">+AT19+AV19</f>
        <v>1662140.27</v>
      </c>
      <c r="AY19" s="1872">
        <f>SMS!AY29</f>
        <v>177750</v>
      </c>
      <c r="AZ19" s="2059">
        <f>SMS!AZ37</f>
        <v>171866</v>
      </c>
      <c r="BA19" s="6384">
        <f t="shared" ref="BA19:BA20" si="90">+AQ19+AU19+AY19</f>
        <v>515475</v>
      </c>
      <c r="BB19" s="6384">
        <f t="shared" ref="BB19:BB20" si="91">+AR19+AV19+AZ19</f>
        <v>519316</v>
      </c>
      <c r="BC19" s="6385">
        <f t="shared" ref="BC19:BC20" si="92">AM19+BA19</f>
        <v>1042890.45</v>
      </c>
      <c r="BD19" s="6385">
        <f t="shared" ref="BD19:BD20" si="93">AN19+BB19</f>
        <v>871606.37</v>
      </c>
      <c r="BE19" s="6383">
        <f t="shared" ref="BE19:BE20" si="94">AW19+AY19</f>
        <v>1878608.770364959</v>
      </c>
      <c r="BF19" s="6383">
        <f t="shared" ref="BF19:BF20" si="95">AX19+AZ19</f>
        <v>1834006.27</v>
      </c>
      <c r="BG19" s="3348">
        <v>1880445.45</v>
      </c>
      <c r="BH19" s="7142">
        <v>1818588.73</v>
      </c>
      <c r="BI19" s="3348"/>
      <c r="BJ19" s="3341">
        <v>1922629.6</v>
      </c>
      <c r="BK19" s="3341">
        <v>1903696</v>
      </c>
      <c r="BL19" s="3348"/>
      <c r="BM19" s="3341">
        <v>1777963.7499999998</v>
      </c>
      <c r="BN19" s="3348"/>
      <c r="BO19" s="3348"/>
      <c r="BP19" s="3339"/>
      <c r="BQ19" s="1102"/>
      <c r="BR19" s="3252"/>
      <c r="BS19" s="3252"/>
      <c r="BT19" s="4713"/>
      <c r="BU19" s="4713"/>
      <c r="BV19" s="4713"/>
      <c r="BW19" s="1549"/>
    </row>
    <row r="20" spans="1:75" s="3336" customFormat="1" ht="16.5" thickBot="1" x14ac:dyDescent="0.3">
      <c r="B20" s="3340" t="s">
        <v>1774</v>
      </c>
      <c r="C20" s="2026" t="s">
        <v>50</v>
      </c>
      <c r="D20" s="2027">
        <f>791.55672823219*1000-17</f>
        <v>791539.72823219001</v>
      </c>
      <c r="E20" s="1872">
        <f>SMS!E38</f>
        <v>65435.356200527698</v>
      </c>
      <c r="F20" s="2059">
        <f>SMS!F46</f>
        <v>57758.57</v>
      </c>
      <c r="G20" s="1872">
        <f>SMS!G38</f>
        <v>68601.583113456494</v>
      </c>
      <c r="H20" s="2059">
        <f>SMS!H46</f>
        <v>61438.559999999998</v>
      </c>
      <c r="I20" s="1874">
        <f>+E20+G20</f>
        <v>134036.93931398418</v>
      </c>
      <c r="J20" s="1875">
        <f>SMS!J46</f>
        <v>119197.13</v>
      </c>
      <c r="K20" s="1872">
        <f>SMS!K38</f>
        <v>33791.32</v>
      </c>
      <c r="L20" s="2059">
        <f>SMS!L46</f>
        <v>30651.96</v>
      </c>
      <c r="M20" s="1876">
        <f t="shared" si="52"/>
        <v>167828.25931398419</v>
      </c>
      <c r="N20" s="1876">
        <f t="shared" si="52"/>
        <v>149849.09</v>
      </c>
      <c r="O20" s="1872">
        <f>SMS!O38</f>
        <v>13594.245279999999</v>
      </c>
      <c r="P20" s="2059">
        <f>SMS!P46</f>
        <v>58819.91</v>
      </c>
      <c r="Q20" s="1874">
        <f t="shared" si="79"/>
        <v>181422.50459398419</v>
      </c>
      <c r="R20" s="1875">
        <f t="shared" si="80"/>
        <v>208669</v>
      </c>
      <c r="S20" s="1872">
        <f>SMS!S38</f>
        <v>57306.6</v>
      </c>
      <c r="T20" s="2059">
        <f>SMS!T46</f>
        <v>57524.85</v>
      </c>
      <c r="U20" s="1874">
        <f t="shared" si="81"/>
        <v>238729.1045939842</v>
      </c>
      <c r="V20" s="1875">
        <f t="shared" si="74"/>
        <v>266193.84999999998</v>
      </c>
      <c r="W20" s="1872">
        <f>SMS!W38</f>
        <v>55384.43</v>
      </c>
      <c r="X20" s="2059">
        <f>SMS!X46</f>
        <v>56551.8</v>
      </c>
      <c r="Y20" s="5018">
        <f t="shared" si="82"/>
        <v>126285.27528</v>
      </c>
      <c r="Z20" s="5018">
        <f t="shared" si="83"/>
        <v>172896.56</v>
      </c>
      <c r="AA20" s="5019">
        <f t="shared" si="84"/>
        <v>294113.53459398419</v>
      </c>
      <c r="AB20" s="5019">
        <f t="shared" si="85"/>
        <v>322745.65000000002</v>
      </c>
      <c r="AC20" s="1872">
        <f>SMS!AC38</f>
        <v>57740.566037735844</v>
      </c>
      <c r="AD20" s="2059">
        <f>SMS!AD46</f>
        <v>53997.96</v>
      </c>
      <c r="AE20" s="1874">
        <f t="shared" si="86"/>
        <v>351854.10063172004</v>
      </c>
      <c r="AF20" s="1875">
        <f t="shared" si="75"/>
        <v>376743.61000000004</v>
      </c>
      <c r="AG20" s="1872">
        <f>SMS!AG38</f>
        <v>56118.396226415098</v>
      </c>
      <c r="AH20" s="2059">
        <f>SMS!AH46</f>
        <v>0</v>
      </c>
      <c r="AI20" s="1874">
        <f>SMS!AI38</f>
        <v>407972.49685813516</v>
      </c>
      <c r="AJ20" s="1875">
        <f>SMS!AJ46</f>
        <v>376743.61000000004</v>
      </c>
      <c r="AK20" s="1872">
        <f>SMS!AK38</f>
        <v>57650.116037735803</v>
      </c>
      <c r="AL20" s="2059">
        <f>SMS!AL46</f>
        <v>58714.36</v>
      </c>
      <c r="AM20" s="5896">
        <f>SMS!AM38</f>
        <v>171509.07830188674</v>
      </c>
      <c r="AN20" s="5896">
        <f>SMS!AN46</f>
        <v>112712.32000000001</v>
      </c>
      <c r="AO20" s="5897">
        <f>SMS!AO38</f>
        <v>465622.61289587093</v>
      </c>
      <c r="AP20" s="5897">
        <f>SMS!AP46</f>
        <v>435457.97000000003</v>
      </c>
      <c r="AQ20" s="1872">
        <f>SMS!AQ38</f>
        <v>57740.5660377358</v>
      </c>
      <c r="AR20" s="2059">
        <f>SMS!AR46</f>
        <v>62514.11</v>
      </c>
      <c r="AS20" s="1874">
        <f t="shared" si="87"/>
        <v>523363.17893360672</v>
      </c>
      <c r="AT20" s="1875">
        <f t="shared" si="77"/>
        <v>497972.08</v>
      </c>
      <c r="AU20" s="1872">
        <f>SMS!AU38</f>
        <v>51930.660377358501</v>
      </c>
      <c r="AV20" s="2059">
        <f>SMS!AV46</f>
        <v>58971.81</v>
      </c>
      <c r="AW20" s="1874">
        <f t="shared" si="88"/>
        <v>575293.83931096527</v>
      </c>
      <c r="AX20" s="1875">
        <f t="shared" si="89"/>
        <v>556943.89</v>
      </c>
      <c r="AY20" s="1872">
        <f>SMS!AY38</f>
        <v>57740.5660377358</v>
      </c>
      <c r="AZ20" s="2059">
        <f>SMS!AZ46</f>
        <v>71685.700000000012</v>
      </c>
      <c r="BA20" s="6384">
        <f t="shared" si="90"/>
        <v>167411.79245283012</v>
      </c>
      <c r="BB20" s="6384">
        <f t="shared" si="91"/>
        <v>193171.62</v>
      </c>
      <c r="BC20" s="6385">
        <f t="shared" si="92"/>
        <v>338920.87075471686</v>
      </c>
      <c r="BD20" s="6385">
        <f t="shared" si="93"/>
        <v>305883.94</v>
      </c>
      <c r="BE20" s="6383">
        <f t="shared" si="94"/>
        <v>633034.40534870105</v>
      </c>
      <c r="BF20" s="6383">
        <f t="shared" si="95"/>
        <v>628629.59000000008</v>
      </c>
      <c r="BG20" s="3348">
        <v>609083.06980830187</v>
      </c>
      <c r="BH20" s="7142">
        <v>618370.32000000007</v>
      </c>
      <c r="BI20" s="3348"/>
      <c r="BJ20" s="3341">
        <v>606294.79</v>
      </c>
      <c r="BK20" s="3341">
        <v>518629.33</v>
      </c>
      <c r="BL20" s="3348"/>
      <c r="BM20" s="3341">
        <v>449903.88033333333</v>
      </c>
      <c r="BN20" s="3348"/>
      <c r="BO20" s="3348"/>
      <c r="BP20" s="3339"/>
      <c r="BQ20" s="1102"/>
      <c r="BR20" s="3252"/>
      <c r="BS20" s="3252"/>
      <c r="BT20" s="4713"/>
      <c r="BU20" s="4713"/>
      <c r="BV20" s="4713"/>
      <c r="BW20" s="1549"/>
    </row>
    <row r="21" spans="1:75" ht="16.5" customHeight="1" thickBot="1" x14ac:dyDescent="0.3">
      <c r="B21" s="2052" t="s">
        <v>517</v>
      </c>
      <c r="C21" s="2028" t="s">
        <v>469</v>
      </c>
      <c r="D21" s="2027">
        <f>D51/D1</f>
        <v>54.152138305122264</v>
      </c>
      <c r="E21" s="2930">
        <f t="shared" ref="E21:T21" si="96">+E51/E1</f>
        <v>54.508156686529361</v>
      </c>
      <c r="F21" s="1318">
        <f t="shared" si="96"/>
        <v>49.612499999999997</v>
      </c>
      <c r="G21" s="2930">
        <f t="shared" ref="G21:H21" si="97">+G51/G1</f>
        <v>54.369950687231139</v>
      </c>
      <c r="H21" s="1318">
        <f t="shared" si="97"/>
        <v>50.886713286713288</v>
      </c>
      <c r="I21" s="2930">
        <f t="shared" si="96"/>
        <v>54.437882449598057</v>
      </c>
      <c r="J21" s="1318">
        <f t="shared" si="96"/>
        <v>50.284870848708486</v>
      </c>
      <c r="K21" s="2930">
        <f t="shared" si="96"/>
        <v>32.140533506831488</v>
      </c>
      <c r="L21" s="1318">
        <f t="shared" si="96"/>
        <v>37.794019933554821</v>
      </c>
      <c r="M21" s="2931">
        <f t="shared" si="96"/>
        <v>47.089892457095445</v>
      </c>
      <c r="N21" s="2932">
        <f t="shared" si="96"/>
        <v>46.442514052120593</v>
      </c>
      <c r="O21" s="2930">
        <f t="shared" si="96"/>
        <v>14.150943396226413</v>
      </c>
      <c r="P21" s="1318">
        <f t="shared" si="96"/>
        <v>51.041322314049587</v>
      </c>
      <c r="Q21" s="2930">
        <f t="shared" si="96"/>
        <v>38.715583373823655</v>
      </c>
      <c r="R21" s="1318">
        <f t="shared" si="96"/>
        <v>47.686917629519193</v>
      </c>
      <c r="S21" s="2930">
        <f t="shared" si="96"/>
        <v>50.234800838574422</v>
      </c>
      <c r="T21" s="1318">
        <f t="shared" si="96"/>
        <v>51.346478873239441</v>
      </c>
      <c r="U21" s="2930">
        <f t="shared" ref="U21:V21" si="98">+U51/U1</f>
        <v>41.050559886948811</v>
      </c>
      <c r="V21" s="1318">
        <f t="shared" si="98"/>
        <v>48.452696728558799</v>
      </c>
      <c r="W21" s="2930">
        <f t="shared" ref="W21:AD21" si="99">+W51/W1</f>
        <v>85.60503488152554</v>
      </c>
      <c r="X21" s="1318">
        <f t="shared" si="99"/>
        <v>50.473537604456823</v>
      </c>
      <c r="Y21" s="1971">
        <f t="shared" si="99"/>
        <v>43.994282962787182</v>
      </c>
      <c r="Z21" s="1971">
        <f t="shared" si="99"/>
        <v>50.952646239554319</v>
      </c>
      <c r="AA21" s="1971">
        <f t="shared" si="99"/>
        <v>45.645105934256144</v>
      </c>
      <c r="AB21" s="1971">
        <f t="shared" si="99"/>
        <v>48.805643395767454</v>
      </c>
      <c r="AC21" s="2930">
        <f t="shared" si="99"/>
        <v>52.331236897274628</v>
      </c>
      <c r="AD21" s="1318">
        <f t="shared" si="99"/>
        <v>48.422487033663806</v>
      </c>
      <c r="AE21" s="2930">
        <f t="shared" ref="AE21:AF21" si="100">+AE51/AE1</f>
        <v>46.67365249790933</v>
      </c>
      <c r="AF21" s="1318">
        <f t="shared" si="100"/>
        <v>48.748594769956341</v>
      </c>
      <c r="AG21" s="2930">
        <f>+AG51/AG1</f>
        <v>52.400780741704615</v>
      </c>
      <c r="AH21" s="1318">
        <f>+AH51/AH1</f>
        <v>52</v>
      </c>
      <c r="AI21" s="2930">
        <f t="shared" ref="AI21:AN21" si="101">+AI51/AI1</f>
        <v>47.415055236666916</v>
      </c>
      <c r="AJ21" s="1318">
        <f>+AJ51/AJ1</f>
        <v>48.764670376192015</v>
      </c>
      <c r="AK21" s="2930">
        <f>+AK51/AK1</f>
        <v>52.331236897274628</v>
      </c>
      <c r="AL21" s="1318">
        <f>+AL51/AL1</f>
        <v>49.788617886178862</v>
      </c>
      <c r="AM21" s="1971">
        <f t="shared" si="101"/>
        <v>52.353897251077655</v>
      </c>
      <c r="AN21" s="1971">
        <f t="shared" si="101"/>
        <v>49.161136128871092</v>
      </c>
      <c r="AO21" s="2930">
        <f t="shared" ref="AO21:AT21" si="102">+AO51/AO1</f>
        <v>47.99566805693847</v>
      </c>
      <c r="AP21" s="1318">
        <f t="shared" si="102"/>
        <v>48.899800971715813</v>
      </c>
      <c r="AQ21" s="2930">
        <f>+AQ51/AQ1</f>
        <v>52.331236897274628</v>
      </c>
      <c r="AR21" s="1318">
        <f>+AR51/AR1</f>
        <v>53.523012552301253</v>
      </c>
      <c r="AS21" s="2930">
        <f t="shared" si="102"/>
        <v>48.453623481800257</v>
      </c>
      <c r="AT21" s="1318">
        <f t="shared" si="102"/>
        <v>49.425201730180049</v>
      </c>
      <c r="AU21" s="2930">
        <f>+AU51/AU1</f>
        <v>52.322385278360123</v>
      </c>
      <c r="AV21" s="1318">
        <f>+AV51/AV1</f>
        <v>53.07586206896552</v>
      </c>
      <c r="AW21" s="2930">
        <f t="shared" ref="AW21:BF21" si="103">+AW51/AW1</f>
        <v>48.789478476922774</v>
      </c>
      <c r="AX21" s="1318">
        <f t="shared" si="103"/>
        <v>49.767369036452465</v>
      </c>
      <c r="AY21" s="2930">
        <f>+AY51/AY1</f>
        <v>52.331236897274628</v>
      </c>
      <c r="AZ21" s="1318">
        <f>+AZ51/AZ1</f>
        <v>52.002756719503786</v>
      </c>
      <c r="BA21" s="1971">
        <f t="shared" si="103"/>
        <v>52.328489843128743</v>
      </c>
      <c r="BB21" s="1971">
        <f t="shared" si="103"/>
        <v>52.857279236276845</v>
      </c>
      <c r="BC21" s="1971">
        <f t="shared" si="103"/>
        <v>52.341337907375639</v>
      </c>
      <c r="BD21" s="1971">
        <f t="shared" si="103"/>
        <v>51.326419046074427</v>
      </c>
      <c r="BE21" s="2930">
        <f t="shared" si="103"/>
        <v>49.101054714775408</v>
      </c>
      <c r="BF21" s="1318">
        <f t="shared" si="103"/>
        <v>49.978340533642424</v>
      </c>
      <c r="BG21" s="1142">
        <v>51.463117269757682</v>
      </c>
      <c r="BH21" s="1142">
        <v>49.27054583050262</v>
      </c>
      <c r="BI21" s="1142">
        <v>50.337665162307644</v>
      </c>
      <c r="BJ21" s="1142">
        <v>48.13036797026696</v>
      </c>
      <c r="BK21" s="1142">
        <v>45.269662921348313</v>
      </c>
      <c r="BL21" s="1142">
        <v>44.780041074452797</v>
      </c>
      <c r="BM21" s="1142">
        <v>40.065753424657537</v>
      </c>
      <c r="BN21" s="1142">
        <v>41.920045662100456</v>
      </c>
      <c r="BO21" s="1142">
        <v>33.30958904109589</v>
      </c>
      <c r="BP21" s="1142">
        <v>47.014645250053974</v>
      </c>
      <c r="BQ21" s="2078">
        <v>38.66393442622951</v>
      </c>
      <c r="BR21" s="3252"/>
      <c r="BS21" s="3252"/>
      <c r="BT21" s="4713"/>
      <c r="BU21" s="4713"/>
      <c r="BV21" s="4713"/>
      <c r="BW21" s="1549"/>
    </row>
    <row r="22" spans="1:75" ht="15" customHeight="1" x14ac:dyDescent="0.25">
      <c r="A22" s="149"/>
      <c r="B22" s="2036" t="s">
        <v>236</v>
      </c>
      <c r="C22" s="2081"/>
      <c r="D22" s="2916"/>
      <c r="E22" s="2916"/>
      <c r="F22" s="2916"/>
      <c r="G22" s="2916"/>
      <c r="H22" s="2916"/>
      <c r="I22" s="2916"/>
      <c r="J22" s="2916"/>
      <c r="K22" s="2916"/>
      <c r="L22" s="2916"/>
      <c r="M22" s="2916"/>
      <c r="N22" s="2916"/>
      <c r="O22" s="2916"/>
      <c r="P22" s="2916"/>
      <c r="Q22" s="2916"/>
      <c r="R22" s="2916"/>
      <c r="S22" s="2916"/>
      <c r="T22" s="2916"/>
      <c r="U22" s="2916"/>
      <c r="V22" s="2916"/>
      <c r="W22" s="2916"/>
      <c r="X22" s="2916"/>
      <c r="Y22" s="2916"/>
      <c r="Z22" s="2916"/>
      <c r="AA22" s="2916"/>
      <c r="AB22" s="2916"/>
      <c r="AC22" s="2916"/>
      <c r="AD22" s="2916"/>
      <c r="AE22" s="2916"/>
      <c r="AF22" s="2916"/>
      <c r="AG22" s="2916"/>
      <c r="AH22" s="2916"/>
      <c r="AI22" s="2916"/>
      <c r="AJ22" s="2916"/>
      <c r="AK22" s="2916"/>
      <c r="AL22" s="2916"/>
      <c r="AM22" s="2916"/>
      <c r="AN22" s="2916"/>
      <c r="AO22" s="2916"/>
      <c r="AP22" s="2916"/>
      <c r="AQ22" s="2916"/>
      <c r="AR22" s="2916"/>
      <c r="AS22" s="2916"/>
      <c r="AT22" s="2916"/>
      <c r="AU22" s="2916"/>
      <c r="AV22" s="2916"/>
      <c r="AW22" s="2916"/>
      <c r="AX22" s="2916"/>
      <c r="AY22" s="2916"/>
      <c r="AZ22" s="2916"/>
      <c r="BA22" s="2916"/>
      <c r="BB22" s="2916"/>
      <c r="BC22" s="2916"/>
      <c r="BD22" s="2916"/>
      <c r="BE22" s="2916"/>
      <c r="BF22" s="2916"/>
      <c r="BG22" s="2081"/>
      <c r="BH22" s="2081"/>
      <c r="BI22" s="2081"/>
      <c r="BJ22" s="2081"/>
      <c r="BK22" s="2081"/>
      <c r="BL22" s="2081"/>
      <c r="BM22" s="2081"/>
      <c r="BN22" s="2081"/>
      <c r="BO22" s="2081"/>
      <c r="BP22" s="2081"/>
      <c r="BQ22" s="2082"/>
      <c r="BR22" s="3252"/>
      <c r="BS22" s="3252"/>
      <c r="BT22" s="4713"/>
      <c r="BU22" s="4713"/>
      <c r="BV22" s="4713"/>
      <c r="BW22" s="1549"/>
    </row>
    <row r="23" spans="1:75" ht="15" customHeight="1" x14ac:dyDescent="0.25">
      <c r="B23" s="2045" t="s">
        <v>20</v>
      </c>
      <c r="C23" s="2016" t="s">
        <v>50</v>
      </c>
      <c r="D23" s="2908">
        <v>12645</v>
      </c>
      <c r="E23" s="2904">
        <f>0.81*1000</f>
        <v>810</v>
      </c>
      <c r="F23" s="18">
        <v>3914.4925899999998</v>
      </c>
      <c r="G23" s="7141">
        <v>810</v>
      </c>
      <c r="H23" s="18">
        <v>2383.6527900000001</v>
      </c>
      <c r="I23" s="2903">
        <f t="shared" ref="I23:J25" si="104">+E23+G23</f>
        <v>1620</v>
      </c>
      <c r="J23" s="39">
        <f t="shared" si="104"/>
        <v>6298.1453799999999</v>
      </c>
      <c r="K23" s="4555">
        <f>0.72*1000</f>
        <v>720</v>
      </c>
      <c r="L23" s="18">
        <v>3128.8729499999999</v>
      </c>
      <c r="M23" s="2906">
        <f t="shared" ref="M23:N25" si="105">+E23+G23+K23</f>
        <v>2340</v>
      </c>
      <c r="N23" s="69">
        <f t="shared" si="105"/>
        <v>9427.018329999999</v>
      </c>
      <c r="O23" s="4761">
        <v>3600</v>
      </c>
      <c r="P23" s="18">
        <v>314.93230999999997</v>
      </c>
      <c r="Q23" s="4760">
        <f t="shared" ref="Q23:R25" si="106">+M23+O23</f>
        <v>5940</v>
      </c>
      <c r="R23" s="39">
        <f t="shared" si="106"/>
        <v>9741.9506399999991</v>
      </c>
      <c r="S23" s="4865">
        <v>342</v>
      </c>
      <c r="T23" s="18">
        <v>392.89328999999998</v>
      </c>
      <c r="U23" s="4864">
        <f t="shared" ref="U23:U25" si="107">+Q23+S23</f>
        <v>6282</v>
      </c>
      <c r="V23" s="39">
        <f t="shared" ref="V23:V25" si="108">+R23+T23</f>
        <v>10134.843929999999</v>
      </c>
      <c r="W23" s="5017">
        <v>342</v>
      </c>
      <c r="X23" s="18">
        <v>569</v>
      </c>
      <c r="Y23" s="5018">
        <f t="shared" ref="Y23:Z25" si="109">+O23+S23+W23</f>
        <v>4284</v>
      </c>
      <c r="Z23" s="5018">
        <f t="shared" si="109"/>
        <v>1276.8255999999999</v>
      </c>
      <c r="AA23" s="2907">
        <f t="shared" ref="AA23:AB25" si="110">+M23+Y23</f>
        <v>6624</v>
      </c>
      <c r="AB23" s="2907">
        <f t="shared" si="110"/>
        <v>10703.843929999999</v>
      </c>
      <c r="AC23" s="5329">
        <v>342</v>
      </c>
      <c r="AD23" s="18">
        <v>264.68337000000002</v>
      </c>
      <c r="AE23" s="2903">
        <f t="shared" ref="AE23:AE25" si="111">+AA23+AC23</f>
        <v>6966</v>
      </c>
      <c r="AF23" s="39">
        <f t="shared" ref="AF23:AF25" si="112">+AB23+AD23</f>
        <v>10968.5273</v>
      </c>
      <c r="AG23" s="5496">
        <v>342</v>
      </c>
      <c r="AH23" s="18">
        <v>25.041</v>
      </c>
      <c r="AI23" s="2903">
        <f t="shared" ref="AI23:AI25" si="113">+AE23+AG23</f>
        <v>7308</v>
      </c>
      <c r="AJ23" s="39">
        <f t="shared" ref="AJ23:AJ24" si="114">+AF23+AH23</f>
        <v>10993.568299999999</v>
      </c>
      <c r="AK23" s="5898">
        <v>342</v>
      </c>
      <c r="AL23" s="18">
        <v>2134.99566</v>
      </c>
      <c r="AM23" s="2905">
        <f t="shared" ref="AM23:AM25" si="115">+AC23+AG23+AK23</f>
        <v>1026</v>
      </c>
      <c r="AN23" s="2905">
        <f t="shared" ref="AN23:AN24" si="116">+AD23+AH23+AL23</f>
        <v>2424.72003</v>
      </c>
      <c r="AO23" s="2903">
        <f>AI23+AK23</f>
        <v>7650</v>
      </c>
      <c r="AP23" s="2903">
        <f>AJ23+AL23</f>
        <v>13128.563959999999</v>
      </c>
      <c r="AQ23" s="6059">
        <v>342</v>
      </c>
      <c r="AR23" s="18">
        <v>495.31098000000003</v>
      </c>
      <c r="AS23" s="2903">
        <f t="shared" ref="AS23:AS25" si="117">+AO23+AQ23</f>
        <v>7992</v>
      </c>
      <c r="AT23" s="39">
        <f t="shared" ref="AT23:AT25" si="118">+AP23+AR23</f>
        <v>13623.87494</v>
      </c>
      <c r="AU23" s="6166">
        <f>0.342*1000</f>
        <v>342</v>
      </c>
      <c r="AV23" s="18">
        <v>324.53136000000001</v>
      </c>
      <c r="AW23" s="2903">
        <f t="shared" ref="AW23:AW25" si="119">+AS23+AU23</f>
        <v>8334</v>
      </c>
      <c r="AX23" s="39">
        <f t="shared" ref="AX23:AX25" si="120">+AT23+AV23</f>
        <v>13948.406300000001</v>
      </c>
      <c r="AY23" s="6381">
        <f>0.342*1000</f>
        <v>342</v>
      </c>
      <c r="AZ23" s="18">
        <v>4393.3599799999993</v>
      </c>
      <c r="BA23" s="3006">
        <f t="shared" ref="BA23:BA25" si="121">+AQ23+AU23+AY23</f>
        <v>1026</v>
      </c>
      <c r="BB23" s="3006">
        <f t="shared" ref="BB23:BB25" si="122">+AR23+AV23+AZ23</f>
        <v>5213.2023199999994</v>
      </c>
      <c r="BC23" s="3007">
        <f t="shared" ref="BC23:BD25" si="123">AM23+BA23</f>
        <v>2052</v>
      </c>
      <c r="BD23" s="3007">
        <f t="shared" si="123"/>
        <v>7637.9223499999989</v>
      </c>
      <c r="BE23" s="3005">
        <f>AW23+AY23</f>
        <v>8676</v>
      </c>
      <c r="BF23" s="3005">
        <f>AX23+AZ23</f>
        <v>18341.76628</v>
      </c>
      <c r="BG23" s="7142">
        <v>7740</v>
      </c>
      <c r="BH23" s="7142">
        <v>12917.885679999999</v>
      </c>
      <c r="BI23" s="3341">
        <v>19561.099796333998</v>
      </c>
      <c r="BJ23" s="3305">
        <v>7548.2755700000007</v>
      </c>
      <c r="BK23" s="1969">
        <v>9129.3344199999992</v>
      </c>
      <c r="BL23" s="1969">
        <v>19735.515274949088</v>
      </c>
      <c r="BM23" s="1969">
        <v>22361.07245</v>
      </c>
      <c r="BN23" s="1969">
        <v>20755.018447889259</v>
      </c>
      <c r="BO23" s="1969">
        <v>58220.700000000004</v>
      </c>
      <c r="BP23" s="1969">
        <v>29957.855711422799</v>
      </c>
      <c r="BQ23" s="1102">
        <v>134629.17781999998</v>
      </c>
      <c r="BR23" s="3252"/>
      <c r="BS23" s="3252"/>
      <c r="BT23" s="4713"/>
      <c r="BU23" s="4713"/>
      <c r="BV23" s="4713"/>
      <c r="BW23" s="1549"/>
    </row>
    <row r="24" spans="1:75" ht="15" customHeight="1" x14ac:dyDescent="0.25">
      <c r="B24" s="2045" t="s">
        <v>113</v>
      </c>
      <c r="C24" s="2016" t="s">
        <v>50</v>
      </c>
      <c r="D24" s="2908">
        <v>0</v>
      </c>
      <c r="E24" s="2904">
        <v>0</v>
      </c>
      <c r="F24" s="18">
        <v>194.6</v>
      </c>
      <c r="G24" s="7141">
        <v>0</v>
      </c>
      <c r="H24" s="18">
        <v>230</v>
      </c>
      <c r="I24" s="2903">
        <f t="shared" si="104"/>
        <v>0</v>
      </c>
      <c r="J24" s="39">
        <f t="shared" si="104"/>
        <v>424.6</v>
      </c>
      <c r="K24" s="4555">
        <v>0</v>
      </c>
      <c r="L24" s="18">
        <v>441.72323999999998</v>
      </c>
      <c r="M24" s="2906">
        <f t="shared" si="105"/>
        <v>0</v>
      </c>
      <c r="N24" s="69">
        <f t="shared" si="105"/>
        <v>866.32323999999994</v>
      </c>
      <c r="O24" s="4761">
        <v>0</v>
      </c>
      <c r="P24" s="18">
        <v>44.461031999999996</v>
      </c>
      <c r="Q24" s="4760">
        <f t="shared" si="106"/>
        <v>0</v>
      </c>
      <c r="R24" s="39">
        <f t="shared" si="106"/>
        <v>910.78427199999999</v>
      </c>
      <c r="S24" s="4865">
        <v>0</v>
      </c>
      <c r="T24" s="18">
        <v>55.467287999999996</v>
      </c>
      <c r="U24" s="4864">
        <f t="shared" si="107"/>
        <v>0</v>
      </c>
      <c r="V24" s="39">
        <f t="shared" si="108"/>
        <v>966.25155999999993</v>
      </c>
      <c r="W24" s="5017">
        <v>0</v>
      </c>
      <c r="X24" s="18">
        <v>80.319744</v>
      </c>
      <c r="Y24" s="5018">
        <f t="shared" si="109"/>
        <v>0</v>
      </c>
      <c r="Z24" s="5018">
        <f t="shared" si="109"/>
        <v>180.248064</v>
      </c>
      <c r="AA24" s="2907">
        <f t="shared" si="110"/>
        <v>0</v>
      </c>
      <c r="AB24" s="2907">
        <f t="shared" si="110"/>
        <v>1046.5713040000001</v>
      </c>
      <c r="AC24" s="5329">
        <v>0</v>
      </c>
      <c r="AD24" s="18">
        <v>37.367063999999999</v>
      </c>
      <c r="AE24" s="2903">
        <f t="shared" si="111"/>
        <v>0</v>
      </c>
      <c r="AF24" s="39">
        <f t="shared" si="112"/>
        <v>1083.9383680000001</v>
      </c>
      <c r="AG24" s="5496">
        <v>0</v>
      </c>
      <c r="AH24" s="18">
        <v>3.5351999999999997</v>
      </c>
      <c r="AI24" s="2903">
        <f t="shared" si="113"/>
        <v>0</v>
      </c>
      <c r="AJ24" s="39">
        <f t="shared" si="114"/>
        <v>1087.4735680000001</v>
      </c>
      <c r="AK24" s="5898">
        <v>0</v>
      </c>
      <c r="AL24" s="18">
        <v>301.41115200000002</v>
      </c>
      <c r="AM24" s="2905">
        <f t="shared" si="115"/>
        <v>0</v>
      </c>
      <c r="AN24" s="2905">
        <f t="shared" si="116"/>
        <v>342.31341600000002</v>
      </c>
      <c r="AO24" s="2903">
        <f t="shared" ref="AO24:AP27" si="124">AI24+AK24</f>
        <v>0</v>
      </c>
      <c r="AP24" s="2903">
        <f t="shared" ref="AP24:AP25" si="125">AJ24+AL24</f>
        <v>1388.88472</v>
      </c>
      <c r="AQ24" s="6059">
        <v>0</v>
      </c>
      <c r="AR24" s="18">
        <v>70</v>
      </c>
      <c r="AS24" s="2903">
        <f t="shared" si="117"/>
        <v>0</v>
      </c>
      <c r="AT24" s="39">
        <f t="shared" si="118"/>
        <v>1458.88472</v>
      </c>
      <c r="AU24" s="6166">
        <v>0</v>
      </c>
      <c r="AV24" s="18">
        <v>45.816192000000001</v>
      </c>
      <c r="AW24" s="2903">
        <f t="shared" si="119"/>
        <v>0</v>
      </c>
      <c r="AX24" s="39">
        <f t="shared" si="120"/>
        <v>1504.700912</v>
      </c>
      <c r="AY24" s="6381">
        <v>0</v>
      </c>
      <c r="AZ24" s="18">
        <v>620.23905599999989</v>
      </c>
      <c r="BA24" s="3006">
        <f t="shared" si="121"/>
        <v>0</v>
      </c>
      <c r="BB24" s="3006">
        <f t="shared" si="122"/>
        <v>736.05524799999989</v>
      </c>
      <c r="BC24" s="3007">
        <f t="shared" si="123"/>
        <v>0</v>
      </c>
      <c r="BD24" s="3007">
        <f t="shared" si="123"/>
        <v>1078.3686639999999</v>
      </c>
      <c r="BE24" s="3005">
        <f t="shared" ref="BE24:BE25" si="126">AW24+AY24</f>
        <v>0</v>
      </c>
      <c r="BF24" s="3005">
        <f t="shared" ref="BF24:BF25" si="127">AX24+AZ24</f>
        <v>2124.9399679999997</v>
      </c>
      <c r="BG24" s="7142">
        <v>0</v>
      </c>
      <c r="BH24" s="7142">
        <v>1823.765584</v>
      </c>
      <c r="BI24" s="3341">
        <v>0</v>
      </c>
      <c r="BJ24" s="3305">
        <v>1026.6220800000001</v>
      </c>
      <c r="BK24" s="1969">
        <v>2541.6495199999999</v>
      </c>
      <c r="BL24" s="1969">
        <v>0</v>
      </c>
      <c r="BM24" s="1969">
        <v>2774.7649000000001</v>
      </c>
      <c r="BN24" s="1969">
        <v>392</v>
      </c>
      <c r="BO24" s="1969">
        <v>3852.3</v>
      </c>
      <c r="BP24" s="1969">
        <v>1419.0563231726583</v>
      </c>
      <c r="BQ24" s="1102">
        <v>8272.9782799999994</v>
      </c>
      <c r="BR24" s="3252"/>
      <c r="BS24" s="3252"/>
      <c r="BT24" s="4713"/>
      <c r="BU24" s="4713"/>
      <c r="BV24" s="4713"/>
      <c r="BW24" s="1549"/>
    </row>
    <row r="25" spans="1:75" x14ac:dyDescent="0.25">
      <c r="B25" s="2053" t="s">
        <v>1776</v>
      </c>
      <c r="C25" s="2016" t="s">
        <v>50</v>
      </c>
      <c r="D25" s="2908">
        <f>2500*0.65</f>
        <v>1625</v>
      </c>
      <c r="E25" s="1339">
        <v>0</v>
      </c>
      <c r="F25" s="18">
        <v>552.63424799999996</v>
      </c>
      <c r="G25" s="1339">
        <v>0</v>
      </c>
      <c r="H25" s="18">
        <v>336.51568800000001</v>
      </c>
      <c r="I25" s="2903">
        <f t="shared" si="104"/>
        <v>0</v>
      </c>
      <c r="J25" s="39">
        <f t="shared" si="104"/>
        <v>889.14993600000003</v>
      </c>
      <c r="K25" s="1339">
        <v>0</v>
      </c>
      <c r="L25" s="18">
        <v>5978.4</v>
      </c>
      <c r="M25" s="2906">
        <f t="shared" si="105"/>
        <v>0</v>
      </c>
      <c r="N25" s="69">
        <f t="shared" si="105"/>
        <v>6867.5499359999994</v>
      </c>
      <c r="O25" s="1339">
        <v>1625</v>
      </c>
      <c r="P25" s="18">
        <v>0</v>
      </c>
      <c r="Q25" s="4760">
        <f t="shared" si="106"/>
        <v>1625</v>
      </c>
      <c r="R25" s="39">
        <f t="shared" si="106"/>
        <v>6867.5499359999994</v>
      </c>
      <c r="S25" s="1339">
        <v>0</v>
      </c>
      <c r="T25" s="18">
        <v>0</v>
      </c>
      <c r="U25" s="4864">
        <f t="shared" si="107"/>
        <v>1625</v>
      </c>
      <c r="V25" s="39">
        <f t="shared" si="108"/>
        <v>6867.5499359999994</v>
      </c>
      <c r="W25" s="1339">
        <v>0</v>
      </c>
      <c r="X25" s="18">
        <v>0</v>
      </c>
      <c r="Y25" s="5018">
        <f t="shared" si="109"/>
        <v>1625</v>
      </c>
      <c r="Z25" s="5018">
        <f t="shared" si="109"/>
        <v>0</v>
      </c>
      <c r="AA25" s="2907">
        <f t="shared" si="110"/>
        <v>1625</v>
      </c>
      <c r="AB25" s="2907">
        <f t="shared" si="110"/>
        <v>6867.5499359999994</v>
      </c>
      <c r="AC25" s="1339">
        <v>0</v>
      </c>
      <c r="AD25" s="18">
        <v>0</v>
      </c>
      <c r="AE25" s="2903">
        <f t="shared" si="111"/>
        <v>1625</v>
      </c>
      <c r="AF25" s="39">
        <f t="shared" si="112"/>
        <v>6867.5499359999994</v>
      </c>
      <c r="AG25" s="1339">
        <v>0</v>
      </c>
      <c r="AH25" s="18">
        <v>1512.9</v>
      </c>
      <c r="AI25" s="2903">
        <f t="shared" si="113"/>
        <v>1625</v>
      </c>
      <c r="AJ25" s="39">
        <f>+AF25+AH25</f>
        <v>8380.4499359999991</v>
      </c>
      <c r="AK25" s="1339">
        <v>0</v>
      </c>
      <c r="AL25" s="18">
        <v>2513.5</v>
      </c>
      <c r="AM25" s="2905">
        <f t="shared" si="115"/>
        <v>0</v>
      </c>
      <c r="AN25" s="2905">
        <f>+AD25+AH25+AL25</f>
        <v>4026.4</v>
      </c>
      <c r="AO25" s="2903">
        <f t="shared" si="124"/>
        <v>1625</v>
      </c>
      <c r="AP25" s="2903">
        <f t="shared" si="125"/>
        <v>10893.949935999999</v>
      </c>
      <c r="AQ25" s="1339">
        <v>0</v>
      </c>
      <c r="AR25" s="18">
        <v>0</v>
      </c>
      <c r="AS25" s="2903">
        <f t="shared" si="117"/>
        <v>1625</v>
      </c>
      <c r="AT25" s="39">
        <f t="shared" si="118"/>
        <v>10893.949935999999</v>
      </c>
      <c r="AU25" s="1339">
        <v>0</v>
      </c>
      <c r="AV25" s="18">
        <v>630</v>
      </c>
      <c r="AW25" s="2903">
        <f t="shared" si="119"/>
        <v>1625</v>
      </c>
      <c r="AX25" s="39">
        <f t="shared" si="120"/>
        <v>11523.949935999999</v>
      </c>
      <c r="AY25" s="1339">
        <v>0</v>
      </c>
      <c r="AZ25" s="18">
        <v>480</v>
      </c>
      <c r="BA25" s="3006">
        <f t="shared" si="121"/>
        <v>0</v>
      </c>
      <c r="BB25" s="3006">
        <f t="shared" si="122"/>
        <v>1110</v>
      </c>
      <c r="BC25" s="3007">
        <f t="shared" si="123"/>
        <v>0</v>
      </c>
      <c r="BD25" s="3007">
        <f t="shared" si="123"/>
        <v>5136.3999999999996</v>
      </c>
      <c r="BE25" s="3005">
        <f t="shared" si="126"/>
        <v>1625</v>
      </c>
      <c r="BF25" s="3005">
        <f t="shared" si="127"/>
        <v>12003.949935999999</v>
      </c>
      <c r="BG25" s="7142">
        <v>1625</v>
      </c>
      <c r="BH25" s="7142">
        <v>11114.8</v>
      </c>
      <c r="BI25" s="3341">
        <v>2000</v>
      </c>
      <c r="BJ25" s="3305">
        <v>5022</v>
      </c>
      <c r="BK25" s="1969">
        <v>4664.8</v>
      </c>
      <c r="BL25" s="1969">
        <v>14800</v>
      </c>
      <c r="BM25" s="1969">
        <v>9214.4</v>
      </c>
      <c r="BN25" s="1969">
        <v>0</v>
      </c>
      <c r="BO25" s="1969">
        <v>0</v>
      </c>
      <c r="BP25" s="1969">
        <v>0</v>
      </c>
      <c r="BQ25" s="1102">
        <v>26220.800000000003</v>
      </c>
      <c r="BR25" s="3252"/>
      <c r="BS25" s="3252"/>
      <c r="BT25" s="4713"/>
      <c r="BU25" s="4713"/>
      <c r="BV25" s="4713"/>
      <c r="BW25" s="1549"/>
    </row>
    <row r="26" spans="1:75" ht="15" customHeight="1" thickBot="1" x14ac:dyDescent="0.3">
      <c r="B26" s="2054" t="s">
        <v>712</v>
      </c>
      <c r="C26" s="2029" t="s">
        <v>50</v>
      </c>
      <c r="D26" s="2933">
        <f t="shared" ref="D26:T26" si="128">SUM(D23:D25)</f>
        <v>14270</v>
      </c>
      <c r="E26" s="1770">
        <f t="shared" si="128"/>
        <v>810</v>
      </c>
      <c r="F26" s="2934">
        <f t="shared" si="128"/>
        <v>4661.7268380000005</v>
      </c>
      <c r="G26" s="7147">
        <f t="shared" ref="G26" si="129">SUM(G23:G25)</f>
        <v>810</v>
      </c>
      <c r="H26" s="2934">
        <f t="shared" ref="H26" si="130">SUM(H23:H25)</f>
        <v>2950.1684780000001</v>
      </c>
      <c r="I26" s="2064">
        <f t="shared" si="128"/>
        <v>1620</v>
      </c>
      <c r="J26" s="2031">
        <f t="shared" si="128"/>
        <v>7611.8953160000001</v>
      </c>
      <c r="K26" s="4560">
        <f t="shared" si="128"/>
        <v>720</v>
      </c>
      <c r="L26" s="2934">
        <f t="shared" si="128"/>
        <v>9548.9961899999998</v>
      </c>
      <c r="M26" s="2072">
        <f t="shared" si="128"/>
        <v>2340</v>
      </c>
      <c r="N26" s="2073">
        <f t="shared" si="128"/>
        <v>17160.891506</v>
      </c>
      <c r="O26" s="4764">
        <f t="shared" si="128"/>
        <v>5225</v>
      </c>
      <c r="P26" s="2934">
        <f t="shared" si="128"/>
        <v>359.39334199999996</v>
      </c>
      <c r="Q26" s="2064">
        <f t="shared" si="128"/>
        <v>7565</v>
      </c>
      <c r="R26" s="2031">
        <f t="shared" si="128"/>
        <v>17520.284847999999</v>
      </c>
      <c r="S26" s="4873">
        <f t="shared" si="128"/>
        <v>342</v>
      </c>
      <c r="T26" s="2934">
        <f t="shared" si="128"/>
        <v>448.36057799999998</v>
      </c>
      <c r="U26" s="2064">
        <f t="shared" ref="U26:V26" si="131">SUM(U23:U25)</f>
        <v>7907</v>
      </c>
      <c r="V26" s="2031">
        <f t="shared" si="131"/>
        <v>17968.645425999999</v>
      </c>
      <c r="W26" s="5034">
        <f>SUM(W23:W25)</f>
        <v>342</v>
      </c>
      <c r="X26" s="2934">
        <f>SUM(X23:X25)</f>
        <v>649.31974400000001</v>
      </c>
      <c r="Y26" s="5020">
        <f t="shared" ref="Y26:Z26" si="132">SUM(Y23:Y25)</f>
        <v>5909</v>
      </c>
      <c r="Z26" s="5020">
        <f t="shared" si="132"/>
        <v>1457.073664</v>
      </c>
      <c r="AA26" s="544">
        <f t="shared" ref="AA26:AB26" si="133">SUM(AA23:AA25)</f>
        <v>8249</v>
      </c>
      <c r="AB26" s="544">
        <f t="shared" si="133"/>
        <v>18617.965169999999</v>
      </c>
      <c r="AC26" s="5348">
        <f>SUM(AC23:AC25)</f>
        <v>342</v>
      </c>
      <c r="AD26" s="2934">
        <f>SUM(AD23:AD25)</f>
        <v>302.050434</v>
      </c>
      <c r="AE26" s="2064">
        <f t="shared" ref="AE26:AF26" si="134">SUM(AE23:AE25)</f>
        <v>8591</v>
      </c>
      <c r="AF26" s="2031">
        <f t="shared" si="134"/>
        <v>18920.015604</v>
      </c>
      <c r="AG26" s="5501">
        <f>SUM(AG23:AG25)</f>
        <v>342</v>
      </c>
      <c r="AH26" s="2934">
        <f>SUM(AH23:AH25)</f>
        <v>1541.4762000000001</v>
      </c>
      <c r="AI26" s="2064">
        <f t="shared" ref="AI26:AJ26" si="135">SUM(AI23:AI25)</f>
        <v>8933</v>
      </c>
      <c r="AJ26" s="2031">
        <f t="shared" si="135"/>
        <v>20461.491803999998</v>
      </c>
      <c r="AK26" s="5900">
        <f>SUM(AK23:AK25)</f>
        <v>342</v>
      </c>
      <c r="AL26" s="2934">
        <f>SUM(AL23:AL25)</f>
        <v>4949.9068120000002</v>
      </c>
      <c r="AM26" s="378">
        <f t="shared" ref="AM26:AP26" si="136">SUM(AM23:AM25)</f>
        <v>1026</v>
      </c>
      <c r="AN26" s="378">
        <f t="shared" si="136"/>
        <v>6793.433446</v>
      </c>
      <c r="AO26" s="2064">
        <f t="shared" si="136"/>
        <v>9275</v>
      </c>
      <c r="AP26" s="2031">
        <f t="shared" si="136"/>
        <v>25411.398615999999</v>
      </c>
      <c r="AQ26" s="6075">
        <f>SUM(AQ23:AQ25)</f>
        <v>342</v>
      </c>
      <c r="AR26" s="2934">
        <f>SUM(AR23:AR25)</f>
        <v>565.31097999999997</v>
      </c>
      <c r="AS26" s="2064">
        <f t="shared" ref="AS26:AT26" si="137">SUM(AS23:AS25)</f>
        <v>9617</v>
      </c>
      <c r="AT26" s="2031">
        <f t="shared" si="137"/>
        <v>25976.709596000001</v>
      </c>
      <c r="AU26" s="6179">
        <f>SUM(AU23:AU25)</f>
        <v>342</v>
      </c>
      <c r="AV26" s="2934">
        <f>SUM(AV23:AV25)</f>
        <v>1000.347552</v>
      </c>
      <c r="AW26" s="2064">
        <f t="shared" ref="AW26:AX26" si="138">SUM(AW23:AW25)</f>
        <v>9959</v>
      </c>
      <c r="AX26" s="2031">
        <f t="shared" si="138"/>
        <v>26977.057148</v>
      </c>
      <c r="AY26" s="6394">
        <f>SUM(AY23:AY25)</f>
        <v>342</v>
      </c>
      <c r="AZ26" s="2934">
        <f>SUM(AZ23:AZ25)</f>
        <v>5493.5990359999996</v>
      </c>
      <c r="BA26" s="378">
        <f t="shared" ref="BA26:BF26" si="139">SUM(BA23:BA25)</f>
        <v>1026</v>
      </c>
      <c r="BB26" s="378">
        <f t="shared" si="139"/>
        <v>7059.2575679999991</v>
      </c>
      <c r="BC26" s="544">
        <f t="shared" si="139"/>
        <v>2052</v>
      </c>
      <c r="BD26" s="544">
        <f t="shared" si="139"/>
        <v>13852.691013999998</v>
      </c>
      <c r="BE26" s="2064">
        <f t="shared" si="139"/>
        <v>10301</v>
      </c>
      <c r="BF26" s="2031">
        <f t="shared" si="139"/>
        <v>32470.656183999999</v>
      </c>
      <c r="BG26" s="1143">
        <v>9365</v>
      </c>
      <c r="BH26" s="1143">
        <v>25856.451263999999</v>
      </c>
      <c r="BI26" s="1143">
        <v>21561.099796333998</v>
      </c>
      <c r="BJ26" s="1143">
        <v>13596.897650000001</v>
      </c>
      <c r="BK26" s="1143">
        <v>16335.783939999998</v>
      </c>
      <c r="BL26" s="1143">
        <v>34535.515274949088</v>
      </c>
      <c r="BM26" s="1143">
        <v>34350.237350000003</v>
      </c>
      <c r="BN26" s="1143">
        <v>21147.018447889259</v>
      </c>
      <c r="BO26" s="1143">
        <v>62073.000000000007</v>
      </c>
      <c r="BP26" s="1143">
        <v>31376.912034595443</v>
      </c>
      <c r="BQ26" s="2083">
        <v>169122.95610000001</v>
      </c>
      <c r="BR26" s="3252"/>
      <c r="BS26" s="3252"/>
      <c r="BT26" s="4713"/>
      <c r="BU26" s="4713"/>
      <c r="BV26" s="4713"/>
      <c r="BW26" s="1549"/>
    </row>
    <row r="27" spans="1:75" ht="15" customHeight="1" thickBot="1" x14ac:dyDescent="0.3">
      <c r="B27" s="2055" t="s">
        <v>708</v>
      </c>
      <c r="C27" s="2026" t="s">
        <v>50</v>
      </c>
      <c r="D27" s="7019">
        <v>3541.35</v>
      </c>
      <c r="E27" s="524">
        <v>273.99599999999998</v>
      </c>
      <c r="F27" s="2061">
        <v>374.5</v>
      </c>
      <c r="G27" s="524">
        <v>279.98</v>
      </c>
      <c r="H27" s="2061">
        <v>603.86199999999997</v>
      </c>
      <c r="I27" s="1874">
        <f>+E27+G27</f>
        <v>553.976</v>
      </c>
      <c r="J27" s="1875">
        <f>+F27+H27</f>
        <v>978.36199999999997</v>
      </c>
      <c r="K27" s="524">
        <v>189.24</v>
      </c>
      <c r="L27" s="2061">
        <v>1153.0050000000001</v>
      </c>
      <c r="M27" s="1876">
        <f>+E27+G27+K27</f>
        <v>743.21600000000001</v>
      </c>
      <c r="N27" s="2071">
        <f>+F27+H27+L27</f>
        <v>2131.3670000000002</v>
      </c>
      <c r="O27" s="524">
        <v>436.24</v>
      </c>
      <c r="P27" s="2061">
        <v>1162.3989999999999</v>
      </c>
      <c r="Q27" s="1874">
        <f>+M27+O27</f>
        <v>1179.4560000000001</v>
      </c>
      <c r="R27" s="1875">
        <f>+N27+P27</f>
        <v>3293.7660000000001</v>
      </c>
      <c r="S27" s="524">
        <v>218.5</v>
      </c>
      <c r="T27" s="2061">
        <v>1097.691</v>
      </c>
      <c r="U27" s="1874">
        <f>+Q27+S27</f>
        <v>1397.9560000000001</v>
      </c>
      <c r="V27" s="1875">
        <f>+R27+T27</f>
        <v>4391.4570000000003</v>
      </c>
      <c r="W27" s="524">
        <v>212.42</v>
      </c>
      <c r="X27" s="2061">
        <v>183</v>
      </c>
      <c r="Y27" s="5018">
        <f>+O27+S27+W27</f>
        <v>867.16</v>
      </c>
      <c r="Z27" s="5018">
        <f>+P27+T27+X27</f>
        <v>2443.09</v>
      </c>
      <c r="AA27" s="2907">
        <f>+M27+Y27</f>
        <v>1610.376</v>
      </c>
      <c r="AB27" s="2907">
        <f>+N27+Z27</f>
        <v>4574.4570000000003</v>
      </c>
      <c r="AC27" s="524">
        <v>226.1</v>
      </c>
      <c r="AD27" s="2061">
        <v>0</v>
      </c>
      <c r="AE27" s="1874">
        <f>+AA27+AC27</f>
        <v>1836.4759999999999</v>
      </c>
      <c r="AF27" s="1875">
        <f>+AB27+AD27</f>
        <v>4574.4570000000003</v>
      </c>
      <c r="AG27" s="524">
        <v>220.02</v>
      </c>
      <c r="AH27" s="2061">
        <v>1174.3690000000001</v>
      </c>
      <c r="AI27" s="1874">
        <f>+AE27+AG27</f>
        <v>2056.4960000000001</v>
      </c>
      <c r="AJ27" s="1875">
        <f>+AF27+AH27</f>
        <v>5748.8260000000009</v>
      </c>
      <c r="AK27" s="524">
        <v>226.1</v>
      </c>
      <c r="AL27" s="2061">
        <v>1177.7849999999999</v>
      </c>
      <c r="AM27" s="2905">
        <f>+AC27+AG27+AK27</f>
        <v>672.22</v>
      </c>
      <c r="AN27" s="2905">
        <f>+AD27+AH27+AL27</f>
        <v>2352.154</v>
      </c>
      <c r="AO27" s="2903">
        <f t="shared" si="124"/>
        <v>2282.596</v>
      </c>
      <c r="AP27" s="2903">
        <f t="shared" si="124"/>
        <v>6926.6110000000008</v>
      </c>
      <c r="AQ27" s="524">
        <v>226.1</v>
      </c>
      <c r="AR27" s="2061">
        <v>766.2410000000001</v>
      </c>
      <c r="AS27" s="1874">
        <f>+AO27+AQ27</f>
        <v>2508.6959999999999</v>
      </c>
      <c r="AT27" s="1875">
        <f>+AP27+AR27</f>
        <v>7692.8520000000008</v>
      </c>
      <c r="AU27" s="524">
        <v>207.1</v>
      </c>
      <c r="AV27" s="2061">
        <v>658.14700000000005</v>
      </c>
      <c r="AW27" s="1874">
        <f>+AS27+AU27</f>
        <v>2715.7959999999998</v>
      </c>
      <c r="AX27" s="1875">
        <f>+AT27+AV27</f>
        <v>8350.9990000000016</v>
      </c>
      <c r="AY27" s="524">
        <v>226.1</v>
      </c>
      <c r="AZ27" s="2061">
        <v>554.32999999999993</v>
      </c>
      <c r="BA27" s="3006">
        <f>+AQ27+AU27+AY27</f>
        <v>659.3</v>
      </c>
      <c r="BB27" s="3006">
        <f>+AR27+AV27+AZ27</f>
        <v>1978.7180000000001</v>
      </c>
      <c r="BC27" s="3007">
        <f>AM27+BA27</f>
        <v>1331.52</v>
      </c>
      <c r="BD27" s="3007">
        <f>AN27+BB27</f>
        <v>4330.8720000000003</v>
      </c>
      <c r="BE27" s="3005">
        <f t="shared" ref="BE27:BE28" si="140">AW27+AY27</f>
        <v>2941.8959999999997</v>
      </c>
      <c r="BF27" s="3005">
        <f t="shared" ref="BF27:BF28" si="141">AX27+AZ27</f>
        <v>8905.3290000000015</v>
      </c>
      <c r="BG27" s="7142">
        <v>2831.4999999999995</v>
      </c>
      <c r="BH27" s="7142">
        <v>7991.4859999999999</v>
      </c>
      <c r="BI27" s="3341">
        <v>2377.8719999999994</v>
      </c>
      <c r="BJ27" s="3305">
        <v>6141.3949999999995</v>
      </c>
      <c r="BK27" s="1969">
        <v>5885.7340000000004</v>
      </c>
      <c r="BL27" s="1969">
        <v>2398.5599999999995</v>
      </c>
      <c r="BM27" s="1969">
        <v>13377.679</v>
      </c>
      <c r="BN27" s="1969">
        <v>11568.989680591383</v>
      </c>
      <c r="BO27" s="1969">
        <v>41093.9</v>
      </c>
      <c r="BP27" s="1969">
        <v>0</v>
      </c>
      <c r="BQ27" s="1102">
        <v>44255.19</v>
      </c>
      <c r="BR27" s="3252"/>
      <c r="BS27" s="3252"/>
      <c r="BT27" s="4713"/>
      <c r="BU27" s="4713"/>
      <c r="BV27" s="4713"/>
      <c r="BW27" s="1549"/>
    </row>
    <row r="28" spans="1:75" ht="15" customHeight="1" thickBot="1" x14ac:dyDescent="0.3">
      <c r="B28" s="2056" t="s">
        <v>348</v>
      </c>
      <c r="C28" s="2026" t="s">
        <v>50</v>
      </c>
      <c r="D28" s="2027">
        <v>1081234</v>
      </c>
      <c r="E28" s="1872">
        <v>92363.04</v>
      </c>
      <c r="F28" s="2059">
        <v>70955.830536000009</v>
      </c>
      <c r="G28" s="1872">
        <v>95295.2</v>
      </c>
      <c r="H28" s="2059">
        <v>75418.546496999988</v>
      </c>
      <c r="I28" s="1874">
        <f>+E28+G28</f>
        <v>187658.23999999999</v>
      </c>
      <c r="J28" s="1875">
        <f>+F28+H28</f>
        <v>146374.377033</v>
      </c>
      <c r="K28" s="1872">
        <v>55546.069546891456</v>
      </c>
      <c r="L28" s="2059">
        <v>55334.634923999991</v>
      </c>
      <c r="M28" s="1876">
        <f>+E28+G28+K28</f>
        <v>243204.30954689145</v>
      </c>
      <c r="N28" s="2071">
        <f>+F28+H28+L28</f>
        <v>201709.01195699998</v>
      </c>
      <c r="O28" s="1872">
        <v>27586.638566912534</v>
      </c>
      <c r="P28" s="2059">
        <v>84498.304945000011</v>
      </c>
      <c r="Q28" s="1874">
        <f>+M28+O28</f>
        <v>270790.94811380398</v>
      </c>
      <c r="R28" s="1875">
        <f>+N28+P28</f>
        <v>286207.31690199999</v>
      </c>
      <c r="S28" s="1872">
        <v>89470.179135932543</v>
      </c>
      <c r="T28" s="2059">
        <v>84615.103923000002</v>
      </c>
      <c r="U28" s="1874">
        <f>+Q28+S28</f>
        <v>360261.12724973651</v>
      </c>
      <c r="V28" s="1875">
        <f>+R28+T28</f>
        <v>370822.42082499998</v>
      </c>
      <c r="W28" s="1872">
        <v>86487.839831401463</v>
      </c>
      <c r="X28" s="2059">
        <v>81116</v>
      </c>
      <c r="Y28" s="5018">
        <f>+O28+S28+W28</f>
        <v>203544.65753424654</v>
      </c>
      <c r="Z28" s="5018">
        <f>+P28+T28+X28</f>
        <v>250229.40886800003</v>
      </c>
      <c r="AA28" s="2907">
        <f>+M28+Y28</f>
        <v>446748.96708113799</v>
      </c>
      <c r="AB28" s="2907">
        <f>+N28+Z28</f>
        <v>451938.42082500004</v>
      </c>
      <c r="AC28" s="1872">
        <v>93198.103266596401</v>
      </c>
      <c r="AD28" s="2059">
        <v>81673.877294999998</v>
      </c>
      <c r="AE28" s="1874">
        <f>+AA28+AC28</f>
        <v>539947.07034773438</v>
      </c>
      <c r="AF28" s="1875">
        <f>+AB28+AD28</f>
        <v>533612.29812000005</v>
      </c>
      <c r="AG28" s="1872">
        <v>90215.763962065321</v>
      </c>
      <c r="AH28" s="2059">
        <v>2328.2551100000001</v>
      </c>
      <c r="AI28" s="1874">
        <f>+AE28+AG28</f>
        <v>630162.83430979971</v>
      </c>
      <c r="AJ28" s="1875">
        <f>+AF28+AH28</f>
        <v>535940.55323000008</v>
      </c>
      <c r="AK28" s="1872">
        <v>93198.103266596401</v>
      </c>
      <c r="AL28" s="2059">
        <v>92452.295552999989</v>
      </c>
      <c r="AM28" s="2905">
        <f>+AC28+AG28+AK28</f>
        <v>276611.97049525811</v>
      </c>
      <c r="AN28" s="2905">
        <f>+AD28+AH28+AL28</f>
        <v>176454.42795799999</v>
      </c>
      <c r="AO28" s="2903">
        <f t="shared" ref="AO28:AP30" si="142">AI28+AK28</f>
        <v>723360.93757639616</v>
      </c>
      <c r="AP28" s="2903">
        <f t="shared" ref="AP28" si="143">AJ28+AL28</f>
        <v>628392.84878300002</v>
      </c>
      <c r="AQ28" s="1872">
        <v>93198.103266596401</v>
      </c>
      <c r="AR28" s="2059">
        <v>94062.295636000024</v>
      </c>
      <c r="AS28" s="1874">
        <f>+AO28+AQ28</f>
        <v>816559.0408429926</v>
      </c>
      <c r="AT28" s="1875">
        <f>+AP28+AR28</f>
        <v>722455.14441900002</v>
      </c>
      <c r="AU28" s="1872">
        <v>83878.292939936771</v>
      </c>
      <c r="AV28" s="2059">
        <v>80273.363262000028</v>
      </c>
      <c r="AW28" s="1874">
        <f>+AS28+AU28</f>
        <v>900437.33378292935</v>
      </c>
      <c r="AX28" s="1875">
        <f>+AT28+AV28</f>
        <v>802728.50768100005</v>
      </c>
      <c r="AY28" s="1872">
        <v>93198.103266596401</v>
      </c>
      <c r="AZ28" s="2059">
        <v>90266.533928000033</v>
      </c>
      <c r="BA28" s="3006">
        <f>+AQ28+AU28+AY28</f>
        <v>270274.49947312957</v>
      </c>
      <c r="BB28" s="3006">
        <f>+AR28+AV28+AZ28</f>
        <v>264602.1928260001</v>
      </c>
      <c r="BC28" s="3007">
        <f>AM28+BA28</f>
        <v>546886.46996838762</v>
      </c>
      <c r="BD28" s="3007">
        <f>AN28+BB28</f>
        <v>441056.62078400009</v>
      </c>
      <c r="BE28" s="3005">
        <f t="shared" si="140"/>
        <v>993635.43704952579</v>
      </c>
      <c r="BF28" s="3005">
        <f t="shared" si="141"/>
        <v>892995.04160900007</v>
      </c>
      <c r="BG28" s="7142">
        <v>987899.89462592197</v>
      </c>
      <c r="BH28" s="7142">
        <v>899258.75527899992</v>
      </c>
      <c r="BI28" s="3341">
        <v>1063046.9968387778</v>
      </c>
      <c r="BJ28" s="3305">
        <v>1075244.6396029999</v>
      </c>
      <c r="BK28" s="1969">
        <v>1065593.0052819999</v>
      </c>
      <c r="BL28" s="1969">
        <v>157305.11720405263</v>
      </c>
      <c r="BM28" s="1969">
        <v>920129.29913014814</v>
      </c>
      <c r="BN28" s="1969">
        <v>882599.96545301133</v>
      </c>
      <c r="BO28" s="1969">
        <v>776699</v>
      </c>
      <c r="BP28" s="1969">
        <v>854657.99999999988</v>
      </c>
      <c r="BQ28" s="1102">
        <v>809638.20576449996</v>
      </c>
      <c r="BR28" s="3252"/>
      <c r="BS28" s="3252"/>
      <c r="BT28" s="4713"/>
      <c r="BU28" s="4713"/>
      <c r="BV28" s="4713"/>
      <c r="BW28" s="1549"/>
    </row>
    <row r="29" spans="1:75" ht="15" customHeight="1" x14ac:dyDescent="0.25">
      <c r="A29" s="149"/>
      <c r="B29" s="2036" t="s">
        <v>31</v>
      </c>
      <c r="C29" s="2079"/>
      <c r="D29" s="2915"/>
      <c r="E29" s="2915"/>
      <c r="F29" s="2915"/>
      <c r="G29" s="2915"/>
      <c r="H29" s="2915"/>
      <c r="I29" s="2915"/>
      <c r="J29" s="2915"/>
      <c r="K29" s="2915"/>
      <c r="L29" s="2915"/>
      <c r="M29" s="2915"/>
      <c r="N29" s="2915"/>
      <c r="O29" s="2915"/>
      <c r="P29" s="2915"/>
      <c r="Q29" s="2915"/>
      <c r="R29" s="2915"/>
      <c r="S29" s="2915"/>
      <c r="T29" s="2915"/>
      <c r="U29" s="2915"/>
      <c r="V29" s="2915"/>
      <c r="W29" s="2915"/>
      <c r="X29" s="2915"/>
      <c r="Y29" s="2915"/>
      <c r="Z29" s="2915"/>
      <c r="AA29" s="2915"/>
      <c r="AB29" s="2915"/>
      <c r="AC29" s="2915"/>
      <c r="AD29" s="2915"/>
      <c r="AE29" s="2915"/>
      <c r="AF29" s="2915"/>
      <c r="AG29" s="2915"/>
      <c r="AH29" s="2915"/>
      <c r="AI29" s="2915"/>
      <c r="AJ29" s="2915"/>
      <c r="AK29" s="2915"/>
      <c r="AL29" s="2915"/>
      <c r="AM29" s="2915"/>
      <c r="AN29" s="2915"/>
      <c r="AO29" s="2915"/>
      <c r="AP29" s="2916"/>
      <c r="AQ29" s="2915"/>
      <c r="AR29" s="2915"/>
      <c r="AS29" s="2915"/>
      <c r="AT29" s="2915"/>
      <c r="AU29" s="2915"/>
      <c r="AV29" s="2915"/>
      <c r="AW29" s="2915"/>
      <c r="AX29" s="2915"/>
      <c r="AY29" s="2915"/>
      <c r="AZ29" s="2915"/>
      <c r="BA29" s="2915"/>
      <c r="BB29" s="2915"/>
      <c r="BC29" s="2915"/>
      <c r="BD29" s="2915"/>
      <c r="BE29" s="2915"/>
      <c r="BF29" s="2916"/>
      <c r="BG29" s="2079"/>
      <c r="BH29" s="2079"/>
      <c r="BI29" s="2079"/>
      <c r="BJ29" s="2079"/>
      <c r="BK29" s="2079"/>
      <c r="BL29" s="2079"/>
      <c r="BM29" s="2079"/>
      <c r="BN29" s="2079"/>
      <c r="BO29" s="2079"/>
      <c r="BP29" s="2079"/>
      <c r="BQ29" s="2080"/>
      <c r="BR29" s="3252"/>
      <c r="BS29" s="3252"/>
      <c r="BT29" s="4713"/>
      <c r="BU29" s="4713"/>
      <c r="BV29" s="4713"/>
      <c r="BW29" s="1549"/>
    </row>
    <row r="30" spans="1:75" ht="15" customHeight="1" x14ac:dyDescent="0.25">
      <c r="B30" s="2035" t="s">
        <v>34</v>
      </c>
      <c r="C30" s="2016" t="s">
        <v>50</v>
      </c>
      <c r="D30" s="2908">
        <v>500000</v>
      </c>
      <c r="E30" s="1342">
        <v>42500</v>
      </c>
      <c r="F30" s="18">
        <f>+WRM!F151</f>
        <v>36744.180000000008</v>
      </c>
      <c r="G30" s="7146">
        <v>44000</v>
      </c>
      <c r="H30" s="18">
        <f>+WRM!H151</f>
        <v>39374.35</v>
      </c>
      <c r="I30" s="2903">
        <f t="shared" ref="I30:J32" si="144">+E30+G30</f>
        <v>86500</v>
      </c>
      <c r="J30" s="39">
        <f t="shared" si="144"/>
        <v>76118.53</v>
      </c>
      <c r="K30" s="4559">
        <v>30000</v>
      </c>
      <c r="L30" s="18">
        <f>+WRM!L151</f>
        <v>38310.400000000001</v>
      </c>
      <c r="M30" s="2906">
        <f t="shared" ref="M30:N32" si="145">+E30+G30+K30</f>
        <v>116500</v>
      </c>
      <c r="N30" s="69">
        <f t="shared" si="145"/>
        <v>114428.93</v>
      </c>
      <c r="O30" s="4763">
        <v>25000</v>
      </c>
      <c r="P30" s="18">
        <f>+WRM!P151</f>
        <v>42041.400000000016</v>
      </c>
      <c r="Q30" s="4760">
        <f t="shared" ref="Q30:R32" si="146">+M30+O30</f>
        <v>141500</v>
      </c>
      <c r="R30" s="39">
        <f t="shared" si="146"/>
        <v>156470.33000000002</v>
      </c>
      <c r="S30" s="4872">
        <v>45500</v>
      </c>
      <c r="T30" s="18">
        <f>+WRM!T151</f>
        <v>41559.65</v>
      </c>
      <c r="U30" s="4864">
        <f t="shared" ref="U30:U32" si="147">+Q30+S30</f>
        <v>187000</v>
      </c>
      <c r="V30" s="39">
        <f t="shared" ref="V30:V32" si="148">+R30+T30</f>
        <v>198029.98</v>
      </c>
      <c r="W30" s="5033">
        <v>44000</v>
      </c>
      <c r="X30" s="18">
        <f>+WRM!X151</f>
        <v>42947.5</v>
      </c>
      <c r="Y30" s="5018">
        <f t="shared" ref="Y30:Z32" si="149">+O30+S30+W30</f>
        <v>114500</v>
      </c>
      <c r="Z30" s="5018">
        <f t="shared" si="149"/>
        <v>126548.55000000002</v>
      </c>
      <c r="AA30" s="2907">
        <f t="shared" ref="AA30:AB32" si="150">+M30+Y30</f>
        <v>231000</v>
      </c>
      <c r="AB30" s="2907">
        <f t="shared" si="150"/>
        <v>240977.48</v>
      </c>
      <c r="AC30" s="5347">
        <v>45500</v>
      </c>
      <c r="AD30" s="18">
        <f>+WRM!AD151</f>
        <v>42384.76</v>
      </c>
      <c r="AE30" s="2903">
        <f t="shared" ref="AE30:AE32" si="151">+AA30+AC30</f>
        <v>276500</v>
      </c>
      <c r="AF30" s="39">
        <f t="shared" ref="AF30:AF32" si="152">+AB30+AD30</f>
        <v>283362.24</v>
      </c>
      <c r="AG30" s="5500">
        <v>44000</v>
      </c>
      <c r="AH30" s="18">
        <f>+WRM!AH151</f>
        <v>19981.350000000006</v>
      </c>
      <c r="AI30" s="2903">
        <f t="shared" ref="AI30:AI32" si="153">+AE30+AG30</f>
        <v>320500</v>
      </c>
      <c r="AJ30" s="39">
        <f t="shared" ref="AJ30:AJ32" si="154">+AF30+AH30</f>
        <v>303343.58999999997</v>
      </c>
      <c r="AK30" s="5899">
        <v>45500</v>
      </c>
      <c r="AL30" s="18">
        <f>+WRM!AL151</f>
        <v>39200.100000000013</v>
      </c>
      <c r="AM30" s="2905">
        <f t="shared" ref="AM30:AM32" si="155">+AC30+AG30+AK30</f>
        <v>135000</v>
      </c>
      <c r="AN30" s="2905">
        <f t="shared" ref="AN30:AN32" si="156">+AD30+AH30+AL30</f>
        <v>101566.21000000002</v>
      </c>
      <c r="AO30" s="2903">
        <f t="shared" si="142"/>
        <v>366000</v>
      </c>
      <c r="AP30" s="2903">
        <f t="shared" si="142"/>
        <v>342543.69</v>
      </c>
      <c r="AQ30" s="6074">
        <f>45.5*1000</f>
        <v>45500</v>
      </c>
      <c r="AR30" s="18">
        <f>+WRM!AR151</f>
        <v>40296.849999999991</v>
      </c>
      <c r="AS30" s="2903">
        <f t="shared" ref="AS30:AS32" si="157">+AO30+AQ30</f>
        <v>411500</v>
      </c>
      <c r="AT30" s="39">
        <f t="shared" ref="AT30:AT32" si="158">+AP30+AR30</f>
        <v>382840.54</v>
      </c>
      <c r="AU30" s="6178">
        <f>40.5*1000</f>
        <v>40500</v>
      </c>
      <c r="AV30" s="18">
        <f>+WRM!AV151</f>
        <v>34335.35</v>
      </c>
      <c r="AW30" s="2903">
        <f t="shared" ref="AW30:AW32" si="159">+AS30+AU30</f>
        <v>452000</v>
      </c>
      <c r="AX30" s="39">
        <f t="shared" ref="AX30:AX32" si="160">+AT30+AV30</f>
        <v>417175.88999999996</v>
      </c>
      <c r="AY30" s="6393">
        <f>45.5*1000</f>
        <v>45500</v>
      </c>
      <c r="AZ30" s="18">
        <f>+WRM!AZ151</f>
        <v>43072.55000000001</v>
      </c>
      <c r="BA30" s="3006">
        <f t="shared" ref="BA30:BA32" si="161">+AQ30+AU30+AY30</f>
        <v>131500</v>
      </c>
      <c r="BB30" s="3006">
        <f t="shared" ref="BB30:BB32" si="162">+AR30+AV30+AZ30</f>
        <v>117704.75</v>
      </c>
      <c r="BC30" s="3007">
        <f>AM30+BA30</f>
        <v>266500</v>
      </c>
      <c r="BD30" s="3007">
        <f t="shared" ref="BD30:BD32" si="163">AN30+BB30</f>
        <v>219270.96000000002</v>
      </c>
      <c r="BE30" s="3005">
        <f t="shared" ref="BE30:BE32" si="164">AW30+AY30</f>
        <v>497500</v>
      </c>
      <c r="BF30" s="3005">
        <f t="shared" ref="BF30:BF32" si="165">AX30+AZ30</f>
        <v>460248.43999999994</v>
      </c>
      <c r="BG30" s="7142">
        <v>500000</v>
      </c>
      <c r="BH30" s="7142">
        <v>459030.64</v>
      </c>
      <c r="BI30" s="3341">
        <v>500000</v>
      </c>
      <c r="BJ30" s="3305">
        <v>478528.38500000013</v>
      </c>
      <c r="BK30" s="1969">
        <v>466114.65</v>
      </c>
      <c r="BL30" s="1969">
        <v>500000</v>
      </c>
      <c r="BM30" s="1969">
        <v>465343.766</v>
      </c>
      <c r="BN30" s="1969">
        <v>435965.96179320005</v>
      </c>
      <c r="BO30" s="1969">
        <v>356518.65800000005</v>
      </c>
      <c r="BP30" s="1969">
        <v>500000</v>
      </c>
      <c r="BQ30" s="1102">
        <v>412025.22</v>
      </c>
      <c r="BR30" s="3252"/>
      <c r="BS30" s="3252"/>
      <c r="BT30" s="4713"/>
      <c r="BU30" s="4713"/>
      <c r="BV30" s="4713"/>
      <c r="BW30" s="1549"/>
    </row>
    <row r="31" spans="1:75" ht="15" customHeight="1" x14ac:dyDescent="0.25">
      <c r="B31" s="2035" t="s">
        <v>346</v>
      </c>
      <c r="C31" s="2016" t="s">
        <v>50</v>
      </c>
      <c r="D31" s="2908">
        <v>900000</v>
      </c>
      <c r="E31" s="1342">
        <v>76000</v>
      </c>
      <c r="F31" s="18">
        <f>+BM!F53</f>
        <v>66895.455000000031</v>
      </c>
      <c r="G31" s="7146">
        <v>79000</v>
      </c>
      <c r="H31" s="18">
        <f>+BM!H53</f>
        <v>76175.635000000068</v>
      </c>
      <c r="I31" s="2903">
        <f t="shared" si="144"/>
        <v>155000</v>
      </c>
      <c r="J31" s="39">
        <f t="shared" si="144"/>
        <v>143071.09000000008</v>
      </c>
      <c r="K31" s="4559">
        <v>48000</v>
      </c>
      <c r="L31" s="18">
        <f>+BM!L53</f>
        <v>49675.968000000059</v>
      </c>
      <c r="M31" s="2906">
        <f t="shared" si="145"/>
        <v>203000</v>
      </c>
      <c r="N31" s="69">
        <f t="shared" si="145"/>
        <v>192747.05800000014</v>
      </c>
      <c r="O31" s="4763">
        <v>37500</v>
      </c>
      <c r="P31" s="18">
        <f>+BM!P53</f>
        <v>70097.135000000082</v>
      </c>
      <c r="Q31" s="4760">
        <f t="shared" si="146"/>
        <v>240500</v>
      </c>
      <c r="R31" s="39">
        <f t="shared" si="146"/>
        <v>262844.1930000002</v>
      </c>
      <c r="S31" s="4872">
        <v>80000</v>
      </c>
      <c r="T31" s="18">
        <f>+BM!T53</f>
        <v>71164.143000000069</v>
      </c>
      <c r="U31" s="4864">
        <f t="shared" si="147"/>
        <v>320500</v>
      </c>
      <c r="V31" s="39">
        <f t="shared" si="148"/>
        <v>334008.33600000024</v>
      </c>
      <c r="W31" s="5033">
        <v>77500</v>
      </c>
      <c r="X31" s="18">
        <f>+BM!X53</f>
        <v>70484.61000000003</v>
      </c>
      <c r="Y31" s="5018">
        <f t="shared" si="149"/>
        <v>195000</v>
      </c>
      <c r="Z31" s="5018">
        <f t="shared" si="149"/>
        <v>211745.88800000021</v>
      </c>
      <c r="AA31" s="2907">
        <f t="shared" si="150"/>
        <v>398000</v>
      </c>
      <c r="AB31" s="2907">
        <f t="shared" si="150"/>
        <v>404492.94600000035</v>
      </c>
      <c r="AC31" s="5347">
        <v>80000</v>
      </c>
      <c r="AD31" s="18">
        <f>+BM!AD53</f>
        <v>66747.800000000017</v>
      </c>
      <c r="AE31" s="2903">
        <f t="shared" si="151"/>
        <v>478000</v>
      </c>
      <c r="AF31" s="39">
        <f t="shared" si="152"/>
        <v>471240.74600000039</v>
      </c>
      <c r="AG31" s="5500">
        <v>77500</v>
      </c>
      <c r="AH31" s="18">
        <f>+BM!AH53</f>
        <v>3169.7200000000003</v>
      </c>
      <c r="AI31" s="2903">
        <f t="shared" si="153"/>
        <v>555500</v>
      </c>
      <c r="AJ31" s="39">
        <f t="shared" si="154"/>
        <v>474410.46600000036</v>
      </c>
      <c r="AK31" s="5899">
        <v>80000</v>
      </c>
      <c r="AL31" s="18">
        <f>+BM!AL53</f>
        <v>70630.630000000063</v>
      </c>
      <c r="AM31" s="2905">
        <f t="shared" si="155"/>
        <v>237500</v>
      </c>
      <c r="AN31" s="2905">
        <f t="shared" si="156"/>
        <v>140548.15000000008</v>
      </c>
      <c r="AO31" s="2903">
        <f t="shared" ref="AO31:AP34" si="166">AI31+AK31</f>
        <v>635500</v>
      </c>
      <c r="AP31" s="2903">
        <f t="shared" ref="AP31:AP32" si="167">AJ31+AL31</f>
        <v>545041.09600000037</v>
      </c>
      <c r="AQ31" s="6074">
        <v>80000</v>
      </c>
      <c r="AR31" s="18">
        <f>+BM!AR53</f>
        <v>70085.115000000107</v>
      </c>
      <c r="AS31" s="2903">
        <f t="shared" si="157"/>
        <v>715500</v>
      </c>
      <c r="AT31" s="39">
        <f t="shared" si="158"/>
        <v>615126.21100000048</v>
      </c>
      <c r="AU31" s="6178">
        <f>72.5*1000</f>
        <v>72500</v>
      </c>
      <c r="AV31" s="18">
        <f>+BM!AV53</f>
        <v>65990.000000000058</v>
      </c>
      <c r="AW31" s="2903">
        <f t="shared" si="159"/>
        <v>788000</v>
      </c>
      <c r="AX31" s="39">
        <f t="shared" si="160"/>
        <v>681116.21100000059</v>
      </c>
      <c r="AY31" s="6393">
        <v>80000</v>
      </c>
      <c r="AZ31" s="18">
        <f>+BM!AZ53</f>
        <v>78010.610000000073</v>
      </c>
      <c r="BA31" s="3006">
        <f t="shared" si="161"/>
        <v>232500</v>
      </c>
      <c r="BB31" s="3006">
        <f t="shared" si="162"/>
        <v>214085.72500000024</v>
      </c>
      <c r="BC31" s="3007">
        <f>AM31+BA31</f>
        <v>470000</v>
      </c>
      <c r="BD31" s="3007">
        <f t="shared" si="163"/>
        <v>354633.87500000035</v>
      </c>
      <c r="BE31" s="3005">
        <f t="shared" si="164"/>
        <v>868000</v>
      </c>
      <c r="BF31" s="3005">
        <f t="shared" si="165"/>
        <v>759126.82100000069</v>
      </c>
      <c r="BG31" s="7142">
        <v>870000</v>
      </c>
      <c r="BH31" s="7142">
        <v>750867.84800000093</v>
      </c>
      <c r="BI31" s="3341">
        <v>850000</v>
      </c>
      <c r="BJ31" s="3305">
        <v>795322.27300000074</v>
      </c>
      <c r="BK31" s="1969">
        <v>775906.62549999985</v>
      </c>
      <c r="BL31" s="1969">
        <v>750000</v>
      </c>
      <c r="BM31" s="1969">
        <v>649840.96399999992</v>
      </c>
      <c r="BN31" s="1969">
        <v>674875.14</v>
      </c>
      <c r="BO31" s="1969">
        <v>440547.26999999996</v>
      </c>
      <c r="BP31" s="1969">
        <v>800000</v>
      </c>
      <c r="BQ31" s="1102">
        <v>632220.18000000005</v>
      </c>
      <c r="BR31" s="3252"/>
      <c r="BS31" s="3252"/>
      <c r="BT31" s="4713"/>
      <c r="BU31" s="4713"/>
      <c r="BV31" s="4713"/>
      <c r="BW31" s="1549"/>
    </row>
    <row r="32" spans="1:75" ht="15" customHeight="1" x14ac:dyDescent="0.25">
      <c r="B32" s="2035" t="s">
        <v>109</v>
      </c>
      <c r="C32" s="2016" t="s">
        <v>50</v>
      </c>
      <c r="D32" s="2908">
        <v>750000</v>
      </c>
      <c r="E32" s="1342">
        <v>62000</v>
      </c>
      <c r="F32" s="18">
        <f>+USM!G89</f>
        <v>49543.777000000002</v>
      </c>
      <c r="G32" s="7146">
        <v>65000</v>
      </c>
      <c r="H32" s="18">
        <f>+USM!I89</f>
        <v>57219.144</v>
      </c>
      <c r="I32" s="2903">
        <f t="shared" si="144"/>
        <v>127000</v>
      </c>
      <c r="J32" s="39">
        <f t="shared" si="144"/>
        <v>106762.921</v>
      </c>
      <c r="K32" s="4559">
        <v>35000</v>
      </c>
      <c r="L32" s="18">
        <f>+USM!M89</f>
        <v>27879.333000000002</v>
      </c>
      <c r="M32" s="2906">
        <f t="shared" si="145"/>
        <v>162000</v>
      </c>
      <c r="N32" s="69">
        <f t="shared" si="145"/>
        <v>134642.25400000002</v>
      </c>
      <c r="O32" s="4763">
        <v>12500</v>
      </c>
      <c r="P32" s="18">
        <f>+USM!Q89</f>
        <v>44707.992999999995</v>
      </c>
      <c r="Q32" s="4760">
        <f t="shared" si="146"/>
        <v>174500</v>
      </c>
      <c r="R32" s="39">
        <f t="shared" si="146"/>
        <v>179350.247</v>
      </c>
      <c r="S32" s="4872">
        <v>49000</v>
      </c>
      <c r="T32" s="18">
        <f>+USM!U89</f>
        <v>34390.132000000005</v>
      </c>
      <c r="U32" s="4864">
        <f t="shared" si="147"/>
        <v>223500</v>
      </c>
      <c r="V32" s="39">
        <f t="shared" si="148"/>
        <v>213740.37900000002</v>
      </c>
      <c r="W32" s="5033">
        <v>48000</v>
      </c>
      <c r="X32" s="18">
        <f>+USM!Y89</f>
        <v>43670.794999999998</v>
      </c>
      <c r="Y32" s="5018">
        <f t="shared" si="149"/>
        <v>109500</v>
      </c>
      <c r="Z32" s="5018">
        <f t="shared" si="149"/>
        <v>122768.92</v>
      </c>
      <c r="AA32" s="2907">
        <f t="shared" si="150"/>
        <v>271500</v>
      </c>
      <c r="AB32" s="2907">
        <f t="shared" si="150"/>
        <v>257411.174</v>
      </c>
      <c r="AC32" s="5347">
        <v>54000</v>
      </c>
      <c r="AD32" s="18">
        <f>+USM!AE89</f>
        <v>44900.301000000007</v>
      </c>
      <c r="AE32" s="2903">
        <f t="shared" si="151"/>
        <v>325500</v>
      </c>
      <c r="AF32" s="39">
        <f t="shared" si="152"/>
        <v>302311.47499999998</v>
      </c>
      <c r="AG32" s="5500">
        <v>52000</v>
      </c>
      <c r="AH32" s="18">
        <f>+USM!AI89</f>
        <v>8584.9840000000004</v>
      </c>
      <c r="AI32" s="2903">
        <f t="shared" si="153"/>
        <v>377500</v>
      </c>
      <c r="AJ32" s="39">
        <f t="shared" si="154"/>
        <v>310896.45899999997</v>
      </c>
      <c r="AK32" s="5899">
        <v>54000</v>
      </c>
      <c r="AL32" s="18">
        <f>+USM!AM89</f>
        <v>40066.768000000004</v>
      </c>
      <c r="AM32" s="2905">
        <f t="shared" si="155"/>
        <v>160000</v>
      </c>
      <c r="AN32" s="2905">
        <f t="shared" si="156"/>
        <v>93552.053000000014</v>
      </c>
      <c r="AO32" s="2903">
        <f t="shared" si="166"/>
        <v>431500</v>
      </c>
      <c r="AP32" s="2903">
        <f t="shared" si="167"/>
        <v>350963.22699999996</v>
      </c>
      <c r="AQ32" s="6074">
        <v>54000</v>
      </c>
      <c r="AR32" s="18">
        <f>+USM!AS89</f>
        <v>51039.178999999996</v>
      </c>
      <c r="AS32" s="2903">
        <f t="shared" si="157"/>
        <v>485500</v>
      </c>
      <c r="AT32" s="39">
        <f t="shared" si="158"/>
        <v>402002.40599999996</v>
      </c>
      <c r="AU32" s="6178">
        <v>48000</v>
      </c>
      <c r="AV32" s="18">
        <f>+USM!AW89</f>
        <v>51009.48</v>
      </c>
      <c r="AW32" s="2903">
        <f t="shared" si="159"/>
        <v>533500</v>
      </c>
      <c r="AX32" s="39">
        <f t="shared" si="160"/>
        <v>453011.88599999994</v>
      </c>
      <c r="AY32" s="6393">
        <v>60000</v>
      </c>
      <c r="AZ32" s="18">
        <f>+USM!BA89</f>
        <v>62071.890000000007</v>
      </c>
      <c r="BA32" s="3006">
        <f t="shared" si="161"/>
        <v>162000</v>
      </c>
      <c r="BB32" s="3006">
        <f t="shared" si="162"/>
        <v>164120.549</v>
      </c>
      <c r="BC32" s="3007">
        <f>AM32+BA32</f>
        <v>322000</v>
      </c>
      <c r="BD32" s="3007">
        <f t="shared" si="163"/>
        <v>257672.60200000001</v>
      </c>
      <c r="BE32" s="3005">
        <f t="shared" si="164"/>
        <v>593500</v>
      </c>
      <c r="BF32" s="3005">
        <f t="shared" si="165"/>
        <v>515083.77599999995</v>
      </c>
      <c r="BG32" s="7142">
        <v>560000</v>
      </c>
      <c r="BH32" s="7142">
        <v>499887.228</v>
      </c>
      <c r="BI32" s="3341">
        <v>525000</v>
      </c>
      <c r="BJ32" s="3305">
        <v>459141.95204</v>
      </c>
      <c r="BK32" s="1969">
        <v>361987.55812</v>
      </c>
      <c r="BL32" s="1969">
        <v>450000</v>
      </c>
      <c r="BM32" s="1969">
        <v>213226.16405321387</v>
      </c>
      <c r="BN32" s="1969">
        <v>220000</v>
      </c>
      <c r="BO32" s="1969">
        <v>88943.894138990887</v>
      </c>
      <c r="BP32" s="1969">
        <v>535000</v>
      </c>
      <c r="BQ32" s="1102">
        <v>171634.81128897145</v>
      </c>
      <c r="BR32" s="3252"/>
      <c r="BS32" s="3252"/>
      <c r="BT32" s="4713"/>
      <c r="BU32" s="4713"/>
      <c r="BV32" s="4713"/>
      <c r="BW32" s="1549"/>
    </row>
    <row r="33" spans="1:75" ht="15" customHeight="1" thickBot="1" x14ac:dyDescent="0.3">
      <c r="B33" s="2037" t="s">
        <v>682</v>
      </c>
      <c r="C33" s="2030" t="s">
        <v>50</v>
      </c>
      <c r="D33" s="2022">
        <f t="shared" ref="D33:N33" si="168">SUM(D30:D32)</f>
        <v>2150000</v>
      </c>
      <c r="E33" s="1770">
        <f t="shared" si="168"/>
        <v>180500</v>
      </c>
      <c r="F33" s="2062">
        <f t="shared" si="168"/>
        <v>153183.41200000004</v>
      </c>
      <c r="G33" s="7147">
        <f t="shared" ref="G33" si="169">SUM(G30:G32)</f>
        <v>188000</v>
      </c>
      <c r="H33" s="2062">
        <f t="shared" ref="H33" si="170">SUM(H30:H32)</f>
        <v>172769.12900000007</v>
      </c>
      <c r="I33" s="2064">
        <f t="shared" si="168"/>
        <v>368500</v>
      </c>
      <c r="J33" s="2031">
        <f t="shared" si="168"/>
        <v>325952.54100000008</v>
      </c>
      <c r="K33" s="4560">
        <f t="shared" si="168"/>
        <v>113000</v>
      </c>
      <c r="L33" s="2062">
        <f t="shared" si="168"/>
        <v>115865.70100000006</v>
      </c>
      <c r="M33" s="2072">
        <f t="shared" si="168"/>
        <v>481500</v>
      </c>
      <c r="N33" s="2073">
        <f t="shared" si="168"/>
        <v>441818.24200000014</v>
      </c>
      <c r="O33" s="4764">
        <f t="shared" ref="O33:P33" si="171">SUM(O30:O32)</f>
        <v>75000</v>
      </c>
      <c r="P33" s="2062">
        <f t="shared" si="171"/>
        <v>156846.52800000008</v>
      </c>
      <c r="Q33" s="2064">
        <f>SUM(Q30:Q32)</f>
        <v>556500</v>
      </c>
      <c r="R33" s="2031">
        <f>SUM(R30:R32)</f>
        <v>598664.77000000025</v>
      </c>
      <c r="S33" s="4873">
        <f t="shared" ref="S33:T33" si="172">SUM(S30:S32)</f>
        <v>174500</v>
      </c>
      <c r="T33" s="2062">
        <f t="shared" si="172"/>
        <v>147113.92500000008</v>
      </c>
      <c r="U33" s="2064">
        <f t="shared" ref="U33:X33" si="173">SUM(U30:U32)</f>
        <v>731000</v>
      </c>
      <c r="V33" s="2031">
        <f t="shared" si="173"/>
        <v>745778.6950000003</v>
      </c>
      <c r="W33" s="5034">
        <f t="shared" si="173"/>
        <v>169500</v>
      </c>
      <c r="X33" s="2062">
        <f t="shared" si="173"/>
        <v>157102.90500000003</v>
      </c>
      <c r="Y33" s="5020">
        <f>SUM(Y30:Y32)</f>
        <v>419000</v>
      </c>
      <c r="Z33" s="5020">
        <f>SUM(Z30:Z32)</f>
        <v>461063.35800000018</v>
      </c>
      <c r="AA33" s="544">
        <f>SUM(AA30:AA32)</f>
        <v>900500</v>
      </c>
      <c r="AB33" s="544">
        <f>SUM(AB30:AB32)</f>
        <v>902881.60000000033</v>
      </c>
      <c r="AC33" s="5348">
        <f t="shared" ref="AC33:AD33" si="174">SUM(AC30:AC32)</f>
        <v>179500</v>
      </c>
      <c r="AD33" s="2062">
        <f t="shared" si="174"/>
        <v>154032.86100000003</v>
      </c>
      <c r="AE33" s="2064">
        <f t="shared" ref="AE33:AH33" si="175">SUM(AE30:AE32)</f>
        <v>1080000</v>
      </c>
      <c r="AF33" s="2031">
        <f t="shared" si="175"/>
        <v>1056914.4610000004</v>
      </c>
      <c r="AG33" s="5501">
        <f t="shared" si="175"/>
        <v>173500</v>
      </c>
      <c r="AH33" s="2062">
        <f t="shared" si="175"/>
        <v>31736.054000000007</v>
      </c>
      <c r="AI33" s="2064">
        <f t="shared" ref="AI33:AL33" si="176">SUM(AI30:AI32)</f>
        <v>1253500</v>
      </c>
      <c r="AJ33" s="2031">
        <f t="shared" si="176"/>
        <v>1088650.5150000004</v>
      </c>
      <c r="AK33" s="5900">
        <f t="shared" si="176"/>
        <v>179500</v>
      </c>
      <c r="AL33" s="2062">
        <f t="shared" si="176"/>
        <v>149897.49800000008</v>
      </c>
      <c r="AM33" s="378">
        <f t="shared" ref="AM33:AN33" si="177">SUM(AM30:AM32)</f>
        <v>532500</v>
      </c>
      <c r="AN33" s="378">
        <f t="shared" si="177"/>
        <v>335666.41300000012</v>
      </c>
      <c r="AO33" s="2064">
        <f t="shared" ref="AO33:AT33" si="178">SUM(AO30:AO32)</f>
        <v>1433000</v>
      </c>
      <c r="AP33" s="2031">
        <f t="shared" si="178"/>
        <v>1238548.0130000003</v>
      </c>
      <c r="AQ33" s="6075">
        <f t="shared" si="178"/>
        <v>179500</v>
      </c>
      <c r="AR33" s="2062">
        <f t="shared" si="178"/>
        <v>161421.14400000009</v>
      </c>
      <c r="AS33" s="2064">
        <f t="shared" si="178"/>
        <v>1612500</v>
      </c>
      <c r="AT33" s="2031">
        <f t="shared" si="178"/>
        <v>1399969.1570000004</v>
      </c>
      <c r="AU33" s="6179">
        <f t="shared" ref="AU33:AV33" si="179">SUM(AU30:AU32)</f>
        <v>161000</v>
      </c>
      <c r="AV33" s="2062">
        <f t="shared" si="179"/>
        <v>151334.83000000007</v>
      </c>
      <c r="AW33" s="2064">
        <f t="shared" ref="AW33:AZ33" si="180">SUM(AW30:AW32)</f>
        <v>1773500</v>
      </c>
      <c r="AX33" s="2031">
        <f t="shared" si="180"/>
        <v>1551303.9870000004</v>
      </c>
      <c r="AY33" s="6394">
        <f t="shared" si="180"/>
        <v>185500</v>
      </c>
      <c r="AZ33" s="2062">
        <f t="shared" si="180"/>
        <v>183155.0500000001</v>
      </c>
      <c r="BA33" s="378">
        <f t="shared" ref="BA33:BD33" si="181">SUM(BA30:BA32)</f>
        <v>526000</v>
      </c>
      <c r="BB33" s="378">
        <f t="shared" si="181"/>
        <v>495911.02400000021</v>
      </c>
      <c r="BC33" s="544">
        <f t="shared" si="181"/>
        <v>1058500</v>
      </c>
      <c r="BD33" s="544">
        <f t="shared" si="181"/>
        <v>831577.43700000038</v>
      </c>
      <c r="BE33" s="2064">
        <f t="shared" ref="BE33:BF33" si="182">SUM(BE30:BE32)</f>
        <v>1959000</v>
      </c>
      <c r="BF33" s="2031">
        <f t="shared" si="182"/>
        <v>1734459.0370000005</v>
      </c>
      <c r="BG33" s="1496">
        <v>1930000</v>
      </c>
      <c r="BH33" s="1496">
        <v>1709785.7160000009</v>
      </c>
      <c r="BI33" s="1496">
        <v>1875000</v>
      </c>
      <c r="BJ33" s="1496">
        <v>1732992.6100400006</v>
      </c>
      <c r="BK33" s="1496">
        <v>1604008.8336199999</v>
      </c>
      <c r="BL33" s="1496">
        <v>1700000</v>
      </c>
      <c r="BM33" s="1496">
        <v>1328410.8940532138</v>
      </c>
      <c r="BN33" s="1496">
        <v>1330841.1017932</v>
      </c>
      <c r="BO33" s="1496">
        <v>886009.82213899097</v>
      </c>
      <c r="BP33" s="1496">
        <f>SUM(BP30:BP32)</f>
        <v>1835000</v>
      </c>
      <c r="BQ33" s="2084">
        <f>SUM(BQ30:BQ32)</f>
        <v>1215880.2112889714</v>
      </c>
      <c r="BR33" s="3252"/>
      <c r="BS33" s="3252"/>
      <c r="BT33" s="4713"/>
      <c r="BU33" s="4713"/>
      <c r="BV33" s="4713"/>
      <c r="BW33" s="1549"/>
    </row>
    <row r="34" spans="1:75" ht="15" customHeight="1" x14ac:dyDescent="0.25">
      <c r="B34" s="2034" t="s">
        <v>683</v>
      </c>
      <c r="C34" s="2032" t="s">
        <v>50</v>
      </c>
      <c r="D34" s="2033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3">
        <f>+E34+G34</f>
        <v>96999.3920402605</v>
      </c>
      <c r="J34" s="43">
        <f>+F34+H34</f>
        <v>98172.58799999996</v>
      </c>
      <c r="K34" s="368">
        <v>29529.067357512999</v>
      </c>
      <c r="L34" s="88">
        <v>25895</v>
      </c>
      <c r="M34" s="714">
        <f>+E34+G34+K34</f>
        <v>126528.45939777349</v>
      </c>
      <c r="N34" s="73">
        <f>+F34+H34+L34</f>
        <v>124067.58799999996</v>
      </c>
      <c r="O34" s="368">
        <f>6.18322970639032*1000</f>
        <v>6183.2297063903206</v>
      </c>
      <c r="P34" s="88">
        <v>58992</v>
      </c>
      <c r="Q34" s="713">
        <f>+M34+O34</f>
        <v>132711.68910416382</v>
      </c>
      <c r="R34" s="43">
        <f>+N34+P34</f>
        <v>183059.58799999996</v>
      </c>
      <c r="S34" s="368">
        <v>38452.612262521601</v>
      </c>
      <c r="T34" s="88">
        <v>55648</v>
      </c>
      <c r="U34" s="713">
        <f>+Q34+S34</f>
        <v>171164.30136668542</v>
      </c>
      <c r="V34" s="43">
        <f>+R34+T34</f>
        <v>238707.58799999996</v>
      </c>
      <c r="W34" s="368">
        <v>35980.785837651099</v>
      </c>
      <c r="X34" s="88">
        <v>52843</v>
      </c>
      <c r="Y34" s="5018">
        <f>+O34+S34+W34</f>
        <v>80616.627806563018</v>
      </c>
      <c r="Z34" s="5018">
        <f>+P34+T34+X34</f>
        <v>167483</v>
      </c>
      <c r="AA34" s="2907">
        <f>+M34+Y34</f>
        <v>207145.08720433651</v>
      </c>
      <c r="AB34" s="2907">
        <f>+N34+Z34</f>
        <v>291550.58799999999</v>
      </c>
      <c r="AC34" s="368">
        <v>47340.612262521579</v>
      </c>
      <c r="AD34" s="88">
        <v>25418</v>
      </c>
      <c r="AE34" s="713">
        <f>+AA34+AC34</f>
        <v>254485.69946685809</v>
      </c>
      <c r="AF34" s="43">
        <f>+AB34+AD34</f>
        <v>316968.58799999999</v>
      </c>
      <c r="AG34" s="368">
        <f>45.6807858376511*1000</f>
        <v>45680.785837651099</v>
      </c>
      <c r="AH34" s="88">
        <v>7935</v>
      </c>
      <c r="AI34" s="713">
        <f>+AE34+AG34</f>
        <v>300166.48530450917</v>
      </c>
      <c r="AJ34" s="43">
        <f>+AF34+AH34</f>
        <v>324903.58799999999</v>
      </c>
      <c r="AK34" s="368">
        <f>45.7100622625216*1000</f>
        <v>45710.062262521606</v>
      </c>
      <c r="AL34" s="88">
        <v>64493</v>
      </c>
      <c r="AM34" s="2905">
        <f>+AC34+AG34+AK34</f>
        <v>138731.46036269428</v>
      </c>
      <c r="AN34" s="2905">
        <f>+AD34+AH34+AL34</f>
        <v>97846</v>
      </c>
      <c r="AO34" s="2903">
        <f t="shared" si="166"/>
        <v>345876.54756703076</v>
      </c>
      <c r="AP34" s="2903">
        <f t="shared" si="166"/>
        <v>389396.58799999999</v>
      </c>
      <c r="AQ34" s="368">
        <f>47.3396122625216*1000</f>
        <v>47339.612262521601</v>
      </c>
      <c r="AR34" s="88">
        <v>63074.18</v>
      </c>
      <c r="AS34" s="713">
        <f>+AO34+AQ34</f>
        <v>393216.15982955234</v>
      </c>
      <c r="AT34" s="43">
        <f>+AP34+AR34</f>
        <v>452470.76799999998</v>
      </c>
      <c r="AU34" s="368">
        <f>42.6579663212435*1000</f>
        <v>42657.966321243497</v>
      </c>
      <c r="AV34" s="88">
        <v>57481.269999999931</v>
      </c>
      <c r="AW34" s="713">
        <f>+AS34+AU34</f>
        <v>435874.12615079584</v>
      </c>
      <c r="AX34" s="43">
        <f>+AT34+AV34</f>
        <v>509952.03799999994</v>
      </c>
      <c r="AY34" s="368">
        <f>45.4526122625216*1000</f>
        <v>45452.612262521594</v>
      </c>
      <c r="AZ34" s="88">
        <v>57620</v>
      </c>
      <c r="BA34" s="3006">
        <f>+AQ34+AU34+AY34</f>
        <v>135450.19084628671</v>
      </c>
      <c r="BB34" s="3006">
        <f>+AR34+AV34+AZ34</f>
        <v>178175.44999999992</v>
      </c>
      <c r="BC34" s="3007">
        <f>AM34+BA34</f>
        <v>274181.651208981</v>
      </c>
      <c r="BD34" s="3007">
        <f>AN34+BB34</f>
        <v>276021.44999999995</v>
      </c>
      <c r="BE34" s="3005">
        <f t="shared" ref="BE34:BE35" si="183">AW34+AY34</f>
        <v>481326.73841331742</v>
      </c>
      <c r="BF34" s="3005">
        <f t="shared" ref="BF34:BF35" si="184">AX34+AZ34</f>
        <v>567572.03799999994</v>
      </c>
      <c r="BG34" s="7142">
        <v>461999.55998512253</v>
      </c>
      <c r="BH34" s="7142">
        <v>558374.44999999995</v>
      </c>
      <c r="BI34" s="3341">
        <v>592000.00027062534</v>
      </c>
      <c r="BJ34" s="3305">
        <v>574823.37</v>
      </c>
      <c r="BK34" s="1969">
        <v>595119.90700000001</v>
      </c>
      <c r="BL34" s="1969">
        <v>516406.76683937816</v>
      </c>
      <c r="BM34" s="1969">
        <v>627684.57297577348</v>
      </c>
      <c r="BN34" s="1969">
        <v>533055.8167946114</v>
      </c>
      <c r="BO34" s="1969">
        <v>608495.73</v>
      </c>
      <c r="BP34" s="1969">
        <v>304999.74093264237</v>
      </c>
      <c r="BQ34" s="1102">
        <v>629438.95550700894</v>
      </c>
      <c r="BR34" s="3252"/>
      <c r="BS34" s="3252"/>
      <c r="BT34" s="4713"/>
      <c r="BU34" s="4713"/>
      <c r="BV34" s="4713"/>
      <c r="BW34" s="1549"/>
    </row>
    <row r="35" spans="1:75" ht="15" customHeight="1" x14ac:dyDescent="0.25">
      <c r="B35" s="2035" t="s">
        <v>684</v>
      </c>
      <c r="C35" s="2016" t="s">
        <v>50</v>
      </c>
      <c r="D35" s="2908">
        <v>0</v>
      </c>
      <c r="E35" s="2904">
        <v>0</v>
      </c>
      <c r="F35" s="18">
        <v>0</v>
      </c>
      <c r="G35" s="7141">
        <v>0</v>
      </c>
      <c r="H35" s="18">
        <v>3000</v>
      </c>
      <c r="I35" s="2903">
        <f>+E35+G35</f>
        <v>0</v>
      </c>
      <c r="J35" s="39">
        <f>+F35+H35</f>
        <v>3000</v>
      </c>
      <c r="K35" s="4555">
        <v>0</v>
      </c>
      <c r="L35" s="18">
        <v>5866</v>
      </c>
      <c r="M35" s="2906">
        <f>+E35+G35+K35</f>
        <v>0</v>
      </c>
      <c r="N35" s="69">
        <f>+F35+H35+L35</f>
        <v>8866</v>
      </c>
      <c r="O35" s="4761">
        <v>0</v>
      </c>
      <c r="P35" s="18">
        <v>5431.48</v>
      </c>
      <c r="Q35" s="4760">
        <f>+M35+O35</f>
        <v>0</v>
      </c>
      <c r="R35" s="39">
        <f>+N35+P35</f>
        <v>14297.48</v>
      </c>
      <c r="S35" s="4865">
        <v>4999.5641957485004</v>
      </c>
      <c r="T35" s="18">
        <v>8492</v>
      </c>
      <c r="U35" s="4864">
        <f>+Q35+S35</f>
        <v>4999.5641957485004</v>
      </c>
      <c r="V35" s="39">
        <f>+R35+T35</f>
        <v>22789.48</v>
      </c>
      <c r="W35" s="5017">
        <v>0</v>
      </c>
      <c r="X35" s="18">
        <v>6231</v>
      </c>
      <c r="Y35" s="5018">
        <f>+O35+S35+W35</f>
        <v>4999.5641957485004</v>
      </c>
      <c r="Z35" s="5018">
        <f>+P35+T35+X35</f>
        <v>20154.48</v>
      </c>
      <c r="AA35" s="2907">
        <f>+M35+Y35</f>
        <v>4999.5641957485004</v>
      </c>
      <c r="AB35" s="2907">
        <f>+N35+Z35</f>
        <v>29020.48</v>
      </c>
      <c r="AC35" s="5329">
        <v>0.48160501816892065</v>
      </c>
      <c r="AD35" s="18">
        <v>7379.5262000000002</v>
      </c>
      <c r="AE35" s="2903">
        <f>+AA35+AC35</f>
        <v>5000.0458007666693</v>
      </c>
      <c r="AF35" s="39">
        <f>+AB35+AD35</f>
        <v>36400.006200000003</v>
      </c>
      <c r="AG35" s="5496">
        <f>4.00012973564992*1000</f>
        <v>4000.1297356499199</v>
      </c>
      <c r="AH35" s="18">
        <v>637</v>
      </c>
      <c r="AI35" s="5653">
        <f>+AE35+AG35</f>
        <v>9000.1755364165892</v>
      </c>
      <c r="AJ35" s="39">
        <f>+AF35+AH35</f>
        <v>37037.006200000003</v>
      </c>
      <c r="AK35" s="5898">
        <v>0</v>
      </c>
      <c r="AL35" s="18">
        <v>12910</v>
      </c>
      <c r="AM35" s="2905">
        <f>+AC35+AG35+AK35</f>
        <v>4000.6113406680888</v>
      </c>
      <c r="AN35" s="2905">
        <f>+AD35+AH35+AL35</f>
        <v>20926.5262</v>
      </c>
      <c r="AO35" s="2903">
        <f t="shared" ref="AO35" si="185">AI35+AK35</f>
        <v>9000.1755364165892</v>
      </c>
      <c r="AP35" s="2903">
        <f t="shared" ref="AP35" si="186">AJ35+AL35</f>
        <v>49947.006200000003</v>
      </c>
      <c r="AQ35" s="6059">
        <v>0</v>
      </c>
      <c r="AR35" s="18">
        <v>10907.843000000001</v>
      </c>
      <c r="AS35" s="2903">
        <f>+AO35+AQ35</f>
        <v>9000.1755364165892</v>
      </c>
      <c r="AT35" s="39">
        <f>+AP35+AR35</f>
        <v>60854.849200000004</v>
      </c>
      <c r="AU35" s="6166">
        <f>4.00002977049834*1000</f>
        <v>4000.0297704983404</v>
      </c>
      <c r="AV35" s="18">
        <v>0</v>
      </c>
      <c r="AW35" s="2903">
        <f>+AS35+AU35</f>
        <v>13000.20530691493</v>
      </c>
      <c r="AX35" s="39">
        <f>+AT35+AV35</f>
        <v>60854.849200000004</v>
      </c>
      <c r="AY35" s="6381">
        <v>0</v>
      </c>
      <c r="AZ35" s="18">
        <v>0</v>
      </c>
      <c r="BA35" s="3006">
        <f>+AQ35+AU35+AY35</f>
        <v>4000.0297704983404</v>
      </c>
      <c r="BB35" s="3006">
        <f>+AR35+AV35+AZ35</f>
        <v>10907.843000000001</v>
      </c>
      <c r="BC35" s="3007">
        <f>AM35+BA35</f>
        <v>8000.6411111664293</v>
      </c>
      <c r="BD35" s="3007">
        <f>AN35+BB35</f>
        <v>31834.369200000001</v>
      </c>
      <c r="BE35" s="3005">
        <f t="shared" si="183"/>
        <v>13000.20530691493</v>
      </c>
      <c r="BF35" s="3005">
        <f t="shared" si="184"/>
        <v>60854.849200000004</v>
      </c>
      <c r="BG35" s="7142">
        <v>17999.996415592192</v>
      </c>
      <c r="BH35" s="7142">
        <v>63663.849200000004</v>
      </c>
      <c r="BI35" s="3341">
        <v>57999.916142557566</v>
      </c>
      <c r="BJ35" s="3305">
        <v>101828.14418</v>
      </c>
      <c r="BK35" s="1969">
        <v>116079.049</v>
      </c>
      <c r="BL35" s="1969">
        <v>153592.3419429849</v>
      </c>
      <c r="BM35" s="1969">
        <v>204330.35166666663</v>
      </c>
      <c r="BN35" s="1969">
        <v>371378.00888192269</v>
      </c>
      <c r="BO35" s="1969">
        <v>329378.80290000001</v>
      </c>
      <c r="BP35" s="1969">
        <v>267000</v>
      </c>
      <c r="BQ35" s="1102">
        <v>248401</v>
      </c>
      <c r="BR35" s="3252"/>
      <c r="BS35" s="3252"/>
      <c r="BT35" s="4713"/>
      <c r="BU35" s="4713"/>
      <c r="BV35" s="4713"/>
      <c r="BW35" s="1549"/>
    </row>
    <row r="36" spans="1:75" ht="15" customHeight="1" thickBot="1" x14ac:dyDescent="0.3">
      <c r="B36" s="2037" t="s">
        <v>685</v>
      </c>
      <c r="C36" s="2030" t="s">
        <v>50</v>
      </c>
      <c r="D36" s="2022">
        <f t="shared" ref="D36:N36" si="187">SUM(D34:D35)</f>
        <v>525000.33712911</v>
      </c>
      <c r="E36" s="1770">
        <f t="shared" si="187"/>
        <v>48499.815368603398</v>
      </c>
      <c r="F36" s="2062">
        <f t="shared" si="187"/>
        <v>45616.58799999996</v>
      </c>
      <c r="G36" s="7147">
        <f t="shared" ref="G36" si="188">SUM(G34:G35)</f>
        <v>48499.576671657102</v>
      </c>
      <c r="H36" s="2062">
        <f t="shared" ref="H36" si="189">SUM(H34:H35)</f>
        <v>55556</v>
      </c>
      <c r="I36" s="2064">
        <f t="shared" si="187"/>
        <v>96999.3920402605</v>
      </c>
      <c r="J36" s="2031">
        <f t="shared" si="187"/>
        <v>101172.58799999996</v>
      </c>
      <c r="K36" s="4560">
        <f t="shared" si="187"/>
        <v>29529.067357512999</v>
      </c>
      <c r="L36" s="2062">
        <f t="shared" si="187"/>
        <v>31761</v>
      </c>
      <c r="M36" s="2072">
        <f t="shared" si="187"/>
        <v>126528.45939777349</v>
      </c>
      <c r="N36" s="2073">
        <f t="shared" si="187"/>
        <v>132933.58799999996</v>
      </c>
      <c r="O36" s="4764">
        <f t="shared" ref="O36:P36" si="190">SUM(O34:O35)</f>
        <v>6183.2297063903206</v>
      </c>
      <c r="P36" s="2062">
        <f t="shared" si="190"/>
        <v>64423.479999999996</v>
      </c>
      <c r="Q36" s="2064">
        <f>SUM(Q34:Q35)</f>
        <v>132711.68910416382</v>
      </c>
      <c r="R36" s="2031">
        <f>SUM(R34:R35)</f>
        <v>197357.06799999997</v>
      </c>
      <c r="S36" s="4873">
        <f t="shared" ref="S36:T36" si="191">SUM(S34:S35)</f>
        <v>43452.1764582701</v>
      </c>
      <c r="T36" s="2062">
        <f t="shared" si="191"/>
        <v>64140</v>
      </c>
      <c r="U36" s="2064">
        <f t="shared" ref="U36:X36" si="192">SUM(U34:U35)</f>
        <v>176163.86556243393</v>
      </c>
      <c r="V36" s="2031">
        <f t="shared" si="192"/>
        <v>261497.06799999997</v>
      </c>
      <c r="W36" s="5034">
        <f t="shared" si="192"/>
        <v>35980.785837651099</v>
      </c>
      <c r="X36" s="2062">
        <f t="shared" si="192"/>
        <v>59074</v>
      </c>
      <c r="Y36" s="5020">
        <f>SUM(Y34:Y35)</f>
        <v>85616.192002311524</v>
      </c>
      <c r="Z36" s="5020">
        <f>SUM(Z34:Z35)</f>
        <v>187637.48</v>
      </c>
      <c r="AA36" s="544">
        <f>SUM(AA34:AA35)</f>
        <v>212144.65140008501</v>
      </c>
      <c r="AB36" s="544">
        <f>SUM(AB34:AB35)</f>
        <v>320571.06799999997</v>
      </c>
      <c r="AC36" s="5348">
        <f t="shared" ref="AC36:AD36" si="193">SUM(AC34:AC35)</f>
        <v>47341.093867539748</v>
      </c>
      <c r="AD36" s="2062">
        <f t="shared" si="193"/>
        <v>32797.5262</v>
      </c>
      <c r="AE36" s="1770">
        <f t="shared" ref="AE36:AH36" si="194">SUM(AE34:AE35)</f>
        <v>259485.74526762476</v>
      </c>
      <c r="AF36" s="2062">
        <f t="shared" si="194"/>
        <v>353368.59419999999</v>
      </c>
      <c r="AG36" s="5501">
        <f t="shared" si="194"/>
        <v>49680.915573301019</v>
      </c>
      <c r="AH36" s="2062">
        <f t="shared" si="194"/>
        <v>8572</v>
      </c>
      <c r="AI36" s="2064">
        <f t="shared" ref="AI36:AL36" si="195">SUM(AI34:AI35)</f>
        <v>309166.66084092576</v>
      </c>
      <c r="AJ36" s="2031">
        <f t="shared" si="195"/>
        <v>361940.59419999999</v>
      </c>
      <c r="AK36" s="5900">
        <f t="shared" si="195"/>
        <v>45710.062262521606</v>
      </c>
      <c r="AL36" s="2062">
        <f t="shared" si="195"/>
        <v>77403</v>
      </c>
      <c r="AM36" s="378">
        <f t="shared" ref="AM36:AN36" si="196">SUM(AM34:AM35)</f>
        <v>142732.07170336237</v>
      </c>
      <c r="AN36" s="378">
        <f t="shared" si="196"/>
        <v>118772.52619999999</v>
      </c>
      <c r="AO36" s="1770">
        <f t="shared" ref="AO36:AT36" si="197">SUM(AO34:AO35)</f>
        <v>354876.72310344735</v>
      </c>
      <c r="AP36" s="2062">
        <f t="shared" si="197"/>
        <v>439343.59419999999</v>
      </c>
      <c r="AQ36" s="6075">
        <f t="shared" si="197"/>
        <v>47339.612262521601</v>
      </c>
      <c r="AR36" s="2062">
        <f t="shared" si="197"/>
        <v>73982.023000000001</v>
      </c>
      <c r="AS36" s="1770">
        <f t="shared" si="197"/>
        <v>402216.33536596893</v>
      </c>
      <c r="AT36" s="2062">
        <f t="shared" si="197"/>
        <v>513325.61719999998</v>
      </c>
      <c r="AU36" s="6179">
        <f t="shared" ref="AU36:AV36" si="198">SUM(AU34:AU35)</f>
        <v>46657.996091741836</v>
      </c>
      <c r="AV36" s="2062">
        <f t="shared" si="198"/>
        <v>57481.269999999931</v>
      </c>
      <c r="AW36" s="1770">
        <f t="shared" ref="AW36:AZ36" si="199">SUM(AW34:AW35)</f>
        <v>448874.33145771077</v>
      </c>
      <c r="AX36" s="2062">
        <f t="shared" si="199"/>
        <v>570806.8872</v>
      </c>
      <c r="AY36" s="6394">
        <f t="shared" si="199"/>
        <v>45452.612262521594</v>
      </c>
      <c r="AZ36" s="2062">
        <f t="shared" si="199"/>
        <v>57620</v>
      </c>
      <c r="BA36" s="378">
        <f t="shared" ref="BA36:BD36" si="200">SUM(BA34:BA35)</f>
        <v>139450.22061678505</v>
      </c>
      <c r="BB36" s="378">
        <f t="shared" si="200"/>
        <v>189083.29299999992</v>
      </c>
      <c r="BC36" s="544">
        <f t="shared" si="200"/>
        <v>282182.29232014745</v>
      </c>
      <c r="BD36" s="544">
        <f t="shared" si="200"/>
        <v>307855.81919999997</v>
      </c>
      <c r="BE36" s="3104">
        <f t="shared" ref="BE36:BF36" si="201">SUM(BE34:BE35)</f>
        <v>494326.94372023235</v>
      </c>
      <c r="BF36" s="3104">
        <f t="shared" si="201"/>
        <v>628426.8872</v>
      </c>
      <c r="BG36" s="1496">
        <v>479999.55640071473</v>
      </c>
      <c r="BH36" s="1496">
        <v>622038.29920000001</v>
      </c>
      <c r="BI36" s="1496">
        <v>649999.91641318286</v>
      </c>
      <c r="BJ36" s="1496">
        <v>676651.51417999994</v>
      </c>
      <c r="BK36" s="1496">
        <v>711198.95600000001</v>
      </c>
      <c r="BL36" s="1496">
        <v>669999.10878236312</v>
      </c>
      <c r="BM36" s="1496">
        <v>832014.92464244016</v>
      </c>
      <c r="BN36" s="1496">
        <v>904433.82567653409</v>
      </c>
      <c r="BO36" s="1496">
        <v>937874.53289999999</v>
      </c>
      <c r="BP36" s="1496">
        <f>SUM(BP34:BP35)</f>
        <v>571999.74093264237</v>
      </c>
      <c r="BQ36" s="2084">
        <f>SUM(BQ34:BQ35)</f>
        <v>877839.95550700894</v>
      </c>
      <c r="BR36" s="3252"/>
      <c r="BS36" s="3252"/>
      <c r="BT36" s="4713"/>
      <c r="BU36" s="4713"/>
      <c r="BV36" s="4713"/>
      <c r="BW36" s="1549"/>
    </row>
    <row r="37" spans="1:75" ht="15" customHeight="1" thickBot="1" x14ac:dyDescent="0.3">
      <c r="B37" s="2038" t="s">
        <v>1592</v>
      </c>
      <c r="C37" s="1972" t="s">
        <v>50</v>
      </c>
      <c r="D37" s="2027">
        <f t="shared" ref="D37:N37" si="202">+D33+D36</f>
        <v>2675000.33712911</v>
      </c>
      <c r="E37" s="2930">
        <f t="shared" si="202"/>
        <v>228999.81536860339</v>
      </c>
      <c r="F37" s="1318">
        <f t="shared" si="202"/>
        <v>198800</v>
      </c>
      <c r="G37" s="2930">
        <f t="shared" ref="G37" si="203">+G33+G36</f>
        <v>236499.57667165709</v>
      </c>
      <c r="H37" s="1318">
        <f t="shared" ref="H37" si="204">+H33+H36</f>
        <v>228325.12900000007</v>
      </c>
      <c r="I37" s="1131">
        <f t="shared" si="202"/>
        <v>465499.39204026049</v>
      </c>
      <c r="J37" s="1132">
        <f t="shared" si="202"/>
        <v>427125.12900000007</v>
      </c>
      <c r="K37" s="2930">
        <f t="shared" si="202"/>
        <v>142529.06735751301</v>
      </c>
      <c r="L37" s="1318">
        <f t="shared" si="202"/>
        <v>147626.70100000006</v>
      </c>
      <c r="M37" s="767">
        <f t="shared" si="202"/>
        <v>608028.45939777349</v>
      </c>
      <c r="N37" s="172">
        <f t="shared" si="202"/>
        <v>574751.83000000007</v>
      </c>
      <c r="O37" s="2930">
        <f t="shared" ref="O37:P37" si="205">+O33+O36</f>
        <v>81183.229706390324</v>
      </c>
      <c r="P37" s="1318">
        <f t="shared" si="205"/>
        <v>221270.00800000009</v>
      </c>
      <c r="Q37" s="1131">
        <f>+Q33+Q36</f>
        <v>689211.68910416379</v>
      </c>
      <c r="R37" s="1132">
        <f>+R33+R36</f>
        <v>796021.83800000022</v>
      </c>
      <c r="S37" s="2930">
        <f>+S33+S36</f>
        <v>217952.17645827011</v>
      </c>
      <c r="T37" s="1318">
        <f>+T33+T36</f>
        <v>211253.92500000008</v>
      </c>
      <c r="U37" s="1131">
        <f t="shared" ref="U37:X37" si="206">+U33+U36</f>
        <v>907163.86556243396</v>
      </c>
      <c r="V37" s="1132">
        <f t="shared" si="206"/>
        <v>1007275.7630000003</v>
      </c>
      <c r="W37" s="2930">
        <f t="shared" si="206"/>
        <v>205480.78583765111</v>
      </c>
      <c r="X37" s="1318">
        <f t="shared" si="206"/>
        <v>216176.90500000003</v>
      </c>
      <c r="Y37" s="5020">
        <f t="shared" ref="Y37:AD37" si="207">+Y33+Y36</f>
        <v>504616.19200231152</v>
      </c>
      <c r="Z37" s="5020">
        <f t="shared" si="207"/>
        <v>648700.83800000022</v>
      </c>
      <c r="AA37" s="544">
        <f t="shared" si="207"/>
        <v>1112644.6514000851</v>
      </c>
      <c r="AB37" s="544">
        <f t="shared" si="207"/>
        <v>1223452.6680000003</v>
      </c>
      <c r="AC37" s="2930">
        <f t="shared" si="207"/>
        <v>226841.09386753975</v>
      </c>
      <c r="AD37" s="1318">
        <f t="shared" si="207"/>
        <v>186830.38720000003</v>
      </c>
      <c r="AE37" s="2930">
        <f t="shared" ref="AE37:AH37" si="208">+AE33+AE36</f>
        <v>1339485.7452676247</v>
      </c>
      <c r="AF37" s="1318">
        <f t="shared" si="208"/>
        <v>1410283.0552000003</v>
      </c>
      <c r="AG37" s="2930">
        <f t="shared" si="208"/>
        <v>223180.91557330103</v>
      </c>
      <c r="AH37" s="1318">
        <f t="shared" si="208"/>
        <v>40308.054000000004</v>
      </c>
      <c r="AI37" s="1131">
        <f t="shared" ref="AI37:AN37" si="209">+AI33+AI36</f>
        <v>1562666.6608409258</v>
      </c>
      <c r="AJ37" s="1132">
        <f t="shared" si="209"/>
        <v>1450591.1092000003</v>
      </c>
      <c r="AK37" s="2930">
        <f t="shared" si="209"/>
        <v>225210.06226252159</v>
      </c>
      <c r="AL37" s="1318">
        <f t="shared" si="209"/>
        <v>227300.49800000008</v>
      </c>
      <c r="AM37" s="378">
        <f t="shared" si="209"/>
        <v>675232.0717033624</v>
      </c>
      <c r="AN37" s="378">
        <f t="shared" si="209"/>
        <v>454438.93920000014</v>
      </c>
      <c r="AO37" s="2930">
        <f t="shared" ref="AO37:AT37" si="210">+AO33+AO36</f>
        <v>1787876.7231034474</v>
      </c>
      <c r="AP37" s="1318">
        <f t="shared" si="210"/>
        <v>1677891.6072000002</v>
      </c>
      <c r="AQ37" s="2930">
        <f t="shared" si="210"/>
        <v>226839.61226252161</v>
      </c>
      <c r="AR37" s="1318">
        <f t="shared" si="210"/>
        <v>235403.16700000007</v>
      </c>
      <c r="AS37" s="2930">
        <f t="shared" si="210"/>
        <v>2014716.335365969</v>
      </c>
      <c r="AT37" s="1318">
        <f t="shared" si="210"/>
        <v>1913294.7742000003</v>
      </c>
      <c r="AU37" s="2930">
        <f t="shared" ref="AU37:AV37" si="211">+AU33+AU36</f>
        <v>207657.99609174184</v>
      </c>
      <c r="AV37" s="1318">
        <f t="shared" si="211"/>
        <v>208816.1</v>
      </c>
      <c r="AW37" s="2930">
        <f t="shared" ref="AW37:BF37" si="212">+AW33+AW36</f>
        <v>2222374.3314577108</v>
      </c>
      <c r="AX37" s="1318">
        <f t="shared" si="212"/>
        <v>2122110.8742000004</v>
      </c>
      <c r="AY37" s="2930">
        <f t="shared" si="212"/>
        <v>230952.61226252158</v>
      </c>
      <c r="AZ37" s="1318">
        <f t="shared" si="212"/>
        <v>240775.0500000001</v>
      </c>
      <c r="BA37" s="378">
        <f t="shared" si="212"/>
        <v>665450.22061678511</v>
      </c>
      <c r="BB37" s="378">
        <f t="shared" si="212"/>
        <v>684994.31700000016</v>
      </c>
      <c r="BC37" s="544">
        <f t="shared" si="212"/>
        <v>1340682.2923201474</v>
      </c>
      <c r="BD37" s="544">
        <f t="shared" si="212"/>
        <v>1139433.2562000004</v>
      </c>
      <c r="BE37" s="2930">
        <f t="shared" si="212"/>
        <v>2453326.9437202322</v>
      </c>
      <c r="BF37" s="1318">
        <f t="shared" si="212"/>
        <v>2362885.9242000002</v>
      </c>
      <c r="BG37" s="1143">
        <v>2409999.5564007149</v>
      </c>
      <c r="BH37" s="1143">
        <v>2331824.0152000012</v>
      </c>
      <c r="BI37" s="1143">
        <v>2524999.9164131829</v>
      </c>
      <c r="BJ37" s="1143">
        <v>2409644.1242200006</v>
      </c>
      <c r="BK37" s="1143">
        <v>2315207.7896199999</v>
      </c>
      <c r="BL37" s="1143">
        <v>2369999.1087823631</v>
      </c>
      <c r="BM37" s="1143">
        <v>2160425.8186956542</v>
      </c>
      <c r="BN37" s="1143">
        <v>2235274.9274697341</v>
      </c>
      <c r="BO37" s="1143">
        <v>1823884.355038991</v>
      </c>
      <c r="BP37" s="1143">
        <f>+BP33+BP36</f>
        <v>2406999.7409326425</v>
      </c>
      <c r="BQ37" s="2083">
        <f>+BQ33+BQ36</f>
        <v>2093720.1667959802</v>
      </c>
      <c r="BR37" s="3252"/>
      <c r="BS37" s="3252"/>
      <c r="BT37" s="4713"/>
      <c r="BU37" s="4713"/>
      <c r="BV37" s="4713"/>
      <c r="BW37" s="1549"/>
    </row>
    <row r="38" spans="1:75" ht="15" customHeight="1" x14ac:dyDescent="0.25">
      <c r="A38" s="149"/>
      <c r="B38" s="2042" t="s">
        <v>3</v>
      </c>
      <c r="C38" s="2081"/>
      <c r="D38" s="2916"/>
      <c r="E38" s="2916"/>
      <c r="F38" s="2916"/>
      <c r="G38" s="2916"/>
      <c r="H38" s="2916"/>
      <c r="I38" s="2916"/>
      <c r="J38" s="2916"/>
      <c r="K38" s="2916"/>
      <c r="L38" s="2916"/>
      <c r="M38" s="2916"/>
      <c r="N38" s="2916"/>
      <c r="O38" s="2916"/>
      <c r="P38" s="2916"/>
      <c r="Q38" s="2916"/>
      <c r="R38" s="2916"/>
      <c r="S38" s="2916"/>
      <c r="T38" s="2916"/>
      <c r="U38" s="2916"/>
      <c r="V38" s="2916"/>
      <c r="W38" s="2916"/>
      <c r="X38" s="2916"/>
      <c r="Y38" s="2916"/>
      <c r="Z38" s="2916"/>
      <c r="AA38" s="2916"/>
      <c r="AB38" s="2916"/>
      <c r="AC38" s="2916"/>
      <c r="AD38" s="2916"/>
      <c r="AE38" s="2916"/>
      <c r="AF38" s="2916"/>
      <c r="AG38" s="2916"/>
      <c r="AH38" s="2916"/>
      <c r="AI38" s="2916"/>
      <c r="AJ38" s="2916"/>
      <c r="AK38" s="2916"/>
      <c r="AL38" s="2916"/>
      <c r="AM38" s="2916"/>
      <c r="AN38" s="2916"/>
      <c r="AO38" s="2916"/>
      <c r="AP38" s="2916"/>
      <c r="AQ38" s="2916"/>
      <c r="AR38" s="2916"/>
      <c r="AS38" s="2916"/>
      <c r="AT38" s="2916"/>
      <c r="AU38" s="2916"/>
      <c r="AV38" s="2916"/>
      <c r="AW38" s="2916"/>
      <c r="AX38" s="2916"/>
      <c r="AY38" s="2916"/>
      <c r="AZ38" s="2916"/>
      <c r="BA38" s="2916"/>
      <c r="BB38" s="2916"/>
      <c r="BC38" s="2916"/>
      <c r="BD38" s="2916"/>
      <c r="BE38" s="2916"/>
      <c r="BF38" s="2916"/>
      <c r="BG38" s="2081"/>
      <c r="BH38" s="2081"/>
      <c r="BI38" s="2081"/>
      <c r="BJ38" s="2081"/>
      <c r="BK38" s="2081"/>
      <c r="BL38" s="2081"/>
      <c r="BM38" s="2081"/>
      <c r="BN38" s="2081"/>
      <c r="BO38" s="2081"/>
      <c r="BP38" s="2081"/>
      <c r="BQ38" s="2082"/>
      <c r="BR38" s="3252"/>
      <c r="BS38" s="3252"/>
      <c r="BT38" s="4713"/>
      <c r="BU38" s="4713"/>
      <c r="BV38" s="4713"/>
      <c r="BW38" s="1549"/>
    </row>
    <row r="39" spans="1:75" ht="15" customHeight="1" x14ac:dyDescent="0.25">
      <c r="B39" s="2043" t="s">
        <v>686</v>
      </c>
      <c r="C39" s="2016" t="s">
        <v>50</v>
      </c>
      <c r="D39" s="7316">
        <f>+D30</f>
        <v>500000</v>
      </c>
      <c r="E39" s="7298">
        <f>+E30</f>
        <v>42500</v>
      </c>
      <c r="F39" s="18">
        <f>+WRM!F192</f>
        <v>36744.180000000008</v>
      </c>
      <c r="G39" s="7298">
        <f>+G30</f>
        <v>44000</v>
      </c>
      <c r="H39" s="18">
        <f>+WRM!H192</f>
        <v>39374.349999999991</v>
      </c>
      <c r="I39" s="7293">
        <f>+E39+G39</f>
        <v>86500</v>
      </c>
      <c r="J39" s="39">
        <f>+F39+H39</f>
        <v>76118.53</v>
      </c>
      <c r="K39" s="7298">
        <f>+K30</f>
        <v>30000</v>
      </c>
      <c r="L39" s="18">
        <f>+WRM!L192</f>
        <v>38310.400000000001</v>
      </c>
      <c r="M39" s="7309">
        <f>+E39+G39+K39</f>
        <v>116500</v>
      </c>
      <c r="N39" s="69">
        <f>+F39+H39+L39</f>
        <v>114428.93</v>
      </c>
      <c r="O39" s="7298">
        <f>+O30</f>
        <v>25000</v>
      </c>
      <c r="P39" s="18">
        <f>+WRM!P192</f>
        <v>42041.400000000016</v>
      </c>
      <c r="Q39" s="7319">
        <f>+M39+O39</f>
        <v>141500</v>
      </c>
      <c r="R39" s="39">
        <f t="shared" ref="Q39:R43" si="213">+N39+P39</f>
        <v>156470.33000000002</v>
      </c>
      <c r="S39" s="7298">
        <f>+S30</f>
        <v>45500</v>
      </c>
      <c r="T39" s="18">
        <f>+WRM!T192</f>
        <v>41559.649999999994</v>
      </c>
      <c r="U39" s="7319">
        <f>+Q39+S39</f>
        <v>187000</v>
      </c>
      <c r="V39" s="39">
        <f t="shared" ref="V39:V43" si="214">+R39+T39</f>
        <v>198029.98</v>
      </c>
      <c r="W39" s="7298">
        <f>+W30</f>
        <v>44000</v>
      </c>
      <c r="X39" s="18">
        <f>+WRM!X192</f>
        <v>42947.499999999993</v>
      </c>
      <c r="Y39" s="7313">
        <f>+O39+S39+W39</f>
        <v>114500</v>
      </c>
      <c r="Z39" s="5018">
        <f t="shared" ref="Z39:Z45" si="215">+P39+T39+X39</f>
        <v>126548.55000000002</v>
      </c>
      <c r="AA39" s="7301">
        <f>+M39+Y39</f>
        <v>231000</v>
      </c>
      <c r="AB39" s="2907">
        <f>+N39+Z39</f>
        <v>240977.48</v>
      </c>
      <c r="AC39" s="7298">
        <f>+AC30</f>
        <v>45500</v>
      </c>
      <c r="AD39" s="18">
        <f>+WRM!AD192</f>
        <v>42384.759999999995</v>
      </c>
      <c r="AE39" s="7293">
        <f>+AA39+AC39</f>
        <v>276500</v>
      </c>
      <c r="AF39" s="39">
        <f>+AB39+AD39</f>
        <v>283362.24</v>
      </c>
      <c r="AG39" s="7298">
        <f>+AG30</f>
        <v>44000</v>
      </c>
      <c r="AH39" s="18">
        <f>+WRM!AH192</f>
        <v>19981.350000000006</v>
      </c>
      <c r="AI39" s="7293">
        <f>+AE39+AG39</f>
        <v>320500</v>
      </c>
      <c r="AJ39" s="39">
        <f>+AF39+AH39</f>
        <v>303343.58999999997</v>
      </c>
      <c r="AK39" s="7298">
        <f>+AK30</f>
        <v>45500</v>
      </c>
      <c r="AL39" s="18">
        <f>+WRM!AL192</f>
        <v>39200.100000000006</v>
      </c>
      <c r="AM39" s="7292">
        <f>+AC39+AG39+AK39</f>
        <v>135000</v>
      </c>
      <c r="AN39" s="2905">
        <f t="shared" ref="AN39:AN45" si="216">+AD39+AH39+AL39</f>
        <v>101566.21</v>
      </c>
      <c r="AO39" s="7293">
        <f>AI39+AK39</f>
        <v>366000</v>
      </c>
      <c r="AP39" s="2903">
        <f t="shared" ref="AP39:AP51" si="217">AJ39+AL39</f>
        <v>342543.68999999994</v>
      </c>
      <c r="AQ39" s="7298">
        <f>+AQ30</f>
        <v>45500</v>
      </c>
      <c r="AR39" s="18">
        <f>+WRM!AR192</f>
        <v>40296.849999999991</v>
      </c>
      <c r="AS39" s="7293">
        <f>+AO39+AQ39</f>
        <v>411500</v>
      </c>
      <c r="AT39" s="39">
        <f>+AP39+AR39</f>
        <v>382840.53999999992</v>
      </c>
      <c r="AU39" s="7298">
        <f>+AU30</f>
        <v>40500</v>
      </c>
      <c r="AV39" s="18">
        <f>+WRM!AV192</f>
        <v>34335.35</v>
      </c>
      <c r="AW39" s="7293">
        <f>+AS39+AU39</f>
        <v>452000</v>
      </c>
      <c r="AX39" s="39">
        <f>+AT39+AV39</f>
        <v>417175.8899999999</v>
      </c>
      <c r="AY39" s="7298">
        <f>+AY30</f>
        <v>45500</v>
      </c>
      <c r="AZ39" s="18">
        <f>+WRM!AZ192</f>
        <v>43072.55000000001</v>
      </c>
      <c r="BA39" s="7292">
        <f>+AQ39+AU39+AY39</f>
        <v>131500</v>
      </c>
      <c r="BB39" s="3006">
        <f t="shared" ref="BB39:BB45" si="218">+AR39+AV39+AZ39</f>
        <v>117704.75</v>
      </c>
      <c r="BC39" s="7301">
        <f>AM39+BA39</f>
        <v>266500</v>
      </c>
      <c r="BD39" s="3007">
        <f>AN39+BB39</f>
        <v>219270.96000000002</v>
      </c>
      <c r="BE39" s="7293">
        <f>AW39+AY39</f>
        <v>497500</v>
      </c>
      <c r="BF39" s="3005">
        <f t="shared" ref="BF39:BF46" si="219">AX39+AZ39</f>
        <v>460248.43999999989</v>
      </c>
      <c r="BG39" s="7142">
        <v>500000</v>
      </c>
      <c r="BH39" s="7142">
        <v>459030.63999999996</v>
      </c>
      <c r="BI39" s="3341">
        <v>500000</v>
      </c>
      <c r="BJ39" s="3305">
        <v>471802.33500000008</v>
      </c>
      <c r="BK39" s="1969">
        <v>410762.6</v>
      </c>
      <c r="BL39" s="7310">
        <f>+BL30</f>
        <v>500000</v>
      </c>
      <c r="BM39" s="1969">
        <v>456374.83600000001</v>
      </c>
      <c r="BN39" s="7310">
        <f>+BN30</f>
        <v>435965.96179320005</v>
      </c>
      <c r="BO39" s="1969">
        <v>333534.61200000002</v>
      </c>
      <c r="BP39" s="7310">
        <v>500000</v>
      </c>
      <c r="BQ39" s="1102">
        <v>270654.57</v>
      </c>
      <c r="BR39" s="3252"/>
      <c r="BS39" s="3252"/>
      <c r="BT39" s="4713"/>
      <c r="BU39" s="4713"/>
      <c r="BV39" s="4713"/>
      <c r="BW39" s="1549"/>
    </row>
    <row r="40" spans="1:75" ht="15" customHeight="1" x14ac:dyDescent="0.25">
      <c r="B40" s="2043" t="s">
        <v>630</v>
      </c>
      <c r="C40" s="2016" t="s">
        <v>50</v>
      </c>
      <c r="D40" s="7316"/>
      <c r="E40" s="7298"/>
      <c r="F40" s="18">
        <f>+WRM!F193</f>
        <v>0</v>
      </c>
      <c r="G40" s="7298"/>
      <c r="H40" s="18">
        <f>+WRM!H193</f>
        <v>0</v>
      </c>
      <c r="I40" s="7293"/>
      <c r="J40" s="39">
        <f t="shared" ref="J40:J45" si="220">+F40+H40</f>
        <v>0</v>
      </c>
      <c r="K40" s="7298"/>
      <c r="L40" s="18">
        <f>+WRM!L193</f>
        <v>0</v>
      </c>
      <c r="M40" s="7309"/>
      <c r="N40" s="69">
        <f t="shared" ref="N40:N46" si="221">+F40+H40+L40</f>
        <v>0</v>
      </c>
      <c r="O40" s="7298"/>
      <c r="P40" s="18">
        <f>+WRM!P193</f>
        <v>0</v>
      </c>
      <c r="Q40" s="7320"/>
      <c r="R40" s="39">
        <f t="shared" si="213"/>
        <v>0</v>
      </c>
      <c r="S40" s="7298"/>
      <c r="T40" s="18">
        <f>+WRM!T193</f>
        <v>0</v>
      </c>
      <c r="U40" s="7320"/>
      <c r="V40" s="39">
        <f t="shared" si="214"/>
        <v>0</v>
      </c>
      <c r="W40" s="7298"/>
      <c r="X40" s="18">
        <f>+WRM!X193</f>
        <v>0</v>
      </c>
      <c r="Y40" s="7315"/>
      <c r="Z40" s="5018">
        <f t="shared" si="215"/>
        <v>0</v>
      </c>
      <c r="AA40" s="7301"/>
      <c r="AB40" s="2907">
        <f t="shared" ref="AB40:AB46" si="222">+N40+Z40</f>
        <v>0</v>
      </c>
      <c r="AC40" s="7298"/>
      <c r="AD40" s="18">
        <f>+WRM!AD193</f>
        <v>0</v>
      </c>
      <c r="AE40" s="7293"/>
      <c r="AF40" s="39">
        <f t="shared" ref="AF40:AF45" si="223">+AB40+AD40</f>
        <v>0</v>
      </c>
      <c r="AG40" s="7298"/>
      <c r="AH40" s="18">
        <f>+WRM!AH193</f>
        <v>0</v>
      </c>
      <c r="AI40" s="7293"/>
      <c r="AJ40" s="39">
        <f t="shared" ref="AJ40:AJ45" si="224">+AF40+AH40</f>
        <v>0</v>
      </c>
      <c r="AK40" s="7298"/>
      <c r="AL40" s="18">
        <f>+WRM!AL193</f>
        <v>0</v>
      </c>
      <c r="AM40" s="7292"/>
      <c r="AN40" s="2905">
        <f t="shared" si="216"/>
        <v>0</v>
      </c>
      <c r="AO40" s="7293"/>
      <c r="AP40" s="2903">
        <f t="shared" si="217"/>
        <v>0</v>
      </c>
      <c r="AQ40" s="7298"/>
      <c r="AR40" s="18">
        <f>+WRM!AR193</f>
        <v>0</v>
      </c>
      <c r="AS40" s="7293"/>
      <c r="AT40" s="39">
        <f t="shared" ref="AT40:AT45" si="225">+AP40+AR40</f>
        <v>0</v>
      </c>
      <c r="AU40" s="7298"/>
      <c r="AV40" s="18">
        <f>+WRM!AV193</f>
        <v>0</v>
      </c>
      <c r="AW40" s="7293"/>
      <c r="AX40" s="39">
        <f t="shared" ref="AX40:AX45" si="226">+AT40+AV40</f>
        <v>0</v>
      </c>
      <c r="AY40" s="7298"/>
      <c r="AZ40" s="18">
        <f>+WRM!AZ193</f>
        <v>0</v>
      </c>
      <c r="BA40" s="7292"/>
      <c r="BB40" s="3006">
        <f t="shared" si="218"/>
        <v>0</v>
      </c>
      <c r="BC40" s="7301"/>
      <c r="BD40" s="3007">
        <f t="shared" ref="BD40:BD46" si="227">AN40+BB40</f>
        <v>0</v>
      </c>
      <c r="BE40" s="7293"/>
      <c r="BF40" s="3005">
        <f t="shared" si="219"/>
        <v>0</v>
      </c>
      <c r="BG40" s="7142"/>
      <c r="BH40" s="7142">
        <v>0</v>
      </c>
      <c r="BI40" s="3341"/>
      <c r="BJ40" s="3305">
        <v>6726.0499999999956</v>
      </c>
      <c r="BK40" s="1969">
        <v>55352.050000000025</v>
      </c>
      <c r="BL40" s="7310"/>
      <c r="BM40" s="1969">
        <v>8968.93</v>
      </c>
      <c r="BN40" s="7310"/>
      <c r="BO40" s="1969">
        <v>22983.766</v>
      </c>
      <c r="BP40" s="7310"/>
      <c r="BQ40" s="1102">
        <v>141370.65</v>
      </c>
      <c r="BR40" s="3252"/>
      <c r="BS40" s="3252"/>
      <c r="BT40" s="4713"/>
      <c r="BU40" s="4713"/>
      <c r="BV40" s="4713"/>
      <c r="BW40" s="1549"/>
    </row>
    <row r="41" spans="1:75" ht="15" customHeight="1" x14ac:dyDescent="0.25">
      <c r="B41" s="2043" t="s">
        <v>629</v>
      </c>
      <c r="C41" s="2016" t="s">
        <v>50</v>
      </c>
      <c r="D41" s="2908">
        <f>+D31</f>
        <v>900000</v>
      </c>
      <c r="E41" s="2904">
        <f>+E31</f>
        <v>76000</v>
      </c>
      <c r="F41" s="18">
        <f>+F31</f>
        <v>66895.455000000031</v>
      </c>
      <c r="G41" s="7141">
        <f>+G31</f>
        <v>79000</v>
      </c>
      <c r="H41" s="18">
        <f>+H31</f>
        <v>76175.635000000068</v>
      </c>
      <c r="I41" s="2903">
        <f>+E41+G41</f>
        <v>155000</v>
      </c>
      <c r="J41" s="39">
        <f t="shared" si="220"/>
        <v>143071.09000000008</v>
      </c>
      <c r="K41" s="4555">
        <f>+K31</f>
        <v>48000</v>
      </c>
      <c r="L41" s="18">
        <f>+L31</f>
        <v>49675.968000000059</v>
      </c>
      <c r="M41" s="2906">
        <f>+E41+G41+K41</f>
        <v>203000</v>
      </c>
      <c r="N41" s="69">
        <f t="shared" si="221"/>
        <v>192747.05800000014</v>
      </c>
      <c r="O41" s="4761">
        <f>+O31</f>
        <v>37500</v>
      </c>
      <c r="P41" s="18">
        <f>+P31</f>
        <v>70097.135000000082</v>
      </c>
      <c r="Q41" s="4760">
        <f t="shared" si="213"/>
        <v>240500</v>
      </c>
      <c r="R41" s="39">
        <f t="shared" si="213"/>
        <v>262844.1930000002</v>
      </c>
      <c r="S41" s="4865">
        <f>+S31</f>
        <v>80000</v>
      </c>
      <c r="T41" s="18">
        <f>+T31</f>
        <v>71164.143000000069</v>
      </c>
      <c r="U41" s="4864">
        <f t="shared" ref="U41" si="228">+Q41+S41</f>
        <v>320500</v>
      </c>
      <c r="V41" s="39">
        <f t="shared" si="214"/>
        <v>334008.33600000024</v>
      </c>
      <c r="W41" s="5017">
        <f>+W31</f>
        <v>77500</v>
      </c>
      <c r="X41" s="18">
        <f>+X31</f>
        <v>70484.61000000003</v>
      </c>
      <c r="Y41" s="5018">
        <f>+O41+S41+W41</f>
        <v>195000</v>
      </c>
      <c r="Z41" s="5018">
        <f t="shared" si="215"/>
        <v>211745.88800000021</v>
      </c>
      <c r="AA41" s="2907">
        <f>+M41+Y41</f>
        <v>398000</v>
      </c>
      <c r="AB41" s="2907">
        <f t="shared" si="222"/>
        <v>404492.94600000035</v>
      </c>
      <c r="AC41" s="5329">
        <f>+AC31</f>
        <v>80000</v>
      </c>
      <c r="AD41" s="18">
        <f>+AD31</f>
        <v>66747.800000000017</v>
      </c>
      <c r="AE41" s="2903">
        <f>+AA41+AC41</f>
        <v>478000</v>
      </c>
      <c r="AF41" s="39">
        <f t="shared" si="223"/>
        <v>471240.74600000039</v>
      </c>
      <c r="AG41" s="5496">
        <f>+AG31</f>
        <v>77500</v>
      </c>
      <c r="AH41" s="18">
        <f>+AH31</f>
        <v>3169.7200000000003</v>
      </c>
      <c r="AI41" s="2903">
        <f>+AE41+AG41</f>
        <v>555500</v>
      </c>
      <c r="AJ41" s="39">
        <f t="shared" si="224"/>
        <v>474410.46600000036</v>
      </c>
      <c r="AK41" s="5898">
        <f>+AK31</f>
        <v>80000</v>
      </c>
      <c r="AL41" s="18">
        <f>+AL31</f>
        <v>70630.630000000063</v>
      </c>
      <c r="AM41" s="2905">
        <f>+AC41+AG41+AK41</f>
        <v>237500</v>
      </c>
      <c r="AN41" s="2905">
        <f t="shared" si="216"/>
        <v>140548.15000000008</v>
      </c>
      <c r="AO41" s="2903">
        <f>AI41+AK41</f>
        <v>635500</v>
      </c>
      <c r="AP41" s="2903">
        <f t="shared" si="217"/>
        <v>545041.09600000037</v>
      </c>
      <c r="AQ41" s="6059">
        <f>+AQ31</f>
        <v>80000</v>
      </c>
      <c r="AR41" s="18">
        <f>+AR31</f>
        <v>70085.115000000107</v>
      </c>
      <c r="AS41" s="2903">
        <f>+AO41+AQ41</f>
        <v>715500</v>
      </c>
      <c r="AT41" s="39">
        <f t="shared" si="225"/>
        <v>615126.21100000048</v>
      </c>
      <c r="AU41" s="6166">
        <f>+AU31</f>
        <v>72500</v>
      </c>
      <c r="AV41" s="18">
        <f>+AV31</f>
        <v>65990.000000000058</v>
      </c>
      <c r="AW41" s="2903">
        <f>+AS41+AU41</f>
        <v>788000</v>
      </c>
      <c r="AX41" s="39">
        <f t="shared" si="226"/>
        <v>681116.21100000059</v>
      </c>
      <c r="AY41" s="6381">
        <f>+AY31</f>
        <v>80000</v>
      </c>
      <c r="AZ41" s="18">
        <f>+AZ31</f>
        <v>78010.610000000073</v>
      </c>
      <c r="BA41" s="3006">
        <f>+AQ41+AU41+AY41</f>
        <v>232500</v>
      </c>
      <c r="BB41" s="3006">
        <f t="shared" si="218"/>
        <v>214085.72500000024</v>
      </c>
      <c r="BC41" s="3007">
        <f>AM41+BA41</f>
        <v>470000</v>
      </c>
      <c r="BD41" s="3007">
        <f t="shared" si="227"/>
        <v>354633.87500000035</v>
      </c>
      <c r="BE41" s="3005">
        <f>AW41+AY41</f>
        <v>868000</v>
      </c>
      <c r="BF41" s="3005">
        <f t="shared" si="219"/>
        <v>759126.82100000069</v>
      </c>
      <c r="BG41" s="7142">
        <v>870000</v>
      </c>
      <c r="BH41" s="7142">
        <v>750867.84800000093</v>
      </c>
      <c r="BI41" s="3341">
        <v>850000</v>
      </c>
      <c r="BJ41" s="3305">
        <v>795322.27300000074</v>
      </c>
      <c r="BK41" s="1969">
        <v>775906.62549999985</v>
      </c>
      <c r="BL41" s="1969">
        <v>750000</v>
      </c>
      <c r="BM41" s="1969">
        <v>649840.96399999992</v>
      </c>
      <c r="BN41" s="1969">
        <f>+BN31</f>
        <v>674875.14</v>
      </c>
      <c r="BO41" s="1969">
        <v>440547.14499999996</v>
      </c>
      <c r="BP41" s="1969">
        <v>800000</v>
      </c>
      <c r="BQ41" s="1102">
        <v>632220.18000000005</v>
      </c>
      <c r="BR41" s="3252"/>
      <c r="BS41" s="3252"/>
      <c r="BT41" s="4713"/>
      <c r="BU41" s="4713"/>
      <c r="BV41" s="4713"/>
      <c r="BW41" s="1549"/>
    </row>
    <row r="42" spans="1:75" ht="15" customHeight="1" x14ac:dyDescent="0.25">
      <c r="B42" s="2043" t="s">
        <v>1183</v>
      </c>
      <c r="C42" s="2016" t="s">
        <v>50</v>
      </c>
      <c r="D42" s="7335">
        <f>+D32</f>
        <v>750000</v>
      </c>
      <c r="E42" s="7299">
        <f>+E32</f>
        <v>62000</v>
      </c>
      <c r="F42" s="18">
        <f>+USM!G139</f>
        <v>36340.903000000006</v>
      </c>
      <c r="G42" s="7299">
        <f>+G32</f>
        <v>65000</v>
      </c>
      <c r="H42" s="18">
        <f>+USM!I139</f>
        <v>44993.633999999998</v>
      </c>
      <c r="I42" s="7293">
        <f>+G42+E42</f>
        <v>127000</v>
      </c>
      <c r="J42" s="39">
        <f t="shared" si="220"/>
        <v>81334.537000000011</v>
      </c>
      <c r="K42" s="7299">
        <f>+K32</f>
        <v>35000</v>
      </c>
      <c r="L42" s="18">
        <f>+USM!M139</f>
        <v>16171.032999999999</v>
      </c>
      <c r="M42" s="7309">
        <f>+K42+G42+E42</f>
        <v>162000</v>
      </c>
      <c r="N42" s="69">
        <f t="shared" si="221"/>
        <v>97505.57</v>
      </c>
      <c r="O42" s="7299">
        <f>+O32</f>
        <v>12500</v>
      </c>
      <c r="P42" s="18">
        <f>+USM!Q139</f>
        <v>33806.939999999995</v>
      </c>
      <c r="Q42" s="4765">
        <f>+M42+O42</f>
        <v>174500</v>
      </c>
      <c r="R42" s="39">
        <f t="shared" si="213"/>
        <v>131312.51</v>
      </c>
      <c r="S42" s="7299">
        <f>+S32</f>
        <v>49000</v>
      </c>
      <c r="T42" s="18">
        <f>+USM!U139</f>
        <v>25023.575000000001</v>
      </c>
      <c r="U42" s="4866">
        <f>+Q42+S42</f>
        <v>223500</v>
      </c>
      <c r="V42" s="39">
        <f t="shared" si="214"/>
        <v>156336.08500000002</v>
      </c>
      <c r="W42" s="7299">
        <f>+W32</f>
        <v>48000</v>
      </c>
      <c r="X42" s="18">
        <f>+USM!Y139</f>
        <v>31597.719999999998</v>
      </c>
      <c r="Y42" s="7313">
        <f>+W42+S42+O42</f>
        <v>109500</v>
      </c>
      <c r="Z42" s="5018">
        <f t="shared" si="215"/>
        <v>90428.235000000001</v>
      </c>
      <c r="AA42" s="7302">
        <f>+M42+Y42</f>
        <v>271500</v>
      </c>
      <c r="AB42" s="2907">
        <f t="shared" si="222"/>
        <v>187933.80499999999</v>
      </c>
      <c r="AC42" s="7299">
        <f>+AC32</f>
        <v>54000</v>
      </c>
      <c r="AD42" s="18">
        <f>+USM!AE139</f>
        <v>34793.764999999999</v>
      </c>
      <c r="AE42" s="7293">
        <f>+AC42+AA42</f>
        <v>325500</v>
      </c>
      <c r="AF42" s="39">
        <f t="shared" si="223"/>
        <v>222727.57</v>
      </c>
      <c r="AG42" s="7299">
        <f>+AG32</f>
        <v>52000</v>
      </c>
      <c r="AH42" s="18">
        <f>+USM!AI139</f>
        <v>2029.9330000000009</v>
      </c>
      <c r="AI42" s="7293">
        <f>+AG42+AE42</f>
        <v>377500</v>
      </c>
      <c r="AJ42" s="39">
        <f t="shared" si="224"/>
        <v>224757.503</v>
      </c>
      <c r="AK42" s="7299">
        <f>+AK32</f>
        <v>54000</v>
      </c>
      <c r="AL42" s="18">
        <f>+USM!AM139</f>
        <v>29630.324000000004</v>
      </c>
      <c r="AM42" s="7292">
        <f>+AK42+AG42+AC42</f>
        <v>160000</v>
      </c>
      <c r="AN42" s="2905">
        <f t="shared" si="216"/>
        <v>66454.022000000012</v>
      </c>
      <c r="AO42" s="7293">
        <f>AI42+AK42</f>
        <v>431500</v>
      </c>
      <c r="AP42" s="2903">
        <f t="shared" si="217"/>
        <v>254387.82699999999</v>
      </c>
      <c r="AQ42" s="7299">
        <f>+AQ32</f>
        <v>54000</v>
      </c>
      <c r="AR42" s="18">
        <f>+USM!AS139</f>
        <v>38310.493000000002</v>
      </c>
      <c r="AS42" s="7293">
        <f>+AQ42+AO42</f>
        <v>485500</v>
      </c>
      <c r="AT42" s="39">
        <f t="shared" si="225"/>
        <v>292698.32</v>
      </c>
      <c r="AU42" s="7299">
        <f>+AU32</f>
        <v>48000</v>
      </c>
      <c r="AV42" s="18">
        <f>+USM!AW139</f>
        <v>36772.828000000009</v>
      </c>
      <c r="AW42" s="7293">
        <f>+AU42+AS42</f>
        <v>533500</v>
      </c>
      <c r="AX42" s="39">
        <f t="shared" si="226"/>
        <v>329471.14800000004</v>
      </c>
      <c r="AY42" s="7299">
        <f>+AY32</f>
        <v>60000</v>
      </c>
      <c r="AZ42" s="18">
        <f>+USM!BA139</f>
        <v>48620.817000000003</v>
      </c>
      <c r="BA42" s="7292">
        <f>+AY42+AU42+AQ42</f>
        <v>162000</v>
      </c>
      <c r="BB42" s="3006">
        <f t="shared" si="218"/>
        <v>123704.13800000001</v>
      </c>
      <c r="BC42" s="7302">
        <f>AM42+BA42</f>
        <v>322000</v>
      </c>
      <c r="BD42" s="3007">
        <f t="shared" si="227"/>
        <v>190158.16000000003</v>
      </c>
      <c r="BE42" s="7293">
        <f>AW42+AY42</f>
        <v>593500</v>
      </c>
      <c r="BF42" s="3005">
        <f t="shared" si="219"/>
        <v>378091.96500000003</v>
      </c>
      <c r="BG42" s="7143">
        <v>560000</v>
      </c>
      <c r="BH42" s="7143">
        <v>369513.92899999995</v>
      </c>
      <c r="BI42" s="3342">
        <v>525000</v>
      </c>
      <c r="BJ42" s="3306">
        <v>322948.41899999994</v>
      </c>
      <c r="BK42" s="1967">
        <v>273627.652</v>
      </c>
      <c r="BL42" s="7310">
        <f>+BL32</f>
        <v>450000</v>
      </c>
      <c r="BM42" s="7311">
        <v>168119.5</v>
      </c>
      <c r="BN42" s="7310">
        <f>+BN32</f>
        <v>220000</v>
      </c>
      <c r="BO42" s="7311">
        <v>78790</v>
      </c>
      <c r="BP42" s="7310">
        <v>535000</v>
      </c>
      <c r="BQ42" s="7306">
        <f>+BQ32</f>
        <v>171634.81128897145</v>
      </c>
      <c r="BR42" s="3252"/>
      <c r="BS42" s="3252"/>
      <c r="BT42" s="4713"/>
      <c r="BU42" s="4713"/>
      <c r="BV42" s="4713"/>
      <c r="BW42" s="1549"/>
    </row>
    <row r="43" spans="1:75" ht="15" customHeight="1" x14ac:dyDescent="0.25">
      <c r="B43" s="2043" t="s">
        <v>1184</v>
      </c>
      <c r="C43" s="2016" t="s">
        <v>50</v>
      </c>
      <c r="D43" s="7335"/>
      <c r="E43" s="7299"/>
      <c r="F43" s="18">
        <f>+USM!G140</f>
        <v>8108.2379999999994</v>
      </c>
      <c r="G43" s="7299"/>
      <c r="H43" s="18">
        <f>+USM!I140</f>
        <v>5159.0289999999995</v>
      </c>
      <c r="I43" s="7293">
        <f>+E43+G43</f>
        <v>0</v>
      </c>
      <c r="J43" s="39">
        <f t="shared" si="220"/>
        <v>13267.267</v>
      </c>
      <c r="K43" s="7299"/>
      <c r="L43" s="18">
        <f>+USM!M140</f>
        <v>4576.1469999999999</v>
      </c>
      <c r="M43" s="7309"/>
      <c r="N43" s="69">
        <f t="shared" si="221"/>
        <v>17843.414000000001</v>
      </c>
      <c r="O43" s="7299"/>
      <c r="P43" s="18">
        <f>+USM!Q140</f>
        <v>4752.4150000000009</v>
      </c>
      <c r="Q43" s="4762">
        <f>+M43+O43</f>
        <v>0</v>
      </c>
      <c r="R43" s="39">
        <f t="shared" si="213"/>
        <v>22595.829000000002</v>
      </c>
      <c r="S43" s="7299"/>
      <c r="T43" s="18">
        <f>+USM!U140</f>
        <v>0</v>
      </c>
      <c r="U43" s="4870">
        <f>+Q43+S43</f>
        <v>0</v>
      </c>
      <c r="V43" s="39">
        <f t="shared" si="214"/>
        <v>22595.829000000002</v>
      </c>
      <c r="W43" s="7299"/>
      <c r="X43" s="18">
        <f>+USM!Y140</f>
        <v>1979.182</v>
      </c>
      <c r="Y43" s="7314"/>
      <c r="Z43" s="5018">
        <f t="shared" si="215"/>
        <v>6731.5970000000007</v>
      </c>
      <c r="AA43" s="7303"/>
      <c r="AB43" s="2907">
        <f t="shared" si="222"/>
        <v>24575.011000000002</v>
      </c>
      <c r="AC43" s="7299"/>
      <c r="AD43" s="18">
        <f>+USM!AE140</f>
        <v>2513.3280000000004</v>
      </c>
      <c r="AE43" s="7293">
        <f>+AA43+AC43</f>
        <v>0</v>
      </c>
      <c r="AF43" s="39">
        <f t="shared" si="223"/>
        <v>27088.339000000004</v>
      </c>
      <c r="AG43" s="7299"/>
      <c r="AH43" s="18">
        <f>+USM!AI140</f>
        <v>0</v>
      </c>
      <c r="AI43" s="7293">
        <f>+AE43+AG43</f>
        <v>0</v>
      </c>
      <c r="AJ43" s="39">
        <f t="shared" si="224"/>
        <v>27088.339000000004</v>
      </c>
      <c r="AK43" s="7299"/>
      <c r="AL43" s="18">
        <f>+USM!AM140</f>
        <v>4923.0200000000004</v>
      </c>
      <c r="AM43" s="7292"/>
      <c r="AN43" s="2905">
        <f t="shared" si="216"/>
        <v>7436.3480000000009</v>
      </c>
      <c r="AO43" s="7293">
        <f>+AK43+AM43</f>
        <v>0</v>
      </c>
      <c r="AP43" s="2903">
        <f t="shared" si="217"/>
        <v>32011.359000000004</v>
      </c>
      <c r="AQ43" s="7299"/>
      <c r="AR43" s="18">
        <f>+USM!AS140</f>
        <v>5654.5990000000002</v>
      </c>
      <c r="AS43" s="7293">
        <f>+AO43+AQ43</f>
        <v>0</v>
      </c>
      <c r="AT43" s="39">
        <f t="shared" si="225"/>
        <v>37665.958000000006</v>
      </c>
      <c r="AU43" s="7299"/>
      <c r="AV43" s="18">
        <f>+USM!AW140</f>
        <v>7646.8819999999996</v>
      </c>
      <c r="AW43" s="7293">
        <f>+AS43+AU43</f>
        <v>0</v>
      </c>
      <c r="AX43" s="39">
        <f t="shared" si="226"/>
        <v>45312.840000000004</v>
      </c>
      <c r="AY43" s="7299"/>
      <c r="AZ43" s="18">
        <f>+USM!BA140</f>
        <v>7746.7179999999989</v>
      </c>
      <c r="BA43" s="7292"/>
      <c r="BB43" s="3006">
        <f t="shared" si="218"/>
        <v>21048.199000000001</v>
      </c>
      <c r="BC43" s="7303"/>
      <c r="BD43" s="3007">
        <f t="shared" si="227"/>
        <v>28484.547000000002</v>
      </c>
      <c r="BE43" s="7293">
        <f>+AY43+BA43</f>
        <v>0</v>
      </c>
      <c r="BF43" s="3005">
        <f t="shared" si="219"/>
        <v>53059.558000000005</v>
      </c>
      <c r="BG43" s="7144">
        <v>0</v>
      </c>
      <c r="BH43" s="7144">
        <v>47628.758000000002</v>
      </c>
      <c r="BI43" s="3343">
        <v>0</v>
      </c>
      <c r="BJ43" s="3307">
        <v>47288.060999999994</v>
      </c>
      <c r="BK43" s="1968">
        <v>21791.11</v>
      </c>
      <c r="BL43" s="7310"/>
      <c r="BM43" s="7312"/>
      <c r="BN43" s="7310"/>
      <c r="BO43" s="7312"/>
      <c r="BP43" s="7310"/>
      <c r="BQ43" s="7307"/>
      <c r="BR43" s="3252"/>
      <c r="BS43" s="3252"/>
      <c r="BT43" s="4713"/>
      <c r="BU43" s="4713"/>
      <c r="BV43" s="4713"/>
      <c r="BW43" s="1549"/>
    </row>
    <row r="44" spans="1:75" ht="15" customHeight="1" x14ac:dyDescent="0.25">
      <c r="B44" s="2043" t="s">
        <v>940</v>
      </c>
      <c r="C44" s="2016" t="s">
        <v>50</v>
      </c>
      <c r="D44" s="7335"/>
      <c r="E44" s="7299"/>
      <c r="F44" s="18">
        <f>+USM!G141</f>
        <v>5094.6359999999995</v>
      </c>
      <c r="G44" s="7299"/>
      <c r="H44" s="18">
        <f>+USM!I141</f>
        <v>7066.4809999999998</v>
      </c>
      <c r="I44" s="7293">
        <f>+E44+G44</f>
        <v>0</v>
      </c>
      <c r="J44" s="39">
        <f t="shared" si="220"/>
        <v>12161.116999999998</v>
      </c>
      <c r="K44" s="7299"/>
      <c r="L44" s="18">
        <f>+USM!M141</f>
        <v>7132.1530000000002</v>
      </c>
      <c r="M44" s="7309"/>
      <c r="N44" s="69">
        <f t="shared" si="221"/>
        <v>19293.269999999997</v>
      </c>
      <c r="O44" s="7299"/>
      <c r="P44" s="18">
        <f>+USM!Q141</f>
        <v>6148.6380000000008</v>
      </c>
      <c r="Q44" s="4762">
        <f>+M44+O44</f>
        <v>0</v>
      </c>
      <c r="R44" s="39">
        <f>+N44+P44</f>
        <v>25441.907999999996</v>
      </c>
      <c r="S44" s="7299"/>
      <c r="T44" s="18">
        <f>+USM!U141</f>
        <v>9366.5570000000025</v>
      </c>
      <c r="U44" s="4870">
        <f>+Q44+S44</f>
        <v>0</v>
      </c>
      <c r="V44" s="39">
        <f>+R44+T44</f>
        <v>34808.464999999997</v>
      </c>
      <c r="W44" s="7299"/>
      <c r="X44" s="18">
        <f>+USM!Y141</f>
        <v>10093.893</v>
      </c>
      <c r="Y44" s="7314"/>
      <c r="Z44" s="5018">
        <f t="shared" si="215"/>
        <v>25609.088000000003</v>
      </c>
      <c r="AA44" s="7303"/>
      <c r="AB44" s="2907">
        <f t="shared" si="222"/>
        <v>44902.358</v>
      </c>
      <c r="AC44" s="7299"/>
      <c r="AD44" s="18">
        <f>+USM!AE141</f>
        <v>6063.3640000000005</v>
      </c>
      <c r="AE44" s="7293">
        <f>+AA44+AC44</f>
        <v>0</v>
      </c>
      <c r="AF44" s="39">
        <f t="shared" si="223"/>
        <v>50965.722000000002</v>
      </c>
      <c r="AG44" s="7299"/>
      <c r="AH44" s="18">
        <f>+USM!AI141</f>
        <v>6555.0509999999995</v>
      </c>
      <c r="AI44" s="7293">
        <f>+AE44+AG44</f>
        <v>0</v>
      </c>
      <c r="AJ44" s="39">
        <f t="shared" si="224"/>
        <v>57520.773000000001</v>
      </c>
      <c r="AK44" s="7299"/>
      <c r="AL44" s="18">
        <f>+USM!AM141</f>
        <v>5513.4240000000009</v>
      </c>
      <c r="AM44" s="7292"/>
      <c r="AN44" s="2905">
        <f t="shared" si="216"/>
        <v>18131.839</v>
      </c>
      <c r="AO44" s="7293">
        <f>+AK44+AM44</f>
        <v>0</v>
      </c>
      <c r="AP44" s="2903">
        <f t="shared" si="217"/>
        <v>63034.197</v>
      </c>
      <c r="AQ44" s="7299"/>
      <c r="AR44" s="18">
        <f>+USM!AS141</f>
        <v>7074.0869999999995</v>
      </c>
      <c r="AS44" s="7293">
        <f>+AO44+AQ44</f>
        <v>0</v>
      </c>
      <c r="AT44" s="39">
        <f t="shared" si="225"/>
        <v>70108.284</v>
      </c>
      <c r="AU44" s="7299"/>
      <c r="AV44" s="18">
        <f>+USM!AW141</f>
        <v>6589.77</v>
      </c>
      <c r="AW44" s="7293">
        <f>+AS44+AU44</f>
        <v>0</v>
      </c>
      <c r="AX44" s="39">
        <f t="shared" si="226"/>
        <v>76698.054000000004</v>
      </c>
      <c r="AY44" s="7299"/>
      <c r="AZ44" s="18">
        <f>+USM!BA141</f>
        <v>5704.3549999999996</v>
      </c>
      <c r="BA44" s="7292"/>
      <c r="BB44" s="3006">
        <f t="shared" si="218"/>
        <v>19368.212</v>
      </c>
      <c r="BC44" s="7303"/>
      <c r="BD44" s="3007">
        <f t="shared" si="227"/>
        <v>37500.050999999999</v>
      </c>
      <c r="BE44" s="7293">
        <f>+AY44+BA44</f>
        <v>0</v>
      </c>
      <c r="BF44" s="3005">
        <f t="shared" si="219"/>
        <v>82402.409</v>
      </c>
      <c r="BG44" s="7142">
        <v>0</v>
      </c>
      <c r="BH44" s="7142">
        <v>81214.697000000015</v>
      </c>
      <c r="BI44" s="3341">
        <v>0</v>
      </c>
      <c r="BJ44" s="3305">
        <v>86018.164000000004</v>
      </c>
      <c r="BK44" s="1969">
        <v>62409.791000000005</v>
      </c>
      <c r="BL44" s="7310"/>
      <c r="BM44" s="1969">
        <v>44187.109898457304</v>
      </c>
      <c r="BN44" s="7310"/>
      <c r="BO44" s="1969">
        <v>4414.2190468179997</v>
      </c>
      <c r="BP44" s="7310"/>
      <c r="BQ44" s="7307"/>
      <c r="BR44" s="3252"/>
      <c r="BS44" s="3252"/>
      <c r="BT44" s="4713"/>
      <c r="BU44" s="4713"/>
      <c r="BV44" s="4713"/>
      <c r="BW44" s="1549"/>
    </row>
    <row r="45" spans="1:75" ht="15" customHeight="1" x14ac:dyDescent="0.25">
      <c r="A45" s="26"/>
      <c r="B45" s="2043" t="s">
        <v>687</v>
      </c>
      <c r="C45" s="2016" t="s">
        <v>50</v>
      </c>
      <c r="D45" s="7335"/>
      <c r="E45" s="7299"/>
      <c r="F45" s="18">
        <f>+USM!G142</f>
        <v>0</v>
      </c>
      <c r="G45" s="7299"/>
      <c r="H45" s="18">
        <f>+USM!I142</f>
        <v>0</v>
      </c>
      <c r="I45" s="7293">
        <f>+E45+G45</f>
        <v>0</v>
      </c>
      <c r="J45" s="39">
        <f t="shared" si="220"/>
        <v>0</v>
      </c>
      <c r="K45" s="7299"/>
      <c r="L45" s="18">
        <f>+USM!M142</f>
        <v>0</v>
      </c>
      <c r="M45" s="7309"/>
      <c r="N45" s="69">
        <f t="shared" si="221"/>
        <v>0</v>
      </c>
      <c r="O45" s="7299"/>
      <c r="P45" s="18">
        <f>+USM!Q142</f>
        <v>0</v>
      </c>
      <c r="Q45" s="719">
        <f>+M45+O45</f>
        <v>0</v>
      </c>
      <c r="R45" s="39">
        <f>+N45+P45</f>
        <v>0</v>
      </c>
      <c r="S45" s="7299"/>
      <c r="T45" s="18">
        <f>+USM!U142</f>
        <v>0</v>
      </c>
      <c r="U45" s="4867">
        <f>+Q45+S45</f>
        <v>0</v>
      </c>
      <c r="V45" s="39">
        <f>+R45+T45</f>
        <v>0</v>
      </c>
      <c r="W45" s="7299"/>
      <c r="X45" s="18">
        <f>+USM!Y142</f>
        <v>0</v>
      </c>
      <c r="Y45" s="7315"/>
      <c r="Z45" s="5018">
        <f t="shared" si="215"/>
        <v>0</v>
      </c>
      <c r="AA45" s="7304"/>
      <c r="AB45" s="2907">
        <f t="shared" si="222"/>
        <v>0</v>
      </c>
      <c r="AC45" s="7299"/>
      <c r="AD45" s="18">
        <f>+USM!AE142</f>
        <v>1529.8440000000001</v>
      </c>
      <c r="AE45" s="7293">
        <f>+AA45+AC45</f>
        <v>0</v>
      </c>
      <c r="AF45" s="39">
        <f t="shared" si="223"/>
        <v>1529.8440000000001</v>
      </c>
      <c r="AG45" s="7299"/>
      <c r="AH45" s="18">
        <f>+USM!AI142</f>
        <v>0</v>
      </c>
      <c r="AI45" s="7293">
        <f>+AE45+AG45</f>
        <v>0</v>
      </c>
      <c r="AJ45" s="39">
        <f t="shared" si="224"/>
        <v>1529.8440000000001</v>
      </c>
      <c r="AK45" s="7299"/>
      <c r="AL45" s="18">
        <f>+USM!AM142</f>
        <v>0</v>
      </c>
      <c r="AM45" s="7292"/>
      <c r="AN45" s="2905">
        <f t="shared" si="216"/>
        <v>1529.8440000000001</v>
      </c>
      <c r="AO45" s="7293">
        <f>+AK45+AM45</f>
        <v>0</v>
      </c>
      <c r="AP45" s="2903">
        <f t="shared" si="217"/>
        <v>1529.8440000000001</v>
      </c>
      <c r="AQ45" s="7299"/>
      <c r="AR45" s="18">
        <f>+USM!AS142</f>
        <v>0</v>
      </c>
      <c r="AS45" s="7293">
        <f>+AO45+AQ45</f>
        <v>0</v>
      </c>
      <c r="AT45" s="39">
        <f t="shared" si="225"/>
        <v>1529.8440000000001</v>
      </c>
      <c r="AU45" s="7299"/>
      <c r="AV45" s="18">
        <f>+USM!AW142</f>
        <v>0</v>
      </c>
      <c r="AW45" s="7293">
        <f>+AS45+AU45</f>
        <v>0</v>
      </c>
      <c r="AX45" s="39">
        <f t="shared" si="226"/>
        <v>1529.8440000000001</v>
      </c>
      <c r="AY45" s="7299"/>
      <c r="AZ45" s="18">
        <f>+USM!BA142</f>
        <v>0</v>
      </c>
      <c r="BA45" s="7292"/>
      <c r="BB45" s="3006">
        <f t="shared" si="218"/>
        <v>0</v>
      </c>
      <c r="BC45" s="7304"/>
      <c r="BD45" s="3007">
        <f t="shared" si="227"/>
        <v>1529.8440000000001</v>
      </c>
      <c r="BE45" s="7293">
        <f>+AY45+BA45</f>
        <v>0</v>
      </c>
      <c r="BF45" s="3005">
        <f t="shared" si="219"/>
        <v>1529.8440000000001</v>
      </c>
      <c r="BG45" s="7142">
        <v>0</v>
      </c>
      <c r="BH45" s="7142">
        <v>1529.8440000000001</v>
      </c>
      <c r="BI45" s="3341">
        <v>0</v>
      </c>
      <c r="BJ45" s="3305">
        <v>2887.3210000000004</v>
      </c>
      <c r="BK45" s="1969">
        <v>4159.1839999999993</v>
      </c>
      <c r="BL45" s="7310"/>
      <c r="BM45" s="1969">
        <v>919.55454499999996</v>
      </c>
      <c r="BN45" s="7310"/>
      <c r="BO45" s="1969">
        <v>5739.5256319888003</v>
      </c>
      <c r="BP45" s="7310"/>
      <c r="BQ45" s="7308"/>
      <c r="BR45" s="3252"/>
      <c r="BS45" s="3252"/>
      <c r="BT45" s="4713"/>
      <c r="BU45" s="4713"/>
      <c r="BV45" s="4713"/>
      <c r="BW45" s="1549"/>
    </row>
    <row r="46" spans="1:75" ht="15" customHeight="1" x14ac:dyDescent="0.25">
      <c r="B46" s="2043" t="s">
        <v>688</v>
      </c>
      <c r="C46" s="2016" t="s">
        <v>50</v>
      </c>
      <c r="D46" s="2908">
        <f t="shared" ref="D46:K46" si="229">+D36</f>
        <v>525000.33712911</v>
      </c>
      <c r="E46" s="2904">
        <f t="shared" si="229"/>
        <v>48499.815368603398</v>
      </c>
      <c r="F46" s="181">
        <f t="shared" si="229"/>
        <v>45616.58799999996</v>
      </c>
      <c r="G46" s="7141">
        <f t="shared" ref="G46:H46" si="230">+G36</f>
        <v>48499.576671657102</v>
      </c>
      <c r="H46" s="181">
        <f t="shared" si="230"/>
        <v>55556</v>
      </c>
      <c r="I46" s="2903">
        <f t="shared" si="229"/>
        <v>96999.3920402605</v>
      </c>
      <c r="J46" s="39">
        <f t="shared" si="229"/>
        <v>101172.58799999996</v>
      </c>
      <c r="K46" s="4555">
        <f t="shared" si="229"/>
        <v>29529.067357512999</v>
      </c>
      <c r="L46" s="181">
        <f t="shared" ref="L46" si="231">+L36</f>
        <v>31761</v>
      </c>
      <c r="M46" s="2906">
        <f>+E46+G46+K46</f>
        <v>126528.45939777349</v>
      </c>
      <c r="N46" s="69">
        <f t="shared" si="221"/>
        <v>132933.58799999996</v>
      </c>
      <c r="O46" s="4761">
        <f t="shared" ref="O46:P46" si="232">+O36</f>
        <v>6183.2297063903206</v>
      </c>
      <c r="P46" s="181">
        <f t="shared" si="232"/>
        <v>64423.479999999996</v>
      </c>
      <c r="Q46" s="4760">
        <f t="shared" ref="Q46:AA46" si="233">+Q36</f>
        <v>132711.68910416382</v>
      </c>
      <c r="R46" s="39">
        <f t="shared" si="233"/>
        <v>197357.06799999997</v>
      </c>
      <c r="S46" s="4865">
        <f t="shared" si="233"/>
        <v>43452.1764582701</v>
      </c>
      <c r="T46" s="181">
        <f t="shared" si="233"/>
        <v>64140</v>
      </c>
      <c r="U46" s="4864">
        <f t="shared" ref="U46:X46" si="234">+U36</f>
        <v>176163.86556243393</v>
      </c>
      <c r="V46" s="39">
        <f t="shared" si="234"/>
        <v>261497.06799999997</v>
      </c>
      <c r="W46" s="5017">
        <f t="shared" si="234"/>
        <v>35980.785837651099</v>
      </c>
      <c r="X46" s="181">
        <f t="shared" si="234"/>
        <v>59074</v>
      </c>
      <c r="Y46" s="5018">
        <f t="shared" si="233"/>
        <v>85616.192002311524</v>
      </c>
      <c r="Z46" s="5018">
        <f t="shared" si="233"/>
        <v>187637.48</v>
      </c>
      <c r="AA46" s="2907">
        <f t="shared" si="233"/>
        <v>212144.65140008501</v>
      </c>
      <c r="AB46" s="2907">
        <f t="shared" si="222"/>
        <v>320571.06799999997</v>
      </c>
      <c r="AC46" s="5329">
        <f t="shared" ref="AC46:AD46" si="235">+AC36</f>
        <v>47341.093867539748</v>
      </c>
      <c r="AD46" s="181">
        <f t="shared" si="235"/>
        <v>32797.5262</v>
      </c>
      <c r="AE46" s="2903">
        <f t="shared" ref="AE46:AH46" si="236">+AE36</f>
        <v>259485.74526762476</v>
      </c>
      <c r="AF46" s="39">
        <f t="shared" si="236"/>
        <v>353368.59419999999</v>
      </c>
      <c r="AG46" s="5496">
        <f t="shared" si="236"/>
        <v>49680.915573301019</v>
      </c>
      <c r="AH46" s="181">
        <f t="shared" si="236"/>
        <v>8572</v>
      </c>
      <c r="AI46" s="2903">
        <f t="shared" ref="AI46:AN46" si="237">+AI36</f>
        <v>309166.66084092576</v>
      </c>
      <c r="AJ46" s="39">
        <f t="shared" si="237"/>
        <v>361940.59419999999</v>
      </c>
      <c r="AK46" s="5898">
        <f t="shared" si="237"/>
        <v>45710.062262521606</v>
      </c>
      <c r="AL46" s="181">
        <f t="shared" si="237"/>
        <v>77403</v>
      </c>
      <c r="AM46" s="2905">
        <f t="shared" si="237"/>
        <v>142732.07170336237</v>
      </c>
      <c r="AN46" s="2905">
        <f t="shared" si="237"/>
        <v>118772.52619999999</v>
      </c>
      <c r="AO46" s="2903">
        <f>AI46+AK46</f>
        <v>354876.72310344735</v>
      </c>
      <c r="AP46" s="2903">
        <f t="shared" si="217"/>
        <v>439343.59419999999</v>
      </c>
      <c r="AQ46" s="6059">
        <f t="shared" ref="AQ46:AR46" si="238">+AQ36</f>
        <v>47339.612262521601</v>
      </c>
      <c r="AR46" s="181">
        <f t="shared" si="238"/>
        <v>73982.023000000001</v>
      </c>
      <c r="AS46" s="2903">
        <f t="shared" ref="AS46:AV46" si="239">+AS36</f>
        <v>402216.33536596893</v>
      </c>
      <c r="AT46" s="39">
        <f t="shared" si="239"/>
        <v>513325.61719999998</v>
      </c>
      <c r="AU46" s="6166">
        <f t="shared" si="239"/>
        <v>46657.996091741836</v>
      </c>
      <c r="AV46" s="181">
        <f t="shared" si="239"/>
        <v>57481.269999999931</v>
      </c>
      <c r="AW46" s="2903">
        <f t="shared" ref="AW46:BC46" si="240">+AW36</f>
        <v>448874.33145771077</v>
      </c>
      <c r="AX46" s="39">
        <f t="shared" si="240"/>
        <v>570806.8872</v>
      </c>
      <c r="AY46" s="6381">
        <f t="shared" si="240"/>
        <v>45452.612262521594</v>
      </c>
      <c r="AZ46" s="181">
        <f t="shared" si="240"/>
        <v>57620</v>
      </c>
      <c r="BA46" s="3006">
        <f t="shared" si="240"/>
        <v>139450.22061678505</v>
      </c>
      <c r="BB46" s="3006">
        <f t="shared" si="240"/>
        <v>189083.29299999992</v>
      </c>
      <c r="BC46" s="3007">
        <f t="shared" si="240"/>
        <v>282182.29232014745</v>
      </c>
      <c r="BD46" s="3007">
        <f t="shared" si="227"/>
        <v>307855.81919999991</v>
      </c>
      <c r="BE46" s="3005">
        <f>AW46+AY46</f>
        <v>494326.94372023235</v>
      </c>
      <c r="BF46" s="3005">
        <f t="shared" si="219"/>
        <v>628426.8872</v>
      </c>
      <c r="BG46" s="7142">
        <v>479999.55640071473</v>
      </c>
      <c r="BH46" s="7142">
        <v>622038.29920000001</v>
      </c>
      <c r="BI46" s="3341">
        <v>649999.91641318286</v>
      </c>
      <c r="BJ46" s="3305">
        <v>676651.51417999994</v>
      </c>
      <c r="BK46" s="1969">
        <v>711198.95600000001</v>
      </c>
      <c r="BL46" s="1969">
        <v>669999.10878236312</v>
      </c>
      <c r="BM46" s="1969">
        <v>832014.92464244016</v>
      </c>
      <c r="BN46" s="1969">
        <f>+BN36</f>
        <v>904433.82567653409</v>
      </c>
      <c r="BO46" s="1969">
        <v>937874.53289999999</v>
      </c>
      <c r="BP46" s="1969">
        <v>571999.74093264237</v>
      </c>
      <c r="BQ46" s="1102">
        <f>+BQ36</f>
        <v>877839.95550700894</v>
      </c>
      <c r="BR46" s="3252"/>
      <c r="BS46" s="3252"/>
      <c r="BT46" s="4713"/>
      <c r="BU46" s="4713"/>
      <c r="BV46" s="4713"/>
      <c r="BW46" s="1549"/>
    </row>
    <row r="47" spans="1:75" ht="15" customHeight="1" x14ac:dyDescent="0.25">
      <c r="B47" s="2041" t="s">
        <v>1592</v>
      </c>
      <c r="C47" s="2018" t="s">
        <v>50</v>
      </c>
      <c r="D47" s="2908">
        <f t="shared" ref="D47:T47" si="241">SUM(D39:D46)</f>
        <v>2675000.33712911</v>
      </c>
      <c r="E47" s="1342">
        <f t="shared" si="241"/>
        <v>228999.81536860339</v>
      </c>
      <c r="F47" s="1144">
        <f t="shared" si="241"/>
        <v>198800.00000000003</v>
      </c>
      <c r="G47" s="7146">
        <f t="shared" ref="G47" si="242">SUM(G39:G46)</f>
        <v>236499.57667165709</v>
      </c>
      <c r="H47" s="1144">
        <f t="shared" ref="H47" si="243">SUM(H39:H46)</f>
        <v>228325.12900000007</v>
      </c>
      <c r="I47" s="2114">
        <f t="shared" si="241"/>
        <v>465499.39204026049</v>
      </c>
      <c r="J47" s="2115">
        <f t="shared" si="241"/>
        <v>427125.12900000007</v>
      </c>
      <c r="K47" s="4559">
        <f t="shared" si="241"/>
        <v>142529.06735751301</v>
      </c>
      <c r="L47" s="1144">
        <f t="shared" si="241"/>
        <v>147626.70100000006</v>
      </c>
      <c r="M47" s="2106">
        <f t="shared" si="241"/>
        <v>608028.45939777349</v>
      </c>
      <c r="N47" s="2107">
        <f t="shared" si="241"/>
        <v>574751.83000000007</v>
      </c>
      <c r="O47" s="4763">
        <f t="shared" si="241"/>
        <v>81183.229706390324</v>
      </c>
      <c r="P47" s="1144">
        <f t="shared" si="241"/>
        <v>221270.00800000009</v>
      </c>
      <c r="Q47" s="2114">
        <f t="shared" si="241"/>
        <v>689211.68910416379</v>
      </c>
      <c r="R47" s="2115">
        <f t="shared" si="241"/>
        <v>796021.83800000022</v>
      </c>
      <c r="S47" s="4872">
        <f t="shared" si="241"/>
        <v>217952.17645827011</v>
      </c>
      <c r="T47" s="1144">
        <f t="shared" si="241"/>
        <v>211253.92500000008</v>
      </c>
      <c r="U47" s="2114">
        <f t="shared" ref="U47:V47" si="244">SUM(U39:U46)</f>
        <v>907163.86556243396</v>
      </c>
      <c r="V47" s="2115">
        <f t="shared" si="244"/>
        <v>1007275.7630000003</v>
      </c>
      <c r="W47" s="5033">
        <f>SUM(W39:W46)</f>
        <v>205480.78583765111</v>
      </c>
      <c r="X47" s="1144">
        <f>SUM(X39:X46)</f>
        <v>216176.90500000003</v>
      </c>
      <c r="Y47" s="5020">
        <f t="shared" ref="Y47:AB47" si="245">SUM(Y39:Y46)</f>
        <v>504616.19200231152</v>
      </c>
      <c r="Z47" s="5020">
        <f t="shared" si="245"/>
        <v>648700.83800000022</v>
      </c>
      <c r="AA47" s="544">
        <f t="shared" si="245"/>
        <v>1112644.6514000851</v>
      </c>
      <c r="AB47" s="544">
        <f t="shared" si="245"/>
        <v>1223452.6680000005</v>
      </c>
      <c r="AC47" s="5347">
        <f>SUM(AC39:AC46)</f>
        <v>226841.09386753975</v>
      </c>
      <c r="AD47" s="1144">
        <f>SUM(AD39:AD46)</f>
        <v>186830.38720000003</v>
      </c>
      <c r="AE47" s="2114">
        <f t="shared" ref="AE47:AF47" si="246">SUM(AE39:AE46)</f>
        <v>1339485.7452676247</v>
      </c>
      <c r="AF47" s="2115">
        <f t="shared" si="246"/>
        <v>1410283.0552000003</v>
      </c>
      <c r="AG47" s="5500">
        <f>SUM(AG39:AG46)</f>
        <v>223180.91557330103</v>
      </c>
      <c r="AH47" s="1144">
        <f>SUM(AH39:AH46)</f>
        <v>40308.054000000004</v>
      </c>
      <c r="AI47" s="2114">
        <f t="shared" ref="AI47:AJ47" si="247">SUM(AI39:AI46)</f>
        <v>1562666.6608409258</v>
      </c>
      <c r="AJ47" s="2115">
        <f t="shared" si="247"/>
        <v>1450591.1092000003</v>
      </c>
      <c r="AK47" s="5899">
        <f>SUM(AK39:AK46)</f>
        <v>225210.06226252159</v>
      </c>
      <c r="AL47" s="1144">
        <f>SUM(AL39:AL46)</f>
        <v>227300.49800000005</v>
      </c>
      <c r="AM47" s="378">
        <f t="shared" ref="AM47:AP47" si="248">SUM(AM39:AM46)</f>
        <v>675232.0717033624</v>
      </c>
      <c r="AN47" s="378">
        <f t="shared" si="248"/>
        <v>454438.93920000002</v>
      </c>
      <c r="AO47" s="2114">
        <f t="shared" si="248"/>
        <v>1787876.7231034474</v>
      </c>
      <c r="AP47" s="2115">
        <f t="shared" si="248"/>
        <v>1677891.6072000002</v>
      </c>
      <c r="AQ47" s="6074">
        <f>SUM(AQ39:AQ46)</f>
        <v>226839.61226252161</v>
      </c>
      <c r="AR47" s="1144">
        <f>SUM(AR39:AR46)</f>
        <v>235403.16700000007</v>
      </c>
      <c r="AS47" s="2114">
        <f t="shared" ref="AS47:AT47" si="249">SUM(AS39:AS46)</f>
        <v>2014716.335365969</v>
      </c>
      <c r="AT47" s="2115">
        <f t="shared" si="249"/>
        <v>1913294.7742000006</v>
      </c>
      <c r="AU47" s="6178">
        <f>SUM(AU39:AU46)</f>
        <v>207657.99609174184</v>
      </c>
      <c r="AV47" s="1144">
        <f>SUM(AV39:AV46)</f>
        <v>208816.1</v>
      </c>
      <c r="AW47" s="2114">
        <f t="shared" ref="AW47:AX47" si="250">SUM(AW39:AW46)</f>
        <v>2222374.3314577108</v>
      </c>
      <c r="AX47" s="2115">
        <f t="shared" si="250"/>
        <v>2122110.8742000004</v>
      </c>
      <c r="AY47" s="6393">
        <f>SUM(AY39:AY46)</f>
        <v>230952.61226252158</v>
      </c>
      <c r="AZ47" s="1144">
        <f>SUM(AZ39:AZ46)</f>
        <v>240775.0500000001</v>
      </c>
      <c r="BA47" s="378">
        <f t="shared" ref="BA47:BF47" si="251">SUM(BA39:BA46)</f>
        <v>665450.22061678511</v>
      </c>
      <c r="BB47" s="378">
        <f t="shared" si="251"/>
        <v>684994.31700000016</v>
      </c>
      <c r="BC47" s="544">
        <f t="shared" si="251"/>
        <v>1340682.2923201474</v>
      </c>
      <c r="BD47" s="544">
        <f t="shared" si="251"/>
        <v>1139433.2562000004</v>
      </c>
      <c r="BE47" s="2114">
        <f t="shared" si="251"/>
        <v>2453326.9437202322</v>
      </c>
      <c r="BF47" s="2115">
        <f t="shared" si="251"/>
        <v>2362885.9242000007</v>
      </c>
      <c r="BG47" s="1143">
        <v>2409999.5564007149</v>
      </c>
      <c r="BH47" s="1143">
        <v>2331824.0152000007</v>
      </c>
      <c r="BI47" s="1143">
        <v>2524999.9164131829</v>
      </c>
      <c r="BJ47" s="1143">
        <v>2409644.1371800005</v>
      </c>
      <c r="BK47" s="1143">
        <v>2315207.9685</v>
      </c>
      <c r="BL47" s="1143">
        <f t="shared" ref="BL47:BQ47" si="252">SUM(BL39:BL46)</f>
        <v>2369999.1087823631</v>
      </c>
      <c r="BM47" s="1143">
        <f t="shared" si="252"/>
        <v>2160425.8190858974</v>
      </c>
      <c r="BN47" s="1143">
        <f t="shared" si="252"/>
        <v>2235274.9274697341</v>
      </c>
      <c r="BO47" s="1143">
        <f t="shared" si="252"/>
        <v>1823883.8005788068</v>
      </c>
      <c r="BP47" s="1143">
        <f t="shared" si="252"/>
        <v>2406999.7409326425</v>
      </c>
      <c r="BQ47" s="2083">
        <f t="shared" si="252"/>
        <v>2093720.1667959802</v>
      </c>
      <c r="BR47" s="3252"/>
      <c r="BS47" s="3252"/>
      <c r="BT47" s="4713"/>
      <c r="BU47" s="4713"/>
      <c r="BV47" s="4713"/>
      <c r="BW47" s="1549"/>
    </row>
    <row r="48" spans="1:75" ht="15" customHeight="1" x14ac:dyDescent="0.25">
      <c r="B48" s="2040" t="s">
        <v>343</v>
      </c>
      <c r="C48" s="2016" t="s">
        <v>50</v>
      </c>
      <c r="D48" s="2908">
        <v>42940.816250000003</v>
      </c>
      <c r="E48" s="2904">
        <v>3583.125</v>
      </c>
      <c r="F48" s="18">
        <v>3447.44</v>
      </c>
      <c r="G48" s="7141">
        <v>3702.5625</v>
      </c>
      <c r="H48" s="18">
        <v>3578.13</v>
      </c>
      <c r="I48" s="2903">
        <f>+E48+G48</f>
        <v>7285.6875</v>
      </c>
      <c r="J48" s="39">
        <f>+F48+H48</f>
        <v>7025.57</v>
      </c>
      <c r="K48" s="4555">
        <v>3811.2646500000001</v>
      </c>
      <c r="L48" s="18">
        <v>3561.96</v>
      </c>
      <c r="M48" s="2906">
        <f>+E48+G48+K48</f>
        <v>11096.952150000001</v>
      </c>
      <c r="N48" s="69">
        <f>+F48+H48+L48</f>
        <v>10587.529999999999</v>
      </c>
      <c r="O48" s="4761">
        <v>3866.049</v>
      </c>
      <c r="P48" s="18">
        <v>3728.17</v>
      </c>
      <c r="Q48" s="4760">
        <f>+M48+O48</f>
        <v>14963.00115</v>
      </c>
      <c r="R48" s="39">
        <f>+N48+P48</f>
        <v>14315.699999999999</v>
      </c>
      <c r="S48" s="4865">
        <v>3996.3820499999997</v>
      </c>
      <c r="T48" s="18">
        <v>3668.08</v>
      </c>
      <c r="U48" s="4864">
        <f>+Q48+S48</f>
        <v>18959.3832</v>
      </c>
      <c r="V48" s="39">
        <f>+R48+T48</f>
        <v>17983.78</v>
      </c>
      <c r="W48" s="5017">
        <v>3867.4664999999995</v>
      </c>
      <c r="X48" s="18">
        <v>3543.43</v>
      </c>
      <c r="Y48" s="5018">
        <f>+O48+S48+W48</f>
        <v>11729.897549999998</v>
      </c>
      <c r="Z48" s="5018">
        <f>+P48+T48+X48</f>
        <v>10939.68</v>
      </c>
      <c r="AA48" s="2907">
        <f>+M48+Y48</f>
        <v>22826.849699999999</v>
      </c>
      <c r="AB48" s="2907">
        <f>+N48+Z48</f>
        <v>21527.21</v>
      </c>
      <c r="AC48" s="5329">
        <v>3996.3820499999997</v>
      </c>
      <c r="AD48" s="18">
        <v>3647.77</v>
      </c>
      <c r="AE48" s="2903">
        <f>+AA48+AC48</f>
        <v>26823.231749999999</v>
      </c>
      <c r="AF48" s="39">
        <f>+AB48+AD48</f>
        <v>25174.98</v>
      </c>
      <c r="AG48" s="5496">
        <v>3867.4664999999995</v>
      </c>
      <c r="AH48" s="18">
        <v>3383.76</v>
      </c>
      <c r="AI48" s="2903">
        <f>+AE48+AG48</f>
        <v>30690.698249999998</v>
      </c>
      <c r="AJ48" s="39">
        <f>+AF48+AH48</f>
        <v>28558.739999999998</v>
      </c>
      <c r="AK48" s="5898">
        <v>3996.3820499999997</v>
      </c>
      <c r="AL48" s="18">
        <v>3673.9500000000003</v>
      </c>
      <c r="AM48" s="2905">
        <f>+AC48+AG48+AK48</f>
        <v>11860.230599999999</v>
      </c>
      <c r="AN48" s="2905">
        <f>+AD48+AH48+AL48</f>
        <v>10705.480000000001</v>
      </c>
      <c r="AO48" s="2903">
        <f>AI48+AK48</f>
        <v>34687.080299999994</v>
      </c>
      <c r="AP48" s="2903">
        <f t="shared" si="217"/>
        <v>32232.69</v>
      </c>
      <c r="AQ48" s="6059">
        <v>3996.3820499999997</v>
      </c>
      <c r="AR48" s="18">
        <v>3683.34</v>
      </c>
      <c r="AS48" s="2903">
        <f>+AO48+AQ48</f>
        <v>38683.462349999994</v>
      </c>
      <c r="AT48" s="39">
        <f>+AP48+AR48</f>
        <v>35916.03</v>
      </c>
      <c r="AU48" s="6166">
        <v>3609.6354000000001</v>
      </c>
      <c r="AV48" s="18">
        <v>3305.7</v>
      </c>
      <c r="AW48" s="2903">
        <f>+AS48+AU48</f>
        <v>42293.097749999994</v>
      </c>
      <c r="AX48" s="39">
        <f>+AT48+AV48</f>
        <v>39221.729999999996</v>
      </c>
      <c r="AY48" s="6381">
        <v>3996.3820499999997</v>
      </c>
      <c r="AZ48" s="18">
        <v>3667.4974999999999</v>
      </c>
      <c r="BA48" s="3006">
        <f>+AQ48+AU48+AY48</f>
        <v>11602.3995</v>
      </c>
      <c r="BB48" s="3006">
        <f>+AR48+AV48+AZ48</f>
        <v>10656.5375</v>
      </c>
      <c r="BC48" s="3007">
        <f>AM48+BA48</f>
        <v>23462.630099999998</v>
      </c>
      <c r="BD48" s="3007">
        <f>AN48+BB48</f>
        <v>21362.017500000002</v>
      </c>
      <c r="BE48" s="3005">
        <f>AW48+AY48</f>
        <v>46289.479799999994</v>
      </c>
      <c r="BF48" s="3005">
        <f t="shared" ref="BF48:BF49" si="253">AX48+AZ48</f>
        <v>42889.227499999994</v>
      </c>
      <c r="BG48" s="7142">
        <v>46866.669119999991</v>
      </c>
      <c r="BH48" s="7142">
        <v>43164.837499999994</v>
      </c>
      <c r="BI48" s="3341">
        <v>50890.945799999994</v>
      </c>
      <c r="BJ48" s="3305">
        <v>44869.641499999998</v>
      </c>
      <c r="BK48" s="1969">
        <v>48878.170000000006</v>
      </c>
      <c r="BL48" s="1969">
        <v>51086.382800000007</v>
      </c>
      <c r="BM48" s="1969">
        <v>49592.549999999996</v>
      </c>
      <c r="BN48" s="1969">
        <v>48584.311000000002</v>
      </c>
      <c r="BO48" s="1969">
        <v>46678.95</v>
      </c>
      <c r="BP48" s="1969">
        <v>46118.873100000012</v>
      </c>
      <c r="BQ48" s="1102">
        <v>49237.57</v>
      </c>
      <c r="BR48" s="3252"/>
      <c r="BS48" s="3252"/>
      <c r="BT48" s="4713"/>
      <c r="BU48" s="4713"/>
      <c r="BV48" s="4713"/>
      <c r="BW48" s="1549"/>
    </row>
    <row r="49" spans="1:73" ht="15" customHeight="1" x14ac:dyDescent="0.25">
      <c r="B49" s="2040" t="s">
        <v>344</v>
      </c>
      <c r="C49" s="2016" t="s">
        <v>50</v>
      </c>
      <c r="D49" s="2908">
        <v>9122.3970800000025</v>
      </c>
      <c r="E49" s="2904">
        <v>835.57544000000007</v>
      </c>
      <c r="F49" s="18">
        <v>674</v>
      </c>
      <c r="G49" s="7141">
        <v>865.41741999999999</v>
      </c>
      <c r="H49" s="18">
        <v>488.5</v>
      </c>
      <c r="I49" s="2903">
        <f>+E49+G49</f>
        <v>1700.9928600000001</v>
      </c>
      <c r="J49" s="39">
        <f>+F49+H49</f>
        <v>1162.5</v>
      </c>
      <c r="K49" s="4555">
        <v>486.11385333333328</v>
      </c>
      <c r="L49" s="18">
        <v>299</v>
      </c>
      <c r="M49" s="2906">
        <f>+E49+G49+K49</f>
        <v>2187.1067133333336</v>
      </c>
      <c r="N49" s="69">
        <f>+F49+H49+L49</f>
        <v>1461.5</v>
      </c>
      <c r="O49" s="4761">
        <v>881.75916000000007</v>
      </c>
      <c r="P49" s="18">
        <v>215.35</v>
      </c>
      <c r="Q49" s="4760">
        <f>+M49+O49</f>
        <v>3068.8658733333336</v>
      </c>
      <c r="R49" s="39">
        <f>+N49+P49</f>
        <v>1676.85</v>
      </c>
      <c r="S49" s="4865">
        <v>902.0331900000001</v>
      </c>
      <c r="T49" s="18">
        <v>487</v>
      </c>
      <c r="U49" s="4864">
        <f>+Q49+S49</f>
        <v>3970.8990633333337</v>
      </c>
      <c r="V49" s="39">
        <f>+R49+T49</f>
        <v>2163.85</v>
      </c>
      <c r="W49" s="5017">
        <v>872.4027000000001</v>
      </c>
      <c r="X49" s="18">
        <v>369</v>
      </c>
      <c r="Y49" s="5018">
        <f>+O49+S49+W49</f>
        <v>2656.1950500000003</v>
      </c>
      <c r="Z49" s="5018">
        <f>+P49+T49+X49</f>
        <v>1071.3499999999999</v>
      </c>
      <c r="AA49" s="2907">
        <f>+M49+Y49</f>
        <v>4843.3017633333338</v>
      </c>
      <c r="AB49" s="2907">
        <f>+N49+Z49</f>
        <v>2532.85</v>
      </c>
      <c r="AC49" s="5329">
        <v>902.0331900000001</v>
      </c>
      <c r="AD49" s="18">
        <v>376</v>
      </c>
      <c r="AE49" s="2903">
        <f>+AA49+AC49</f>
        <v>5745.3349533333339</v>
      </c>
      <c r="AF49" s="39">
        <f>+AB49+AD49</f>
        <v>2908.85</v>
      </c>
      <c r="AG49" s="5496">
        <v>0</v>
      </c>
      <c r="AH49" s="18">
        <v>317</v>
      </c>
      <c r="AI49" s="2903">
        <f>+AE49+AG49</f>
        <v>5745.3349533333339</v>
      </c>
      <c r="AJ49" s="39">
        <f>+AF49+AH49</f>
        <v>3225.85</v>
      </c>
      <c r="AK49" s="5898">
        <v>902.0331900000001</v>
      </c>
      <c r="AL49" s="18">
        <v>455</v>
      </c>
      <c r="AM49" s="2905">
        <f>+AC49+AG49+AK49</f>
        <v>1804.0663800000002</v>
      </c>
      <c r="AN49" s="2905">
        <f>+AD49+AH49+AL49</f>
        <v>1148</v>
      </c>
      <c r="AO49" s="2903">
        <f>AI49+AK49</f>
        <v>6647.368143333334</v>
      </c>
      <c r="AP49" s="2903">
        <f t="shared" si="217"/>
        <v>3680.85</v>
      </c>
      <c r="AQ49" s="6059">
        <v>902.0331900000001</v>
      </c>
      <c r="AR49" s="18">
        <v>479</v>
      </c>
      <c r="AS49" s="2903">
        <f>+AO49+AQ49</f>
        <v>7549.4013333333342</v>
      </c>
      <c r="AT49" s="39">
        <f>+AP49+AR49</f>
        <v>4159.8500000000004</v>
      </c>
      <c r="AU49" s="6166">
        <v>813.14172000000008</v>
      </c>
      <c r="AV49" s="18">
        <v>501</v>
      </c>
      <c r="AW49" s="2903">
        <f>+AS49+AU49</f>
        <v>8362.5430533333347</v>
      </c>
      <c r="AX49" s="39">
        <f>+AT49+AV49</f>
        <v>4660.8500000000004</v>
      </c>
      <c r="AY49" s="6381">
        <v>902.0331900000001</v>
      </c>
      <c r="AZ49" s="18">
        <v>572</v>
      </c>
      <c r="BA49" s="3006">
        <f>+AQ49+AU49+AY49</f>
        <v>2617.2081000000003</v>
      </c>
      <c r="BB49" s="3006">
        <f>+AR49+AV49+AZ49</f>
        <v>1552</v>
      </c>
      <c r="BC49" s="3007">
        <f>AM49+BA49</f>
        <v>4421.27448</v>
      </c>
      <c r="BD49" s="3007">
        <f>AN49+BB49</f>
        <v>2700</v>
      </c>
      <c r="BE49" s="3005">
        <f>AW49+AY49</f>
        <v>9264.5762433333348</v>
      </c>
      <c r="BF49" s="3005">
        <f t="shared" si="253"/>
        <v>5232.8500000000004</v>
      </c>
      <c r="BG49" s="7142">
        <v>9348.2025633333342</v>
      </c>
      <c r="BH49" s="7142">
        <v>4897.75</v>
      </c>
      <c r="BI49" s="1969">
        <v>8145.2</v>
      </c>
      <c r="BJ49" s="1969">
        <v>16578.809000000001</v>
      </c>
      <c r="BK49" s="1969">
        <v>8876.9</v>
      </c>
      <c r="BL49" s="1969">
        <v>21728.852072500002</v>
      </c>
      <c r="BM49" s="1969">
        <v>10510.61</v>
      </c>
      <c r="BN49" s="1969">
        <v>15654.414839999999</v>
      </c>
      <c r="BO49" s="1102">
        <v>12312.800000000001</v>
      </c>
      <c r="BP49" s="3252"/>
      <c r="BQ49" s="3252"/>
      <c r="BR49" s="3252"/>
      <c r="BS49" s="3252"/>
      <c r="BT49" s="4713"/>
      <c r="BU49" s="4713"/>
    </row>
    <row r="50" spans="1:73" ht="15" customHeight="1" x14ac:dyDescent="0.25">
      <c r="A50" s="149"/>
      <c r="B50" s="2085"/>
      <c r="C50" s="2079"/>
      <c r="D50" s="2915"/>
      <c r="E50" s="2915"/>
      <c r="F50" s="2915"/>
      <c r="G50" s="2915"/>
      <c r="H50" s="2915"/>
      <c r="I50" s="2915"/>
      <c r="J50" s="2915"/>
      <c r="K50" s="2915"/>
      <c r="L50" s="2915"/>
      <c r="M50" s="2915"/>
      <c r="N50" s="2915"/>
      <c r="O50" s="2915"/>
      <c r="P50" s="2915"/>
      <c r="Q50" s="2915"/>
      <c r="R50" s="2915"/>
      <c r="S50" s="2915"/>
      <c r="T50" s="2915"/>
      <c r="U50" s="2915"/>
      <c r="V50" s="2915"/>
      <c r="W50" s="2915"/>
      <c r="X50" s="2915"/>
      <c r="Y50" s="2915"/>
      <c r="Z50" s="2915"/>
      <c r="AA50" s="2915"/>
      <c r="AB50" s="2915"/>
      <c r="AC50" s="2915"/>
      <c r="AD50" s="2915"/>
      <c r="AE50" s="2915"/>
      <c r="AF50" s="2915"/>
      <c r="AG50" s="2915"/>
      <c r="AH50" s="2915"/>
      <c r="AI50" s="2915"/>
      <c r="AJ50" s="2915"/>
      <c r="AK50" s="2915"/>
      <c r="AL50" s="2915"/>
      <c r="AM50" s="2915"/>
      <c r="AN50" s="2915"/>
      <c r="AO50" s="2915"/>
      <c r="AP50" s="2915"/>
      <c r="AQ50" s="2915"/>
      <c r="AR50" s="2915"/>
      <c r="AS50" s="2915"/>
      <c r="AT50" s="2915"/>
      <c r="AU50" s="2915"/>
      <c r="AV50" s="2915"/>
      <c r="AW50" s="2915"/>
      <c r="AX50" s="2915"/>
      <c r="AY50" s="2915"/>
      <c r="AZ50" s="2915"/>
      <c r="BA50" s="2915"/>
      <c r="BB50" s="2915"/>
      <c r="BC50" s="2915"/>
      <c r="BD50" s="2915"/>
      <c r="BE50" s="2915"/>
      <c r="BF50" s="2915"/>
      <c r="BG50" s="2079"/>
      <c r="BH50" s="2079"/>
      <c r="BI50" s="2079"/>
      <c r="BJ50" s="2079"/>
      <c r="BK50" s="2079"/>
      <c r="BL50" s="2079"/>
      <c r="BM50" s="2079"/>
      <c r="BN50" s="2079"/>
      <c r="BO50" s="2080"/>
      <c r="BP50" s="3252"/>
      <c r="BQ50" s="3252"/>
      <c r="BR50" s="3252"/>
      <c r="BS50" s="3252"/>
      <c r="BT50" s="4713"/>
      <c r="BU50" s="4713"/>
    </row>
    <row r="51" spans="1:73" ht="15.75" thickBot="1" x14ac:dyDescent="0.3">
      <c r="B51" s="2039" t="s">
        <v>709</v>
      </c>
      <c r="C51" s="2019" t="s">
        <v>710</v>
      </c>
      <c r="D51" s="2022">
        <v>18466.792571608465</v>
      </c>
      <c r="E51" s="721">
        <v>1580.7365439093514</v>
      </c>
      <c r="F51" s="38">
        <v>1323</v>
      </c>
      <c r="G51" s="721">
        <v>1631.0985206169341</v>
      </c>
      <c r="H51" s="38">
        <v>1516</v>
      </c>
      <c r="I51" s="723">
        <f>+E51+G51</f>
        <v>3211.8350645262854</v>
      </c>
      <c r="J51" s="44">
        <f>+F51+H51</f>
        <v>2839</v>
      </c>
      <c r="K51" s="721">
        <v>932.07547169811323</v>
      </c>
      <c r="L51" s="38">
        <v>948</v>
      </c>
      <c r="M51" s="1544">
        <f>+E51+G51+K51</f>
        <v>4143.910536224399</v>
      </c>
      <c r="N51" s="74">
        <f>+F51+H51+L51</f>
        <v>3787</v>
      </c>
      <c r="O51" s="721">
        <v>424.52830188679241</v>
      </c>
      <c r="P51" s="38">
        <v>1544</v>
      </c>
      <c r="Q51" s="723">
        <f>+M51+O51</f>
        <v>4568.4388381111912</v>
      </c>
      <c r="R51" s="44">
        <f>+N51+P51</f>
        <v>5331</v>
      </c>
      <c r="S51" s="721">
        <v>1507.0440251572327</v>
      </c>
      <c r="T51" s="38">
        <v>1519</v>
      </c>
      <c r="U51" s="723">
        <f>+Q51+S51</f>
        <v>6075.4828632684239</v>
      </c>
      <c r="V51" s="44">
        <f>+R51+T51</f>
        <v>6850</v>
      </c>
      <c r="W51" s="721">
        <v>1456.7295333333334</v>
      </c>
      <c r="X51" s="38">
        <v>1510</v>
      </c>
      <c r="Y51" s="488">
        <f>+O51+S51+W51</f>
        <v>3388.3018603773585</v>
      </c>
      <c r="Z51" s="488">
        <f>+P51+T51+X51</f>
        <v>4573</v>
      </c>
      <c r="AA51" s="1146">
        <f>+M51+Y51</f>
        <v>7532.2123966017571</v>
      </c>
      <c r="AB51" s="1146">
        <f>+N51+Z51</f>
        <v>8360</v>
      </c>
      <c r="AC51" s="721">
        <v>1569.9371069182389</v>
      </c>
      <c r="AD51" s="38">
        <v>1451</v>
      </c>
      <c r="AE51" s="723">
        <f>+AA51+AC51</f>
        <v>9102.1495035199951</v>
      </c>
      <c r="AF51" s="44">
        <f>+AB51+AD51</f>
        <v>9811</v>
      </c>
      <c r="AG51" s="721">
        <v>1519.6226415094338</v>
      </c>
      <c r="AH51" s="38">
        <v>52</v>
      </c>
      <c r="AI51" s="723">
        <f>+AE51+AG51</f>
        <v>10621.772145029428</v>
      </c>
      <c r="AJ51" s="44">
        <f>+AF51+AH51</f>
        <v>9863</v>
      </c>
      <c r="AK51" s="721">
        <v>1569.9371069182389</v>
      </c>
      <c r="AL51" s="38">
        <v>1531</v>
      </c>
      <c r="AM51" s="488">
        <f>+AC51+AG51+AK51</f>
        <v>4659.4968553459112</v>
      </c>
      <c r="AN51" s="488">
        <f>+AD51+AH51+AL51</f>
        <v>3034</v>
      </c>
      <c r="AO51" s="2903">
        <f>AI51+AK51</f>
        <v>12191.709251947668</v>
      </c>
      <c r="AP51" s="2903">
        <f t="shared" si="217"/>
        <v>11394</v>
      </c>
      <c r="AQ51" s="721">
        <v>1569.9371069182389</v>
      </c>
      <c r="AR51" s="38">
        <v>1599</v>
      </c>
      <c r="AS51" s="723">
        <f>+AO51+AQ51</f>
        <v>13761.646358865906</v>
      </c>
      <c r="AT51" s="44">
        <f>+AP51+AR51</f>
        <v>12993</v>
      </c>
      <c r="AU51" s="721">
        <v>1412.7044025157234</v>
      </c>
      <c r="AV51" s="38">
        <v>1443</v>
      </c>
      <c r="AW51" s="723">
        <f>+AS51+AU51</f>
        <v>15174.350761381629</v>
      </c>
      <c r="AX51" s="44">
        <f>+AT51+AV51</f>
        <v>14436</v>
      </c>
      <c r="AY51" s="721">
        <v>1569.9371069182389</v>
      </c>
      <c r="AZ51" s="38">
        <v>1572</v>
      </c>
      <c r="BA51" s="488">
        <f>+AQ51+AU51+AY51</f>
        <v>4552.5786163522007</v>
      </c>
      <c r="BB51" s="488">
        <f>+AR51+AV51+AZ51</f>
        <v>4614</v>
      </c>
      <c r="BC51" s="3007">
        <f>AM51+BA51</f>
        <v>9212.0754716981119</v>
      </c>
      <c r="BD51" s="3007">
        <f>AN51+BB51</f>
        <v>7648</v>
      </c>
      <c r="BE51" s="3005">
        <f>AW51+AY51</f>
        <v>16744.287868299867</v>
      </c>
      <c r="BF51" s="3005">
        <f t="shared" ref="BF51" si="254">AX51+AZ51</f>
        <v>16008</v>
      </c>
      <c r="BG51" s="1147">
        <v>16596.855319496852</v>
      </c>
      <c r="BH51" s="1147">
        <v>15925</v>
      </c>
      <c r="BI51" s="1147">
        <v>16116</v>
      </c>
      <c r="BJ51" s="1147">
        <v>16344.714992175272</v>
      </c>
      <c r="BK51" s="1147">
        <v>14624</v>
      </c>
      <c r="BL51" s="1147">
        <v>15300.816666666668</v>
      </c>
      <c r="BM51" s="1147">
        <v>12158</v>
      </c>
      <c r="BN51" s="1147">
        <v>16891.891891891893</v>
      </c>
      <c r="BO51" s="1104">
        <v>14151</v>
      </c>
      <c r="BP51" s="3252"/>
      <c r="BQ51" s="3252"/>
      <c r="BR51" s="3252"/>
      <c r="BS51" s="3252"/>
      <c r="BT51" s="4713"/>
      <c r="BU51" s="4713"/>
    </row>
    <row r="52" spans="1:73" x14ac:dyDescent="0.25">
      <c r="E52" s="87"/>
      <c r="F52" s="93"/>
      <c r="G52" s="87"/>
      <c r="H52" s="93"/>
      <c r="I52" s="87"/>
      <c r="J52" s="93"/>
      <c r="K52" s="87"/>
      <c r="L52" s="93"/>
      <c r="M52" s="87"/>
      <c r="N52" s="93"/>
      <c r="O52" s="87"/>
      <c r="P52" s="93"/>
      <c r="Q52" s="87"/>
      <c r="R52" s="93"/>
      <c r="S52" s="87"/>
      <c r="T52" s="93"/>
      <c r="U52" s="87"/>
      <c r="V52" s="93"/>
      <c r="Z52" s="93"/>
      <c r="AC52" s="5172"/>
      <c r="AD52" s="5172"/>
      <c r="AE52" s="87"/>
      <c r="AF52" s="93"/>
      <c r="AG52" s="87"/>
      <c r="AH52" s="93"/>
      <c r="AI52" s="87"/>
      <c r="AJ52" s="93"/>
      <c r="AK52" s="87"/>
      <c r="AL52" s="93"/>
      <c r="AN52" s="93"/>
      <c r="AO52" s="87"/>
      <c r="AP52" s="93"/>
      <c r="AQ52" s="87"/>
      <c r="AR52" s="93"/>
      <c r="AS52" s="87"/>
      <c r="AT52" s="93"/>
      <c r="AU52" s="87"/>
      <c r="AV52" s="93"/>
      <c r="AW52" s="87"/>
      <c r="AX52" s="93"/>
      <c r="AY52" s="87"/>
      <c r="AZ52" s="93"/>
      <c r="BB52" s="93"/>
      <c r="BE52" s="87"/>
      <c r="BF52" s="93"/>
      <c r="BG52" s="3345"/>
      <c r="BP52" s="5371"/>
      <c r="BQ52" s="5371"/>
      <c r="BR52" s="4713"/>
      <c r="BS52" s="4713"/>
      <c r="BT52" s="4713"/>
    </row>
    <row r="53" spans="1:73" ht="15" customHeight="1" x14ac:dyDescent="0.25">
      <c r="E53" s="1349">
        <f t="shared" ref="E53:T53" si="255">+E37-E47</f>
        <v>0</v>
      </c>
      <c r="F53" s="1349">
        <f t="shared" si="255"/>
        <v>0</v>
      </c>
      <c r="G53" s="1349">
        <f t="shared" si="255"/>
        <v>0</v>
      </c>
      <c r="H53" s="1349">
        <f t="shared" si="255"/>
        <v>0</v>
      </c>
      <c r="I53" s="1349">
        <f t="shared" si="255"/>
        <v>0</v>
      </c>
      <c r="J53" s="1349">
        <f t="shared" si="255"/>
        <v>0</v>
      </c>
      <c r="K53" s="1349">
        <f t="shared" si="255"/>
        <v>0</v>
      </c>
      <c r="L53" s="1349">
        <f t="shared" si="255"/>
        <v>0</v>
      </c>
      <c r="M53" s="1349">
        <f t="shared" si="255"/>
        <v>0</v>
      </c>
      <c r="N53" s="1349">
        <f t="shared" si="255"/>
        <v>0</v>
      </c>
      <c r="O53" s="1349">
        <f t="shared" si="255"/>
        <v>0</v>
      </c>
      <c r="P53" s="1349">
        <f t="shared" si="255"/>
        <v>0</v>
      </c>
      <c r="Q53" s="1349">
        <f t="shared" si="255"/>
        <v>0</v>
      </c>
      <c r="R53" s="1349">
        <f t="shared" si="255"/>
        <v>0</v>
      </c>
      <c r="S53" s="1349">
        <f t="shared" si="255"/>
        <v>0</v>
      </c>
      <c r="T53" s="1349">
        <f t="shared" si="255"/>
        <v>0</v>
      </c>
      <c r="U53" s="1349">
        <f t="shared" ref="U53:V53" si="256">+U37-U47</f>
        <v>0</v>
      </c>
      <c r="V53" s="1349">
        <f t="shared" si="256"/>
        <v>0</v>
      </c>
      <c r="W53" s="1349">
        <f t="shared" ref="W53:AB53" si="257">+W37-W47</f>
        <v>0</v>
      </c>
      <c r="X53" s="1349">
        <f t="shared" si="257"/>
        <v>0</v>
      </c>
      <c r="Y53" s="1349">
        <f t="shared" si="257"/>
        <v>0</v>
      </c>
      <c r="Z53" s="1349">
        <f t="shared" si="257"/>
        <v>0</v>
      </c>
      <c r="AA53" s="1349">
        <f t="shared" si="257"/>
        <v>0</v>
      </c>
      <c r="AB53" s="1349">
        <f t="shared" si="257"/>
        <v>0</v>
      </c>
      <c r="AC53" s="1349">
        <f t="shared" ref="AC53:AD53" si="258">+AC37-AC47</f>
        <v>0</v>
      </c>
      <c r="AD53" s="1349">
        <f t="shared" si="258"/>
        <v>0</v>
      </c>
      <c r="AE53" s="1349">
        <f t="shared" ref="AE53:AF53" si="259">+AE37-AE47</f>
        <v>0</v>
      </c>
      <c r="AF53" s="1349">
        <f t="shared" si="259"/>
        <v>0</v>
      </c>
      <c r="AG53" s="1349">
        <f t="shared" ref="AG53:AN53" si="260">+AG37-AG47</f>
        <v>0</v>
      </c>
      <c r="AH53" s="1349">
        <f t="shared" si="260"/>
        <v>0</v>
      </c>
      <c r="AI53" s="1349">
        <f t="shared" si="260"/>
        <v>0</v>
      </c>
      <c r="AJ53" s="1349">
        <f t="shared" si="260"/>
        <v>0</v>
      </c>
      <c r="AK53" s="1349">
        <f t="shared" ref="AK53:AL53" si="261">+AK37-AK47</f>
        <v>0</v>
      </c>
      <c r="AL53" s="1349">
        <f t="shared" si="261"/>
        <v>0</v>
      </c>
      <c r="AM53" s="1349">
        <f t="shared" si="260"/>
        <v>0</v>
      </c>
      <c r="AN53" s="1349">
        <f t="shared" si="260"/>
        <v>0</v>
      </c>
      <c r="AO53" s="1349">
        <f t="shared" ref="AO53:AT53" si="262">+AO37-AO47</f>
        <v>0</v>
      </c>
      <c r="AP53" s="1349">
        <f t="shared" si="262"/>
        <v>0</v>
      </c>
      <c r="AQ53" s="1349">
        <f t="shared" si="262"/>
        <v>0</v>
      </c>
      <c r="AR53" s="1349">
        <f t="shared" si="262"/>
        <v>0</v>
      </c>
      <c r="AS53" s="1349">
        <f t="shared" si="262"/>
        <v>0</v>
      </c>
      <c r="AT53" s="1349">
        <f t="shared" si="262"/>
        <v>0</v>
      </c>
      <c r="AU53" s="1349">
        <f t="shared" ref="AU53:AV53" si="263">+AU37-AU47</f>
        <v>0</v>
      </c>
      <c r="AV53" s="1349">
        <f t="shared" si="263"/>
        <v>0</v>
      </c>
      <c r="AW53" s="1349">
        <f t="shared" ref="AW53:BF53" si="264">+AW37-AW47</f>
        <v>0</v>
      </c>
      <c r="AX53" s="1349">
        <f t="shared" si="264"/>
        <v>0</v>
      </c>
      <c r="AY53" s="1349">
        <f t="shared" si="264"/>
        <v>0</v>
      </c>
      <c r="AZ53" s="1349">
        <f t="shared" si="264"/>
        <v>0</v>
      </c>
      <c r="BA53" s="1349">
        <f t="shared" si="264"/>
        <v>0</v>
      </c>
      <c r="BB53" s="1349">
        <f t="shared" si="264"/>
        <v>0</v>
      </c>
      <c r="BC53" s="1349">
        <f t="shared" si="264"/>
        <v>0</v>
      </c>
      <c r="BD53" s="1349">
        <f t="shared" si="264"/>
        <v>0</v>
      </c>
      <c r="BE53" s="1349">
        <f t="shared" si="264"/>
        <v>0</v>
      </c>
      <c r="BF53" s="1349">
        <f t="shared" si="264"/>
        <v>0</v>
      </c>
      <c r="BG53" s="1349">
        <v>0</v>
      </c>
      <c r="BH53" s="1349">
        <v>0</v>
      </c>
      <c r="BI53" s="1349">
        <v>-1.2959999963641167E-2</v>
      </c>
      <c r="BJ53" s="1349">
        <f t="shared" ref="BJ53:BO53" si="265">+BL37-BL47</f>
        <v>0</v>
      </c>
      <c r="BK53" s="1349">
        <f t="shared" si="265"/>
        <v>-3.9024325087666512E-4</v>
      </c>
      <c r="BL53" s="1349">
        <f t="shared" si="265"/>
        <v>0</v>
      </c>
      <c r="BM53" s="1349">
        <f t="shared" si="265"/>
        <v>0.55446018418297172</v>
      </c>
      <c r="BN53" s="1349">
        <f t="shared" si="265"/>
        <v>0</v>
      </c>
      <c r="BO53" s="1349">
        <f t="shared" si="265"/>
        <v>0</v>
      </c>
      <c r="BP53" s="5371"/>
      <c r="BQ53" s="5371"/>
      <c r="BR53" s="4713"/>
      <c r="BS53" s="4713"/>
      <c r="BT53" s="4713"/>
    </row>
    <row r="54" spans="1:73" x14ac:dyDescent="0.25">
      <c r="E54" s="26"/>
      <c r="F54" s="26"/>
      <c r="H54" s="2592"/>
      <c r="I54" s="2592"/>
      <c r="J54" s="2592"/>
      <c r="K54" s="2592"/>
      <c r="L54" s="2592"/>
      <c r="M54" s="2592"/>
      <c r="S54" s="26"/>
      <c r="T54" s="26"/>
      <c r="AC54" s="5172"/>
      <c r="AD54" s="5172"/>
      <c r="AJ54" s="5172"/>
      <c r="AV54" s="5172"/>
    </row>
    <row r="55" spans="1:73" x14ac:dyDescent="0.25">
      <c r="H55" s="5172"/>
      <c r="L55" s="5172"/>
      <c r="N55" s="5172"/>
      <c r="P55" s="5172"/>
      <c r="T55" s="5172"/>
      <c r="X55" s="5172"/>
      <c r="Z55" s="5172"/>
      <c r="AB55" s="5172"/>
      <c r="AC55" s="26"/>
      <c r="AD55" s="5172"/>
      <c r="AG55" s="26"/>
      <c r="AH55" s="5172"/>
      <c r="AJ55" s="5172"/>
      <c r="AL55" s="5172"/>
      <c r="AN55" s="5172"/>
      <c r="AP55" s="5172"/>
      <c r="AR55" s="5172"/>
      <c r="AT55" s="5172"/>
      <c r="AV55" s="26"/>
    </row>
    <row r="56" spans="1:73" x14ac:dyDescent="0.25">
      <c r="AC56" s="26"/>
      <c r="AD56" s="26"/>
      <c r="AH56" s="2786"/>
      <c r="AO56" s="2786"/>
    </row>
    <row r="57" spans="1:73" x14ac:dyDescent="0.25">
      <c r="AH57" s="2786"/>
      <c r="AO57" s="2786"/>
    </row>
    <row r="58" spans="1:73" x14ac:dyDescent="0.25">
      <c r="AH58" s="2786"/>
      <c r="AO58" s="2786"/>
      <c r="AZ58" s="26"/>
    </row>
    <row r="59" spans="1:73" x14ac:dyDescent="0.25">
      <c r="X59" s="26"/>
      <c r="AH59" s="2786"/>
      <c r="AZ59" s="26"/>
    </row>
    <row r="60" spans="1:73" x14ac:dyDescent="0.25">
      <c r="X60" s="26"/>
      <c r="AZ60" s="26"/>
    </row>
    <row r="61" spans="1:73" x14ac:dyDescent="0.25">
      <c r="F61" s="3317"/>
      <c r="X61" s="26"/>
      <c r="AZ61" s="5172"/>
    </row>
    <row r="62" spans="1:73" x14ac:dyDescent="0.25">
      <c r="F62" s="3317"/>
      <c r="AN62" s="2780"/>
      <c r="AO62" s="185"/>
      <c r="AZ62" s="26"/>
    </row>
    <row r="63" spans="1:73" x14ac:dyDescent="0.25">
      <c r="F63" s="3317"/>
      <c r="AN63" s="2780"/>
      <c r="AO63" s="185"/>
    </row>
    <row r="64" spans="1:73" x14ac:dyDescent="0.25">
      <c r="AN64" s="2780"/>
      <c r="AO64" s="2787"/>
    </row>
    <row r="65" spans="40:41" x14ac:dyDescent="0.25">
      <c r="AN65" s="2780"/>
      <c r="AO65" s="2787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50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V46"/>
  <sheetViews>
    <sheetView workbookViewId="0">
      <pane xSplit="4" topLeftCell="E1" activePane="topRight" state="frozen"/>
      <selection pane="topRight" activeCell="D32" sqref="D32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customWidth="1"/>
    <col min="10" max="10" width="9.85546875" style="4" customWidth="1"/>
    <col min="11" max="11" width="7.85546875" style="4" hidden="1" customWidth="1"/>
    <col min="12" max="12" width="9.85546875" style="4" hidden="1" customWidth="1"/>
    <col min="13" max="13" width="7.85546875" style="4" hidden="1" customWidth="1"/>
    <col min="14" max="14" width="11.28515625" style="4" hidden="1" customWidth="1"/>
    <col min="15" max="15" width="7.85546875" style="4" hidden="1" customWidth="1"/>
    <col min="16" max="16" width="9.85546875" style="4" hidden="1" customWidth="1"/>
    <col min="17" max="17" width="9.5703125" style="4" hidden="1" customWidth="1"/>
    <col min="18" max="18" width="11.28515625" style="4" hidden="1" customWidth="1"/>
    <col min="19" max="19" width="12.140625" style="4" hidden="1" customWidth="1"/>
    <col min="20" max="20" width="9.85546875" style="4" hidden="1" customWidth="1"/>
    <col min="21" max="21" width="9" style="4" hidden="1" customWidth="1"/>
    <col min="22" max="22" width="11.28515625" style="4" hidden="1" customWidth="1"/>
    <col min="23" max="24" width="9.85546875" style="4" hidden="1" customWidth="1"/>
    <col min="25" max="25" width="9.140625" style="4" hidden="1" customWidth="1"/>
    <col min="26" max="26" width="11.28515625" style="4" hidden="1" customWidth="1"/>
    <col min="27" max="27" width="9.140625" style="4" hidden="1" customWidth="1"/>
    <col min="28" max="58" width="11.28515625" style="4" hidden="1" customWidth="1"/>
    <col min="59" max="62" width="11.28515625" style="4" customWidth="1"/>
    <col min="63" max="63" width="9.140625" style="4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0.140625" style="4" bestFit="1" customWidth="1"/>
    <col min="72" max="72" width="9.5703125" style="4" bestFit="1" customWidth="1"/>
    <col min="73" max="16384" width="9.140625" style="4"/>
  </cols>
  <sheetData>
    <row r="1" spans="1:74" ht="22.5" x14ac:dyDescent="0.3">
      <c r="B1" s="389" t="s">
        <v>2260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4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4" ht="15.75" thickBot="1" x14ac:dyDescent="0.3">
      <c r="B2" s="725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4" ht="15" customHeight="1" thickBot="1" x14ac:dyDescent="0.3">
      <c r="B3" s="7373" t="s">
        <v>171</v>
      </c>
      <c r="C3" s="7375" t="s">
        <v>172</v>
      </c>
      <c r="D3" s="7378" t="s">
        <v>2255</v>
      </c>
      <c r="E3" s="7364" t="s">
        <v>2254</v>
      </c>
      <c r="F3" s="7377"/>
      <c r="G3" s="7364" t="s">
        <v>2306</v>
      </c>
      <c r="H3" s="7364"/>
      <c r="I3" s="7362" t="s">
        <v>14</v>
      </c>
      <c r="J3" s="7363"/>
      <c r="K3" s="7370" t="s">
        <v>1903</v>
      </c>
      <c r="L3" s="7377"/>
      <c r="M3" s="7383" t="s">
        <v>637</v>
      </c>
      <c r="N3" s="7372"/>
      <c r="O3" s="7364" t="s">
        <v>1937</v>
      </c>
      <c r="P3" s="7364"/>
      <c r="Q3" s="7362" t="s">
        <v>17</v>
      </c>
      <c r="R3" s="7363"/>
      <c r="S3" s="7364" t="s">
        <v>1961</v>
      </c>
      <c r="T3" s="7364"/>
      <c r="U3" s="7362" t="s">
        <v>18</v>
      </c>
      <c r="V3" s="7363"/>
      <c r="W3" s="7364" t="s">
        <v>1983</v>
      </c>
      <c r="X3" s="7364"/>
      <c r="Y3" s="7371" t="s">
        <v>660</v>
      </c>
      <c r="Z3" s="7372"/>
      <c r="AA3" s="7354" t="s">
        <v>657</v>
      </c>
      <c r="AB3" s="7355"/>
      <c r="AC3" s="7364" t="s">
        <v>2002</v>
      </c>
      <c r="AD3" s="7364"/>
      <c r="AE3" s="7362" t="s">
        <v>24</v>
      </c>
      <c r="AF3" s="7363"/>
      <c r="AG3" s="7364" t="s">
        <v>2018</v>
      </c>
      <c r="AH3" s="7364"/>
      <c r="AI3" s="7362" t="s">
        <v>27</v>
      </c>
      <c r="AJ3" s="7363"/>
      <c r="AK3" s="7364" t="s">
        <v>2033</v>
      </c>
      <c r="AL3" s="7364"/>
      <c r="AM3" s="7371" t="s">
        <v>662</v>
      </c>
      <c r="AN3" s="7372"/>
      <c r="AO3" s="7362" t="s">
        <v>1683</v>
      </c>
      <c r="AP3" s="7363"/>
      <c r="AQ3" s="7364" t="s">
        <v>2137</v>
      </c>
      <c r="AR3" s="7364"/>
      <c r="AS3" s="7362" t="s">
        <v>28</v>
      </c>
      <c r="AT3" s="7363"/>
      <c r="AU3" s="7364" t="s">
        <v>2151</v>
      </c>
      <c r="AV3" s="7364"/>
      <c r="AW3" s="7362" t="s">
        <v>30</v>
      </c>
      <c r="AX3" s="7363"/>
      <c r="AY3" s="7370" t="s">
        <v>2163</v>
      </c>
      <c r="AZ3" s="7364"/>
      <c r="BA3" s="7371" t="s">
        <v>663</v>
      </c>
      <c r="BB3" s="7372"/>
      <c r="BC3" s="7354" t="s">
        <v>671</v>
      </c>
      <c r="BD3" s="7355"/>
      <c r="BE3" s="7362" t="s">
        <v>1765</v>
      </c>
      <c r="BF3" s="7363"/>
      <c r="BG3" s="7336" t="s">
        <v>1765</v>
      </c>
      <c r="BH3" s="7337"/>
      <c r="BI3" s="7336" t="s">
        <v>1408</v>
      </c>
      <c r="BJ3" s="7337"/>
      <c r="BK3" s="7336" t="s">
        <v>1257</v>
      </c>
      <c r="BL3" s="7337"/>
      <c r="BM3" s="7336" t="s">
        <v>947</v>
      </c>
      <c r="BN3" s="7337"/>
      <c r="BO3" s="7336" t="s">
        <v>679</v>
      </c>
      <c r="BP3" s="7337"/>
      <c r="BQ3" s="7336" t="s">
        <v>650</v>
      </c>
      <c r="BR3" s="7337"/>
    </row>
    <row r="4" spans="1:74" ht="15" customHeight="1" thickBot="1" x14ac:dyDescent="0.3">
      <c r="B4" s="7374"/>
      <c r="C4" s="7376"/>
      <c r="D4" s="7379"/>
      <c r="E4" s="7058" t="s">
        <v>173</v>
      </c>
      <c r="F4" s="1412" t="s">
        <v>174</v>
      </c>
      <c r="G4" s="4128" t="s">
        <v>173</v>
      </c>
      <c r="H4" s="178" t="s">
        <v>174</v>
      </c>
      <c r="I4" s="4133" t="s">
        <v>173</v>
      </c>
      <c r="J4" s="163" t="s">
        <v>174</v>
      </c>
      <c r="K4" s="179" t="s">
        <v>173</v>
      </c>
      <c r="L4" s="178" t="s">
        <v>174</v>
      </c>
      <c r="M4" s="4131" t="s">
        <v>173</v>
      </c>
      <c r="N4" s="170" t="s">
        <v>174</v>
      </c>
      <c r="O4" s="232" t="s">
        <v>173</v>
      </c>
      <c r="P4" s="178" t="s">
        <v>174</v>
      </c>
      <c r="Q4" s="4133" t="s">
        <v>173</v>
      </c>
      <c r="R4" s="163" t="s">
        <v>174</v>
      </c>
      <c r="S4" s="4128" t="s">
        <v>173</v>
      </c>
      <c r="T4" s="178" t="s">
        <v>174</v>
      </c>
      <c r="U4" s="4133" t="s">
        <v>173</v>
      </c>
      <c r="V4" s="163" t="s">
        <v>174</v>
      </c>
      <c r="W4" s="4128" t="s">
        <v>173</v>
      </c>
      <c r="X4" s="178" t="s">
        <v>174</v>
      </c>
      <c r="Y4" s="4130" t="s">
        <v>173</v>
      </c>
      <c r="Z4" s="170" t="s">
        <v>174</v>
      </c>
      <c r="AA4" s="4132" t="s">
        <v>173</v>
      </c>
      <c r="AB4" s="467" t="s">
        <v>174</v>
      </c>
      <c r="AC4" s="4128" t="s">
        <v>173</v>
      </c>
      <c r="AD4" s="178" t="s">
        <v>174</v>
      </c>
      <c r="AE4" s="4133" t="s">
        <v>173</v>
      </c>
      <c r="AF4" s="163" t="s">
        <v>174</v>
      </c>
      <c r="AG4" s="4128" t="s">
        <v>173</v>
      </c>
      <c r="AH4" s="178" t="s">
        <v>174</v>
      </c>
      <c r="AI4" s="4133" t="s">
        <v>173</v>
      </c>
      <c r="AJ4" s="163" t="s">
        <v>174</v>
      </c>
      <c r="AK4" s="4128" t="s">
        <v>173</v>
      </c>
      <c r="AL4" s="178" t="s">
        <v>174</v>
      </c>
      <c r="AM4" s="4130" t="s">
        <v>173</v>
      </c>
      <c r="AN4" s="170" t="s">
        <v>174</v>
      </c>
      <c r="AO4" s="4133" t="s">
        <v>173</v>
      </c>
      <c r="AP4" s="163" t="s">
        <v>174</v>
      </c>
      <c r="AQ4" s="4128" t="s">
        <v>173</v>
      </c>
      <c r="AR4" s="178" t="s">
        <v>174</v>
      </c>
      <c r="AS4" s="4133" t="s">
        <v>173</v>
      </c>
      <c r="AT4" s="163" t="s">
        <v>174</v>
      </c>
      <c r="AU4" s="4128" t="s">
        <v>173</v>
      </c>
      <c r="AV4" s="178" t="s">
        <v>174</v>
      </c>
      <c r="AW4" s="4133" t="s">
        <v>173</v>
      </c>
      <c r="AX4" s="163" t="s">
        <v>174</v>
      </c>
      <c r="AY4" s="4128" t="s">
        <v>173</v>
      </c>
      <c r="AZ4" s="178" t="s">
        <v>174</v>
      </c>
      <c r="BA4" s="4130" t="s">
        <v>173</v>
      </c>
      <c r="BB4" s="170" t="s">
        <v>174</v>
      </c>
      <c r="BC4" s="4132" t="s">
        <v>173</v>
      </c>
      <c r="BD4" s="467" t="s">
        <v>174</v>
      </c>
      <c r="BE4" s="4133" t="s">
        <v>173</v>
      </c>
      <c r="BF4" s="163" t="s">
        <v>174</v>
      </c>
      <c r="BG4" s="1096" t="s">
        <v>173</v>
      </c>
      <c r="BH4" s="1097" t="s">
        <v>174</v>
      </c>
      <c r="BI4" s="1096" t="s">
        <v>173</v>
      </c>
      <c r="BJ4" s="1097" t="s">
        <v>174</v>
      </c>
      <c r="BK4" s="1096" t="s">
        <v>173</v>
      </c>
      <c r="BL4" s="1097" t="s">
        <v>174</v>
      </c>
      <c r="BM4" s="1096" t="s">
        <v>173</v>
      </c>
      <c r="BN4" s="1097" t="s">
        <v>174</v>
      </c>
      <c r="BO4" s="1096" t="s">
        <v>173</v>
      </c>
      <c r="BP4" s="1097" t="s">
        <v>174</v>
      </c>
      <c r="BQ4" s="1096" t="s">
        <v>173</v>
      </c>
      <c r="BR4" s="1097" t="s">
        <v>174</v>
      </c>
    </row>
    <row r="5" spans="1:74" ht="15" customHeight="1" x14ac:dyDescent="0.25">
      <c r="A5" s="1277"/>
      <c r="B5" s="2001" t="s">
        <v>140</v>
      </c>
      <c r="C5" s="268"/>
      <c r="D5" s="252"/>
      <c r="E5" s="267"/>
      <c r="F5" s="7080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8"/>
      <c r="BN5" s="1105"/>
      <c r="BO5" s="1098"/>
      <c r="BP5" s="1105"/>
      <c r="BQ5" s="1098"/>
      <c r="BR5" s="1105"/>
      <c r="BS5" s="1277"/>
    </row>
    <row r="6" spans="1:74" ht="15" customHeight="1" x14ac:dyDescent="0.25">
      <c r="B6" s="7060" t="s">
        <v>1188</v>
      </c>
      <c r="C6" s="7061" t="s">
        <v>354</v>
      </c>
      <c r="D6" s="2003">
        <v>25000</v>
      </c>
      <c r="E6" s="7073">
        <v>2083.3333333333335</v>
      </c>
      <c r="F6" s="7081">
        <v>1095.8900000000001</v>
      </c>
      <c r="G6" s="7073">
        <v>2083.3333333333335</v>
      </c>
      <c r="H6" s="7081">
        <v>2704.95</v>
      </c>
      <c r="I6" s="437">
        <f t="shared" ref="I6:J11" si="0">+E6+G6</f>
        <v>4166.666666666667</v>
      </c>
      <c r="J6" s="39">
        <f t="shared" si="0"/>
        <v>3800.84</v>
      </c>
      <c r="K6" s="1315">
        <v>100</v>
      </c>
      <c r="L6" s="4556">
        <v>4335</v>
      </c>
      <c r="M6" s="68">
        <f t="shared" ref="M6:N11" si="1">+E6+G6+K6</f>
        <v>4266.666666666667</v>
      </c>
      <c r="N6" s="68">
        <f t="shared" si="1"/>
        <v>8135.84</v>
      </c>
      <c r="O6" s="1315">
        <v>100</v>
      </c>
      <c r="P6" s="4772">
        <v>2363.09</v>
      </c>
      <c r="Q6" s="437">
        <f t="shared" ref="Q6:Q11" si="2">+M6+O6</f>
        <v>4366.666666666667</v>
      </c>
      <c r="R6" s="39">
        <f t="shared" ref="R6:R11" si="3">+N6+P6</f>
        <v>10498.93</v>
      </c>
      <c r="S6" s="1315">
        <v>2100</v>
      </c>
      <c r="T6" s="4868">
        <v>4615.5</v>
      </c>
      <c r="U6" s="437">
        <f t="shared" ref="U6:U11" si="4">+Q6+S6</f>
        <v>6466.666666666667</v>
      </c>
      <c r="V6" s="39">
        <f t="shared" ref="V6:V11" si="5">+R6+T6</f>
        <v>15114.43</v>
      </c>
      <c r="W6" s="1315">
        <v>2200</v>
      </c>
      <c r="X6" s="5022">
        <v>5085</v>
      </c>
      <c r="Y6" s="68">
        <f t="shared" ref="Y6:Z6" si="6">+O6+S6+W6</f>
        <v>4400</v>
      </c>
      <c r="Z6" s="69">
        <f t="shared" si="6"/>
        <v>12063.59</v>
      </c>
      <c r="AA6" s="640">
        <f>+M6+Y6</f>
        <v>8666.6666666666679</v>
      </c>
      <c r="AB6" s="640">
        <f>+N6+Z6</f>
        <v>20199.43</v>
      </c>
      <c r="AC6" s="1315">
        <v>2100</v>
      </c>
      <c r="AD6" s="5332">
        <v>4044.2099999999996</v>
      </c>
      <c r="AE6" s="437">
        <f t="shared" ref="AE6:AE11" si="7">+AA6+AC6</f>
        <v>10766.666666666668</v>
      </c>
      <c r="AF6" s="39">
        <f t="shared" ref="AF6:AF11" si="8">+AB6+AD6</f>
        <v>24243.64</v>
      </c>
      <c r="AG6" s="1315">
        <v>2100</v>
      </c>
      <c r="AH6" s="5497">
        <v>5778.3499999999995</v>
      </c>
      <c r="AI6" s="437">
        <f t="shared" ref="AI6:AI11" si="9">+AE6+AG6</f>
        <v>12866.666666666668</v>
      </c>
      <c r="AJ6" s="39">
        <f t="shared" ref="AJ6:AJ11" si="10">+AF6+AH6</f>
        <v>30021.989999999998</v>
      </c>
      <c r="AK6" s="1315">
        <v>2100</v>
      </c>
      <c r="AL6" s="5991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14966.666666666668</v>
      </c>
      <c r="AP6" s="437">
        <f>AJ6+AL6</f>
        <v>33933.99</v>
      </c>
      <c r="AQ6" s="1315">
        <v>2200</v>
      </c>
      <c r="AR6" s="6062">
        <v>3486.44</v>
      </c>
      <c r="AS6" s="437">
        <f t="shared" ref="AS6:AS11" si="13">+AO6+AQ6</f>
        <v>17166.666666666668</v>
      </c>
      <c r="AT6" s="39">
        <f t="shared" ref="AT6:AT11" si="14">+AP6+AR6</f>
        <v>37420.43</v>
      </c>
      <c r="AU6" s="1315">
        <v>2100</v>
      </c>
      <c r="AV6" s="6169">
        <v>1080.8899999999999</v>
      </c>
      <c r="AW6" s="437">
        <f t="shared" ref="AW6:AW11" si="15">+AS6+AU6</f>
        <v>19266.666666666668</v>
      </c>
      <c r="AX6" s="39">
        <f t="shared" ref="AX6:AX11" si="16">+AT6+AV6</f>
        <v>38501.32</v>
      </c>
      <c r="AY6" s="1315">
        <v>2100</v>
      </c>
      <c r="AZ6" s="6387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21366.666666666668</v>
      </c>
      <c r="BF6" s="39">
        <f t="shared" ref="BF6:BF11" si="21">+AX6+AZ6</f>
        <v>45467.11</v>
      </c>
      <c r="BG6" s="1101">
        <v>21500</v>
      </c>
      <c r="BH6" s="1101">
        <v>53987.54</v>
      </c>
      <c r="BI6" s="1101">
        <v>21500</v>
      </c>
      <c r="BJ6" s="1101">
        <v>30649.839999999997</v>
      </c>
      <c r="BK6" s="1101">
        <v>25500</v>
      </c>
      <c r="BL6" s="1101">
        <v>34807.22</v>
      </c>
      <c r="BM6" s="1101">
        <v>16050</v>
      </c>
      <c r="BN6" s="1102">
        <v>33201.15</v>
      </c>
      <c r="BO6" s="1101">
        <v>0</v>
      </c>
      <c r="BP6" s="1102">
        <v>35268.25</v>
      </c>
      <c r="BQ6" s="1101">
        <v>2000</v>
      </c>
      <c r="BR6" s="1102">
        <v>28405.85</v>
      </c>
      <c r="BS6" s="3948"/>
      <c r="BT6" s="3948"/>
      <c r="BU6" s="3948"/>
      <c r="BV6" s="3948"/>
    </row>
    <row r="7" spans="1:74" ht="15" customHeight="1" x14ac:dyDescent="0.25">
      <c r="B7" s="7060" t="s">
        <v>77</v>
      </c>
      <c r="C7" s="7061" t="s">
        <v>354</v>
      </c>
      <c r="D7" s="2004">
        <v>0</v>
      </c>
      <c r="E7" s="136">
        <v>0</v>
      </c>
      <c r="F7" s="7081">
        <v>0</v>
      </c>
      <c r="G7" s="136">
        <v>0</v>
      </c>
      <c r="H7" s="7081">
        <v>0</v>
      </c>
      <c r="I7" s="437">
        <f t="shared" si="0"/>
        <v>0</v>
      </c>
      <c r="J7" s="39">
        <f t="shared" si="0"/>
        <v>0</v>
      </c>
      <c r="K7" s="4556">
        <v>0</v>
      </c>
      <c r="L7" s="4556">
        <v>0</v>
      </c>
      <c r="M7" s="68">
        <f t="shared" si="1"/>
        <v>0</v>
      </c>
      <c r="N7" s="68">
        <f t="shared" si="1"/>
        <v>0</v>
      </c>
      <c r="O7" s="4772">
        <v>0</v>
      </c>
      <c r="P7" s="4772">
        <v>0</v>
      </c>
      <c r="Q7" s="437">
        <f t="shared" si="2"/>
        <v>0</v>
      </c>
      <c r="R7" s="39">
        <f t="shared" si="3"/>
        <v>0</v>
      </c>
      <c r="S7" s="4868">
        <v>0</v>
      </c>
      <c r="T7" s="4868">
        <v>0</v>
      </c>
      <c r="U7" s="437">
        <f t="shared" si="4"/>
        <v>0</v>
      </c>
      <c r="V7" s="39">
        <f t="shared" si="5"/>
        <v>0</v>
      </c>
      <c r="W7" s="5022">
        <v>0</v>
      </c>
      <c r="X7" s="5022"/>
      <c r="Y7" s="68">
        <f t="shared" ref="Y7:Y11" si="22">+O7+S7+W7</f>
        <v>0</v>
      </c>
      <c r="Z7" s="69">
        <f t="shared" ref="Z7:Z11" si="23">+P7+T7+X7</f>
        <v>0</v>
      </c>
      <c r="AA7" s="640">
        <f t="shared" ref="AA7:AA11" si="24">+M7+Y7</f>
        <v>0</v>
      </c>
      <c r="AB7" s="640">
        <f t="shared" ref="AB7:AB11" si="25">+N7+Z7</f>
        <v>0</v>
      </c>
      <c r="AC7" s="5332">
        <v>0</v>
      </c>
      <c r="AD7" s="5332">
        <v>0</v>
      </c>
      <c r="AE7" s="437">
        <f t="shared" si="7"/>
        <v>0</v>
      </c>
      <c r="AF7" s="39">
        <f t="shared" si="8"/>
        <v>0</v>
      </c>
      <c r="AG7" s="5497">
        <v>0</v>
      </c>
      <c r="AH7" s="5497">
        <v>0</v>
      </c>
      <c r="AI7" s="437">
        <f t="shared" si="9"/>
        <v>0</v>
      </c>
      <c r="AJ7" s="39">
        <f t="shared" si="10"/>
        <v>0</v>
      </c>
      <c r="AK7" s="5906">
        <v>0</v>
      </c>
      <c r="AL7" s="5906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0</v>
      </c>
      <c r="AQ7" s="6062">
        <v>0</v>
      </c>
      <c r="AR7" s="6062">
        <v>0</v>
      </c>
      <c r="AS7" s="437">
        <f t="shared" si="13"/>
        <v>0</v>
      </c>
      <c r="AT7" s="39">
        <f t="shared" si="14"/>
        <v>0</v>
      </c>
      <c r="AU7" s="6169">
        <v>0</v>
      </c>
      <c r="AV7" s="6169">
        <v>0</v>
      </c>
      <c r="AW7" s="437">
        <f t="shared" si="15"/>
        <v>0</v>
      </c>
      <c r="AX7" s="39">
        <f t="shared" si="16"/>
        <v>0</v>
      </c>
      <c r="AY7" s="6387">
        <v>0</v>
      </c>
      <c r="AZ7" s="6387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0</v>
      </c>
      <c r="BG7" s="1101">
        <v>0</v>
      </c>
      <c r="BH7" s="1101">
        <v>322.72000000000003</v>
      </c>
      <c r="BI7" s="1101">
        <v>0</v>
      </c>
      <c r="BJ7" s="1101">
        <v>3076.2</v>
      </c>
      <c r="BK7" s="1101">
        <v>123000</v>
      </c>
      <c r="BL7" s="1101">
        <v>42263.08</v>
      </c>
      <c r="BM7" s="1101">
        <v>0</v>
      </c>
      <c r="BN7" s="1102">
        <v>71707.420000000013</v>
      </c>
      <c r="BO7" s="1101">
        <v>10800</v>
      </c>
      <c r="BP7" s="1102">
        <v>9758.5099999999966</v>
      </c>
      <c r="BQ7" s="1101">
        <v>24210</v>
      </c>
      <c r="BR7" s="1102">
        <v>5928.0949999999839</v>
      </c>
      <c r="BS7" s="3948"/>
      <c r="BT7" s="3948"/>
      <c r="BU7" s="3948"/>
      <c r="BV7" s="3948"/>
    </row>
    <row r="8" spans="1:74" ht="15" customHeight="1" x14ac:dyDescent="0.25">
      <c r="B8" s="7060" t="s">
        <v>568</v>
      </c>
      <c r="C8" s="7061" t="s">
        <v>354</v>
      </c>
      <c r="D8" s="7062">
        <v>499000.00000000006</v>
      </c>
      <c r="E8" s="7074">
        <v>42416.666666666664</v>
      </c>
      <c r="F8" s="7082">
        <v>33332.799999999996</v>
      </c>
      <c r="G8" s="7074">
        <v>43916.666666666664</v>
      </c>
      <c r="H8" s="7082">
        <v>39367.019999999997</v>
      </c>
      <c r="I8" s="437">
        <f t="shared" si="0"/>
        <v>86333.333333333328</v>
      </c>
      <c r="J8" s="39">
        <f t="shared" si="0"/>
        <v>72699.819999999992</v>
      </c>
      <c r="K8" s="4557">
        <v>29900</v>
      </c>
      <c r="L8" s="1221">
        <v>38679.249999999985</v>
      </c>
      <c r="M8" s="68">
        <f t="shared" si="1"/>
        <v>116233.33333333333</v>
      </c>
      <c r="N8" s="68">
        <f t="shared" si="1"/>
        <v>111379.06999999998</v>
      </c>
      <c r="O8" s="4778">
        <v>24900</v>
      </c>
      <c r="P8" s="1221">
        <v>41309.15</v>
      </c>
      <c r="Q8" s="437">
        <f t="shared" si="2"/>
        <v>141133.33333333331</v>
      </c>
      <c r="R8" s="39">
        <f t="shared" si="3"/>
        <v>152688.21999999997</v>
      </c>
      <c r="S8" s="4869">
        <v>45400</v>
      </c>
      <c r="T8" s="1221">
        <v>40737.790000000015</v>
      </c>
      <c r="U8" s="437">
        <f t="shared" si="4"/>
        <v>186533.33333333331</v>
      </c>
      <c r="V8" s="39">
        <f t="shared" si="5"/>
        <v>193426.00999999998</v>
      </c>
      <c r="W8" s="5026">
        <v>43800</v>
      </c>
      <c r="X8" s="1221">
        <v>42134.22</v>
      </c>
      <c r="Y8" s="68">
        <f t="shared" si="22"/>
        <v>114100</v>
      </c>
      <c r="Z8" s="69">
        <f t="shared" si="23"/>
        <v>124181.16000000002</v>
      </c>
      <c r="AA8" s="640">
        <f t="shared" si="24"/>
        <v>230333.33333333331</v>
      </c>
      <c r="AB8" s="640">
        <f t="shared" si="25"/>
        <v>235560.22999999998</v>
      </c>
      <c r="AC8" s="5337">
        <v>45400</v>
      </c>
      <c r="AD8" s="1221">
        <v>37048.140000000014</v>
      </c>
      <c r="AE8" s="437">
        <f t="shared" si="7"/>
        <v>275733.33333333331</v>
      </c>
      <c r="AF8" s="39">
        <f t="shared" si="8"/>
        <v>272608.37</v>
      </c>
      <c r="AG8" s="5498">
        <v>43900</v>
      </c>
      <c r="AH8" s="1221">
        <v>30159.91</v>
      </c>
      <c r="AI8" s="437">
        <f t="shared" si="9"/>
        <v>319633.33333333331</v>
      </c>
      <c r="AJ8" s="39">
        <f t="shared" si="10"/>
        <v>302768.27999999997</v>
      </c>
      <c r="AK8" s="5911">
        <v>45400</v>
      </c>
      <c r="AL8" s="1221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365033.33333333331</v>
      </c>
      <c r="AP8" s="437">
        <f t="shared" si="27"/>
        <v>340158.27999999997</v>
      </c>
      <c r="AQ8" s="6066">
        <v>45300</v>
      </c>
      <c r="AR8" s="1221">
        <v>37025.609999999993</v>
      </c>
      <c r="AS8" s="437">
        <f t="shared" si="13"/>
        <v>410333.33333333331</v>
      </c>
      <c r="AT8" s="39">
        <f t="shared" si="14"/>
        <v>377183.88999999996</v>
      </c>
      <c r="AU8" s="6172">
        <v>40400</v>
      </c>
      <c r="AV8" s="1221">
        <v>32967.389999999992</v>
      </c>
      <c r="AW8" s="437">
        <f t="shared" si="15"/>
        <v>450733.33333333331</v>
      </c>
      <c r="AX8" s="39">
        <f t="shared" si="16"/>
        <v>410151.27999999997</v>
      </c>
      <c r="AY8" s="6388">
        <v>45400</v>
      </c>
      <c r="AZ8" s="1221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496133.33333333331</v>
      </c>
      <c r="BF8" s="39">
        <f t="shared" si="21"/>
        <v>454988.69999999995</v>
      </c>
      <c r="BG8" s="1101">
        <v>498500</v>
      </c>
      <c r="BH8" s="1101">
        <v>459216.41</v>
      </c>
      <c r="BI8" s="1101">
        <v>498500</v>
      </c>
      <c r="BJ8" s="1101">
        <v>473494.20999999996</v>
      </c>
      <c r="BK8" s="1101">
        <v>498500</v>
      </c>
      <c r="BL8" s="1101">
        <v>453432.75</v>
      </c>
      <c r="BM8" s="1101">
        <v>498500</v>
      </c>
      <c r="BN8" s="1102">
        <v>467953.64</v>
      </c>
      <c r="BO8" s="1101">
        <v>435166.28679320007</v>
      </c>
      <c r="BP8" s="1102">
        <v>351267.01600000006</v>
      </c>
      <c r="BQ8" s="1101">
        <v>498000</v>
      </c>
      <c r="BR8" s="1102">
        <v>399090.26199999993</v>
      </c>
      <c r="BS8" s="3948"/>
      <c r="BT8" s="3948"/>
      <c r="BU8" s="3948"/>
      <c r="BV8" s="3948"/>
    </row>
    <row r="9" spans="1:74" ht="15" customHeight="1" x14ac:dyDescent="0.25">
      <c r="B9" s="7060" t="s">
        <v>569</v>
      </c>
      <c r="C9" s="7061" t="s">
        <v>354</v>
      </c>
      <c r="D9" s="7062">
        <v>900000</v>
      </c>
      <c r="E9" s="7074">
        <v>76000</v>
      </c>
      <c r="F9" s="7083">
        <v>60011.209999999992</v>
      </c>
      <c r="G9" s="7074">
        <v>79000</v>
      </c>
      <c r="H9" s="7083">
        <v>67347.899999999994</v>
      </c>
      <c r="I9" s="437">
        <f t="shared" si="0"/>
        <v>155000</v>
      </c>
      <c r="J9" s="39">
        <f t="shared" si="0"/>
        <v>127359.10999999999</v>
      </c>
      <c r="K9" s="4557">
        <v>48000</v>
      </c>
      <c r="L9" s="4557">
        <v>45346.210000000006</v>
      </c>
      <c r="M9" s="68">
        <f t="shared" si="1"/>
        <v>203000</v>
      </c>
      <c r="N9" s="68">
        <f t="shared" si="1"/>
        <v>172705.32</v>
      </c>
      <c r="O9" s="4778">
        <v>37500</v>
      </c>
      <c r="P9" s="4778">
        <v>69331.990000000005</v>
      </c>
      <c r="Q9" s="437">
        <f t="shared" si="2"/>
        <v>240500</v>
      </c>
      <c r="R9" s="39">
        <f t="shared" si="3"/>
        <v>242037.31</v>
      </c>
      <c r="S9" s="4869">
        <v>80000</v>
      </c>
      <c r="T9" s="4869">
        <v>73713.89</v>
      </c>
      <c r="U9" s="437">
        <f t="shared" si="4"/>
        <v>320500</v>
      </c>
      <c r="V9" s="39">
        <f t="shared" si="5"/>
        <v>315751.2</v>
      </c>
      <c r="W9" s="5026">
        <v>77500</v>
      </c>
      <c r="X9" s="5026">
        <v>66573.360000000015</v>
      </c>
      <c r="Y9" s="68">
        <f t="shared" si="22"/>
        <v>195000</v>
      </c>
      <c r="Z9" s="69">
        <f t="shared" si="23"/>
        <v>209619.24000000002</v>
      </c>
      <c r="AA9" s="640">
        <f t="shared" si="24"/>
        <v>398000</v>
      </c>
      <c r="AB9" s="640">
        <f t="shared" si="25"/>
        <v>382324.56000000006</v>
      </c>
      <c r="AC9" s="5337">
        <v>80000</v>
      </c>
      <c r="AD9" s="5337">
        <v>64076.47</v>
      </c>
      <c r="AE9" s="437">
        <f t="shared" si="7"/>
        <v>478000</v>
      </c>
      <c r="AF9" s="39">
        <f t="shared" si="8"/>
        <v>446401.03</v>
      </c>
      <c r="AG9" s="5498">
        <v>77500</v>
      </c>
      <c r="AH9" s="5498">
        <v>10813.23</v>
      </c>
      <c r="AI9" s="437">
        <f t="shared" si="9"/>
        <v>555500</v>
      </c>
      <c r="AJ9" s="39">
        <f t="shared" si="10"/>
        <v>457214.26</v>
      </c>
      <c r="AK9" s="5911">
        <v>80000</v>
      </c>
      <c r="AL9" s="5992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635500</v>
      </c>
      <c r="AP9" s="437">
        <f t="shared" si="27"/>
        <v>524467.26</v>
      </c>
      <c r="AQ9" s="6066">
        <v>80000</v>
      </c>
      <c r="AR9" s="6066">
        <v>70877.679999999993</v>
      </c>
      <c r="AS9" s="437">
        <f t="shared" si="13"/>
        <v>715500</v>
      </c>
      <c r="AT9" s="39">
        <f t="shared" si="14"/>
        <v>595344.93999999994</v>
      </c>
      <c r="AU9" s="6172">
        <v>72500</v>
      </c>
      <c r="AV9" s="6172">
        <v>58216.86</v>
      </c>
      <c r="AW9" s="437">
        <f t="shared" si="15"/>
        <v>788000</v>
      </c>
      <c r="AX9" s="39">
        <f t="shared" si="16"/>
        <v>653561.79999999993</v>
      </c>
      <c r="AY9" s="6388">
        <v>80000</v>
      </c>
      <c r="AZ9" s="6423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868000</v>
      </c>
      <c r="BF9" s="39">
        <f t="shared" si="21"/>
        <v>737770.22</v>
      </c>
      <c r="BG9" s="1101">
        <v>870000</v>
      </c>
      <c r="BH9" s="1101">
        <v>750184.19</v>
      </c>
      <c r="BI9" s="1101">
        <v>850000</v>
      </c>
      <c r="BJ9" s="1101">
        <v>781402.45000000007</v>
      </c>
      <c r="BK9" s="1101">
        <v>780000</v>
      </c>
      <c r="BL9" s="1101">
        <v>768402.31</v>
      </c>
      <c r="BM9" s="1101">
        <v>750000</v>
      </c>
      <c r="BN9" s="1102">
        <v>648761.89</v>
      </c>
      <c r="BO9" s="1101">
        <v>674874.74</v>
      </c>
      <c r="BP9" s="1102">
        <v>436958.46299999999</v>
      </c>
      <c r="BQ9" s="1101">
        <v>800000</v>
      </c>
      <c r="BR9" s="1102">
        <v>612890.54699999979</v>
      </c>
      <c r="BS9" s="3948"/>
      <c r="BT9" s="3948"/>
      <c r="BU9" s="3948"/>
      <c r="BV9" s="3948"/>
    </row>
    <row r="10" spans="1:74" ht="15" customHeight="1" x14ac:dyDescent="0.25">
      <c r="B10" s="7060" t="s">
        <v>570</v>
      </c>
      <c r="C10" s="7061" t="s">
        <v>354</v>
      </c>
      <c r="D10" s="7062">
        <v>750000</v>
      </c>
      <c r="E10" s="7074">
        <v>62000</v>
      </c>
      <c r="F10" s="7083">
        <v>44122.7</v>
      </c>
      <c r="G10" s="7074">
        <v>65000</v>
      </c>
      <c r="H10" s="7083">
        <v>57715.999999999985</v>
      </c>
      <c r="I10" s="437">
        <f t="shared" si="0"/>
        <v>127000</v>
      </c>
      <c r="J10" s="39">
        <f t="shared" si="0"/>
        <v>101838.69999999998</v>
      </c>
      <c r="K10" s="4557">
        <v>35000</v>
      </c>
      <c r="L10" s="4557">
        <v>23860.35</v>
      </c>
      <c r="M10" s="68">
        <f t="shared" si="1"/>
        <v>162000</v>
      </c>
      <c r="N10" s="68">
        <f t="shared" si="1"/>
        <v>125699.04999999999</v>
      </c>
      <c r="O10" s="4778">
        <v>12500</v>
      </c>
      <c r="P10" s="4778">
        <v>45789.59</v>
      </c>
      <c r="Q10" s="437">
        <f t="shared" si="2"/>
        <v>174500</v>
      </c>
      <c r="R10" s="39">
        <f t="shared" si="3"/>
        <v>171488.63999999998</v>
      </c>
      <c r="S10" s="4869">
        <v>49000</v>
      </c>
      <c r="T10" s="4869">
        <v>38854.43</v>
      </c>
      <c r="U10" s="437">
        <f t="shared" si="4"/>
        <v>223500</v>
      </c>
      <c r="V10" s="39">
        <f t="shared" si="5"/>
        <v>210343.06999999998</v>
      </c>
      <c r="W10" s="5026">
        <v>48000</v>
      </c>
      <c r="X10" s="5026">
        <v>43924.95</v>
      </c>
      <c r="Y10" s="68">
        <f t="shared" si="22"/>
        <v>109500</v>
      </c>
      <c r="Z10" s="69">
        <f t="shared" si="23"/>
        <v>128568.96999999999</v>
      </c>
      <c r="AA10" s="640">
        <f t="shared" si="24"/>
        <v>271500</v>
      </c>
      <c r="AB10" s="640">
        <f t="shared" si="25"/>
        <v>254268.01999999996</v>
      </c>
      <c r="AC10" s="5337">
        <v>54000</v>
      </c>
      <c r="AD10" s="5337">
        <v>43303.750000000007</v>
      </c>
      <c r="AE10" s="437">
        <f t="shared" si="7"/>
        <v>325500</v>
      </c>
      <c r="AF10" s="39">
        <f t="shared" si="8"/>
        <v>297571.76999999996</v>
      </c>
      <c r="AG10" s="5498">
        <v>52000</v>
      </c>
      <c r="AH10" s="5498">
        <v>15465.420000000002</v>
      </c>
      <c r="AI10" s="437">
        <f t="shared" si="9"/>
        <v>377500</v>
      </c>
      <c r="AJ10" s="39">
        <f t="shared" si="10"/>
        <v>313037.18999999994</v>
      </c>
      <c r="AK10" s="5911">
        <v>54000</v>
      </c>
      <c r="AL10" s="5992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431500</v>
      </c>
      <c r="AP10" s="437">
        <f t="shared" si="27"/>
        <v>346500.18999999994</v>
      </c>
      <c r="AQ10" s="6066">
        <v>54000</v>
      </c>
      <c r="AR10" s="6066">
        <v>44656.87999999999</v>
      </c>
      <c r="AS10" s="437">
        <f t="shared" si="13"/>
        <v>485500</v>
      </c>
      <c r="AT10" s="39">
        <f t="shared" si="14"/>
        <v>391157.06999999995</v>
      </c>
      <c r="AU10" s="6172">
        <v>48000</v>
      </c>
      <c r="AV10" s="6172">
        <v>47339.009999999987</v>
      </c>
      <c r="AW10" s="437">
        <f t="shared" si="15"/>
        <v>533500</v>
      </c>
      <c r="AX10" s="39">
        <f t="shared" si="16"/>
        <v>438496.07999999996</v>
      </c>
      <c r="AY10" s="6388">
        <v>60000</v>
      </c>
      <c r="AZ10" s="6388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593500</v>
      </c>
      <c r="BF10" s="39">
        <f t="shared" si="21"/>
        <v>506914.58999999997</v>
      </c>
      <c r="BG10" s="1101">
        <v>560000</v>
      </c>
      <c r="BH10" s="1101">
        <v>502052.01</v>
      </c>
      <c r="BI10" s="1101">
        <v>525000</v>
      </c>
      <c r="BJ10" s="1101">
        <v>452802.58999999997</v>
      </c>
      <c r="BK10" s="1101">
        <v>470000</v>
      </c>
      <c r="BL10" s="1101">
        <v>357334.79000000004</v>
      </c>
      <c r="BM10" s="1101">
        <v>445000</v>
      </c>
      <c r="BN10" s="1102">
        <v>214319.65000000002</v>
      </c>
      <c r="BO10" s="1101">
        <v>220000</v>
      </c>
      <c r="BP10" s="1102">
        <v>100400.402</v>
      </c>
      <c r="BQ10" s="1101">
        <v>535000</v>
      </c>
      <c r="BR10" s="1102">
        <v>167166.99200000003</v>
      </c>
      <c r="BS10" s="3948"/>
      <c r="BT10" s="3948"/>
      <c r="BU10" s="3948"/>
      <c r="BV10" s="3948"/>
    </row>
    <row r="11" spans="1:74" ht="15" customHeight="1" thickBot="1" x14ac:dyDescent="0.3">
      <c r="B11" s="7063" t="s">
        <v>661</v>
      </c>
      <c r="C11" s="7064" t="s">
        <v>354</v>
      </c>
      <c r="D11" s="7065">
        <v>500798.33712910977</v>
      </c>
      <c r="E11" s="7075">
        <v>46499.815368603406</v>
      </c>
      <c r="F11" s="7084">
        <v>37328.400000000001</v>
      </c>
      <c r="G11" s="7075">
        <v>46499.576671657051</v>
      </c>
      <c r="H11" s="7084">
        <v>50330.159999999996</v>
      </c>
      <c r="I11" s="437">
        <f t="shared" si="0"/>
        <v>92999.392040260456</v>
      </c>
      <c r="J11" s="39">
        <f t="shared" si="0"/>
        <v>87658.559999999998</v>
      </c>
      <c r="K11" s="234">
        <v>29529.074128061075</v>
      </c>
      <c r="L11" s="234">
        <v>22528.510000000002</v>
      </c>
      <c r="M11" s="68">
        <f t="shared" si="1"/>
        <v>122528.46616832152</v>
      </c>
      <c r="N11" s="68">
        <f t="shared" si="1"/>
        <v>110187.07</v>
      </c>
      <c r="O11" s="234">
        <v>6182.8628522060208</v>
      </c>
      <c r="P11" s="234">
        <v>55129.39</v>
      </c>
      <c r="Q11" s="437">
        <f t="shared" si="2"/>
        <v>128711.32902052754</v>
      </c>
      <c r="R11" s="39">
        <f t="shared" si="3"/>
        <v>165316.46000000002</v>
      </c>
      <c r="S11" s="234">
        <v>41452.176458270078</v>
      </c>
      <c r="T11" s="234">
        <v>58121.890000000007</v>
      </c>
      <c r="U11" s="437">
        <f t="shared" si="4"/>
        <v>170163.50547879763</v>
      </c>
      <c r="V11" s="39">
        <f t="shared" si="5"/>
        <v>223438.35000000003</v>
      </c>
      <c r="W11" s="234">
        <v>33980.589193055115</v>
      </c>
      <c r="X11" s="234">
        <v>53428.719999999987</v>
      </c>
      <c r="Y11" s="68">
        <f t="shared" si="22"/>
        <v>81615.628503531218</v>
      </c>
      <c r="Z11" s="69">
        <f t="shared" si="23"/>
        <v>166680</v>
      </c>
      <c r="AA11" s="640">
        <f t="shared" si="24"/>
        <v>204144.09467185274</v>
      </c>
      <c r="AB11" s="640">
        <f t="shared" si="25"/>
        <v>276867.07</v>
      </c>
      <c r="AC11" s="234">
        <v>45341.093867539748</v>
      </c>
      <c r="AD11" s="234">
        <v>31038.069999999996</v>
      </c>
      <c r="AE11" s="437">
        <f t="shared" si="7"/>
        <v>249485.18853939249</v>
      </c>
      <c r="AF11" s="39">
        <f t="shared" si="8"/>
        <v>307905.14</v>
      </c>
      <c r="AG11" s="234">
        <v>47680.915573301034</v>
      </c>
      <c r="AH11" s="234">
        <v>11905.300000000003</v>
      </c>
      <c r="AI11" s="437">
        <f t="shared" si="9"/>
        <v>297166.10411269352</v>
      </c>
      <c r="AJ11" s="39">
        <f t="shared" si="10"/>
        <v>319810.44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340876.19798023324</v>
      </c>
      <c r="AP11" s="437">
        <f t="shared" si="27"/>
        <v>375910.44</v>
      </c>
      <c r="AQ11" s="234">
        <v>45340.093867539748</v>
      </c>
      <c r="AR11" s="234">
        <v>82929.73</v>
      </c>
      <c r="AS11" s="437">
        <f t="shared" si="13"/>
        <v>386216.29184777301</v>
      </c>
      <c r="AT11" s="39">
        <f t="shared" si="14"/>
        <v>458840.17</v>
      </c>
      <c r="AU11" s="234">
        <v>44657.996091741865</v>
      </c>
      <c r="AV11" s="234">
        <v>49136.170000000006</v>
      </c>
      <c r="AW11" s="437">
        <f t="shared" si="15"/>
        <v>430874.28793951485</v>
      </c>
      <c r="AX11" s="39">
        <f t="shared" si="16"/>
        <v>507976.33999999997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474326.92798119708</v>
      </c>
      <c r="BF11" s="39">
        <f t="shared" si="21"/>
        <v>569682.29999999993</v>
      </c>
      <c r="BG11" s="1101">
        <v>459999.54066167952</v>
      </c>
      <c r="BH11" s="1101">
        <v>584980.47</v>
      </c>
      <c r="BI11" s="1101">
        <v>630000.01444664178</v>
      </c>
      <c r="BJ11" s="1101">
        <v>623466.16999999993</v>
      </c>
      <c r="BK11" s="1101">
        <v>513000.01387175487</v>
      </c>
      <c r="BL11" s="1101">
        <v>641816.63</v>
      </c>
      <c r="BM11" s="1101">
        <v>659950.1509075613</v>
      </c>
      <c r="BN11" s="1102">
        <v>742311.7699999999</v>
      </c>
      <c r="BO11" s="1101">
        <v>893633.77567653405</v>
      </c>
      <c r="BP11" s="1102">
        <v>944002.20799999987</v>
      </c>
      <c r="BQ11" s="1101">
        <v>547789.74093264237</v>
      </c>
      <c r="BR11" s="1102">
        <v>836451.00399999984</v>
      </c>
      <c r="BS11" s="3948"/>
      <c r="BT11" s="3948"/>
      <c r="BU11" s="3948"/>
      <c r="BV11" s="3948"/>
    </row>
    <row r="12" spans="1:74" ht="15" customHeight="1" thickBot="1" x14ac:dyDescent="0.3">
      <c r="A12" s="1277"/>
      <c r="B12" s="1998" t="s">
        <v>2</v>
      </c>
      <c r="C12" s="734" t="s">
        <v>354</v>
      </c>
      <c r="D12" s="712">
        <f>SUM(D6:D11)</f>
        <v>2674798.3371291095</v>
      </c>
      <c r="E12" s="1392">
        <f>SUM(E6:E11)</f>
        <v>228999.81536860339</v>
      </c>
      <c r="F12" s="1391">
        <f>SUM(F6:F11)</f>
        <v>175890.99999999997</v>
      </c>
      <c r="G12" s="1392">
        <f>SUM(G6:G11)</f>
        <v>236499.57667165704</v>
      </c>
      <c r="H12" s="1391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712">
        <f>SUM(K6:K11)</f>
        <v>142529.07412806107</v>
      </c>
      <c r="L12" s="712">
        <f>SUM(L6:L11)</f>
        <v>134749.32</v>
      </c>
      <c r="M12" s="455">
        <f t="shared" ref="M12:N12" si="30">SUM(M6:M11)</f>
        <v>608028.46616832155</v>
      </c>
      <c r="N12" s="401">
        <f t="shared" si="30"/>
        <v>528106.35</v>
      </c>
      <c r="O12" s="712">
        <f>SUM(O6:O11)</f>
        <v>81182.862852206017</v>
      </c>
      <c r="P12" s="712">
        <f>SUM(P6:P11)</f>
        <v>213923.21000000002</v>
      </c>
      <c r="Q12" s="455">
        <f t="shared" ref="Q12:R12" si="31">SUM(Q6:Q11)</f>
        <v>689211.32902052754</v>
      </c>
      <c r="R12" s="401">
        <f t="shared" si="31"/>
        <v>742029.56</v>
      </c>
      <c r="S12" s="712">
        <f>SUM(S6:S11)</f>
        <v>217952.17645827009</v>
      </c>
      <c r="T12" s="712">
        <f>SUM(T6:T11)</f>
        <v>216043.50000000003</v>
      </c>
      <c r="U12" s="455">
        <f t="shared" ref="U12:V12" si="32">SUM(U6:U11)</f>
        <v>907163.5054787976</v>
      </c>
      <c r="V12" s="401">
        <f t="shared" si="32"/>
        <v>958073.06</v>
      </c>
      <c r="W12" s="712">
        <f>SUM(W6:W11)</f>
        <v>205480.58919305512</v>
      </c>
      <c r="X12" s="712">
        <f>SUM(X6:X11)</f>
        <v>211146.25</v>
      </c>
      <c r="Y12" s="455">
        <f t="shared" ref="Y12:Z12" si="33">SUM(Y6:Y11)</f>
        <v>504615.62850353122</v>
      </c>
      <c r="Z12" s="401">
        <f t="shared" si="33"/>
        <v>641112.96</v>
      </c>
      <c r="AA12" s="455">
        <f t="shared" ref="AA12:AB12" si="34">SUM(AA6:AA11)</f>
        <v>1112644.0946718527</v>
      </c>
      <c r="AB12" s="401">
        <f t="shared" si="34"/>
        <v>1169219.31</v>
      </c>
      <c r="AC12" s="712">
        <f>SUM(AC6:AC11)</f>
        <v>226841.09386753975</v>
      </c>
      <c r="AD12" s="712">
        <f>SUM(AD6:AD11)</f>
        <v>179510.64</v>
      </c>
      <c r="AE12" s="455">
        <f t="shared" ref="AE12:AF12" si="35">SUM(AE6:AE11)</f>
        <v>1339485.1885393925</v>
      </c>
      <c r="AF12" s="401">
        <f t="shared" si="35"/>
        <v>1348729.9500000002</v>
      </c>
      <c r="AG12" s="712">
        <f>SUM(AG6:AG11)</f>
        <v>223180.91557330103</v>
      </c>
      <c r="AH12" s="712">
        <f>SUM(AH6:AH11)</f>
        <v>74122.210000000006</v>
      </c>
      <c r="AI12" s="455">
        <f t="shared" ref="AI12:AN12" si="36">SUM(AI6:AI11)</f>
        <v>1562666.1041126936</v>
      </c>
      <c r="AJ12" s="401">
        <f t="shared" si="36"/>
        <v>1422852.16</v>
      </c>
      <c r="AK12" s="712">
        <f>SUM(AK6:AK11)</f>
        <v>225210.09386753975</v>
      </c>
      <c r="AL12" s="712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1787876.1979802332</v>
      </c>
      <c r="AP12" s="401">
        <f t="shared" si="37"/>
        <v>1620970.16</v>
      </c>
      <c r="AQ12" s="712">
        <f>SUM(AQ6:AQ11)</f>
        <v>226840.09386753975</v>
      </c>
      <c r="AR12" s="712">
        <f>SUM(AR6:AR11)</f>
        <v>238976.33999999997</v>
      </c>
      <c r="AS12" s="455">
        <f t="shared" ref="AS12:AT12" si="38">SUM(AS6:AS11)</f>
        <v>2014716.2918477729</v>
      </c>
      <c r="AT12" s="401">
        <f t="shared" si="38"/>
        <v>1859946.4999999998</v>
      </c>
      <c r="AU12" s="712">
        <f>SUM(AU6:AU11)</f>
        <v>207657.99609174186</v>
      </c>
      <c r="AV12" s="712">
        <f>SUM(AV6:AV11)</f>
        <v>188740.31999999998</v>
      </c>
      <c r="AW12" s="455">
        <f t="shared" ref="AW12:AX12" si="39">SUM(AW6:AW11)</f>
        <v>2222374.287939515</v>
      </c>
      <c r="AX12" s="401">
        <f t="shared" si="39"/>
        <v>2048686.8199999998</v>
      </c>
      <c r="AY12" s="712">
        <f>SUM(AY6:AY11)</f>
        <v>230952.64004168223</v>
      </c>
      <c r="AZ12" s="712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2453326.9279811969</v>
      </c>
      <c r="BF12" s="401">
        <f t="shared" si="41"/>
        <v>2314822.9199999995</v>
      </c>
      <c r="BG12" s="455">
        <v>2409999.5406616796</v>
      </c>
      <c r="BH12" s="1392">
        <v>2350743.34</v>
      </c>
      <c r="BI12" s="455">
        <v>2525000.0144466418</v>
      </c>
      <c r="BJ12" s="1392">
        <v>2364891.46</v>
      </c>
      <c r="BK12" s="455">
        <v>2410000.013871755</v>
      </c>
      <c r="BL12" s="1392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3948"/>
      <c r="BT12" s="3948"/>
      <c r="BU12" s="3948"/>
      <c r="BV12" s="3948"/>
    </row>
    <row r="13" spans="1:74" ht="96.75" hidden="1" customHeight="1" thickBot="1" x14ac:dyDescent="0.3">
      <c r="A13" s="1277"/>
      <c r="B13" s="7066" t="s">
        <v>1122</v>
      </c>
      <c r="C13" s="7067"/>
      <c r="D13" s="7068" t="s">
        <v>1185</v>
      </c>
      <c r="E13" s="7068" t="s">
        <v>1186</v>
      </c>
      <c r="F13" s="7085"/>
      <c r="G13" s="7068" t="s">
        <v>1186</v>
      </c>
      <c r="H13" s="7085"/>
      <c r="I13" s="527"/>
      <c r="J13" s="527"/>
      <c r="K13" s="4362" t="s">
        <v>1186</v>
      </c>
      <c r="L13" s="1604"/>
      <c r="M13" s="527"/>
      <c r="N13" s="527"/>
      <c r="O13" s="4362" t="s">
        <v>1186</v>
      </c>
      <c r="P13" s="1604"/>
      <c r="Q13" s="527"/>
      <c r="R13" s="527"/>
      <c r="S13" s="4362" t="s">
        <v>1186</v>
      </c>
      <c r="T13" s="1604"/>
      <c r="U13" s="527"/>
      <c r="V13" s="527"/>
      <c r="W13" s="4362" t="s">
        <v>1186</v>
      </c>
      <c r="X13" s="1604"/>
      <c r="Y13" s="527"/>
      <c r="Z13" s="527"/>
      <c r="AA13" s="527"/>
      <c r="AB13" s="710"/>
      <c r="AC13" s="4362" t="s">
        <v>1186</v>
      </c>
      <c r="AD13" s="1604"/>
      <c r="AE13" s="527"/>
      <c r="AF13" s="527"/>
      <c r="AG13" s="4362" t="s">
        <v>1186</v>
      </c>
      <c r="AH13" s="1604"/>
      <c r="AI13" s="527"/>
      <c r="AJ13" s="527"/>
      <c r="AK13" s="4362" t="s">
        <v>1186</v>
      </c>
      <c r="AL13" s="1604"/>
      <c r="AM13" s="527"/>
      <c r="AN13" s="527"/>
      <c r="AO13" s="527"/>
      <c r="AP13" s="527"/>
      <c r="AQ13" s="4362" t="s">
        <v>1186</v>
      </c>
      <c r="AR13" s="1604"/>
      <c r="AS13" s="527"/>
      <c r="AT13" s="527"/>
      <c r="AU13" s="4362" t="s">
        <v>1186</v>
      </c>
      <c r="AV13" s="1604"/>
      <c r="AW13" s="527"/>
      <c r="AX13" s="527"/>
      <c r="AY13" s="4362" t="s">
        <v>1186</v>
      </c>
      <c r="AZ13" s="1604"/>
      <c r="BA13" s="527"/>
      <c r="BB13" s="527"/>
      <c r="BC13" s="527"/>
      <c r="BD13" s="710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3948"/>
      <c r="BT13" s="3948"/>
      <c r="BU13" s="3948"/>
      <c r="BV13" s="3948"/>
    </row>
    <row r="14" spans="1:74" ht="15" customHeight="1" thickBot="1" x14ac:dyDescent="0.3">
      <c r="A14" s="1277"/>
      <c r="B14" s="1999" t="s">
        <v>351</v>
      </c>
      <c r="C14" s="1989"/>
      <c r="D14" s="187"/>
      <c r="E14" s="188"/>
      <c r="F14" s="2131"/>
      <c r="G14" s="188"/>
      <c r="H14" s="2131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8"/>
      <c r="BG14" s="188"/>
      <c r="BH14" s="188"/>
      <c r="BI14" s="188"/>
      <c r="BJ14" s="188"/>
      <c r="BK14" s="188"/>
      <c r="BL14" s="188"/>
      <c r="BM14" s="1668"/>
      <c r="BN14" s="188"/>
      <c r="BO14" s="188"/>
      <c r="BP14" s="188"/>
      <c r="BQ14" s="188"/>
      <c r="BR14" s="188"/>
      <c r="BS14" s="3948"/>
      <c r="BT14" s="3948"/>
      <c r="BU14" s="3948"/>
      <c r="BV14" s="3948"/>
    </row>
    <row r="15" spans="1:74" ht="15" customHeight="1" thickBot="1" x14ac:dyDescent="0.3">
      <c r="B15" s="2000" t="s">
        <v>77</v>
      </c>
      <c r="C15" s="759" t="s">
        <v>354</v>
      </c>
      <c r="D15" s="7348">
        <f>+D12</f>
        <v>2674798.3371291095</v>
      </c>
      <c r="E15" s="7380">
        <f>+E12</f>
        <v>228999.81536860339</v>
      </c>
      <c r="F15" s="7086">
        <f>+F7</f>
        <v>0</v>
      </c>
      <c r="G15" s="7380">
        <f>+G12</f>
        <v>236499.57667165704</v>
      </c>
      <c r="H15" s="7086">
        <f>+H7</f>
        <v>0</v>
      </c>
      <c r="I15" s="7365">
        <f>+E15+G15</f>
        <v>465499.39204026043</v>
      </c>
      <c r="J15" s="1990">
        <f>+F15+H15</f>
        <v>0</v>
      </c>
      <c r="K15" s="7348">
        <f>+K12</f>
        <v>142529.07412806107</v>
      </c>
      <c r="L15" s="451">
        <f>+L7</f>
        <v>0</v>
      </c>
      <c r="M15" s="7384">
        <f>+E15+G15+K15</f>
        <v>608028.46616832144</v>
      </c>
      <c r="N15" s="1991">
        <f>+F15+H15+L15</f>
        <v>0</v>
      </c>
      <c r="O15" s="7348">
        <f>+O12</f>
        <v>81182.862852206017</v>
      </c>
      <c r="P15" s="451">
        <f>+P7</f>
        <v>0</v>
      </c>
      <c r="Q15" s="7365">
        <f>+M15+O15</f>
        <v>689211.32902052742</v>
      </c>
      <c r="R15" s="1990">
        <f>+N15+P15</f>
        <v>0</v>
      </c>
      <c r="S15" s="7348">
        <f>+S12</f>
        <v>217952.17645827009</v>
      </c>
      <c r="T15" s="451">
        <f>+T7</f>
        <v>0</v>
      </c>
      <c r="U15" s="7365">
        <f>+Q15+S15</f>
        <v>907163.50547879748</v>
      </c>
      <c r="V15" s="1990">
        <f>+R15+T15</f>
        <v>0</v>
      </c>
      <c r="W15" s="7348">
        <f>+W12</f>
        <v>205480.58919305512</v>
      </c>
      <c r="X15" s="451">
        <f>+X7</f>
        <v>0</v>
      </c>
      <c r="Y15" s="7351">
        <f>+O15+S15+W15</f>
        <v>504615.62850353122</v>
      </c>
      <c r="Z15" s="73">
        <f>+P15+T15+X15</f>
        <v>0</v>
      </c>
      <c r="AA15" s="7356">
        <f>+M15+Y15</f>
        <v>1112644.0946718527</v>
      </c>
      <c r="AB15" s="715">
        <f>+N15+Z15</f>
        <v>0</v>
      </c>
      <c r="AC15" s="7348">
        <f>+AC12</f>
        <v>226841.09386753975</v>
      </c>
      <c r="AD15" s="451">
        <f>+AD7</f>
        <v>0</v>
      </c>
      <c r="AE15" s="7365">
        <f>+AA15+AC15</f>
        <v>1339485.1885393923</v>
      </c>
      <c r="AF15" s="1990">
        <f>+AB15+AD15</f>
        <v>0</v>
      </c>
      <c r="AG15" s="7348">
        <f>+AG12</f>
        <v>223180.91557330103</v>
      </c>
      <c r="AH15" s="451">
        <f>+AH7</f>
        <v>0</v>
      </c>
      <c r="AI15" s="7365">
        <f>+AE15+AG15</f>
        <v>1562666.1041126933</v>
      </c>
      <c r="AJ15" s="1990">
        <f>+AF15+AH15</f>
        <v>0</v>
      </c>
      <c r="AK15" s="7348">
        <f>+AK12</f>
        <v>225210.09386753975</v>
      </c>
      <c r="AL15" s="451">
        <f>+AL7</f>
        <v>0</v>
      </c>
      <c r="AM15" s="7351">
        <f>+AC15+AG15+AK15</f>
        <v>675232.10330838058</v>
      </c>
      <c r="AN15" s="73">
        <f>+AD15+AH15+AL15</f>
        <v>0</v>
      </c>
      <c r="AO15" s="7365">
        <f>AI15+AK15</f>
        <v>1787876.197980233</v>
      </c>
      <c r="AP15" s="437">
        <f t="shared" ref="AP15:AP19" si="42">AJ15+AL15</f>
        <v>0</v>
      </c>
      <c r="AQ15" s="7348">
        <f>+AQ12</f>
        <v>226840.09386753975</v>
      </c>
      <c r="AR15" s="451">
        <f>+AR7</f>
        <v>0</v>
      </c>
      <c r="AS15" s="7365">
        <f>+AO15+AQ15</f>
        <v>2014716.2918477727</v>
      </c>
      <c r="AT15" s="1990">
        <f>+AP15+AR15</f>
        <v>0</v>
      </c>
      <c r="AU15" s="7348">
        <f>+AU12</f>
        <v>207657.99609174186</v>
      </c>
      <c r="AV15" s="451">
        <f>+AV7</f>
        <v>0</v>
      </c>
      <c r="AW15" s="7365">
        <f>+AS15+AU15</f>
        <v>2222374.2879395145</v>
      </c>
      <c r="AX15" s="1990">
        <f>+AT15+AV15</f>
        <v>0</v>
      </c>
      <c r="AY15" s="7348">
        <f>+AY12</f>
        <v>230952.64004168223</v>
      </c>
      <c r="AZ15" s="451">
        <f>+AZ7</f>
        <v>0</v>
      </c>
      <c r="BA15" s="7351">
        <f>+AQ15+AU15+AY15</f>
        <v>665450.7300009639</v>
      </c>
      <c r="BB15" s="73">
        <f>+AR15+AV15+AZ15</f>
        <v>0</v>
      </c>
      <c r="BC15" s="7356">
        <f>+AM15+BA15</f>
        <v>1340682.8333093445</v>
      </c>
      <c r="BD15" s="640">
        <f t="shared" ref="BD15:BD19" si="43">AN15+BB15</f>
        <v>0</v>
      </c>
      <c r="BE15" s="7365">
        <f>+AW15+AY15</f>
        <v>2453326.9279811969</v>
      </c>
      <c r="BF15" s="1990">
        <f>+AX15+AZ15</f>
        <v>0</v>
      </c>
      <c r="BG15" s="7359">
        <v>2409999.5406616796</v>
      </c>
      <c r="BH15" s="1979">
        <v>322.72000000000003</v>
      </c>
      <c r="BI15" s="7359">
        <v>2525000.0144466418</v>
      </c>
      <c r="BJ15" s="1979">
        <v>3076.2</v>
      </c>
      <c r="BK15" s="7359">
        <v>2410000.013871755</v>
      </c>
      <c r="BL15" s="1979">
        <v>42263.08</v>
      </c>
      <c r="BM15" s="7344">
        <v>2369500.1509075612</v>
      </c>
      <c r="BN15" s="1979">
        <v>71707.420000000013</v>
      </c>
      <c r="BO15" s="7338">
        <v>2234474.8024697341</v>
      </c>
      <c r="BP15" s="1979">
        <v>9758.5099999999966</v>
      </c>
      <c r="BQ15" s="7338">
        <f>+BQ12</f>
        <v>2406999.7409326425</v>
      </c>
      <c r="BR15" s="1979">
        <v>5928.2490000000007</v>
      </c>
      <c r="BS15" s="3948"/>
      <c r="BT15" s="3948"/>
      <c r="BU15" s="3948"/>
      <c r="BV15" s="3948"/>
    </row>
    <row r="16" spans="1:74" ht="15" customHeight="1" thickBot="1" x14ac:dyDescent="0.3">
      <c r="B16" s="7060" t="s">
        <v>75</v>
      </c>
      <c r="C16" s="7069" t="s">
        <v>354</v>
      </c>
      <c r="D16" s="7349"/>
      <c r="E16" s="7381"/>
      <c r="F16" s="7083">
        <v>121879.79999999997</v>
      </c>
      <c r="G16" s="7381"/>
      <c r="H16" s="7083">
        <v>138747.00999999995</v>
      </c>
      <c r="I16" s="7366"/>
      <c r="J16" s="528">
        <f>+F16+H16</f>
        <v>260626.80999999994</v>
      </c>
      <c r="K16" s="7349"/>
      <c r="L16" s="4558">
        <v>93749.81</v>
      </c>
      <c r="M16" s="7385"/>
      <c r="N16" s="1987">
        <f>+F16+H16+L16</f>
        <v>354376.61999999994</v>
      </c>
      <c r="O16" s="7349"/>
      <c r="P16" s="4783">
        <v>132453.96000000002</v>
      </c>
      <c r="Q16" s="7366"/>
      <c r="R16" s="528">
        <f>+N16+P16</f>
        <v>486830.57999999996</v>
      </c>
      <c r="S16" s="7349"/>
      <c r="T16" s="4871">
        <v>130382.84000000003</v>
      </c>
      <c r="U16" s="7366"/>
      <c r="V16" s="528">
        <f>+R16+T16</f>
        <v>617213.41999999993</v>
      </c>
      <c r="W16" s="7349"/>
      <c r="X16" s="5029">
        <v>153397.97</v>
      </c>
      <c r="Y16" s="7352"/>
      <c r="Z16" s="73">
        <f t="shared" ref="Z16:Z19" si="44">+P16+T16+X16</f>
        <v>416234.77</v>
      </c>
      <c r="AA16" s="7357"/>
      <c r="AB16" s="715">
        <f t="shared" ref="AB16:AB19" si="45">+N16+Z16</f>
        <v>770611.3899999999</v>
      </c>
      <c r="AC16" s="7349"/>
      <c r="AD16" s="5342">
        <v>116531.94000000002</v>
      </c>
      <c r="AE16" s="7366"/>
      <c r="AF16" s="528">
        <f>+AB16+AD16</f>
        <v>887143.33</v>
      </c>
      <c r="AG16" s="7349"/>
      <c r="AH16" s="5499">
        <v>55204.140000000007</v>
      </c>
      <c r="AI16" s="7366"/>
      <c r="AJ16" s="528">
        <f>+AF16+AH16</f>
        <v>942347.47</v>
      </c>
      <c r="AK16" s="7349"/>
      <c r="AL16" s="5993">
        <v>139405.21</v>
      </c>
      <c r="AM16" s="7352"/>
      <c r="AN16" s="73">
        <f t="shared" ref="AN16:AN19" si="46">+AD16+AH16+AL16</f>
        <v>311141.29000000004</v>
      </c>
      <c r="AO16" s="7366"/>
      <c r="AP16" s="437">
        <f t="shared" si="42"/>
        <v>1081752.68</v>
      </c>
      <c r="AQ16" s="7349"/>
      <c r="AR16" s="6070">
        <v>171765.58</v>
      </c>
      <c r="AS16" s="7366"/>
      <c r="AT16" s="528">
        <f>+AP16+AR16</f>
        <v>1253518.26</v>
      </c>
      <c r="AU16" s="7349"/>
      <c r="AV16" s="6175">
        <v>136540.59</v>
      </c>
      <c r="AW16" s="7366"/>
      <c r="AX16" s="528">
        <f>+AT16+AV16</f>
        <v>1390058.85</v>
      </c>
      <c r="AY16" s="7349"/>
      <c r="AZ16" s="6390">
        <v>189752.73999999996</v>
      </c>
      <c r="BA16" s="7352"/>
      <c r="BB16" s="73">
        <f t="shared" ref="BB16:BB19" si="47">+AR16+AV16+AZ16</f>
        <v>498058.90999999992</v>
      </c>
      <c r="BC16" s="7357"/>
      <c r="BD16" s="640">
        <f t="shared" si="43"/>
        <v>809200.2</v>
      </c>
      <c r="BE16" s="7366"/>
      <c r="BF16" s="528">
        <f>+AX16+AZ16</f>
        <v>1579811.59</v>
      </c>
      <c r="BG16" s="7360"/>
      <c r="BH16" s="1977">
        <v>1620104.8800000001</v>
      </c>
      <c r="BI16" s="7360"/>
      <c r="BJ16" s="1977">
        <v>1443296.0299999998</v>
      </c>
      <c r="BK16" s="7360"/>
      <c r="BL16" s="1977">
        <v>1325226.6500000001</v>
      </c>
      <c r="BM16" s="7345"/>
      <c r="BN16" s="1977">
        <v>1097093.1499999999</v>
      </c>
      <c r="BO16" s="7339"/>
      <c r="BP16" s="1977">
        <v>691326.51799999992</v>
      </c>
      <c r="BQ16" s="7339"/>
      <c r="BR16" s="1977">
        <v>569419.82700000005</v>
      </c>
      <c r="BS16" s="3948"/>
      <c r="BT16" s="3948"/>
      <c r="BU16" s="3948"/>
      <c r="BV16" s="3948"/>
    </row>
    <row r="17" spans="2:74" ht="15" customHeight="1" thickBot="1" x14ac:dyDescent="0.3">
      <c r="B17" s="7060" t="s">
        <v>76</v>
      </c>
      <c r="C17" s="7069" t="s">
        <v>354</v>
      </c>
      <c r="D17" s="7349"/>
      <c r="E17" s="7381"/>
      <c r="F17" s="7083">
        <v>48531.65</v>
      </c>
      <c r="G17" s="7381"/>
      <c r="H17" s="7083">
        <v>73085.040000000008</v>
      </c>
      <c r="I17" s="7366"/>
      <c r="J17" s="528">
        <f>+F17+H17</f>
        <v>121616.69</v>
      </c>
      <c r="K17" s="7349"/>
      <c r="L17" s="4558">
        <v>36624.69</v>
      </c>
      <c r="M17" s="7385"/>
      <c r="N17" s="1987">
        <f>+F17+H17+L17</f>
        <v>158241.38</v>
      </c>
      <c r="O17" s="7349"/>
      <c r="P17" s="4783">
        <v>79067.16</v>
      </c>
      <c r="Q17" s="7366"/>
      <c r="R17" s="528">
        <f>+N17+P17</f>
        <v>237308.54</v>
      </c>
      <c r="S17" s="7349"/>
      <c r="T17" s="4871">
        <v>77925.77</v>
      </c>
      <c r="U17" s="7366"/>
      <c r="V17" s="528">
        <f>+R17+T17</f>
        <v>315234.31</v>
      </c>
      <c r="W17" s="7349"/>
      <c r="X17" s="5029">
        <v>51623.670000000006</v>
      </c>
      <c r="Y17" s="7352"/>
      <c r="Z17" s="73">
        <f t="shared" si="44"/>
        <v>208616.6</v>
      </c>
      <c r="AA17" s="7357"/>
      <c r="AB17" s="715">
        <f t="shared" si="45"/>
        <v>366857.98</v>
      </c>
      <c r="AC17" s="7349"/>
      <c r="AD17" s="5342">
        <v>56105</v>
      </c>
      <c r="AE17" s="7366"/>
      <c r="AF17" s="528">
        <f>+AB17+AD17</f>
        <v>422962.98</v>
      </c>
      <c r="AG17" s="7349"/>
      <c r="AH17" s="5499">
        <v>12954.53</v>
      </c>
      <c r="AI17" s="7366"/>
      <c r="AJ17" s="528">
        <f>+AF17+AH17</f>
        <v>435917.51</v>
      </c>
      <c r="AK17" s="7349"/>
      <c r="AL17" s="5993">
        <v>54572.320000000007</v>
      </c>
      <c r="AM17" s="7352"/>
      <c r="AN17" s="73">
        <f t="shared" si="46"/>
        <v>123631.85</v>
      </c>
      <c r="AO17" s="7366"/>
      <c r="AP17" s="437">
        <f t="shared" si="42"/>
        <v>490489.83</v>
      </c>
      <c r="AQ17" s="7349"/>
      <c r="AR17" s="6070">
        <v>60538.109999999993</v>
      </c>
      <c r="AS17" s="7366"/>
      <c r="AT17" s="528">
        <f>+AP17+AR17</f>
        <v>551027.94000000006</v>
      </c>
      <c r="AU17" s="7349"/>
      <c r="AV17" s="6175">
        <v>51118.84</v>
      </c>
      <c r="AW17" s="7366"/>
      <c r="AX17" s="528">
        <f>+AT17+AV17</f>
        <v>602146.78</v>
      </c>
      <c r="AY17" s="7349"/>
      <c r="AZ17" s="6390">
        <v>68622.95</v>
      </c>
      <c r="BA17" s="7352"/>
      <c r="BB17" s="73">
        <f t="shared" si="47"/>
        <v>180279.89999999997</v>
      </c>
      <c r="BC17" s="7357"/>
      <c r="BD17" s="640">
        <f t="shared" si="43"/>
        <v>303911.75</v>
      </c>
      <c r="BE17" s="7366"/>
      <c r="BF17" s="528">
        <f>+AX17+AZ17</f>
        <v>670769.73</v>
      </c>
      <c r="BG17" s="7360"/>
      <c r="BH17" s="1977">
        <v>662107.03</v>
      </c>
      <c r="BI17" s="7360"/>
      <c r="BJ17" s="1977">
        <v>829404.40000000014</v>
      </c>
      <c r="BK17" s="7360"/>
      <c r="BL17" s="1977">
        <v>809005.30999999994</v>
      </c>
      <c r="BM17" s="7345"/>
      <c r="BN17" s="1977">
        <v>567271.22</v>
      </c>
      <c r="BO17" s="7339"/>
      <c r="BP17" s="1977">
        <v>479205.15300000005</v>
      </c>
      <c r="BQ17" s="7339"/>
      <c r="BR17" s="1977">
        <v>909567.00199999986</v>
      </c>
      <c r="BS17" s="3948"/>
      <c r="BT17" s="3948"/>
      <c r="BU17" s="3948"/>
      <c r="BV17" s="3948"/>
    </row>
    <row r="18" spans="2:74" ht="15" customHeight="1" thickBot="1" x14ac:dyDescent="0.3">
      <c r="B18" s="7063" t="s">
        <v>1870</v>
      </c>
      <c r="C18" s="7069" t="s">
        <v>354</v>
      </c>
      <c r="D18" s="7349"/>
      <c r="E18" s="7381"/>
      <c r="F18" s="7083">
        <f>+F6</f>
        <v>1095.8900000000001</v>
      </c>
      <c r="G18" s="7381"/>
      <c r="H18" s="7083">
        <f>+H6</f>
        <v>2704.95</v>
      </c>
      <c r="I18" s="7366"/>
      <c r="J18" s="528">
        <f>+F18+H18</f>
        <v>3800.84</v>
      </c>
      <c r="K18" s="7349"/>
      <c r="L18" s="4558">
        <f>+L6</f>
        <v>4335</v>
      </c>
      <c r="M18" s="7385"/>
      <c r="N18" s="1987">
        <f>+F18+H18+L18</f>
        <v>8135.84</v>
      </c>
      <c r="O18" s="7349"/>
      <c r="P18" s="4783">
        <f>+P6</f>
        <v>2363.09</v>
      </c>
      <c r="Q18" s="7366"/>
      <c r="R18" s="528">
        <f>+N18+P18</f>
        <v>10498.93</v>
      </c>
      <c r="S18" s="7349"/>
      <c r="T18" s="4871">
        <f>+T6</f>
        <v>4615.5</v>
      </c>
      <c r="U18" s="7366"/>
      <c r="V18" s="528">
        <f>+R18+T18</f>
        <v>15114.43</v>
      </c>
      <c r="W18" s="7349"/>
      <c r="X18" s="5029">
        <f>+X6</f>
        <v>5085</v>
      </c>
      <c r="Y18" s="7352"/>
      <c r="Z18" s="73">
        <f t="shared" si="44"/>
        <v>12063.59</v>
      </c>
      <c r="AA18" s="7357"/>
      <c r="AB18" s="715">
        <f t="shared" si="45"/>
        <v>20199.43</v>
      </c>
      <c r="AC18" s="7349"/>
      <c r="AD18" s="5342">
        <f>+AD6</f>
        <v>4044.2099999999996</v>
      </c>
      <c r="AE18" s="7366"/>
      <c r="AF18" s="528">
        <f>+AB18+AD18</f>
        <v>24243.64</v>
      </c>
      <c r="AG18" s="7349"/>
      <c r="AH18" s="5499">
        <f>+AH6</f>
        <v>5778.3499999999995</v>
      </c>
      <c r="AI18" s="7366"/>
      <c r="AJ18" s="528">
        <f>+AF18+AH18</f>
        <v>30021.989999999998</v>
      </c>
      <c r="AK18" s="7349"/>
      <c r="AL18" s="5915">
        <f>+AL6</f>
        <v>3912</v>
      </c>
      <c r="AM18" s="7352"/>
      <c r="AN18" s="73">
        <f t="shared" si="46"/>
        <v>13734.56</v>
      </c>
      <c r="AO18" s="7366"/>
      <c r="AP18" s="437">
        <f t="shared" si="42"/>
        <v>33933.99</v>
      </c>
      <c r="AQ18" s="7349"/>
      <c r="AR18" s="6070">
        <f>+AR6</f>
        <v>3486.44</v>
      </c>
      <c r="AS18" s="7366"/>
      <c r="AT18" s="528">
        <f>+AP18+AR18</f>
        <v>37420.43</v>
      </c>
      <c r="AU18" s="7349"/>
      <c r="AV18" s="6175">
        <f>+AV6</f>
        <v>1080.8899999999999</v>
      </c>
      <c r="AW18" s="7366"/>
      <c r="AX18" s="528">
        <f>+AT18+AV18</f>
        <v>38501.32</v>
      </c>
      <c r="AY18" s="7349"/>
      <c r="AZ18" s="6390">
        <f>+AZ6</f>
        <v>6965.79</v>
      </c>
      <c r="BA18" s="7352"/>
      <c r="BB18" s="73">
        <f t="shared" si="47"/>
        <v>11533.119999999999</v>
      </c>
      <c r="BC18" s="7357"/>
      <c r="BD18" s="640">
        <f t="shared" si="43"/>
        <v>25267.68</v>
      </c>
      <c r="BE18" s="7366"/>
      <c r="BF18" s="528">
        <f>+AX18+AZ18</f>
        <v>45467.11</v>
      </c>
      <c r="BG18" s="7360"/>
      <c r="BH18" s="1977">
        <v>53987.54</v>
      </c>
      <c r="BI18" s="7360"/>
      <c r="BJ18" s="1977">
        <v>30649.839999999997</v>
      </c>
      <c r="BK18" s="7360"/>
      <c r="BL18" s="1977">
        <v>34807.22</v>
      </c>
      <c r="BM18" s="7345"/>
      <c r="BN18" s="1977">
        <v>33201.15</v>
      </c>
      <c r="BO18" s="7339"/>
      <c r="BP18" s="1977">
        <v>35268.25</v>
      </c>
      <c r="BQ18" s="7339"/>
      <c r="BR18" s="1977">
        <v>28405.85</v>
      </c>
      <c r="BS18" s="3948"/>
      <c r="BT18" s="3948"/>
      <c r="BU18" s="3948"/>
      <c r="BV18" s="3948"/>
    </row>
    <row r="19" spans="2:74" ht="15" customHeight="1" thickBot="1" x14ac:dyDescent="0.3">
      <c r="B19" s="7063" t="s">
        <v>1187</v>
      </c>
      <c r="C19" s="7070" t="s">
        <v>354</v>
      </c>
      <c r="D19" s="7350"/>
      <c r="E19" s="7382"/>
      <c r="F19" s="7083">
        <v>4383.6600000000008</v>
      </c>
      <c r="G19" s="7382"/>
      <c r="H19" s="7083">
        <v>2929.0299999999993</v>
      </c>
      <c r="I19" s="7366"/>
      <c r="J19" s="528">
        <f>+F19+H19</f>
        <v>7312.6900000000005</v>
      </c>
      <c r="K19" s="7350"/>
      <c r="L19" s="4558">
        <v>39.82</v>
      </c>
      <c r="M19" s="7386"/>
      <c r="N19" s="1987">
        <f>+F19+H19+L19</f>
        <v>7352.51</v>
      </c>
      <c r="O19" s="7350"/>
      <c r="P19" s="4783">
        <v>39</v>
      </c>
      <c r="Q19" s="7366"/>
      <c r="R19" s="528">
        <f>+N19+P19</f>
        <v>7391.51</v>
      </c>
      <c r="S19" s="7350"/>
      <c r="T19" s="4871">
        <v>3119.3900000000008</v>
      </c>
      <c r="U19" s="7366"/>
      <c r="V19" s="528">
        <f>+R19+T19</f>
        <v>10510.900000000001</v>
      </c>
      <c r="W19" s="7350"/>
      <c r="X19" s="5029">
        <v>1039.6100000000001</v>
      </c>
      <c r="Y19" s="7352"/>
      <c r="Z19" s="73">
        <f t="shared" si="44"/>
        <v>4198.0000000000009</v>
      </c>
      <c r="AA19" s="7357"/>
      <c r="AB19" s="715">
        <f t="shared" si="45"/>
        <v>11550.510000000002</v>
      </c>
      <c r="AC19" s="7350"/>
      <c r="AD19" s="5342">
        <v>2829.4900000000002</v>
      </c>
      <c r="AE19" s="7366"/>
      <c r="AF19" s="528">
        <f>+AB19+AD19</f>
        <v>14380.000000000002</v>
      </c>
      <c r="AG19" s="7350"/>
      <c r="AH19" s="5499">
        <v>185.19</v>
      </c>
      <c r="AI19" s="7366"/>
      <c r="AJ19" s="528">
        <f>+AF19+AH19</f>
        <v>14565.190000000002</v>
      </c>
      <c r="AK19" s="7350"/>
      <c r="AL19" s="5993">
        <v>228.3</v>
      </c>
      <c r="AM19" s="7352"/>
      <c r="AN19" s="73">
        <f t="shared" si="46"/>
        <v>3242.9800000000005</v>
      </c>
      <c r="AO19" s="7366"/>
      <c r="AP19" s="437">
        <f t="shared" si="42"/>
        <v>14793.490000000002</v>
      </c>
      <c r="AQ19" s="7350"/>
      <c r="AR19" s="6070">
        <v>3186.2100000000009</v>
      </c>
      <c r="AS19" s="7366"/>
      <c r="AT19" s="528">
        <f>+AP19+AR19</f>
        <v>17979.700000000004</v>
      </c>
      <c r="AU19" s="7350"/>
      <c r="AV19" s="6175">
        <v>0</v>
      </c>
      <c r="AW19" s="7366"/>
      <c r="AX19" s="528">
        <f>+AT19+AV19</f>
        <v>17979.700000000004</v>
      </c>
      <c r="AY19" s="7350"/>
      <c r="AZ19" s="6390">
        <v>794.61999999999989</v>
      </c>
      <c r="BA19" s="7352"/>
      <c r="BB19" s="73">
        <f t="shared" si="47"/>
        <v>3980.8300000000008</v>
      </c>
      <c r="BC19" s="7357"/>
      <c r="BD19" s="640">
        <f t="shared" si="43"/>
        <v>7223.8100000000013</v>
      </c>
      <c r="BE19" s="7366"/>
      <c r="BF19" s="528">
        <f>+AX19+AZ19</f>
        <v>18774.320000000003</v>
      </c>
      <c r="BG19" s="7361"/>
      <c r="BH19" s="1977">
        <v>14221</v>
      </c>
      <c r="BI19" s="7361"/>
      <c r="BJ19" s="1977">
        <v>58464.989999999991</v>
      </c>
      <c r="BK19" s="7361"/>
      <c r="BL19" s="1977">
        <v>86754.520000000019</v>
      </c>
      <c r="BM19" s="7345"/>
      <c r="BN19" s="1977">
        <v>408982.57999999996</v>
      </c>
      <c r="BO19" s="7339"/>
      <c r="BP19" s="1977">
        <v>662096.97799999977</v>
      </c>
      <c r="BQ19" s="7339"/>
      <c r="BR19" s="1977">
        <v>536611.97599999979</v>
      </c>
      <c r="BS19" s="3948"/>
      <c r="BT19" s="3948"/>
      <c r="BU19" s="3948"/>
      <c r="BV19" s="3948"/>
    </row>
    <row r="20" spans="2:74" ht="15" customHeight="1" thickBot="1" x14ac:dyDescent="0.3">
      <c r="B20" s="278" t="s">
        <v>1455</v>
      </c>
      <c r="C20" s="104" t="s">
        <v>49</v>
      </c>
      <c r="D20" s="1985"/>
      <c r="E20" s="7076"/>
      <c r="F20" s="7087">
        <f>+((F16+F18+F15+F19)/F12)*100</f>
        <v>72.408110704925207</v>
      </c>
      <c r="G20" s="7076"/>
      <c r="H20" s="7087">
        <f>+((H16+H18+H15+H19)/H12)*100</f>
        <v>66.392433797591266</v>
      </c>
      <c r="I20" s="7367"/>
      <c r="J20" s="1988">
        <f>+((+J15+J16+J18+J19)/J12)*100</f>
        <v>69.082365198862718</v>
      </c>
      <c r="K20" s="1985"/>
      <c r="L20" s="110">
        <f>+((L16+L18+L15+L19)/L12)*100</f>
        <v>72.820130001398155</v>
      </c>
      <c r="M20" s="1993"/>
      <c r="N20" s="71">
        <f>+((+N15+N16+N18+N19)/N12)*100</f>
        <v>70.036077013654534</v>
      </c>
      <c r="O20" s="1985"/>
      <c r="P20" s="110">
        <f>+((P16+P18+P15+P19)/P12)*100</f>
        <v>63.039466358045026</v>
      </c>
      <c r="Q20" s="7367"/>
      <c r="R20" s="1988">
        <f>+((+R15+R16+R18+R19)/R12)*100</f>
        <v>68.018991049359272</v>
      </c>
      <c r="S20" s="1985"/>
      <c r="T20" s="110">
        <f>+((T16+T18+T15+T19)/T12)*100</f>
        <v>63.930518622407071</v>
      </c>
      <c r="U20" s="7367"/>
      <c r="V20" s="1988">
        <f>+((+V15+V16+V18+V19)/V12)*100</f>
        <v>67.097048945306952</v>
      </c>
      <c r="W20" s="1985"/>
      <c r="X20" s="110">
        <f>+((X16+X18+X15+X19)/X12)*100</f>
        <v>75.550752144544347</v>
      </c>
      <c r="Y20" s="7353"/>
      <c r="Z20" s="1616">
        <f>+((Z16+Z18+Z15+Z19)/Z12)*100</f>
        <v>67.460242887618435</v>
      </c>
      <c r="AA20" s="7358"/>
      <c r="AB20" s="1617">
        <f>+((AB16+AB18+AB15+AB19)/AB12)*100</f>
        <v>68.623681044063488</v>
      </c>
      <c r="AC20" s="1985"/>
      <c r="AD20" s="110">
        <f>+((AD16+AD18+AD15+AD19)/AD12)*100</f>
        <v>68.745585219906758</v>
      </c>
      <c r="AE20" s="7367"/>
      <c r="AF20" s="1988">
        <f>+((+AF15+AF16+AF18+AF19)/AF12)*100</f>
        <v>68.639906009353453</v>
      </c>
      <c r="AG20" s="1985"/>
      <c r="AH20" s="110">
        <f>+((AH16+AH18+AH15+AH19)/AH12)*100</f>
        <v>82.52274183406027</v>
      </c>
      <c r="AI20" s="7367"/>
      <c r="AJ20" s="1988">
        <f>+((+AJ15+AJ16+AJ18+AJ19)/AJ12)*100</f>
        <v>69.363119918235213</v>
      </c>
      <c r="AK20" s="1985"/>
      <c r="AL20" s="110">
        <f>+((AL16+AL18+AL15+AL19)/AL12)*100</f>
        <v>72.454552337495826</v>
      </c>
      <c r="AM20" s="7353"/>
      <c r="AN20" s="1616">
        <f>+((AN16+AN18+AN15+AN19)/AN12)*100</f>
        <v>72.632697868747783</v>
      </c>
      <c r="AO20" s="7367"/>
      <c r="AP20" s="1988">
        <f>+((+AP15+AP16+AP18+AP19)/AP12)*100</f>
        <v>69.740960561544213</v>
      </c>
      <c r="AQ20" s="1985"/>
      <c r="AR20" s="110">
        <f>+((AR16+AR18+AR15+AR19)/AR12)*100</f>
        <v>74.667739074085745</v>
      </c>
      <c r="AS20" s="7367"/>
      <c r="AT20" s="1988">
        <f>+((+AT15+AT16+AT18+AT19)/AT12)*100</f>
        <v>70.373980649443411</v>
      </c>
      <c r="AU20" s="1985"/>
      <c r="AV20" s="110">
        <f>+((AV16+AV18+AV15+AV19)/AV12)*100</f>
        <v>72.915781853077306</v>
      </c>
      <c r="AW20" s="7367"/>
      <c r="AX20" s="1988">
        <f>+((+AX15+AX16+AX18+AX19)/AX12)*100</f>
        <v>70.608150346767019</v>
      </c>
      <c r="AY20" s="1985"/>
      <c r="AZ20" s="110">
        <f>+((AZ16+AZ18+AZ15+AZ19)/AZ12)*100</f>
        <v>74.215091451328846</v>
      </c>
      <c r="BA20" s="7353"/>
      <c r="BB20" s="1616">
        <f>+((BB16+BB18+BB15+BB19)/BB12)*100</f>
        <v>74.017556693152017</v>
      </c>
      <c r="BC20" s="7358"/>
      <c r="BD20" s="1617">
        <f>+((BD16+BD18+BD15+BD19)/BD12)*100</f>
        <v>73.471459294720646</v>
      </c>
      <c r="BE20" s="7367"/>
      <c r="BF20" s="1988">
        <f>+((+BF15+BF16+BF18+BF19)/BF12)*100</f>
        <v>71.022841781780897</v>
      </c>
      <c r="BG20" s="1986"/>
      <c r="BH20" s="1984">
        <v>71.834134814564663</v>
      </c>
      <c r="BI20" s="1986"/>
      <c r="BJ20" s="1984">
        <v>64.928436927079929</v>
      </c>
      <c r="BK20" s="1986"/>
      <c r="BL20" s="1984">
        <v>64.796113088206639</v>
      </c>
      <c r="BM20" s="7340"/>
      <c r="BN20" s="1978">
        <v>70.665579215426476</v>
      </c>
      <c r="BO20" s="7340"/>
      <c r="BP20" s="1978">
        <f>+((BP16+BP18+BP15+BP19)/BP12)*100</f>
        <v>74.478558013193179</v>
      </c>
      <c r="BQ20" s="7340"/>
      <c r="BR20" s="1992">
        <f>+((BR16+BR18+BR15+BR19)/BR12)*100</f>
        <v>55.629429892273293</v>
      </c>
      <c r="BS20" s="3948"/>
      <c r="BT20" s="3948"/>
      <c r="BU20" s="3948"/>
      <c r="BV20" s="3948"/>
    </row>
    <row r="21" spans="2:74" ht="15" customHeight="1" thickBot="1" x14ac:dyDescent="0.3">
      <c r="B21" s="1999" t="s">
        <v>141</v>
      </c>
      <c r="C21" s="1989"/>
      <c r="D21" s="187"/>
      <c r="E21" s="188"/>
      <c r="F21" s="7088"/>
      <c r="G21" s="188"/>
      <c r="H21" s="7088"/>
      <c r="I21" s="2011"/>
      <c r="J21" s="2011"/>
      <c r="K21" s="188"/>
      <c r="L21" s="187"/>
      <c r="M21" s="2011"/>
      <c r="N21" s="2011"/>
      <c r="O21" s="188"/>
      <c r="P21" s="187"/>
      <c r="Q21" s="2011"/>
      <c r="R21" s="2011"/>
      <c r="S21" s="188"/>
      <c r="T21" s="187"/>
      <c r="U21" s="2011"/>
      <c r="V21" s="2011"/>
      <c r="W21" s="188"/>
      <c r="X21" s="187"/>
      <c r="Y21" s="2011"/>
      <c r="Z21" s="2011"/>
      <c r="AA21" s="2011"/>
      <c r="AB21" s="2011"/>
      <c r="AC21" s="188"/>
      <c r="AD21" s="187"/>
      <c r="AE21" s="2011"/>
      <c r="AF21" s="2011"/>
      <c r="AG21" s="188"/>
      <c r="AH21" s="187"/>
      <c r="AI21" s="2011"/>
      <c r="AJ21" s="2011"/>
      <c r="AK21" s="188"/>
      <c r="AL21" s="187"/>
      <c r="AM21" s="2011"/>
      <c r="AN21" s="2011"/>
      <c r="AO21" s="2011"/>
      <c r="AP21" s="2011"/>
      <c r="AQ21" s="188"/>
      <c r="AR21" s="187"/>
      <c r="AS21" s="2011"/>
      <c r="AT21" s="2011"/>
      <c r="AU21" s="188"/>
      <c r="AV21" s="187"/>
      <c r="AW21" s="2011"/>
      <c r="AX21" s="2011"/>
      <c r="AY21" s="188"/>
      <c r="AZ21" s="187"/>
      <c r="BA21" s="2011"/>
      <c r="BB21" s="2011"/>
      <c r="BC21" s="2011"/>
      <c r="BD21" s="2011"/>
      <c r="BE21" s="2011"/>
      <c r="BF21" s="2011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3948"/>
      <c r="BT21" s="3948"/>
      <c r="BU21" s="3948"/>
      <c r="BV21" s="3948"/>
    </row>
    <row r="22" spans="2:74" ht="15" customHeight="1" x14ac:dyDescent="0.25">
      <c r="B22" s="2014" t="s">
        <v>22</v>
      </c>
      <c r="C22" s="759" t="s">
        <v>354</v>
      </c>
      <c r="D22" s="7387">
        <f>+D12</f>
        <v>2674798.3371291095</v>
      </c>
      <c r="E22" s="7380">
        <f>+E12</f>
        <v>228999.81536860339</v>
      </c>
      <c r="F22" s="7086">
        <v>141481.09999999998</v>
      </c>
      <c r="G22" s="7380">
        <f>+G12</f>
        <v>236499.57667165704</v>
      </c>
      <c r="H22" s="7086">
        <v>175451.51999999999</v>
      </c>
      <c r="I22" s="7368">
        <f>+I12</f>
        <v>465499.39204026049</v>
      </c>
      <c r="J22" s="43">
        <f>+F22+H22</f>
        <v>316932.62</v>
      </c>
      <c r="K22" s="7346">
        <f>+K12</f>
        <v>142529.07412806107</v>
      </c>
      <c r="L22" s="730">
        <v>110092.95999999998</v>
      </c>
      <c r="M22" s="7384">
        <f>+M12</f>
        <v>608028.46616832155</v>
      </c>
      <c r="N22" s="717">
        <f>+F22+H22+L22</f>
        <v>427025.57999999996</v>
      </c>
      <c r="O22" s="7346">
        <f>+O12</f>
        <v>81182.862852206017</v>
      </c>
      <c r="P22" s="730">
        <v>180420.56000000006</v>
      </c>
      <c r="Q22" s="7368">
        <f>+Q12</f>
        <v>689211.32902052754</v>
      </c>
      <c r="R22" s="43">
        <f>+N22+P22</f>
        <v>607446.14</v>
      </c>
      <c r="S22" s="7346">
        <f>+S12</f>
        <v>217952.17645827009</v>
      </c>
      <c r="T22" s="730">
        <v>173433.78000000003</v>
      </c>
      <c r="U22" s="7368">
        <f>+U12</f>
        <v>907163.5054787976</v>
      </c>
      <c r="V22" s="43">
        <f>+R22+T22</f>
        <v>780879.92</v>
      </c>
      <c r="W22" s="7346">
        <f>+W12</f>
        <v>205480.58919305512</v>
      </c>
      <c r="X22" s="730">
        <v>170345.15999999995</v>
      </c>
      <c r="Y22" s="7351">
        <f>+Y12</f>
        <v>504615.62850353122</v>
      </c>
      <c r="Z22" s="73">
        <f>+P22+T22+X22</f>
        <v>524199.5</v>
      </c>
      <c r="AA22" s="7356">
        <f>+AA12</f>
        <v>1112644.0946718527</v>
      </c>
      <c r="AB22" s="640">
        <f>+N22+Z22</f>
        <v>951225.08</v>
      </c>
      <c r="AC22" s="7346">
        <f>+AC12</f>
        <v>226841.09386753975</v>
      </c>
      <c r="AD22" s="730">
        <v>148158.06</v>
      </c>
      <c r="AE22" s="7368">
        <f>+AE12</f>
        <v>1339485.1885393925</v>
      </c>
      <c r="AF22" s="43">
        <f>+AB22+AD22</f>
        <v>1099383.1399999999</v>
      </c>
      <c r="AG22" s="7346">
        <f>+AG12</f>
        <v>223180.91557330103</v>
      </c>
      <c r="AH22" s="730">
        <v>62803.839999999997</v>
      </c>
      <c r="AI22" s="7368">
        <f>+AI12</f>
        <v>1562666.1041126936</v>
      </c>
      <c r="AJ22" s="43">
        <f>+AF22+AH22</f>
        <v>1162186.98</v>
      </c>
      <c r="AK22" s="7346">
        <f>+AK12</f>
        <v>225210.09386753975</v>
      </c>
      <c r="AL22" s="730">
        <v>157996.80000000002</v>
      </c>
      <c r="AM22" s="7351">
        <f>+AM12</f>
        <v>675232.10330838058</v>
      </c>
      <c r="AN22" s="73">
        <f>+AD22+AH22+AL22</f>
        <v>368958.7</v>
      </c>
      <c r="AO22" s="7368">
        <f>AI22+AK22</f>
        <v>1787876.1979802332</v>
      </c>
      <c r="AP22" s="437">
        <f t="shared" ref="AP22:AP23" si="48">AJ22+AL22</f>
        <v>1320183.78</v>
      </c>
      <c r="AQ22" s="7346">
        <f>+AQ12</f>
        <v>226840.09386753975</v>
      </c>
      <c r="AR22" s="730">
        <v>197810</v>
      </c>
      <c r="AS22" s="7368">
        <f>+AS12</f>
        <v>2014716.2918477729</v>
      </c>
      <c r="AT22" s="43">
        <f>+AP22+AR22</f>
        <v>1517993.78</v>
      </c>
      <c r="AU22" s="7346">
        <f>+AU12</f>
        <v>207657.99609174186</v>
      </c>
      <c r="AV22" s="730">
        <v>141082.89999999997</v>
      </c>
      <c r="AW22" s="7368">
        <f>+AW12</f>
        <v>2222374.287939515</v>
      </c>
      <c r="AX22" s="43">
        <f>+AT22+AV22</f>
        <v>1659076.68</v>
      </c>
      <c r="AY22" s="7346">
        <f>+AY12</f>
        <v>230952.64004168223</v>
      </c>
      <c r="AZ22" s="730">
        <v>218617.29999999993</v>
      </c>
      <c r="BA22" s="7351">
        <f>+BA12</f>
        <v>665450.7300009639</v>
      </c>
      <c r="BB22" s="73">
        <f>+AR22+AV22+AZ22</f>
        <v>557510.19999999995</v>
      </c>
      <c r="BC22" s="7356">
        <f>+BC12</f>
        <v>1340682.8333093445</v>
      </c>
      <c r="BD22" s="640">
        <f t="shared" ref="BD22:BD23" si="49">AN22+BB22</f>
        <v>926468.89999999991</v>
      </c>
      <c r="BE22" s="7368">
        <f>+BE12</f>
        <v>2453326.9279811969</v>
      </c>
      <c r="BF22" s="43">
        <f>+AX22+AZ22</f>
        <v>1877693.98</v>
      </c>
      <c r="BG22" s="7359">
        <v>2409999.5406616796</v>
      </c>
      <c r="BH22" s="2015">
        <v>1898390.98</v>
      </c>
      <c r="BI22" s="7359">
        <v>2525000.0144466418</v>
      </c>
      <c r="BJ22" s="2015">
        <v>1848504.2699999998</v>
      </c>
      <c r="BK22" s="7359">
        <v>2410000.013871755</v>
      </c>
      <c r="BL22" s="2015">
        <v>1959110.71</v>
      </c>
      <c r="BM22" s="7338">
        <v>2369500.1509075612</v>
      </c>
      <c r="BN22" s="1979">
        <v>1882591.37</v>
      </c>
      <c r="BO22" s="7341">
        <v>2234474.8024697341</v>
      </c>
      <c r="BP22" s="1979">
        <v>1557181.9489999996</v>
      </c>
      <c r="BQ22" s="7341">
        <f>+BQ12</f>
        <v>2406999.7409326425</v>
      </c>
      <c r="BR22" s="1979">
        <v>1655527.3639999998</v>
      </c>
      <c r="BS22" s="3948"/>
      <c r="BT22" s="3948"/>
      <c r="BU22" s="3948"/>
      <c r="BV22" s="3948"/>
    </row>
    <row r="23" spans="2:74" ht="15" customHeight="1" thickBot="1" x14ac:dyDescent="0.3">
      <c r="B23" s="7071" t="s">
        <v>23</v>
      </c>
      <c r="C23" s="7070" t="s">
        <v>354</v>
      </c>
      <c r="D23" s="7388"/>
      <c r="E23" s="7381"/>
      <c r="F23" s="7081">
        <v>34409.9</v>
      </c>
      <c r="G23" s="7381"/>
      <c r="H23" s="7081">
        <v>42014.51</v>
      </c>
      <c r="I23" s="7369"/>
      <c r="J23" s="39">
        <f>+F23+H23</f>
        <v>76424.41</v>
      </c>
      <c r="K23" s="7347"/>
      <c r="L23" s="521">
        <v>24656.36</v>
      </c>
      <c r="M23" s="7385"/>
      <c r="N23" s="68">
        <f>+F23+H23+L23</f>
        <v>101080.77</v>
      </c>
      <c r="O23" s="7347"/>
      <c r="P23" s="521">
        <v>33502.649999999987</v>
      </c>
      <c r="Q23" s="7369"/>
      <c r="R23" s="39">
        <f>+N23+P23</f>
        <v>134583.41999999998</v>
      </c>
      <c r="S23" s="7347"/>
      <c r="T23" s="521">
        <v>42609.720000000008</v>
      </c>
      <c r="U23" s="7369"/>
      <c r="V23" s="39">
        <f>+R23+T23</f>
        <v>177193.13999999998</v>
      </c>
      <c r="W23" s="7347"/>
      <c r="X23" s="521">
        <v>40801.089999999997</v>
      </c>
      <c r="Y23" s="7352"/>
      <c r="Z23" s="69">
        <f>+P23+T23+X23</f>
        <v>116913.45999999999</v>
      </c>
      <c r="AA23" s="7357"/>
      <c r="AB23" s="640">
        <f>+N23+Z23</f>
        <v>217994.22999999998</v>
      </c>
      <c r="AC23" s="7347"/>
      <c r="AD23" s="521">
        <v>31352.579999999994</v>
      </c>
      <c r="AE23" s="7369"/>
      <c r="AF23" s="39">
        <f>+AB23+AD23</f>
        <v>249346.80999999997</v>
      </c>
      <c r="AG23" s="7347"/>
      <c r="AH23" s="521">
        <v>11318.370000000004</v>
      </c>
      <c r="AI23" s="7369"/>
      <c r="AJ23" s="39">
        <f>+AF23+AH23</f>
        <v>260665.17999999996</v>
      </c>
      <c r="AK23" s="7347"/>
      <c r="AL23" s="521">
        <v>40121.519999999997</v>
      </c>
      <c r="AM23" s="7352"/>
      <c r="AN23" s="69">
        <f>+AD23+AH23+AL23</f>
        <v>82792.47</v>
      </c>
      <c r="AO23" s="7369"/>
      <c r="AP23" s="437">
        <f t="shared" si="48"/>
        <v>300786.69999999995</v>
      </c>
      <c r="AQ23" s="7347"/>
      <c r="AR23" s="521">
        <v>41165.900000000009</v>
      </c>
      <c r="AS23" s="7369"/>
      <c r="AT23" s="39">
        <f>+AP23+AR23</f>
        <v>341952.6</v>
      </c>
      <c r="AU23" s="7347"/>
      <c r="AV23" s="521">
        <v>47657.42000000002</v>
      </c>
      <c r="AW23" s="7369"/>
      <c r="AX23" s="39">
        <f>+AT23+AV23</f>
        <v>389610.02</v>
      </c>
      <c r="AY23" s="7347"/>
      <c r="AZ23" s="521">
        <v>47518.8</v>
      </c>
      <c r="BA23" s="7352"/>
      <c r="BB23" s="69">
        <f>+AR23+AV23+AZ23</f>
        <v>136342.12000000005</v>
      </c>
      <c r="BC23" s="7357"/>
      <c r="BD23" s="640">
        <f t="shared" si="49"/>
        <v>219134.59000000005</v>
      </c>
      <c r="BE23" s="7369"/>
      <c r="BF23" s="39">
        <f>+AX23+AZ23</f>
        <v>437128.82</v>
      </c>
      <c r="BG23" s="7360"/>
      <c r="BH23" s="1976">
        <v>452352.24000000011</v>
      </c>
      <c r="BI23" s="7360"/>
      <c r="BJ23" s="1976">
        <v>516386.89</v>
      </c>
      <c r="BK23" s="7360"/>
      <c r="BL23" s="1976">
        <v>338946.25000000006</v>
      </c>
      <c r="BM23" s="7339"/>
      <c r="BN23" s="1980">
        <v>295664.13</v>
      </c>
      <c r="BO23" s="7342"/>
      <c r="BP23" s="1980">
        <v>320472.90000000002</v>
      </c>
      <c r="BQ23" s="7342"/>
      <c r="BR23" s="1980">
        <v>394405.53999999992</v>
      </c>
      <c r="BS23" s="3948"/>
      <c r="BT23" s="3948"/>
      <c r="BU23" s="3948"/>
      <c r="BV23" s="3948"/>
    </row>
    <row r="24" spans="2:74" ht="15" customHeight="1" thickBot="1" x14ac:dyDescent="0.3">
      <c r="B24" s="1997" t="s">
        <v>2</v>
      </c>
      <c r="C24" s="495" t="s">
        <v>354</v>
      </c>
      <c r="D24" s="7388"/>
      <c r="E24" s="7381"/>
      <c r="F24" s="776">
        <f>SUM(F22:F23)</f>
        <v>175890.99999999997</v>
      </c>
      <c r="G24" s="7381"/>
      <c r="H24" s="776">
        <f>SUM(H22:H23)</f>
        <v>217466.03</v>
      </c>
      <c r="I24" s="7369"/>
      <c r="J24" s="41">
        <f>SUM(J22:J23)</f>
        <v>393357.03</v>
      </c>
      <c r="K24" s="7347"/>
      <c r="L24" s="92">
        <f>SUM(L22:L23)</f>
        <v>134749.31999999998</v>
      </c>
      <c r="M24" s="7386"/>
      <c r="N24" s="1497">
        <f>SUM(N22:N23)</f>
        <v>528106.35</v>
      </c>
      <c r="O24" s="7347"/>
      <c r="P24" s="92">
        <f>SUM(P22:P23)</f>
        <v>213923.21000000005</v>
      </c>
      <c r="Q24" s="7369"/>
      <c r="R24" s="41">
        <f>SUM(R22:R23)</f>
        <v>742029.56</v>
      </c>
      <c r="S24" s="7347"/>
      <c r="T24" s="92">
        <f>SUM(T22:T23)</f>
        <v>216043.50000000003</v>
      </c>
      <c r="U24" s="7369"/>
      <c r="V24" s="41">
        <f>SUM(V22:V23)</f>
        <v>958073.06</v>
      </c>
      <c r="W24" s="7347"/>
      <c r="X24" s="92">
        <f>SUM(X22:X23)</f>
        <v>211146.24999999994</v>
      </c>
      <c r="Y24" s="7352"/>
      <c r="Z24" s="67">
        <f>SUM(Z22:Z23)</f>
        <v>641112.96</v>
      </c>
      <c r="AA24" s="7357"/>
      <c r="AB24" s="460">
        <f>SUM(AB22:AB23)</f>
        <v>1169219.31</v>
      </c>
      <c r="AC24" s="7347"/>
      <c r="AD24" s="92">
        <f>SUM(AD22:AD23)</f>
        <v>179510.63999999998</v>
      </c>
      <c r="AE24" s="7369"/>
      <c r="AF24" s="41">
        <f>SUM(AF22:AF23)</f>
        <v>1348729.95</v>
      </c>
      <c r="AG24" s="7347"/>
      <c r="AH24" s="92">
        <f>SUM(AH22:AH23)</f>
        <v>74122.210000000006</v>
      </c>
      <c r="AI24" s="7369"/>
      <c r="AJ24" s="41">
        <f>SUM(AJ22:AJ23)</f>
        <v>1422852.16</v>
      </c>
      <c r="AK24" s="7347"/>
      <c r="AL24" s="92">
        <f>SUM(AL22:AL23)</f>
        <v>198118.32</v>
      </c>
      <c r="AM24" s="7352"/>
      <c r="AN24" s="67">
        <f>SUM(AN22:AN23)</f>
        <v>451751.17000000004</v>
      </c>
      <c r="AO24" s="7369"/>
      <c r="AP24" s="41">
        <f>SUM(AP22:AP23)</f>
        <v>1620970.48</v>
      </c>
      <c r="AQ24" s="7347"/>
      <c r="AR24" s="92">
        <f>SUM(AR22:AR23)</f>
        <v>238975.90000000002</v>
      </c>
      <c r="AS24" s="7369"/>
      <c r="AT24" s="41">
        <f>SUM(AT22:AT23)</f>
        <v>1859946.38</v>
      </c>
      <c r="AU24" s="7347"/>
      <c r="AV24" s="92">
        <f>SUM(AV22:AV23)</f>
        <v>188740.31999999998</v>
      </c>
      <c r="AW24" s="7369"/>
      <c r="AX24" s="41">
        <f>SUM(AX22:AX23)</f>
        <v>2048686.7</v>
      </c>
      <c r="AY24" s="7347"/>
      <c r="AZ24" s="92">
        <f>SUM(AZ22:AZ23)</f>
        <v>266136.09999999992</v>
      </c>
      <c r="BA24" s="7352"/>
      <c r="BB24" s="67">
        <f>SUM(BB22:BB23)</f>
        <v>693852.32000000007</v>
      </c>
      <c r="BC24" s="7357"/>
      <c r="BD24" s="460">
        <f>SUM(BD22:BD23)</f>
        <v>1145603.49</v>
      </c>
      <c r="BE24" s="7369"/>
      <c r="BF24" s="41">
        <f>SUM(BF22:BF23)</f>
        <v>2314822.7999999998</v>
      </c>
      <c r="BG24" s="7361"/>
      <c r="BH24" s="2012">
        <v>2350743.2200000002</v>
      </c>
      <c r="BI24" s="7361"/>
      <c r="BJ24" s="2012">
        <v>2364891.1599999997</v>
      </c>
      <c r="BK24" s="7361"/>
      <c r="BL24" s="2012">
        <v>2298056.96</v>
      </c>
      <c r="BM24" s="7342"/>
      <c r="BN24" s="1981">
        <f>SUM(BN22:BN23)</f>
        <v>2178255.5</v>
      </c>
      <c r="BO24" s="7342"/>
      <c r="BP24" s="1981">
        <v>1877654.8489999995</v>
      </c>
      <c r="BQ24" s="7342"/>
      <c r="BR24" s="1981">
        <f>SUM(BR22:BR23)</f>
        <v>2049932.9039999996</v>
      </c>
      <c r="BS24" s="3948"/>
      <c r="BT24" s="3948"/>
      <c r="BU24" s="3948"/>
      <c r="BV24" s="3948"/>
    </row>
    <row r="25" spans="2:74" ht="15" customHeight="1" thickBot="1" x14ac:dyDescent="0.3">
      <c r="B25" s="1996" t="s">
        <v>656</v>
      </c>
      <c r="C25" s="495" t="s">
        <v>49</v>
      </c>
      <c r="D25" s="2005"/>
      <c r="E25" s="2005"/>
      <c r="F25" s="7089">
        <f>+F23/F24*100</f>
        <v>19.563195388052833</v>
      </c>
      <c r="G25" s="2005"/>
      <c r="H25" s="7089">
        <f>+H23/H24*100</f>
        <v>19.320033570300613</v>
      </c>
      <c r="I25" s="7367"/>
      <c r="J25" s="1988">
        <f>+J23/J24*100</f>
        <v>19.42876424504222</v>
      </c>
      <c r="K25" s="2005"/>
      <c r="L25" s="1852">
        <f>+L23/L24*100</f>
        <v>18.297947626006575</v>
      </c>
      <c r="M25" s="2010"/>
      <c r="N25" s="2006">
        <f>+N23/N24*100</f>
        <v>19.140229993447345</v>
      </c>
      <c r="O25" s="2005"/>
      <c r="P25" s="1852">
        <f>+P23/P24*100</f>
        <v>15.661063612499074</v>
      </c>
      <c r="Q25" s="7367"/>
      <c r="R25" s="1988">
        <f>+R23/R24*100</f>
        <v>18.137204668773567</v>
      </c>
      <c r="S25" s="2005"/>
      <c r="T25" s="1852">
        <f>+T23/T24*100</f>
        <v>19.72275027945761</v>
      </c>
      <c r="U25" s="7367"/>
      <c r="V25" s="1988">
        <f>+V23/V24*100</f>
        <v>18.494741935442789</v>
      </c>
      <c r="W25" s="2005"/>
      <c r="X25" s="1852">
        <f>+X23/X24*100</f>
        <v>19.323615740274814</v>
      </c>
      <c r="Y25" s="7353"/>
      <c r="Z25" s="71">
        <f>+Z23/Z24*100</f>
        <v>18.236015693708641</v>
      </c>
      <c r="AA25" s="7358"/>
      <c r="AB25" s="461">
        <f>+AB23/AB24*100</f>
        <v>18.64442608290484</v>
      </c>
      <c r="AC25" s="2005"/>
      <c r="AD25" s="1852">
        <f>+AD23/AD24*100</f>
        <v>17.465583098584013</v>
      </c>
      <c r="AE25" s="7367"/>
      <c r="AF25" s="1988">
        <f>+AF23/AF24*100</f>
        <v>18.487526728386211</v>
      </c>
      <c r="AG25" s="2005"/>
      <c r="AH25" s="1852">
        <f>+AH23/AH24*100</f>
        <v>15.269876599739812</v>
      </c>
      <c r="AI25" s="7367"/>
      <c r="AJ25" s="1988">
        <f>+AJ23/AJ24*100</f>
        <v>18.319906124329879</v>
      </c>
      <c r="AK25" s="2005"/>
      <c r="AL25" s="1852">
        <f>+AL23/AL24*100</f>
        <v>20.251292258080927</v>
      </c>
      <c r="AM25" s="7353"/>
      <c r="AN25" s="71">
        <f>+AN23/AN24*100</f>
        <v>18.327007321309203</v>
      </c>
      <c r="AO25" s="7367"/>
      <c r="AP25" s="1988">
        <f>+AP23/AP24*100</f>
        <v>18.555964079000375</v>
      </c>
      <c r="AQ25" s="2005"/>
      <c r="AR25" s="1852">
        <f>+AR23/AR24*100</f>
        <v>17.225962952749629</v>
      </c>
      <c r="AS25" s="7367"/>
      <c r="AT25" s="1988">
        <f>+AT23/AT24*100</f>
        <v>18.385078391345882</v>
      </c>
      <c r="AU25" s="2005"/>
      <c r="AV25" s="1852">
        <f>+AV23/AV24*100</f>
        <v>25.250259192100565</v>
      </c>
      <c r="AW25" s="7367"/>
      <c r="AX25" s="1988">
        <f>+AX23/AX24*100</f>
        <v>19.017550121255731</v>
      </c>
      <c r="AY25" s="2005"/>
      <c r="AZ25" s="1852">
        <f>+AZ23/AZ24*100</f>
        <v>17.855074903404695</v>
      </c>
      <c r="BA25" s="7353"/>
      <c r="BB25" s="71">
        <f>+BB23/BB24*100</f>
        <v>19.650020050376142</v>
      </c>
      <c r="BC25" s="7358"/>
      <c r="BD25" s="461">
        <f>+BD23/BD24*100</f>
        <v>19.128310267281051</v>
      </c>
      <c r="BE25" s="7367"/>
      <c r="BF25" s="1988">
        <f>+BF23/BF24*100</f>
        <v>18.883899882098966</v>
      </c>
      <c r="BG25" s="2007"/>
      <c r="BH25" s="2009">
        <v>19.24294564167668</v>
      </c>
      <c r="BI25" s="2007"/>
      <c r="BJ25" s="2009">
        <v>21.835545700124317</v>
      </c>
      <c r="BK25" s="2007"/>
      <c r="BL25" s="2009">
        <v>14.749253647742485</v>
      </c>
      <c r="BM25" s="7340"/>
      <c r="BN25" s="1982">
        <v>13.573437879389068</v>
      </c>
      <c r="BO25" s="7343"/>
      <c r="BP25" s="2008">
        <f>+BP23/BP24*100</f>
        <v>17.06772148090355</v>
      </c>
      <c r="BQ25" s="7343"/>
      <c r="BR25" s="2008">
        <f>+BR23/BR24*100</f>
        <v>19.239924352177724</v>
      </c>
      <c r="BS25" s="3948"/>
      <c r="BT25" s="3948"/>
      <c r="BU25" s="3948"/>
      <c r="BV25" s="3948"/>
    </row>
    <row r="26" spans="2:74" x14ac:dyDescent="0.25">
      <c r="B26" s="1778" t="s">
        <v>635</v>
      </c>
      <c r="C26" s="16" t="s">
        <v>354</v>
      </c>
      <c r="D26" s="2002">
        <v>14270</v>
      </c>
      <c r="E26" s="7077">
        <f>+'Maj Production Summ'!E26</f>
        <v>810</v>
      </c>
      <c r="F26" s="7081">
        <v>3593.88</v>
      </c>
      <c r="G26" s="7077">
        <f>+'Maj Production Summ'!G26</f>
        <v>810</v>
      </c>
      <c r="H26" s="7081">
        <v>2497.5899999999997</v>
      </c>
      <c r="I26" s="719">
        <f t="shared" ref="I26:J27" si="50">+E26+G26</f>
        <v>1620</v>
      </c>
      <c r="J26" s="62">
        <f t="shared" si="50"/>
        <v>6091.4699999999993</v>
      </c>
      <c r="K26" s="4561">
        <f>+'Maj Production Summ'!K26</f>
        <v>720</v>
      </c>
      <c r="L26" s="136">
        <v>598.73000000000013</v>
      </c>
      <c r="M26" s="456">
        <f t="shared" ref="M26:N27" si="51">+E26+G26+K26</f>
        <v>2340</v>
      </c>
      <c r="N26" s="456">
        <f t="shared" si="51"/>
        <v>6690.2</v>
      </c>
      <c r="O26" s="4796">
        <f>+'Maj Production Summ'!O26</f>
        <v>5225</v>
      </c>
      <c r="P26" s="136">
        <v>2594.6</v>
      </c>
      <c r="Q26" s="4800">
        <f t="shared" ref="Q26:Q27" si="52">+M26+O26</f>
        <v>7565</v>
      </c>
      <c r="R26" s="62">
        <f t="shared" ref="R26:R27" si="53">+N26+P26</f>
        <v>9284.7999999999993</v>
      </c>
      <c r="S26" s="4874">
        <f>+'Maj Production Summ'!S26</f>
        <v>342</v>
      </c>
      <c r="T26" s="136">
        <v>499.34</v>
      </c>
      <c r="U26" s="4867">
        <f t="shared" ref="U26:U27" si="54">+Q26+S26</f>
        <v>7907</v>
      </c>
      <c r="V26" s="62">
        <f t="shared" ref="V26:V27" si="55">+R26+T26</f>
        <v>9784.14</v>
      </c>
      <c r="W26" s="5035">
        <f>+'Maj Production Summ'!W26</f>
        <v>342</v>
      </c>
      <c r="X26" s="136">
        <v>0</v>
      </c>
      <c r="Y26" s="4139">
        <f t="shared" ref="Y26:Z27" si="56">+O26+S26+W26</f>
        <v>5909</v>
      </c>
      <c r="Z26" s="84">
        <f t="shared" si="56"/>
        <v>3093.94</v>
      </c>
      <c r="AA26" s="797">
        <f t="shared" ref="AA26:AB27" si="57">+M26+Y26</f>
        <v>8249</v>
      </c>
      <c r="AB26" s="797">
        <f t="shared" si="57"/>
        <v>9784.14</v>
      </c>
      <c r="AC26" s="5350">
        <f>+'Maj Production Summ'!AC26</f>
        <v>342</v>
      </c>
      <c r="AD26" s="136">
        <v>748.03</v>
      </c>
      <c r="AE26" s="719">
        <f t="shared" ref="AE26:AE27" si="58">+AA26+AC26</f>
        <v>8591</v>
      </c>
      <c r="AF26" s="62">
        <f t="shared" ref="AF26:AF27" si="59">+AB26+AD26</f>
        <v>10532.17</v>
      </c>
      <c r="AG26" s="5502">
        <f>+'Maj Production Summ'!AG26</f>
        <v>342</v>
      </c>
      <c r="AH26" s="136">
        <v>298.96999999999997</v>
      </c>
      <c r="AI26" s="719">
        <f t="shared" ref="AI26:AI27" si="60">+AE26+AG26</f>
        <v>8933</v>
      </c>
      <c r="AJ26" s="62">
        <f t="shared" ref="AJ26:AJ27" si="61">+AF26+AH26</f>
        <v>10831.14</v>
      </c>
      <c r="AK26" s="5920">
        <f>+'Maj Production Summ'!AK26</f>
        <v>342</v>
      </c>
      <c r="AL26" s="136">
        <v>499.24</v>
      </c>
      <c r="AM26" s="4139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9275</v>
      </c>
      <c r="AP26" s="437">
        <f t="shared" ref="AP26:AP28" si="65">AJ26+AL26</f>
        <v>11330.38</v>
      </c>
      <c r="AQ26" s="6076">
        <f>+'Maj Production Summ'!AQ26</f>
        <v>342</v>
      </c>
      <c r="AR26" s="136">
        <v>1595.84</v>
      </c>
      <c r="AS26" s="719">
        <f t="shared" ref="AS26:AS27" si="66">+AO26+AQ26</f>
        <v>9617</v>
      </c>
      <c r="AT26" s="62">
        <f t="shared" ref="AT26:AT27" si="67">+AP26+AR26</f>
        <v>12926.22</v>
      </c>
      <c r="AU26" s="6180">
        <f>+'Maj Production Summ'!AU26</f>
        <v>342</v>
      </c>
      <c r="AV26" s="136">
        <v>249.07</v>
      </c>
      <c r="AW26" s="719">
        <f t="shared" ref="AW26:AW27" si="68">+AS26+AU26</f>
        <v>9959</v>
      </c>
      <c r="AX26" s="62">
        <f t="shared" ref="AX26:AX27" si="69">+AT26+AV26</f>
        <v>13175.289999999999</v>
      </c>
      <c r="AY26" s="6395">
        <f>+'Maj Production Summ'!AY26</f>
        <v>342</v>
      </c>
      <c r="AZ26" s="136">
        <v>1297.1300000000001</v>
      </c>
      <c r="BA26" s="4139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9">
        <f t="shared" ref="BE26:BE27" si="74">+AW26+AY26</f>
        <v>10301</v>
      </c>
      <c r="BF26" s="62">
        <f t="shared" ref="BF26:BF27" si="75">+AX26+AZ26</f>
        <v>14472.419999999998</v>
      </c>
      <c r="BG26" s="1198">
        <v>9365</v>
      </c>
      <c r="BH26" s="1983">
        <v>8679.7900000000009</v>
      </c>
      <c r="BI26" s="1198">
        <v>20742.20366598777</v>
      </c>
      <c r="BJ26" s="1983">
        <v>7537.0999999999985</v>
      </c>
      <c r="BK26" s="1198">
        <v>16929.735234215885</v>
      </c>
      <c r="BL26" s="1983">
        <v>8801.7400000000016</v>
      </c>
      <c r="BM26" s="2013">
        <v>19251.63543788188</v>
      </c>
      <c r="BN26" s="1980">
        <v>20488.86</v>
      </c>
      <c r="BO26" s="2013">
        <v>20754.644854293481</v>
      </c>
      <c r="BP26" s="1980">
        <v>80002.179999999993</v>
      </c>
      <c r="BQ26" s="2013">
        <v>29958.27154308611</v>
      </c>
      <c r="BR26" s="1980">
        <v>124050.80000000006</v>
      </c>
      <c r="BS26" s="3948"/>
      <c r="BT26" s="3948"/>
      <c r="BU26" s="3948"/>
      <c r="BV26" s="3948"/>
    </row>
    <row r="27" spans="2:74" ht="15" customHeight="1" thickBot="1" x14ac:dyDescent="0.3">
      <c r="B27" s="7072" t="s">
        <v>1360</v>
      </c>
      <c r="C27" s="7061" t="s">
        <v>354</v>
      </c>
      <c r="D27" s="7062">
        <f>+'Maj Production Summ'!D27</f>
        <v>3541.35</v>
      </c>
      <c r="E27" s="7078">
        <f>+'Maj Production Summ'!E27</f>
        <v>273.99599999999998</v>
      </c>
      <c r="F27" s="7081">
        <v>999.31</v>
      </c>
      <c r="G27" s="7078">
        <f>+'Maj Production Summ'!G27</f>
        <v>279.98</v>
      </c>
      <c r="H27" s="7081">
        <v>0</v>
      </c>
      <c r="I27" s="4124">
        <f t="shared" si="50"/>
        <v>553.976</v>
      </c>
      <c r="J27" s="39">
        <f t="shared" si="50"/>
        <v>999.31</v>
      </c>
      <c r="K27" s="4555">
        <f>+'Maj Production Summ'!K27</f>
        <v>189.24</v>
      </c>
      <c r="L27" s="136">
        <v>167.22</v>
      </c>
      <c r="M27" s="68">
        <f t="shared" si="51"/>
        <v>743.21600000000001</v>
      </c>
      <c r="N27" s="68">
        <f t="shared" si="51"/>
        <v>1166.53</v>
      </c>
      <c r="O27" s="4766">
        <f>+'Maj Production Summ'!O27</f>
        <v>436.24</v>
      </c>
      <c r="P27" s="136">
        <v>1598.69</v>
      </c>
      <c r="Q27" s="4768">
        <f t="shared" si="52"/>
        <v>1179.4560000000001</v>
      </c>
      <c r="R27" s="39">
        <f t="shared" si="53"/>
        <v>2765.2200000000003</v>
      </c>
      <c r="S27" s="4865">
        <f>+'Maj Production Summ'!S27</f>
        <v>218.5</v>
      </c>
      <c r="T27" s="136">
        <v>1092.55</v>
      </c>
      <c r="U27" s="4864">
        <f t="shared" si="54"/>
        <v>1397.9560000000001</v>
      </c>
      <c r="V27" s="39">
        <f t="shared" si="55"/>
        <v>3857.7700000000004</v>
      </c>
      <c r="W27" s="5017">
        <f>+'Maj Production Summ'!W27</f>
        <v>212.42</v>
      </c>
      <c r="X27" s="136">
        <v>499.76</v>
      </c>
      <c r="Y27" s="4126">
        <f t="shared" si="56"/>
        <v>867.16</v>
      </c>
      <c r="Z27" s="69">
        <f t="shared" si="56"/>
        <v>3191</v>
      </c>
      <c r="AA27" s="640">
        <f t="shared" si="57"/>
        <v>1610.376</v>
      </c>
      <c r="AB27" s="640">
        <f t="shared" si="57"/>
        <v>4357.53</v>
      </c>
      <c r="AC27" s="5329">
        <f>+'Maj Production Summ'!AC27</f>
        <v>226.1</v>
      </c>
      <c r="AD27" s="136">
        <v>0</v>
      </c>
      <c r="AE27" s="4124">
        <f t="shared" si="58"/>
        <v>1836.4759999999999</v>
      </c>
      <c r="AF27" s="39">
        <f t="shared" si="59"/>
        <v>4357.53</v>
      </c>
      <c r="AG27" s="5496">
        <f>+'Maj Production Summ'!AG27</f>
        <v>220.02</v>
      </c>
      <c r="AH27" s="136">
        <v>198.57000000000002</v>
      </c>
      <c r="AI27" s="4124">
        <f t="shared" si="60"/>
        <v>2056.4960000000001</v>
      </c>
      <c r="AJ27" s="39">
        <f t="shared" si="61"/>
        <v>4556.0999999999995</v>
      </c>
      <c r="AK27" s="5901">
        <f>+'Maj Production Summ'!AK27</f>
        <v>226.1</v>
      </c>
      <c r="AL27" s="136">
        <v>298.70999999999998</v>
      </c>
      <c r="AM27" s="4126">
        <f t="shared" si="62"/>
        <v>672.22</v>
      </c>
      <c r="AN27" s="69">
        <f t="shared" si="63"/>
        <v>497.28</v>
      </c>
      <c r="AO27" s="437">
        <f t="shared" si="64"/>
        <v>2282.596</v>
      </c>
      <c r="AP27" s="437">
        <f t="shared" si="65"/>
        <v>4854.8099999999995</v>
      </c>
      <c r="AQ27" s="6059">
        <f>+'Maj Production Summ'!AQ27</f>
        <v>226.1</v>
      </c>
      <c r="AR27" s="136">
        <v>499.09</v>
      </c>
      <c r="AS27" s="4124">
        <f t="shared" si="66"/>
        <v>2508.6959999999999</v>
      </c>
      <c r="AT27" s="39">
        <f t="shared" si="67"/>
        <v>5353.9</v>
      </c>
      <c r="AU27" s="6166">
        <f>+'Maj Production Summ'!AU27</f>
        <v>207.1</v>
      </c>
      <c r="AV27" s="136">
        <v>0</v>
      </c>
      <c r="AW27" s="4124">
        <f t="shared" si="68"/>
        <v>2715.7959999999998</v>
      </c>
      <c r="AX27" s="39">
        <f t="shared" si="69"/>
        <v>5353.9</v>
      </c>
      <c r="AY27" s="6381">
        <f>+'Maj Production Summ'!AY27</f>
        <v>226.1</v>
      </c>
      <c r="AZ27" s="136">
        <v>998.41</v>
      </c>
      <c r="BA27" s="4126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4124">
        <f t="shared" si="74"/>
        <v>2941.8959999999997</v>
      </c>
      <c r="BF27" s="39">
        <f t="shared" si="75"/>
        <v>6352.3099999999995</v>
      </c>
      <c r="BG27" s="1103">
        <v>2831.4999999999995</v>
      </c>
      <c r="BH27" s="1101">
        <v>5762.5199999999995</v>
      </c>
      <c r="BI27" s="1103">
        <v>2236.7519999999995</v>
      </c>
      <c r="BJ27" s="1101">
        <v>5991.8400000000011</v>
      </c>
      <c r="BK27" s="1103">
        <v>2057.5999999999995</v>
      </c>
      <c r="BL27" s="1101">
        <v>5429.83</v>
      </c>
      <c r="BM27" s="1103">
        <v>2163.56</v>
      </c>
      <c r="BN27" s="1102">
        <v>17862.580000000002</v>
      </c>
      <c r="BO27" s="1103">
        <v>6973.7102305913804</v>
      </c>
      <c r="BP27" s="1102">
        <v>29483.779999999995</v>
      </c>
      <c r="BQ27" s="1103">
        <v>8472.5250501001919</v>
      </c>
      <c r="BR27" s="1102">
        <v>59555.1</v>
      </c>
      <c r="BS27" s="3948"/>
      <c r="BT27" s="3948"/>
      <c r="BU27" s="3948"/>
      <c r="BV27" s="3948"/>
    </row>
    <row r="28" spans="2:74" ht="15" customHeight="1" thickBot="1" x14ac:dyDescent="0.3">
      <c r="B28" s="1994" t="s">
        <v>352</v>
      </c>
      <c r="C28" s="15" t="s">
        <v>354</v>
      </c>
      <c r="D28" s="537">
        <f t="shared" ref="D28:AB28" si="76">SUM(D26:D27)</f>
        <v>17811.349999999999</v>
      </c>
      <c r="E28" s="7079">
        <f t="shared" si="76"/>
        <v>1083.9960000000001</v>
      </c>
      <c r="F28" s="776">
        <f t="shared" si="76"/>
        <v>4593.1900000000005</v>
      </c>
      <c r="G28" s="7079">
        <f t="shared" ref="G28:H28" si="77">SUM(G26:G27)</f>
        <v>1089.98</v>
      </c>
      <c r="H28" s="776">
        <f t="shared" si="77"/>
        <v>2497.5899999999997</v>
      </c>
      <c r="I28" s="727">
        <f t="shared" si="76"/>
        <v>2173.9760000000001</v>
      </c>
      <c r="J28" s="41">
        <f t="shared" si="76"/>
        <v>7090.7799999999988</v>
      </c>
      <c r="K28" s="537">
        <f t="shared" ref="K28:L28" si="78">SUM(K26:K27)</f>
        <v>909.24</v>
      </c>
      <c r="L28" s="28">
        <f t="shared" si="78"/>
        <v>765.95000000000016</v>
      </c>
      <c r="M28" s="728">
        <f t="shared" si="76"/>
        <v>3083.2159999999999</v>
      </c>
      <c r="N28" s="67">
        <f t="shared" si="76"/>
        <v>7856.73</v>
      </c>
      <c r="O28" s="537">
        <f t="shared" ref="O28:P28" si="79">SUM(O26:O27)</f>
        <v>5661.24</v>
      </c>
      <c r="P28" s="28">
        <f t="shared" si="79"/>
        <v>4193.29</v>
      </c>
      <c r="Q28" s="727">
        <f t="shared" ref="Q28:T28" si="80">SUM(Q26:Q27)</f>
        <v>8744.4560000000001</v>
      </c>
      <c r="R28" s="41">
        <f t="shared" si="80"/>
        <v>12050.02</v>
      </c>
      <c r="S28" s="537">
        <f t="shared" si="80"/>
        <v>560.5</v>
      </c>
      <c r="T28" s="28">
        <f t="shared" si="80"/>
        <v>1591.8899999999999</v>
      </c>
      <c r="U28" s="727">
        <f t="shared" ref="U28:X28" si="81">SUM(U26:U27)</f>
        <v>9304.9560000000001</v>
      </c>
      <c r="V28" s="41">
        <f t="shared" si="81"/>
        <v>13641.91</v>
      </c>
      <c r="W28" s="537">
        <f t="shared" si="81"/>
        <v>554.41999999999996</v>
      </c>
      <c r="X28" s="28">
        <f t="shared" si="81"/>
        <v>499.76</v>
      </c>
      <c r="Y28" s="354">
        <f t="shared" si="76"/>
        <v>6776.16</v>
      </c>
      <c r="Z28" s="67">
        <f t="shared" si="76"/>
        <v>6284.9400000000005</v>
      </c>
      <c r="AA28" s="729">
        <f t="shared" si="76"/>
        <v>9859.3760000000002</v>
      </c>
      <c r="AB28" s="460">
        <f t="shared" si="76"/>
        <v>14141.669999999998</v>
      </c>
      <c r="AC28" s="537">
        <f t="shared" ref="AC28:AD28" si="82">SUM(AC26:AC27)</f>
        <v>568.1</v>
      </c>
      <c r="AD28" s="28">
        <f t="shared" si="82"/>
        <v>748.03</v>
      </c>
      <c r="AE28" s="727">
        <f t="shared" ref="AE28:AH28" si="83">SUM(AE26:AE27)</f>
        <v>10427.476000000001</v>
      </c>
      <c r="AF28" s="41">
        <f t="shared" si="83"/>
        <v>14889.7</v>
      </c>
      <c r="AG28" s="537">
        <f t="shared" si="83"/>
        <v>562.02</v>
      </c>
      <c r="AH28" s="28">
        <f t="shared" si="83"/>
        <v>497.53999999999996</v>
      </c>
      <c r="AI28" s="727">
        <f t="shared" ref="AI28:AL28" si="84">SUM(AI26:AI27)</f>
        <v>10989.495999999999</v>
      </c>
      <c r="AJ28" s="41">
        <f t="shared" si="84"/>
        <v>15387.239999999998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7">
        <f t="shared" ref="AO28" si="86">SUM(AO26:AO27)</f>
        <v>11557.596</v>
      </c>
      <c r="AP28" s="41">
        <f t="shared" si="65"/>
        <v>16185.189999999999</v>
      </c>
      <c r="AQ28" s="537">
        <f t="shared" ref="AQ28:AR28" si="87">SUM(AQ26:AQ27)</f>
        <v>568.1</v>
      </c>
      <c r="AR28" s="28">
        <f t="shared" si="87"/>
        <v>2094.9299999999998</v>
      </c>
      <c r="AS28" s="727">
        <f t="shared" ref="AS28:AV28" si="88">SUM(AS26:AS27)</f>
        <v>12125.696</v>
      </c>
      <c r="AT28" s="41">
        <f t="shared" si="88"/>
        <v>18280.12</v>
      </c>
      <c r="AU28" s="537">
        <f t="shared" si="88"/>
        <v>549.1</v>
      </c>
      <c r="AV28" s="28">
        <f t="shared" si="88"/>
        <v>249.07</v>
      </c>
      <c r="AW28" s="727">
        <f t="shared" ref="AW28:AZ28" si="89">SUM(AW26:AW27)</f>
        <v>12674.796</v>
      </c>
      <c r="AX28" s="41">
        <f t="shared" si="89"/>
        <v>18529.189999999999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7">
        <f t="shared" ref="BE28:BF28" si="91">SUM(BE26:BE27)</f>
        <v>13242.896000000001</v>
      </c>
      <c r="BF28" s="41">
        <f t="shared" si="91"/>
        <v>20824.729999999996</v>
      </c>
      <c r="BG28" s="1099">
        <v>12196.5</v>
      </c>
      <c r="BH28" s="2578">
        <v>14442.310000000001</v>
      </c>
      <c r="BI28" s="1099">
        <v>22978.955665987771</v>
      </c>
      <c r="BJ28" s="2578">
        <v>13528.939999999999</v>
      </c>
      <c r="BK28" s="1099">
        <v>18987.335234215883</v>
      </c>
      <c r="BL28" s="2578">
        <v>14231.570000000002</v>
      </c>
      <c r="BM28" s="1099">
        <v>21415.195437881881</v>
      </c>
      <c r="BN28" s="1100">
        <v>38351.440000000002</v>
      </c>
      <c r="BO28" s="1099">
        <v>27728.355084884861</v>
      </c>
      <c r="BP28" s="1100">
        <v>109485.95999999999</v>
      </c>
      <c r="BQ28" s="1099">
        <f>SUM(BQ26:BQ27)</f>
        <v>38430.7965931863</v>
      </c>
      <c r="BR28" s="1100">
        <f>SUM(BR26:BR27)</f>
        <v>183605.90000000005</v>
      </c>
      <c r="BS28" s="3948"/>
      <c r="BT28" s="3948"/>
      <c r="BU28" s="3948"/>
      <c r="BV28" s="3948"/>
    </row>
    <row r="29" spans="2:74" ht="15" customHeight="1" x14ac:dyDescent="0.25">
      <c r="B29" s="4363"/>
      <c r="D29" s="3951"/>
      <c r="I29" s="112"/>
      <c r="J29" s="45"/>
      <c r="O29" s="1277"/>
      <c r="BS29" s="3948"/>
      <c r="BT29" s="3948"/>
      <c r="BU29" s="3948"/>
      <c r="BV29" s="3948"/>
    </row>
    <row r="30" spans="2:74" ht="15" customHeight="1" x14ac:dyDescent="0.25">
      <c r="E30" s="4364"/>
      <c r="F30" s="4364"/>
      <c r="G30" s="4364"/>
      <c r="H30" s="4364"/>
      <c r="I30" s="4364"/>
      <c r="J30" s="4364"/>
      <c r="K30" s="4364"/>
      <c r="L30" s="4364"/>
      <c r="M30" s="4364"/>
      <c r="N30" s="4364"/>
      <c r="O30" s="4364"/>
      <c r="P30" s="4364"/>
      <c r="Q30" s="4364"/>
      <c r="R30" s="4364"/>
      <c r="S30" s="4364"/>
      <c r="T30" s="4364"/>
      <c r="U30" s="3948"/>
      <c r="V30" s="4364"/>
      <c r="W30" s="4364"/>
      <c r="X30" s="4364"/>
      <c r="Y30" s="4364"/>
      <c r="Z30" s="4364"/>
      <c r="AA30" s="4364"/>
      <c r="AB30" s="4364"/>
      <c r="AC30" s="4364"/>
      <c r="AD30" s="4364"/>
      <c r="AE30" s="4364"/>
      <c r="AF30" s="4364"/>
      <c r="AG30" s="4364"/>
      <c r="AH30" s="4364"/>
      <c r="AI30" s="4364"/>
      <c r="AJ30" s="4364"/>
      <c r="AK30" s="4364"/>
      <c r="AL30" s="4364"/>
      <c r="AM30" s="4364"/>
      <c r="AN30" s="4364"/>
      <c r="AO30" s="4364"/>
      <c r="AP30" s="4364"/>
      <c r="AQ30" s="4364"/>
      <c r="AR30" s="4364"/>
      <c r="AS30" s="4364"/>
      <c r="AT30" s="4364"/>
      <c r="AU30" s="4364"/>
      <c r="AV30" s="4364"/>
      <c r="BS30" s="3948"/>
      <c r="BT30" s="3948"/>
      <c r="BU30" s="3948"/>
      <c r="BV30" s="3948"/>
    </row>
    <row r="31" spans="2:74" ht="15" customHeight="1" x14ac:dyDescent="0.25">
      <c r="BS31" s="3948"/>
      <c r="BT31" s="3948"/>
      <c r="BU31" s="3948"/>
      <c r="BV31" s="3948"/>
    </row>
    <row r="32" spans="2:74" ht="15" customHeight="1" x14ac:dyDescent="0.25">
      <c r="BF32" s="3948"/>
      <c r="BG32" s="3948"/>
      <c r="BH32" s="3948"/>
      <c r="BI32" s="3948"/>
      <c r="BJ32" s="3948"/>
      <c r="BS32" s="3948"/>
      <c r="BT32" s="3948"/>
      <c r="BU32" s="3948"/>
      <c r="BV32" s="3948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42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U72"/>
  <sheetViews>
    <sheetView topLeftCell="A22" zoomScale="85" zoomScaleNormal="85" workbookViewId="0">
      <pane xSplit="4" topLeftCell="E1" activePane="topRight" state="frozen"/>
      <selection pane="topRight" activeCell="J10" sqref="J10:J11"/>
    </sheetView>
  </sheetViews>
  <sheetFormatPr defaultRowHeight="15" x14ac:dyDescent="0.25"/>
  <cols>
    <col min="1" max="1" width="3.85546875" customWidth="1"/>
    <col min="2" max="2" width="42.7109375" bestFit="1" customWidth="1"/>
    <col min="3" max="3" width="18.5703125" bestFit="1" customWidth="1"/>
    <col min="4" max="4" width="11.28515625" bestFit="1" customWidth="1"/>
    <col min="5" max="6" width="7.140625" bestFit="1" customWidth="1"/>
    <col min="7" max="7" width="8.28515625" bestFit="1" customWidth="1"/>
    <col min="8" max="8" width="8.42578125" bestFit="1" customWidth="1"/>
    <col min="9" max="9" width="7.140625" bestFit="1" customWidth="1"/>
    <col min="10" max="10" width="8.28515625" bestFit="1" customWidth="1"/>
    <col min="11" max="13" width="7.140625" hidden="1" customWidth="1"/>
    <col min="14" max="14" width="8.28515625" hidden="1" customWidth="1"/>
    <col min="15" max="15" width="6.7109375" hidden="1" customWidth="1"/>
    <col min="16" max="17" width="7.140625" hidden="1" customWidth="1"/>
    <col min="18" max="18" width="8.28515625" hidden="1" customWidth="1"/>
    <col min="19" max="21" width="7.140625" hidden="1" customWidth="1"/>
    <col min="22" max="22" width="8.28515625" hidden="1" customWidth="1"/>
    <col min="23" max="26" width="7.140625" hidden="1" customWidth="1"/>
    <col min="27" max="27" width="8.140625" hidden="1" customWidth="1"/>
    <col min="28" max="28" width="8.28515625" hidden="1" customWidth="1"/>
    <col min="29" max="30" width="7.140625" hidden="1" customWidth="1"/>
    <col min="31" max="31" width="8.140625" hidden="1" customWidth="1"/>
    <col min="32" max="32" width="8.28515625" hidden="1" customWidth="1"/>
    <col min="33" max="33" width="7.140625" hidden="1" customWidth="1"/>
    <col min="34" max="34" width="7" hidden="1" customWidth="1"/>
    <col min="35" max="35" width="8.140625" hidden="1" customWidth="1"/>
    <col min="36" max="37" width="8.28515625" hidden="1" customWidth="1"/>
    <col min="38" max="40" width="7.140625" hidden="1" customWidth="1"/>
    <col min="41" max="41" width="8.140625" hidden="1" customWidth="1"/>
    <col min="42" max="42" width="8.28515625" hidden="1" customWidth="1"/>
    <col min="43" max="44" width="7.140625" hidden="1" customWidth="1"/>
    <col min="45" max="45" width="8.140625" hidden="1" customWidth="1"/>
    <col min="46" max="46" width="8.28515625" hidden="1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5172" hidden="1" customWidth="1"/>
    <col min="60" max="60" width="10.140625" style="5172" customWidth="1"/>
    <col min="61" max="61" width="8.140625" hidden="1" customWidth="1"/>
    <col min="62" max="62" width="10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392" t="s">
        <v>2259</v>
      </c>
      <c r="C1" s="7392"/>
      <c r="D1" s="7392"/>
      <c r="E1" s="7392"/>
      <c r="F1" s="7392"/>
      <c r="G1" s="7392"/>
      <c r="H1" s="7392"/>
      <c r="I1" s="7392"/>
      <c r="J1" s="7392"/>
      <c r="K1" s="7392"/>
      <c r="L1" s="7392"/>
      <c r="M1" s="7392"/>
      <c r="N1" s="7392"/>
      <c r="O1" s="7392"/>
      <c r="P1" s="7392"/>
      <c r="Q1" s="7392"/>
      <c r="R1" s="7392"/>
      <c r="S1" s="7392"/>
      <c r="T1" s="7392"/>
      <c r="U1" s="7392"/>
      <c r="V1" s="7392"/>
      <c r="W1" s="7392"/>
      <c r="X1" s="7392"/>
      <c r="Y1" s="7392"/>
      <c r="Z1" s="7392"/>
      <c r="AA1" s="7392"/>
      <c r="AB1" s="7392"/>
      <c r="AC1" s="7392"/>
      <c r="AD1" s="7392"/>
      <c r="AE1" s="7392"/>
      <c r="AF1" s="7392"/>
      <c r="AG1" s="7392"/>
      <c r="AH1" s="7392"/>
      <c r="AI1" s="7392"/>
      <c r="AJ1" s="7392"/>
      <c r="AK1" s="7392"/>
      <c r="AL1" s="7392"/>
      <c r="AM1" s="7392"/>
      <c r="AN1" s="7392"/>
      <c r="AO1" s="7392"/>
      <c r="AP1" s="7392"/>
      <c r="AQ1" s="7392"/>
      <c r="AR1" s="7392"/>
      <c r="AS1" s="7392"/>
      <c r="AT1" s="7392"/>
      <c r="AU1" s="7392"/>
      <c r="AV1" s="7392"/>
      <c r="AW1" s="7392"/>
      <c r="AX1" s="7392"/>
      <c r="AY1" s="7392"/>
      <c r="AZ1" s="7392"/>
      <c r="BA1" s="7392"/>
      <c r="BB1" s="7392"/>
      <c r="BC1" s="7392"/>
      <c r="BD1" s="7392"/>
      <c r="BE1" s="7392"/>
      <c r="BF1" s="7392"/>
      <c r="BG1" s="7392"/>
      <c r="BH1" s="7392"/>
      <c r="BI1" s="7392"/>
      <c r="BJ1" s="7392"/>
      <c r="BK1" s="7392"/>
      <c r="BL1" s="7392"/>
      <c r="BM1" s="7392"/>
      <c r="BN1" s="7392"/>
      <c r="BO1" s="7392"/>
      <c r="BP1" s="7392"/>
      <c r="BQ1" s="7392"/>
      <c r="BR1" s="7392"/>
      <c r="BS1" s="7392"/>
    </row>
    <row r="2" spans="1:73" ht="19.5" thickBot="1" x14ac:dyDescent="0.35">
      <c r="A2" s="93"/>
      <c r="B2" s="2340"/>
      <c r="C2" s="2984"/>
      <c r="D2" s="2937">
        <v>365</v>
      </c>
      <c r="E2" s="2937">
        <v>30</v>
      </c>
      <c r="F2" s="2937">
        <v>30</v>
      </c>
      <c r="G2" s="2937">
        <v>31</v>
      </c>
      <c r="H2" s="2937">
        <v>31</v>
      </c>
      <c r="I2" s="2937">
        <f>+E2+G2</f>
        <v>61</v>
      </c>
      <c r="J2" s="2937">
        <f>+F2+H2</f>
        <v>61</v>
      </c>
      <c r="K2" s="2938">
        <v>30</v>
      </c>
      <c r="L2" s="2938">
        <v>30</v>
      </c>
      <c r="M2" s="2939">
        <f>+I2+K2</f>
        <v>91</v>
      </c>
      <c r="N2" s="2939">
        <f>+J2+L2</f>
        <v>91</v>
      </c>
      <c r="O2" s="2938">
        <v>31</v>
      </c>
      <c r="P2" s="2937">
        <v>31</v>
      </c>
      <c r="Q2" s="2940">
        <f>+M2+O2</f>
        <v>122</v>
      </c>
      <c r="R2" s="2940">
        <f>+N2+P2</f>
        <v>122</v>
      </c>
      <c r="S2" s="2940">
        <v>31</v>
      </c>
      <c r="T2" s="2940">
        <v>31</v>
      </c>
      <c r="U2" s="2940">
        <f>+Q2+S2</f>
        <v>153</v>
      </c>
      <c r="V2" s="2940">
        <f>+R2+T2</f>
        <v>153</v>
      </c>
      <c r="W2" s="2940">
        <v>30</v>
      </c>
      <c r="X2" s="2940">
        <v>30</v>
      </c>
      <c r="Y2" s="2940">
        <f>+O2+S2+W2</f>
        <v>92</v>
      </c>
      <c r="Z2" s="2940">
        <f>+P2+T2+X2</f>
        <v>92</v>
      </c>
      <c r="AA2" s="2940">
        <f>+U2+W2</f>
        <v>183</v>
      </c>
      <c r="AB2" s="2940">
        <f>+V2+X2</f>
        <v>183</v>
      </c>
      <c r="AC2" s="2940">
        <v>31</v>
      </c>
      <c r="AD2" s="2940">
        <v>31</v>
      </c>
      <c r="AE2" s="2940">
        <f>+AA2+AC2</f>
        <v>214</v>
      </c>
      <c r="AF2" s="2940">
        <f>+AB2+AD2</f>
        <v>214</v>
      </c>
      <c r="AG2" s="2940">
        <v>30</v>
      </c>
      <c r="AH2" s="2940">
        <v>30</v>
      </c>
      <c r="AI2" s="2940">
        <f>+AE2+AG2</f>
        <v>244</v>
      </c>
      <c r="AJ2" s="2940">
        <f>+AF2+AH2</f>
        <v>244</v>
      </c>
      <c r="AK2" s="2940">
        <v>31</v>
      </c>
      <c r="AL2" s="2940">
        <v>31</v>
      </c>
      <c r="AM2" s="2940">
        <f>+AC2+AG2+AK2</f>
        <v>92</v>
      </c>
      <c r="AN2" s="2940">
        <f>+AD2+AH2+AL2</f>
        <v>92</v>
      </c>
      <c r="AO2" s="2940">
        <f>+AI2+AK2</f>
        <v>275</v>
      </c>
      <c r="AP2" s="2940">
        <f>+AJ2+AL2</f>
        <v>275</v>
      </c>
      <c r="AQ2" s="2940">
        <v>31</v>
      </c>
      <c r="AR2" s="2940">
        <v>31</v>
      </c>
      <c r="AS2" s="2940">
        <f>+AO2+AQ2</f>
        <v>306</v>
      </c>
      <c r="AT2" s="2940">
        <f>+AP2+AR2</f>
        <v>306</v>
      </c>
      <c r="AU2" s="2940">
        <v>28</v>
      </c>
      <c r="AV2" s="2940">
        <v>28</v>
      </c>
      <c r="AW2" s="2940">
        <f>+AS2+AU2</f>
        <v>334</v>
      </c>
      <c r="AX2" s="2940">
        <f>+AT2+AV2</f>
        <v>334</v>
      </c>
      <c r="AY2" s="2940">
        <v>31</v>
      </c>
      <c r="AZ2" s="2940">
        <v>31</v>
      </c>
      <c r="BA2" s="2940">
        <f>+AQ2+AU2+AY2</f>
        <v>90</v>
      </c>
      <c r="BB2" s="2940">
        <f>+AR2+AV2+AZ2</f>
        <v>90</v>
      </c>
      <c r="BC2" s="2940">
        <f>+AM2+BA2</f>
        <v>182</v>
      </c>
      <c r="BD2" s="2940">
        <f>+AN2+BB2</f>
        <v>182</v>
      </c>
      <c r="BE2" s="2940">
        <f>+AW2+AY2</f>
        <v>365</v>
      </c>
      <c r="BF2" s="2940">
        <f>+AX2+AZ2</f>
        <v>365</v>
      </c>
      <c r="BG2" s="2940"/>
      <c r="BH2" s="2940"/>
      <c r="BI2" s="2940"/>
      <c r="BJ2" s="2940"/>
      <c r="BK2" s="2940"/>
      <c r="BL2" s="2940"/>
      <c r="BM2" s="2940"/>
      <c r="BN2" s="2940"/>
      <c r="BO2" s="2940">
        <v>365</v>
      </c>
      <c r="BP2" s="2941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407" t="s">
        <v>171</v>
      </c>
      <c r="C3" s="7409" t="s">
        <v>172</v>
      </c>
      <c r="D3" s="7413" t="s">
        <v>2256</v>
      </c>
      <c r="E3" s="7411" t="s">
        <v>2254</v>
      </c>
      <c r="F3" s="7393"/>
      <c r="G3" s="7393" t="s">
        <v>2306</v>
      </c>
      <c r="H3" s="7412"/>
      <c r="I3" s="7401" t="s">
        <v>14</v>
      </c>
      <c r="J3" s="7394"/>
      <c r="K3" s="7398" t="s">
        <v>1903</v>
      </c>
      <c r="L3" s="7398"/>
      <c r="M3" s="7397" t="s">
        <v>637</v>
      </c>
      <c r="N3" s="7397"/>
      <c r="O3" s="7393" t="s">
        <v>1937</v>
      </c>
      <c r="P3" s="7393"/>
      <c r="Q3" s="7394" t="s">
        <v>17</v>
      </c>
      <c r="R3" s="7394"/>
      <c r="S3" s="7393" t="s">
        <v>1961</v>
      </c>
      <c r="T3" s="7393"/>
      <c r="U3" s="7394" t="s">
        <v>18</v>
      </c>
      <c r="V3" s="7394"/>
      <c r="W3" s="7393" t="s">
        <v>1983</v>
      </c>
      <c r="X3" s="7393"/>
      <c r="Y3" s="7397" t="s">
        <v>660</v>
      </c>
      <c r="Z3" s="7397"/>
      <c r="AA3" s="7395" t="s">
        <v>657</v>
      </c>
      <c r="AB3" s="7396"/>
      <c r="AC3" s="7393" t="s">
        <v>2002</v>
      </c>
      <c r="AD3" s="7393"/>
      <c r="AE3" s="7394" t="s">
        <v>24</v>
      </c>
      <c r="AF3" s="7394"/>
      <c r="AG3" s="7393" t="s">
        <v>2018</v>
      </c>
      <c r="AH3" s="7393"/>
      <c r="AI3" s="7394" t="s">
        <v>27</v>
      </c>
      <c r="AJ3" s="7394"/>
      <c r="AK3" s="7404" t="s">
        <v>2033</v>
      </c>
      <c r="AL3" s="7405"/>
      <c r="AM3" s="7402" t="s">
        <v>662</v>
      </c>
      <c r="AN3" s="7403"/>
      <c r="AO3" s="7400" t="s">
        <v>918</v>
      </c>
      <c r="AP3" s="7401"/>
      <c r="AQ3" s="7393" t="s">
        <v>2137</v>
      </c>
      <c r="AR3" s="7393"/>
      <c r="AS3" s="7394" t="s">
        <v>28</v>
      </c>
      <c r="AT3" s="7394"/>
      <c r="AU3" s="7399" t="s">
        <v>2151</v>
      </c>
      <c r="AV3" s="7399"/>
      <c r="AW3" s="7415" t="s">
        <v>30</v>
      </c>
      <c r="AX3" s="7416"/>
      <c r="AY3" s="7399" t="s">
        <v>2163</v>
      </c>
      <c r="AZ3" s="7399"/>
      <c r="BA3" s="7420" t="s">
        <v>663</v>
      </c>
      <c r="BB3" s="7421"/>
      <c r="BC3" s="7395" t="s">
        <v>671</v>
      </c>
      <c r="BD3" s="7396"/>
      <c r="BE3" s="7415" t="s">
        <v>1765</v>
      </c>
      <c r="BF3" s="7417"/>
      <c r="BG3" s="7418" t="s">
        <v>1765</v>
      </c>
      <c r="BH3" s="7419"/>
      <c r="BI3" s="7418" t="s">
        <v>1408</v>
      </c>
      <c r="BJ3" s="7419"/>
      <c r="BK3" s="7418" t="s">
        <v>1257</v>
      </c>
      <c r="BL3" s="7419"/>
      <c r="BM3" s="7418" t="s">
        <v>947</v>
      </c>
      <c r="BN3" s="7419"/>
      <c r="BO3" s="7418" t="s">
        <v>679</v>
      </c>
      <c r="BP3" s="7419"/>
      <c r="BQ3" s="7336" t="s">
        <v>669</v>
      </c>
      <c r="BR3" s="7337"/>
      <c r="BS3" s="1194" t="s">
        <v>628</v>
      </c>
    </row>
    <row r="4" spans="1:73" ht="19.5" thickBot="1" x14ac:dyDescent="0.3">
      <c r="A4" s="93"/>
      <c r="B4" s="7408"/>
      <c r="C4" s="7410"/>
      <c r="D4" s="7414"/>
      <c r="E4" s="2942" t="s">
        <v>173</v>
      </c>
      <c r="F4" s="2943" t="s">
        <v>174</v>
      </c>
      <c r="G4" s="2943" t="s">
        <v>173</v>
      </c>
      <c r="H4" s="1006" t="s">
        <v>174</v>
      </c>
      <c r="I4" s="2944" t="s">
        <v>173</v>
      </c>
      <c r="J4" s="2945" t="s">
        <v>174</v>
      </c>
      <c r="K4" s="2586" t="s">
        <v>173</v>
      </c>
      <c r="L4" s="2586" t="s">
        <v>174</v>
      </c>
      <c r="M4" s="2946" t="s">
        <v>173</v>
      </c>
      <c r="N4" s="2946" t="s">
        <v>174</v>
      </c>
      <c r="O4" s="2586" t="s">
        <v>173</v>
      </c>
      <c r="P4" s="2943" t="s">
        <v>174</v>
      </c>
      <c r="Q4" s="2945" t="s">
        <v>173</v>
      </c>
      <c r="R4" s="2945" t="s">
        <v>174</v>
      </c>
      <c r="S4" s="2943" t="s">
        <v>173</v>
      </c>
      <c r="T4" s="2943" t="s">
        <v>174</v>
      </c>
      <c r="U4" s="2945" t="s">
        <v>173</v>
      </c>
      <c r="V4" s="2945" t="s">
        <v>174</v>
      </c>
      <c r="W4" s="2943" t="s">
        <v>173</v>
      </c>
      <c r="X4" s="2943" t="s">
        <v>174</v>
      </c>
      <c r="Y4" s="2946" t="s">
        <v>173</v>
      </c>
      <c r="Z4" s="2946" t="s">
        <v>174</v>
      </c>
      <c r="AA4" s="2947" t="s">
        <v>173</v>
      </c>
      <c r="AB4" s="2947" t="s">
        <v>174</v>
      </c>
      <c r="AC4" s="2943" t="s">
        <v>173</v>
      </c>
      <c r="AD4" s="2943" t="s">
        <v>174</v>
      </c>
      <c r="AE4" s="2945" t="s">
        <v>173</v>
      </c>
      <c r="AF4" s="2945" t="s">
        <v>174</v>
      </c>
      <c r="AG4" s="2943" t="s">
        <v>173</v>
      </c>
      <c r="AH4" s="2943" t="s">
        <v>174</v>
      </c>
      <c r="AI4" s="2945" t="s">
        <v>173</v>
      </c>
      <c r="AJ4" s="2945" t="s">
        <v>174</v>
      </c>
      <c r="AK4" s="2943" t="s">
        <v>173</v>
      </c>
      <c r="AL4" s="2943" t="s">
        <v>174</v>
      </c>
      <c r="AM4" s="2946" t="s">
        <v>173</v>
      </c>
      <c r="AN4" s="2946" t="s">
        <v>174</v>
      </c>
      <c r="AO4" s="2945" t="s">
        <v>173</v>
      </c>
      <c r="AP4" s="2945" t="s">
        <v>174</v>
      </c>
      <c r="AQ4" s="2943" t="s">
        <v>173</v>
      </c>
      <c r="AR4" s="2943" t="s">
        <v>174</v>
      </c>
      <c r="AS4" s="2945" t="s">
        <v>173</v>
      </c>
      <c r="AT4" s="2945" t="s">
        <v>174</v>
      </c>
      <c r="AU4" s="2134" t="s">
        <v>173</v>
      </c>
      <c r="AV4" s="208" t="s">
        <v>174</v>
      </c>
      <c r="AW4" s="2912" t="s">
        <v>173</v>
      </c>
      <c r="AX4" s="210" t="s">
        <v>174</v>
      </c>
      <c r="AY4" s="2134" t="s">
        <v>173</v>
      </c>
      <c r="AZ4" s="208" t="s">
        <v>174</v>
      </c>
      <c r="BA4" s="2948" t="s">
        <v>173</v>
      </c>
      <c r="BB4" s="2949" t="s">
        <v>174</v>
      </c>
      <c r="BC4" s="2947" t="s">
        <v>173</v>
      </c>
      <c r="BD4" s="2947" t="s">
        <v>174</v>
      </c>
      <c r="BE4" s="2912" t="s">
        <v>173</v>
      </c>
      <c r="BF4" s="2140" t="s">
        <v>174</v>
      </c>
      <c r="BG4" s="7252" t="s">
        <v>173</v>
      </c>
      <c r="BH4" s="2951" t="s">
        <v>174</v>
      </c>
      <c r="BI4" s="3310" t="s">
        <v>173</v>
      </c>
      <c r="BJ4" s="2951" t="s">
        <v>174</v>
      </c>
      <c r="BK4" s="2950" t="s">
        <v>173</v>
      </c>
      <c r="BL4" s="2951" t="s">
        <v>174</v>
      </c>
      <c r="BM4" s="2952" t="s">
        <v>173</v>
      </c>
      <c r="BN4" s="2951" t="s">
        <v>174</v>
      </c>
      <c r="BO4" s="2952" t="s">
        <v>173</v>
      </c>
      <c r="BP4" s="2951" t="s">
        <v>174</v>
      </c>
      <c r="BQ4" s="1096" t="s">
        <v>173</v>
      </c>
      <c r="BR4" s="1097" t="s">
        <v>174</v>
      </c>
      <c r="BS4" s="1097" t="s">
        <v>174</v>
      </c>
    </row>
    <row r="5" spans="1:73" ht="18.75" x14ac:dyDescent="0.25">
      <c r="A5" s="93"/>
      <c r="B5" s="2993" t="s">
        <v>361</v>
      </c>
      <c r="C5" s="4665" t="s">
        <v>49</v>
      </c>
      <c r="D5" s="136">
        <v>70</v>
      </c>
      <c r="E5" s="964">
        <f>+$D$5</f>
        <v>70</v>
      </c>
      <c r="F5" s="103">
        <f>('Maj Production Summ'!F14*100)/('Maj Production Summ'!F10*31.55)</f>
        <v>70.5</v>
      </c>
      <c r="G5" s="964">
        <f>+$D$5</f>
        <v>70</v>
      </c>
      <c r="H5" s="103">
        <f>('Maj Production Summ'!H14*100)/('Maj Production Summ'!H10*31.55)</f>
        <v>70.5</v>
      </c>
      <c r="I5" s="435">
        <f>+$D$5</f>
        <v>70</v>
      </c>
      <c r="J5" s="348">
        <f>('Maj Production Summ'!J14*100)/('Maj Production Summ'!J10*31.55)</f>
        <v>70.5</v>
      </c>
      <c r="K5" s="964">
        <f>+$D$5</f>
        <v>70</v>
      </c>
      <c r="L5" s="103">
        <f>('Maj Production Summ'!L14*100)/('Maj Production Summ'!L10*31.55)</f>
        <v>70.010000000000005</v>
      </c>
      <c r="M5" s="452">
        <f>+$D$5</f>
        <v>70</v>
      </c>
      <c r="N5" s="452">
        <f>('Maj Production Summ'!N14*100)/('Maj Production Summ'!N10*31.55)</f>
        <v>70.339125169760081</v>
      </c>
      <c r="O5" s="964">
        <f>+$D$5</f>
        <v>70</v>
      </c>
      <c r="P5" s="103">
        <f>('Maj Production Summ'!P14*100)/('Maj Production Summ'!P10*31.55)</f>
        <v>70.503373452126255</v>
      </c>
      <c r="Q5" s="348">
        <f>+$D$5</f>
        <v>70</v>
      </c>
      <c r="R5" s="348">
        <f>('Maj Production Summ'!R14*100)/('Maj Production Summ'!R10*31.55)</f>
        <v>70.381405402459251</v>
      </c>
      <c r="S5" s="964">
        <f>+$D$5</f>
        <v>70</v>
      </c>
      <c r="T5" s="103">
        <f>('Maj Production Summ'!T14*100)/('Maj Production Summ'!T10*31.55)</f>
        <v>70.5</v>
      </c>
      <c r="U5" s="348">
        <f>+$D$5</f>
        <v>70</v>
      </c>
      <c r="V5" s="348">
        <f>('Maj Production Summ'!V14*100)/('Maj Production Summ'!V10*31.55)</f>
        <v>70.405652395792117</v>
      </c>
      <c r="W5" s="964">
        <f>+$D$5</f>
        <v>70</v>
      </c>
      <c r="X5" s="103">
        <f>('Maj Production Summ'!X14*100)/('Maj Production Summ'!X10*31.55)</f>
        <v>70.5</v>
      </c>
      <c r="Y5" s="452">
        <f>+$D$5</f>
        <v>70</v>
      </c>
      <c r="Z5" s="452">
        <f>('Maj Production Summ'!Z14*100)/('Maj Production Summ'!Z10*31.55)</f>
        <v>70.501139237471079</v>
      </c>
      <c r="AA5" s="472">
        <f>+$D$5</f>
        <v>70</v>
      </c>
      <c r="AB5" s="472">
        <f>('Maj Production Summ'!AB14*100)/('Maj Production Summ'!AB10*31.55)</f>
        <v>70.421190823403478</v>
      </c>
      <c r="AC5" s="964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70.425906454233441</v>
      </c>
      <c r="AG5" s="1149">
        <f>+$D$5</f>
        <v>70</v>
      </c>
      <c r="AH5" s="1149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70.433513836659529</v>
      </c>
      <c r="AK5" s="1149">
        <f>+$D$5</f>
        <v>70</v>
      </c>
      <c r="AL5" s="1149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70.385289618275166</v>
      </c>
      <c r="AQ5" s="1149">
        <f>+$D$5</f>
        <v>70</v>
      </c>
      <c r="AR5" s="1149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70.406727615777456</v>
      </c>
      <c r="AU5" s="1149">
        <f>+$D$5</f>
        <v>70</v>
      </c>
      <c r="AV5" s="1149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70.414605157731273</v>
      </c>
      <c r="AY5" s="1149">
        <f>+$D$5</f>
        <v>70</v>
      </c>
      <c r="AZ5" s="1149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70.4219244420986</v>
      </c>
      <c r="BG5" s="1195">
        <v>70</v>
      </c>
      <c r="BH5" s="1196">
        <v>70.341275484250673</v>
      </c>
      <c r="BI5" s="1195">
        <v>69.500000000000028</v>
      </c>
      <c r="BJ5" s="1196">
        <v>69.398028518298972</v>
      </c>
      <c r="BK5" s="1195">
        <v>69.5</v>
      </c>
      <c r="BL5" s="1196">
        <v>69.459875135267765</v>
      </c>
      <c r="BM5" s="1195">
        <v>70.500002850729032</v>
      </c>
      <c r="BN5" s="1196">
        <v>69.798394297532738</v>
      </c>
      <c r="BO5" s="2953">
        <v>70.99978732308368</v>
      </c>
      <c r="BP5" s="2954">
        <v>72.813877092165015</v>
      </c>
      <c r="BQ5" s="1195">
        <v>66.5</v>
      </c>
      <c r="BR5" s="1196">
        <v>67.485669750420143</v>
      </c>
      <c r="BS5" s="1196">
        <v>67.015011462089603</v>
      </c>
      <c r="BT5" s="5389"/>
      <c r="BU5" s="6601"/>
    </row>
    <row r="6" spans="1:73" ht="15" customHeight="1" x14ac:dyDescent="0.25">
      <c r="A6" s="154"/>
      <c r="B6" s="4687" t="s">
        <v>359</v>
      </c>
      <c r="C6" s="403"/>
      <c r="D6" s="5234"/>
      <c r="E6" s="1339"/>
      <c r="F6" s="205"/>
      <c r="G6" s="1339"/>
      <c r="H6" s="205"/>
      <c r="I6" s="5231"/>
      <c r="J6" s="205"/>
      <c r="K6" s="1339"/>
      <c r="L6" s="205"/>
      <c r="M6" s="205"/>
      <c r="N6" s="5209"/>
      <c r="O6" s="1339"/>
      <c r="P6" s="205"/>
      <c r="Q6" s="205"/>
      <c r="R6" s="5209"/>
      <c r="S6" s="1339"/>
      <c r="T6" s="205"/>
      <c r="U6" s="205"/>
      <c r="V6" s="5209"/>
      <c r="W6" s="1339"/>
      <c r="X6" s="205"/>
      <c r="Y6" s="205"/>
      <c r="Z6" s="5209"/>
      <c r="AA6" s="205"/>
      <c r="AB6" s="5209"/>
      <c r="AC6" s="1339"/>
      <c r="AD6" s="205"/>
      <c r="AE6" s="205"/>
      <c r="AF6" s="5209"/>
      <c r="AG6" s="205"/>
      <c r="AH6" s="205"/>
      <c r="AI6" s="205"/>
      <c r="AJ6" s="5209"/>
      <c r="AK6" s="205"/>
      <c r="AL6" s="205"/>
      <c r="AM6" s="205"/>
      <c r="AN6" s="5209"/>
      <c r="AO6" s="205"/>
      <c r="AP6" s="5209"/>
      <c r="AQ6" s="205"/>
      <c r="AR6" s="205"/>
      <c r="AS6" s="205"/>
      <c r="AT6" s="5209"/>
      <c r="AU6" s="205"/>
      <c r="AV6" s="205"/>
      <c r="AW6" s="205"/>
      <c r="AX6" s="5209"/>
      <c r="AY6" s="205"/>
      <c r="AZ6" s="205"/>
      <c r="BA6" s="205"/>
      <c r="BB6" s="5209"/>
      <c r="BC6" s="205"/>
      <c r="BD6" s="5209"/>
      <c r="BE6" s="205"/>
      <c r="BF6" s="5232"/>
      <c r="BG6" s="5233"/>
      <c r="BH6" s="5232"/>
      <c r="BI6" s="5233"/>
      <c r="BJ6" s="5232"/>
      <c r="BK6" s="5233"/>
      <c r="BL6" s="5232"/>
      <c r="BM6" s="5232"/>
      <c r="BN6" s="5232"/>
      <c r="BO6" s="4688"/>
      <c r="BP6" s="4688"/>
      <c r="BQ6" s="4689"/>
      <c r="BR6" s="4689"/>
      <c r="BS6" s="4690"/>
      <c r="BT6" s="5389"/>
      <c r="BU6" s="6601"/>
    </row>
    <row r="7" spans="1:73" ht="18.75" x14ac:dyDescent="0.25">
      <c r="A7" s="93"/>
      <c r="B7" s="5657" t="s">
        <v>349</v>
      </c>
      <c r="C7" s="4137" t="s">
        <v>49</v>
      </c>
      <c r="D7" s="7129">
        <v>92</v>
      </c>
      <c r="E7" s="775">
        <f>+$D$7</f>
        <v>92</v>
      </c>
      <c r="F7" s="102">
        <f>'COKE OVENS'!F149</f>
        <v>89.466617312982208</v>
      </c>
      <c r="G7" s="775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5">
        <f>+$D$7</f>
        <v>92</v>
      </c>
      <c r="L7" s="102">
        <f>'COKE OVENS'!L149</f>
        <v>94.999981892521248</v>
      </c>
      <c r="M7" s="353">
        <f>+$D$7</f>
        <v>92</v>
      </c>
      <c r="N7" s="353">
        <f>'COKE OVENS'!N149</f>
        <v>91.891228838826791</v>
      </c>
      <c r="O7" s="775">
        <f>+$D$7</f>
        <v>92</v>
      </c>
      <c r="P7" s="102">
        <f>'COKE OVENS'!P149</f>
        <v>95.000052472687969</v>
      </c>
      <c r="Q7" s="266">
        <f>+$D$7</f>
        <v>92</v>
      </c>
      <c r="R7" s="266">
        <f>'COKE OVENS'!R149</f>
        <v>92.682228886842722</v>
      </c>
      <c r="S7" s="775">
        <f>+$D$7</f>
        <v>92</v>
      </c>
      <c r="T7" s="102">
        <f>'COKE OVENS'!T149</f>
        <v>93.451695194206707</v>
      </c>
      <c r="U7" s="266">
        <f>+$D$7</f>
        <v>92</v>
      </c>
      <c r="V7" s="266">
        <f>'COKE OVENS'!V149</f>
        <v>92.840806990307456</v>
      </c>
      <c r="W7" s="775">
        <f>+$D$7</f>
        <v>92</v>
      </c>
      <c r="X7" s="102">
        <f>'COKE OVENS'!X149</f>
        <v>92.000070861678012</v>
      </c>
      <c r="Y7" s="353">
        <f>+$D$7</f>
        <v>92</v>
      </c>
      <c r="Z7" s="353">
        <f>'COKE OVENS'!Z149</f>
        <v>93.489975585954539</v>
      </c>
      <c r="AA7" s="5201">
        <f>+$D$7</f>
        <v>92</v>
      </c>
      <c r="AB7" s="466">
        <f>'COKE OVENS'!AB149</f>
        <v>92.701011164431236</v>
      </c>
      <c r="AC7" s="775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92.59946415784195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92.322991955390592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92.286469430772854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92.257365859319009</v>
      </c>
      <c r="AU7" s="191">
        <f>+$D$7</f>
        <v>92</v>
      </c>
      <c r="AV7" s="191">
        <f>'COKE OVENS'!AV149</f>
        <v>90.285714285714292</v>
      </c>
      <c r="AW7" s="266">
        <f>+$D$7</f>
        <v>92</v>
      </c>
      <c r="AX7" s="266">
        <f>'COKE OVENS'!AX149</f>
        <v>92.092187575717261</v>
      </c>
      <c r="AY7" s="191">
        <f>+$D$7</f>
        <v>92</v>
      </c>
      <c r="AZ7" s="191">
        <f>'COKE OVENS'!AZ149</f>
        <v>89.032227052667253</v>
      </c>
      <c r="BA7" s="452">
        <f>+$D$7</f>
        <v>92</v>
      </c>
      <c r="BB7" s="452">
        <f>'COKE OVENS'!BB149</f>
        <v>90.444569295046733</v>
      </c>
      <c r="BC7" s="472">
        <f>+$D$7</f>
        <v>92</v>
      </c>
      <c r="BD7" s="472">
        <f>'COKE OVENS'!BD149</f>
        <v>90.950596174008496</v>
      </c>
      <c r="BE7" s="348">
        <f>+$D$7</f>
        <v>92</v>
      </c>
      <c r="BF7" s="348">
        <f>'COKE OVENS'!BF149</f>
        <v>91.831676606159832</v>
      </c>
      <c r="BG7" s="1103">
        <v>95</v>
      </c>
      <c r="BH7" s="1197">
        <v>92.468483882270078</v>
      </c>
      <c r="BI7" s="1103">
        <v>92</v>
      </c>
      <c r="BJ7" s="1197">
        <v>90.939873157833944</v>
      </c>
      <c r="BK7" s="1103">
        <v>92</v>
      </c>
      <c r="BL7" s="1197">
        <v>89.651305773130588</v>
      </c>
      <c r="BM7" s="1103">
        <v>95</v>
      </c>
      <c r="BN7" s="1197">
        <v>93.865971705137753</v>
      </c>
      <c r="BO7" s="2957">
        <v>94.377234802612818</v>
      </c>
      <c r="BP7" s="2958">
        <v>94.023330283623039</v>
      </c>
      <c r="BQ7" s="1103">
        <v>90</v>
      </c>
      <c r="BR7" s="1197">
        <v>91.425994537590384</v>
      </c>
      <c r="BS7" s="1197">
        <v>91.808305695910761</v>
      </c>
      <c r="BT7" s="5389"/>
      <c r="BU7" s="6601"/>
    </row>
    <row r="8" spans="1:73" ht="19.5" thickBot="1" x14ac:dyDescent="0.3">
      <c r="A8" s="93"/>
      <c r="B8" s="2982" t="s">
        <v>360</v>
      </c>
      <c r="C8" s="4666" t="s">
        <v>49</v>
      </c>
      <c r="D8" s="7130">
        <v>97</v>
      </c>
      <c r="E8" s="1346">
        <f>+$D$8</f>
        <v>97</v>
      </c>
      <c r="F8" s="5236">
        <f>'COKE OVENS'!F174</f>
        <v>94.592173017507719</v>
      </c>
      <c r="G8" s="1346">
        <f>+$D$8</f>
        <v>97</v>
      </c>
      <c r="H8" s="5236">
        <f>'COKE OVENS'!H174</f>
        <v>94.99999761388338</v>
      </c>
      <c r="I8" s="5237">
        <f>+$D$8</f>
        <v>97</v>
      </c>
      <c r="J8" s="603">
        <f>'COKE OVENS'!J174</f>
        <v>94.799830302761691</v>
      </c>
      <c r="K8" s="1346">
        <f>+$D$8</f>
        <v>97</v>
      </c>
      <c r="L8" s="5236">
        <f>'COKE OVENS'!L174</f>
        <v>100</v>
      </c>
      <c r="M8" s="999">
        <f>+$D$8</f>
        <v>97</v>
      </c>
      <c r="N8" s="999">
        <f>'COKE OVENS'!N174</f>
        <v>96.507139889434484</v>
      </c>
      <c r="O8" s="1346">
        <f>+$D$8</f>
        <v>97</v>
      </c>
      <c r="P8" s="5236">
        <f>'COKE OVENS'!P174</f>
        <v>100</v>
      </c>
      <c r="Q8" s="603">
        <f>+$D$8</f>
        <v>97</v>
      </c>
      <c r="R8" s="603">
        <f>'COKE OVENS'!R174</f>
        <v>97.40626434784032</v>
      </c>
      <c r="S8" s="1346">
        <f>+$D$8</f>
        <v>97</v>
      </c>
      <c r="T8" s="5236">
        <f>'COKE OVENS'!T174</f>
        <v>100</v>
      </c>
      <c r="U8" s="603">
        <f>+$D$8</f>
        <v>97</v>
      </c>
      <c r="V8" s="603">
        <f>'COKE OVENS'!V174</f>
        <v>97.936562726895403</v>
      </c>
      <c r="W8" s="1346">
        <f>+$D$8</f>
        <v>97</v>
      </c>
      <c r="X8" s="5236">
        <f>'COKE OVENS'!X174</f>
        <v>97.799998669381651</v>
      </c>
      <c r="Y8" s="999">
        <f>+$D$8</f>
        <v>97</v>
      </c>
      <c r="Z8" s="999">
        <f>'COKE OVENS'!Z174</f>
        <v>99.284860142098637</v>
      </c>
      <c r="AA8" s="5195">
        <f>+$D$8</f>
        <v>97</v>
      </c>
      <c r="AB8" s="5238">
        <f>'COKE OVENS'!AB174</f>
        <v>97.914077830625558</v>
      </c>
      <c r="AC8" s="1346">
        <f>+$D$8</f>
        <v>97</v>
      </c>
      <c r="AD8" s="5236">
        <f>'COKE OVENS'!AD174</f>
        <v>96.999628878928888</v>
      </c>
      <c r="AE8" s="603">
        <f>+$D$8</f>
        <v>97</v>
      </c>
      <c r="AF8" s="603">
        <f>'COKE OVENS'!AF174</f>
        <v>97.781687210167718</v>
      </c>
      <c r="AG8" s="5239">
        <f>+$D$8</f>
        <v>97</v>
      </c>
      <c r="AH8" s="5239">
        <f>'COKE OVENS'!AH174</f>
        <v>95.266662670908175</v>
      </c>
      <c r="AI8" s="603">
        <f>+$D$8</f>
        <v>97</v>
      </c>
      <c r="AJ8" s="603">
        <f>'COKE OVENS'!AJ174</f>
        <v>97.483136268752901</v>
      </c>
      <c r="AK8" s="5239">
        <f>+$D$8</f>
        <v>97</v>
      </c>
      <c r="AL8" s="5239">
        <f>'COKE OVENS'!AL174</f>
        <v>96.999995843116182</v>
      </c>
      <c r="AM8" s="999">
        <f>+$D$8</f>
        <v>97</v>
      </c>
      <c r="AN8" s="999">
        <f>'COKE OVENS'!AN174</f>
        <v>96.45090637411289</v>
      </c>
      <c r="AO8" s="603">
        <f>+$D$8</f>
        <v>97</v>
      </c>
      <c r="AP8" s="603">
        <f>'COKE OVENS'!AP174</f>
        <v>97.428116353496534</v>
      </c>
      <c r="AQ8" s="5239">
        <f>+$D$8</f>
        <v>97</v>
      </c>
      <c r="AR8" s="5239">
        <f>'COKE OVENS'!AR174</f>
        <v>96.999995843116182</v>
      </c>
      <c r="AS8" s="603">
        <f>+$D$8</f>
        <v>97</v>
      </c>
      <c r="AT8" s="603">
        <f>'COKE OVENS'!AT174</f>
        <v>97.384346583762948</v>
      </c>
      <c r="AU8" s="5239">
        <f>+$D$8</f>
        <v>97</v>
      </c>
      <c r="AV8" s="5239">
        <f>'COKE OVENS'!AV174</f>
        <v>97.000002931422728</v>
      </c>
      <c r="AW8" s="603">
        <f>+$D$8</f>
        <v>97</v>
      </c>
      <c r="AX8" s="603">
        <f>'COKE OVENS'!AX174</f>
        <v>97.351882916068973</v>
      </c>
      <c r="AY8" s="5239">
        <f>+$D$8</f>
        <v>97</v>
      </c>
      <c r="AZ8" s="5239">
        <f>'COKE OVENS'!AZ174</f>
        <v>95.387093247836503</v>
      </c>
      <c r="BA8" s="452">
        <f>+$D$8</f>
        <v>97</v>
      </c>
      <c r="BB8" s="452">
        <f>'COKE OVENS'!BB174</f>
        <v>96.443686731862385</v>
      </c>
      <c r="BC8" s="472">
        <f>+$D$8</f>
        <v>97</v>
      </c>
      <c r="BD8" s="472">
        <f>'COKE OVENS'!BD174</f>
        <v>96.447304279592444</v>
      </c>
      <c r="BE8" s="348">
        <f>+$D$8</f>
        <v>97</v>
      </c>
      <c r="BF8" s="348">
        <f>'COKE OVENS'!BF174</f>
        <v>97.183464405484429</v>
      </c>
      <c r="BG8" s="1683">
        <v>100</v>
      </c>
      <c r="BH8" s="1207">
        <v>97.818139447003276</v>
      </c>
      <c r="BI8" s="1683">
        <v>94</v>
      </c>
      <c r="BJ8" s="1207">
        <v>93.889003787888356</v>
      </c>
      <c r="BK8" s="1683">
        <v>94</v>
      </c>
      <c r="BL8" s="1207">
        <v>92.198587038217795</v>
      </c>
      <c r="BM8" s="1683">
        <v>95</v>
      </c>
      <c r="BN8" s="1207">
        <v>94.753433109833978</v>
      </c>
      <c r="BO8" s="2959">
        <v>94.836589147670892</v>
      </c>
      <c r="BP8" s="2960">
        <v>95.080612657941344</v>
      </c>
      <c r="BQ8" s="1683">
        <v>90</v>
      </c>
      <c r="BR8" s="1207">
        <v>96.370934540963361</v>
      </c>
      <c r="BS8" s="1207">
        <v>94.117212910536992</v>
      </c>
      <c r="BT8" s="5389"/>
      <c r="BU8" s="6601"/>
    </row>
    <row r="9" spans="1:73" ht="19.5" thickBot="1" x14ac:dyDescent="0.3">
      <c r="A9" s="93"/>
      <c r="B9" s="4691" t="s">
        <v>358</v>
      </c>
      <c r="C9" s="4692" t="s">
        <v>49</v>
      </c>
      <c r="D9" s="7128">
        <v>95.322290299597682</v>
      </c>
      <c r="E9" s="5240">
        <f>+$D$9</f>
        <v>95.322290299597682</v>
      </c>
      <c r="F9" s="5241">
        <f>'COKE OVENS'!F215</f>
        <v>92.782623883203556</v>
      </c>
      <c r="G9" s="5240">
        <f>+$D$9</f>
        <v>95.322290299597682</v>
      </c>
      <c r="H9" s="5241">
        <f>'COKE OVENS'!H215</f>
        <v>93.667281514284795</v>
      </c>
      <c r="I9" s="2498">
        <f>+$D$9</f>
        <v>95.322290299597682</v>
      </c>
      <c r="J9" s="5242">
        <f>'COKE OVENS'!J215</f>
        <v>93.233099399768022</v>
      </c>
      <c r="K9" s="5240">
        <f>+$D$9</f>
        <v>95.322290299597682</v>
      </c>
      <c r="L9" s="5241">
        <f>'COKE OVENS'!L215</f>
        <v>98.227713950605519</v>
      </c>
      <c r="M9" s="5243">
        <f>+$D$9</f>
        <v>95.322290299597682</v>
      </c>
      <c r="N9" s="5243">
        <f>'COKE OVENS'!N215</f>
        <v>94.875269559608114</v>
      </c>
      <c r="O9" s="5240">
        <f>+$D$9</f>
        <v>95.322290299597682</v>
      </c>
      <c r="P9" s="5241">
        <f>'COKE OVENS'!P215</f>
        <v>98.250206298265724</v>
      </c>
      <c r="Q9" s="5242">
        <f>+$D$9</f>
        <v>95.322290299597682</v>
      </c>
      <c r="R9" s="5242">
        <f>'COKE OVENS'!R215</f>
        <v>95.740491192200722</v>
      </c>
      <c r="S9" s="5240">
        <f>+$D$9</f>
        <v>95.322290299597682</v>
      </c>
      <c r="T9" s="5241">
        <f>'COKE OVENS'!T215</f>
        <v>97.675956149096592</v>
      </c>
      <c r="U9" s="5242">
        <f>+$D$9</f>
        <v>95.322290299597682</v>
      </c>
      <c r="V9" s="5242">
        <f>'COKE OVENS'!V215</f>
        <v>96.13732108821614</v>
      </c>
      <c r="W9" s="5240">
        <f>+$D$9</f>
        <v>95.322290299597682</v>
      </c>
      <c r="X9" s="5241">
        <f>'COKE OVENS'!X215</f>
        <v>95.736451893567065</v>
      </c>
      <c r="Y9" s="5243">
        <f>+$D$9</f>
        <v>95.322290299597682</v>
      </c>
      <c r="Z9" s="5243">
        <f>'COKE OVENS'!Z215</f>
        <v>97.236171952031867</v>
      </c>
      <c r="AA9" s="5244">
        <f>+$D$9</f>
        <v>95.322290299597682</v>
      </c>
      <c r="AB9" s="5244">
        <f>'COKE OVENS'!AB215</f>
        <v>96.071087983851356</v>
      </c>
      <c r="AC9" s="5240">
        <f>+$D$9</f>
        <v>95.322290299597682</v>
      </c>
      <c r="AD9" s="5241">
        <f>'COKE OVENS'!AD215</f>
        <v>95.230804232999446</v>
      </c>
      <c r="AE9" s="5242">
        <f>+$D$9</f>
        <v>95.322290299597682</v>
      </c>
      <c r="AF9" s="5242">
        <f>'COKE OVENS'!AF215</f>
        <v>95.949389166948862</v>
      </c>
      <c r="AG9" s="5245">
        <f>+$D$9</f>
        <v>95.322290299597682</v>
      </c>
      <c r="AH9" s="5245">
        <f>'COKE OVENS'!AH215</f>
        <v>93.50019743657765</v>
      </c>
      <c r="AI9" s="5242">
        <f>+$D$9</f>
        <v>95.322290299597682</v>
      </c>
      <c r="AJ9" s="5242">
        <f>'COKE OVENS'!AJ215</f>
        <v>95.658668350218733</v>
      </c>
      <c r="AK9" s="5245">
        <f>+$D$9</f>
        <v>95.322290299597682</v>
      </c>
      <c r="AL9" s="5245">
        <f>'COKE OVENS'!AL215</f>
        <v>95.241553208149213</v>
      </c>
      <c r="AM9" s="5243">
        <f>+$D$9</f>
        <v>95.322290299597682</v>
      </c>
      <c r="AN9" s="5243">
        <f>'COKE OVENS'!AN215</f>
        <v>94.685925174274573</v>
      </c>
      <c r="AO9" s="5242">
        <f>+$D$9</f>
        <v>95.322290299597682</v>
      </c>
      <c r="AP9" s="5242">
        <f>'COKE OVENS'!AP215</f>
        <v>95.611289849217911</v>
      </c>
      <c r="AQ9" s="5245">
        <f>+$D$9</f>
        <v>95.322290299597682</v>
      </c>
      <c r="AR9" s="5245">
        <f>'COKE OVENS'!AR215</f>
        <v>95.241553208149213</v>
      </c>
      <c r="AS9" s="5242">
        <f>+$D$9</f>
        <v>95.322290299597682</v>
      </c>
      <c r="AT9" s="5242">
        <f>'COKE OVENS'!AT215</f>
        <v>95.573576592900537</v>
      </c>
      <c r="AU9" s="5245">
        <f>+$D$9</f>
        <v>95.322290299597682</v>
      </c>
      <c r="AV9" s="5245">
        <f>'COKE OVENS'!AV215</f>
        <v>94.642311511595864</v>
      </c>
      <c r="AW9" s="5242">
        <f>+$D$9</f>
        <v>95.322290299597682</v>
      </c>
      <c r="AX9" s="5242">
        <f>'COKE OVENS'!AX215</f>
        <v>95.495143468031216</v>
      </c>
      <c r="AY9" s="5245">
        <f>+$D$9</f>
        <v>95.322290299597682</v>
      </c>
      <c r="AZ9" s="5245">
        <f>'COKE OVENS'!AZ215</f>
        <v>93.154562017189306</v>
      </c>
      <c r="BA9" s="452">
        <f>+$D$9</f>
        <v>95.322290299597682</v>
      </c>
      <c r="BB9" s="452">
        <f>'COKE OVENS'!BB215</f>
        <v>94.33567073526487</v>
      </c>
      <c r="BC9" s="472">
        <f>+$D$9</f>
        <v>95.322290299597682</v>
      </c>
      <c r="BD9" s="472">
        <f>'COKE OVENS'!BD215</f>
        <v>94.511390354399111</v>
      </c>
      <c r="BE9" s="348">
        <f>+$D$9</f>
        <v>95.322290299597682</v>
      </c>
      <c r="BF9" s="348">
        <f>'COKE OVENS'!BF215</f>
        <v>95.294994166841917</v>
      </c>
      <c r="BG9" s="5246">
        <v>98.275343312827886</v>
      </c>
      <c r="BH9" s="5247">
        <v>95.930697723131729</v>
      </c>
      <c r="BI9" s="5246">
        <v>93.289715727782763</v>
      </c>
      <c r="BJ9" s="5247">
        <v>92.833390112642292</v>
      </c>
      <c r="BK9" s="5246">
        <v>93.294358974358971</v>
      </c>
      <c r="BL9" s="5247">
        <v>91.262623548364061</v>
      </c>
      <c r="BM9" s="5246">
        <v>95</v>
      </c>
      <c r="BN9" s="5247">
        <v>94.439236826010074</v>
      </c>
      <c r="BO9" s="4693">
        <v>94.673168200952773</v>
      </c>
      <c r="BP9" s="4694">
        <v>94.712020160218685</v>
      </c>
      <c r="BQ9" s="4695">
        <v>90</v>
      </c>
      <c r="BR9" s="4696">
        <v>94.617132782598674</v>
      </c>
      <c r="BS9" s="4696">
        <v>93.297277602628242</v>
      </c>
      <c r="BT9" s="5389"/>
      <c r="BU9" s="6601"/>
    </row>
    <row r="10" spans="1:73" ht="18.75" x14ac:dyDescent="0.25">
      <c r="A10" s="93"/>
      <c r="B10" s="2993" t="s">
        <v>355</v>
      </c>
      <c r="C10" s="4665" t="s">
        <v>363</v>
      </c>
      <c r="D10" s="5248">
        <v>356.24</v>
      </c>
      <c r="E10" s="5221">
        <v>356</v>
      </c>
      <c r="F10" s="5205">
        <f>+('B-FCE'!F23/'Maj Production Summ'!F$17)*1000</f>
        <v>347.96952445897341</v>
      </c>
      <c r="G10" s="7158">
        <v>356</v>
      </c>
      <c r="H10" s="6405">
        <f>+('B-FCE'!H23/'Maj Production Summ'!H$17)*1000</f>
        <v>345.97012054468189</v>
      </c>
      <c r="I10" s="1130">
        <f>+('B-FCE'!I23/'Maj Production Summ'!I$17)*1000</f>
        <v>356</v>
      </c>
      <c r="J10" s="5208">
        <f>+('B-FCE'!J23/'Maj Production Summ'!J$17)*1000</f>
        <v>346.90840073756402</v>
      </c>
      <c r="K10" s="5221">
        <v>372</v>
      </c>
      <c r="L10" s="5205">
        <f>+('B-FCE'!L23/'Maj Production Summ'!L$17)*1000</f>
        <v>407.72719814283113</v>
      </c>
      <c r="M10" s="2407">
        <f>+('B-FCE'!M23/'Maj Production Summ'!M$17)*1000</f>
        <v>359.60665658093797</v>
      </c>
      <c r="N10" s="2407">
        <f>+('B-FCE'!N23/'Maj Production Summ'!N$17)*1000</f>
        <v>362.5861449643258</v>
      </c>
      <c r="O10" s="5221">
        <v>392</v>
      </c>
      <c r="P10" s="5205">
        <f>+('B-FCE'!P23/'Maj Production Summ'!P$17)*1000</f>
        <v>370.776835051901</v>
      </c>
      <c r="Q10" s="5208">
        <f>+('B-FCE'!Q23/'Maj Production Summ'!Q$17)*1000</f>
        <v>362.86802721088435</v>
      </c>
      <c r="R10" s="5208">
        <f>+('B-FCE'!R23/'Maj Production Summ'!R$17)*1000</f>
        <v>364.86356285928878</v>
      </c>
      <c r="S10" s="5221">
        <v>365.4</v>
      </c>
      <c r="T10" s="5205">
        <f>+('B-FCE'!T23/'Maj Production Summ'!T$17)*1000</f>
        <v>377.37066832000892</v>
      </c>
      <c r="U10" s="5208">
        <f>+('B-FCE'!U23/'Maj Production Summ'!U$17)*1000</f>
        <v>363.49128205128204</v>
      </c>
      <c r="V10" s="5208">
        <f>+('B-FCE'!V23/'Maj Production Summ'!V$17)*1000</f>
        <v>367.54498018029545</v>
      </c>
      <c r="W10" s="5221">
        <v>365.4</v>
      </c>
      <c r="X10" s="5205">
        <f>+('B-FCE'!X23/'Maj Production Summ'!X$17)*1000</f>
        <v>380.23555864064667</v>
      </c>
      <c r="Y10" s="2407">
        <f>+('B-FCE'!Y23/'Maj Production Summ'!Y$17)*1000</f>
        <v>369.00512820512819</v>
      </c>
      <c r="Z10" s="2407">
        <f>+('B-FCE'!Z23/'Maj Production Summ'!Z$17)*1000</f>
        <v>376.09628804697212</v>
      </c>
      <c r="AA10" s="5196">
        <f>+('B-FCE'!AA23/'Maj Production Summ'!AA$17)*1000</f>
        <v>363.85816072908034</v>
      </c>
      <c r="AB10" s="5196">
        <f>+('B-FCE'!AB23/'Maj Production Summ'!AB$17)*1000</f>
        <v>369.78816965600521</v>
      </c>
      <c r="AC10" s="5350">
        <v>362.4</v>
      </c>
      <c r="AD10" s="5332">
        <f>+('B-FCE'!AD23/'Maj Production Summ'!AD$17)*1000</f>
        <v>380.55652082528508</v>
      </c>
      <c r="AE10" s="5208">
        <f>+('B-FCE'!AE23/'Maj Production Summ'!AE$17)*1000</f>
        <v>363.60796156485929</v>
      </c>
      <c r="AF10" s="5208">
        <f>+('B-FCE'!AF23/'Maj Production Summ'!AF$17)*1000</f>
        <v>371.3613708667163</v>
      </c>
      <c r="AG10" s="5205">
        <v>355.3</v>
      </c>
      <c r="AH10" s="5205">
        <f>+('B-FCE'!AH23/'Maj Production Summ'!AH$17)*1000</f>
        <v>624.51898381131389</v>
      </c>
      <c r="AI10" s="5208">
        <f>+('B-FCE'!AI23/'Maj Production Summ'!AI$17)*1000</f>
        <v>362.424602707475</v>
      </c>
      <c r="AJ10" s="5650">
        <f>+('B-FCE'!AJ23/'Maj Production Summ'!AJ$17)*1000</f>
        <v>372.63702329106115</v>
      </c>
      <c r="AK10" s="5906">
        <v>355.3</v>
      </c>
      <c r="AL10" s="5906">
        <f>+('B-FCE'!AL23/'Maj Production Summ'!AL$17)*1000</f>
        <v>366.34425469381154</v>
      </c>
      <c r="AM10" s="2407">
        <f>+('B-FCE'!AM23/'Maj Production Summ'!AM$17)*1000</f>
        <v>357.69218328840969</v>
      </c>
      <c r="AN10" s="2407">
        <f>+('B-FCE'!AN23/'Maj Production Summ'!AN$17)*1000</f>
        <v>377.28919294026088</v>
      </c>
      <c r="AO10" s="5208">
        <f>+('B-FCE'!AO23/'Maj Production Summ'!AO$17)*1000</f>
        <v>361.51072344792203</v>
      </c>
      <c r="AP10" s="5208">
        <f>+('B-FCE'!AP23/'Maj Production Summ'!AP$17)*1000</f>
        <v>371.78210709452742</v>
      </c>
      <c r="AQ10" s="6062">
        <v>355.3</v>
      </c>
      <c r="AR10" s="6062">
        <f>+('B-FCE'!AR23/'Maj Production Summ'!AR$17)*1000</f>
        <v>348.01919033139393</v>
      </c>
      <c r="AS10" s="5208">
        <f>+('B-FCE'!AS23/'Maj Production Summ'!AS$17)*1000</f>
        <v>360.80463847203276</v>
      </c>
      <c r="AT10" s="5208">
        <f>+('B-FCE'!AT23/'Maj Production Summ'!AT$17)*1000</f>
        <v>368.89568474041579</v>
      </c>
      <c r="AU10" s="6169">
        <v>355.3</v>
      </c>
      <c r="AV10" s="6169">
        <f>+('B-FCE'!AV23/'Maj Production Summ'!AV$17)*1000</f>
        <v>342.2419244316095</v>
      </c>
      <c r="AW10" s="5208">
        <f>+('B-FCE'!AW23/'Maj Production Summ'!AW$17)*1000</f>
        <v>360.29368811881193</v>
      </c>
      <c r="AX10" s="5208">
        <f>+('B-FCE'!AX23/'Maj Production Summ'!AX$17)*1000</f>
        <v>366.22927006922617</v>
      </c>
      <c r="AY10" s="6387">
        <v>355.3</v>
      </c>
      <c r="AZ10" s="6387">
        <f>+('B-FCE'!AZ23/'Maj Production Summ'!AZ$17)*1000</f>
        <v>339.29313876359765</v>
      </c>
      <c r="BA10" s="5199">
        <f>+('B-FCE'!BA23/'Maj Production Summ'!BA$17)*1000</f>
        <v>355.3</v>
      </c>
      <c r="BB10" s="5199">
        <f>+('B-FCE'!BB23/'Maj Production Summ'!BB$17)*1000</f>
        <v>343.20203543867916</v>
      </c>
      <c r="BC10" s="5201">
        <f>+('B-FCE'!BC23/'Maj Production Summ'!BC$17)*1000</f>
        <v>356.50995228357192</v>
      </c>
      <c r="BD10" s="5201">
        <f>+('B-FCE'!BD23/'Maj Production Summ'!BD$17)*1000</f>
        <v>356.72766837775703</v>
      </c>
      <c r="BE10" s="5206">
        <f>+('B-FCE'!BE23/'Maj Production Summ'!BE$17)*1000</f>
        <v>359.82681376215407</v>
      </c>
      <c r="BF10" s="528">
        <f>+('B-FCE'!BF23/'Maj Production Summ'!BF$17)*1000</f>
        <v>363.55676369164337</v>
      </c>
      <c r="BG10" s="1198">
        <v>360.04562264150945</v>
      </c>
      <c r="BH10" s="7250">
        <v>371.74357132695411</v>
      </c>
      <c r="BI10" s="1198">
        <v>380.41999999999996</v>
      </c>
      <c r="BJ10" s="5203">
        <v>390.51223594984998</v>
      </c>
      <c r="BK10" s="1198">
        <v>389.92559291044773</v>
      </c>
      <c r="BL10" s="5203">
        <v>400.04040555458937</v>
      </c>
      <c r="BM10" s="1198">
        <v>377.88521420805364</v>
      </c>
      <c r="BN10" s="5203">
        <v>396.71458967036409</v>
      </c>
      <c r="BO10" s="2961">
        <v>373.8786504081541</v>
      </c>
      <c r="BP10" s="2962">
        <v>423.66105089932233</v>
      </c>
      <c r="BQ10" s="1198">
        <v>370.47898148148147</v>
      </c>
      <c r="BR10" s="4673">
        <v>381.58770716890342</v>
      </c>
      <c r="BS10" s="4673">
        <v>388.39310872643784</v>
      </c>
      <c r="BT10" s="5389"/>
      <c r="BU10" s="6601"/>
    </row>
    <row r="11" spans="1:73" ht="18.75" x14ac:dyDescent="0.25">
      <c r="A11" s="93"/>
      <c r="B11" s="5657" t="s">
        <v>356</v>
      </c>
      <c r="C11" s="4137" t="s">
        <v>363</v>
      </c>
      <c r="D11" s="5249">
        <v>28.952542372881357</v>
      </c>
      <c r="E11" s="5197">
        <v>29</v>
      </c>
      <c r="F11" s="5209">
        <f>+('B-FCE'!F24/'Maj Production Summ'!F$17)*1000</f>
        <v>25.274178598088856</v>
      </c>
      <c r="G11" s="7149">
        <v>29</v>
      </c>
      <c r="H11" s="7150">
        <f>+('B-FCE'!H24/'Maj Production Summ'!H$17)*1000</f>
        <v>26.198812892771265</v>
      </c>
      <c r="I11" s="437">
        <f>+('B-FCE'!I24/'Maj Production Summ'!I$17)*1000</f>
        <v>29</v>
      </c>
      <c r="J11" s="5206">
        <f>+('B-FCE'!J24/'Maj Production Summ'!J$17)*1000</f>
        <v>25.764900546116948</v>
      </c>
      <c r="K11" s="5197">
        <v>39</v>
      </c>
      <c r="L11" s="5209">
        <f>+('B-FCE'!L24/'Maj Production Summ'!L$17)*1000</f>
        <v>45.394612907655464</v>
      </c>
      <c r="M11" s="5199">
        <f>+('B-FCE'!M24/'Maj Production Summ'!M$17)*1000</f>
        <v>31.254160363086232</v>
      </c>
      <c r="N11" s="5199">
        <f>+('B-FCE'!N24/'Maj Production Summ'!N$17)*1000</f>
        <v>30.825007335115252</v>
      </c>
      <c r="O11" s="5197">
        <v>36</v>
      </c>
      <c r="P11" s="5209">
        <f>+('B-FCE'!P24/'Maj Production Summ'!P$17)*1000</f>
        <v>50.998254084109853</v>
      </c>
      <c r="Q11" s="5206">
        <f>+('B-FCE'!Q24/'Maj Production Summ'!Q$17)*1000</f>
        <v>31.731972789115645</v>
      </c>
      <c r="R11" s="5206">
        <f>+('B-FCE'!R24/'Maj Production Summ'!R$17)*1000</f>
        <v>36.434170013038766</v>
      </c>
      <c r="S11" s="5197">
        <v>39</v>
      </c>
      <c r="T11" s="5209">
        <f>+('B-FCE'!T24/'Maj Production Summ'!T$17)*1000</f>
        <v>51.019755103770592</v>
      </c>
      <c r="U11" s="5206">
        <f>+('B-FCE'!U24/'Maj Production Summ'!U$17)*1000</f>
        <v>33.521025641025638</v>
      </c>
      <c r="V11" s="5206">
        <f>+('B-FCE'!V24/'Maj Production Summ'!V$17)*1000</f>
        <v>39.56119573630729</v>
      </c>
      <c r="W11" s="5197">
        <v>39</v>
      </c>
      <c r="X11" s="5209">
        <f>+('B-FCE'!X24/'Maj Production Summ'!X$17)*1000</f>
        <v>47.771227384324682</v>
      </c>
      <c r="Y11" s="5199">
        <f>+('B-FCE'!Y24/'Maj Production Summ'!Y$17)*1000</f>
        <v>38.593406593406591</v>
      </c>
      <c r="Z11" s="5199">
        <f>+('B-FCE'!Z24/'Maj Production Summ'!Z$17)*1000</f>
        <v>49.935351399868871</v>
      </c>
      <c r="AA11" s="5201">
        <f>+('B-FCE'!AA24/'Maj Production Summ'!AA$17)*1000</f>
        <v>34.574150787075396</v>
      </c>
      <c r="AB11" s="5201">
        <f>+('B-FCE'!AB24/'Maj Production Summ'!AB$17)*1000</f>
        <v>41.012402759345342</v>
      </c>
      <c r="AC11" s="5330">
        <v>39</v>
      </c>
      <c r="AD11" s="5337">
        <f>+('B-FCE'!AD24/'Maj Production Summ'!AD$17)*1000</f>
        <v>39.767759135351639</v>
      </c>
      <c r="AE11" s="5206">
        <f>+('B-FCE'!AE24/'Maj Production Summ'!AE$17)*1000</f>
        <v>35.333562113932736</v>
      </c>
      <c r="AF11" s="5206">
        <f>+('B-FCE'!AF24/'Maj Production Summ'!AF$17)*1000</f>
        <v>40.830566670849564</v>
      </c>
      <c r="AG11" s="5209">
        <v>39</v>
      </c>
      <c r="AH11" s="5209">
        <f>+('B-FCE'!AH24/'Maj Production Summ'!AH$17)*1000</f>
        <v>14.079451888680046</v>
      </c>
      <c r="AI11" s="5206">
        <f>+('B-FCE'!AI24/'Maj Production Summ'!AI$17)*1000</f>
        <v>35.855797527957627</v>
      </c>
      <c r="AJ11" s="5648">
        <f>+('B-FCE'!AJ24/'Maj Production Summ'!AJ$17)*1000</f>
        <v>40.69576873201266</v>
      </c>
      <c r="AK11" s="5911">
        <v>39</v>
      </c>
      <c r="AL11" s="5911">
        <f>+('B-FCE'!AL24/'Maj Production Summ'!AL$17)*1000</f>
        <v>33.19678231915703</v>
      </c>
      <c r="AM11" s="5199">
        <f>+('B-FCE'!AM24/'Maj Production Summ'!AM$17)*1000</f>
        <v>39</v>
      </c>
      <c r="AN11" s="5199">
        <f>+('B-FCE'!AN24/'Maj Production Summ'!AN$17)*1000</f>
        <v>35.988653851616441</v>
      </c>
      <c r="AO11" s="5206">
        <f>+('B-FCE'!AO24/'Maj Production Summ'!AO$17)*1000</f>
        <v>36.259107234479217</v>
      </c>
      <c r="AP11" s="5206">
        <f>+('B-FCE'!AP24/'Maj Production Summ'!AP$17)*1000</f>
        <v>39.676979491178543</v>
      </c>
      <c r="AQ11" s="6066">
        <v>39</v>
      </c>
      <c r="AR11" s="6066">
        <f>+('B-FCE'!AR24/'Maj Production Summ'!AR$17)*1000</f>
        <v>30.413521108257008</v>
      </c>
      <c r="AS11" s="5206">
        <f>+('B-FCE'!AS24/'Maj Production Summ'!AS$17)*1000</f>
        <v>36.570713960891318</v>
      </c>
      <c r="AT11" s="5206">
        <f>+('B-FCE'!AT24/'Maj Production Summ'!AT$17)*1000</f>
        <v>38.551770257843614</v>
      </c>
      <c r="AU11" s="6172">
        <v>39</v>
      </c>
      <c r="AV11" s="6172">
        <f>+('B-FCE'!AV24/'Maj Production Summ'!AV$17)*1000</f>
        <v>29.174869378693284</v>
      </c>
      <c r="AW11" s="5206">
        <f>+('B-FCE'!AW24/'Maj Production Summ'!AW$17)*1000</f>
        <v>36.796204620462049</v>
      </c>
      <c r="AX11" s="5206">
        <f>+('B-FCE'!AX24/'Maj Production Summ'!AX$17)*1000</f>
        <v>37.61371477205924</v>
      </c>
      <c r="AY11" s="6388">
        <v>39</v>
      </c>
      <c r="AZ11" s="6388">
        <f>+('B-FCE'!AZ24/'Maj Production Summ'!AZ$17)*1000</f>
        <v>28.136015995148384</v>
      </c>
      <c r="BA11" s="5199">
        <f>+('B-FCE'!BA24/'Maj Production Summ'!BA$17)*1000</f>
        <v>39</v>
      </c>
      <c r="BB11" s="5199">
        <f>+('B-FCE'!BB24/'Maj Production Summ'!BB$17)*1000</f>
        <v>29.240535926200902</v>
      </c>
      <c r="BC11" s="5201">
        <f>+('B-FCE'!BC24/'Maj Production Summ'!BC$17)*1000</f>
        <v>39</v>
      </c>
      <c r="BD11" s="5201">
        <f>+('B-FCE'!BD24/'Maj Production Summ'!BD$17)*1000</f>
        <v>31.918159194862927</v>
      </c>
      <c r="BE11" s="5206">
        <f>+('B-FCE'!BE24/'Maj Production Summ'!BE$17)*1000</f>
        <v>37.002243829468966</v>
      </c>
      <c r="BF11" s="528">
        <f>+('B-FCE'!BF24/'Maj Production Summ'!BF$17)*1000</f>
        <v>36.673371478558494</v>
      </c>
      <c r="BG11" s="1103">
        <v>38.916226415094336</v>
      </c>
      <c r="BH11" s="7250">
        <v>40.499375813748237</v>
      </c>
      <c r="BI11" s="1103">
        <v>32.20428571428571</v>
      </c>
      <c r="BJ11" s="5203">
        <v>47.260948860569819</v>
      </c>
      <c r="BK11" s="1103">
        <v>30</v>
      </c>
      <c r="BL11" s="5203">
        <v>36.610035455154154</v>
      </c>
      <c r="BM11" s="1103">
        <v>23.75142504193121</v>
      </c>
      <c r="BN11" s="5203">
        <v>37.043769455668603</v>
      </c>
      <c r="BO11" s="2957">
        <v>34.857516027392144</v>
      </c>
      <c r="BP11" s="2962">
        <v>41.208946109466851</v>
      </c>
      <c r="BQ11" s="1103">
        <v>25</v>
      </c>
      <c r="BR11" s="4673">
        <v>44.993877243288374</v>
      </c>
      <c r="BS11" s="4673">
        <v>29.180384193772984</v>
      </c>
      <c r="BT11" s="5389"/>
      <c r="BU11" s="6601"/>
    </row>
    <row r="12" spans="1:73" ht="19.5" thickBot="1" x14ac:dyDescent="0.3">
      <c r="A12" s="93"/>
      <c r="B12" s="2982" t="s">
        <v>357</v>
      </c>
      <c r="C12" s="4666" t="s">
        <v>363</v>
      </c>
      <c r="D12" s="5250">
        <v>149.6650847457627</v>
      </c>
      <c r="E12" s="5220">
        <v>150</v>
      </c>
      <c r="F12" s="5204">
        <f>+('B-FCE'!F25/'Maj Production Summ'!F$17)*1000</f>
        <v>150.9002222658558</v>
      </c>
      <c r="G12" s="7157">
        <v>150</v>
      </c>
      <c r="H12" s="6386">
        <f>+('B-FCE'!H25/'Maj Production Summ'!H$17)*1000</f>
        <v>155.9320942443795</v>
      </c>
      <c r="I12" s="3174">
        <f>+('B-FCE'!I25/'Maj Production Summ'!I$17)*1000</f>
        <v>150</v>
      </c>
      <c r="J12" s="5207">
        <f>+('B-FCE'!J25/'Maj Production Summ'!J$17)*1000</f>
        <v>153.57073755360776</v>
      </c>
      <c r="K12" s="5220">
        <v>129</v>
      </c>
      <c r="L12" s="5204">
        <f>+('B-FCE'!L25/'Maj Production Summ'!L$17)*1000</f>
        <v>118.97807429273118</v>
      </c>
      <c r="M12" s="2406">
        <f>+('B-FCE'!M25/'Maj Production Summ'!M$17)*1000</f>
        <v>145.2662632375189</v>
      </c>
      <c r="N12" s="2406">
        <f>+('B-FCE'!N25/'Maj Production Summ'!N$17)*1000</f>
        <v>144.65351212554373</v>
      </c>
      <c r="O12" s="5220">
        <v>112</v>
      </c>
      <c r="P12" s="5204">
        <f>+('B-FCE'!P25/'Maj Production Summ'!P$17)*1000</f>
        <v>129.18392833288942</v>
      </c>
      <c r="Q12" s="5207">
        <f>+('B-FCE'!Q25/'Maj Production Summ'!Q$17)*1000</f>
        <v>141.91700680272109</v>
      </c>
      <c r="R12" s="5207">
        <f>+('B-FCE'!R25/'Maj Production Summ'!R$17)*1000</f>
        <v>140.35220093194064</v>
      </c>
      <c r="S12" s="5220">
        <v>136</v>
      </c>
      <c r="T12" s="5204">
        <f>+('B-FCE'!T25/'Maj Production Summ'!T$17)*1000</f>
        <v>130.50570464205862</v>
      </c>
      <c r="U12" s="5207">
        <f>+('B-FCE'!U25/'Maj Production Summ'!U$17)*1000</f>
        <v>140.46051282051283</v>
      </c>
      <c r="V12" s="5207">
        <f>+('B-FCE'!V25/'Maj Production Summ'!V$17)*1000</f>
        <v>138.2411956489168</v>
      </c>
      <c r="W12" s="5220">
        <v>141</v>
      </c>
      <c r="X12" s="5204">
        <f>+('B-FCE'!X25/'Maj Production Summ'!X$17)*1000</f>
        <v>122.30225519978454</v>
      </c>
      <c r="Y12" s="2406">
        <f>+('B-FCE'!Y25/'Maj Production Summ'!Y$17)*1000</f>
        <v>134.87179487179486</v>
      </c>
      <c r="Z12" s="2406">
        <f>+('B-FCE'!Z25/'Maj Production Summ'!Z$17)*1000</f>
        <v>127.33971507227079</v>
      </c>
      <c r="AA12" s="5195">
        <f>+('B-FCE'!AA25/'Maj Production Summ'!AA$17)*1000</f>
        <v>140.56420878210437</v>
      </c>
      <c r="AB12" s="5195">
        <f>+('B-FCE'!AB25/'Maj Production Summ'!AB$17)*1000</f>
        <v>135.42382498443808</v>
      </c>
      <c r="AC12" s="5349">
        <v>146</v>
      </c>
      <c r="AD12" s="5331">
        <f>+('B-FCE'!AD25/'Maj Production Summ'!AD$17)*1000</f>
        <v>126.07255945382309</v>
      </c>
      <c r="AE12" s="5207">
        <f>+('B-FCE'!AE25/'Maj Production Summ'!AE$17)*1000</f>
        <v>141.49691146190804</v>
      </c>
      <c r="AF12" s="5207">
        <f>+('B-FCE'!AF25/'Maj Production Summ'!AF$17)*1000</f>
        <v>134.05765276148776</v>
      </c>
      <c r="AG12" s="5204">
        <v>146</v>
      </c>
      <c r="AH12" s="5204">
        <f>+('B-FCE'!AH25/'Maj Production Summ'!AH$17)*1000</f>
        <v>0</v>
      </c>
      <c r="AI12" s="5207">
        <f>+('B-FCE'!AI25/'Maj Production Summ'!AI$17)*1000</f>
        <v>142.13831665685697</v>
      </c>
      <c r="AJ12" s="5649">
        <f>+('B-FCE'!AJ25/'Maj Production Summ'!AJ$17)*1000</f>
        <v>133.38214090246024</v>
      </c>
      <c r="AK12" s="5905">
        <v>146</v>
      </c>
      <c r="AL12" s="5905">
        <f>+('B-FCE'!AL25/'Maj Production Summ'!AL$17)*1000</f>
        <v>138.96212419483157</v>
      </c>
      <c r="AM12" s="2406">
        <f>+('B-FCE'!AM25/'Maj Production Summ'!AM$17)*1000</f>
        <v>146</v>
      </c>
      <c r="AN12" s="2406">
        <f>+('B-FCE'!AN25/'Maj Production Summ'!AN$17)*1000</f>
        <v>130.5950131072494</v>
      </c>
      <c r="AO12" s="5207">
        <f>+('B-FCE'!AO25/'Maj Production Summ'!AO$17)*1000</f>
        <v>142.63365828630069</v>
      </c>
      <c r="AP12" s="5207">
        <f>+('B-FCE'!AP25/'Maj Production Summ'!AP$17)*1000</f>
        <v>134.14022027870186</v>
      </c>
      <c r="AQ12" s="6061">
        <v>146</v>
      </c>
      <c r="AR12" s="6061">
        <f>+('B-FCE'!AR25/'Maj Production Summ'!AR$17)*1000</f>
        <v>153.61839772629187</v>
      </c>
      <c r="AS12" s="5207">
        <f>+('B-FCE'!AS25/'Maj Production Summ'!AS$17)*1000</f>
        <v>143.01637107776264</v>
      </c>
      <c r="AT12" s="5207">
        <f>+('B-FCE'!AT25/'Maj Production Summ'!AT$17)*1000</f>
        <v>136.50618601272745</v>
      </c>
      <c r="AU12" s="6168">
        <v>146</v>
      </c>
      <c r="AV12" s="6168">
        <f>+('B-FCE'!AV25/'Maj Production Summ'!AV$17)*1000</f>
        <v>156.32760908757055</v>
      </c>
      <c r="AW12" s="5207">
        <f>+('B-FCE'!AW25/'Maj Production Summ'!AW$17)*1000</f>
        <v>143.29331683168317</v>
      </c>
      <c r="AX12" s="5207">
        <f>+('B-FCE'!AX25/'Maj Production Summ'!AX$17)*1000</f>
        <v>138.48910071888082</v>
      </c>
      <c r="AY12" s="6386">
        <v>146</v>
      </c>
      <c r="AZ12" s="6386">
        <f>+('B-FCE'!AZ25/'Maj Production Summ'!AZ$17)*1000</f>
        <v>158.53602736610694</v>
      </c>
      <c r="BA12" s="5199">
        <f>+('B-FCE'!BA25/'Maj Production Summ'!BA$17)*1000</f>
        <v>146</v>
      </c>
      <c r="BB12" s="5199">
        <f>+('B-FCE'!BB25/'Maj Production Summ'!BB$17)*1000</f>
        <v>156.16199084959428</v>
      </c>
      <c r="BC12" s="5201">
        <f>+('B-FCE'!BC25/'Maj Production Summ'!BC$17)*1000</f>
        <v>146</v>
      </c>
      <c r="BD12" s="5201">
        <f>+('B-FCE'!BD25/'Maj Production Summ'!BD$17)*1000</f>
        <v>146.01712745673188</v>
      </c>
      <c r="BE12" s="5206">
        <f>+('B-FCE'!BE25/'Maj Production Summ'!BE$17)*1000</f>
        <v>143.54637247569184</v>
      </c>
      <c r="BF12" s="528">
        <f>+('B-FCE'!BF25/'Maj Production Summ'!BF$17)*1000</f>
        <v>140.47808490921452</v>
      </c>
      <c r="BG12" s="1684">
        <v>140.90981132075473</v>
      </c>
      <c r="BH12" s="7249">
        <v>134.06433821400003</v>
      </c>
      <c r="BI12" s="1684">
        <v>139.64750000000001</v>
      </c>
      <c r="BJ12" s="5202">
        <v>125.94309352319971</v>
      </c>
      <c r="BK12" s="1684">
        <v>129.6457817164179</v>
      </c>
      <c r="BL12" s="5202">
        <v>122.58808331992087</v>
      </c>
      <c r="BM12" s="1684">
        <v>133.64291547787624</v>
      </c>
      <c r="BN12" s="5202">
        <v>118.07599367903838</v>
      </c>
      <c r="BO12" s="2963">
        <v>128.5773179329438</v>
      </c>
      <c r="BP12" s="2964">
        <v>89.175352805191892</v>
      </c>
      <c r="BQ12" s="1684">
        <v>139.85351851851851</v>
      </c>
      <c r="BR12" s="4672">
        <v>118.98027062075417</v>
      </c>
      <c r="BS12" s="4672">
        <v>123.03826485628637</v>
      </c>
      <c r="BT12" s="5389"/>
      <c r="BU12" s="6601"/>
    </row>
    <row r="13" spans="1:73" ht="19.5" thickBot="1" x14ac:dyDescent="0.3">
      <c r="A13" s="93"/>
      <c r="B13" s="3837" t="s">
        <v>239</v>
      </c>
      <c r="C13" s="4667" t="s">
        <v>363</v>
      </c>
      <c r="D13" s="2483">
        <f t="shared" ref="D13:R13" si="0">SUM(D10:D12)</f>
        <v>534.85762711864402</v>
      </c>
      <c r="E13" s="1128">
        <f t="shared" si="0"/>
        <v>535</v>
      </c>
      <c r="F13" s="158">
        <f t="shared" si="0"/>
        <v>524.14392532291799</v>
      </c>
      <c r="G13" s="1128">
        <f t="shared" ref="G13:H13" si="1">SUM(G10:G12)</f>
        <v>535</v>
      </c>
      <c r="H13" s="158">
        <f t="shared" si="1"/>
        <v>528.10102768183265</v>
      </c>
      <c r="I13" s="716">
        <f t="shared" si="0"/>
        <v>535</v>
      </c>
      <c r="J13" s="373">
        <f t="shared" si="0"/>
        <v>526.24403883728871</v>
      </c>
      <c r="K13" s="1128">
        <f t="shared" ref="K13:L13" si="2">SUM(K10:K12)</f>
        <v>540</v>
      </c>
      <c r="L13" s="158">
        <f t="shared" si="2"/>
        <v>572.09988534321781</v>
      </c>
      <c r="M13" s="618">
        <f t="shared" si="0"/>
        <v>536.12708018154308</v>
      </c>
      <c r="N13" s="618">
        <f t="shared" si="0"/>
        <v>538.06466442498481</v>
      </c>
      <c r="O13" s="1128">
        <f t="shared" ref="O13:P13" si="3">SUM(O10:O12)</f>
        <v>540</v>
      </c>
      <c r="P13" s="158">
        <f t="shared" si="3"/>
        <v>550.95901746890036</v>
      </c>
      <c r="Q13" s="373">
        <f t="shared" si="0"/>
        <v>536.51700680272108</v>
      </c>
      <c r="R13" s="373">
        <f t="shared" si="0"/>
        <v>541.64993380426813</v>
      </c>
      <c r="S13" s="1128">
        <f t="shared" ref="S13:T13" si="4">SUM(S10:S12)</f>
        <v>540.4</v>
      </c>
      <c r="T13" s="158">
        <f t="shared" si="4"/>
        <v>558.89612806583818</v>
      </c>
      <c r="U13" s="373">
        <f t="shared" ref="U13:X13" si="5">SUM(U10:U12)</f>
        <v>537.47282051282048</v>
      </c>
      <c r="V13" s="373">
        <f t="shared" si="5"/>
        <v>545.34737156551955</v>
      </c>
      <c r="W13" s="1128">
        <f t="shared" si="5"/>
        <v>545.4</v>
      </c>
      <c r="X13" s="158">
        <f t="shared" si="5"/>
        <v>550.3090412247559</v>
      </c>
      <c r="Y13" s="618">
        <f t="shared" ref="Y13:Z13" si="6">SUM(Y10:Y12)</f>
        <v>542.47032967032965</v>
      </c>
      <c r="Z13" s="618">
        <f t="shared" si="6"/>
        <v>553.37135451911172</v>
      </c>
      <c r="AA13" s="1052">
        <f t="shared" ref="AA13:AF13" si="7">SUM(AA10:AA12)</f>
        <v>538.99652029826007</v>
      </c>
      <c r="AB13" s="1052">
        <f t="shared" si="7"/>
        <v>546.22439739978859</v>
      </c>
      <c r="AC13" s="1128">
        <f t="shared" si="7"/>
        <v>547.4</v>
      </c>
      <c r="AD13" s="158">
        <f t="shared" si="7"/>
        <v>546.39683941445981</v>
      </c>
      <c r="AE13" s="373">
        <f t="shared" si="7"/>
        <v>540.43843514069999</v>
      </c>
      <c r="AF13" s="373">
        <f t="shared" si="7"/>
        <v>546.24959029905358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540.41871689228958</v>
      </c>
      <c r="AJ13" s="373">
        <f t="shared" si="8"/>
        <v>546.71493292553407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540.40348896870194</v>
      </c>
      <c r="AP13" s="373">
        <f t="shared" si="10"/>
        <v>545.59930686440782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540.39172351068669</v>
      </c>
      <c r="AT13" s="373">
        <f t="shared" si="10"/>
        <v>543.95364101098687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540.38320957095721</v>
      </c>
      <c r="AX13" s="373">
        <f t="shared" si="12"/>
        <v>542.33208556016621</v>
      </c>
      <c r="AY13" s="275">
        <f t="shared" si="12"/>
        <v>540.29999999999995</v>
      </c>
      <c r="AZ13" s="275">
        <f t="shared" si="12"/>
        <v>525.96518212485296</v>
      </c>
      <c r="BA13" s="2407">
        <f t="shared" ref="BA13:BD13" si="13">SUM(BA10:BA12)</f>
        <v>540.29999999999995</v>
      </c>
      <c r="BB13" s="2407">
        <f t="shared" si="13"/>
        <v>528.6045622144743</v>
      </c>
      <c r="BC13" s="5196">
        <f t="shared" si="13"/>
        <v>541.50995228357192</v>
      </c>
      <c r="BD13" s="5196">
        <f t="shared" si="13"/>
        <v>534.66295502935191</v>
      </c>
      <c r="BE13" s="5208">
        <f t="shared" ref="BE13:BF13" si="14">SUM(BE10:BE12)</f>
        <v>540.37543006731494</v>
      </c>
      <c r="BF13" s="5208">
        <f t="shared" si="14"/>
        <v>540.70822007941638</v>
      </c>
      <c r="BG13" s="5246">
        <v>539.87166037735847</v>
      </c>
      <c r="BH13" s="5251">
        <v>546.30728535470234</v>
      </c>
      <c r="BI13" s="5246">
        <v>552.27178571428567</v>
      </c>
      <c r="BJ13" s="5251">
        <v>563.71627833361958</v>
      </c>
      <c r="BK13" s="5246">
        <v>549.57137462686569</v>
      </c>
      <c r="BL13" s="5251">
        <v>559.23852432966441</v>
      </c>
      <c r="BM13" s="5246">
        <v>535.27955472786107</v>
      </c>
      <c r="BN13" s="5251">
        <v>551.83435280507103</v>
      </c>
      <c r="BO13" s="4693">
        <v>537.31348436848998</v>
      </c>
      <c r="BP13" s="4697">
        <v>554.04534981398115</v>
      </c>
      <c r="BQ13" s="4695">
        <v>535.33249999999998</v>
      </c>
      <c r="BR13" s="4698">
        <v>545.56185503294591</v>
      </c>
      <c r="BS13" s="4698">
        <v>540.61175777649714</v>
      </c>
      <c r="BT13" s="5389"/>
      <c r="BU13" s="6601"/>
    </row>
    <row r="14" spans="1:73" ht="19.5" thickBot="1" x14ac:dyDescent="0.3">
      <c r="A14" s="93"/>
      <c r="B14" s="3838" t="s">
        <v>1925</v>
      </c>
      <c r="C14" s="4669" t="s">
        <v>370</v>
      </c>
      <c r="D14" s="6944">
        <v>2.4361020820953088</v>
      </c>
      <c r="E14" s="5252">
        <v>2.4471008652249489</v>
      </c>
      <c r="F14" s="4977">
        <v>2.3879780343565189</v>
      </c>
      <c r="G14" s="5252">
        <v>2.4406270534121841</v>
      </c>
      <c r="H14" s="4977">
        <v>2.4173399790859662</v>
      </c>
      <c r="I14" s="392">
        <f>+('Maj Production Summ'!I17/3551)/('B-FCE'!E50+'B-FCE'!G50)</f>
        <v>2.4438090965065942</v>
      </c>
      <c r="J14" s="5253">
        <f>+('Maj Production Summ'!J17/3551)/('B-FCE'!F50+'B-FCE'!H50)</f>
        <v>2.40347160666763</v>
      </c>
      <c r="K14" s="5252">
        <v>2.2084216454964505</v>
      </c>
      <c r="L14" s="4977">
        <v>1.8780768962350072</v>
      </c>
      <c r="M14" s="5254">
        <f>+('Maj Production Summ'!M17/3551)/('B-FCE'!E50+'B-FCE'!G50+'B-FCE'!K50)</f>
        <v>2.3864711276707897</v>
      </c>
      <c r="N14" s="5254">
        <f>+('Maj Production Summ'!N17/3551)/('B-FCE'!F50+'B-FCE'!H50+'B-FCE'!L50)</f>
        <v>2.2418065335507329</v>
      </c>
      <c r="O14" s="5252">
        <v>2.1936000237145952</v>
      </c>
      <c r="P14" s="4977">
        <v>2.3276758263880968</v>
      </c>
      <c r="Q14" s="5253">
        <f>+('Maj Production Summ'!Q17/3551)/('B-FCE'!M50+'B-FCE'!O50)</f>
        <v>2.3655308363841172</v>
      </c>
      <c r="R14" s="5253">
        <f>+('Maj Production Summ'!R17/3551)/('B-FCE'!N50+'B-FCE'!P50)</f>
        <v>2.2650399723979984</v>
      </c>
      <c r="S14" s="5252">
        <v>2.2528865108420164</v>
      </c>
      <c r="T14" s="4977">
        <v>2.3360392827253578</v>
      </c>
      <c r="U14" s="5253">
        <f>+('Maj Production Summ'!U17/3551)/('B-FCE'!Q50+'B-FCE'!S50)</f>
        <v>2.3367705830542191</v>
      </c>
      <c r="V14" s="5253">
        <f>+('Maj Production Summ'!V17/3551)/('B-FCE'!R50+'B-FCE'!T50)</f>
        <v>2.279895790866687</v>
      </c>
      <c r="W14" s="5252">
        <v>2.2528865108420164</v>
      </c>
      <c r="X14" s="4977">
        <v>2.3134740969039282</v>
      </c>
      <c r="Y14" s="5254">
        <f>+('Maj Production Summ'!Y17/3551)/('B-FCE'!P50+'B-FCE'!T50+'B-FCE'!X50)</f>
        <v>1.7131975892821254</v>
      </c>
      <c r="Z14" s="5254">
        <f>+('Maj Production Summ'!Z17/3551)/('B-FCE'!P50+'B-FCE'!T50+'B-FCE'!X50)</f>
        <v>2.3256986735579712</v>
      </c>
      <c r="AA14" s="5255">
        <f>+('Maj Production Summ'!AA17/3551)/('B-FCE'!M50+'B-FCE'!Y50)</f>
        <v>2.3201655448688681</v>
      </c>
      <c r="AB14" s="5255">
        <f>+('Maj Production Summ'!AB17/3551)/('B-FCE'!N50+'B-FCE'!Z50)</f>
        <v>2.2857599981107133</v>
      </c>
      <c r="AC14" s="5252">
        <v>2.3467567821271005</v>
      </c>
      <c r="AD14" s="4977">
        <v>2.2356326894354832</v>
      </c>
      <c r="AE14" s="5253">
        <f>+('Maj Production Summ'!AE17/3551)/('B-FCE'!AA50+'B-FCE'!AC50)</f>
        <v>2.3246853019099274</v>
      </c>
      <c r="AF14" s="5253">
        <f>+('Maj Production Summ'!AF17/3551)/('B-FCE'!AB50+'B-FCE'!AD50)</f>
        <v>2.278296897138345</v>
      </c>
      <c r="AG14" s="5256">
        <v>2.3499936880334826</v>
      </c>
      <c r="AH14" s="5256">
        <v>0.80694655877663402</v>
      </c>
      <c r="AI14" s="5253">
        <f>+('Maj Production Summ'!AI17/3551)/('B-FCE'!AE50+'B-FCE'!AG50)</f>
        <v>2.3282568016548577</v>
      </c>
      <c r="AJ14" s="5253">
        <f>+('Maj Production Summ'!AJ17/3551)/('B-FCE'!AF50+'B-FCE'!AH50)</f>
        <v>2.2575548793304723</v>
      </c>
      <c r="AK14" s="5256">
        <v>2.3467567821271005</v>
      </c>
      <c r="AL14" s="5256">
        <v>2.3560233856843715</v>
      </c>
      <c r="AM14" s="5254">
        <f>+('Maj Production Summ'!AM17/3551)/('B-FCE'!AC50+'B-FCE'!AG50+'B-FCE'!AK50)</f>
        <v>2.347811504276371</v>
      </c>
      <c r="AN14" s="5254">
        <f>+('Maj Production Summ'!AN17/3551)/('B-FCE'!AD50+'B-FCE'!AH50+'B-FCE'!AL50)</f>
        <v>2.2291988613244564</v>
      </c>
      <c r="AO14" s="5253">
        <f>+('Maj Production Summ'!AO17/3551)/('B-FCE'!AK50+'B-FCE'!AI50)</f>
        <v>2.3306134870653339</v>
      </c>
      <c r="AP14" s="5253">
        <f>+('Maj Production Summ'!AP17/3551)/('B-FCE'!AL50+'B-FCE'!AJ50)</f>
        <v>2.2704465982537165</v>
      </c>
      <c r="AQ14" s="5256">
        <v>2.3467567821271005</v>
      </c>
      <c r="AR14" s="5256">
        <v>2.4887714643263985</v>
      </c>
      <c r="AS14" s="5253">
        <f>+('Maj Production Summ'!AS17/3551)/('B-FCE'!AO50+'B-FCE'!AQ50)</f>
        <v>2.3324375882022568</v>
      </c>
      <c r="AT14" s="5253">
        <f>+('Maj Production Summ'!AT17/3551)/('B-FCE'!AP50+'B-FCE'!AR50)</f>
        <v>2.2949001593178062</v>
      </c>
      <c r="AU14" s="5256">
        <v>2.3467567821271005</v>
      </c>
      <c r="AV14" s="5256">
        <v>2.4820490909149764</v>
      </c>
      <c r="AW14" s="5253">
        <f>+('Maj Production Summ'!AW17/3551)/('B-FCE'!AS50+'B-FCE'!AU50)</f>
        <v>2.3337593599491657</v>
      </c>
      <c r="AX14" s="5253">
        <f>+('Maj Production Summ'!AX17/3551)/('B-FCE'!AT50+'B-FCE'!AV50)</f>
        <v>2.3123422403688334</v>
      </c>
      <c r="AY14" s="5256">
        <v>2.3467567821271005</v>
      </c>
      <c r="AZ14" s="5256">
        <v>2.458086816036321</v>
      </c>
      <c r="BA14" s="5254">
        <f>+('Maj Production Summ'!BA17/3551)/('B-FCE'!AQ50+'B-FCE'!AU50+'B-FCE'!AY50)</f>
        <v>2.3467567821271009</v>
      </c>
      <c r="BB14" s="5254">
        <f>+('Maj Production Summ'!BB17/3551)/('B-FCE'!AR50+'B-FCE'!AV50+'B-FCE'!AZ50)</f>
        <v>2.4760163164415827</v>
      </c>
      <c r="BC14" s="5257">
        <f>+('Maj Production Summ'!BC17/3551)/('B-FCE'!AM50+'B-FCE'!BA50)</f>
        <v>2.3472901359412202</v>
      </c>
      <c r="BD14" s="5257">
        <f>+('Maj Production Summ'!BD17/3551)/('B-FCE'!AN50+'B-FCE'!BB50)</f>
        <v>2.371814661419942</v>
      </c>
      <c r="BE14" s="5258">
        <f>+('Maj Production Summ'!BE17/3551)/('B-FCE'!AW50+'B-FCE'!AY50)</f>
        <v>2.3349684224773455</v>
      </c>
      <c r="BF14" s="5259">
        <f>+('Maj Production Summ'!BF17/3551)/('B-FCE'!AX50+'B-FCE'!AZ50)</f>
        <v>2.3260256146203999</v>
      </c>
      <c r="BG14" s="1209">
        <v>2.3140113386555594</v>
      </c>
      <c r="BH14" s="5260">
        <v>2.2734567413998459</v>
      </c>
      <c r="BI14" s="1209">
        <v>2.2723639158348869</v>
      </c>
      <c r="BJ14" s="5260">
        <v>2.1810141580001829</v>
      </c>
      <c r="BK14" s="1209">
        <v>2.2132462789796934</v>
      </c>
      <c r="BL14" s="5260">
        <v>2.086254508453981</v>
      </c>
      <c r="BM14" s="1209">
        <v>2.2066158005423167</v>
      </c>
      <c r="BN14" s="5260">
        <v>2.0192262714625757</v>
      </c>
      <c r="BO14" s="2967">
        <v>2.0565754006373806</v>
      </c>
      <c r="BP14" s="4699">
        <v>1.7450412546954082</v>
      </c>
      <c r="BQ14" s="1209">
        <v>2.1585498861864605</v>
      </c>
      <c r="BR14" s="4700">
        <v>2.0057992136444116</v>
      </c>
      <c r="BS14" s="4700">
        <v>1.7419241961288634</v>
      </c>
      <c r="BT14" s="5389"/>
      <c r="BU14" s="6601"/>
    </row>
    <row r="15" spans="1:73" ht="19.5" thickBot="1" x14ac:dyDescent="0.3">
      <c r="A15" s="93"/>
      <c r="B15" s="2993" t="s">
        <v>362</v>
      </c>
      <c r="C15" s="4665" t="s">
        <v>363</v>
      </c>
      <c r="D15" s="5248">
        <v>871.29177755633066</v>
      </c>
      <c r="E15" s="5221">
        <v>866.91251568708628</v>
      </c>
      <c r="F15" s="5205">
        <f>+'Coal to Hot Metal'!F20</f>
        <v>848.82294100624927</v>
      </c>
      <c r="G15" s="7158">
        <v>866.91251568708628</v>
      </c>
      <c r="H15" s="6405">
        <f>+'Coal to Hot Metal'!H20</f>
        <v>836.726488959525</v>
      </c>
      <c r="I15" s="1130">
        <f>+'Coal to Hot Metal'!I20</f>
        <v>866.91251568708617</v>
      </c>
      <c r="J15" s="5208">
        <f>+'Coal to Hot Metal'!J20</f>
        <v>842.40311151610922</v>
      </c>
      <c r="K15" s="5221">
        <v>918.52304191449321</v>
      </c>
      <c r="L15" s="5205">
        <f>+'Coal to Hot Metal'!L20</f>
        <v>966.95282680626599</v>
      </c>
      <c r="M15" s="2407">
        <f>+'Coal to Hot Metal'!M20</f>
        <v>880.73261912750058</v>
      </c>
      <c r="N15" s="2407">
        <f>+'Coal to Hot Metal'!N20</f>
        <v>874.50928038399229</v>
      </c>
      <c r="O15" s="5221">
        <v>1076.9039529754427</v>
      </c>
      <c r="P15" s="5205">
        <f>+'Coal to Hot Metal'!P20</f>
        <v>883.14642328614877</v>
      </c>
      <c r="Q15" s="5208">
        <f>+((M15*'Maj Production Summ'!M$17)+('Maj Production Summ'!O$17*O15))/('Maj Production Summ'!Q$17)</f>
        <v>900.48320239926613</v>
      </c>
      <c r="R15" s="5208">
        <f>+'Coal to Hot Metal'!R20</f>
        <v>876.91083429415221</v>
      </c>
      <c r="S15" s="5221">
        <v>876.78258810480679</v>
      </c>
      <c r="T15" s="5205">
        <f>+'Coal to Hot Metal'!T20</f>
        <v>908.50860040774546</v>
      </c>
      <c r="U15" s="5208">
        <f>+((Q15*'Maj Production Summ'!Q$17)+('Maj Production Summ'!S$17*S15))/('Maj Production Summ'!U$17)</f>
        <v>894.64920503447615</v>
      </c>
      <c r="V15" s="5208">
        <f>+'Coal to Hot Metal'!V20</f>
        <v>883.68512732527745</v>
      </c>
      <c r="W15" s="5221">
        <v>882.41812751169959</v>
      </c>
      <c r="X15" s="5205">
        <f>+'Coal to Hot Metal'!X20</f>
        <v>913.7326875694223</v>
      </c>
      <c r="Y15" s="2407">
        <f>+'Coal to Hot Metal'!Y20</f>
        <v>915.86957773826725</v>
      </c>
      <c r="Z15" s="2407">
        <f>+'Coal to Hot Metal'!Z20</f>
        <v>901.68528532835387</v>
      </c>
      <c r="AA15" s="5196">
        <f>+((M15*'Maj Production Summ'!M$17)+('Maj Production Summ'!Y$17*Y15))/('Maj Production Summ'!AA$17)</f>
        <v>896.62721680892457</v>
      </c>
      <c r="AB15" s="5196">
        <f>+'Coal to Hot Metal'!AB20</f>
        <v>888.99634076767518</v>
      </c>
      <c r="AC15" s="5350">
        <v>882.68648653107562</v>
      </c>
      <c r="AD15" s="5332">
        <f>+'Coal to Hot Metal'!AD20</f>
        <v>891.41530285112128</v>
      </c>
      <c r="AE15" s="5208">
        <f>+((AA15*'Maj Production Summ'!AA$17)+('Maj Production Summ'!AC$17*AC15))/('Maj Production Summ'!AE$17)</f>
        <v>894.23519033709044</v>
      </c>
      <c r="AF15" s="5208">
        <f>+'Coal to Hot Metal'!AF20</f>
        <v>889.34973879663232</v>
      </c>
      <c r="AG15" s="5205">
        <v>869.98415961395165</v>
      </c>
      <c r="AH15" s="5205">
        <f>+'Coal to Hot Metal'!AH20</f>
        <v>1821.6956432768995</v>
      </c>
      <c r="AI15" s="5208">
        <f>+((AE15*'Maj Production Summ'!AE$17)+('Maj Production Summ'!AG$17*AG15))/('Maj Production Summ'!AI$17)</f>
        <v>890.78095288270583</v>
      </c>
      <c r="AJ15" s="5208">
        <f>+'Coal to Hot Metal'!AJ20</f>
        <v>894.04779744691098</v>
      </c>
      <c r="AK15" s="5906">
        <v>869.98415961395165</v>
      </c>
      <c r="AL15" s="5906">
        <f>+'Coal to Hot Metal'!AL20</f>
        <v>880.90898319828568</v>
      </c>
      <c r="AM15" s="2407">
        <f>+'Coal to Hot Metal'!AM20</f>
        <v>883.49537384954363</v>
      </c>
      <c r="AN15" s="2407">
        <f>+'Coal to Hot Metal'!AN20</f>
        <v>901.28447744134314</v>
      </c>
      <c r="AO15" s="5208">
        <f>+'Coal to Hot Metal'!AO20</f>
        <v>891.62781841186938</v>
      </c>
      <c r="AP15" s="5208">
        <f>+'Coal to Hot Metal'!AP20</f>
        <v>892.26279853414201</v>
      </c>
      <c r="AQ15" s="6062">
        <v>869.98415961395165</v>
      </c>
      <c r="AR15" s="6062">
        <f>+'Coal to Hot Metal'!AR20</f>
        <v>839.50234176485299</v>
      </c>
      <c r="AS15" s="5208">
        <f>+((AO15*'Maj Production Summ'!AO$17)+('Maj Production Summ'!AQ$17*AQ15))/('Maj Production Summ'!AS$17)</f>
        <v>889.16719326431166</v>
      </c>
      <c r="AT15" s="5208">
        <f>+'Coal to Hot Metal'!AT20</f>
        <v>885.85411716939132</v>
      </c>
      <c r="AU15" s="6169">
        <v>869.98415961395165</v>
      </c>
      <c r="AV15" s="6169">
        <f>+'Coal to Hot Metal'!AV20</f>
        <v>833.03361977916063</v>
      </c>
      <c r="AW15" s="5208">
        <f>+((AS15*'Maj Production Summ'!AS$17)+('Maj Production Summ'!AU$17*AU15))/('Maj Production Summ'!AW$17)</f>
        <v>887.38658989330054</v>
      </c>
      <c r="AX15" s="6363">
        <f>+'Coal to Hot Metal'!AX20</f>
        <v>880.57000912800879</v>
      </c>
      <c r="AY15" s="6387">
        <v>869.98415961395165</v>
      </c>
      <c r="AZ15" s="6387">
        <f>+'Coal to Hot Metal'!AZ20</f>
        <v>821.74730547663194</v>
      </c>
      <c r="BA15" s="5199">
        <f>+'Coal to Hot Metal'!BA20</f>
        <v>879.17042362526865</v>
      </c>
      <c r="BB15" s="5199">
        <f>+'Coal to Hot Metal'!BB20</f>
        <v>831.35602378652857</v>
      </c>
      <c r="BC15" s="5201">
        <f>+'Coal to Hot Metal'!BC20</f>
        <v>881.35795809453384</v>
      </c>
      <c r="BD15" s="5201">
        <f>+'Coal to Hot Metal'!BD20</f>
        <v>859.10332410303215</v>
      </c>
      <c r="BE15" s="5206">
        <f>+'Coal to Hot Metal'!BE20</f>
        <v>888.2502525104909</v>
      </c>
      <c r="BF15" s="528">
        <f>+'Coal to Hot Metal'!BF20</f>
        <v>874.7338313610062</v>
      </c>
      <c r="BG15" s="1198">
        <v>879.8743565218308</v>
      </c>
      <c r="BH15" s="7250">
        <v>887.52975181303168</v>
      </c>
      <c r="BI15" s="1198">
        <v>900.75553765627933</v>
      </c>
      <c r="BJ15" s="5203">
        <v>932.0378517640504</v>
      </c>
      <c r="BK15" s="1198">
        <v>910.43802076736529</v>
      </c>
      <c r="BL15" s="5203">
        <v>930.8611107215944</v>
      </c>
      <c r="BM15" s="1198">
        <v>908.37669886703623</v>
      </c>
      <c r="BN15" s="5203">
        <v>935.21205199417307</v>
      </c>
      <c r="BO15" s="2961">
        <v>907.5085368428455</v>
      </c>
      <c r="BP15" s="2962">
        <v>991.44637124749988</v>
      </c>
      <c r="BQ15" s="1198">
        <v>886.42711546488033</v>
      </c>
      <c r="BR15" s="4673">
        <v>931.68362998699263</v>
      </c>
      <c r="BS15" s="4673">
        <v>905.60969999999998</v>
      </c>
      <c r="BT15" s="5389"/>
      <c r="BU15" s="6601"/>
    </row>
    <row r="16" spans="1:73" ht="19.5" thickBot="1" x14ac:dyDescent="0.3">
      <c r="A16" s="93"/>
      <c r="B16" s="5657" t="s">
        <v>364</v>
      </c>
      <c r="C16" s="4137" t="s">
        <v>271</v>
      </c>
      <c r="D16" s="5249">
        <v>1059</v>
      </c>
      <c r="E16" s="5197">
        <f>+$D$16</f>
        <v>1059</v>
      </c>
      <c r="F16" s="1970">
        <f>+(F38/'Maj Production Summ'!F18)*1000</f>
        <v>1059.7699014587963</v>
      </c>
      <c r="G16" s="7149">
        <f>+$D$16</f>
        <v>1059</v>
      </c>
      <c r="H16" s="1970">
        <f>+(H38/'Maj Production Summ'!H18)*1000</f>
        <v>1067.8204683947631</v>
      </c>
      <c r="I16" s="437">
        <f>+$D$16</f>
        <v>1059</v>
      </c>
      <c r="J16" s="5206">
        <f>+(J38/'Maj Production Summ'!J18)*1000</f>
        <v>1064.0639073340274</v>
      </c>
      <c r="K16" s="5197">
        <f>+$D$16</f>
        <v>1059</v>
      </c>
      <c r="L16" s="1970">
        <f>+(L38/'Maj Production Summ'!L18)*1000</f>
        <v>1063.7513957375388</v>
      </c>
      <c r="M16" s="5199">
        <f>+$D$16</f>
        <v>1059</v>
      </c>
      <c r="N16" s="5199">
        <f>+(N38/'Maj Production Summ'!N18)*1000</f>
        <v>1063.9872534860262</v>
      </c>
      <c r="O16" s="5197">
        <f>+$D$16</f>
        <v>1059</v>
      </c>
      <c r="P16" s="1970">
        <f>+(P38/'Maj Production Summ'!P18)*1000</f>
        <v>1058.7751638501916</v>
      </c>
      <c r="Q16" s="5206">
        <f>+$D$16</f>
        <v>1059</v>
      </c>
      <c r="R16" s="5206">
        <f>+(R38/'Maj Production Summ'!R18)*1000</f>
        <v>1062.5009180894015</v>
      </c>
      <c r="S16" s="5197">
        <f>+$D$16</f>
        <v>1059</v>
      </c>
      <c r="T16" s="1970">
        <f>+(T38/'Maj Production Summ'!T18)*1000</f>
        <v>1052.5995067316871</v>
      </c>
      <c r="U16" s="5206">
        <f>+$D$16</f>
        <v>1059</v>
      </c>
      <c r="V16" s="5206">
        <f>+(V38/'Maj Production Summ'!V18)*1000</f>
        <v>1060.3257638225334</v>
      </c>
      <c r="W16" s="5197">
        <f>+$D$16</f>
        <v>1059</v>
      </c>
      <c r="X16" s="1970">
        <f>+(X38/'Maj Production Summ'!X18)*1000</f>
        <v>1057.3295599496691</v>
      </c>
      <c r="Y16" s="5199">
        <f>+$D$16</f>
        <v>1059</v>
      </c>
      <c r="Z16" s="5199">
        <f>+(Z38/'Maj Production Summ'!Z18)*1000</f>
        <v>1056.2452692460481</v>
      </c>
      <c r="AA16" s="5201">
        <f>+$D$16</f>
        <v>1059</v>
      </c>
      <c r="AB16" s="5201">
        <f>+(AB38/'Maj Production Summ'!AB18)*1000</f>
        <v>1059.7865806686557</v>
      </c>
      <c r="AC16" s="5330">
        <f>+$D$16</f>
        <v>1059</v>
      </c>
      <c r="AD16" s="1970">
        <f>+(AD38/'Maj Production Summ'!AD18)*1000</f>
        <v>1061.2178015467862</v>
      </c>
      <c r="AE16" s="5206">
        <f>+$D$16</f>
        <v>1059</v>
      </c>
      <c r="AF16" s="5206">
        <f>+(AF38/'Maj Production Summ'!AF18)*1000</f>
        <v>1059.9975087641083</v>
      </c>
      <c r="AG16" s="5209">
        <f>$D$16</f>
        <v>1059</v>
      </c>
      <c r="AH16" s="5209">
        <f>+(AH38/'Maj Production Summ'!AH18)*1000</f>
        <v>1058.374291115312</v>
      </c>
      <c r="AI16" s="5206">
        <f>+$D$16</f>
        <v>1059</v>
      </c>
      <c r="AJ16" s="5206">
        <f>+(AJ38/'Maj Production Summ'!AJ18)*1000</f>
        <v>1059.9890081895753</v>
      </c>
      <c r="AK16" s="5911">
        <f>$D$16</f>
        <v>1059</v>
      </c>
      <c r="AL16" s="5911">
        <f>+(AL38/'Maj Production Summ'!AL18)*1000</f>
        <v>1061.5576980377132</v>
      </c>
      <c r="AM16" s="5199">
        <f>+$D$16</f>
        <v>1059</v>
      </c>
      <c r="AN16" s="5199">
        <f>+(AN38/'Maj Production Summ'!AN18)*1000</f>
        <v>1061.3410021010616</v>
      </c>
      <c r="AO16" s="5206">
        <f>+$D$16</f>
        <v>1059</v>
      </c>
      <c r="AP16" s="5206">
        <f>+(AP38/'Maj Production Summ'!AP18)*1000</f>
        <v>1060.1995801500329</v>
      </c>
      <c r="AQ16" s="6066">
        <f>$D$16</f>
        <v>1059</v>
      </c>
      <c r="AR16" s="6066">
        <f>+(AR38/'Maj Production Summ'!AR18)*1000</f>
        <v>1062.3569338318973</v>
      </c>
      <c r="AS16" s="5206">
        <f>+$D$16</f>
        <v>1059</v>
      </c>
      <c r="AT16" s="5206">
        <f>+(AT38/'Maj Production Summ'!AT18)*1000</f>
        <v>1060.465484480678</v>
      </c>
      <c r="AU16" s="6172">
        <f>$D$16</f>
        <v>1059</v>
      </c>
      <c r="AV16" s="6172">
        <f>+(AV38/'Maj Production Summ'!AV18)*1000</f>
        <v>1061.4913748626034</v>
      </c>
      <c r="AW16" s="5206">
        <f>+$D$16</f>
        <v>1059</v>
      </c>
      <c r="AX16" s="5206">
        <f>+(AX38/'Maj Production Summ'!AX18)*1000</f>
        <v>1060.5685296275403</v>
      </c>
      <c r="AY16" s="6388">
        <f>$D$16</f>
        <v>1059</v>
      </c>
      <c r="AZ16" s="6388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52">
        <f>+$D$16</f>
        <v>1059</v>
      </c>
      <c r="BD16" s="1052">
        <f>+(BD38/'Maj Production Summ'!BD18)*1000</f>
        <v>1060.7022947116322</v>
      </c>
      <c r="BE16" s="1874">
        <f>+$D$16</f>
        <v>1059</v>
      </c>
      <c r="BF16" s="5261">
        <f>+(BF38/'Maj Production Summ'!BF18)*1000</f>
        <v>1060.2244221232856</v>
      </c>
      <c r="BG16" s="1103">
        <v>1060</v>
      </c>
      <c r="BH16" s="1199">
        <v>1059.5459918693748</v>
      </c>
      <c r="BI16" s="1103">
        <v>1060</v>
      </c>
      <c r="BJ16" s="1199">
        <v>1066.0113803295867</v>
      </c>
      <c r="BK16" s="1103">
        <v>1061.9999999999998</v>
      </c>
      <c r="BL16" s="1199">
        <v>1062.9741019163143</v>
      </c>
      <c r="BM16" s="1103">
        <v>1064.9999163858361</v>
      </c>
      <c r="BN16" s="1199">
        <v>1062.0576596902831</v>
      </c>
      <c r="BO16" s="2957">
        <v>1077.0434194075694</v>
      </c>
      <c r="BP16" s="2968">
        <v>1071.1760588881978</v>
      </c>
      <c r="BQ16" s="1103">
        <v>1065</v>
      </c>
      <c r="BR16" s="1199">
        <v>1093.6626453647993</v>
      </c>
      <c r="BS16" s="1199">
        <v>1078.3300007201833</v>
      </c>
      <c r="BT16" s="5389"/>
      <c r="BU16" s="6601"/>
    </row>
    <row r="17" spans="1:73" ht="19.5" thickBot="1" x14ac:dyDescent="0.3">
      <c r="A17" s="93"/>
      <c r="B17" s="2982" t="s">
        <v>1926</v>
      </c>
      <c r="C17" s="4666" t="s">
        <v>271</v>
      </c>
      <c r="D17" s="5250">
        <v>38</v>
      </c>
      <c r="E17" s="5220">
        <f>+$D$17</f>
        <v>38</v>
      </c>
      <c r="F17" s="1218">
        <f>+(F39/'Maj Production Summ'!F18)*1000</f>
        <v>37.174669114095252</v>
      </c>
      <c r="G17" s="7157">
        <f>+$D$17</f>
        <v>38</v>
      </c>
      <c r="H17" s="1218">
        <f>+(H39/'Maj Production Summ'!H18)*1000</f>
        <v>28.189893423710473</v>
      </c>
      <c r="I17" s="3174">
        <f>+$D$17</f>
        <v>38</v>
      </c>
      <c r="J17" s="5207">
        <f>+(J39/'Maj Production Summ'!J18)*1000</f>
        <v>32.382375613648342</v>
      </c>
      <c r="K17" s="5220">
        <f>+$D$17</f>
        <v>38</v>
      </c>
      <c r="L17" s="1218">
        <f>+(L39/'Maj Production Summ'!L18)*1000</f>
        <v>36.038810172759362</v>
      </c>
      <c r="M17" s="2406">
        <f>+$D$17</f>
        <v>38</v>
      </c>
      <c r="N17" s="2406">
        <f>+(N39/'Maj Production Summ'!N18)*1000</f>
        <v>33.279237624756099</v>
      </c>
      <c r="O17" s="5220">
        <f>+$D$17</f>
        <v>38</v>
      </c>
      <c r="P17" s="1218">
        <f>+(P39/'Maj Production Summ'!P18)*1000</f>
        <v>38.350112786924392</v>
      </c>
      <c r="Q17" s="5207">
        <f>+$D$17</f>
        <v>38</v>
      </c>
      <c r="R17" s="5207">
        <f>+(R39/'Maj Production Summ'!R18)*1000</f>
        <v>34.725302787100539</v>
      </c>
      <c r="S17" s="5220">
        <f>+$D$17</f>
        <v>38</v>
      </c>
      <c r="T17" s="1218">
        <f>+(T39/'Maj Production Summ'!T18)*1000</f>
        <v>44.128076987866976</v>
      </c>
      <c r="U17" s="5207">
        <f>+$D$17</f>
        <v>38</v>
      </c>
      <c r="V17" s="5207">
        <f>+(V39/'Maj Production Summ'!V18)*1000</f>
        <v>36.790915827938178</v>
      </c>
      <c r="W17" s="5220">
        <f>+$D$17</f>
        <v>38</v>
      </c>
      <c r="X17" s="1218">
        <f>+(X39/'Maj Production Summ'!X18)*1000</f>
        <v>36.786599155096447</v>
      </c>
      <c r="Y17" s="2406">
        <f>+$D$17</f>
        <v>38</v>
      </c>
      <c r="Z17" s="2406">
        <f>+(Z39/'Maj Production Summ'!Z18)*1000</f>
        <v>39.74994944779786</v>
      </c>
      <c r="AA17" s="5195">
        <f>+$D$17</f>
        <v>38</v>
      </c>
      <c r="AB17" s="5195">
        <f>+(AB39/'Maj Production Summ'!AB18)*1000</f>
        <v>36.790139019224277</v>
      </c>
      <c r="AC17" s="5349">
        <f>+$D$17</f>
        <v>38</v>
      </c>
      <c r="AD17" s="1218">
        <f>+(AD39/'Maj Production Summ'!AD18)*1000</f>
        <v>34.008139084713108</v>
      </c>
      <c r="AE17" s="5207">
        <f>+$D$17</f>
        <v>38</v>
      </c>
      <c r="AF17" s="5207">
        <f>+(AF39/'Maj Production Summ'!AF18)*1000</f>
        <v>36.380138049630993</v>
      </c>
      <c r="AG17" s="5204">
        <f>$D$17</f>
        <v>38</v>
      </c>
      <c r="AH17" s="5204">
        <f>+(AH39/'Maj Production Summ'!AH18)*1000</f>
        <v>41.109010712035285</v>
      </c>
      <c r="AI17" s="5207">
        <f>+$D$17</f>
        <v>38</v>
      </c>
      <c r="AJ17" s="5207">
        <f>+(AJ39/'Maj Production Summ'!AJ18)*1000</f>
        <v>36.404902525641504</v>
      </c>
      <c r="AK17" s="5905">
        <f>$D$17</f>
        <v>38</v>
      </c>
      <c r="AL17" s="5905">
        <f>+(AL39/'Maj Production Summ'!AL18)*1000</f>
        <v>37.65462052526285</v>
      </c>
      <c r="AM17" s="2406">
        <f>+$D$17</f>
        <v>38</v>
      </c>
      <c r="AN17" s="2406">
        <f>+(AN39/'Maj Production Summ'!AN18)*1000</f>
        <v>35.971595882177105</v>
      </c>
      <c r="AO17" s="5207">
        <f>+$D$17</f>
        <v>38</v>
      </c>
      <c r="AP17" s="5207">
        <f>+(AP39/'Maj Production Summ'!AP18)*1000</f>
        <v>36.57265752801618</v>
      </c>
      <c r="AQ17" s="6061">
        <f>$D$17</f>
        <v>38</v>
      </c>
      <c r="AR17" s="6061">
        <f>+(AR39/'Maj Production Summ'!AR18)*1000</f>
        <v>37.524386278653878</v>
      </c>
      <c r="AS17" s="5207">
        <f>+$D$17</f>
        <v>38</v>
      </c>
      <c r="AT17" s="6360">
        <f>+(AT39/'Maj Production Summ'!AT18)*1000</f>
        <v>36.689962723970524</v>
      </c>
      <c r="AU17" s="6168">
        <f>$D$17</f>
        <v>38</v>
      </c>
      <c r="AV17" s="6168">
        <f>+(AV39/'Maj Production Summ'!AV18)*1000</f>
        <v>35.703806725139643</v>
      </c>
      <c r="AW17" s="5207">
        <f>+$D$17</f>
        <v>38</v>
      </c>
      <c r="AX17" s="6334">
        <f>+(AX39/'Maj Production Summ'!AX18)*1000</f>
        <v>36.59090868123964</v>
      </c>
      <c r="AY17" s="6386">
        <f>$D$17</f>
        <v>38</v>
      </c>
      <c r="AZ17" s="6386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52">
        <f>+(BC39/'Maj Production Summ'!BC18)*1000</f>
        <v>38</v>
      </c>
      <c r="BD17" s="1052">
        <f>+(BD39/'Maj Production Summ'!BD18)*1000</f>
        <v>36.739844924373031</v>
      </c>
      <c r="BE17" s="1874">
        <f>+(BE39/'Maj Production Summ'!BE18)*1000</f>
        <v>38</v>
      </c>
      <c r="BF17" s="5261">
        <f>+(BF39/'Maj Production Summ'!BF18)*1000</f>
        <v>36.766091294044259</v>
      </c>
      <c r="BG17" s="1683">
        <v>40</v>
      </c>
      <c r="BH17" s="1210">
        <v>37.680157934540539</v>
      </c>
      <c r="BI17" s="1683">
        <v>40</v>
      </c>
      <c r="BJ17" s="1210">
        <v>34.431040857281253</v>
      </c>
      <c r="BK17" s="1683">
        <v>46</v>
      </c>
      <c r="BL17" s="1210">
        <v>38.506404738512508</v>
      </c>
      <c r="BM17" s="1683">
        <v>49.999999999999993</v>
      </c>
      <c r="BN17" s="1210">
        <v>45.611232627441403</v>
      </c>
      <c r="BO17" s="2959">
        <v>40.465027848474861</v>
      </c>
      <c r="BP17" s="2969">
        <v>41.122433127480129</v>
      </c>
      <c r="BQ17" s="1683">
        <v>50</v>
      </c>
      <c r="BR17" s="1210">
        <v>25.53216575879436</v>
      </c>
      <c r="BS17" s="1210">
        <v>41.130412495604766</v>
      </c>
      <c r="BT17" s="5389"/>
      <c r="BU17" s="6601"/>
    </row>
    <row r="18" spans="1:73" ht="19.5" thickBot="1" x14ac:dyDescent="0.3">
      <c r="A18" s="93"/>
      <c r="B18" s="3837" t="s">
        <v>288</v>
      </c>
      <c r="C18" s="4667" t="s">
        <v>271</v>
      </c>
      <c r="D18" s="2483">
        <f>SUM(D16:D17)</f>
        <v>1097</v>
      </c>
      <c r="E18" s="1128">
        <f>+$D$18</f>
        <v>1097</v>
      </c>
      <c r="F18" s="158">
        <f>SUM(F16:F17)</f>
        <v>1096.9445705728915</v>
      </c>
      <c r="G18" s="1128">
        <f>+$D$18</f>
        <v>1097</v>
      </c>
      <c r="H18" s="158">
        <f>SUM(H16:H17)</f>
        <v>1096.0103618184735</v>
      </c>
      <c r="I18" s="716">
        <f>+$D$18</f>
        <v>1097</v>
      </c>
      <c r="J18" s="373">
        <f>SUM(J16:J17)</f>
        <v>1096.4462829476756</v>
      </c>
      <c r="K18" s="1128">
        <f>+$D$18</f>
        <v>1097</v>
      </c>
      <c r="L18" s="158">
        <f>SUM(L16:L17)</f>
        <v>1099.7902059102983</v>
      </c>
      <c r="M18" s="618">
        <f>+$D$18</f>
        <v>1097</v>
      </c>
      <c r="N18" s="618">
        <f>SUM(N16:N17)</f>
        <v>1097.2664911107825</v>
      </c>
      <c r="O18" s="1128">
        <f>+$D$18</f>
        <v>1097</v>
      </c>
      <c r="P18" s="158">
        <f>SUM(P16:P17)</f>
        <v>1097.125276637116</v>
      </c>
      <c r="Q18" s="373">
        <f>+$D$18</f>
        <v>1097</v>
      </c>
      <c r="R18" s="373">
        <f>SUM(R16:R17)</f>
        <v>1097.2262208765021</v>
      </c>
      <c r="S18" s="1128">
        <f>+$D$18</f>
        <v>1097</v>
      </c>
      <c r="T18" s="158">
        <f>SUM(T16:T17)</f>
        <v>1096.7275837195541</v>
      </c>
      <c r="U18" s="373">
        <f>+$D$18</f>
        <v>1097</v>
      </c>
      <c r="V18" s="373">
        <f>SUM(V16:V17)</f>
        <v>1097.1166796504715</v>
      </c>
      <c r="W18" s="1128">
        <f>+$D$18</f>
        <v>1097</v>
      </c>
      <c r="X18" s="158">
        <f>SUM(X16:X17)</f>
        <v>1094.1161591047655</v>
      </c>
      <c r="Y18" s="618">
        <f>+$D$18</f>
        <v>1097</v>
      </c>
      <c r="Z18" s="618">
        <f>SUM(Z16:Z17)</f>
        <v>1095.995218693846</v>
      </c>
      <c r="AA18" s="1052">
        <f>+$D$18</f>
        <v>1097</v>
      </c>
      <c r="AB18" s="1052">
        <f>SUM(AB16:AB17)</f>
        <v>1096.5767196878799</v>
      </c>
      <c r="AC18" s="1128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1096.3776468137391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1096.3939107152169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1096.7722376780491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1097.1554472046485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1097.15943830878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52">
        <f>+$D$18</f>
        <v>1097</v>
      </c>
      <c r="BD18" s="1052">
        <f>SUM(BD16:BD17)</f>
        <v>1097.4421396360053</v>
      </c>
      <c r="BE18" s="373">
        <f>+$D$18</f>
        <v>1097</v>
      </c>
      <c r="BF18" s="5262">
        <f t="shared" ref="BF18" si="15">SUM(BF16:BF17)</f>
        <v>1096.99051341733</v>
      </c>
      <c r="BG18" s="5246">
        <v>1100</v>
      </c>
      <c r="BH18" s="5263">
        <v>1097.2261498039154</v>
      </c>
      <c r="BI18" s="5246">
        <v>1100</v>
      </c>
      <c r="BJ18" s="5263">
        <v>1100.4424211868679</v>
      </c>
      <c r="BK18" s="5246">
        <v>1107.9999999999998</v>
      </c>
      <c r="BL18" s="5263">
        <v>1101.4805066548267</v>
      </c>
      <c r="BM18" s="5246">
        <v>1114.9999163858361</v>
      </c>
      <c r="BN18" s="5263">
        <v>1107.6688923177246</v>
      </c>
      <c r="BO18" s="4693">
        <v>1117.5084472560443</v>
      </c>
      <c r="BP18" s="4701">
        <v>1112.298492015678</v>
      </c>
      <c r="BQ18" s="4702">
        <v>1115</v>
      </c>
      <c r="BR18" s="4703">
        <v>1119.1948111235938</v>
      </c>
      <c r="BS18" s="4703">
        <v>1119.4604132157881</v>
      </c>
      <c r="BT18" s="5389"/>
      <c r="BU18" s="6601"/>
    </row>
    <row r="19" spans="1:73" ht="19.5" thickBot="1" x14ac:dyDescent="0.3">
      <c r="A19" s="154"/>
      <c r="B19" s="4704" t="s">
        <v>1927</v>
      </c>
      <c r="C19" s="4705" t="s">
        <v>271</v>
      </c>
      <c r="D19" s="5235">
        <f>+D50+D51+D54</f>
        <v>22.017291674197072</v>
      </c>
      <c r="E19" s="1346">
        <f>+$D$19</f>
        <v>22.017291674197072</v>
      </c>
      <c r="F19" s="5239">
        <f>F50+F53+F54</f>
        <v>20.62119601970824</v>
      </c>
      <c r="G19" s="1346">
        <f>+$D$19</f>
        <v>22.017291674197072</v>
      </c>
      <c r="H19" s="5239">
        <f>H50+H53+H54</f>
        <v>19.422070842383725</v>
      </c>
      <c r="I19" s="5237">
        <f>+$D$19</f>
        <v>22.017291674197072</v>
      </c>
      <c r="J19" s="603">
        <f>J50+J53+J54</f>
        <v>19.981607454390545</v>
      </c>
      <c r="K19" s="1346">
        <f>+$D$19</f>
        <v>22.017291674197072</v>
      </c>
      <c r="L19" s="5239">
        <f>L50+L53+L54</f>
        <v>17.594962167710435</v>
      </c>
      <c r="M19" s="2406">
        <f>+$D$19</f>
        <v>22.017291674197072</v>
      </c>
      <c r="N19" s="999">
        <f>N50+N53+N54</f>
        <v>19.396203433886711</v>
      </c>
      <c r="O19" s="1346">
        <f>+$D$19</f>
        <v>22.017291674197072</v>
      </c>
      <c r="P19" s="5239">
        <f>P50+P53+P54</f>
        <v>19.65963507353537</v>
      </c>
      <c r="Q19" s="5207">
        <f>+$D$19</f>
        <v>22.017291674197072</v>
      </c>
      <c r="R19" s="5207">
        <f>R50+R53+R54</f>
        <v>19.471326426382607</v>
      </c>
      <c r="S19" s="1346">
        <f>+$D$19</f>
        <v>22.017291674197072</v>
      </c>
      <c r="T19" s="5239">
        <f>T50+T53+T54</f>
        <v>21.190668503824774</v>
      </c>
      <c r="U19" s="5207">
        <f>+$D$19</f>
        <v>22.017291674197072</v>
      </c>
      <c r="V19" s="603">
        <f>V50+V53+V54</f>
        <v>19.849033615877381</v>
      </c>
      <c r="W19" s="1346">
        <f>+$D$19</f>
        <v>22.017291674197072</v>
      </c>
      <c r="X19" s="5239">
        <f>X50+X53+X54</f>
        <v>20.579528600893333</v>
      </c>
      <c r="Y19" s="2406">
        <f>+$D$19</f>
        <v>22.017291674197072</v>
      </c>
      <c r="Z19" s="2406">
        <f>Z50+Z53+Z54</f>
        <v>20.473063922363295</v>
      </c>
      <c r="AA19" s="5195">
        <f>+$D$19</f>
        <v>22.017291674197072</v>
      </c>
      <c r="AB19" s="5238">
        <f>AB50+AB53+AB54</f>
        <v>19.980490154426032</v>
      </c>
      <c r="AC19" s="1346">
        <f>+$D$19</f>
        <v>22.017291674197072</v>
      </c>
      <c r="AD19" s="5495">
        <f>AD50+AD53+AD54</f>
        <v>19.519397851785826</v>
      </c>
      <c r="AE19" s="603">
        <f>+$D$19</f>
        <v>22.017291674197072</v>
      </c>
      <c r="AF19" s="603">
        <f>AF50+AF53+AF54</f>
        <v>19.912536058234547</v>
      </c>
      <c r="AG19" s="5204">
        <f>+$D$19</f>
        <v>22.017291674197072</v>
      </c>
      <c r="AH19" s="5204">
        <f>AH50+AH53+AH54</f>
        <v>17.643352236925015</v>
      </c>
      <c r="AI19" s="5207">
        <f>+$D$19</f>
        <v>22.017291674197072</v>
      </c>
      <c r="AJ19" s="5207">
        <f>AJ50+AJ53+AJ54</f>
        <v>19.900652644931196</v>
      </c>
      <c r="AK19" s="5905">
        <f>+$D$19</f>
        <v>22.017291674197072</v>
      </c>
      <c r="AL19" s="5905">
        <f>AL50+AL53+AL54</f>
        <v>21.325501213127318</v>
      </c>
      <c r="AM19" s="2406">
        <f>+$D$19</f>
        <v>22.017291674197072</v>
      </c>
      <c r="AN19" s="2406">
        <f>AN50+AN53+AN54</f>
        <v>20.399868387945887</v>
      </c>
      <c r="AO19" s="5207">
        <f>+$D$19</f>
        <v>22.017291674197072</v>
      </c>
      <c r="AP19" s="5207">
        <f>AP50+AP53+AP54</f>
        <v>20.091916173994331</v>
      </c>
      <c r="AQ19" s="6061">
        <f>+$D$19</f>
        <v>22.017291674197072</v>
      </c>
      <c r="AR19" s="6061">
        <f>AR50+AR53+AR54</f>
        <v>20.886847667046009</v>
      </c>
      <c r="AS19" s="5207">
        <f>+$D$19</f>
        <v>22.017291674197072</v>
      </c>
      <c r="AT19" s="5207">
        <f>AT50+AT53+AT54</f>
        <v>20.189895345581007</v>
      </c>
      <c r="AU19" s="6168">
        <f>+$D$19</f>
        <v>22.017291674197072</v>
      </c>
      <c r="AV19" s="6168">
        <f>AV50+AV53+AV54</f>
        <v>20.637519908477088</v>
      </c>
      <c r="AW19" s="5207">
        <f>+$D$19</f>
        <v>22.017291674197072</v>
      </c>
      <c r="AX19" s="5207">
        <f>AX50+AX53+AX54</f>
        <v>20.234856814793854</v>
      </c>
      <c r="AY19" s="6386">
        <f>+$D$19</f>
        <v>22.017291674197072</v>
      </c>
      <c r="AZ19" s="6386">
        <f>AZ50+AZ53+AZ54</f>
        <v>20.430955196426229</v>
      </c>
      <c r="BA19" s="2406">
        <f>+$D$19</f>
        <v>22.017291674197072</v>
      </c>
      <c r="BB19" s="2406">
        <f>BB50+BB53+BB54</f>
        <v>20.653008405767402</v>
      </c>
      <c r="BC19" s="5195">
        <f>+$D$19</f>
        <v>22.017291674197072</v>
      </c>
      <c r="BD19" s="5195">
        <f>BD50+BD53+BD54</f>
        <v>20.553040790155329</v>
      </c>
      <c r="BE19" s="603">
        <f>+$D$19</f>
        <v>22.017291674197072</v>
      </c>
      <c r="BF19" s="6413">
        <f>BF50+BF53+BF54</f>
        <v>20.254250729705895</v>
      </c>
      <c r="BG19" s="5264">
        <v>22.999999999999996</v>
      </c>
      <c r="BH19" s="5265">
        <v>20.403234933373927</v>
      </c>
      <c r="BI19" s="5264">
        <v>21.173676902697167</v>
      </c>
      <c r="BJ19" s="5265">
        <v>22.701786332137168</v>
      </c>
      <c r="BK19" s="5264">
        <v>20.999999999999996</v>
      </c>
      <c r="BL19" s="5265">
        <v>22.930617482833931</v>
      </c>
      <c r="BM19" s="5264">
        <v>21.957789999999999</v>
      </c>
      <c r="BN19" s="5265">
        <v>20.936321602680948</v>
      </c>
      <c r="BO19" s="4706">
        <v>20.938577554449214</v>
      </c>
      <c r="BP19" s="4707">
        <v>20.212673477197818</v>
      </c>
      <c r="BQ19" s="4708">
        <v>21</v>
      </c>
      <c r="BR19" s="4709">
        <v>21.832464031742681</v>
      </c>
      <c r="BS19" s="4709">
        <v>23.120676252165847</v>
      </c>
      <c r="BT19" s="5389"/>
      <c r="BU19" s="6601"/>
    </row>
    <row r="20" spans="1:73" ht="19.5" thickBot="1" x14ac:dyDescent="0.3">
      <c r="A20" s="149"/>
      <c r="B20" s="5669" t="s">
        <v>366</v>
      </c>
      <c r="C20" s="3836"/>
      <c r="D20" s="6516"/>
      <c r="E20" s="5267"/>
      <c r="F20" s="5268"/>
      <c r="G20" s="5267"/>
      <c r="H20" s="5268"/>
      <c r="I20" s="5269"/>
      <c r="J20" s="5268"/>
      <c r="K20" s="5267"/>
      <c r="L20" s="5268"/>
      <c r="M20" s="5268"/>
      <c r="N20" s="5268"/>
      <c r="O20" s="5267"/>
      <c r="P20" s="5268"/>
      <c r="Q20" s="5268"/>
      <c r="R20" s="5268"/>
      <c r="S20" s="5267"/>
      <c r="T20" s="5268"/>
      <c r="U20" s="5268"/>
      <c r="V20" s="5268"/>
      <c r="W20" s="5267"/>
      <c r="X20" s="5268"/>
      <c r="Y20" s="5268"/>
      <c r="Z20" s="5268"/>
      <c r="AA20" s="5268"/>
      <c r="AB20" s="5268"/>
      <c r="AC20" s="5267"/>
      <c r="AD20" s="5268"/>
      <c r="AE20" s="5268"/>
      <c r="AF20" s="5268"/>
      <c r="AG20" s="5268"/>
      <c r="AH20" s="5268"/>
      <c r="AI20" s="5268"/>
      <c r="AJ20" s="5268"/>
      <c r="AK20" s="5268"/>
      <c r="AL20" s="5268"/>
      <c r="AM20" s="5268"/>
      <c r="AN20" s="5268"/>
      <c r="AO20" s="5268"/>
      <c r="AP20" s="5268"/>
      <c r="AQ20" s="5268"/>
      <c r="AR20" s="5268"/>
      <c r="AS20" s="5268"/>
      <c r="AT20" s="5268"/>
      <c r="AU20" s="5268"/>
      <c r="AV20" s="5268"/>
      <c r="AW20" s="5268"/>
      <c r="AX20" s="5268"/>
      <c r="AY20" s="5268"/>
      <c r="AZ20" s="5268"/>
      <c r="BA20" s="5268"/>
      <c r="BB20" s="5268"/>
      <c r="BC20" s="5268"/>
      <c r="BD20" s="5268"/>
      <c r="BE20" s="5268"/>
      <c r="BF20" s="5266"/>
      <c r="BG20" s="5267"/>
      <c r="BH20" s="5268"/>
      <c r="BI20" s="5267"/>
      <c r="BJ20" s="5268"/>
      <c r="BK20" s="5267"/>
      <c r="BL20" s="5268"/>
      <c r="BM20" s="5268"/>
      <c r="BN20" s="5268"/>
      <c r="BO20" s="2988"/>
      <c r="BP20" s="2988"/>
      <c r="BQ20" s="4710"/>
      <c r="BR20" s="4711"/>
      <c r="BS20" s="4711"/>
      <c r="BT20" s="5389"/>
      <c r="BU20" s="6601"/>
    </row>
    <row r="21" spans="1:73" ht="18.75" x14ac:dyDescent="0.25">
      <c r="A21" s="93"/>
      <c r="B21" s="3837" t="s">
        <v>16</v>
      </c>
      <c r="C21" s="4667" t="s">
        <v>49</v>
      </c>
      <c r="D21" s="7131">
        <v>96</v>
      </c>
      <c r="E21" s="5270">
        <f>+$D$21</f>
        <v>96</v>
      </c>
      <c r="F21" s="2216">
        <f>+WRM!F153</f>
        <v>95.812540022738901</v>
      </c>
      <c r="G21" s="5270">
        <f>+$D$21</f>
        <v>96</v>
      </c>
      <c r="H21" s="2216">
        <f>+WRM!H153</f>
        <v>95.667534001835477</v>
      </c>
      <c r="I21" s="5271">
        <f>+$D$21</f>
        <v>96</v>
      </c>
      <c r="J21" s="2217">
        <f>+WRM!J153</f>
        <v>95.737476932696083</v>
      </c>
      <c r="K21" s="5270">
        <f>+$D$21</f>
        <v>96</v>
      </c>
      <c r="L21" s="2216">
        <f>+WRM!L153</f>
        <v>95.828319866939381</v>
      </c>
      <c r="M21" s="2218">
        <f>+$D$21</f>
        <v>96</v>
      </c>
      <c r="N21" s="2218">
        <f>+WRM!N153</f>
        <v>93.544342315921426</v>
      </c>
      <c r="O21" s="5270">
        <f>+$D$21</f>
        <v>96</v>
      </c>
      <c r="P21" s="2216">
        <f>+WRM!P153</f>
        <v>95.980373534772824</v>
      </c>
      <c r="Q21" s="2217">
        <f>+$D$21</f>
        <v>96</v>
      </c>
      <c r="R21" s="2217">
        <f>+WRM!R153</f>
        <v>94.151357873346072</v>
      </c>
      <c r="S21" s="5270">
        <f>+$D$21</f>
        <v>96</v>
      </c>
      <c r="T21" s="2216">
        <f>+WRM!T153</f>
        <v>95.889415039186275</v>
      </c>
      <c r="U21" s="2217">
        <f>+$D$21</f>
        <v>96</v>
      </c>
      <c r="V21" s="2217">
        <f>+WRM!V153</f>
        <v>94.515922005478942</v>
      </c>
      <c r="W21" s="5270">
        <f>+$D$21</f>
        <v>96</v>
      </c>
      <c r="X21" s="2216">
        <f>+WRM!X153</f>
        <v>96.019246283514676</v>
      </c>
      <c r="Y21" s="1536">
        <f>+$D$21</f>
        <v>96</v>
      </c>
      <c r="Z21" s="2218">
        <f>+WRM!Z153</f>
        <v>95.963663668491378</v>
      </c>
      <c r="AA21" s="2463">
        <f>+$D$21</f>
        <v>96</v>
      </c>
      <c r="AB21" s="5272">
        <f>+WRM!AB153</f>
        <v>94.813608939752058</v>
      </c>
      <c r="AC21" s="5270">
        <f>+$D$21</f>
        <v>96</v>
      </c>
      <c r="AD21" s="2216">
        <f>+WRM!AD153</f>
        <v>95.917021134700391</v>
      </c>
      <c r="AE21" s="2217">
        <f>+$D$21</f>
        <v>96</v>
      </c>
      <c r="AF21" s="2217">
        <f>+WRM!AF153</f>
        <v>94.978587193048597</v>
      </c>
      <c r="AG21" s="1224">
        <f>+$D$21</f>
        <v>96</v>
      </c>
      <c r="AH21" s="2216">
        <f>+WRM!AH153</f>
        <v>95.589763343773882</v>
      </c>
      <c r="AI21" s="2217">
        <f>+$D$21</f>
        <v>96</v>
      </c>
      <c r="AJ21" s="2217">
        <f>+WRM!AJ153</f>
        <v>95.018958774110928</v>
      </c>
      <c r="AK21" s="1224">
        <f>+$D$21</f>
        <v>96</v>
      </c>
      <c r="AL21" s="2216">
        <f>+WRM!AL153</f>
        <v>95.504190674215039</v>
      </c>
      <c r="AM21" s="1536">
        <f>+$D$21</f>
        <v>96</v>
      </c>
      <c r="AN21" s="2218">
        <f>+WRM!AN153</f>
        <v>95.69292018289876</v>
      </c>
      <c r="AO21" s="2217">
        <f>+$D$21</f>
        <v>96</v>
      </c>
      <c r="AP21" s="2217">
        <f>+WRM!AP153</f>
        <v>95.074670229640006</v>
      </c>
      <c r="AQ21" s="1224">
        <f>+$D$21</f>
        <v>96</v>
      </c>
      <c r="AR21" s="2216">
        <f>+WRM!AR153</f>
        <v>96.131407927563089</v>
      </c>
      <c r="AS21" s="2217">
        <f>+$D$21</f>
        <v>96</v>
      </c>
      <c r="AT21" s="1453">
        <f>+WRM!AT153</f>
        <v>95.185575094230515</v>
      </c>
      <c r="AU21" s="1224">
        <f>+$D$21</f>
        <v>96</v>
      </c>
      <c r="AV21" s="1224">
        <f>+WRM!AV153</f>
        <v>95.760199382221273</v>
      </c>
      <c r="AW21" s="2217">
        <f>+$D$21</f>
        <v>96</v>
      </c>
      <c r="AX21" s="2217">
        <f>+WRM!AX153</f>
        <v>95.232910154618921</v>
      </c>
      <c r="AY21" s="1224">
        <f>+$D$21</f>
        <v>96</v>
      </c>
      <c r="AZ21" s="1224">
        <f>+WRM!AZ153</f>
        <v>95.419404264602818</v>
      </c>
      <c r="BA21" s="1536">
        <f>+$D$21</f>
        <v>96</v>
      </c>
      <c r="BB21" s="1536">
        <f>+WRM!BB153</f>
        <v>95.761638869331975</v>
      </c>
      <c r="BC21" s="2463">
        <f>+$D$21</f>
        <v>96</v>
      </c>
      <c r="BD21" s="2463">
        <f>+WRM!BD153</f>
        <v>95.729796138600832</v>
      </c>
      <c r="BE21" s="1453">
        <f>+$D$21</f>
        <v>96</v>
      </c>
      <c r="BF21" s="1453">
        <f>+WRM!BF153</f>
        <v>95.25043353477335</v>
      </c>
      <c r="BG21" s="5273">
        <v>96</v>
      </c>
      <c r="BH21" s="5274">
        <v>95.818830917541447</v>
      </c>
      <c r="BI21" s="5273">
        <v>96</v>
      </c>
      <c r="BJ21" s="5274">
        <v>95.88178499213079</v>
      </c>
      <c r="BK21" s="5273">
        <v>96</v>
      </c>
      <c r="BL21" s="5274">
        <v>95.450038252944893</v>
      </c>
      <c r="BM21" s="5274">
        <v>95.999999938560009</v>
      </c>
      <c r="BN21" s="5275">
        <v>95.505335593423183</v>
      </c>
      <c r="BO21" s="3828">
        <v>96.222984019632065</v>
      </c>
      <c r="BP21" s="2970">
        <v>94.958654249153824</v>
      </c>
      <c r="BQ21" s="1212">
        <v>96.5</v>
      </c>
      <c r="BR21" s="1200">
        <v>96.195270984402612</v>
      </c>
      <c r="BS21" s="1200">
        <v>96.032658515622913</v>
      </c>
      <c r="BT21" s="5389"/>
      <c r="BU21" s="6601"/>
    </row>
    <row r="22" spans="1:73" ht="18.75" x14ac:dyDescent="0.25">
      <c r="A22" s="93"/>
      <c r="B22" s="5657" t="s">
        <v>91</v>
      </c>
      <c r="C22" s="4668" t="s">
        <v>49</v>
      </c>
      <c r="D22" s="7132">
        <v>96.5</v>
      </c>
      <c r="E22" s="406">
        <f>+$D$22</f>
        <v>96.5</v>
      </c>
      <c r="F22" s="3221">
        <f>+BM!F55</f>
        <v>96.340554248429044</v>
      </c>
      <c r="G22" s="406">
        <f>+$D$22</f>
        <v>96.5</v>
      </c>
      <c r="H22" s="3221">
        <f>+BM!H55</f>
        <v>96.517503903684087</v>
      </c>
      <c r="I22" s="390">
        <f>+$D$22</f>
        <v>96.5</v>
      </c>
      <c r="J22" s="3549">
        <f>+BM!J55</f>
        <v>96.434687077655013</v>
      </c>
      <c r="K22" s="406">
        <f>+$D$22</f>
        <v>96.5</v>
      </c>
      <c r="L22" s="3221">
        <f>+BM!L55</f>
        <v>96.368789993966118</v>
      </c>
      <c r="M22" s="4044">
        <f>+$D$22</f>
        <v>96.5</v>
      </c>
      <c r="N22" s="4044">
        <f>+BM!N55</f>
        <v>96.417695053573311</v>
      </c>
      <c r="O22" s="406">
        <f>+$D$22</f>
        <v>96.5</v>
      </c>
      <c r="P22" s="3221">
        <f>+BM!P55</f>
        <v>96.278900525834928</v>
      </c>
      <c r="Q22" s="3549">
        <f>+$D$22</f>
        <v>96.5</v>
      </c>
      <c r="R22" s="3549">
        <f>+BM!R55</f>
        <v>96.380641239834631</v>
      </c>
      <c r="S22" s="406">
        <f>+$D$22</f>
        <v>96.5</v>
      </c>
      <c r="T22" s="3221">
        <f>+BM!T55</f>
        <v>96.354195762942425</v>
      </c>
      <c r="U22" s="3549">
        <f>+$D$22</f>
        <v>96.5</v>
      </c>
      <c r="V22" s="3549">
        <f>+BM!V55</f>
        <v>96.375005523751497</v>
      </c>
      <c r="W22" s="406">
        <f>+$D$22</f>
        <v>96.5</v>
      </c>
      <c r="X22" s="3221">
        <f>+BM!X55</f>
        <v>96.249592078903603</v>
      </c>
      <c r="Y22" s="4026">
        <f>+$D$22</f>
        <v>96.5</v>
      </c>
      <c r="Z22" s="4044">
        <f>+BM!Z55</f>
        <v>96.29442970859688</v>
      </c>
      <c r="AA22" s="4027">
        <f>+$D$22</f>
        <v>96.5</v>
      </c>
      <c r="AB22" s="4045">
        <f>+BM!AB55</f>
        <v>96.353128191254399</v>
      </c>
      <c r="AC22" s="406">
        <f>+$D$22</f>
        <v>96.5</v>
      </c>
      <c r="AD22" s="3221">
        <f>+BM!AD55</f>
        <v>96.204059065906378</v>
      </c>
      <c r="AE22" s="3549">
        <f>+$D$22</f>
        <v>96.5</v>
      </c>
      <c r="AF22" s="3549">
        <f>+BM!AF55</f>
        <v>96.331985564640988</v>
      </c>
      <c r="AG22" s="3473">
        <f>+$D$22</f>
        <v>96.5</v>
      </c>
      <c r="AH22" s="3221">
        <f>+BM!AH55</f>
        <v>94.958487192653337</v>
      </c>
      <c r="AI22" s="3549">
        <f>+$D$22</f>
        <v>96.5</v>
      </c>
      <c r="AJ22" s="3549">
        <f>+BM!AJ55</f>
        <v>96.322676853715677</v>
      </c>
      <c r="AK22" s="3473">
        <f>+$D$22</f>
        <v>96.5</v>
      </c>
      <c r="AL22" s="3221">
        <f>+BM!AL55</f>
        <v>96.296097647380492</v>
      </c>
      <c r="AM22" s="4026">
        <f>+$D$22</f>
        <v>96.5</v>
      </c>
      <c r="AN22" s="4044">
        <f>+BM!AN55</f>
        <v>96.22181161869544</v>
      </c>
      <c r="AO22" s="3549">
        <f>+$D$22</f>
        <v>96.5</v>
      </c>
      <c r="AP22" s="3549">
        <f>+BM!AP55</f>
        <v>96.319231687647402</v>
      </c>
      <c r="AQ22" s="3473">
        <f>+$D$22</f>
        <v>96.5</v>
      </c>
      <c r="AR22" s="3221">
        <f>+BM!AR55</f>
        <v>96.148154975014705</v>
      </c>
      <c r="AS22" s="3549">
        <f>+$D$22</f>
        <v>96.5</v>
      </c>
      <c r="AT22" s="3755">
        <f>+BM!AT55</f>
        <v>96.299709140774652</v>
      </c>
      <c r="AU22" s="3473">
        <f>+$D$22</f>
        <v>96.5</v>
      </c>
      <c r="AV22" s="3473">
        <f>+BM!AV55</f>
        <v>96.184460544082043</v>
      </c>
      <c r="AW22" s="3549">
        <f>+$D$22</f>
        <v>96.5</v>
      </c>
      <c r="AX22" s="3549">
        <f>+BM!AX55</f>
        <v>96.288531189664099</v>
      </c>
      <c r="AY22" s="3473">
        <f>+$D$22</f>
        <v>96.5</v>
      </c>
      <c r="AZ22" s="3473">
        <f>+BM!AZ55</f>
        <v>96.379797529138472</v>
      </c>
      <c r="BA22" s="4026">
        <f>+$D$22</f>
        <v>96.5</v>
      </c>
      <c r="BB22" s="452">
        <f>+BM!BB55</f>
        <v>96.243641618151642</v>
      </c>
      <c r="BC22" s="472">
        <f>+$D$22</f>
        <v>96.5</v>
      </c>
      <c r="BD22" s="472">
        <f>+BM!BD55</f>
        <v>96.234988789342083</v>
      </c>
      <c r="BE22" s="348">
        <f>+$D$22</f>
        <v>96.5</v>
      </c>
      <c r="BF22" s="348">
        <f>+BM!BF55</f>
        <v>96.297902078505174</v>
      </c>
      <c r="BG22" s="5278">
        <v>96.5</v>
      </c>
      <c r="BH22" s="5279">
        <v>96.28695091898561</v>
      </c>
      <c r="BI22" s="5278">
        <v>96.5</v>
      </c>
      <c r="BJ22" s="5279">
        <v>96.088707842896071</v>
      </c>
      <c r="BK22" s="5278">
        <v>96.5</v>
      </c>
      <c r="BL22" s="5279">
        <v>95.450022221864671</v>
      </c>
      <c r="BM22" s="5279">
        <v>96.499981924910045</v>
      </c>
      <c r="BN22" s="1200">
        <v>95.423965808878961</v>
      </c>
      <c r="BO22" s="3828">
        <v>96.209843463927712</v>
      </c>
      <c r="BP22" s="2970">
        <v>95.175924318366739</v>
      </c>
      <c r="BQ22" s="1212">
        <v>96.5</v>
      </c>
      <c r="BR22" s="1200">
        <v>96.065592581466589</v>
      </c>
      <c r="BS22" s="1200">
        <v>96.054939695674079</v>
      </c>
      <c r="BT22" s="5389"/>
      <c r="BU22" s="6601"/>
    </row>
    <row r="23" spans="1:73" ht="18.75" x14ac:dyDescent="0.25">
      <c r="A23" s="93"/>
      <c r="B23" s="5657" t="s">
        <v>109</v>
      </c>
      <c r="C23" s="4668" t="s">
        <v>49</v>
      </c>
      <c r="D23" s="7132">
        <v>94.75</v>
      </c>
      <c r="E23" s="406">
        <f>+$D$23</f>
        <v>94.75</v>
      </c>
      <c r="F23" s="3221">
        <f>+USM!G91</f>
        <v>93.760477464473936</v>
      </c>
      <c r="G23" s="406">
        <f>+$D$23</f>
        <v>94.75</v>
      </c>
      <c r="H23" s="3221">
        <f>+USM!I91</f>
        <v>93.848373432627127</v>
      </c>
      <c r="I23" s="390">
        <f>+$D$23</f>
        <v>94.75</v>
      </c>
      <c r="J23" s="3549">
        <f>+USM!K91</f>
        <v>93.80756445928256</v>
      </c>
      <c r="K23" s="406">
        <f>+$D$23</f>
        <v>94.75</v>
      </c>
      <c r="L23" s="3221">
        <f>+USM!M91</f>
        <v>94.056654633784291</v>
      </c>
      <c r="M23" s="4044">
        <f>+$D$23</f>
        <v>94.75</v>
      </c>
      <c r="N23" s="4044">
        <f>+USM!O91</f>
        <v>93.859033272184462</v>
      </c>
      <c r="O23" s="406">
        <f>+$D$23</f>
        <v>94.75</v>
      </c>
      <c r="P23" s="3221">
        <f>+USM!Q91</f>
        <v>93.978114077063097</v>
      </c>
      <c r="Q23" s="3549">
        <f>+$D$23</f>
        <v>94.75</v>
      </c>
      <c r="R23" s="3549">
        <f>+USM!S91</f>
        <v>93.888689199383577</v>
      </c>
      <c r="S23" s="406">
        <f>+$D$23</f>
        <v>94.75</v>
      </c>
      <c r="T23" s="3221">
        <f>+USM!U91</f>
        <v>92.45532246096252</v>
      </c>
      <c r="U23" s="3549">
        <f>+$D$23</f>
        <v>94.75</v>
      </c>
      <c r="V23" s="3549">
        <f>+USM!W91</f>
        <v>93.655072450114929</v>
      </c>
      <c r="W23" s="406">
        <f>+$D$23</f>
        <v>94.75</v>
      </c>
      <c r="X23" s="3221">
        <f>+USM!Y91</f>
        <v>94.354897028315634</v>
      </c>
      <c r="Y23" s="4026">
        <f>+$D$23</f>
        <v>94.75</v>
      </c>
      <c r="Z23" s="4044">
        <f>+USM!AA91</f>
        <v>93.67897018794875</v>
      </c>
      <c r="AA23" s="4027">
        <f>+$D$23</f>
        <v>94.75</v>
      </c>
      <c r="AB23" s="4045">
        <f>+USM!AC91</f>
        <v>93.773068257192875</v>
      </c>
      <c r="AC23" s="406">
        <f>+$D$23</f>
        <v>94.75</v>
      </c>
      <c r="AD23" s="3221">
        <f>+USM!AE91</f>
        <v>94.095025573033311</v>
      </c>
      <c r="AE23" s="3549">
        <f>+$D$23</f>
        <v>94.75</v>
      </c>
      <c r="AF23" s="3549">
        <f>+USM!AG91</f>
        <v>93.754925421652771</v>
      </c>
      <c r="AG23" s="3473">
        <f>+$D$23</f>
        <v>94.75</v>
      </c>
      <c r="AH23" s="3221">
        <f>+USM!AI91</f>
        <v>93.69597873790353</v>
      </c>
      <c r="AI23" s="3549">
        <f>+$D$23</f>
        <v>94.75</v>
      </c>
      <c r="AJ23" s="3549">
        <f>+USM!AK91</f>
        <v>93.753295581333887</v>
      </c>
      <c r="AK23" s="3473">
        <f>+$D$23</f>
        <v>94.75</v>
      </c>
      <c r="AL23" s="3221">
        <f>+USM!AM91</f>
        <v>91.062905975135806</v>
      </c>
      <c r="AM23" s="4026">
        <f>+$D$23</f>
        <v>94.75</v>
      </c>
      <c r="AN23" s="4044">
        <f>+USM!AO91</f>
        <v>92.736311942445084</v>
      </c>
      <c r="AO23" s="3549">
        <f>+$D$23</f>
        <v>94.75</v>
      </c>
      <c r="AP23" s="3549">
        <f>+USM!AQ91</f>
        <v>93.437953293316738</v>
      </c>
      <c r="AQ23" s="3473">
        <f>+$D$23</f>
        <v>94.75</v>
      </c>
      <c r="AR23" s="3221">
        <f>+USM!AS91</f>
        <v>93.52941585010818</v>
      </c>
      <c r="AS23" s="3549">
        <f>+$D$23</f>
        <v>94.75</v>
      </c>
      <c r="AT23" s="3755">
        <f>+USM!AU91</f>
        <v>93.449561806581059</v>
      </c>
      <c r="AU23" s="3473">
        <f>+$D$23</f>
        <v>94.75</v>
      </c>
      <c r="AV23" s="3473">
        <f>+USM!AW91</f>
        <v>94.085079490713611</v>
      </c>
      <c r="AW23" s="3549">
        <f>+$D$23</f>
        <v>94.75</v>
      </c>
      <c r="AX23" s="3549">
        <f>+USM!AY91</f>
        <v>93.52072565523406</v>
      </c>
      <c r="AY23" s="3473">
        <f>+$D$23</f>
        <v>94.75</v>
      </c>
      <c r="AZ23" s="3473">
        <f>+USM!BA91</f>
        <v>94.09315214316058</v>
      </c>
      <c r="BA23" s="4026">
        <f>+$D$23</f>
        <v>94.75</v>
      </c>
      <c r="BB23" s="452">
        <f>+USM!BC91</f>
        <v>93.914611600919798</v>
      </c>
      <c r="BC23" s="472">
        <f>+$D$23</f>
        <v>94.75</v>
      </c>
      <c r="BD23" s="472">
        <f>+USM!BE91</f>
        <v>93.483365333354996</v>
      </c>
      <c r="BE23" s="348">
        <f>+$D$23</f>
        <v>94.75</v>
      </c>
      <c r="BF23" s="348">
        <f>+USM!BG91</f>
        <v>93.589366745645307</v>
      </c>
      <c r="BG23" s="5278">
        <v>94.75</v>
      </c>
      <c r="BH23" s="5279">
        <v>93.736035078776908</v>
      </c>
      <c r="BI23" s="5278">
        <v>94.5</v>
      </c>
      <c r="BJ23" s="5279">
        <v>94.168642194921944</v>
      </c>
      <c r="BK23" s="5278">
        <v>94.5</v>
      </c>
      <c r="BL23" s="5279">
        <v>93.371871065542948</v>
      </c>
      <c r="BM23" s="5279">
        <v>95.700065288711201</v>
      </c>
      <c r="BN23" s="1200">
        <v>93.445480895587224</v>
      </c>
      <c r="BO23" s="3828">
        <v>95.699819475340547</v>
      </c>
      <c r="BP23" s="2970">
        <v>95.266762287385887</v>
      </c>
      <c r="BQ23" s="1212">
        <v>95.7</v>
      </c>
      <c r="BR23" s="1200">
        <v>95.476013180662989</v>
      </c>
      <c r="BS23" s="1200">
        <v>95.486332877569964</v>
      </c>
      <c r="BT23" s="5389"/>
      <c r="BU23" s="6601"/>
    </row>
    <row r="24" spans="1:73" ht="18.75" x14ac:dyDescent="0.25">
      <c r="A24" s="93"/>
      <c r="B24" s="5657" t="s">
        <v>1777</v>
      </c>
      <c r="C24" s="4668" t="s">
        <v>324</v>
      </c>
      <c r="D24" s="7021">
        <v>5.9499750782715646</v>
      </c>
      <c r="E24" s="4050">
        <v>5.9579646181196697</v>
      </c>
      <c r="F24" s="3480">
        <f>EMD!E129</f>
        <v>6.0597861270040427</v>
      </c>
      <c r="G24" s="4050">
        <v>5.8950819349699</v>
      </c>
      <c r="H24" s="3480">
        <f>EMD!G129</f>
        <v>5.9443637482373992</v>
      </c>
      <c r="I24" s="1001">
        <f>EMD!H129</f>
        <v>5.9260302723648577</v>
      </c>
      <c r="J24" s="3768">
        <f>EMD!I129</f>
        <v>5.9982222177167515</v>
      </c>
      <c r="K24" s="4050">
        <f>EMD!J129</f>
        <v>6.252995740429987</v>
      </c>
      <c r="L24" s="3480">
        <f>EMD!K129</f>
        <v>7.0163171864011664</v>
      </c>
      <c r="M24" s="4048">
        <f>EMD!L129</f>
        <v>5.999573484799523</v>
      </c>
      <c r="N24" s="4048">
        <f>EMD!M129</f>
        <v>6.4699824642222374</v>
      </c>
      <c r="O24" s="4050">
        <f>EMD!N129</f>
        <v>7.7286662431280844</v>
      </c>
      <c r="P24" s="3480">
        <f>EMD!O129</f>
        <v>5.9975708212932197</v>
      </c>
      <c r="Q24" s="3768">
        <f>+EMD!P129</f>
        <v>6.1602517467857263</v>
      </c>
      <c r="R24" s="3768">
        <f>+EMD!Q129</f>
        <v>6.3352644920224561</v>
      </c>
      <c r="S24" s="4050">
        <f>EMD!R129</f>
        <v>5.9155176479076816</v>
      </c>
      <c r="T24" s="3480">
        <f>EMD!S129</f>
        <v>5.9945722275614308</v>
      </c>
      <c r="U24" s="3768">
        <f>+EMD!T129</f>
        <v>6.0995446277357717</v>
      </c>
      <c r="V24" s="3768">
        <f>+EMD!U129</f>
        <v>6.2604207949010426</v>
      </c>
      <c r="W24" s="4050">
        <f>EMD!V129</f>
        <v>5.9554124893098255</v>
      </c>
      <c r="X24" s="3480">
        <f>EMD!W129</f>
        <v>5.9775120545997682</v>
      </c>
      <c r="Y24" s="4048">
        <f>+EMD!X129</f>
        <v>6.1598432471632441</v>
      </c>
      <c r="Z24" s="4048">
        <f>+EMD!Y129</f>
        <v>5.989922457622213</v>
      </c>
      <c r="AA24" s="4049">
        <f>+EMD!Z129</f>
        <v>6.0287708104402764</v>
      </c>
      <c r="AB24" s="4049">
        <f>+EMD!AA129</f>
        <v>6.2078763194773892</v>
      </c>
      <c r="AC24" s="4050">
        <f>EMD!AB129</f>
        <v>5.9185019189583619</v>
      </c>
      <c r="AD24" s="3480">
        <f>EMD!AC129</f>
        <v>6.0970123553483413</v>
      </c>
      <c r="AE24" s="3768">
        <f>+EMD!AD129</f>
        <v>6.0094385160929535</v>
      </c>
      <c r="AF24" s="3768">
        <f>+EMD!AE129</f>
        <v>6.1913023947145307</v>
      </c>
      <c r="AG24" s="1000">
        <f>+EMD!AF129</f>
        <v>5.8679361229423455</v>
      </c>
      <c r="AH24" s="406">
        <f>+EMD!AG129</f>
        <v>29.436172268975831</v>
      </c>
      <c r="AI24" s="3549">
        <f>+EMD!AH129</f>
        <v>5.9891942256874868</v>
      </c>
      <c r="AJ24" s="3549">
        <f>+EMD!AI129</f>
        <v>6.3410738789124395</v>
      </c>
      <c r="AK24" s="1000">
        <f>+EMD!AJ129</f>
        <v>5.8607390227005398</v>
      </c>
      <c r="AL24" s="406">
        <f>+EMD!AK129</f>
        <v>5.9578574346924951</v>
      </c>
      <c r="AM24" s="4048">
        <f>+EMD!AL129</f>
        <v>5.8825484570394204</v>
      </c>
      <c r="AN24" s="4048">
        <f>+EMD!AM129</f>
        <v>6.4229770532211647</v>
      </c>
      <c r="AO24" s="3768">
        <f>+EMD!AN129</f>
        <v>5.9726529364275942</v>
      </c>
      <c r="AP24" s="3768">
        <f>+EMD!AO129</f>
        <v>6.2876330934475497</v>
      </c>
      <c r="AQ24" s="1000">
        <f>+EMD!AP129</f>
        <v>5.8608476022205673</v>
      </c>
      <c r="AR24" s="1000">
        <f>+EMD!AQ129</f>
        <v>5.8560511441313423</v>
      </c>
      <c r="AS24" s="3768">
        <f>+EMD!AR129</f>
        <v>5.9598981149470234</v>
      </c>
      <c r="AT24" s="3768">
        <f>+EMD!AS129</f>
        <v>6.231438519782551</v>
      </c>
      <c r="AU24" s="1000">
        <f>+EMD!AT129</f>
        <v>5.8591772297916185</v>
      </c>
      <c r="AV24" s="1000">
        <f>+EMD!AU129</f>
        <v>5.888599128118563</v>
      </c>
      <c r="AW24" s="3768">
        <f>+EMD!AV129</f>
        <v>5.9505211841066776</v>
      </c>
      <c r="AX24" s="3768">
        <f>+EMD!AW129</f>
        <v>6.1941702176749738</v>
      </c>
      <c r="AY24" s="1000">
        <f>+EMD!AX129</f>
        <v>5.8704881721591375</v>
      </c>
      <c r="AZ24" s="1000">
        <f>+EMD!AY129</f>
        <v>5.8758634243320023</v>
      </c>
      <c r="BA24" s="4048">
        <f>+EMD!AZ129</f>
        <v>5.8636537802288489</v>
      </c>
      <c r="BB24" s="6772">
        <f>+EMD!BA129</f>
        <v>5.8730059845119555</v>
      </c>
      <c r="BC24" s="6412">
        <f>+EMD!BB129</f>
        <v>5.8732107674085681</v>
      </c>
      <c r="BD24" s="6773">
        <f>+EMD!BC129</f>
        <v>6.0909850780609363</v>
      </c>
      <c r="BE24" s="5277">
        <f>+EMD!BD129</f>
        <v>5.9500019581826908</v>
      </c>
      <c r="BF24" s="5277">
        <f>+EMD!BE129</f>
        <v>6.1600133062678522</v>
      </c>
      <c r="BG24" s="5280">
        <v>5.9500019581826908</v>
      </c>
      <c r="BH24" s="5281">
        <v>6.1600133062678522</v>
      </c>
      <c r="BI24" s="5280">
        <v>5.9498028934774796</v>
      </c>
      <c r="BJ24" s="5281">
        <v>6.1924446176470314</v>
      </c>
      <c r="BK24" s="5280">
        <v>5.989203092506215</v>
      </c>
      <c r="BL24" s="5281">
        <v>6.2012037687729737</v>
      </c>
      <c r="BM24" s="5281">
        <v>5.9854778159958535</v>
      </c>
      <c r="BN24" s="1201">
        <v>6.3006370372485003</v>
      </c>
      <c r="BO24" s="3829">
        <v>6.1969869203763626</v>
      </c>
      <c r="BP24" s="2971">
        <v>6.4827565550935358</v>
      </c>
      <c r="BQ24" s="1213">
        <v>5.95</v>
      </c>
      <c r="BR24" s="1201">
        <v>6.1800190917369466</v>
      </c>
      <c r="BS24" s="1201">
        <v>6.3116941199196104</v>
      </c>
      <c r="BT24" s="5389"/>
      <c r="BU24" s="6601"/>
    </row>
    <row r="25" spans="1:73" ht="18.75" x14ac:dyDescent="0.25">
      <c r="A25" s="93"/>
      <c r="B25" s="7406" t="s">
        <v>308</v>
      </c>
      <c r="C25" s="4668" t="s">
        <v>367</v>
      </c>
      <c r="D25" s="5282">
        <v>467.95995482299668</v>
      </c>
      <c r="E25" s="5197">
        <v>461.33365080836813</v>
      </c>
      <c r="F25" s="7029">
        <f>+'POWER DISTRIBUTION'!J18/('Maj Production Summ'!F37+0.25*'Maj Production Summ'!F26)</f>
        <v>479.82228799886599</v>
      </c>
      <c r="G25" s="7149">
        <v>461.80049178666684</v>
      </c>
      <c r="H25" s="7156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5214">
        <f>+'POWER DISTRIBUTION'!N18/('Maj Production Summ'!J37+0.25*'Maj Production Summ'!J26)</f>
        <v>466.0736787227786</v>
      </c>
      <c r="K25" s="5197">
        <v>593.17325600344623</v>
      </c>
      <c r="L25" s="5219">
        <f>+'POWER DISTRIBUTION'!P18/('Maj Production Summ'!L37+0.25*'Maj Production Summ'!L26)</f>
        <v>591.60315942549914</v>
      </c>
      <c r="M25" s="5216">
        <f>+'POWER DISTRIBUTION'!Q18/('Maj Production Summ'!M37+0.25*'Maj Production Summ'!M26)</f>
        <v>492.4292716019761</v>
      </c>
      <c r="N25" s="5216">
        <f>+'POWER DISTRIBUTION'!R18/('Maj Production Summ'!N37+0.25*'Maj Production Summ'!N26)</f>
        <v>498.5949319790476</v>
      </c>
      <c r="O25" s="5197">
        <v>853.70360454893421</v>
      </c>
      <c r="P25" s="5219">
        <f>+'POWER DISTRIBUTION'!T18/('Maj Production Summ'!P37+0.25*'Maj Production Summ'!P26)</f>
        <v>472.5444917217867</v>
      </c>
      <c r="Q25" s="5214">
        <f>+'POWER DISTRIBUTION'!U18/('Maj Production Summ'!Q37+0.25*'Maj Production Summ'!Q26)</f>
        <v>535.5502263615632</v>
      </c>
      <c r="R25" s="5214">
        <f>+'POWER DISTRIBUTION'!V18/('Maj Production Summ'!R37+0.25*'Maj Production Summ'!R26)</f>
        <v>491.39039929808365</v>
      </c>
      <c r="S25" s="5197">
        <v>483.12920384333933</v>
      </c>
      <c r="T25" s="5219">
        <f>+'POWER DISTRIBUTION'!X18/('Maj Production Summ'!T37+0.25*'Maj Production Summ'!T26)</f>
        <v>494.26516320159294</v>
      </c>
      <c r="U25" s="5214">
        <f>+'POWER DISTRIBUTION'!Y18/('Maj Production Summ'!U37+0.25*'Maj Production Summ'!U26)</f>
        <v>522.97818002264864</v>
      </c>
      <c r="V25" s="5214">
        <f>+'POWER DISTRIBUTION'!Z18/('Maj Production Summ'!V37+0.25*'Maj Production Summ'!V26)</f>
        <v>491.99095934366176</v>
      </c>
      <c r="W25" s="5197">
        <v>495.38777384713421</v>
      </c>
      <c r="X25" s="5219">
        <f>+'POWER DISTRIBUTION'!AB18/('Maj Production Summ'!X37+0.25*'Maj Production Summ'!X26)</f>
        <v>466.32576393202481</v>
      </c>
      <c r="Y25" s="5216">
        <f>+'POWER DISTRIBUTION'!AC18/('Maj Production Summ'!Y37+0.25*'Maj Production Summ'!Y26)</f>
        <v>548.50848929919312</v>
      </c>
      <c r="Z25" s="5216">
        <f>+'POWER DISTRIBUTION'!AD18/('Maj Production Summ'!Z37+0.25*'Maj Production Summ'!Z26)</f>
        <v>477.54500235246735</v>
      </c>
      <c r="AA25" s="5217">
        <f>+'POWER DISTRIBUTION'!AE18/('Maj Production Summ'!AA37+0.25*'Maj Production Summ'!AA26)</f>
        <v>517.89006696758679</v>
      </c>
      <c r="AB25" s="5217">
        <f>+'POWER DISTRIBUTION'!AF18/('Maj Production Summ'!AB37+0.25*'Maj Production Summ'!AB26)</f>
        <v>487.46986466733466</v>
      </c>
      <c r="AC25" s="5330">
        <v>473.75976042711665</v>
      </c>
      <c r="AD25" s="5345">
        <f>+'POWER DISTRIBUTION'!AH18/('Maj Production Summ'!AD37+0.25*'Maj Production Summ'!AD26)</f>
        <v>548.7195620509907</v>
      </c>
      <c r="AE25" s="5214">
        <f>+'POWER DISTRIBUTION'!AI18/('Maj Production Summ'!AE37+0.25*'Maj Production Summ'!AE26)</f>
        <v>510.42577796102643</v>
      </c>
      <c r="AF25" s="5214">
        <f>+'POWER DISTRIBUTION'!AJ18/('Maj Production Summ'!AF37+0.25*'Maj Production Summ'!AF26)</f>
        <v>495.56019975566511</v>
      </c>
      <c r="AG25" s="5213">
        <v>466.25572957873084</v>
      </c>
      <c r="AH25" s="5213">
        <f>+'POWER DISTRIBUTION'!AL18/('Maj Production Summ'!AH37+0.25*'Maj Production Summ'!AH26)</f>
        <v>1065.6855882267746</v>
      </c>
      <c r="AI25" s="5214">
        <f>+'POWER DISTRIBUTION'!AM18/('Maj Production Summ'!AI37+0.25*'Maj Production Summ'!AI26)</f>
        <v>504.12397660638572</v>
      </c>
      <c r="AJ25" s="5214">
        <f>+'POWER DISTRIBUTION'!AN18/('Maj Production Summ'!AJ37+0.25*'Maj Production Summ'!AJ26)</f>
        <v>511.49772143951361</v>
      </c>
      <c r="AK25" s="5917">
        <v>477.18948648607778</v>
      </c>
      <c r="AL25" s="5917">
        <f>+'POWER DISTRIBUTION'!AP18/('Maj Production Summ'!AL37+0.25*'Maj Production Summ'!AL26)</f>
        <v>440.38862841414038</v>
      </c>
      <c r="AM25" s="5216">
        <f>+'POWER DISTRIBUTION'!AQ18/('Maj Production Summ'!AM37+0.25*'Maj Production Summ'!AM26)</f>
        <v>472.42342260403262</v>
      </c>
      <c r="AN25" s="5216">
        <f>+'POWER DISTRIBUTION'!AR18/('Maj Production Summ'!AN37+0.25*'Maj Production Summ'!AN26)</f>
        <v>540.56277464225934</v>
      </c>
      <c r="AO25" s="5214">
        <f>+'POWER DISTRIBUTION'!AS18/('Maj Production Summ'!AO37+0.25*'Maj Production Summ'!AO26)</f>
        <v>500.73428754421479</v>
      </c>
      <c r="AP25" s="5214">
        <f>+'POWER DISTRIBUTION'!AT18/('Maj Production Summ'!AP37+0.25*'Maj Production Summ'!AP26)</f>
        <v>501.84880851784578</v>
      </c>
      <c r="AQ25" s="6072">
        <v>473.76184815883681</v>
      </c>
      <c r="AR25" s="6072">
        <f>+'POWER DISTRIBUTION'!AV18/('Maj Production Summ'!AR37+0.25*'Maj Production Summ'!AR26)</f>
        <v>429.41760724586254</v>
      </c>
      <c r="AS25" s="5214">
        <f>+'POWER DISTRIBUTION'!AW18/('Maj Production Summ'!AS37+0.25*'Maj Production Summ'!AS26)</f>
        <v>497.70001397929201</v>
      </c>
      <c r="AT25" s="5214">
        <f>+'POWER DISTRIBUTION'!AX18/('Maj Production Summ'!AT37+0.25*'Maj Production Summ'!AT26)</f>
        <v>492.96201359532438</v>
      </c>
      <c r="AU25" s="6176">
        <v>466.39504702757426</v>
      </c>
      <c r="AV25" s="6320">
        <f>+'POWER DISTRIBUTION'!AZ18/('Maj Production Summ'!AV37+0.25*'Maj Production Summ'!AV26)</f>
        <v>447.46905949788925</v>
      </c>
      <c r="AW25" s="5214">
        <f>+'POWER DISTRIBUTION'!BA18/('Maj Production Summ'!AW37+0.25*'Maj Production Summ'!AW26)</f>
        <v>494.77695754012058</v>
      </c>
      <c r="AX25" s="5214">
        <f>+'POWER DISTRIBUTION'!BB18/('Maj Production Summ'!AX37+0.25*'Maj Production Summ'!AX26)</f>
        <v>488.49433598237925</v>
      </c>
      <c r="AY25" s="6391">
        <v>467.6395763391838</v>
      </c>
      <c r="AZ25" s="6484">
        <f>+'POWER DISTRIBUTION'!BD18/('Maj Production Summ'!AZ37+0.25*'Maj Production Summ'!AZ26)</f>
        <v>432.53356318568495</v>
      </c>
      <c r="BA25" s="5216">
        <f>+'POWER DISTRIBUTION'!BE18/('Maj Production Summ'!BA37+0.25*'Maj Production Summ'!BA26)</f>
        <v>469.33851593448247</v>
      </c>
      <c r="BB25" s="5216">
        <f>+'POWER DISTRIBUTION'!BF18/('Maj Production Summ'!BB37+0.25*'Maj Production Summ'!BB26)</f>
        <v>436.01158173192226</v>
      </c>
      <c r="BC25" s="5217">
        <f>+'POWER DISTRIBUTION'!BG18/('Maj Production Summ'!BC37+0.25*'Maj Production Summ'!BC26)</f>
        <v>470.89221897235092</v>
      </c>
      <c r="BD25" s="5217">
        <f>+'POWER DISTRIBUTION'!BH18/('Maj Production Summ'!BD37+0.25*'Maj Production Summ'!BD26)</f>
        <v>477.738633617647</v>
      </c>
      <c r="BE25" s="5214">
        <f>+'POWER DISTRIBUTION'!BI18/('Maj Production Summ'!BE37+0.25*'Maj Production Summ'!BE26)</f>
        <v>492.22402349013691</v>
      </c>
      <c r="BF25" s="5283">
        <f>+'POWER DISTRIBUTION'!BJ18/('Maj Production Summ'!BF37+0.25*'Maj Production Summ'!BF26)</f>
        <v>482.77911292358175</v>
      </c>
      <c r="BG25" s="1103">
        <v>498.86963107144817</v>
      </c>
      <c r="BH25" s="3339">
        <v>491.52958024478414</v>
      </c>
      <c r="BI25" s="1103">
        <v>491.86597886404491</v>
      </c>
      <c r="BJ25" s="3339">
        <v>499.12040640635269</v>
      </c>
      <c r="BK25" s="1103">
        <v>499.14522665560133</v>
      </c>
      <c r="BL25" s="3339">
        <v>516.74946439793155</v>
      </c>
      <c r="BM25" s="3339">
        <v>501.08847615207304</v>
      </c>
      <c r="BN25" s="1102">
        <v>528.34198170405227</v>
      </c>
      <c r="BO25" s="3830">
        <v>500.04339220311806</v>
      </c>
      <c r="BP25" s="2970">
        <v>579.80533013641912</v>
      </c>
      <c r="BQ25" s="1214">
        <v>483.42299975438647</v>
      </c>
      <c r="BR25" s="1200">
        <v>525.26172798809614</v>
      </c>
      <c r="BS25" s="1102">
        <v>552.0369062994705</v>
      </c>
      <c r="BT25" s="5389"/>
      <c r="BU25" s="6601"/>
    </row>
    <row r="26" spans="1:73" ht="18.75" x14ac:dyDescent="0.25">
      <c r="A26" s="93"/>
      <c r="B26" s="7406"/>
      <c r="C26" s="4668" t="s">
        <v>274</v>
      </c>
      <c r="D26" s="5282">
        <v>452.47632158543593</v>
      </c>
      <c r="E26" s="5197">
        <v>445.94713913647837</v>
      </c>
      <c r="F26" s="7029">
        <f>+'POWER DISTRIBUTION'!J18/'Maj Production Summ'!F18</f>
        <v>463.47150499243207</v>
      </c>
      <c r="G26" s="7149">
        <v>446.77103204676359</v>
      </c>
      <c r="H26" s="7156">
        <f>+'POWER DISTRIBUTION'!L18/'Maj Production Summ'!H18</f>
        <v>439.53564177111588</v>
      </c>
      <c r="I26" s="437">
        <f>+'POWER DISTRIBUTION'!M18/'Maj Production Summ'!I18</f>
        <v>446.36554496371298</v>
      </c>
      <c r="J26" s="5214">
        <f>+'POWER DISTRIBUTION'!N18/'Maj Production Summ'!J18</f>
        <v>450.70461067075678</v>
      </c>
      <c r="K26" s="5197">
        <v>605.4674664742638</v>
      </c>
      <c r="L26" s="5219">
        <f>+'POWER DISTRIBUTION'!P18/'Maj Production Summ'!L18</f>
        <v>615.50275545291277</v>
      </c>
      <c r="M26" s="5216">
        <f>+'POWER DISTRIBUTION'!Q18/'Maj Production Summ'!M18</f>
        <v>482.15179016463799</v>
      </c>
      <c r="N26" s="5216">
        <f>+'POWER DISTRIBUTION'!R18/'Maj Production Summ'!N18</f>
        <v>491.12682886357612</v>
      </c>
      <c r="O26" s="5197">
        <v>1105.8744912096358</v>
      </c>
      <c r="P26" s="5219">
        <f>+'POWER DISTRIBUTION'!T18/'Maj Production Summ'!P18</f>
        <v>446.04086255204027</v>
      </c>
      <c r="Q26" s="5214">
        <f>+'POWER DISTRIBUTION'!U18/'Maj Production Summ'!Q18</f>
        <v>540.11205810429863</v>
      </c>
      <c r="R26" s="5214">
        <f>+'POWER DISTRIBUTION'!V18/'Maj Production Summ'!R18</f>
        <v>478.26963102124773</v>
      </c>
      <c r="S26" s="5197">
        <v>465.99111583859343</v>
      </c>
      <c r="T26" s="5219">
        <f>+'POWER DISTRIBUTION'!X18/'Maj Production Summ'!T18</f>
        <v>451.24486742082308</v>
      </c>
      <c r="U26" s="5214">
        <f>+'POWER DISTRIBUTION'!Y18/'Maj Production Summ'!U18</f>
        <v>521.72610826385051</v>
      </c>
      <c r="V26" s="5214">
        <f>+'POWER DISTRIBUTION'!Z18/'Maj Production Summ'!V18</f>
        <v>472.33279760095343</v>
      </c>
      <c r="W26" s="5197">
        <v>466.04361860822701</v>
      </c>
      <c r="X26" s="5219">
        <f>+'POWER DISTRIBUTION'!AB18/'Maj Production Summ'!X18</f>
        <v>436.22171151343241</v>
      </c>
      <c r="Y26" s="5216">
        <f>+'POWER DISTRIBUTION'!AC18/'Maj Production Summ'!Y18</f>
        <v>546.18617937396834</v>
      </c>
      <c r="Z26" s="5216">
        <f>+'POWER DISTRIBUTION'!AD18/'Maj Production Summ'!Z18</f>
        <v>444.51203539705818</v>
      </c>
      <c r="AA26" s="5217">
        <f>+'POWER DISTRIBUTION'!AE18/'Maj Production Summ'!AA18</f>
        <v>510.95711715124406</v>
      </c>
      <c r="AB26" s="5217">
        <f>+'POWER DISTRIBUTION'!AF18/'Maj Production Summ'!AB18</f>
        <v>465.83441160560739</v>
      </c>
      <c r="AC26" s="5330">
        <v>456.53076704567292</v>
      </c>
      <c r="AD26" s="5345">
        <f>+'POWER DISTRIBUTION'!AH18/'Maj Production Summ'!AD18</f>
        <v>461.69013625614019</v>
      </c>
      <c r="AE26" s="5214">
        <f>+'POWER DISTRIBUTION'!AI18/'Maj Production Summ'!AE18</f>
        <v>501.56967011537131</v>
      </c>
      <c r="AF26" s="5214">
        <f>+'POWER DISTRIBUTION'!AJ18/'Maj Production Summ'!AF18</f>
        <v>465.22364347061762</v>
      </c>
      <c r="AG26" s="5213">
        <v>456.6890166897237</v>
      </c>
      <c r="AH26" s="5213">
        <f>+'POWER DISTRIBUTION'!AL18/'Maj Production Summ'!AH18</f>
        <v>5465.2040932577493</v>
      </c>
      <c r="AI26" s="5214">
        <f>+'POWER DISTRIBUTION'!AM18/'Maj Production Summ'!AI18</f>
        <v>495.14873997202812</v>
      </c>
      <c r="AJ26" s="5214">
        <f>+'POWER DISTRIBUTION'!AN18/'Maj Production Summ'!AJ18</f>
        <v>491.40787483853268</v>
      </c>
      <c r="AK26" s="5917">
        <v>456.53076704567292</v>
      </c>
      <c r="AL26" s="5987">
        <f>+'POWER DISTRIBUTION'!AP18/'Maj Production Summ'!AL18</f>
        <v>428.40644115268259</v>
      </c>
      <c r="AM26" s="5216">
        <f>+'POWER DISTRIBUTION'!AQ18/'Maj Production Summ'!AM18</f>
        <v>456.58237771299918</v>
      </c>
      <c r="AN26" s="5216">
        <f>+'POWER DISTRIBUTION'!AR18/'Maj Production Summ'!AN18</f>
        <v>530.25645681353978</v>
      </c>
      <c r="AO26" s="5214">
        <f>+'POWER DISTRIBUTION'!AS18/'Maj Production Summ'!AO18</f>
        <v>490.17586969545022</v>
      </c>
      <c r="AP26" s="5214">
        <f>+'POWER DISTRIBUTION'!AT18/'Maj Production Summ'!AP18</f>
        <v>482.95092242144318</v>
      </c>
      <c r="AQ26" s="6072">
        <v>456.53076704567292</v>
      </c>
      <c r="AR26" s="6073">
        <f>+'POWER DISTRIBUTION'!AV18/'Maj Production Summ'!AR18</f>
        <v>411.09963149623462</v>
      </c>
      <c r="AS26" s="5214">
        <f>+'POWER DISTRIBUTION'!AW18/'Maj Production Summ'!AS18</f>
        <v>486.33761563506005</v>
      </c>
      <c r="AT26" s="5214">
        <f>+'POWER DISTRIBUTION'!AX18/'Maj Production Summ'!AT18</f>
        <v>474.09490146388941</v>
      </c>
      <c r="AU26" s="6176">
        <v>457.23430632687865</v>
      </c>
      <c r="AV26" s="6177">
        <f>+'POWER DISTRIBUTION'!AZ18/'Maj Production Summ'!AV18</f>
        <v>419.70726135437445</v>
      </c>
      <c r="AW26" s="5214">
        <f>+'POWER DISTRIBUTION'!BA18/'Maj Production Summ'!AW18</f>
        <v>483.62815058035028</v>
      </c>
      <c r="AX26" s="5214">
        <f>+'POWER DISTRIBUTION'!BB18/'Maj Production Summ'!AX18</f>
        <v>468.63195682447503</v>
      </c>
      <c r="AY26" s="6391">
        <v>458.79790322459104</v>
      </c>
      <c r="AZ26" s="6392">
        <f>+'POWER DISTRIBUTION'!BD18/'Maj Production Summ'!AZ18</f>
        <v>430.04094318318113</v>
      </c>
      <c r="BA26" s="5216">
        <f>+'POWER DISTRIBUTION'!BE18/'Maj Production Summ'!BA18</f>
        <v>457.53089348770027</v>
      </c>
      <c r="BB26" s="5216">
        <f>+'POWER DISTRIBUTION'!BF18/'Maj Production Summ'!BB18</f>
        <v>420.26722613474635</v>
      </c>
      <c r="BC26" s="5217">
        <f>+'POWER DISTRIBUTION'!BG18/'Maj Production Summ'!BC18</f>
        <v>457.0511312144705</v>
      </c>
      <c r="BD26" s="5217">
        <f>+'POWER DISTRIBUTION'!BH18/'Maj Production Summ'!BD18</f>
        <v>463.70311283724999</v>
      </c>
      <c r="BE26" s="5214">
        <f>+'POWER DISTRIBUTION'!BI18/'Maj Production Summ'!BE18</f>
        <v>481.30007745219598</v>
      </c>
      <c r="BF26" s="5283">
        <f>+'POWER DISTRIBUTION'!BJ18/'Maj Production Summ'!BF18</f>
        <v>464.81534789227209</v>
      </c>
      <c r="BG26" s="1103">
        <v>483.40224419045359</v>
      </c>
      <c r="BH26" s="3339">
        <v>471.6278698390359</v>
      </c>
      <c r="BI26" s="1103">
        <v>475.02938820908332</v>
      </c>
      <c r="BJ26" s="3339">
        <v>476.2494644347301</v>
      </c>
      <c r="BK26" s="1103">
        <v>482.32052805467174</v>
      </c>
      <c r="BL26" s="3339">
        <v>494.76973868424994</v>
      </c>
      <c r="BM26" s="3339">
        <v>486.14726114397098</v>
      </c>
      <c r="BN26" s="1102">
        <v>514.38475747997404</v>
      </c>
      <c r="BO26" s="3830">
        <v>487.7465843305942</v>
      </c>
      <c r="BP26" s="2970">
        <v>580.20285834899937</v>
      </c>
      <c r="BQ26" s="1214">
        <v>448.29125296551734</v>
      </c>
      <c r="BR26" s="1200">
        <v>538.52023832812074</v>
      </c>
      <c r="BS26" s="1102">
        <v>565.51993685574621</v>
      </c>
      <c r="BT26" s="5389"/>
      <c r="BU26" s="6601"/>
    </row>
    <row r="27" spans="1:73" ht="18.75" x14ac:dyDescent="0.25">
      <c r="A27" s="93"/>
      <c r="B27" s="5657" t="s">
        <v>1410</v>
      </c>
      <c r="C27" s="4668" t="s">
        <v>29</v>
      </c>
      <c r="D27" s="7022">
        <v>2.850000000000001</v>
      </c>
      <c r="E27" s="1356">
        <f>+$D$27</f>
        <v>2.850000000000001</v>
      </c>
      <c r="F27" s="3471">
        <v>2.98</v>
      </c>
      <c r="G27" s="1356">
        <f>+$D$27</f>
        <v>2.850000000000001</v>
      </c>
      <c r="H27" s="3471">
        <v>2.97</v>
      </c>
      <c r="I27" s="736">
        <f>+$D$27</f>
        <v>2.850000000000001</v>
      </c>
      <c r="J27" s="3549">
        <f>+((F27*F32)+(H27*H32))/J32</f>
        <v>2.9746662068530263</v>
      </c>
      <c r="K27" s="1356">
        <f>+$D$27</f>
        <v>2.850000000000001</v>
      </c>
      <c r="L27" s="3471">
        <v>3.27</v>
      </c>
      <c r="M27" s="4044">
        <f>+$D$27</f>
        <v>2.850000000000001</v>
      </c>
      <c r="N27" s="4044">
        <f>+((F32*F27)+(H32*H27)+(L32*L27))/N32</f>
        <v>3.0471066280851988</v>
      </c>
      <c r="O27" s="1356">
        <f>+$D$27</f>
        <v>2.850000000000001</v>
      </c>
      <c r="P27" s="3471">
        <v>2.98</v>
      </c>
      <c r="Q27" s="3549">
        <f>+$D$27</f>
        <v>2.850000000000001</v>
      </c>
      <c r="R27" s="3549">
        <f>+(((N27*N32)+(P27*P32))/R32)</f>
        <v>3.0279697820905684</v>
      </c>
      <c r="S27" s="1356">
        <f>+$D$27</f>
        <v>2.850000000000001</v>
      </c>
      <c r="T27" s="3471">
        <v>2.93</v>
      </c>
      <c r="U27" s="3549">
        <f>+$D$27</f>
        <v>2.850000000000001</v>
      </c>
      <c r="V27" s="3549">
        <f>+(((R27*R32)+(T27*T32))/V32)</f>
        <v>3.0064476594517195</v>
      </c>
      <c r="W27" s="1356">
        <f>+$D$27</f>
        <v>2.850000000000001</v>
      </c>
      <c r="X27" s="3471">
        <v>2.93</v>
      </c>
      <c r="Y27" s="4044">
        <f>+$D$27</f>
        <v>2.850000000000001</v>
      </c>
      <c r="Z27" s="4044">
        <f>+((P32*P27)+(T32*T27)+(X32*X27))/Z32</f>
        <v>2.9468158135892928</v>
      </c>
      <c r="AA27" s="4045">
        <f>+$D$27</f>
        <v>2.850000000000001</v>
      </c>
      <c r="AB27" s="4045">
        <f>+((N27*N32)+(Z27*Z32))/AB32</f>
        <v>2.9926904880846221</v>
      </c>
      <c r="AC27" s="1356">
        <f>+$D$27</f>
        <v>2.850000000000001</v>
      </c>
      <c r="AD27" s="3471">
        <v>2.99</v>
      </c>
      <c r="AE27" s="3549">
        <f>+$D$27</f>
        <v>2.850000000000001</v>
      </c>
      <c r="AF27" s="3549">
        <f>+(((AB27*AB32)+(AD27*AD32))/AF32)</f>
        <v>2.9922939737965772</v>
      </c>
      <c r="AG27" s="3221">
        <f>+$D$27</f>
        <v>2.850000000000001</v>
      </c>
      <c r="AH27" s="3221">
        <v>3.19</v>
      </c>
      <c r="AI27" s="3549">
        <f>+$D$27</f>
        <v>2.850000000000001</v>
      </c>
      <c r="AJ27" s="3549">
        <f>+(((AF27*AF32)+(AH27*AH32))/AJ32)</f>
        <v>2.9933293339114679</v>
      </c>
      <c r="AK27" s="3221">
        <f>+$D$27</f>
        <v>2.850000000000001</v>
      </c>
      <c r="AL27" s="3471">
        <v>2.87</v>
      </c>
      <c r="AM27" s="4026">
        <f>+$D$27</f>
        <v>2.850000000000001</v>
      </c>
      <c r="AN27" s="4044">
        <f>+((AD32*AD27)+(AH32*AH27)+(AL32*AL27))/AN32</f>
        <v>2.9327861755730611</v>
      </c>
      <c r="AO27" s="3549">
        <f>+$D$27</f>
        <v>2.850000000000001</v>
      </c>
      <c r="AP27" s="3549">
        <f>+(((AL27*AL32)+(AJ27*AJ32))/AP32)</f>
        <v>2.9767743089302683</v>
      </c>
      <c r="AQ27" s="3221">
        <f>+$D$27</f>
        <v>2.850000000000001</v>
      </c>
      <c r="AR27" s="3471">
        <v>2.87</v>
      </c>
      <c r="AS27" s="3549">
        <f>+$D$27</f>
        <v>2.850000000000001</v>
      </c>
      <c r="AT27" s="3549">
        <f>+(((AP27*AP32)+(AR27*AR32))/AT32)</f>
        <v>2.9636138562029948</v>
      </c>
      <c r="AU27" s="3221">
        <f>+$D$27</f>
        <v>2.850000000000001</v>
      </c>
      <c r="AV27" s="3471">
        <v>2.86</v>
      </c>
      <c r="AW27" s="3549">
        <f>+$D$27</f>
        <v>2.850000000000001</v>
      </c>
      <c r="AX27" s="3549">
        <f>+(((AT27*AT32)+(AV27*AV32))/AX32)</f>
        <v>2.953206404083847</v>
      </c>
      <c r="AY27" s="3221">
        <f>+$D$27</f>
        <v>2.850000000000001</v>
      </c>
      <c r="AZ27" s="3471">
        <v>2.88</v>
      </c>
      <c r="BA27" s="4044">
        <f>+$D$27</f>
        <v>2.850000000000001</v>
      </c>
      <c r="BB27" s="4044">
        <f>+((AR27*AR32)+(AV27*AV32)+(AZ27*AZ32))/BB32</f>
        <v>2.8702899280969336</v>
      </c>
      <c r="BC27" s="4045">
        <f>+$D$27</f>
        <v>2.850000000000001</v>
      </c>
      <c r="BD27" s="4045">
        <f>+((AN27*AN32)+(BB27*BB32))/BD32</f>
        <v>2.8949703436971861</v>
      </c>
      <c r="BE27" s="3549">
        <f>+$D$27</f>
        <v>2.850000000000001</v>
      </c>
      <c r="BF27" s="5284">
        <f>+((AX27*AX32)+(AZ27*AZ32))/BF32</f>
        <v>2.9459663709943329</v>
      </c>
      <c r="BG27" s="5285">
        <v>2.85</v>
      </c>
      <c r="BH27" s="5286">
        <v>2.991974559276541</v>
      </c>
      <c r="BI27" s="5285">
        <v>2.85</v>
      </c>
      <c r="BJ27" s="5286">
        <v>3.0828892276362487</v>
      </c>
      <c r="BK27" s="5285">
        <v>3.3</v>
      </c>
      <c r="BL27" s="5286">
        <v>3.0186531588909742</v>
      </c>
      <c r="BM27" s="5286">
        <v>4.2999999999999989</v>
      </c>
      <c r="BN27" s="1201">
        <v>3.3197103856374044</v>
      </c>
      <c r="BO27" s="3830">
        <v>4.3000000000000007</v>
      </c>
      <c r="BP27" s="2971">
        <v>5.0407393881131286</v>
      </c>
      <c r="BQ27" s="1214">
        <v>4.5999999999999988</v>
      </c>
      <c r="BR27" s="1201">
        <v>5.0056729201905341</v>
      </c>
      <c r="BS27" s="1201">
        <v>5.0192042238753487</v>
      </c>
      <c r="BT27" s="5389"/>
      <c r="BU27" s="6601"/>
    </row>
    <row r="28" spans="1:73" ht="18.75" x14ac:dyDescent="0.25">
      <c r="A28" s="93"/>
      <c r="B28" s="5657" t="s">
        <v>368</v>
      </c>
      <c r="C28" s="4668" t="s">
        <v>1167</v>
      </c>
      <c r="D28" s="7022">
        <v>2.2695881506742244</v>
      </c>
      <c r="E28" s="1356">
        <f>+$D$28</f>
        <v>2.2695881506742244</v>
      </c>
      <c r="F28" s="3471">
        <v>2.2999999999999998</v>
      </c>
      <c r="G28" s="1356">
        <f>+$D$28</f>
        <v>2.2695881506742244</v>
      </c>
      <c r="H28" s="3471">
        <v>2.2909999999999999</v>
      </c>
      <c r="I28" s="736">
        <f>+$D$28</f>
        <v>2.2695881506742244</v>
      </c>
      <c r="J28" s="3549">
        <f>+((F28*F32)+(H28*H32))/J32</f>
        <v>2.2951995861677235</v>
      </c>
      <c r="K28" s="1356">
        <f>+$D$28</f>
        <v>2.2695881506742244</v>
      </c>
      <c r="L28" s="3471">
        <v>2.5910000000000002</v>
      </c>
      <c r="M28" s="4044">
        <f>+$D$28</f>
        <v>2.2695881506742244</v>
      </c>
      <c r="N28" s="4044">
        <f>+((F32*F28)+(H32*H28)+(L32*L28))/N32</f>
        <v>2.3677544616201152</v>
      </c>
      <c r="O28" s="1356">
        <f>+$D$28</f>
        <v>2.2695881506742244</v>
      </c>
      <c r="P28" s="3471">
        <v>2.36</v>
      </c>
      <c r="Q28" s="3549">
        <f>+$D$28</f>
        <v>2.2695881506742244</v>
      </c>
      <c r="R28" s="3549">
        <f>+((N28*N32)+(P28*P32))/R32</f>
        <v>2.3655431161535092</v>
      </c>
      <c r="S28" s="1356">
        <f>+$D$28</f>
        <v>2.2695881506742244</v>
      </c>
      <c r="T28" s="3471">
        <v>2.41</v>
      </c>
      <c r="U28" s="3549">
        <f>+$D$28</f>
        <v>2.2695881506742244</v>
      </c>
      <c r="V28" s="3549">
        <f>+((R28*R32)+(T28*T32))/V32</f>
        <v>2.3753094592632724</v>
      </c>
      <c r="W28" s="1356">
        <f>+$D$28</f>
        <v>2.2695881506742244</v>
      </c>
      <c r="X28" s="3471">
        <v>2.33</v>
      </c>
      <c r="Y28" s="4044">
        <f>+$D$28</f>
        <v>2.2695881506742244</v>
      </c>
      <c r="Z28" s="4044">
        <f>+((P32*P28)+(T32*T28)+(X32*X28))/Z32</f>
        <v>2.3666510636039919</v>
      </c>
      <c r="AA28" s="4045">
        <f>+$D$28</f>
        <v>2.2695881506742244</v>
      </c>
      <c r="AB28" s="4045">
        <f>+((N28*N32)+(Z28*Z32))/AB32+0.01</f>
        <v>2.3771557760752473</v>
      </c>
      <c r="AC28" s="1356">
        <f>+$D$28</f>
        <v>2.2695881506742244</v>
      </c>
      <c r="AD28" s="3471">
        <v>2.36</v>
      </c>
      <c r="AE28" s="3549">
        <f>+$D$28</f>
        <v>2.2695881506742244</v>
      </c>
      <c r="AF28" s="3549">
        <f>+((AB28*AB32)+(AD28*AD32))/AF32</f>
        <v>2.3746274205790017</v>
      </c>
      <c r="AG28" s="3225">
        <f>+$D$28</f>
        <v>2.2695881506742244</v>
      </c>
      <c r="AH28" s="5720"/>
      <c r="AI28" s="3549">
        <f>+$D$28</f>
        <v>2.2695881506742244</v>
      </c>
      <c r="AJ28" s="3549">
        <v>2.4500000000000002</v>
      </c>
      <c r="AK28" s="3225">
        <f>+$D$28</f>
        <v>2.2695881506742244</v>
      </c>
      <c r="AL28" s="3471">
        <v>2.33</v>
      </c>
      <c r="AM28" s="4048">
        <f>+$D$28</f>
        <v>2.2695881506742244</v>
      </c>
      <c r="AN28" s="4048">
        <f>+((AD32*AD28)+(AH32*AH28)+(AL32*AL28))/AN32</f>
        <v>2.3045713253462883</v>
      </c>
      <c r="AO28" s="3768">
        <f>+$D$28</f>
        <v>2.2695881506742244</v>
      </c>
      <c r="AP28" s="3549">
        <f>+((AL28*AL32)+(AJ28*AJ32))/AP32-0.034</f>
        <v>2.399891885776583</v>
      </c>
      <c r="AQ28" s="3225">
        <f>+$D$28</f>
        <v>2.2695881506742244</v>
      </c>
      <c r="AR28" s="3471">
        <v>2.29</v>
      </c>
      <c r="AS28" s="3768">
        <f>+$D$28</f>
        <v>2.2695881506742244</v>
      </c>
      <c r="AT28" s="3549">
        <f>+((AP28*AP32)+(AR28*AR32))/AT32-0.01</f>
        <v>2.3763471765449067</v>
      </c>
      <c r="AU28" s="3225">
        <f>+$D$28</f>
        <v>2.2695881506742244</v>
      </c>
      <c r="AV28" s="3471">
        <v>2.29</v>
      </c>
      <c r="AW28" s="3768">
        <f>+$D$28</f>
        <v>2.2695881506742244</v>
      </c>
      <c r="AX28" s="3549">
        <f>+((AT28*AT32)+(AV28*AV32))/AX32</f>
        <v>2.3676740691204121</v>
      </c>
      <c r="AY28" s="3225">
        <f>+$D$28</f>
        <v>2.2695881506742244</v>
      </c>
      <c r="AZ28" s="3471">
        <v>2.29</v>
      </c>
      <c r="BA28" s="4044">
        <f>+$D$28</f>
        <v>2.2695881506742244</v>
      </c>
      <c r="BB28" s="4044">
        <f>+((AR28*AR32)+(AV28*AV32)+(AZ28*AZ32))/BB32</f>
        <v>2.29</v>
      </c>
      <c r="BC28" s="4045">
        <f>+$D$28</f>
        <v>2.2695881506742244</v>
      </c>
      <c r="BD28" s="4045">
        <f>+((AN28*AN32)+(BB28*BB32))/BD32</f>
        <v>2.2957543673406993</v>
      </c>
      <c r="BE28" s="3549">
        <f>+$D$28</f>
        <v>2.2695881506742244</v>
      </c>
      <c r="BF28" s="5284">
        <f>+((AX28*AX32)+(AZ28*AZ32))/BF32+0.01</f>
        <v>2.3699921888577928</v>
      </c>
      <c r="BG28" s="5280">
        <v>2.3199999999999998</v>
      </c>
      <c r="BH28" s="5281">
        <v>2.3695074279050243</v>
      </c>
      <c r="BI28" s="5280">
        <v>2.375</v>
      </c>
      <c r="BJ28" s="5281">
        <v>2.4275691559637163</v>
      </c>
      <c r="BK28" s="5280">
        <v>2.35</v>
      </c>
      <c r="BL28" s="5281">
        <v>2.4470555125122435</v>
      </c>
      <c r="BM28" s="5281">
        <v>2.4499999999999997</v>
      </c>
      <c r="BN28" s="5287">
        <v>2.4734991631008487</v>
      </c>
      <c r="BO28" s="3829">
        <v>2.4499999999999997</v>
      </c>
      <c r="BP28" s="2972">
        <v>2.6211067789738518</v>
      </c>
      <c r="BQ28" s="1213">
        <v>2.456658</v>
      </c>
      <c r="BR28" s="1201">
        <v>2.4355941599645199</v>
      </c>
      <c r="BS28" s="1201">
        <v>2.6099530027409332</v>
      </c>
      <c r="BT28" s="5389"/>
      <c r="BU28" s="6601"/>
    </row>
    <row r="29" spans="1:73" ht="18.75" x14ac:dyDescent="0.25">
      <c r="A29" s="93"/>
      <c r="B29" s="5657" t="s">
        <v>369</v>
      </c>
      <c r="C29" s="4668" t="s">
        <v>425</v>
      </c>
      <c r="D29" s="7022">
        <v>0.5</v>
      </c>
      <c r="E29" s="1356">
        <f>+$D$29</f>
        <v>0.5</v>
      </c>
      <c r="F29" s="3471">
        <v>0.5</v>
      </c>
      <c r="G29" s="1356">
        <f>+$D$29</f>
        <v>0.5</v>
      </c>
      <c r="H29" s="3471">
        <v>0.49199999999999999</v>
      </c>
      <c r="I29" s="736">
        <f>+$D$29</f>
        <v>0.5</v>
      </c>
      <c r="J29" s="3549">
        <f>+((F29*F32)+(H29*H32))/J32</f>
        <v>0.49573296548242118</v>
      </c>
      <c r="K29" s="1356">
        <f>+$D$29</f>
        <v>0.5</v>
      </c>
      <c r="L29" s="3471">
        <v>0.57999999999999996</v>
      </c>
      <c r="M29" s="4044">
        <f>+$D$29</f>
        <v>0.5</v>
      </c>
      <c r="N29" s="4044">
        <f>+((F32*F29)+(H32*H29)+(L32*L29))/N32</f>
        <v>0.51640225432808196</v>
      </c>
      <c r="O29" s="1356">
        <f>+$D$29</f>
        <v>0.5</v>
      </c>
      <c r="P29" s="3471">
        <v>0.52</v>
      </c>
      <c r="Q29" s="3549">
        <f>+$D$29</f>
        <v>0.5</v>
      </c>
      <c r="R29" s="3549">
        <f>+((N29*N32)+(P29*P32))/R32</f>
        <v>0.51742822608103511</v>
      </c>
      <c r="S29" s="1356">
        <f>+$D$29</f>
        <v>0.5</v>
      </c>
      <c r="T29" s="3471">
        <v>0.5</v>
      </c>
      <c r="U29" s="3549">
        <f>+$D$29</f>
        <v>0.5</v>
      </c>
      <c r="V29" s="3549">
        <f>+((R29*R32)+(T29*T32))/V32</f>
        <v>0.51359957186654615</v>
      </c>
      <c r="W29" s="1356">
        <f>+$D$29</f>
        <v>0.5</v>
      </c>
      <c r="X29" s="3471">
        <v>0.51</v>
      </c>
      <c r="Y29" s="4044">
        <f>+$D$29</f>
        <v>0.5</v>
      </c>
      <c r="Z29" s="4044">
        <f>+((P32*P29)+(T32*T29)+(X32*X29))/Z32</f>
        <v>0.51004296578655639</v>
      </c>
      <c r="AA29" s="4045">
        <f>+$D$29</f>
        <v>0.5</v>
      </c>
      <c r="AB29" s="4045">
        <f>+((N29*N32)+(Z29*Z32))/AB32</f>
        <v>0.51295180936640661</v>
      </c>
      <c r="AC29" s="1356">
        <f>+$D$29</f>
        <v>0.5</v>
      </c>
      <c r="AD29" s="3471">
        <v>0.5</v>
      </c>
      <c r="AE29" s="3549">
        <f>+$D$29</f>
        <v>0.5</v>
      </c>
      <c r="AF29" s="3549">
        <f>+((AB29*AB32)+(AD29*AD32))/AF32</f>
        <v>0.51104301909925398</v>
      </c>
      <c r="AG29" s="3221">
        <f>+$D$29</f>
        <v>0.5</v>
      </c>
      <c r="AH29" s="5720"/>
      <c r="AI29" s="3549">
        <f>+$D$29</f>
        <v>0.5</v>
      </c>
      <c r="AJ29" s="3549">
        <v>0.54</v>
      </c>
      <c r="AK29" s="3221">
        <f>+$D$29</f>
        <v>0.5</v>
      </c>
      <c r="AL29" s="3471">
        <v>0.49</v>
      </c>
      <c r="AM29" s="4044">
        <f>+$D$29</f>
        <v>0.5</v>
      </c>
      <c r="AN29" s="4044">
        <f>+((AD32*AD29)+(AH32*AH29)+(AL32*AL29))/AN32</f>
        <v>0.48641557151244186</v>
      </c>
      <c r="AO29" s="3549">
        <f>+$D$29</f>
        <v>0.5</v>
      </c>
      <c r="AP29" s="3549">
        <f>+((AL29*AL32)+(AJ29*AJ32))/AP32-0.01</f>
        <v>0.52328828574024266</v>
      </c>
      <c r="AQ29" s="3221">
        <f>+$D$29</f>
        <v>0.5</v>
      </c>
      <c r="AR29" s="3471">
        <v>0.46</v>
      </c>
      <c r="AS29" s="3549">
        <f>+$D$29</f>
        <v>0.5</v>
      </c>
      <c r="AT29" s="3549">
        <f>+((AP29*AP32)+(AR29*AR32))/AT32</f>
        <v>0.51548769680626438</v>
      </c>
      <c r="AU29" s="3221">
        <f>+$D$29</f>
        <v>0.5</v>
      </c>
      <c r="AV29" s="3471">
        <v>0.44</v>
      </c>
      <c r="AW29" s="3549">
        <f>+$D$29</f>
        <v>0.5</v>
      </c>
      <c r="AX29" s="3549">
        <f>+((AT29*AT32)+(AV29*AV32))/AX32</f>
        <v>0.50790536545709863</v>
      </c>
      <c r="AY29" s="3221">
        <f>+$D$29</f>
        <v>0.5</v>
      </c>
      <c r="AZ29" s="3471">
        <v>0.49</v>
      </c>
      <c r="BA29" s="4044">
        <f>+$D$29</f>
        <v>0.5</v>
      </c>
      <c r="BB29" s="4044">
        <f>+((AR29*AR32)+(AV29*AV32)+(AZ29*AZ32))/BB32</f>
        <v>0.46399819224771821</v>
      </c>
      <c r="BC29" s="4045">
        <f>+$D$29</f>
        <v>0.5</v>
      </c>
      <c r="BD29" s="4045">
        <f>+((AN29*AN32)+(BB29*BB32))/BD32</f>
        <v>0.47285104756728297</v>
      </c>
      <c r="BE29" s="3549">
        <f>+$D$29</f>
        <v>0.5</v>
      </c>
      <c r="BF29" s="5284">
        <f>+((AX29*AX32)+(AZ29*AZ32))/BF32-0.01</f>
        <v>0.4961345444474945</v>
      </c>
      <c r="BG29" s="5285">
        <v>0.5</v>
      </c>
      <c r="BH29" s="5286">
        <v>0.49588308625627264</v>
      </c>
      <c r="BI29" s="5285">
        <v>0.53</v>
      </c>
      <c r="BJ29" s="5286">
        <v>0.53450494973160534</v>
      </c>
      <c r="BK29" s="5285">
        <v>0.53</v>
      </c>
      <c r="BL29" s="5286">
        <v>0.52806819520607939</v>
      </c>
      <c r="BM29" s="5286">
        <v>0.55000000000000004</v>
      </c>
      <c r="BN29" s="1201">
        <v>0.5391608296186442</v>
      </c>
      <c r="BO29" s="3831">
        <v>0.55000000000000004</v>
      </c>
      <c r="BP29" s="2971">
        <v>0.6232821487978184</v>
      </c>
      <c r="BQ29" s="1215">
        <v>0.55112399999999995</v>
      </c>
      <c r="BR29" s="1201">
        <v>0.57147495070586141</v>
      </c>
      <c r="BS29" s="1201">
        <v>0.55061804440565798</v>
      </c>
      <c r="BT29" s="5389"/>
      <c r="BU29" s="6601"/>
    </row>
    <row r="30" spans="1:73" ht="18.75" x14ac:dyDescent="0.25">
      <c r="A30" s="93"/>
      <c r="B30" s="5657" t="s">
        <v>546</v>
      </c>
      <c r="C30" s="4668" t="s">
        <v>547</v>
      </c>
      <c r="D30" s="5282">
        <v>789.97408213376912</v>
      </c>
      <c r="E30" s="5197">
        <f t="shared" ref="E30:AI30" si="16">+E36</f>
        <v>812.64670771500494</v>
      </c>
      <c r="F30" s="5213">
        <f t="shared" si="16"/>
        <v>724.01994644622903</v>
      </c>
      <c r="G30" s="7149">
        <f t="shared" ref="G30:H30" si="17">+G36</f>
        <v>814.8825190968206</v>
      </c>
      <c r="H30" s="7153">
        <f t="shared" si="17"/>
        <v>799.42672946489506</v>
      </c>
      <c r="I30" s="437">
        <f t="shared" si="16"/>
        <v>813.75238109297538</v>
      </c>
      <c r="J30" s="5214">
        <f t="shared" si="16"/>
        <v>762.26283598469161</v>
      </c>
      <c r="K30" s="5197">
        <f t="shared" si="16"/>
        <v>480.12886707462184</v>
      </c>
      <c r="L30" s="5213">
        <f t="shared" si="16"/>
        <v>511.97435785946328</v>
      </c>
      <c r="M30" s="5216">
        <f t="shared" si="16"/>
        <v>703.69137026213741</v>
      </c>
      <c r="N30" s="5216">
        <f t="shared" si="16"/>
        <v>679.29879718907546</v>
      </c>
      <c r="O30" s="5197">
        <f t="shared" ref="O30:P30" si="18">+O36</f>
        <v>221.11383558715067</v>
      </c>
      <c r="P30" s="5213">
        <f t="shared" si="18"/>
        <v>780.59808898227641</v>
      </c>
      <c r="Q30" s="5214">
        <f t="shared" si="16"/>
        <v>581.56345018802324</v>
      </c>
      <c r="R30" s="5214">
        <f t="shared" si="16"/>
        <v>705.15362412993875</v>
      </c>
      <c r="S30" s="5197">
        <f t="shared" si="16"/>
        <v>759.30661140764448</v>
      </c>
      <c r="T30" s="5213">
        <f t="shared" si="16"/>
        <v>770.78121747298167</v>
      </c>
      <c r="U30" s="5214">
        <f t="shared" ref="U30:X30" si="19">+U36</f>
        <v>617.26166122517884</v>
      </c>
      <c r="V30" s="5214">
        <f t="shared" si="19"/>
        <v>718.49934860964333</v>
      </c>
      <c r="W30" s="5197">
        <f t="shared" si="19"/>
        <v>761.48023656006831</v>
      </c>
      <c r="X30" s="5213">
        <f t="shared" si="19"/>
        <v>795.29293304431258</v>
      </c>
      <c r="Y30" s="5216">
        <f t="shared" si="16"/>
        <v>576.89702721697745</v>
      </c>
      <c r="Z30" s="5216">
        <f t="shared" si="16"/>
        <v>782.08087540881343</v>
      </c>
      <c r="AA30" s="5217">
        <f t="shared" si="16"/>
        <v>640.68256759680594</v>
      </c>
      <c r="AB30" s="5217">
        <f t="shared" si="16"/>
        <v>731.12226940013204</v>
      </c>
      <c r="AC30" s="5330">
        <f t="shared" si="16"/>
        <v>795.73412401614883</v>
      </c>
      <c r="AD30" s="5344">
        <f t="shared" si="16"/>
        <v>739.55185266664535</v>
      </c>
      <c r="AE30" s="5214">
        <f t="shared" si="16"/>
        <v>662.89176523060291</v>
      </c>
      <c r="AF30" s="5214">
        <f t="shared" si="16"/>
        <v>732.34882674584208</v>
      </c>
      <c r="AG30" s="5213">
        <f t="shared" si="16"/>
        <v>797.75562539658404</v>
      </c>
      <c r="AH30" s="5721" t="s">
        <v>2031</v>
      </c>
      <c r="AI30" s="5214">
        <f t="shared" si="16"/>
        <v>679.30519210513353</v>
      </c>
      <c r="AJ30" s="5722" t="s">
        <v>2032</v>
      </c>
      <c r="AK30" s="5917">
        <f t="shared" ref="AK30:AL30" si="20">+AK36</f>
        <v>799.40215800758006</v>
      </c>
      <c r="AL30" s="5985">
        <f t="shared" si="20"/>
        <v>783.42260951459184</v>
      </c>
      <c r="AM30" s="5216">
        <f t="shared" ref="AM30:BF30" si="21">+AM36</f>
        <v>797.6264351018807</v>
      </c>
      <c r="AN30" s="5216">
        <f t="shared" si="21"/>
        <v>523.07889747208162</v>
      </c>
      <c r="AO30" s="5214">
        <f t="shared" si="21"/>
        <v>692.66631026207722</v>
      </c>
      <c r="AP30" s="5214">
        <f t="shared" si="21"/>
        <v>661.24790180319837</v>
      </c>
      <c r="AQ30" s="6072">
        <f t="shared" si="21"/>
        <v>801.24888548781723</v>
      </c>
      <c r="AR30" s="6072">
        <f t="shared" si="21"/>
        <v>812.39513195852544</v>
      </c>
      <c r="AS30" s="5214">
        <f t="shared" si="21"/>
        <v>703.51215393966368</v>
      </c>
      <c r="AT30" s="5214">
        <f t="shared" si="21"/>
        <v>676.69069341768454</v>
      </c>
      <c r="AU30" s="6176">
        <f t="shared" ref="AU30:AV30" si="22">+AU36</f>
        <v>800.86058845530192</v>
      </c>
      <c r="AV30" s="6176">
        <f t="shared" si="22"/>
        <v>821.47127169292764</v>
      </c>
      <c r="AW30" s="5214">
        <f t="shared" si="21"/>
        <v>711.63401697763777</v>
      </c>
      <c r="AX30" s="5214">
        <f t="shared" si="21"/>
        <v>688.83398231830859</v>
      </c>
      <c r="AY30" s="6391">
        <f t="shared" si="21"/>
        <v>804.50127296152823</v>
      </c>
      <c r="AZ30" s="6391">
        <f t="shared" si="21"/>
        <v>821.28851210997527</v>
      </c>
      <c r="BA30" s="4026">
        <f t="shared" si="21"/>
        <v>802.26722065252466</v>
      </c>
      <c r="BB30" s="5216">
        <f t="shared" si="21"/>
        <v>818.29190777807003</v>
      </c>
      <c r="BC30" s="5217">
        <f t="shared" si="21"/>
        <v>799.94403598855672</v>
      </c>
      <c r="BD30" s="5217">
        <f t="shared" si="21"/>
        <v>668.98436156557557</v>
      </c>
      <c r="BE30" s="5214">
        <f t="shared" si="21"/>
        <v>719.39222072523751</v>
      </c>
      <c r="BF30" s="5283">
        <f t="shared" si="21"/>
        <v>700.0483840982771</v>
      </c>
      <c r="BG30" s="1103">
        <v>712.17383164731029</v>
      </c>
      <c r="BH30" s="3339">
        <v>691.16367009719045</v>
      </c>
      <c r="BI30" s="1103">
        <v>729.20663969961981</v>
      </c>
      <c r="BJ30" s="3339">
        <v>695.16314963675404</v>
      </c>
      <c r="BK30" s="1103">
        <v>656.40621199671705</v>
      </c>
      <c r="BL30" s="3339">
        <v>639.11266207165545</v>
      </c>
      <c r="BM30" s="3339">
        <v>615.77607331821741</v>
      </c>
      <c r="BN30" s="1102">
        <v>561.88093987319337</v>
      </c>
      <c r="BO30" s="3832">
        <v>549.90657676580804</v>
      </c>
      <c r="BP30" s="2973">
        <v>459.24950351799106</v>
      </c>
      <c r="BQ30" s="4675">
        <v>562.64319308862753</v>
      </c>
      <c r="BR30" s="1102">
        <v>490.34382042747291</v>
      </c>
      <c r="BS30" s="1102">
        <v>421.02863329539394</v>
      </c>
      <c r="BT30" s="5389"/>
      <c r="BU30" s="6601"/>
    </row>
    <row r="31" spans="1:73" ht="19.5" thickBot="1" x14ac:dyDescent="0.3">
      <c r="A31" s="93"/>
      <c r="B31" s="3838" t="s">
        <v>554</v>
      </c>
      <c r="C31" s="4669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3552</v>
      </c>
      <c r="L31" s="234">
        <v>3540</v>
      </c>
      <c r="M31" s="488">
        <f>+AVERAGE(E31,G31,K31)</f>
        <v>3549.6666666666665</v>
      </c>
      <c r="N31" s="488">
        <f>+AVERAGE(F31,H31,L31)</f>
        <v>3521.6666666666665</v>
      </c>
      <c r="O31" s="234">
        <v>3530</v>
      </c>
      <c r="P31" s="234">
        <v>3540</v>
      </c>
      <c r="Q31" s="589">
        <f>+AVERAGE(E31,G31,K31,O31)</f>
        <v>3544.75</v>
      </c>
      <c r="R31" s="589">
        <f>+AVERAGE(F31,H31,L31,P31)</f>
        <v>3526.25</v>
      </c>
      <c r="S31" s="234">
        <v>3508</v>
      </c>
      <c r="T31" s="234">
        <v>3540</v>
      </c>
      <c r="U31" s="589">
        <f>+AVERAGE(E31,G31,K31,O31,S31)</f>
        <v>3537.4</v>
      </c>
      <c r="V31" s="589">
        <f>+AVERAGE(F31,H31,L31,P31,T31)</f>
        <v>3529</v>
      </c>
      <c r="W31" s="234">
        <v>3494</v>
      </c>
      <c r="X31" s="234">
        <v>3543</v>
      </c>
      <c r="Y31" s="488">
        <f>+AVERAGE(Q31,S31,W31)</f>
        <v>3515.5833333333335</v>
      </c>
      <c r="Z31" s="488">
        <f>+AVERAGE(P31,T31,X31)</f>
        <v>3541</v>
      </c>
      <c r="AA31" s="1146">
        <f>+AVERAGE(E31,G31,K31,O31,S31,W31)</f>
        <v>3530.1666666666665</v>
      </c>
      <c r="AB31" s="1146">
        <f>+AVERAGE(X31,P31,L31,H31,T31,F31)</f>
        <v>3531.3333333333335</v>
      </c>
      <c r="AC31" s="234">
        <v>3487</v>
      </c>
      <c r="AD31" s="234">
        <v>3539</v>
      </c>
      <c r="AE31" s="589">
        <f>+AVERAGE(E31,G31,K31,O31,S31,W31,AC31)</f>
        <v>3524</v>
      </c>
      <c r="AF31" s="589">
        <f>+AVERAGE(F31,H31,L31,P31,T31,X31,AD31)</f>
        <v>3532.4285714285716</v>
      </c>
      <c r="AG31" s="234">
        <v>3479</v>
      </c>
      <c r="AH31" s="234">
        <v>3551</v>
      </c>
      <c r="AI31" s="589">
        <f>+AVERAGE(E31,G31,K31,O31,S31,W31,AC31,AG31)</f>
        <v>3518.375</v>
      </c>
      <c r="AJ31" s="589">
        <f>+AVERAGE(F31,H31,L31,P31,T31,X31,AD31,AH31)</f>
        <v>3534.75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3513.1111111111113</v>
      </c>
      <c r="AP31" s="589">
        <f>+AVERAGE(F31,H31,L31,P31,T31,X31,AD31,AH31,AL31)</f>
        <v>3538.4444444444443</v>
      </c>
      <c r="AQ31" s="234">
        <v>3463</v>
      </c>
      <c r="AR31" s="234">
        <v>3570</v>
      </c>
      <c r="AS31" s="589">
        <f>+AVERAGE(E31,G31,K31,O31,S31,W31,AC31,AG31,AK31,AQ31)</f>
        <v>3508.1</v>
      </c>
      <c r="AT31" s="589">
        <f>+AVERAGE(F31,H31,L31,P31,T31,X31,AD31,AH31,AL31,AR31)</f>
        <v>3541.6</v>
      </c>
      <c r="AU31" s="234">
        <v>3452</v>
      </c>
      <c r="AV31" s="234">
        <v>3545</v>
      </c>
      <c r="AW31" s="589">
        <f>+AVERAGE(E31,G31,K31,O31,S31,W31,AC31,AG31,AK31,AQ31,AU31)</f>
        <v>3503</v>
      </c>
      <c r="AX31" s="589">
        <f>+AVERAGE(F31,H31,L31,P31,T31,X31,AD31,AH31,AL31,AR31,AV31)</f>
        <v>3541.909090909091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6">
        <f>+AVERAGE(AC31,AG31,AK31,AQ31,AU31,AY31)</f>
        <v>3466.8333333333335</v>
      </c>
      <c r="BD31" s="1146">
        <f>+AVERAGE(AD31,AH31,AL31,AR31,AV31,AZ31)</f>
        <v>3550.6666666666665</v>
      </c>
      <c r="BE31" s="589">
        <f>+AVERAGE(E31,G31,K31,O31,S31,W31,AC31,AG31,AK31,AQ31,AU31,AY31)</f>
        <v>3498.5</v>
      </c>
      <c r="BF31" s="589">
        <f>+AVERAGE(F31,H31,L31,P31,T31,X31,AD31,AH31,AL31,AR31,AV31,AZ31)</f>
        <v>3541</v>
      </c>
      <c r="BG31" s="1147">
        <v>3502.25</v>
      </c>
      <c r="BH31" s="1147">
        <v>3544.5833333333335</v>
      </c>
      <c r="BI31" s="1147">
        <v>3607.8333333333335</v>
      </c>
      <c r="BJ31" s="1147">
        <v>3647.6666666666665</v>
      </c>
      <c r="BK31" s="1147">
        <v>3826.0833333333335</v>
      </c>
      <c r="BL31" s="1147">
        <v>3802.9166666666665</v>
      </c>
      <c r="BM31" s="1147">
        <v>4009.5833333333335</v>
      </c>
      <c r="BN31" s="1104">
        <v>3995.5833333333335</v>
      </c>
      <c r="BO31" s="3832">
        <v>4196.5983072916661</v>
      </c>
      <c r="BP31" s="2983">
        <v>4090.302734375</v>
      </c>
      <c r="BQ31" s="1147">
        <v>4470.8032786885242</v>
      </c>
      <c r="BR31" s="1104">
        <v>4421.333333333333</v>
      </c>
      <c r="BS31" s="1104">
        <v>4614.4191780821911</v>
      </c>
      <c r="BT31" s="5389"/>
      <c r="BU31" s="6601"/>
    </row>
    <row r="32" spans="1:73" ht="15" hidden="1" customHeight="1" x14ac:dyDescent="0.25">
      <c r="A32" s="154"/>
      <c r="B32" s="7389" t="s">
        <v>1724</v>
      </c>
      <c r="C32" s="2832" t="s">
        <v>588</v>
      </c>
      <c r="D32" s="5223">
        <f>'Maj Production Summ'!D18</f>
        <v>2769999.8857412599</v>
      </c>
      <c r="E32" s="5223">
        <f>'Maj Production Summ'!E18</f>
        <v>237110.48158640199</v>
      </c>
      <c r="F32" s="5223">
        <f>'Maj Production Summ'!F18</f>
        <v>207020</v>
      </c>
      <c r="G32" s="5527">
        <f>'Maj Production Summ'!G18</f>
        <v>244664.77809253999</v>
      </c>
      <c r="H32" s="5527">
        <f>'Maj Production Summ'!H18</f>
        <v>236638</v>
      </c>
      <c r="I32" s="4270">
        <f t="shared" ref="I32:J35" si="23">+E32+G32</f>
        <v>481775.25967894198</v>
      </c>
      <c r="J32" s="4270">
        <f t="shared" si="23"/>
        <v>443658</v>
      </c>
      <c r="K32" s="5223">
        <f>'Maj Production Summ'!K18</f>
        <v>139811.32075471699</v>
      </c>
      <c r="L32" s="5223">
        <f>'Maj Production Summ'!L18</f>
        <v>144189</v>
      </c>
      <c r="M32" s="5223">
        <f t="shared" ref="M32:N35" si="24">+E32+G32+K32</f>
        <v>621586.58043365902</v>
      </c>
      <c r="N32" s="5223">
        <f t="shared" si="24"/>
        <v>587847</v>
      </c>
      <c r="O32" s="5223">
        <f>'Maj Production Summ'!O18</f>
        <v>63679.245283018899</v>
      </c>
      <c r="P32" s="5223">
        <f>'Maj Production Summ'!P18</f>
        <v>234513</v>
      </c>
      <c r="Q32" s="5223">
        <f t="shared" ref="Q32:R35" si="25">+M32+O32</f>
        <v>685265.82571667794</v>
      </c>
      <c r="R32" s="5223">
        <f t="shared" si="25"/>
        <v>822360</v>
      </c>
      <c r="S32" s="5223">
        <f>'Maj Production Summ'!S18</f>
        <v>226056.603773585</v>
      </c>
      <c r="T32" s="5223">
        <f>'Maj Production Summ'!T18</f>
        <v>231517</v>
      </c>
      <c r="U32" s="5223">
        <f t="shared" ref="U32:U35" si="26">+Q32+S32</f>
        <v>911322.42949026288</v>
      </c>
      <c r="V32" s="5223">
        <f t="shared" ref="V32:V35" si="27">+R32+T32</f>
        <v>1053877</v>
      </c>
      <c r="W32" s="5223">
        <f>'Maj Production Summ'!W18</f>
        <v>218509.43396226401</v>
      </c>
      <c r="X32" s="5223">
        <f>'Maj Production Summ'!X18</f>
        <v>231269</v>
      </c>
      <c r="Y32" s="5223">
        <f t="shared" ref="Y32:Z35" si="28">+O32+S32+W32</f>
        <v>508245.28301886795</v>
      </c>
      <c r="Z32" s="5223">
        <f t="shared" si="28"/>
        <v>697299</v>
      </c>
      <c r="AA32" s="5223">
        <f>+M32+Y32</f>
        <v>1129831.863452527</v>
      </c>
      <c r="AB32" s="5223">
        <f>+N32+Z32</f>
        <v>1285146</v>
      </c>
      <c r="AC32" s="5352">
        <f>'Maj Production Summ'!AC18</f>
        <v>235490.56603773599</v>
      </c>
      <c r="AD32" s="5352">
        <f>'Maj Production Summ'!AD18</f>
        <v>222138</v>
      </c>
      <c r="AE32" s="5223">
        <f t="shared" ref="AE32:AE35" si="29">+AA32+AC32</f>
        <v>1365322.4294902629</v>
      </c>
      <c r="AF32" s="5223">
        <f t="shared" ref="AF32:AF35" si="30">+AB32+AD32</f>
        <v>1507284</v>
      </c>
      <c r="AG32" s="5223">
        <f>'Maj Production Summ'!AG18</f>
        <v>227943.396226415</v>
      </c>
      <c r="AH32" s="5223">
        <f>'Maj Production Summ'!AH18</f>
        <v>7935</v>
      </c>
      <c r="AI32" s="5223">
        <f t="shared" ref="AI32:AI35" si="31">+AE32+AG32</f>
        <v>1593265.8257166778</v>
      </c>
      <c r="AJ32" s="5223">
        <f t="shared" ref="AJ32:AJ35" si="32">+AF32+AH32</f>
        <v>1515219</v>
      </c>
      <c r="AK32" s="5527">
        <f>'Maj Production Summ'!AK18</f>
        <v>235490.56603773599</v>
      </c>
      <c r="AL32" s="5527">
        <f>'Maj Production Summ'!AL18</f>
        <v>234930</v>
      </c>
      <c r="AM32" s="5223">
        <f t="shared" ref="AM32:AM35" si="33">+AC32+AG32+AK32</f>
        <v>698924.52830188698</v>
      </c>
      <c r="AN32" s="5223">
        <f t="shared" ref="AN32:AN35" si="34">+AD32+AH32+AL32</f>
        <v>465003</v>
      </c>
      <c r="AO32" s="5223">
        <f>AI32+AK32</f>
        <v>1828756.3917544137</v>
      </c>
      <c r="AP32" s="5223">
        <f>AJ32+AL32</f>
        <v>1750149</v>
      </c>
      <c r="AQ32" s="5527">
        <f>'Maj Production Summ'!AQ18</f>
        <v>235490.56603773599</v>
      </c>
      <c r="AR32" s="5527">
        <f>'Maj Production Summ'!AR18</f>
        <v>246040</v>
      </c>
      <c r="AS32" s="5223">
        <f t="shared" ref="AS32:AS35" si="35">+AO32+AQ32</f>
        <v>2064246.9577921496</v>
      </c>
      <c r="AT32" s="5223">
        <f t="shared" ref="AT32:AT35" si="36">+AP32+AR32</f>
        <v>1996189</v>
      </c>
      <c r="AU32" s="5527">
        <f>'Maj Production Summ'!AU18</f>
        <v>211905.660377358</v>
      </c>
      <c r="AV32" s="5527">
        <f>'Maj Production Summ'!AV18</f>
        <v>222895</v>
      </c>
      <c r="AW32" s="5223">
        <f t="shared" ref="AW32:AW35" si="37">+AS32+AU32</f>
        <v>2276152.6181695075</v>
      </c>
      <c r="AX32" s="5223">
        <f t="shared" ref="AX32:AX35" si="38">+AT32+AV32</f>
        <v>2219084</v>
      </c>
      <c r="AY32" s="5527">
        <f>'Maj Production Summ'!AY18</f>
        <v>235490.56603773599</v>
      </c>
      <c r="AZ32" s="5527">
        <f>'Maj Production Summ'!AZ18</f>
        <v>243552</v>
      </c>
      <c r="BA32" s="5223">
        <f t="shared" ref="BA32:BA35" si="39">+AQ32+AU32+AY32</f>
        <v>682886.79245283001</v>
      </c>
      <c r="BB32" s="5223">
        <f t="shared" ref="BB32:BB35" si="40">+AR32+AV32+AZ32</f>
        <v>712487</v>
      </c>
      <c r="BC32" s="5223">
        <f>+AM32+BA32</f>
        <v>1381811.3207547171</v>
      </c>
      <c r="BD32" s="5223">
        <f>+AN32+BB32</f>
        <v>1177490</v>
      </c>
      <c r="BE32" s="5223">
        <f t="shared" ref="BE32:BF35" si="41">+AW32+AY32</f>
        <v>2511643.1842072434</v>
      </c>
      <c r="BF32" s="5223">
        <f t="shared" si="41"/>
        <v>2462636</v>
      </c>
      <c r="BG32" s="5527">
        <v>2489528.3018867923</v>
      </c>
      <c r="BH32" s="5527">
        <v>2436959</v>
      </c>
      <c r="BI32" s="5223">
        <v>2620075.4716981109</v>
      </c>
      <c r="BJ32" s="5223">
        <v>2528925</v>
      </c>
      <c r="BK32" s="5223">
        <v>2499999.9999999981</v>
      </c>
      <c r="BL32" s="5223">
        <v>2422324.3024999998</v>
      </c>
      <c r="BM32" s="5288">
        <v>2573000.7983342619</v>
      </c>
      <c r="BN32" s="5289">
        <v>2322716</v>
      </c>
      <c r="BO32" s="3833"/>
      <c r="BP32" s="2989"/>
      <c r="BQ32" s="154"/>
      <c r="BR32" s="154"/>
      <c r="BS32" s="149"/>
      <c r="BU32" s="6601"/>
    </row>
    <row r="33" spans="1:73" ht="15" hidden="1" customHeight="1" x14ac:dyDescent="0.25">
      <c r="A33" s="154"/>
      <c r="B33" s="7390"/>
      <c r="C33" s="3313" t="s">
        <v>591</v>
      </c>
      <c r="D33" s="5222">
        <f>'Maj Production Summ'!D26</f>
        <v>14270</v>
      </c>
      <c r="E33" s="5222">
        <f>'Maj Production Summ'!E26</f>
        <v>810</v>
      </c>
      <c r="F33" s="5222">
        <f>'Maj Production Summ'!F26</f>
        <v>4661.7268380000005</v>
      </c>
      <c r="G33" s="5351">
        <f>'Maj Production Summ'!G26</f>
        <v>810</v>
      </c>
      <c r="H33" s="5351">
        <f>'Maj Production Summ'!H26</f>
        <v>2950.1684780000001</v>
      </c>
      <c r="I33" s="5290">
        <f t="shared" si="23"/>
        <v>1620</v>
      </c>
      <c r="J33" s="5290">
        <f t="shared" si="23"/>
        <v>7611.8953160000001</v>
      </c>
      <c r="K33" s="5222">
        <f>'Maj Production Summ'!K26</f>
        <v>720</v>
      </c>
      <c r="L33" s="5222">
        <f>'Maj Production Summ'!L26</f>
        <v>9548.9961899999998</v>
      </c>
      <c r="M33" s="5222">
        <f t="shared" si="24"/>
        <v>2340</v>
      </c>
      <c r="N33" s="5222">
        <f t="shared" si="24"/>
        <v>17160.891506</v>
      </c>
      <c r="O33" s="5222">
        <f>'Maj Production Summ'!O26</f>
        <v>5225</v>
      </c>
      <c r="P33" s="5222">
        <f>'Maj Production Summ'!P26</f>
        <v>359.39334199999996</v>
      </c>
      <c r="Q33" s="5222">
        <f t="shared" si="25"/>
        <v>7565</v>
      </c>
      <c r="R33" s="5222">
        <f t="shared" si="25"/>
        <v>17520.284847999999</v>
      </c>
      <c r="S33" s="5222">
        <f>'Maj Production Summ'!S26</f>
        <v>342</v>
      </c>
      <c r="T33" s="5222">
        <f>'Maj Production Summ'!T26</f>
        <v>448.36057799999998</v>
      </c>
      <c r="U33" s="5222">
        <f t="shared" si="26"/>
        <v>7907</v>
      </c>
      <c r="V33" s="5222">
        <f t="shared" si="27"/>
        <v>17968.645425999999</v>
      </c>
      <c r="W33" s="5222">
        <f>'Maj Production Summ'!W26</f>
        <v>342</v>
      </c>
      <c r="X33" s="5222">
        <f>'Maj Production Summ'!X26</f>
        <v>649.31974400000001</v>
      </c>
      <c r="Y33" s="5222">
        <f t="shared" si="28"/>
        <v>5909</v>
      </c>
      <c r="Z33" s="5222">
        <f t="shared" si="28"/>
        <v>1457.073664</v>
      </c>
      <c r="AA33" s="5222">
        <f t="shared" ref="AA33:AB35" si="42">+M33+Y33</f>
        <v>8249</v>
      </c>
      <c r="AB33" s="5222">
        <f t="shared" si="42"/>
        <v>18617.965169999999</v>
      </c>
      <c r="AC33" s="5351">
        <f>'Maj Production Summ'!AC26</f>
        <v>342</v>
      </c>
      <c r="AD33" s="5351">
        <f>'Maj Production Summ'!AD26</f>
        <v>302.050434</v>
      </c>
      <c r="AE33" s="5222">
        <f t="shared" si="29"/>
        <v>8591</v>
      </c>
      <c r="AF33" s="5222">
        <f t="shared" si="30"/>
        <v>18920.015604</v>
      </c>
      <c r="AG33" s="5222">
        <f>'Maj Production Summ'!AG26</f>
        <v>342</v>
      </c>
      <c r="AH33" s="5222">
        <f>'Maj Production Summ'!AH26</f>
        <v>1541.4762000000001</v>
      </c>
      <c r="AI33" s="5222">
        <f t="shared" si="31"/>
        <v>8933</v>
      </c>
      <c r="AJ33" s="5222">
        <f t="shared" si="32"/>
        <v>20461.491804000001</v>
      </c>
      <c r="AK33" s="5351">
        <f>'Maj Production Summ'!AK26</f>
        <v>342</v>
      </c>
      <c r="AL33" s="5351">
        <f>'Maj Production Summ'!AL26</f>
        <v>4949.9068120000002</v>
      </c>
      <c r="AM33" s="5222">
        <f t="shared" si="33"/>
        <v>1026</v>
      </c>
      <c r="AN33" s="5222">
        <f t="shared" si="34"/>
        <v>6793.433446</v>
      </c>
      <c r="AO33" s="5222">
        <f t="shared" ref="AO33:AO35" si="43">AI33+AK33</f>
        <v>9275</v>
      </c>
      <c r="AP33" s="5222">
        <f t="shared" ref="AP33:AP35" si="44">AJ33+AL33</f>
        <v>25411.398616000002</v>
      </c>
      <c r="AQ33" s="5351">
        <f>'Maj Production Summ'!AQ26</f>
        <v>342</v>
      </c>
      <c r="AR33" s="5351">
        <f>'Maj Production Summ'!AR26</f>
        <v>565.31097999999997</v>
      </c>
      <c r="AS33" s="5222">
        <f t="shared" si="35"/>
        <v>9617</v>
      </c>
      <c r="AT33" s="5222">
        <f t="shared" si="36"/>
        <v>25976.709596000001</v>
      </c>
      <c r="AU33" s="5351">
        <f>'Maj Production Summ'!AU26</f>
        <v>342</v>
      </c>
      <c r="AV33" s="5351">
        <f>'Maj Production Summ'!AV26</f>
        <v>1000.347552</v>
      </c>
      <c r="AW33" s="5222">
        <f t="shared" si="37"/>
        <v>9959</v>
      </c>
      <c r="AX33" s="5222">
        <f t="shared" si="38"/>
        <v>26977.057148</v>
      </c>
      <c r="AY33" s="5351">
        <f>'Maj Production Summ'!AY26</f>
        <v>342</v>
      </c>
      <c r="AZ33" s="5351">
        <f>'Maj Production Summ'!AZ26</f>
        <v>5493.5990359999996</v>
      </c>
      <c r="BA33" s="5222">
        <f t="shared" si="39"/>
        <v>1026</v>
      </c>
      <c r="BB33" s="5222">
        <f t="shared" si="40"/>
        <v>7059.2575679999991</v>
      </c>
      <c r="BC33" s="5222">
        <f t="shared" ref="BC33:BC35" si="45">+AM33+BA33</f>
        <v>2052</v>
      </c>
      <c r="BD33" s="5222">
        <f t="shared" ref="BD33:BD35" si="46">+AN33+BB33</f>
        <v>13852.691014</v>
      </c>
      <c r="BE33" s="5222">
        <f t="shared" si="41"/>
        <v>10301</v>
      </c>
      <c r="BF33" s="5222">
        <f t="shared" si="41"/>
        <v>32470.656183999999</v>
      </c>
      <c r="BG33" s="5351">
        <v>9365</v>
      </c>
      <c r="BH33" s="5351">
        <v>25856.451263999999</v>
      </c>
      <c r="BI33" s="5222">
        <v>21561.099796334001</v>
      </c>
      <c r="BJ33" s="5222">
        <v>13596.897649999999</v>
      </c>
      <c r="BK33" s="5222">
        <v>22929.735234215885</v>
      </c>
      <c r="BL33" s="5222">
        <v>16335.783939999999</v>
      </c>
      <c r="BM33" s="5291">
        <v>34051.635437881865</v>
      </c>
      <c r="BN33" s="5292">
        <v>32547.079289999998</v>
      </c>
      <c r="BO33" s="3834"/>
      <c r="BP33" s="2990"/>
      <c r="BQ33" s="154"/>
      <c r="BR33" s="154"/>
      <c r="BS33" s="149"/>
      <c r="BU33" s="6601"/>
    </row>
    <row r="34" spans="1:73" ht="15" hidden="1" customHeight="1" x14ac:dyDescent="0.25">
      <c r="A34" s="154"/>
      <c r="B34" s="7390"/>
      <c r="C34" s="3313" t="s">
        <v>589</v>
      </c>
      <c r="D34" s="5222">
        <f>+D33/2</f>
        <v>7135</v>
      </c>
      <c r="E34" s="5222">
        <f>+E33/2</f>
        <v>405</v>
      </c>
      <c r="F34" s="5222">
        <f>+F33/2</f>
        <v>2330.8634190000002</v>
      </c>
      <c r="G34" s="5351">
        <f>+G33/2</f>
        <v>405</v>
      </c>
      <c r="H34" s="5351">
        <f>+H33/2</f>
        <v>1475.084239</v>
      </c>
      <c r="I34" s="5290">
        <f t="shared" si="23"/>
        <v>810</v>
      </c>
      <c r="J34" s="5290">
        <f t="shared" si="23"/>
        <v>3805.947658</v>
      </c>
      <c r="K34" s="5222">
        <f>+K33/2</f>
        <v>360</v>
      </c>
      <c r="L34" s="5222">
        <f>+L33/2</f>
        <v>4774.4980949999999</v>
      </c>
      <c r="M34" s="5222">
        <f t="shared" si="24"/>
        <v>1170</v>
      </c>
      <c r="N34" s="5222">
        <f t="shared" si="24"/>
        <v>8580.445753</v>
      </c>
      <c r="O34" s="5222">
        <f>+O33/2</f>
        <v>2612.5</v>
      </c>
      <c r="P34" s="5222">
        <f>+P33/2</f>
        <v>179.69667099999998</v>
      </c>
      <c r="Q34" s="5222">
        <f t="shared" si="25"/>
        <v>3782.5</v>
      </c>
      <c r="R34" s="5222">
        <f t="shared" si="25"/>
        <v>8760.1424239999997</v>
      </c>
      <c r="S34" s="5222">
        <f>+S33/2</f>
        <v>171</v>
      </c>
      <c r="T34" s="5222">
        <f>+T33/2</f>
        <v>224.18028899999999</v>
      </c>
      <c r="U34" s="5222">
        <f t="shared" si="26"/>
        <v>3953.5</v>
      </c>
      <c r="V34" s="5222">
        <f t="shared" si="27"/>
        <v>8984.3227129999996</v>
      </c>
      <c r="W34" s="5222">
        <f>+W33/2</f>
        <v>171</v>
      </c>
      <c r="X34" s="5222">
        <f>+X33/2</f>
        <v>324.65987200000001</v>
      </c>
      <c r="Y34" s="5222">
        <f t="shared" si="28"/>
        <v>2954.5</v>
      </c>
      <c r="Z34" s="5222">
        <f t="shared" si="28"/>
        <v>728.536832</v>
      </c>
      <c r="AA34" s="5222">
        <f t="shared" si="42"/>
        <v>4124.5</v>
      </c>
      <c r="AB34" s="5222">
        <f t="shared" si="42"/>
        <v>9308.9825849999997</v>
      </c>
      <c r="AC34" s="5351">
        <f>+AC33/2</f>
        <v>171</v>
      </c>
      <c r="AD34" s="5351">
        <f>+AD33/2</f>
        <v>151.025217</v>
      </c>
      <c r="AE34" s="5222">
        <f t="shared" si="29"/>
        <v>4295.5</v>
      </c>
      <c r="AF34" s="5222">
        <f t="shared" si="30"/>
        <v>9460.0078020000001</v>
      </c>
      <c r="AG34" s="5222">
        <f>+AG33/2</f>
        <v>171</v>
      </c>
      <c r="AH34" s="5222">
        <f>+AH33/2</f>
        <v>770.73810000000003</v>
      </c>
      <c r="AI34" s="5222">
        <f t="shared" si="31"/>
        <v>4466.5</v>
      </c>
      <c r="AJ34" s="5222">
        <f t="shared" si="32"/>
        <v>10230.745902000001</v>
      </c>
      <c r="AK34" s="5351">
        <f>+AK33/2</f>
        <v>171</v>
      </c>
      <c r="AL34" s="5351">
        <f>+AL33/2</f>
        <v>2474.9534060000001</v>
      </c>
      <c r="AM34" s="5222">
        <f t="shared" si="33"/>
        <v>513</v>
      </c>
      <c r="AN34" s="5222">
        <f t="shared" si="34"/>
        <v>3396.716723</v>
      </c>
      <c r="AO34" s="5222">
        <f t="shared" si="43"/>
        <v>4637.5</v>
      </c>
      <c r="AP34" s="5222">
        <f t="shared" si="44"/>
        <v>12705.699308000001</v>
      </c>
      <c r="AQ34" s="5351">
        <f>+AQ33/2</f>
        <v>171</v>
      </c>
      <c r="AR34" s="5351">
        <f>+AR33/2</f>
        <v>282.65548999999999</v>
      </c>
      <c r="AS34" s="5222">
        <f t="shared" si="35"/>
        <v>4808.5</v>
      </c>
      <c r="AT34" s="5222">
        <f t="shared" si="36"/>
        <v>12988.354798</v>
      </c>
      <c r="AU34" s="5351">
        <f>+AU33/2</f>
        <v>171</v>
      </c>
      <c r="AV34" s="5351">
        <f>+AV33/2</f>
        <v>500.17377599999998</v>
      </c>
      <c r="AW34" s="5222">
        <f t="shared" si="37"/>
        <v>4979.5</v>
      </c>
      <c r="AX34" s="5222">
        <f t="shared" si="38"/>
        <v>13488.528574</v>
      </c>
      <c r="AY34" s="5351">
        <f>+AY33/2</f>
        <v>171</v>
      </c>
      <c r="AZ34" s="5351">
        <f>+AZ33/2</f>
        <v>2746.7995179999998</v>
      </c>
      <c r="BA34" s="5222">
        <f t="shared" si="39"/>
        <v>513</v>
      </c>
      <c r="BB34" s="5222">
        <f t="shared" si="40"/>
        <v>3529.6287839999995</v>
      </c>
      <c r="BC34" s="5222">
        <f t="shared" si="45"/>
        <v>1026</v>
      </c>
      <c r="BD34" s="5222">
        <f t="shared" si="46"/>
        <v>6926.345507</v>
      </c>
      <c r="BE34" s="5222">
        <f t="shared" si="41"/>
        <v>5150.5</v>
      </c>
      <c r="BF34" s="5222">
        <f t="shared" si="41"/>
        <v>16235.328092</v>
      </c>
      <c r="BG34" s="5351">
        <v>4682.5</v>
      </c>
      <c r="BH34" s="5351">
        <v>12928.225632</v>
      </c>
      <c r="BI34" s="5222">
        <v>10780.549898167001</v>
      </c>
      <c r="BJ34" s="5222">
        <v>6798.4488249999995</v>
      </c>
      <c r="BK34" s="5222">
        <v>11464.867617107942</v>
      </c>
      <c r="BL34" s="5222">
        <v>8167.8919699999997</v>
      </c>
      <c r="BM34" s="5291">
        <v>17025.817718940933</v>
      </c>
      <c r="BN34" s="5292">
        <v>16273.539644999999</v>
      </c>
      <c r="BO34" s="3834"/>
      <c r="BP34" s="2990"/>
      <c r="BQ34" s="154"/>
      <c r="BR34" s="154"/>
      <c r="BS34" s="149"/>
      <c r="BU34" s="6601"/>
    </row>
    <row r="35" spans="1:73" ht="15" hidden="1" customHeight="1" x14ac:dyDescent="0.25">
      <c r="A35" s="154"/>
      <c r="B35" s="7390"/>
      <c r="C35" s="3313" t="s">
        <v>590</v>
      </c>
      <c r="D35" s="5222">
        <f>+D32+D34</f>
        <v>2777134.8857412599</v>
      </c>
      <c r="E35" s="5222">
        <f>+E32+E34</f>
        <v>237515.48158640199</v>
      </c>
      <c r="F35" s="5222">
        <f>+F32+F34</f>
        <v>209350.863419</v>
      </c>
      <c r="G35" s="5351">
        <f>+G32+G34</f>
        <v>245069.77809253999</v>
      </c>
      <c r="H35" s="5351">
        <f>+H32+H34</f>
        <v>238113.08423899999</v>
      </c>
      <c r="I35" s="5290">
        <f t="shared" si="23"/>
        <v>482585.25967894198</v>
      </c>
      <c r="J35" s="5290">
        <f t="shared" si="23"/>
        <v>447463.94765799999</v>
      </c>
      <c r="K35" s="5222">
        <f>+K32+K34</f>
        <v>140171.32075471699</v>
      </c>
      <c r="L35" s="5222">
        <f>+L32+L34</f>
        <v>148963.49809499999</v>
      </c>
      <c r="M35" s="5222">
        <f t="shared" si="24"/>
        <v>622756.58043365902</v>
      </c>
      <c r="N35" s="5222">
        <f t="shared" si="24"/>
        <v>596427.44575299998</v>
      </c>
      <c r="O35" s="5222">
        <f>+O32+O34</f>
        <v>66291.745283018899</v>
      </c>
      <c r="P35" s="5222">
        <f>+P32+P34</f>
        <v>234692.69667100001</v>
      </c>
      <c r="Q35" s="5222">
        <f t="shared" si="25"/>
        <v>689048.32571667794</v>
      </c>
      <c r="R35" s="5222">
        <f t="shared" si="25"/>
        <v>831120.14242399996</v>
      </c>
      <c r="S35" s="5222">
        <f>+S32+S34</f>
        <v>226227.603773585</v>
      </c>
      <c r="T35" s="5222">
        <f>+T32+T34</f>
        <v>231741.18028900001</v>
      </c>
      <c r="U35" s="5222">
        <f t="shared" si="26"/>
        <v>915275.92949026288</v>
      </c>
      <c r="V35" s="5222">
        <f t="shared" si="27"/>
        <v>1062861.322713</v>
      </c>
      <c r="W35" s="5222">
        <f>+W32+W34</f>
        <v>218680.43396226401</v>
      </c>
      <c r="X35" s="5222">
        <f>+X32+X34</f>
        <v>231593.65987199999</v>
      </c>
      <c r="Y35" s="5222">
        <f t="shared" si="28"/>
        <v>511199.78301886795</v>
      </c>
      <c r="Z35" s="5222">
        <f t="shared" si="28"/>
        <v>698027.53683200001</v>
      </c>
      <c r="AA35" s="5222">
        <f t="shared" si="42"/>
        <v>1133956.363452527</v>
      </c>
      <c r="AB35" s="5222">
        <f t="shared" si="42"/>
        <v>1294454.9825849999</v>
      </c>
      <c r="AC35" s="5351">
        <f>+AC32+AC34</f>
        <v>235661.56603773599</v>
      </c>
      <c r="AD35" s="5351">
        <f>+AD32+AD34</f>
        <v>222289.02521699999</v>
      </c>
      <c r="AE35" s="5222">
        <f t="shared" si="29"/>
        <v>1369617.9294902629</v>
      </c>
      <c r="AF35" s="5222">
        <f t="shared" si="30"/>
        <v>1516744.0078019998</v>
      </c>
      <c r="AG35" s="5222">
        <f>+AG32+AG34</f>
        <v>228114.396226415</v>
      </c>
      <c r="AH35" s="5222">
        <f>+AH32+AH34</f>
        <v>8705.7381000000005</v>
      </c>
      <c r="AI35" s="5222">
        <f t="shared" si="31"/>
        <v>1597732.3257166778</v>
      </c>
      <c r="AJ35" s="5222">
        <f t="shared" si="32"/>
        <v>1525449.7459019998</v>
      </c>
      <c r="AK35" s="5351">
        <f>+AK32+AK34</f>
        <v>235661.56603773599</v>
      </c>
      <c r="AL35" s="5351">
        <f>+AL32+AL34</f>
        <v>237404.95340599999</v>
      </c>
      <c r="AM35" s="5222">
        <f t="shared" si="33"/>
        <v>699437.52830188698</v>
      </c>
      <c r="AN35" s="5222">
        <f t="shared" si="34"/>
        <v>468399.71672299993</v>
      </c>
      <c r="AO35" s="5222">
        <f t="shared" si="43"/>
        <v>1833393.8917544137</v>
      </c>
      <c r="AP35" s="5222">
        <f t="shared" si="44"/>
        <v>1762854.6993079998</v>
      </c>
      <c r="AQ35" s="5351">
        <f>+AQ32+AQ34</f>
        <v>235661.56603773599</v>
      </c>
      <c r="AR35" s="5351">
        <f>+AR32+AR34</f>
        <v>246322.65549</v>
      </c>
      <c r="AS35" s="5222">
        <f t="shared" si="35"/>
        <v>2069055.4577921496</v>
      </c>
      <c r="AT35" s="5222">
        <f t="shared" si="36"/>
        <v>2009177.3547979998</v>
      </c>
      <c r="AU35" s="5351">
        <f>+AU32+AU34</f>
        <v>212076.660377358</v>
      </c>
      <c r="AV35" s="5351">
        <f>+AV32+AV34</f>
        <v>223395.17377600001</v>
      </c>
      <c r="AW35" s="5222">
        <f t="shared" si="37"/>
        <v>2281132.1181695075</v>
      </c>
      <c r="AX35" s="5222">
        <f t="shared" si="38"/>
        <v>2232572.5285739996</v>
      </c>
      <c r="AY35" s="5351">
        <f>+AY32+AY34</f>
        <v>235661.56603773599</v>
      </c>
      <c r="AZ35" s="5351">
        <f>+AZ32+AZ34</f>
        <v>246298.79951799999</v>
      </c>
      <c r="BA35" s="5222">
        <f t="shared" si="39"/>
        <v>683399.79245283001</v>
      </c>
      <c r="BB35" s="5222">
        <f t="shared" si="40"/>
        <v>716016.62878399994</v>
      </c>
      <c r="BC35" s="5222">
        <f t="shared" si="45"/>
        <v>1382837.3207547171</v>
      </c>
      <c r="BD35" s="5222">
        <f t="shared" si="46"/>
        <v>1184416.3455069999</v>
      </c>
      <c r="BE35" s="5222">
        <f t="shared" si="41"/>
        <v>2516793.6842072434</v>
      </c>
      <c r="BF35" s="5222">
        <f t="shared" si="41"/>
        <v>2478871.3280919995</v>
      </c>
      <c r="BG35" s="5351">
        <v>2494210.8018867923</v>
      </c>
      <c r="BH35" s="5351">
        <v>2449887.2256319998</v>
      </c>
      <c r="BI35" s="5222">
        <v>2630856.0215962785</v>
      </c>
      <c r="BJ35" s="5222">
        <v>2535723.4488249999</v>
      </c>
      <c r="BK35" s="5222">
        <v>2511464.8676171061</v>
      </c>
      <c r="BL35" s="5222">
        <v>2430492.1944699995</v>
      </c>
      <c r="BM35" s="5291">
        <v>2590026.6160532027</v>
      </c>
      <c r="BN35" s="5292">
        <v>2338989.5396449999</v>
      </c>
      <c r="BO35" s="3834"/>
      <c r="BP35" s="2990"/>
      <c r="BQ35" s="154"/>
      <c r="BR35" s="154"/>
      <c r="BS35" s="149"/>
      <c r="BU35" s="6601"/>
    </row>
    <row r="36" spans="1:73" ht="15" hidden="1" customHeight="1" thickBot="1" x14ac:dyDescent="0.3">
      <c r="A36" s="154"/>
      <c r="B36" s="7391"/>
      <c r="C36" s="2985"/>
      <c r="D36" s="5293">
        <f t="shared" ref="D36" si="47">+D35/(D31/365*D2)</f>
        <v>789.9686774971583</v>
      </c>
      <c r="E36" s="5293">
        <f t="shared" ref="E36:AJ36" si="48">+E35/(E31/365*E2)</f>
        <v>812.64670771500494</v>
      </c>
      <c r="F36" s="5293">
        <f t="shared" si="48"/>
        <v>724.01994644622903</v>
      </c>
      <c r="G36" s="7161">
        <f t="shared" ref="G36:H36" si="49">+G35/(G31/365*G2)</f>
        <v>814.8825190968206</v>
      </c>
      <c r="H36" s="7161">
        <f t="shared" si="49"/>
        <v>799.42672946489506</v>
      </c>
      <c r="I36" s="1070">
        <f t="shared" si="48"/>
        <v>813.75238109297538</v>
      </c>
      <c r="J36" s="1070">
        <f t="shared" si="48"/>
        <v>762.26283598469161</v>
      </c>
      <c r="K36" s="5293">
        <f t="shared" si="48"/>
        <v>480.12886707462184</v>
      </c>
      <c r="L36" s="5293">
        <f t="shared" si="48"/>
        <v>511.97435785946328</v>
      </c>
      <c r="M36" s="5293">
        <f t="shared" si="48"/>
        <v>703.69137026213741</v>
      </c>
      <c r="N36" s="5293">
        <f t="shared" si="48"/>
        <v>679.29879718907546</v>
      </c>
      <c r="O36" s="5293">
        <f t="shared" ref="O36:P36" si="50">+O35/(O31/365*O2)</f>
        <v>221.11383558715067</v>
      </c>
      <c r="P36" s="5293">
        <f t="shared" si="50"/>
        <v>780.59808898227641</v>
      </c>
      <c r="Q36" s="5293">
        <f t="shared" si="48"/>
        <v>581.56345018802324</v>
      </c>
      <c r="R36" s="5293">
        <f t="shared" si="48"/>
        <v>705.15362412993875</v>
      </c>
      <c r="S36" s="5293">
        <f t="shared" si="48"/>
        <v>759.30661140764448</v>
      </c>
      <c r="T36" s="5293">
        <f t="shared" si="48"/>
        <v>770.78121747298167</v>
      </c>
      <c r="U36" s="5293">
        <f t="shared" ref="U36:X36" si="51">+U35/(U31/365*U2)</f>
        <v>617.26166122517884</v>
      </c>
      <c r="V36" s="5293">
        <f t="shared" si="51"/>
        <v>718.49934860964333</v>
      </c>
      <c r="W36" s="5293">
        <f t="shared" si="51"/>
        <v>761.48023656006831</v>
      </c>
      <c r="X36" s="5293">
        <f t="shared" si="51"/>
        <v>795.29293304431258</v>
      </c>
      <c r="Y36" s="5293">
        <f t="shared" si="48"/>
        <v>576.89702721697745</v>
      </c>
      <c r="Z36" s="5293">
        <f t="shared" si="48"/>
        <v>782.08087540881343</v>
      </c>
      <c r="AA36" s="5293">
        <f t="shared" si="48"/>
        <v>640.68256759680594</v>
      </c>
      <c r="AB36" s="5293">
        <f t="shared" si="48"/>
        <v>731.12226940013204</v>
      </c>
      <c r="AC36" s="5293">
        <f t="shared" si="48"/>
        <v>795.73412401614883</v>
      </c>
      <c r="AD36" s="5293">
        <f t="shared" si="48"/>
        <v>739.55185266664535</v>
      </c>
      <c r="AE36" s="5293">
        <f t="shared" si="48"/>
        <v>662.89176523060291</v>
      </c>
      <c r="AF36" s="5293">
        <f t="shared" si="48"/>
        <v>732.34882674584208</v>
      </c>
      <c r="AG36" s="5293">
        <f t="shared" si="48"/>
        <v>797.75562539658404</v>
      </c>
      <c r="AH36" s="5293">
        <f t="shared" si="48"/>
        <v>29.828164897212055</v>
      </c>
      <c r="AI36" s="5293">
        <f t="shared" si="48"/>
        <v>679.30519210513353</v>
      </c>
      <c r="AJ36" s="5293">
        <f t="shared" si="48"/>
        <v>645.56836427812152</v>
      </c>
      <c r="AK36" s="5924">
        <f t="shared" ref="AK36:AL36" si="52">+AK35/(AK31/365*AK2)</f>
        <v>799.40215800758006</v>
      </c>
      <c r="AL36" s="5924">
        <f t="shared" si="52"/>
        <v>783.42260951459184</v>
      </c>
      <c r="AM36" s="5293">
        <f t="shared" ref="AM36:BF36" si="53">+AM35/(AM31/365*AM2)</f>
        <v>797.6264351018807</v>
      </c>
      <c r="AN36" s="5293">
        <f t="shared" si="53"/>
        <v>523.07889747208162</v>
      </c>
      <c r="AO36" s="5293">
        <f t="shared" si="53"/>
        <v>692.66631026207722</v>
      </c>
      <c r="AP36" s="5293">
        <f t="shared" si="53"/>
        <v>661.24790180319837</v>
      </c>
      <c r="AQ36" s="6081">
        <f t="shared" si="53"/>
        <v>801.24888548781723</v>
      </c>
      <c r="AR36" s="6081">
        <f t="shared" si="53"/>
        <v>812.39513195852544</v>
      </c>
      <c r="AS36" s="5293">
        <f t="shared" si="53"/>
        <v>703.51215393966368</v>
      </c>
      <c r="AT36" s="5293">
        <f t="shared" si="53"/>
        <v>676.69069341768454</v>
      </c>
      <c r="AU36" s="6182">
        <f t="shared" ref="AU36:AV36" si="54">+AU35/(AU31/365*AU2)</f>
        <v>800.86058845530192</v>
      </c>
      <c r="AV36" s="6182">
        <f t="shared" si="54"/>
        <v>821.47127169292764</v>
      </c>
      <c r="AW36" s="5293">
        <f t="shared" si="53"/>
        <v>711.63401697763777</v>
      </c>
      <c r="AX36" s="5293">
        <f t="shared" si="53"/>
        <v>688.83398231830859</v>
      </c>
      <c r="AY36" s="6397">
        <f t="shared" si="53"/>
        <v>804.50127296152823</v>
      </c>
      <c r="AZ36" s="6397">
        <f t="shared" si="53"/>
        <v>821.28851210997527</v>
      </c>
      <c r="BA36" s="5293">
        <f t="shared" si="53"/>
        <v>802.26722065252466</v>
      </c>
      <c r="BB36" s="5293">
        <f t="shared" si="53"/>
        <v>818.29190777807003</v>
      </c>
      <c r="BC36" s="5293">
        <f t="shared" si="53"/>
        <v>799.94403598855672</v>
      </c>
      <c r="BD36" s="5293">
        <f t="shared" si="53"/>
        <v>668.98436156557557</v>
      </c>
      <c r="BE36" s="5293">
        <f t="shared" si="53"/>
        <v>719.39222072523751</v>
      </c>
      <c r="BF36" s="5293">
        <f t="shared" si="53"/>
        <v>700.0483840982771</v>
      </c>
      <c r="BG36" s="7255">
        <v>712.17383164731029</v>
      </c>
      <c r="BH36" s="7255">
        <v>691.16367009719045</v>
      </c>
      <c r="BI36" s="5293">
        <v>729.20663969961981</v>
      </c>
      <c r="BJ36" s="5293">
        <v>695.16314963675404</v>
      </c>
      <c r="BK36" s="5293">
        <v>656.40621199671705</v>
      </c>
      <c r="BL36" s="5293">
        <v>639.11266207165545</v>
      </c>
      <c r="BM36" s="5294">
        <v>645.95904380418642</v>
      </c>
      <c r="BN36" s="5295">
        <v>585.39375718480824</v>
      </c>
      <c r="BO36" s="3835"/>
      <c r="BP36" s="2991"/>
      <c r="BQ36" s="154"/>
      <c r="BR36" s="154"/>
      <c r="BS36" s="149"/>
      <c r="BU36" s="6601"/>
    </row>
    <row r="37" spans="1:73" ht="15" customHeight="1" x14ac:dyDescent="0.25">
      <c r="D37" s="5210"/>
      <c r="E37" s="5210"/>
      <c r="F37" s="5210"/>
      <c r="G37" s="7151"/>
      <c r="H37" s="7151"/>
      <c r="I37" s="5210"/>
      <c r="J37" s="5210"/>
      <c r="K37" s="5210"/>
      <c r="L37" s="5210"/>
      <c r="M37" s="5210"/>
      <c r="N37" s="5210"/>
      <c r="O37" s="5210"/>
      <c r="P37" s="5210"/>
      <c r="Q37" s="5210"/>
      <c r="R37" s="5210"/>
      <c r="S37" s="5210"/>
      <c r="T37" s="5210"/>
      <c r="U37" s="5210"/>
      <c r="V37" s="5210"/>
      <c r="W37" s="5210"/>
      <c r="X37" s="5210"/>
      <c r="Y37" s="5210"/>
      <c r="Z37" s="5210"/>
      <c r="AA37" s="5210"/>
      <c r="AB37" s="5210"/>
      <c r="AC37" s="5339"/>
      <c r="AD37" s="5339"/>
      <c r="AE37" s="5210"/>
      <c r="AF37" s="5210"/>
      <c r="AG37" s="5210"/>
      <c r="AH37" s="5210"/>
      <c r="AI37" s="5210"/>
      <c r="AJ37" s="5210"/>
      <c r="AK37" s="5913"/>
      <c r="AL37" s="5913"/>
      <c r="AM37" s="5210"/>
      <c r="AN37" s="5210"/>
      <c r="AO37" s="5210"/>
      <c r="AP37" s="5210"/>
      <c r="AQ37" s="6068"/>
      <c r="AR37" s="6068"/>
      <c r="AS37" s="5210"/>
      <c r="AT37" s="5210"/>
      <c r="AU37" s="6173"/>
      <c r="AV37" s="6173"/>
      <c r="AW37" s="5210"/>
      <c r="AX37" s="5210"/>
      <c r="AY37" s="6485"/>
      <c r="AZ37" s="6485"/>
      <c r="BA37" s="6485"/>
      <c r="BB37" s="6485"/>
      <c r="BC37" s="6485"/>
      <c r="BD37" s="6485"/>
      <c r="BE37" s="6485"/>
      <c r="BF37" s="6485"/>
      <c r="BG37" s="7254"/>
      <c r="BH37" s="7254"/>
      <c r="BI37" s="5210"/>
      <c r="BJ37" s="5210"/>
      <c r="BK37" s="5210"/>
      <c r="BL37" s="5210"/>
      <c r="BM37" s="5210"/>
      <c r="BN37" s="5210"/>
      <c r="BU37" s="6601"/>
    </row>
    <row r="38" spans="1:73" ht="19.5" hidden="1" customHeight="1" thickBot="1" x14ac:dyDescent="0.25">
      <c r="A38" s="93"/>
      <c r="B38" s="2994" t="s">
        <v>711</v>
      </c>
      <c r="C38" s="2986" t="s">
        <v>354</v>
      </c>
      <c r="D38" s="5194">
        <f>+(D16*D32)/1000</f>
        <v>2933429.8789999941</v>
      </c>
      <c r="E38" s="5194">
        <f>+(E16*E32)/1000</f>
        <v>251099.99999999971</v>
      </c>
      <c r="F38" s="88">
        <f>+SMS!F15</f>
        <v>219393.565</v>
      </c>
      <c r="G38" s="7148">
        <f>+(G16*G32)/1000</f>
        <v>259099.99999999985</v>
      </c>
      <c r="H38" s="88">
        <f>+SMS!H15</f>
        <v>252686.9</v>
      </c>
      <c r="I38" s="5198">
        <f>+(I16*I32)/1000</f>
        <v>510199.99999999959</v>
      </c>
      <c r="J38" s="43">
        <f>+SMS!J15</f>
        <v>472080.46499999997</v>
      </c>
      <c r="K38" s="5194">
        <f>+(K16*K32)/1000</f>
        <v>148060.1886792453</v>
      </c>
      <c r="L38" s="88">
        <f>+SMS!L15</f>
        <v>153381.25</v>
      </c>
      <c r="M38" s="5200">
        <f>+(M16*M32)/1000</f>
        <v>658260.18867924483</v>
      </c>
      <c r="N38" s="73">
        <f>+SMS!N15</f>
        <v>625461.71500000008</v>
      </c>
      <c r="O38" s="5194">
        <f>+(O16*O32)/1000</f>
        <v>67436.320754717002</v>
      </c>
      <c r="P38" s="88">
        <f>+SMS!P15</f>
        <v>248296.54</v>
      </c>
      <c r="Q38" s="5198">
        <f>+(Q16*Q32)/1000</f>
        <v>725696.50943396194</v>
      </c>
      <c r="R38" s="43">
        <f>+SMS!R15</f>
        <v>873758.25500000012</v>
      </c>
      <c r="S38" s="5194">
        <f>+(S16*S32)/1000</f>
        <v>239393.94339622653</v>
      </c>
      <c r="T38" s="88">
        <f>+SMS!T15</f>
        <v>243694.68</v>
      </c>
      <c r="U38" s="5198">
        <f>+(U16*U32)/1000</f>
        <v>965090.45283018844</v>
      </c>
      <c r="V38" s="43">
        <f>+SMS!V15</f>
        <v>1117452.9350000001</v>
      </c>
      <c r="W38" s="5194">
        <f>+(W16*W32)/1000</f>
        <v>231401.4905660376</v>
      </c>
      <c r="X38" s="88">
        <f>+SMS!X15</f>
        <v>244527.55</v>
      </c>
      <c r="Y38" s="618">
        <f>+O38+S38+W38</f>
        <v>538231.7547169812</v>
      </c>
      <c r="Z38" s="618">
        <f>+P38+T38+X38</f>
        <v>736518.77</v>
      </c>
      <c r="AA38" s="1052">
        <f>+M38+Y38</f>
        <v>1196491.943396226</v>
      </c>
      <c r="AB38" s="1052">
        <f>+N38+Z38</f>
        <v>1361980.4850000001</v>
      </c>
      <c r="AC38" s="5329">
        <f>+(AC16*AC32)/1000</f>
        <v>249384.5094339624</v>
      </c>
      <c r="AD38" s="88">
        <f>+SMS!AD15</f>
        <v>235736.8</v>
      </c>
      <c r="AE38" s="5198">
        <f>+(AE16*AE32)/1000</f>
        <v>1445876.4528301882</v>
      </c>
      <c r="AF38" s="43">
        <f>+SMS!AF15</f>
        <v>1597717.2850000001</v>
      </c>
      <c r="AG38" s="5194">
        <f>+(AG16*AG32)/1000</f>
        <v>241392.05660377347</v>
      </c>
      <c r="AH38" s="88">
        <f>+SMS!AH15</f>
        <v>8398.2000000000007</v>
      </c>
      <c r="AI38" s="5198">
        <f>+(AI16*AI32)/1000</f>
        <v>1687268.5094339619</v>
      </c>
      <c r="AJ38" s="43">
        <f>+SMS!AJ15</f>
        <v>1606115.4850000001</v>
      </c>
      <c r="AK38" s="5901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5198">
        <f>+(AO16*AO32)/1000</f>
        <v>1936653.0188679241</v>
      </c>
      <c r="AP38" s="43">
        <f>+SMS!AP15</f>
        <v>1855507.2350000001</v>
      </c>
      <c r="AQ38" s="6059">
        <f>+(AQ16*AQ32)/1000</f>
        <v>249384.5094339624</v>
      </c>
      <c r="AR38" s="88">
        <f>+SMS!AR15</f>
        <v>261382.3</v>
      </c>
      <c r="AS38" s="5198">
        <f>+(AS16*AS32)/1000</f>
        <v>2186037.5283018867</v>
      </c>
      <c r="AT38" s="43">
        <f>+SMS!AT15</f>
        <v>2116889.5350000001</v>
      </c>
      <c r="AU38" s="6166">
        <f>+(AU16*AU32)/1000</f>
        <v>224408.0943396221</v>
      </c>
      <c r="AV38" s="88">
        <f>+SMS!AV15</f>
        <v>236601.12</v>
      </c>
      <c r="AW38" s="5198">
        <f>+(AW16*AW32)/1000</f>
        <v>2410445.6226415085</v>
      </c>
      <c r="AX38" s="43">
        <f>+SMS!AX15</f>
        <v>2353490.6550000003</v>
      </c>
      <c r="AY38" s="6381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52">
        <f>+AM38+BA38</f>
        <v>1463338.1886792453</v>
      </c>
      <c r="BD38" s="1052">
        <f>+AN38+BB38</f>
        <v>1248966.345</v>
      </c>
      <c r="BE38" s="373">
        <f t="shared" ref="BE38:BF41" si="57">+AW38+AY38</f>
        <v>2659830.1320754709</v>
      </c>
      <c r="BF38" s="373">
        <f t="shared" si="57"/>
        <v>2610946.83</v>
      </c>
      <c r="BG38" s="1828">
        <v>2638900</v>
      </c>
      <c r="BH38" s="1828">
        <v>2582070.1407999997</v>
      </c>
      <c r="BI38" s="1828">
        <v>2777279.9999999977</v>
      </c>
      <c r="BJ38" s="1828">
        <v>2695862.83</v>
      </c>
      <c r="BK38" s="1828">
        <v>2655000</v>
      </c>
      <c r="BL38" s="1828">
        <v>2574868</v>
      </c>
      <c r="BM38" s="1828">
        <v>2611100.4700000002</v>
      </c>
      <c r="BN38" s="1828">
        <v>2366123.2121212119</v>
      </c>
      <c r="BO38" s="2976"/>
      <c r="BP38" s="2977"/>
      <c r="BQ38" s="2823"/>
      <c r="BR38" s="1828"/>
      <c r="BS38" s="1828"/>
      <c r="BU38" s="6601"/>
    </row>
    <row r="39" spans="1:73" ht="19.5" hidden="1" customHeight="1" thickBot="1" x14ac:dyDescent="0.25">
      <c r="A39" s="93"/>
      <c r="B39" s="5677" t="s">
        <v>281</v>
      </c>
      <c r="C39" s="5678" t="s">
        <v>354</v>
      </c>
      <c r="D39" s="5658">
        <f>+(D17*D32)/1000</f>
        <v>105259.99565816787</v>
      </c>
      <c r="E39" s="5658">
        <f>+(E17*E32)/1000</f>
        <v>9010.1983002832749</v>
      </c>
      <c r="F39" s="5679">
        <f>+SMS!F19</f>
        <v>7695.9</v>
      </c>
      <c r="G39" s="7152">
        <f>+(G17*G32)/1000</f>
        <v>9297.261567516518</v>
      </c>
      <c r="H39" s="5679">
        <f>+SMS!H19</f>
        <v>6670.7999999999993</v>
      </c>
      <c r="I39" s="5655">
        <f>+(I17*I32)/1000</f>
        <v>18307.459867799796</v>
      </c>
      <c r="J39" s="5131">
        <f>+SMS!J19</f>
        <v>14366.699999999999</v>
      </c>
      <c r="K39" s="5658">
        <f>+(K17*K32)/1000</f>
        <v>5312.8301886792451</v>
      </c>
      <c r="L39" s="5679">
        <f>+SMS!L19</f>
        <v>5196.3999999999996</v>
      </c>
      <c r="M39" s="5656">
        <f>+(M17*M32)/1000</f>
        <v>23620.290056479043</v>
      </c>
      <c r="N39" s="5680">
        <f>+SMS!N19</f>
        <v>19563.099999999999</v>
      </c>
      <c r="O39" s="5658">
        <f>+(O17*O32)/1000</f>
        <v>2419.8113207547181</v>
      </c>
      <c r="P39" s="5679">
        <f>+SMS!P19</f>
        <v>8993.6</v>
      </c>
      <c r="Q39" s="5655">
        <f>+(Q17*Q32)/1000</f>
        <v>26040.101377233761</v>
      </c>
      <c r="R39" s="5131">
        <f>+SMS!R19</f>
        <v>28556.699999999997</v>
      </c>
      <c r="S39" s="5658">
        <f>+(S17*S32)/1000</f>
        <v>8590.1509433962292</v>
      </c>
      <c r="T39" s="5679">
        <f>+SMS!T19</f>
        <v>10216.4</v>
      </c>
      <c r="U39" s="5655">
        <f>+(U17*U32)/1000</f>
        <v>34630.252320629988</v>
      </c>
      <c r="V39" s="5131">
        <f>+SMS!V19</f>
        <v>38773.1</v>
      </c>
      <c r="W39" s="5658">
        <f>+(W17*W32)/1000</f>
        <v>8303.3584905660318</v>
      </c>
      <c r="X39" s="5679">
        <f>+SMS!X19</f>
        <v>8507.6</v>
      </c>
      <c r="Y39" s="5402">
        <f t="shared" ref="Y39:Y46" si="58">+O39+S39+W39</f>
        <v>19313.32075471698</v>
      </c>
      <c r="Z39" s="5402">
        <f t="shared" ref="Z39:Z46" si="59">+P39+T39+X39</f>
        <v>27717.599999999999</v>
      </c>
      <c r="AA39" s="5681">
        <f t="shared" ref="AA39:AB46" si="60">+M39+Y39</f>
        <v>42933.61081119602</v>
      </c>
      <c r="AB39" s="5681">
        <f t="shared" si="60"/>
        <v>47280.7</v>
      </c>
      <c r="AC39" s="5658">
        <f>+(AC17*AC32)/1000</f>
        <v>8948.6415094339682</v>
      </c>
      <c r="AD39" s="5679">
        <f>+SMS!AD19</f>
        <v>7554.5</v>
      </c>
      <c r="AE39" s="5655">
        <f>+(AE17*AE32)/1000</f>
        <v>51882.252320629988</v>
      </c>
      <c r="AF39" s="5131">
        <f>+SMS!AF19</f>
        <v>54835.199999999997</v>
      </c>
      <c r="AG39" s="5658">
        <f>+(AG17*AG32)/1000</f>
        <v>8661.8490566037708</v>
      </c>
      <c r="AH39" s="5679">
        <f>+SMS!AH19</f>
        <v>326.2</v>
      </c>
      <c r="AI39" s="5655">
        <f>+(AI17*AI32)/1000</f>
        <v>60544.101377233761</v>
      </c>
      <c r="AJ39" s="5131">
        <f>+SMS!AJ19</f>
        <v>55161.399999999994</v>
      </c>
      <c r="AK39" s="5914">
        <f>+(AK17*AK32)/1000</f>
        <v>8948.6415094339682</v>
      </c>
      <c r="AL39" s="5679">
        <f>+SMS!AL19</f>
        <v>8846.2000000000007</v>
      </c>
      <c r="AM39" s="5402">
        <f t="shared" ref="AM39:AM41" si="61">+AC39+AG39+AK39</f>
        <v>26559.132075471709</v>
      </c>
      <c r="AN39" s="5402">
        <f t="shared" ref="AN39:AN41" si="62">+AD39+AH39+AL39</f>
        <v>16726.900000000001</v>
      </c>
      <c r="AO39" s="5655">
        <f>+(AO17*AO32)/1000</f>
        <v>69492.742886667722</v>
      </c>
      <c r="AP39" s="5131">
        <f>+SMS!AP19</f>
        <v>64007.599999999991</v>
      </c>
      <c r="AQ39" s="6069">
        <f>+(AQ17*AQ32)/1000</f>
        <v>8948.6415094339682</v>
      </c>
      <c r="AR39" s="5679">
        <f>+SMS!AR19</f>
        <v>9232.5</v>
      </c>
      <c r="AS39" s="5655">
        <f>+(AS17*AS32)/1000</f>
        <v>78441.384396101683</v>
      </c>
      <c r="AT39" s="5131">
        <f>+SMS!AT19</f>
        <v>73240.099999999991</v>
      </c>
      <c r="AU39" s="6174">
        <f>+(AU17*AU32)/1000</f>
        <v>8052.4150943396035</v>
      </c>
      <c r="AV39" s="5679">
        <f>+SMS!AV19</f>
        <v>7958.2</v>
      </c>
      <c r="AW39" s="5655">
        <f>+(AW17*AW32)/1000</f>
        <v>86493.799490441277</v>
      </c>
      <c r="AX39" s="5131">
        <f>+SMS!AX19</f>
        <v>81198.299999999988</v>
      </c>
      <c r="AY39" s="6389">
        <f>+(AY17*AY32)/1000</f>
        <v>8948.6415094339682</v>
      </c>
      <c r="AZ39" s="5679">
        <f>+SMS!AZ19</f>
        <v>9343.2000000000007</v>
      </c>
      <c r="BA39" s="5402">
        <f t="shared" si="55"/>
        <v>25949.698113207538</v>
      </c>
      <c r="BB39" s="5402">
        <f t="shared" si="56"/>
        <v>26533.9</v>
      </c>
      <c r="BC39" s="5682">
        <f t="shared" ref="BC39:BC46" si="63">+AM39+BA39</f>
        <v>52508.830188679247</v>
      </c>
      <c r="BD39" s="5682">
        <f t="shared" ref="BD39:BD46" si="64">+AN39+BB39</f>
        <v>43260.800000000003</v>
      </c>
      <c r="BE39" s="5403">
        <f t="shared" si="57"/>
        <v>95442.440999875253</v>
      </c>
      <c r="BF39" s="5403">
        <f t="shared" si="57"/>
        <v>90541.499999999985</v>
      </c>
      <c r="BG39" s="5683">
        <v>99581.132075471687</v>
      </c>
      <c r="BH39" s="5683">
        <v>91824.999999999985</v>
      </c>
      <c r="BI39" s="5683">
        <v>104803.01886792443</v>
      </c>
      <c r="BJ39" s="5683">
        <v>87073.52</v>
      </c>
      <c r="BK39" s="5683">
        <v>121081.638418079</v>
      </c>
      <c r="BL39" s="5683">
        <v>93275</v>
      </c>
      <c r="BM39" s="5683">
        <v>128650.03991671308</v>
      </c>
      <c r="BN39" s="5683">
        <v>101615.76000000001</v>
      </c>
      <c r="BO39" s="2973"/>
      <c r="BP39" s="2978"/>
      <c r="BQ39" s="1101"/>
      <c r="BR39" s="1827"/>
      <c r="BS39" s="1827"/>
      <c r="BU39" s="6601"/>
    </row>
    <row r="40" spans="1:73" ht="19.5" hidden="1" customHeight="1" thickBot="1" x14ac:dyDescent="0.25">
      <c r="A40" s="93"/>
      <c r="B40" s="2994" t="s">
        <v>83</v>
      </c>
      <c r="C40" s="2986" t="s">
        <v>354</v>
      </c>
      <c r="D40" s="1128">
        <f>+(D48*'Maj Production Summ'!D$18)/1000</f>
        <v>4535.1330768625012</v>
      </c>
      <c r="E40" s="1128">
        <f>+(E48*'Maj Production Summ'!E$18)/1000</f>
        <v>388.20492139678475</v>
      </c>
      <c r="F40" s="277">
        <f>+SMS!F55</f>
        <v>365</v>
      </c>
      <c r="G40" s="1128">
        <f>+(G48*'Maj Production Summ'!G$18)/1000</f>
        <v>400.57305907569491</v>
      </c>
      <c r="H40" s="277">
        <f>+SMS!H55</f>
        <v>297</v>
      </c>
      <c r="I40" s="713">
        <f>+(I48*'Maj Production Summ'!I$18)/1000</f>
        <v>788.77798047247973</v>
      </c>
      <c r="J40" s="43">
        <f>+SMS!J55</f>
        <v>662</v>
      </c>
      <c r="K40" s="1128">
        <f>+(K48*'Maj Production Summ'!K$18)/1000</f>
        <v>228.90359979378579</v>
      </c>
      <c r="L40" s="277">
        <f>+SMS!L55</f>
        <v>92</v>
      </c>
      <c r="M40" s="714">
        <f>+(M48*'Maj Production Summ'!M$18)/1000</f>
        <v>1017.6815802662657</v>
      </c>
      <c r="N40" s="73">
        <f>+SMS!N55</f>
        <v>754</v>
      </c>
      <c r="O40" s="1128">
        <f>+(O48*'Maj Production Summ'!O$18)/1000</f>
        <v>104.25771245668386</v>
      </c>
      <c r="P40" s="277">
        <f>+SMS!P55</f>
        <v>248</v>
      </c>
      <c r="Q40" s="713">
        <f>+(Q48*'Maj Production Summ'!Q$18)/1000</f>
        <v>1121.9392927229496</v>
      </c>
      <c r="R40" s="43">
        <f>+SMS!R55</f>
        <v>1002</v>
      </c>
      <c r="S40" s="1128">
        <f>+(S48*'Maj Production Summ'!S$18)/1000</f>
        <v>370.10715642771237</v>
      </c>
      <c r="T40" s="277">
        <f>+SMS!T55</f>
        <v>276</v>
      </c>
      <c r="U40" s="713">
        <f>+(U48*'Maj Production Summ'!U$18)/1000</f>
        <v>1492.0464491506616</v>
      </c>
      <c r="V40" s="43">
        <f>+SMS!V55</f>
        <v>1278</v>
      </c>
      <c r="W40" s="1128">
        <f>+(W48*'Maj Production Summ'!W$18)/1000</f>
        <v>357.75068680321613</v>
      </c>
      <c r="X40" s="277">
        <f>+SMS!X55</f>
        <v>314</v>
      </c>
      <c r="Y40" s="618">
        <f t="shared" si="58"/>
        <v>832.11555568761241</v>
      </c>
      <c r="Z40" s="618">
        <f t="shared" si="59"/>
        <v>838</v>
      </c>
      <c r="AA40" s="1052">
        <f t="shared" si="60"/>
        <v>1849.7971359538781</v>
      </c>
      <c r="AB40" s="1052">
        <f t="shared" si="60"/>
        <v>1592</v>
      </c>
      <c r="AC40" s="1128">
        <f>+(AC48*'Maj Production Summ'!AC$18)/1000</f>
        <v>385.55274345833226</v>
      </c>
      <c r="AD40" s="277">
        <f>+SMS!AD55</f>
        <v>291</v>
      </c>
      <c r="AE40" s="713">
        <f>+(AE48*'Maj Production Summ'!AE$18)/1000</f>
        <v>2235.3498794122102</v>
      </c>
      <c r="AF40" s="43">
        <f>+SMS!AF55</f>
        <v>1883</v>
      </c>
      <c r="AG40" s="1128">
        <f>+(AG48*'Maj Production Summ'!AG$18)/1000</f>
        <v>373.19627383383602</v>
      </c>
      <c r="AH40" s="277">
        <f>+SMS!AH55</f>
        <v>2</v>
      </c>
      <c r="AI40" s="713">
        <f>+(AI48*'Maj Production Summ'!AI$18)/1000</f>
        <v>2608.5461532460458</v>
      </c>
      <c r="AJ40" s="43">
        <f>+SMS!AJ55</f>
        <v>1885</v>
      </c>
      <c r="AK40" s="1128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3">
        <f>+(AO48*'Maj Production Summ'!AO$18)/1000</f>
        <v>2994.0988967043781</v>
      </c>
      <c r="AP40" s="43">
        <f>+SMS!AP55</f>
        <v>2306</v>
      </c>
      <c r="AQ40" s="1128">
        <f>+(AQ48*'Maj Production Summ'!AQ$18)/1000</f>
        <v>385.55274345833226</v>
      </c>
      <c r="AR40" s="277">
        <f>+SMS!AR55</f>
        <v>443</v>
      </c>
      <c r="AS40" s="713">
        <f>+(AS48*'Maj Production Summ'!AS$18)/1000</f>
        <v>3379.65164016271</v>
      </c>
      <c r="AT40" s="43">
        <f>+SMS!AT55</f>
        <v>2749</v>
      </c>
      <c r="AU40" s="1128">
        <f>+(AU48*'Maj Production Summ'!AU$18)/1000</f>
        <v>346.93877588178162</v>
      </c>
      <c r="AV40" s="277">
        <f>+SMS!AV55</f>
        <v>330</v>
      </c>
      <c r="AW40" s="713">
        <f>+(AW48*'Maj Production Summ'!AW$18)/1000</f>
        <v>3726.590416044492</v>
      </c>
      <c r="AX40" s="43">
        <f>+SMS!AX55</f>
        <v>3079</v>
      </c>
      <c r="AY40" s="1128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52">
        <f t="shared" si="63"/>
        <v>2262.3460235489465</v>
      </c>
      <c r="BD40" s="1052">
        <f t="shared" si="64"/>
        <v>1815</v>
      </c>
      <c r="BE40" s="373">
        <f t="shared" si="57"/>
        <v>4112.1431595028243</v>
      </c>
      <c r="BF40" s="373">
        <f t="shared" si="57"/>
        <v>3407</v>
      </c>
      <c r="BG40" s="1828">
        <v>4107.721698113206</v>
      </c>
      <c r="BH40" s="1828">
        <v>3222</v>
      </c>
      <c r="BI40" s="1828">
        <v>3385.0942571672449</v>
      </c>
      <c r="BJ40" s="1828">
        <v>4727</v>
      </c>
      <c r="BK40" s="1828">
        <v>4499.9999999999973</v>
      </c>
      <c r="BL40" s="1828">
        <v>4569.84</v>
      </c>
      <c r="BM40" s="1828">
        <v>6693.3528167707818</v>
      </c>
      <c r="BN40" s="5684">
        <v>4136</v>
      </c>
      <c r="BO40" s="5670"/>
      <c r="BP40" s="2978"/>
      <c r="BQ40" s="1101"/>
      <c r="BR40" s="1827"/>
      <c r="BS40" s="1827"/>
      <c r="BU40" s="6601"/>
    </row>
    <row r="41" spans="1:73" ht="18.75" hidden="1" customHeight="1" x14ac:dyDescent="0.25">
      <c r="A41" s="93"/>
      <c r="B41" s="2995" t="s">
        <v>838</v>
      </c>
      <c r="C41" s="5685" t="s">
        <v>354</v>
      </c>
      <c r="D41" s="5652">
        <f>+(D49*'Maj Production Summ'!D$18)/1000</f>
        <v>2327.1482664991559</v>
      </c>
      <c r="E41" s="5652">
        <f>+(E49*'Maj Production Summ'!E$18)/1000</f>
        <v>199.20262417083617</v>
      </c>
      <c r="F41" s="181">
        <f>+SMS!F56</f>
        <v>105</v>
      </c>
      <c r="G41" s="7149">
        <f>+(G49*'Maj Production Summ'!G$18)/1000</f>
        <v>205.54918328420422</v>
      </c>
      <c r="H41" s="181">
        <f>+SMS!H56</f>
        <v>178</v>
      </c>
      <c r="I41" s="5653">
        <v>0</v>
      </c>
      <c r="J41" s="39">
        <f>+SMS!J56</f>
        <v>283</v>
      </c>
      <c r="K41" s="5652">
        <f>+(K49*'Maj Production Summ'!K$18)/1000</f>
        <v>117.45909247365523</v>
      </c>
      <c r="L41" s="181">
        <f>+SMS!L56</f>
        <v>64</v>
      </c>
      <c r="M41" s="5654">
        <v>0</v>
      </c>
      <c r="N41" s="69">
        <f>+SMS!N56</f>
        <v>347</v>
      </c>
      <c r="O41" s="5652">
        <f>+(O49*'Maj Production Summ'!O$18)/1000</f>
        <v>53.498574507231652</v>
      </c>
      <c r="P41" s="181">
        <f>+SMS!P56</f>
        <v>205</v>
      </c>
      <c r="Q41" s="5653">
        <v>0</v>
      </c>
      <c r="R41" s="39">
        <f>+SMS!R56</f>
        <v>552</v>
      </c>
      <c r="S41" s="5652">
        <f>+(S49*'Maj Production Summ'!S$18)/1000</f>
        <v>189.91597664330143</v>
      </c>
      <c r="T41" s="181">
        <f>+SMS!T56</f>
        <v>120</v>
      </c>
      <c r="U41" s="5653">
        <v>0</v>
      </c>
      <c r="V41" s="39">
        <f>+SMS!V56</f>
        <v>672</v>
      </c>
      <c r="W41" s="5652">
        <f>+(W49*'Maj Production Summ'!W$18)/1000</f>
        <v>183.57540484985157</v>
      </c>
      <c r="X41" s="181">
        <f>+SMS!X56</f>
        <v>191</v>
      </c>
      <c r="Y41" s="5639">
        <f t="shared" si="58"/>
        <v>426.98995600038467</v>
      </c>
      <c r="Z41" s="5639">
        <f t="shared" si="59"/>
        <v>516</v>
      </c>
      <c r="AA41" s="5686">
        <f t="shared" si="60"/>
        <v>426.98995600038467</v>
      </c>
      <c r="AB41" s="5686">
        <f t="shared" si="60"/>
        <v>863</v>
      </c>
      <c r="AC41" s="5652">
        <f>+(AC49*'Maj Production Summ'!AC$18)/1000</f>
        <v>197.84169138511356</v>
      </c>
      <c r="AD41" s="181">
        <f>+SMS!AD56</f>
        <v>155</v>
      </c>
      <c r="AE41" s="5653">
        <v>0</v>
      </c>
      <c r="AF41" s="39">
        <f>+SMS!AF56</f>
        <v>1018</v>
      </c>
      <c r="AG41" s="5652"/>
      <c r="AH41" s="181">
        <f>+SMS!AH56</f>
        <v>9</v>
      </c>
      <c r="AI41" s="5653">
        <v>0</v>
      </c>
      <c r="AJ41" s="39">
        <f>+SMS!AJ56</f>
        <v>1027</v>
      </c>
      <c r="AK41" s="5902"/>
      <c r="AL41" s="181">
        <f>+SMS!AL56</f>
        <v>123</v>
      </c>
      <c r="AM41" s="5639">
        <f t="shared" si="61"/>
        <v>197.84169138511356</v>
      </c>
      <c r="AN41" s="5639">
        <f t="shared" si="62"/>
        <v>287</v>
      </c>
      <c r="AO41" s="5653">
        <v>0</v>
      </c>
      <c r="AP41" s="39">
        <f>+SMS!AP56</f>
        <v>1150</v>
      </c>
      <c r="AQ41" s="6060"/>
      <c r="AR41" s="181">
        <f>+SMS!AR56</f>
        <v>116</v>
      </c>
      <c r="AS41" s="5653">
        <v>0</v>
      </c>
      <c r="AT41" s="39">
        <f>+SMS!AT56</f>
        <v>1266</v>
      </c>
      <c r="AU41" s="6167"/>
      <c r="AV41" s="181">
        <f>+SMS!AV56</f>
        <v>149</v>
      </c>
      <c r="AW41" s="5653">
        <v>0</v>
      </c>
      <c r="AX41" s="39">
        <f>+SMS!AX56</f>
        <v>1415</v>
      </c>
      <c r="AY41" s="6382"/>
      <c r="AZ41" s="181">
        <f>+SMS!AZ56</f>
        <v>78</v>
      </c>
      <c r="BA41" s="5639">
        <f t="shared" si="55"/>
        <v>0</v>
      </c>
      <c r="BB41" s="5639">
        <f t="shared" si="56"/>
        <v>343</v>
      </c>
      <c r="BC41" s="1052">
        <f t="shared" si="63"/>
        <v>197.84169138511356</v>
      </c>
      <c r="BD41" s="1052">
        <f t="shared" si="64"/>
        <v>630</v>
      </c>
      <c r="BE41" s="5637">
        <f t="shared" si="57"/>
        <v>0</v>
      </c>
      <c r="BF41" s="5637">
        <f t="shared" si="57"/>
        <v>1493</v>
      </c>
      <c r="BG41" s="5687">
        <v>0</v>
      </c>
      <c r="BH41" s="5687">
        <v>1433</v>
      </c>
      <c r="BI41" s="5687">
        <v>0</v>
      </c>
      <c r="BJ41" s="5687">
        <v>1668.3050000000001</v>
      </c>
      <c r="BK41" s="5687">
        <v>0</v>
      </c>
      <c r="BL41" s="5687">
        <v>1122.0419999999999</v>
      </c>
      <c r="BM41" s="5687">
        <v>0</v>
      </c>
      <c r="BN41" s="1102">
        <v>968.33999999999992</v>
      </c>
      <c r="BO41" s="5670"/>
      <c r="BP41" s="2978"/>
      <c r="BQ41" s="1101"/>
      <c r="BR41" s="1827"/>
      <c r="BS41" s="1827"/>
      <c r="BU41" s="6601"/>
    </row>
    <row r="42" spans="1:73" ht="19.5" hidden="1" customHeight="1" thickBot="1" x14ac:dyDescent="0.25">
      <c r="A42" s="842"/>
      <c r="B42" s="2996" t="s">
        <v>880</v>
      </c>
      <c r="C42" s="5688" t="s">
        <v>354</v>
      </c>
      <c r="D42" s="5659">
        <f>SUM(D40:D41)</f>
        <v>6862.2813433616575</v>
      </c>
      <c r="E42" s="5659">
        <f>SUM(E40:E41)</f>
        <v>587.4075455676209</v>
      </c>
      <c r="F42" s="1144">
        <f t="shared" ref="F42:H42" si="65">SUM(F40:F41)</f>
        <v>470</v>
      </c>
      <c r="G42" s="7159">
        <f>SUM(G40:G41)</f>
        <v>606.12224235989913</v>
      </c>
      <c r="H42" s="1144">
        <f t="shared" si="65"/>
        <v>475</v>
      </c>
      <c r="I42" s="2114">
        <f t="shared" ref="I42:R42" si="66">SUM(I40:I41)</f>
        <v>788.77798047247973</v>
      </c>
      <c r="J42" s="2115">
        <f t="shared" si="66"/>
        <v>945</v>
      </c>
      <c r="K42" s="5659">
        <f>SUM(K40:K41)</f>
        <v>346.36269226744105</v>
      </c>
      <c r="L42" s="1144">
        <f t="shared" ref="L42" si="67">SUM(L40:L41)</f>
        <v>156</v>
      </c>
      <c r="M42" s="2106">
        <f t="shared" si="66"/>
        <v>1017.6815802662657</v>
      </c>
      <c r="N42" s="2107">
        <f t="shared" si="66"/>
        <v>1101</v>
      </c>
      <c r="O42" s="5659">
        <f>SUM(O40:O41)</f>
        <v>157.7562869639155</v>
      </c>
      <c r="P42" s="1144">
        <f t="shared" ref="P42" si="68">SUM(P40:P41)</f>
        <v>453</v>
      </c>
      <c r="Q42" s="2114">
        <f t="shared" si="66"/>
        <v>1121.9392927229496</v>
      </c>
      <c r="R42" s="2115">
        <f t="shared" si="66"/>
        <v>1554</v>
      </c>
      <c r="S42" s="5659">
        <f>SUM(S40:S41)</f>
        <v>560.02313307101383</v>
      </c>
      <c r="T42" s="1144">
        <f t="shared" ref="T42:V42" si="69">SUM(T40:T41)</f>
        <v>396</v>
      </c>
      <c r="U42" s="2114">
        <f t="shared" si="69"/>
        <v>1492.0464491506616</v>
      </c>
      <c r="V42" s="2115">
        <f t="shared" si="69"/>
        <v>1950</v>
      </c>
      <c r="W42" s="5659">
        <f>SUM(W40:W41)</f>
        <v>541.32609165306769</v>
      </c>
      <c r="X42" s="1144">
        <f t="shared" ref="X42" si="70">SUM(X40:X41)</f>
        <v>505</v>
      </c>
      <c r="Y42" s="5689">
        <f t="shared" ref="Y42:AF42" si="71">SUM(Y40:Y41)</f>
        <v>1259.105511687997</v>
      </c>
      <c r="Z42" s="5689">
        <f t="shared" si="71"/>
        <v>1354</v>
      </c>
      <c r="AA42" s="5690">
        <f t="shared" si="71"/>
        <v>2276.7870919542629</v>
      </c>
      <c r="AB42" s="5690">
        <f t="shared" si="71"/>
        <v>2455</v>
      </c>
      <c r="AC42" s="5659">
        <f>SUM(AC40:AC41)</f>
        <v>583.39443484344588</v>
      </c>
      <c r="AD42" s="1144">
        <f t="shared" ref="AD42" si="72">SUM(AD40:AD41)</f>
        <v>446</v>
      </c>
      <c r="AE42" s="2114">
        <f t="shared" si="71"/>
        <v>2235.3498794122102</v>
      </c>
      <c r="AF42" s="2115">
        <f t="shared" si="71"/>
        <v>2901</v>
      </c>
      <c r="AG42" s="5659">
        <f t="shared" ref="AG42:AH42" si="73">SUM(AG40:AG41)</f>
        <v>373.19627383383602</v>
      </c>
      <c r="AH42" s="1144">
        <f t="shared" si="73"/>
        <v>11</v>
      </c>
      <c r="AI42" s="2114">
        <f t="shared" ref="AI42:AN42" si="74">SUM(AI40:AI41)</f>
        <v>2608.5461532460458</v>
      </c>
      <c r="AJ42" s="2115">
        <f t="shared" si="74"/>
        <v>2912</v>
      </c>
      <c r="AK42" s="5919">
        <f t="shared" si="74"/>
        <v>385.55274345833226</v>
      </c>
      <c r="AL42" s="1144">
        <f t="shared" si="74"/>
        <v>544</v>
      </c>
      <c r="AM42" s="5689">
        <f t="shared" si="74"/>
        <v>1342.1434521356141</v>
      </c>
      <c r="AN42" s="5689">
        <f t="shared" si="74"/>
        <v>1001</v>
      </c>
      <c r="AO42" s="2114">
        <f t="shared" ref="AO42:AT42" si="75">SUM(AO40:AO41)</f>
        <v>2994.0988967043781</v>
      </c>
      <c r="AP42" s="2115">
        <f t="shared" si="75"/>
        <v>3456</v>
      </c>
      <c r="AQ42" s="6074">
        <f t="shared" si="75"/>
        <v>385.55274345833226</v>
      </c>
      <c r="AR42" s="1144">
        <f t="shared" si="75"/>
        <v>559</v>
      </c>
      <c r="AS42" s="2114">
        <f t="shared" si="75"/>
        <v>3379.65164016271</v>
      </c>
      <c r="AT42" s="2115">
        <f t="shared" si="75"/>
        <v>4015</v>
      </c>
      <c r="AU42" s="6178">
        <f t="shared" ref="AU42:AV42" si="76">SUM(AU40:AU41)</f>
        <v>346.93877588178162</v>
      </c>
      <c r="AV42" s="1144">
        <f t="shared" si="76"/>
        <v>479</v>
      </c>
      <c r="AW42" s="2114">
        <f t="shared" ref="AW42:AZ42" si="77">SUM(AW40:AW41)</f>
        <v>3726.590416044492</v>
      </c>
      <c r="AX42" s="2115">
        <f t="shared" si="77"/>
        <v>4494</v>
      </c>
      <c r="AY42" s="6393">
        <f t="shared" si="77"/>
        <v>385.55274345833226</v>
      </c>
      <c r="AZ42" s="1144">
        <f t="shared" si="77"/>
        <v>406</v>
      </c>
      <c r="BA42" s="5689">
        <f t="shared" ref="BA42:BD42" si="78">SUM(BA40:BA41)</f>
        <v>1118.0442627984462</v>
      </c>
      <c r="BB42" s="5689">
        <f t="shared" si="78"/>
        <v>1444</v>
      </c>
      <c r="BC42" s="5690">
        <f t="shared" si="78"/>
        <v>2460.1877149340598</v>
      </c>
      <c r="BD42" s="5690">
        <f t="shared" si="78"/>
        <v>2445</v>
      </c>
      <c r="BE42" s="5691">
        <f t="shared" ref="BE42:BF42" si="79">SUM(BE40:BE41)</f>
        <v>4112.1431595028243</v>
      </c>
      <c r="BF42" s="5691">
        <f t="shared" si="79"/>
        <v>4900</v>
      </c>
      <c r="BG42" s="5692">
        <v>4107.721698113206</v>
      </c>
      <c r="BH42" s="5692">
        <v>4655</v>
      </c>
      <c r="BI42" s="5692">
        <v>3385.0942571672449</v>
      </c>
      <c r="BJ42" s="5692">
        <v>6395.3050000000003</v>
      </c>
      <c r="BK42" s="5692">
        <v>4499.9999999999973</v>
      </c>
      <c r="BL42" s="5692">
        <v>5691.8819999999996</v>
      </c>
      <c r="BM42" s="5692">
        <v>6693.3528167707818</v>
      </c>
      <c r="BN42" s="2084">
        <v>5104.34</v>
      </c>
      <c r="BO42" s="5671"/>
      <c r="BP42" s="2083"/>
      <c r="BQ42" s="2824"/>
      <c r="BR42" s="1496"/>
      <c r="BS42" s="1496"/>
      <c r="BU42" s="6601"/>
    </row>
    <row r="43" spans="1:73" ht="19.5" hidden="1" customHeight="1" thickBot="1" x14ac:dyDescent="0.25">
      <c r="A43" s="93"/>
      <c r="B43" s="2995" t="s">
        <v>84</v>
      </c>
      <c r="C43" s="5685" t="s">
        <v>354</v>
      </c>
      <c r="D43" s="5652">
        <f>+(D51*'Maj Production Summ'!D$18)/1000</f>
        <v>48123.1193885826</v>
      </c>
      <c r="E43" s="5652">
        <f>+(E51*'Maj Production Summ'!E$18)/1000</f>
        <v>4119.3128102289647</v>
      </c>
      <c r="F43" s="181">
        <f>+SMS!F58</f>
        <v>3332</v>
      </c>
      <c r="G43" s="7149">
        <f>+(G51*'Maj Production Summ'!G$18)/1000</f>
        <v>4250.5533617296896</v>
      </c>
      <c r="H43" s="181">
        <f>+SMS!H58</f>
        <v>3570</v>
      </c>
      <c r="I43" s="5653">
        <f>+(I51*'Maj Production Summ'!I$18)/1000</f>
        <v>8369.8661719586544</v>
      </c>
      <c r="J43" s="39">
        <f>+SMS!J58</f>
        <v>6902</v>
      </c>
      <c r="K43" s="5652">
        <f>+(K51*'Maj Production Summ'!K$18)/1000</f>
        <v>2428.9376021956723</v>
      </c>
      <c r="L43" s="181">
        <f>+SMS!L58</f>
        <v>2088</v>
      </c>
      <c r="M43" s="5654">
        <f>+(M51*'Maj Production Summ'!M$18)/1000</f>
        <v>10798.803774154328</v>
      </c>
      <c r="N43" s="69">
        <f>+SMS!N58</f>
        <v>8990</v>
      </c>
      <c r="O43" s="5652">
        <f>+(O51*'Maj Production Summ'!O$18)/1000</f>
        <v>1106.2974908785961</v>
      </c>
      <c r="P43" s="181">
        <f>+SMS!P58</f>
        <v>3644.44</v>
      </c>
      <c r="Q43" s="5653">
        <f>+(Q51*'Maj Production Summ'!Q$18)/1000</f>
        <v>11905.101265032925</v>
      </c>
      <c r="R43" s="39">
        <f>+SMS!R58</f>
        <v>12634.44</v>
      </c>
      <c r="S43" s="5652">
        <f>+(S51*'Maj Production Summ'!S$18)/1000</f>
        <v>3927.2741446567284</v>
      </c>
      <c r="T43" s="181">
        <f>+SMS!T58</f>
        <v>3948</v>
      </c>
      <c r="U43" s="5653">
        <f>+(U51*'Maj Production Summ'!U$18)/1000</f>
        <v>15832.375409689652</v>
      </c>
      <c r="V43" s="39">
        <f>+SMS!V58</f>
        <v>16582.440000000002</v>
      </c>
      <c r="W43" s="5652">
        <f>+(W51*'Maj Production Summ'!W$18)/1000</f>
        <v>3796.1574049970391</v>
      </c>
      <c r="X43" s="181">
        <f>+SMS!X58</f>
        <v>3673</v>
      </c>
      <c r="Y43" s="5639">
        <f t="shared" si="58"/>
        <v>8829.7290405323638</v>
      </c>
      <c r="Z43" s="5639">
        <f t="shared" si="59"/>
        <v>11265.44</v>
      </c>
      <c r="AA43" s="5686">
        <f t="shared" si="60"/>
        <v>19628.532814686692</v>
      </c>
      <c r="AB43" s="5686">
        <f t="shared" si="60"/>
        <v>20255.440000000002</v>
      </c>
      <c r="AC43" s="5652">
        <f>+(AC51*'Maj Production Summ'!AC$18)/1000</f>
        <v>4091.1700692313361</v>
      </c>
      <c r="AD43" s="181">
        <f>+SMS!AD58</f>
        <v>3276</v>
      </c>
      <c r="AE43" s="5653">
        <f>+(AE51*'Maj Production Summ'!AE$18)/1000</f>
        <v>23719.702883918028</v>
      </c>
      <c r="AF43" s="39">
        <f>+SMS!AF58</f>
        <v>23531.440000000002</v>
      </c>
      <c r="AG43" s="5652">
        <f>+(AG51*'Maj Production Summ'!AG$18)/1000</f>
        <v>3960.0533295716468</v>
      </c>
      <c r="AH43" s="181">
        <f>+SMS!AH58</f>
        <v>110</v>
      </c>
      <c r="AI43" s="5653">
        <f>+(AI51*'Maj Production Summ'!AI$18)/1000</f>
        <v>27679.756213489673</v>
      </c>
      <c r="AJ43" s="39">
        <f>+SMS!AJ58</f>
        <v>23641.440000000002</v>
      </c>
      <c r="AK43" s="5902">
        <f>+(AK51*'Maj Production Summ'!AK$18)/1000</f>
        <v>4091.1700692313361</v>
      </c>
      <c r="AL43" s="181">
        <f>+SMS!AL58</f>
        <v>3928</v>
      </c>
      <c r="AM43" s="5639">
        <f t="shared" ref="AM43" si="80">+AC43+AG43+AK43</f>
        <v>12142.393468034319</v>
      </c>
      <c r="AN43" s="5639">
        <f t="shared" ref="AN43" si="81">+AD43+AH43+AL43</f>
        <v>7314</v>
      </c>
      <c r="AO43" s="5653">
        <f>+(AO51*'Maj Production Summ'!AO$18)/1000</f>
        <v>31770.926282721004</v>
      </c>
      <c r="AP43" s="39">
        <f>+SMS!AP58</f>
        <v>27569.440000000002</v>
      </c>
      <c r="AQ43" s="6060">
        <f>+(AQ51*'Maj Production Summ'!AQ$18)/1000</f>
        <v>4091.1700692313361</v>
      </c>
      <c r="AR43" s="181">
        <f>+SMS!AR58</f>
        <v>4040</v>
      </c>
      <c r="AS43" s="5653">
        <f>+(AS51*'Maj Production Summ'!AS$18)/1000</f>
        <v>35862.096351952343</v>
      </c>
      <c r="AT43" s="39">
        <f>+SMS!AT58</f>
        <v>31609.440000000002</v>
      </c>
      <c r="AU43" s="6167">
        <f>+(AU51*'Maj Production Summ'!AU$18)/1000</f>
        <v>3681.4302577948083</v>
      </c>
      <c r="AV43" s="181">
        <f>+SMS!AV58</f>
        <v>3626</v>
      </c>
      <c r="AW43" s="5653">
        <f>+(AW51*'Maj Production Summ'!AW$18)/1000</f>
        <v>39543.526609747147</v>
      </c>
      <c r="AX43" s="39">
        <f>+SMS!AX58</f>
        <v>35235.440000000002</v>
      </c>
      <c r="AY43" s="6382">
        <f>+(AY51*'Maj Production Summ'!AY$18)/1000</f>
        <v>4091.1700692313361</v>
      </c>
      <c r="AZ43" s="181">
        <f>+SMS!AZ58</f>
        <v>4060</v>
      </c>
      <c r="BA43" s="5639">
        <f>+AQ43+AU43+AY43</f>
        <v>11863.770396257481</v>
      </c>
      <c r="BB43" s="5639">
        <f>+AR43+AV43+AZ43</f>
        <v>11726</v>
      </c>
      <c r="BC43" s="1052">
        <f t="shared" si="63"/>
        <v>24006.163864291801</v>
      </c>
      <c r="BD43" s="1052">
        <f t="shared" si="64"/>
        <v>19040</v>
      </c>
      <c r="BE43" s="5637">
        <f>+AW43+AY43</f>
        <v>43634.696678978486</v>
      </c>
      <c r="BF43" s="5637">
        <f>+AX43+AZ43</f>
        <v>39295.440000000002</v>
      </c>
      <c r="BG43" s="5687">
        <v>45682.844339622636</v>
      </c>
      <c r="BH43" s="5687">
        <v>39439.440000000002</v>
      </c>
      <c r="BI43" s="5687">
        <v>44076.080225204008</v>
      </c>
      <c r="BJ43" s="5687">
        <v>45680</v>
      </c>
      <c r="BK43" s="5687">
        <v>39999.999999999971</v>
      </c>
      <c r="BL43" s="5687">
        <v>44647.62</v>
      </c>
      <c r="BM43" s="5687">
        <v>42007.865963932476</v>
      </c>
      <c r="BN43" s="1102">
        <v>36347</v>
      </c>
      <c r="BO43" s="5670"/>
      <c r="BP43" s="2978"/>
      <c r="BQ43" s="1101"/>
      <c r="BR43" s="1827"/>
      <c r="BS43" s="1827"/>
      <c r="BU43" s="6601"/>
    </row>
    <row r="44" spans="1:73" ht="18.75" hidden="1" customHeight="1" x14ac:dyDescent="0.25">
      <c r="A44" s="93"/>
      <c r="B44" s="2995" t="s">
        <v>1587</v>
      </c>
      <c r="C44" s="5685" t="s">
        <v>354</v>
      </c>
      <c r="D44" s="5652"/>
      <c r="E44" s="5652"/>
      <c r="F44" s="181">
        <f>+SMS!F59</f>
        <v>0</v>
      </c>
      <c r="G44" s="7149"/>
      <c r="H44" s="181">
        <f>+SMS!H59</f>
        <v>0</v>
      </c>
      <c r="I44" s="5653"/>
      <c r="J44" s="39">
        <f>+SMS!J59</f>
        <v>0</v>
      </c>
      <c r="K44" s="5652"/>
      <c r="L44" s="181">
        <f>+SMS!L59</f>
        <v>0</v>
      </c>
      <c r="M44" s="5654"/>
      <c r="N44" s="69">
        <f>+SMS!N59</f>
        <v>0</v>
      </c>
      <c r="O44" s="5652"/>
      <c r="P44" s="181">
        <f>+SMS!P59</f>
        <v>0</v>
      </c>
      <c r="Q44" s="5653"/>
      <c r="R44" s="39">
        <f>+SMS!R59</f>
        <v>0</v>
      </c>
      <c r="S44" s="5652"/>
      <c r="T44" s="181">
        <f>+SMS!T59</f>
        <v>0</v>
      </c>
      <c r="U44" s="5653"/>
      <c r="V44" s="39">
        <f>+SMS!V59</f>
        <v>0</v>
      </c>
      <c r="W44" s="5652"/>
      <c r="X44" s="181">
        <f>+SMS!X59</f>
        <v>0</v>
      </c>
      <c r="Y44" s="5639"/>
      <c r="Z44" s="5639">
        <f>P44+T44+X44</f>
        <v>0</v>
      </c>
      <c r="AA44" s="5686"/>
      <c r="AB44" s="5686">
        <f t="shared" si="60"/>
        <v>0</v>
      </c>
      <c r="AC44" s="5652"/>
      <c r="AD44" s="181">
        <f>+SMS!AD59</f>
        <v>0</v>
      </c>
      <c r="AE44" s="5653"/>
      <c r="AF44" s="39">
        <f>+SMS!AF59</f>
        <v>0</v>
      </c>
      <c r="AG44" s="5652"/>
      <c r="AH44" s="181">
        <f>+SMS!AH59</f>
        <v>0</v>
      </c>
      <c r="AI44" s="5653"/>
      <c r="AJ44" s="39">
        <f>+SMS!AJ59</f>
        <v>0</v>
      </c>
      <c r="AK44" s="5902"/>
      <c r="AL44" s="181">
        <f>+SMS!AL59</f>
        <v>0</v>
      </c>
      <c r="AM44" s="5639"/>
      <c r="AN44" s="5639">
        <f>AD44+AH44+AL44</f>
        <v>0</v>
      </c>
      <c r="AO44" s="5653"/>
      <c r="AP44" s="39">
        <f>+SMS!AP59</f>
        <v>0</v>
      </c>
      <c r="AQ44" s="6060"/>
      <c r="AR44" s="181">
        <f>+SMS!AR59</f>
        <v>0</v>
      </c>
      <c r="AS44" s="5653"/>
      <c r="AT44" s="39">
        <f>+SMS!AT59</f>
        <v>0</v>
      </c>
      <c r="AU44" s="6167"/>
      <c r="AV44" s="181">
        <f>+SMS!AV59</f>
        <v>0</v>
      </c>
      <c r="AW44" s="5653"/>
      <c r="AX44" s="39">
        <f>+SMS!AX59</f>
        <v>0</v>
      </c>
      <c r="AY44" s="6382"/>
      <c r="AZ44" s="181">
        <f>+SMS!AZ59</f>
        <v>0</v>
      </c>
      <c r="BA44" s="5639"/>
      <c r="BB44" s="5639">
        <f>+SMS!BB59</f>
        <v>0</v>
      </c>
      <c r="BC44" s="1052"/>
      <c r="BD44" s="1052">
        <f>+SMS!BD59</f>
        <v>0</v>
      </c>
      <c r="BE44" s="5637"/>
      <c r="BF44" s="5637">
        <f>+SMS!BF59</f>
        <v>0</v>
      </c>
      <c r="BG44" s="5687"/>
      <c r="BH44" s="5687">
        <v>0</v>
      </c>
      <c r="BI44" s="5687"/>
      <c r="BJ44" s="5687">
        <v>25.81</v>
      </c>
      <c r="BK44" s="5687"/>
      <c r="BL44" s="5687"/>
      <c r="BM44" s="5687"/>
      <c r="BN44" s="1102"/>
      <c r="BO44" s="5670"/>
      <c r="BP44" s="2978"/>
      <c r="BQ44" s="1101"/>
      <c r="BR44" s="1827"/>
      <c r="BS44" s="1827"/>
      <c r="BU44" s="6601"/>
    </row>
    <row r="45" spans="1:73" ht="18.75" hidden="1" customHeight="1" x14ac:dyDescent="0.25">
      <c r="A45" s="842"/>
      <c r="B45" s="2996" t="s">
        <v>1588</v>
      </c>
      <c r="C45" s="5685" t="s">
        <v>354</v>
      </c>
      <c r="D45" s="5660">
        <f>SUM(D43:D44)</f>
        <v>48123.1193885826</v>
      </c>
      <c r="E45" s="5660">
        <f>SUM(E43:E44)</f>
        <v>4119.3128102289647</v>
      </c>
      <c r="F45" s="1144">
        <f>SUM(F43:F44)</f>
        <v>3332</v>
      </c>
      <c r="G45" s="7160">
        <f>SUM(G43:G44)</f>
        <v>4250.5533617296896</v>
      </c>
      <c r="H45" s="1144">
        <f>SUM(H43:H44)</f>
        <v>3570</v>
      </c>
      <c r="I45" s="2114">
        <f t="shared" ref="I45:R45" si="82">SUM(I43:I44)</f>
        <v>8369.8661719586544</v>
      </c>
      <c r="J45" s="2115">
        <f t="shared" si="82"/>
        <v>6902</v>
      </c>
      <c r="K45" s="5660">
        <f>SUM(K43:K44)</f>
        <v>2428.9376021956723</v>
      </c>
      <c r="L45" s="1144">
        <f>SUM(L43:L44)</f>
        <v>2088</v>
      </c>
      <c r="M45" s="2106">
        <f t="shared" si="82"/>
        <v>10798.803774154328</v>
      </c>
      <c r="N45" s="2107">
        <f t="shared" si="82"/>
        <v>8990</v>
      </c>
      <c r="O45" s="5660">
        <f>SUM(O43:O44)</f>
        <v>1106.2974908785961</v>
      </c>
      <c r="P45" s="1144">
        <f>SUM(P43:P44)</f>
        <v>3644.44</v>
      </c>
      <c r="Q45" s="2114">
        <f t="shared" si="82"/>
        <v>11905.101265032925</v>
      </c>
      <c r="R45" s="2115">
        <f t="shared" si="82"/>
        <v>12634.44</v>
      </c>
      <c r="S45" s="5660">
        <f>SUM(S43:S44)</f>
        <v>3927.2741446567284</v>
      </c>
      <c r="T45" s="1144">
        <f>SUM(T43:T44)</f>
        <v>3948</v>
      </c>
      <c r="U45" s="2114">
        <f t="shared" ref="U45:V45" si="83">SUM(U43:U44)</f>
        <v>15832.375409689652</v>
      </c>
      <c r="V45" s="2115">
        <f t="shared" si="83"/>
        <v>16582.440000000002</v>
      </c>
      <c r="W45" s="5660">
        <f t="shared" ref="W45:AB45" si="84">SUM(W43:W44)</f>
        <v>3796.1574049970391</v>
      </c>
      <c r="X45" s="1144">
        <f t="shared" si="84"/>
        <v>3673</v>
      </c>
      <c r="Y45" s="5689">
        <f t="shared" si="84"/>
        <v>8829.7290405323638</v>
      </c>
      <c r="Z45" s="5689">
        <f t="shared" si="84"/>
        <v>11265.44</v>
      </c>
      <c r="AA45" s="5690">
        <f t="shared" si="84"/>
        <v>19628.532814686692</v>
      </c>
      <c r="AB45" s="5690">
        <f t="shared" si="84"/>
        <v>20255.440000000002</v>
      </c>
      <c r="AC45" s="5660">
        <f t="shared" ref="AC45:AD45" si="85">SUM(AC43:AC44)</f>
        <v>4091.1700692313361</v>
      </c>
      <c r="AD45" s="1144">
        <f t="shared" si="85"/>
        <v>3276</v>
      </c>
      <c r="AE45" s="2114">
        <f t="shared" ref="AE45:AF45" si="86">SUM(AE43:AE44)</f>
        <v>23719.702883918028</v>
      </c>
      <c r="AF45" s="2115">
        <f t="shared" si="86"/>
        <v>23531.440000000002</v>
      </c>
      <c r="AG45" s="5660">
        <f t="shared" ref="AG45:AH45" si="87">SUM(AG43:AG44)</f>
        <v>3960.0533295716468</v>
      </c>
      <c r="AH45" s="1144">
        <f t="shared" si="87"/>
        <v>110</v>
      </c>
      <c r="AI45" s="2114">
        <f t="shared" ref="AI45:AL45" si="88">SUM(AI43:AI44)</f>
        <v>27679.756213489673</v>
      </c>
      <c r="AJ45" s="2115">
        <f t="shared" si="88"/>
        <v>23641.440000000002</v>
      </c>
      <c r="AK45" s="5921">
        <f t="shared" si="88"/>
        <v>4091.1700692313361</v>
      </c>
      <c r="AL45" s="1144">
        <f t="shared" si="88"/>
        <v>3928</v>
      </c>
      <c r="AM45" s="5689">
        <f>SUM(AM43:AM44)</f>
        <v>12142.393468034319</v>
      </c>
      <c r="AN45" s="5689">
        <f>SUM(AN43:AN44)</f>
        <v>7314</v>
      </c>
      <c r="AO45" s="2114">
        <f t="shared" ref="AO45:AT45" si="89">SUM(AO43:AO44)</f>
        <v>31770.926282721004</v>
      </c>
      <c r="AP45" s="2115">
        <f t="shared" si="89"/>
        <v>27569.440000000002</v>
      </c>
      <c r="AQ45" s="6077">
        <f t="shared" si="89"/>
        <v>4091.1700692313361</v>
      </c>
      <c r="AR45" s="1144">
        <f t="shared" si="89"/>
        <v>4040</v>
      </c>
      <c r="AS45" s="2114">
        <f t="shared" si="89"/>
        <v>35862.096351952343</v>
      </c>
      <c r="AT45" s="2115">
        <f t="shared" si="89"/>
        <v>31609.440000000002</v>
      </c>
      <c r="AU45" s="6181">
        <f t="shared" ref="AU45:AV45" si="90">SUM(AU43:AU44)</f>
        <v>3681.4302577948083</v>
      </c>
      <c r="AV45" s="1144">
        <f t="shared" si="90"/>
        <v>3626</v>
      </c>
      <c r="AW45" s="2114">
        <f t="shared" ref="AW45:AZ45" si="91">SUM(AW43:AW44)</f>
        <v>39543.526609747147</v>
      </c>
      <c r="AX45" s="2115">
        <f t="shared" si="91"/>
        <v>35235.440000000002</v>
      </c>
      <c r="AY45" s="6396">
        <f t="shared" si="91"/>
        <v>4091.1700692313361</v>
      </c>
      <c r="AZ45" s="1144">
        <f t="shared" si="91"/>
        <v>4060</v>
      </c>
      <c r="BA45" s="5689">
        <f t="shared" ref="BA45:BF45" si="92">SUM(BA43:BA44)</f>
        <v>11863.770396257481</v>
      </c>
      <c r="BB45" s="5689">
        <f t="shared" si="92"/>
        <v>11726</v>
      </c>
      <c r="BC45" s="5690">
        <f t="shared" si="92"/>
        <v>24006.163864291801</v>
      </c>
      <c r="BD45" s="5690">
        <f t="shared" si="92"/>
        <v>19040</v>
      </c>
      <c r="BE45" s="5691">
        <f t="shared" si="92"/>
        <v>43634.696678978486</v>
      </c>
      <c r="BF45" s="5691">
        <f t="shared" si="92"/>
        <v>39295.440000000002</v>
      </c>
      <c r="BG45" s="5692">
        <v>45682.844339622636</v>
      </c>
      <c r="BH45" s="5692">
        <v>39439.440000000002</v>
      </c>
      <c r="BI45" s="5692">
        <v>44076.080225204008</v>
      </c>
      <c r="BJ45" s="5692">
        <v>45705.81</v>
      </c>
      <c r="BK45" s="5692"/>
      <c r="BL45" s="5692"/>
      <c r="BM45" s="5692"/>
      <c r="BN45" s="2084"/>
      <c r="BO45" s="5671"/>
      <c r="BP45" s="2083"/>
      <c r="BQ45" s="2824"/>
      <c r="BR45" s="1496"/>
      <c r="BS45" s="1496"/>
      <c r="BU45" s="6601"/>
    </row>
    <row r="46" spans="1:73" ht="18.75" hidden="1" customHeight="1" x14ac:dyDescent="0.25">
      <c r="A46" s="93"/>
      <c r="B46" s="2996" t="s">
        <v>85</v>
      </c>
      <c r="C46" s="5688" t="s">
        <v>354</v>
      </c>
      <c r="D46" s="5660">
        <f>+(D54*'Maj Production Summ'!D$18)/1000</f>
        <v>6002.4946899136239</v>
      </c>
      <c r="E46" s="5660">
        <f>+(E54*'Maj Production Summ'!E$18)/1000</f>
        <v>513.81027630056133</v>
      </c>
      <c r="F46" s="1144">
        <f>+SMS!F61</f>
        <v>467</v>
      </c>
      <c r="G46" s="7160">
        <f>+(G54*'Maj Production Summ'!G$18)/1000</f>
        <v>530.18017757656514</v>
      </c>
      <c r="H46" s="1144">
        <f>+SMS!H61</f>
        <v>551</v>
      </c>
      <c r="I46" s="2114">
        <f>+(I54*'Maj Production Summ'!I$18)/1000</f>
        <v>1043.9904538771264</v>
      </c>
      <c r="J46" s="2115">
        <f>+SMS!J61</f>
        <v>1018</v>
      </c>
      <c r="K46" s="5660">
        <f>+(K54*'Maj Production Summ'!K$18)/1000</f>
        <v>302.96633394821328</v>
      </c>
      <c r="L46" s="1144">
        <f>+SMS!L61</f>
        <v>293</v>
      </c>
      <c r="M46" s="2106">
        <f>+(M54*'Maj Production Summ'!M$18)/1000</f>
        <v>1346.9567878253397</v>
      </c>
      <c r="N46" s="2107">
        <f>+SMS!N61</f>
        <v>1311</v>
      </c>
      <c r="O46" s="5660">
        <f>+(O54*'Maj Production Summ'!O$18)/1000</f>
        <v>137.99073914645348</v>
      </c>
      <c r="P46" s="1144">
        <f>+SMS!P61</f>
        <v>513</v>
      </c>
      <c r="Q46" s="2114">
        <f>+(Q54*'Maj Production Summ'!Q$18)/1000</f>
        <v>1484.9475269717932</v>
      </c>
      <c r="R46" s="2115">
        <f>+SMS!R61</f>
        <v>1824</v>
      </c>
      <c r="S46" s="5660">
        <f>+(S54*'Maj Production Summ'!S$18)/1000</f>
        <v>489.85690243367668</v>
      </c>
      <c r="T46" s="1144">
        <f>+SMS!T61</f>
        <v>562</v>
      </c>
      <c r="U46" s="2114">
        <f>+(U54*'Maj Production Summ'!U$18)/1000</f>
        <v>1974.8044294054698</v>
      </c>
      <c r="V46" s="2115">
        <f>+SMS!V61</f>
        <v>2386</v>
      </c>
      <c r="W46" s="5660">
        <f>+(W54*'Maj Production Summ'!W$18)/1000</f>
        <v>473.50244446076317</v>
      </c>
      <c r="X46" s="1144">
        <f>+SMS!X61</f>
        <v>581.40700000000004</v>
      </c>
      <c r="Y46" s="5689">
        <f t="shared" si="58"/>
        <v>1101.3500860408933</v>
      </c>
      <c r="Z46" s="5689">
        <f t="shared" si="59"/>
        <v>1656.4070000000002</v>
      </c>
      <c r="AA46" s="5690">
        <f t="shared" si="60"/>
        <v>2448.3068738662332</v>
      </c>
      <c r="AB46" s="5690">
        <f t="shared" si="60"/>
        <v>2967.4070000000002</v>
      </c>
      <c r="AC46" s="5660">
        <f>+(AC54*'Maj Production Summ'!AC$18)/1000</f>
        <v>510.2999748998181</v>
      </c>
      <c r="AD46" s="1144">
        <f>+SMS!AD61</f>
        <v>614</v>
      </c>
      <c r="AE46" s="2114">
        <f>+(AE54*'Maj Production Summ'!AE$18)/1000</f>
        <v>2958.6068487660514</v>
      </c>
      <c r="AF46" s="2115">
        <f>+SMS!AF61</f>
        <v>3581.4070000000002</v>
      </c>
      <c r="AG46" s="5660">
        <f>+(AG54*'Maj Production Summ'!AG$18)/1000</f>
        <v>493.94551692690453</v>
      </c>
      <c r="AH46" s="1144">
        <f>+SMS!AH61</f>
        <v>19</v>
      </c>
      <c r="AI46" s="2114">
        <f>+(AI54*'Maj Production Summ'!AI$18)/1000</f>
        <v>3452.5523656929554</v>
      </c>
      <c r="AJ46" s="2115">
        <f>+SMS!AJ61</f>
        <v>3600.4070000000002</v>
      </c>
      <c r="AK46" s="5921">
        <f>+(AK54*'Maj Production Summ'!AK$18)/1000</f>
        <v>510.2999748998181</v>
      </c>
      <c r="AL46" s="1144">
        <f>+SMS!AL61</f>
        <v>538</v>
      </c>
      <c r="AM46" s="5689">
        <f t="shared" ref="AM46" si="93">+AC46+AG46+AK46</f>
        <v>1514.5454667265408</v>
      </c>
      <c r="AN46" s="5689">
        <f t="shared" ref="AN46" si="94">+AD46+AH46+AL46</f>
        <v>1171</v>
      </c>
      <c r="AO46" s="2114">
        <f>+(AO54*'Maj Production Summ'!AO$18)/1000</f>
        <v>3962.8523405927735</v>
      </c>
      <c r="AP46" s="2115">
        <f>+SMS!AP61</f>
        <v>4138.4070000000002</v>
      </c>
      <c r="AQ46" s="6077">
        <f>+(AQ54*'Maj Production Summ'!AQ$18)/1000</f>
        <v>510.2999748998181</v>
      </c>
      <c r="AR46" s="1144">
        <f>+SMS!AR61</f>
        <v>540</v>
      </c>
      <c r="AS46" s="2114">
        <f>+(AS54*'Maj Production Summ'!AS$18)/1000</f>
        <v>4473.1523154925908</v>
      </c>
      <c r="AT46" s="2115">
        <f>+SMS!AT61</f>
        <v>4678.4070000000002</v>
      </c>
      <c r="AU46" s="6181">
        <f>+(AU54*'Maj Production Summ'!AU$18)/1000</f>
        <v>459.19229373446359</v>
      </c>
      <c r="AV46" s="1144">
        <f>+SMS!AV61</f>
        <v>495</v>
      </c>
      <c r="AW46" s="2114">
        <f>+(AW54*'Maj Production Summ'!AW$18)/1000</f>
        <v>4932.3446092270551</v>
      </c>
      <c r="AX46" s="2115">
        <f>+SMS!AX61</f>
        <v>5173.4070000000002</v>
      </c>
      <c r="AY46" s="6396">
        <f>+(AY54*'Maj Production Summ'!AY$18)/1000</f>
        <v>510.2999748998181</v>
      </c>
      <c r="AZ46" s="1144">
        <f>+SMS!AZ61</f>
        <v>510</v>
      </c>
      <c r="BA46" s="5689">
        <f>+AQ46+AU46+AY46</f>
        <v>1479.7922435340997</v>
      </c>
      <c r="BB46" s="5689">
        <f>+AR46+AV46+AZ46</f>
        <v>1545</v>
      </c>
      <c r="BC46" s="5690">
        <f t="shared" si="63"/>
        <v>2994.3377102606405</v>
      </c>
      <c r="BD46" s="5690">
        <f t="shared" si="64"/>
        <v>2716</v>
      </c>
      <c r="BE46" s="5691">
        <f>+AW46+AY46</f>
        <v>5442.6445841268733</v>
      </c>
      <c r="BF46" s="5691">
        <f>+AX46+AZ46</f>
        <v>5683.4070000000002</v>
      </c>
      <c r="BG46" s="5687">
        <v>5352.4858490566021</v>
      </c>
      <c r="BH46" s="5687">
        <v>5627.4070000000002</v>
      </c>
      <c r="BI46" s="5687">
        <v>7386.6389028388803</v>
      </c>
      <c r="BJ46" s="5687">
        <v>5310</v>
      </c>
      <c r="BK46" s="5687">
        <v>7999.9999999999945</v>
      </c>
      <c r="BL46" s="5687">
        <v>5205.8899999999994</v>
      </c>
      <c r="BM46" s="5687">
        <v>7796.1924189528136</v>
      </c>
      <c r="BN46" s="1102">
        <v>5192</v>
      </c>
      <c r="BO46" s="5670"/>
      <c r="BP46" s="2978"/>
      <c r="BQ46" s="1101"/>
      <c r="BR46" s="1827"/>
      <c r="BS46" s="1827"/>
      <c r="BU46" s="6601"/>
    </row>
    <row r="47" spans="1:73" ht="19.5" thickBot="1" x14ac:dyDescent="0.3">
      <c r="A47" s="154"/>
      <c r="B47" s="2997" t="s">
        <v>1725</v>
      </c>
      <c r="C47" s="5693"/>
      <c r="D47" s="5694"/>
      <c r="E47" s="1343"/>
      <c r="F47" s="5296"/>
      <c r="G47" s="1343"/>
      <c r="H47" s="5296"/>
      <c r="I47" s="1343"/>
      <c r="J47" s="5296"/>
      <c r="K47" s="1343"/>
      <c r="L47" s="5296"/>
      <c r="M47" s="1343"/>
      <c r="N47" s="5296"/>
      <c r="O47" s="1343"/>
      <c r="P47" s="5296"/>
      <c r="Q47" s="1343"/>
      <c r="R47" s="5296"/>
      <c r="S47" s="1343"/>
      <c r="T47" s="5296"/>
      <c r="U47" s="1343"/>
      <c r="V47" s="5296"/>
      <c r="W47" s="1343"/>
      <c r="X47" s="5296"/>
      <c r="Y47" s="5695"/>
      <c r="Z47" s="5695"/>
      <c r="AA47" s="5695"/>
      <c r="AB47" s="5695"/>
      <c r="AC47" s="1343"/>
      <c r="AD47" s="5296"/>
      <c r="AE47" s="1343"/>
      <c r="AF47" s="5296"/>
      <c r="AG47" s="1343"/>
      <c r="AH47" s="5296"/>
      <c r="AI47" s="1343"/>
      <c r="AJ47" s="5296"/>
      <c r="AK47" s="1343"/>
      <c r="AL47" s="5296"/>
      <c r="AM47" s="5695"/>
      <c r="AN47" s="5695"/>
      <c r="AO47" s="1343"/>
      <c r="AP47" s="5296"/>
      <c r="AQ47" s="1343"/>
      <c r="AR47" s="5296"/>
      <c r="AS47" s="1343"/>
      <c r="AT47" s="5296"/>
      <c r="AU47" s="1343"/>
      <c r="AV47" s="5296"/>
      <c r="AW47" s="1343"/>
      <c r="AX47" s="5296"/>
      <c r="AY47" s="1343"/>
      <c r="AZ47" s="5296"/>
      <c r="BA47" s="5695"/>
      <c r="BB47" s="5695"/>
      <c r="BC47" s="5695"/>
      <c r="BD47" s="5695"/>
      <c r="BE47" s="5695"/>
      <c r="BF47" s="5695"/>
      <c r="BG47" s="5695"/>
      <c r="BH47" s="5695"/>
      <c r="BI47" s="5695"/>
      <c r="BJ47" s="5695"/>
      <c r="BK47" s="5695"/>
      <c r="BL47" s="5695"/>
      <c r="BM47" s="5696"/>
      <c r="BN47" s="5697"/>
      <c r="BO47" s="5672"/>
      <c r="BP47" s="2992"/>
      <c r="BQ47" s="2825"/>
      <c r="BR47" s="1829"/>
      <c r="BS47" s="1829"/>
      <c r="BU47" s="6601"/>
    </row>
    <row r="48" spans="1:73" ht="19.5" thickBot="1" x14ac:dyDescent="0.3">
      <c r="A48" s="93"/>
      <c r="B48" s="2995" t="s">
        <v>83</v>
      </c>
      <c r="C48" s="5685" t="s">
        <v>532</v>
      </c>
      <c r="D48" s="5698">
        <v>1.6372322252457012</v>
      </c>
      <c r="E48" s="770">
        <f>+$D$48</f>
        <v>1.6372322252457012</v>
      </c>
      <c r="F48" s="82">
        <f>+(F40/'Maj Production Summ'!F$18)*1000</f>
        <v>1.7631146749106366</v>
      </c>
      <c r="G48" s="770">
        <f>+$D$48</f>
        <v>1.6372322252457012</v>
      </c>
      <c r="H48" s="82">
        <f>+(H40/'Maj Production Summ'!H$18)*1000</f>
        <v>1.255081601433413</v>
      </c>
      <c r="I48" s="53">
        <f t="shared" ref="I48" si="95">+$D$48</f>
        <v>1.6372322252457012</v>
      </c>
      <c r="J48" s="3482">
        <f>+(J40/'Maj Production Summ'!J$18)*1000</f>
        <v>1.4921403423357631</v>
      </c>
      <c r="K48" s="770">
        <f>+$D$48</f>
        <v>1.6372322252457012</v>
      </c>
      <c r="L48" s="82">
        <f>+(L40/'Maj Production Summ'!L$18)*1000</f>
        <v>0.63805144636553413</v>
      </c>
      <c r="M48" s="77">
        <f t="shared" ref="M48" si="96">+$D$48</f>
        <v>1.6372322252457012</v>
      </c>
      <c r="N48" s="114">
        <f>+(N40/'Maj Production Summ'!N$18)*1000</f>
        <v>1.2826466750702139</v>
      </c>
      <c r="O48" s="770">
        <f>+$D$48</f>
        <v>1.6372322252457012</v>
      </c>
      <c r="P48" s="82">
        <f>+(P40/'Maj Production Summ'!P$18)*1000</f>
        <v>1.0575106710502189</v>
      </c>
      <c r="Q48" s="53">
        <f t="shared" ref="Q48" si="97">+$D$48</f>
        <v>1.6372322252457012</v>
      </c>
      <c r="R48" s="107">
        <f>+(R40/'Maj Production Summ'!R$18)*1000</f>
        <v>1.2184444768714431</v>
      </c>
      <c r="S48" s="770">
        <f>+$D$48</f>
        <v>1.6372322252457012</v>
      </c>
      <c r="T48" s="82">
        <f>+(T40/'Maj Production Summ'!T$18)*1000</f>
        <v>1.1921370784866769</v>
      </c>
      <c r="U48" s="53">
        <f t="shared" ref="U48" si="98">+$D$48</f>
        <v>1.6372322252457012</v>
      </c>
      <c r="V48" s="107">
        <f>+(V40/'Maj Production Summ'!V$18)*1000</f>
        <v>1.2126652351270595</v>
      </c>
      <c r="W48" s="770">
        <f>+$D$48</f>
        <v>1.6372322252457012</v>
      </c>
      <c r="X48" s="82">
        <f>+(X40/'Maj Production Summ'!X$18)*1000</f>
        <v>1.3577262841107109</v>
      </c>
      <c r="Y48" s="5699">
        <f>+$D$48</f>
        <v>1.6372322252457012</v>
      </c>
      <c r="Z48" s="5699">
        <f>+(Z40/'Maj Production Summ'!Z$18)*1000</f>
        <v>1.2017800111573371</v>
      </c>
      <c r="AA48" s="5700">
        <f>+$D$48</f>
        <v>1.6372322252457012</v>
      </c>
      <c r="AB48" s="5700">
        <f>+(AB40/'Maj Production Summ'!AB$18)*1000</f>
        <v>1.2387697584554596</v>
      </c>
      <c r="AC48" s="770">
        <f>+$D$48</f>
        <v>1.6372322252457012</v>
      </c>
      <c r="AD48" s="82">
        <f>+(AD40/'Maj Production Summ'!AD$18)*1000</f>
        <v>1.3099964886692057</v>
      </c>
      <c r="AE48" s="53">
        <f t="shared" ref="AE48" si="99">+$D$48</f>
        <v>1.6372322252457012</v>
      </c>
      <c r="AF48" s="107">
        <f>+(AF40/'Maj Production Summ'!AF$18)*1000</f>
        <v>1.249266893299471</v>
      </c>
      <c r="AG48" s="770">
        <f t="shared" ref="AG48" si="100">+$D$48</f>
        <v>1.6372322252457012</v>
      </c>
      <c r="AH48" s="101">
        <f>+(AH40/'Maj Production Summ'!AH$18)*1000</f>
        <v>0.25204788909892878</v>
      </c>
      <c r="AI48" s="53">
        <f t="shared" ref="AI48" si="101">+$D$48</f>
        <v>1.6372322252457012</v>
      </c>
      <c r="AJ48" s="107">
        <f>+(AJ40/'Maj Production Summ'!AJ$18)*1000</f>
        <v>1.2440445902539501</v>
      </c>
      <c r="AK48" s="770">
        <f t="shared" ref="AK48" si="102">+$D$48</f>
        <v>1.6372322252457012</v>
      </c>
      <c r="AL48" s="101">
        <f>+(AL40/'Maj Production Summ'!AL$18)*1000</f>
        <v>1.7920231558336526</v>
      </c>
      <c r="AM48" s="5699">
        <f>+$D$48</f>
        <v>1.6372322252457012</v>
      </c>
      <c r="AN48" s="5699">
        <f>+(AN40/'Maj Production Summ'!AN$18)*1000</f>
        <v>1.5354739646840987</v>
      </c>
      <c r="AO48" s="53">
        <f t="shared" ref="AO48" si="103">+$D$48</f>
        <v>1.6372322252457012</v>
      </c>
      <c r="AP48" s="107">
        <f>+(AP40/'Maj Production Summ'!AP$18)*1000</f>
        <v>1.3176021013068029</v>
      </c>
      <c r="AQ48" s="770">
        <f t="shared" ref="AQ48" si="104">+$D$48</f>
        <v>1.6372322252457012</v>
      </c>
      <c r="AR48" s="101">
        <f>+(AR40/'Maj Production Summ'!AR$18)*1000</f>
        <v>1.8005202406112828</v>
      </c>
      <c r="AS48" s="53">
        <f t="shared" ref="AS48" si="105">+$D$48</f>
        <v>1.6372322252457012</v>
      </c>
      <c r="AT48" s="107">
        <f>+(AT40/'Maj Production Summ'!AT$18)*1000</f>
        <v>1.377124109991589</v>
      </c>
      <c r="AU48" s="770">
        <f t="shared" ref="AU48" si="106">+$D$48</f>
        <v>1.6372322252457012</v>
      </c>
      <c r="AV48" s="101">
        <f>+(AV40/'Maj Production Summ'!AV$18)*1000</f>
        <v>1.4805177325646603</v>
      </c>
      <c r="AW48" s="53">
        <f t="shared" ref="AW48" si="107">+$D$48</f>
        <v>1.6372322252457012</v>
      </c>
      <c r="AX48" s="107">
        <f>+(AX40/'Maj Production Summ'!AX$18)*1000</f>
        <v>1.3875094408323434</v>
      </c>
      <c r="AY48" s="770">
        <f t="shared" ref="AY48" si="108">+$D$48</f>
        <v>1.6372322252457012</v>
      </c>
      <c r="AZ48" s="101">
        <f>+(AZ40/'Maj Production Summ'!AZ$18)*1000</f>
        <v>1.3467349888319537</v>
      </c>
      <c r="BA48" s="1536">
        <f>+$D$48</f>
        <v>1.6372322252457012</v>
      </c>
      <c r="BB48" s="1536">
        <f>+(BB40/'Maj Production Summ'!BB$18)*1000</f>
        <v>1.5452913526843297</v>
      </c>
      <c r="BC48" s="2463">
        <f>+$D$48</f>
        <v>1.6372322252457012</v>
      </c>
      <c r="BD48" s="2463">
        <f>+(BD40/'Maj Production Summ'!BD$18)*1000</f>
        <v>1.5414143644532015</v>
      </c>
      <c r="BE48" s="1453">
        <f>+$D$48</f>
        <v>1.6372322252457012</v>
      </c>
      <c r="BF48" s="1453">
        <f>+(BF40/'Maj Production Summ'!BF$18)*1000</f>
        <v>1.3834768922406722</v>
      </c>
      <c r="BG48" s="5701">
        <v>1.6499999999999997</v>
      </c>
      <c r="BH48" s="5701">
        <v>1.3221396010355528</v>
      </c>
      <c r="BI48" s="5701">
        <v>1.2919834919767839</v>
      </c>
      <c r="BJ48" s="5701">
        <v>1.8691736607451781</v>
      </c>
      <c r="BK48" s="5701">
        <v>1.8</v>
      </c>
      <c r="BL48" s="5701">
        <v>1.8865516872714447</v>
      </c>
      <c r="BM48" s="5701">
        <v>2.6013799999999998</v>
      </c>
      <c r="BN48" s="1200">
        <v>1.7806740040538749</v>
      </c>
      <c r="BO48" s="5673"/>
      <c r="BP48" s="2975"/>
      <c r="BQ48" s="2826"/>
      <c r="BR48" s="1212"/>
      <c r="BS48" s="1212"/>
      <c r="BU48" s="6601"/>
    </row>
    <row r="49" spans="1:73" ht="18.75" x14ac:dyDescent="0.25">
      <c r="A49" s="93"/>
      <c r="B49" s="2995" t="s">
        <v>838</v>
      </c>
      <c r="C49" s="5685" t="s">
        <v>532</v>
      </c>
      <c r="D49" s="5276">
        <v>0.84012576263208183</v>
      </c>
      <c r="E49" s="770">
        <f>+$D$49</f>
        <v>0.84012576263208183</v>
      </c>
      <c r="F49" s="82">
        <f>+(F41/'Maj Production Summ'!F$18)*1000</f>
        <v>0.50719737223456662</v>
      </c>
      <c r="G49" s="770">
        <f>+$D$49</f>
        <v>0.84012576263208183</v>
      </c>
      <c r="H49" s="82">
        <f>+(H41/'Maj Production Summ'!H$18)*1000</f>
        <v>0.75220378806446986</v>
      </c>
      <c r="I49" s="53">
        <f t="shared" ref="I49" si="109">+$D$49</f>
        <v>0.84012576263208183</v>
      </c>
      <c r="J49" s="3482">
        <f>+(J41/'Maj Production Summ'!J$18)*1000</f>
        <v>0.63787872640637611</v>
      </c>
      <c r="K49" s="770">
        <f>+$D$49</f>
        <v>0.84012576263208183</v>
      </c>
      <c r="L49" s="82">
        <f>+(L41/'Maj Production Summ'!L$18)*1000</f>
        <v>0.44386187573254549</v>
      </c>
      <c r="M49" s="77">
        <f t="shared" ref="M49" si="110">+$D$49</f>
        <v>0.84012576263208183</v>
      </c>
      <c r="N49" s="114">
        <f>+(N41/'Maj Production Summ'!N$18)*1000</f>
        <v>0.59028965019809576</v>
      </c>
      <c r="O49" s="770">
        <f>+$D$49</f>
        <v>0.84012576263208183</v>
      </c>
      <c r="P49" s="82">
        <f>+(P41/'Maj Production Summ'!P$18)*1000</f>
        <v>0.87415196598909228</v>
      </c>
      <c r="Q49" s="53">
        <f t="shared" ref="Q49" si="111">+$D$49</f>
        <v>0.84012576263208183</v>
      </c>
      <c r="R49" s="107">
        <f>+(R41/'Maj Production Summ'!R$18)*1000</f>
        <v>0.67123887348606448</v>
      </c>
      <c r="S49" s="770">
        <f>+$D$49</f>
        <v>0.84012576263208183</v>
      </c>
      <c r="T49" s="82">
        <f>+(T41/'Maj Production Summ'!T$18)*1000</f>
        <v>0.51832046890725092</v>
      </c>
      <c r="U49" s="53">
        <f t="shared" ref="U49" si="112">+$D$49</f>
        <v>0.84012576263208183</v>
      </c>
      <c r="V49" s="107">
        <f>+(V41/'Maj Production Summ'!V$18)*1000</f>
        <v>0.63764556964427532</v>
      </c>
      <c r="W49" s="770">
        <f>+$D$49</f>
        <v>0.84012576263208183</v>
      </c>
      <c r="X49" s="82">
        <f>+(X41/'Maj Production Summ'!X$18)*1000</f>
        <v>0.82587809001638779</v>
      </c>
      <c r="Y49" s="5699">
        <f>+$D$49</f>
        <v>0.84012576263208183</v>
      </c>
      <c r="Z49" s="5699">
        <f>+(Z41/'Maj Production Summ'!Z$18)*1000</f>
        <v>0.73999819302766812</v>
      </c>
      <c r="AA49" s="5700">
        <f>+$D$49</f>
        <v>0.84012576263208183</v>
      </c>
      <c r="AB49" s="5700">
        <f>+(AB41/'Maj Production Summ'!AB$18)*1000</f>
        <v>0.67151903363508891</v>
      </c>
      <c r="AC49" s="770">
        <f>+$D$49</f>
        <v>0.84012576263208183</v>
      </c>
      <c r="AD49" s="82">
        <f>+(AD41/'Maj Production Summ'!AD$18)*1000</f>
        <v>0.69776445272758369</v>
      </c>
      <c r="AE49" s="53">
        <f t="shared" ref="AE49" si="113">+$D$49</f>
        <v>0.84012576263208183</v>
      </c>
      <c r="AF49" s="107">
        <f>+(AF41/'Maj Production Summ'!AF$18)*1000</f>
        <v>0.67538698745558245</v>
      </c>
      <c r="AG49" s="770">
        <f t="shared" ref="AG49" si="114">+$D$49</f>
        <v>0.84012576263208183</v>
      </c>
      <c r="AH49" s="101">
        <f>+(AH41/'Maj Production Summ'!AH$18)*1000</f>
        <v>1.1342155009451795</v>
      </c>
      <c r="AI49" s="53">
        <f t="shared" ref="AI49" si="115">+$D$49</f>
        <v>0.84012576263208183</v>
      </c>
      <c r="AJ49" s="107">
        <f>+(AJ41/'Maj Production Summ'!AJ$18)*1000</f>
        <v>0.67778981124180726</v>
      </c>
      <c r="AK49" s="770">
        <f t="shared" ref="AK49" si="116">+$D$49</f>
        <v>0.84012576263208183</v>
      </c>
      <c r="AL49" s="101">
        <f>+(AL41/'Maj Production Summ'!AL$18)*1000</f>
        <v>0.52356020942408388</v>
      </c>
      <c r="AM49" s="5699">
        <f>+$D$49</f>
        <v>0.84012576263208183</v>
      </c>
      <c r="AN49" s="5699">
        <f>+(AN41/'Maj Production Summ'!AN$18)*1000</f>
        <v>0.61720031913772599</v>
      </c>
      <c r="AO49" s="53">
        <f t="shared" ref="AO49" si="117">+$D$49</f>
        <v>0.84012576263208183</v>
      </c>
      <c r="AP49" s="107">
        <f>+(AP41/'Maj Production Summ'!AP$18)*1000</f>
        <v>0.65708691088587312</v>
      </c>
      <c r="AQ49" s="770">
        <f t="shared" ref="AQ49" si="118">+$D$49</f>
        <v>0.84012576263208183</v>
      </c>
      <c r="AR49" s="101">
        <f>+(AR41/'Maj Production Summ'!AR$18)*1000</f>
        <v>0.47146805397496339</v>
      </c>
      <c r="AS49" s="53">
        <f t="shared" ref="AS49" si="119">+$D$49</f>
        <v>0.84012576263208183</v>
      </c>
      <c r="AT49" s="107">
        <f>+(AT41/'Maj Production Summ'!AT$18)*1000</f>
        <v>0.63420848426677034</v>
      </c>
      <c r="AU49" s="770">
        <f t="shared" ref="AU49" si="120">+$D$49</f>
        <v>0.84012576263208183</v>
      </c>
      <c r="AV49" s="101">
        <f>+(AV41/'Maj Production Summ'!AV$18)*1000</f>
        <v>0.66847618833980116</v>
      </c>
      <c r="AW49" s="53">
        <f t="shared" ref="AW49" si="121">+$D$49</f>
        <v>0.84012576263208183</v>
      </c>
      <c r="AX49" s="107">
        <f>+(AX41/'Maj Production Summ'!AX$18)*1000</f>
        <v>0.63765049002200913</v>
      </c>
      <c r="AY49" s="770">
        <f t="shared" ref="AY49" si="122">+$D$49</f>
        <v>0.84012576263208183</v>
      </c>
      <c r="AZ49" s="101">
        <f>+(AZ41/'Maj Production Summ'!AZ$18)*1000</f>
        <v>0.32026014978320849</v>
      </c>
      <c r="BA49" s="5699">
        <f>+$D$49</f>
        <v>0.84012576263208183</v>
      </c>
      <c r="BB49" s="5699">
        <f>+(BB41/'Maj Production Summ'!BB$18)*1000</f>
        <v>0.48141229243480937</v>
      </c>
      <c r="BC49" s="2463">
        <f>+$D$49</f>
        <v>0.84012576263208183</v>
      </c>
      <c r="BD49" s="2463">
        <f>+(BD41/'Maj Production Summ'!BD$18)*1000</f>
        <v>0.53503639096722688</v>
      </c>
      <c r="BE49" s="5702">
        <f>+$D$49</f>
        <v>0.84012576263208183</v>
      </c>
      <c r="BF49" s="5702">
        <f>+(BF41/'Maj Production Summ'!BF$18)*1000</f>
        <v>0.60626093340631748</v>
      </c>
      <c r="BG49" s="5701">
        <v>0.84999999999999987</v>
      </c>
      <c r="BH49" s="5701">
        <v>0.58802794794660063</v>
      </c>
      <c r="BI49" s="5701">
        <v>0.24</v>
      </c>
      <c r="BJ49" s="5701">
        <v>0.6596893937147208</v>
      </c>
      <c r="BK49" s="5701">
        <v>0</v>
      </c>
      <c r="BL49" s="5701">
        <v>0.46320882750587022</v>
      </c>
      <c r="BM49" s="5701">
        <v>0</v>
      </c>
      <c r="BN49" s="1200">
        <v>0.4168998706686482</v>
      </c>
      <c r="BO49" s="5673"/>
      <c r="BP49" s="2975"/>
      <c r="BQ49" s="2826"/>
      <c r="BR49" s="1212"/>
      <c r="BS49" s="1212"/>
      <c r="BU49" s="6601"/>
    </row>
    <row r="50" spans="1:73" ht="19.5" thickBot="1" x14ac:dyDescent="0.3">
      <c r="A50" s="842"/>
      <c r="B50" s="2996" t="s">
        <v>880</v>
      </c>
      <c r="C50" s="5688" t="s">
        <v>532</v>
      </c>
      <c r="D50" s="5703">
        <f>SUM(D48:D49)</f>
        <v>2.4773579878777832</v>
      </c>
      <c r="E50" s="1371">
        <f>SUM(E48:E49)</f>
        <v>2.4773579878777832</v>
      </c>
      <c r="F50" s="5297">
        <f>SUM(F48:F49)</f>
        <v>2.270312047145203</v>
      </c>
      <c r="G50" s="1371">
        <f>SUM(G48:G49)</f>
        <v>2.4773579878777832</v>
      </c>
      <c r="H50" s="5297">
        <f>SUM(H48:H49)</f>
        <v>2.0072853894978828</v>
      </c>
      <c r="I50" s="1372">
        <f t="shared" ref="I50:R50" si="123">SUM(I48:I49)</f>
        <v>2.4773579878777832</v>
      </c>
      <c r="J50" s="4038">
        <f t="shared" si="123"/>
        <v>2.130019068742139</v>
      </c>
      <c r="K50" s="1371">
        <f>SUM(K48:K49)</f>
        <v>2.4773579878777832</v>
      </c>
      <c r="L50" s="5297">
        <f>SUM(L48:L49)</f>
        <v>1.0819133220980797</v>
      </c>
      <c r="M50" s="1373">
        <f t="shared" si="123"/>
        <v>2.4773579878777832</v>
      </c>
      <c r="N50" s="4655">
        <f t="shared" si="123"/>
        <v>1.8729363252683098</v>
      </c>
      <c r="O50" s="1371">
        <f>SUM(O48:O49)</f>
        <v>2.4773579878777832</v>
      </c>
      <c r="P50" s="5297">
        <f>SUM(P48:P49)</f>
        <v>1.9316626370393113</v>
      </c>
      <c r="Q50" s="1372">
        <f t="shared" si="123"/>
        <v>2.4773579878777832</v>
      </c>
      <c r="R50" s="4043">
        <f t="shared" si="123"/>
        <v>1.8896833503575077</v>
      </c>
      <c r="S50" s="1371">
        <f>SUM(S48:S49)</f>
        <v>2.4773579878777832</v>
      </c>
      <c r="T50" s="5297">
        <f>SUM(T48:T49)</f>
        <v>1.7104575473939279</v>
      </c>
      <c r="U50" s="1372">
        <f t="shared" ref="U50:V50" si="124">SUM(U48:U49)</f>
        <v>2.4773579878777832</v>
      </c>
      <c r="V50" s="4043">
        <f t="shared" si="124"/>
        <v>1.8503108047713348</v>
      </c>
      <c r="W50" s="1371">
        <f>SUM(W48:W49)</f>
        <v>2.4773579878777832</v>
      </c>
      <c r="X50" s="5297">
        <f>SUM(X48:X49)</f>
        <v>2.183604374127099</v>
      </c>
      <c r="Y50" s="5704">
        <f>SUM(Y48:Y49)</f>
        <v>2.4773579878777832</v>
      </c>
      <c r="Z50" s="5704">
        <f t="shared" ref="Z50:AF50" si="125">SUM(Z48:Z49)</f>
        <v>1.9417782041850051</v>
      </c>
      <c r="AA50" s="5705">
        <f>SUM(AA48:AA49)</f>
        <v>2.4773579878777832</v>
      </c>
      <c r="AB50" s="5705">
        <f t="shared" si="125"/>
        <v>1.9102887920905485</v>
      </c>
      <c r="AC50" s="1371">
        <f>SUM(AC48:AC49)</f>
        <v>2.4773579878777832</v>
      </c>
      <c r="AD50" s="5297">
        <f>SUM(AD48:AD49)</f>
        <v>2.0077609413967892</v>
      </c>
      <c r="AE50" s="1372">
        <f t="shared" si="125"/>
        <v>2.4773579878777832</v>
      </c>
      <c r="AF50" s="4043">
        <f t="shared" si="125"/>
        <v>1.9246538807550535</v>
      </c>
      <c r="AG50" s="1371">
        <f t="shared" ref="AG50:AH50" si="126">SUM(AG48:AG49)</f>
        <v>2.4773579878777832</v>
      </c>
      <c r="AH50" s="5298">
        <f t="shared" si="126"/>
        <v>1.3862633900441084</v>
      </c>
      <c r="AI50" s="1372">
        <f t="shared" ref="AI50:AL50" si="127">SUM(AI48:AI49)</f>
        <v>2.4773579878777832</v>
      </c>
      <c r="AJ50" s="4043">
        <f t="shared" si="127"/>
        <v>1.9218344014957573</v>
      </c>
      <c r="AK50" s="1371">
        <f t="shared" si="127"/>
        <v>2.4773579878777832</v>
      </c>
      <c r="AL50" s="5298">
        <f t="shared" si="127"/>
        <v>2.3155833652577362</v>
      </c>
      <c r="AM50" s="5704">
        <f>SUM(AM48:AM49)</f>
        <v>2.4773579878777832</v>
      </c>
      <c r="AN50" s="5704">
        <f t="shared" ref="AN50:AT50" si="128">SUM(AN48:AN49)</f>
        <v>2.1526742838218249</v>
      </c>
      <c r="AO50" s="1372">
        <f t="shared" si="128"/>
        <v>2.4773579878777832</v>
      </c>
      <c r="AP50" s="4043">
        <f t="shared" si="128"/>
        <v>1.9746890121926759</v>
      </c>
      <c r="AQ50" s="1371">
        <f t="shared" si="128"/>
        <v>2.4773579878777832</v>
      </c>
      <c r="AR50" s="5298">
        <f t="shared" si="128"/>
        <v>2.2719882945862464</v>
      </c>
      <c r="AS50" s="1372">
        <f t="shared" si="128"/>
        <v>2.4773579878777832</v>
      </c>
      <c r="AT50" s="4043">
        <f t="shared" si="128"/>
        <v>2.0113325942583593</v>
      </c>
      <c r="AU50" s="1371">
        <f t="shared" ref="AU50:AV50" si="129">SUM(AU48:AU49)</f>
        <v>2.4773579878777832</v>
      </c>
      <c r="AV50" s="5298">
        <f t="shared" si="129"/>
        <v>2.1489939209044615</v>
      </c>
      <c r="AW50" s="1372">
        <f t="shared" ref="AW50:AZ50" si="130">SUM(AW48:AW49)</f>
        <v>2.4773579878777832</v>
      </c>
      <c r="AX50" s="4043">
        <f t="shared" si="130"/>
        <v>2.0251599308543526</v>
      </c>
      <c r="AY50" s="1371">
        <f t="shared" si="130"/>
        <v>2.4773579878777832</v>
      </c>
      <c r="AZ50" s="5298">
        <f t="shared" si="130"/>
        <v>1.6669951386151622</v>
      </c>
      <c r="BA50" s="5704">
        <f t="shared" ref="BA50:BB50" si="131">SUM(BA48:BA49)</f>
        <v>2.4773579878777832</v>
      </c>
      <c r="BB50" s="5704">
        <f t="shared" si="131"/>
        <v>2.0267036451191389</v>
      </c>
      <c r="BC50" s="5705">
        <f>SUM(BC48:BC49)</f>
        <v>2.4773579878777832</v>
      </c>
      <c r="BD50" s="5705">
        <f t="shared" ref="BD50" si="132">SUM(BD48:BD49)</f>
        <v>2.0764507554204283</v>
      </c>
      <c r="BE50" s="5706">
        <f>SUM(BE48:BE49)</f>
        <v>2.4773579878777832</v>
      </c>
      <c r="BF50" s="5706">
        <f t="shared" ref="BF50" si="133">SUM(BF48:BF49)</f>
        <v>1.9897378256469898</v>
      </c>
      <c r="BG50" s="5707">
        <v>2.4999999999999996</v>
      </c>
      <c r="BH50" s="5707">
        <v>1.9101675489821535</v>
      </c>
      <c r="BI50" s="5707">
        <v>1.5319834919767839</v>
      </c>
      <c r="BJ50" s="5707">
        <v>2.5288630544598991</v>
      </c>
      <c r="BK50" s="5707">
        <v>1.8</v>
      </c>
      <c r="BL50" s="5707">
        <v>2.3497605147773148</v>
      </c>
      <c r="BM50" s="5707">
        <v>2.6013799999999998</v>
      </c>
      <c r="BN50" s="5708">
        <v>2.1975738747225231</v>
      </c>
      <c r="BO50" s="5674"/>
      <c r="BP50" s="2979"/>
      <c r="BQ50" s="2827"/>
      <c r="BR50" s="1830"/>
      <c r="BS50" s="1830"/>
      <c r="BU50" s="6601"/>
    </row>
    <row r="51" spans="1:73" ht="18.75" x14ac:dyDescent="0.25">
      <c r="A51" s="93"/>
      <c r="B51" s="2995" t="s">
        <v>84</v>
      </c>
      <c r="C51" s="5685" t="s">
        <v>532</v>
      </c>
      <c r="D51" s="5698">
        <v>17.372968004908316</v>
      </c>
      <c r="E51" s="770">
        <f>+$D$51</f>
        <v>17.372968004908316</v>
      </c>
      <c r="F51" s="2205">
        <f>+(F43/'Maj Production Summ'!F$18)*1000</f>
        <v>16.095063278910249</v>
      </c>
      <c r="G51" s="770">
        <f>+$D$51</f>
        <v>17.372968004908316</v>
      </c>
      <c r="H51" s="2205">
        <f>+(H43/'Maj Production Summ'!H$18)*1000</f>
        <v>15.086334401068298</v>
      </c>
      <c r="I51" s="53">
        <f t="shared" ref="I51" si="134">+$D$51</f>
        <v>17.372968004908316</v>
      </c>
      <c r="J51" s="3482">
        <f>+(J43/'Maj Production Summ'!J$18)*1000</f>
        <v>15.557028161331477</v>
      </c>
      <c r="K51" s="770">
        <f>+$D$51</f>
        <v>17.372968004908316</v>
      </c>
      <c r="L51" s="2205">
        <f>+(L43/'Maj Production Summ'!L$18)*1000</f>
        <v>14.480993695774297</v>
      </c>
      <c r="M51" s="77">
        <f t="shared" ref="M51" si="135">+$D$51</f>
        <v>17.372968004908316</v>
      </c>
      <c r="N51" s="114">
        <f>+(N43/'Maj Production Summ'!N$18)*1000</f>
        <v>15.293094971991012</v>
      </c>
      <c r="O51" s="770">
        <f>+$D$51</f>
        <v>17.372968004908316</v>
      </c>
      <c r="P51" s="2205">
        <f>+(P43/'Maj Production Summ'!P$18)*1000</f>
        <v>15.540460443557501</v>
      </c>
      <c r="Q51" s="53">
        <f t="shared" ref="Q51" si="136">+$D$51</f>
        <v>17.372968004908316</v>
      </c>
      <c r="R51" s="107">
        <f>+(R43/'Maj Production Summ'!R$18)*1000</f>
        <v>15.363636363636363</v>
      </c>
      <c r="S51" s="770">
        <f>+$D$51</f>
        <v>17.372968004908316</v>
      </c>
      <c r="T51" s="2205">
        <f>+(T43/'Maj Production Summ'!T$18)*1000</f>
        <v>17.052743427048554</v>
      </c>
      <c r="U51" s="53">
        <f t="shared" ref="U51" si="137">+$D$51</f>
        <v>17.372968004908316</v>
      </c>
      <c r="V51" s="107">
        <f>+(V43/'Maj Production Summ'!V$18)*1000</f>
        <v>15.734701487934554</v>
      </c>
      <c r="W51" s="770">
        <f>+$D$51</f>
        <v>17.372968004908316</v>
      </c>
      <c r="X51" s="2205">
        <f>+(X43/'Maj Production Summ'!X$18)*1000</f>
        <v>15.881938348849177</v>
      </c>
      <c r="Y51" s="5699">
        <f>+$D$51</f>
        <v>17.372968004908316</v>
      </c>
      <c r="Z51" s="5699">
        <f>+(Z43/'Maj Production Summ'!Z$18)*1000</f>
        <v>16.155824115623286</v>
      </c>
      <c r="AA51" s="5700">
        <f>+$D$51</f>
        <v>17.372968004908316</v>
      </c>
      <c r="AB51" s="5700">
        <f>+(AB43/'Maj Production Summ'!AB$18)*1000</f>
        <v>15.761197560432823</v>
      </c>
      <c r="AC51" s="770">
        <f>+$D$51</f>
        <v>17.372968004908316</v>
      </c>
      <c r="AD51" s="2205">
        <f>+(AD43/'Maj Production Summ'!AD$18)*1000</f>
        <v>14.74758933635848</v>
      </c>
      <c r="AE51" s="53">
        <f t="shared" ref="AE51" si="138">+$D$51</f>
        <v>17.372968004908316</v>
      </c>
      <c r="AF51" s="107">
        <f>+(AF43/'Maj Production Summ'!AF$18)*1000</f>
        <v>15.611815689677593</v>
      </c>
      <c r="AG51" s="770">
        <f t="shared" ref="AG51" si="139">+$D$51</f>
        <v>17.372968004908316</v>
      </c>
      <c r="AH51" s="134">
        <f>+(AH43/'Maj Production Summ'!AH$18)*1000</f>
        <v>13.862633900441084</v>
      </c>
      <c r="AI51" s="53">
        <f t="shared" ref="AI51" si="140">+$D$51</f>
        <v>17.372968004908316</v>
      </c>
      <c r="AJ51" s="107">
        <f>+(AJ43/'Maj Production Summ'!AJ$18)*1000</f>
        <v>15.602655457725914</v>
      </c>
      <c r="AK51" s="770">
        <f t="shared" ref="AK51" si="141">+$D$51</f>
        <v>17.372968004908316</v>
      </c>
      <c r="AL51" s="134">
        <f>+(AL43/'Maj Production Summ'!AL$18)*1000</f>
        <v>16.719874005022774</v>
      </c>
      <c r="AM51" s="5699">
        <f>+$D$51</f>
        <v>17.372968004908316</v>
      </c>
      <c r="AN51" s="5699">
        <f>+(AN43/'Maj Production Summ'!AN$18)*1000</f>
        <v>15.728930781091735</v>
      </c>
      <c r="AO51" s="53">
        <f t="shared" ref="AO51" si="142">+$D$51</f>
        <v>17.372968004908316</v>
      </c>
      <c r="AP51" s="107">
        <f>+(AP43/'Maj Production Summ'!AP$18)*1000</f>
        <v>15.752624490829069</v>
      </c>
      <c r="AQ51" s="770">
        <f t="shared" ref="AQ51" si="143">+$D$51</f>
        <v>17.372968004908316</v>
      </c>
      <c r="AR51" s="134">
        <f>+(AR43/'Maj Production Summ'!AR$18)*1000</f>
        <v>16.420094293610795</v>
      </c>
      <c r="AS51" s="53">
        <f t="shared" ref="AS51" si="144">+$D$51</f>
        <v>17.372968004908316</v>
      </c>
      <c r="AT51" s="107">
        <f>+(AT43/'Maj Production Summ'!AT$18)*1000</f>
        <v>15.834893389353413</v>
      </c>
      <c r="AU51" s="770">
        <f t="shared" ref="AU51" si="145">+$D$51</f>
        <v>17.372968004908316</v>
      </c>
      <c r="AV51" s="134">
        <f>+(AV43/'Maj Production Summ'!AV$18)*1000</f>
        <v>16.267749388725633</v>
      </c>
      <c r="AW51" s="53">
        <f t="shared" ref="AW51" si="146">+$D$51</f>
        <v>17.372968004908316</v>
      </c>
      <c r="AX51" s="107">
        <f>+(AX43/'Maj Production Summ'!AX$18)*1000</f>
        <v>15.878371436142121</v>
      </c>
      <c r="AY51" s="770">
        <f t="shared" ref="AY51" si="147">+$D$51</f>
        <v>17.372968004908316</v>
      </c>
      <c r="AZ51" s="134">
        <f>+(AZ43/'Maj Production Summ'!AZ$18)*1000</f>
        <v>16.669951386151624</v>
      </c>
      <c r="BA51" s="5699">
        <f>+$D$51</f>
        <v>17.372968004908316</v>
      </c>
      <c r="BB51" s="5699">
        <f>+(BB43/'Maj Production Summ'!BB$18)*1000</f>
        <v>16.457844143121207</v>
      </c>
      <c r="BC51" s="2463">
        <f>+$D$51</f>
        <v>17.372968004908316</v>
      </c>
      <c r="BD51" s="2463">
        <f>+(BD43/'Maj Production Summ'!BD$18)*1000</f>
        <v>16.169988704787301</v>
      </c>
      <c r="BE51" s="5702">
        <f>+$D$51</f>
        <v>17.372968004908316</v>
      </c>
      <c r="BF51" s="5702">
        <f>+(BF43/'Maj Production Summ'!BF$18)*1000</f>
        <v>15.956657825192195</v>
      </c>
      <c r="BG51" s="5701">
        <v>18.349999999999998</v>
      </c>
      <c r="BH51" s="5701">
        <v>16.183875067245694</v>
      </c>
      <c r="BI51" s="5701">
        <v>16.822446796403778</v>
      </c>
      <c r="BJ51" s="5701">
        <v>18.06301096315628</v>
      </c>
      <c r="BK51" s="5701">
        <v>16</v>
      </c>
      <c r="BL51" s="5701">
        <v>18.431726897146138</v>
      </c>
      <c r="BM51" s="5701">
        <v>16.326409999999999</v>
      </c>
      <c r="BN51" s="1200">
        <v>15.648490818507298</v>
      </c>
      <c r="BO51" s="5673"/>
      <c r="BP51" s="2975"/>
      <c r="BQ51" s="2826"/>
      <c r="BR51" s="1212"/>
      <c r="BS51" s="1212"/>
      <c r="BU51" s="6601"/>
    </row>
    <row r="52" spans="1:73" ht="18.75" hidden="1" customHeight="1" x14ac:dyDescent="0.25">
      <c r="A52" s="93"/>
      <c r="B52" s="2995" t="s">
        <v>1587</v>
      </c>
      <c r="C52" s="5685" t="s">
        <v>532</v>
      </c>
      <c r="D52" s="5709">
        <v>0</v>
      </c>
      <c r="E52" s="770">
        <f>D52</f>
        <v>0</v>
      </c>
      <c r="F52" s="134">
        <f>+(F44/'Maj Production Summ'!F$18)*1000</f>
        <v>0</v>
      </c>
      <c r="G52" s="770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70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70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70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70">
        <f>V52</f>
        <v>0</v>
      </c>
      <c r="X52" s="134">
        <f>+(X44/'Maj Production Summ'!X$18)*1000</f>
        <v>0</v>
      </c>
      <c r="Y52" s="5710">
        <f>D52</f>
        <v>0</v>
      </c>
      <c r="Z52" s="5699">
        <f>+(Z44/'Maj Production Summ'!Z$18)*1000</f>
        <v>0</v>
      </c>
      <c r="AA52" s="5711">
        <f>D52</f>
        <v>0</v>
      </c>
      <c r="AB52" s="5711">
        <f>+(AB44/'Maj Production Summ'!AB$18)*1000</f>
        <v>0</v>
      </c>
      <c r="AC52" s="770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70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70">
        <f>H52</f>
        <v>0</v>
      </c>
      <c r="AL52" s="134">
        <f>+(AL44/'Maj Production Summ'!AL$18)*1000</f>
        <v>0</v>
      </c>
      <c r="AM52" s="5710">
        <v>0</v>
      </c>
      <c r="AN52" s="5699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70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70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70">
        <f>V52</f>
        <v>0</v>
      </c>
      <c r="AZ52" s="134">
        <f>+(AZ44/'Maj Production Summ'!AZ$18)*1000</f>
        <v>0</v>
      </c>
      <c r="BA52" s="1536">
        <f>L52</f>
        <v>0</v>
      </c>
      <c r="BB52" s="1536">
        <f>+(BB44/'Maj Production Summ'!BB$18)*1000</f>
        <v>0</v>
      </c>
      <c r="BC52" s="2463">
        <f>N52</f>
        <v>0</v>
      </c>
      <c r="BD52" s="2463">
        <f>+(BD44/'Maj Production Summ'!BD$18)*1000</f>
        <v>0</v>
      </c>
      <c r="BE52" s="1453">
        <f>P52</f>
        <v>0</v>
      </c>
      <c r="BF52" s="1453">
        <f>+(BF44/'Maj Production Summ'!BF$18)*1000</f>
        <v>0</v>
      </c>
      <c r="BG52" s="5712">
        <v>0</v>
      </c>
      <c r="BH52" s="5712">
        <v>0</v>
      </c>
      <c r="BI52" s="5712">
        <v>0</v>
      </c>
      <c r="BJ52" s="5712">
        <v>1.0205917534130115E-2</v>
      </c>
      <c r="BK52" s="5712"/>
      <c r="BL52" s="5712"/>
      <c r="BM52" s="5712"/>
      <c r="BN52" s="5713"/>
      <c r="BO52" s="5675"/>
      <c r="BP52" s="2960"/>
      <c r="BQ52" s="2828"/>
      <c r="BR52" s="1831"/>
      <c r="BS52" s="1831"/>
      <c r="BU52" s="6601"/>
    </row>
    <row r="53" spans="1:73" ht="18.75" x14ac:dyDescent="0.25">
      <c r="A53" s="93"/>
      <c r="B53" s="2996" t="s">
        <v>1588</v>
      </c>
      <c r="C53" s="5688" t="s">
        <v>532</v>
      </c>
      <c r="D53" s="5714">
        <f>SUM(D51:D52)</f>
        <v>17.372968004908316</v>
      </c>
      <c r="E53" s="1371">
        <f t="shared" ref="E53:W53" si="148">+$D$51</f>
        <v>17.372968004908316</v>
      </c>
      <c r="F53" s="681">
        <f>SUM(F51:F52)</f>
        <v>16.095063278910249</v>
      </c>
      <c r="G53" s="1371">
        <f t="shared" si="148"/>
        <v>17.372968004908316</v>
      </c>
      <c r="H53" s="681">
        <f>SUM(H51:H52)</f>
        <v>15.086334401068298</v>
      </c>
      <c r="I53" s="1372">
        <f t="shared" si="148"/>
        <v>17.372968004908316</v>
      </c>
      <c r="J53" s="4038">
        <f t="shared" ref="J53" si="149">SUM(J51:J52)</f>
        <v>15.557028161331477</v>
      </c>
      <c r="K53" s="1371">
        <f t="shared" si="148"/>
        <v>17.372968004908316</v>
      </c>
      <c r="L53" s="681">
        <f>SUM(L51:L52)</f>
        <v>14.480993695774297</v>
      </c>
      <c r="M53" s="1373">
        <f t="shared" si="148"/>
        <v>17.372968004908316</v>
      </c>
      <c r="N53" s="4655">
        <f t="shared" ref="N53" si="150">SUM(N51:N52)</f>
        <v>15.293094971991012</v>
      </c>
      <c r="O53" s="1371">
        <f t="shared" si="148"/>
        <v>17.372968004908316</v>
      </c>
      <c r="P53" s="681">
        <f>SUM(P51:P52)</f>
        <v>15.540460443557501</v>
      </c>
      <c r="Q53" s="1372">
        <f t="shared" si="148"/>
        <v>17.372968004908316</v>
      </c>
      <c r="R53" s="4043">
        <f t="shared" ref="R53" si="151">SUM(R51:R52)</f>
        <v>15.363636363636363</v>
      </c>
      <c r="S53" s="1371">
        <f t="shared" si="148"/>
        <v>17.372968004908316</v>
      </c>
      <c r="T53" s="681">
        <f>SUM(T51:T52)</f>
        <v>17.052743427048554</v>
      </c>
      <c r="U53" s="1372">
        <f t="shared" si="148"/>
        <v>17.372968004908316</v>
      </c>
      <c r="V53" s="4043">
        <f t="shared" ref="V53" si="152">SUM(V51:V52)</f>
        <v>15.734701487934554</v>
      </c>
      <c r="W53" s="1371">
        <f t="shared" si="148"/>
        <v>17.372968004908316</v>
      </c>
      <c r="X53" s="681">
        <f>SUM(X51:X52)</f>
        <v>15.881938348849177</v>
      </c>
      <c r="Y53" s="5710">
        <f>SUM(Y51:Y52)</f>
        <v>17.372968004908316</v>
      </c>
      <c r="Z53" s="5710">
        <f>SUM(Z51:Z52)</f>
        <v>16.155824115623286</v>
      </c>
      <c r="AA53" s="5711">
        <f>SUM(AA51:AA52)</f>
        <v>17.372968004908316</v>
      </c>
      <c r="AB53" s="5711">
        <f>SUM(AB51:AB52)</f>
        <v>15.761197560432823</v>
      </c>
      <c r="AC53" s="1371">
        <f t="shared" ref="AC53" si="153">+$D$51</f>
        <v>17.372968004908316</v>
      </c>
      <c r="AD53" s="681">
        <f>SUM(AD51:AD52)</f>
        <v>14.74758933635848</v>
      </c>
      <c r="AE53" s="1372">
        <f t="shared" ref="AE53" si="154">+$D$51</f>
        <v>17.372968004908316</v>
      </c>
      <c r="AF53" s="4043">
        <f t="shared" ref="AF53" si="155">SUM(AF51:AF52)</f>
        <v>15.611815689677593</v>
      </c>
      <c r="AG53" s="1371">
        <f t="shared" ref="AG53" si="156">+$D$51</f>
        <v>17.372968004908316</v>
      </c>
      <c r="AH53" s="682">
        <f t="shared" ref="AH53" si="157">SUM(AH51:AH52)</f>
        <v>13.862633900441084</v>
      </c>
      <c r="AI53" s="1372">
        <f t="shared" ref="AI53" si="158">+$D$51</f>
        <v>17.372968004908316</v>
      </c>
      <c r="AJ53" s="4043">
        <f t="shared" ref="AJ53" si="159">SUM(AJ51:AJ52)</f>
        <v>15.602655457725914</v>
      </c>
      <c r="AK53" s="1371">
        <f t="shared" ref="AK53" si="160">+$D$51</f>
        <v>17.372968004908316</v>
      </c>
      <c r="AL53" s="682">
        <f t="shared" ref="AL53" si="161">SUM(AL51:AL52)</f>
        <v>16.719874005022774</v>
      </c>
      <c r="AM53" s="5710">
        <f>SUM(AM51:AM52)</f>
        <v>17.372968004908316</v>
      </c>
      <c r="AN53" s="5710">
        <f>SUM(AN51:AN52)</f>
        <v>15.728930781091735</v>
      </c>
      <c r="AO53" s="1372">
        <f t="shared" ref="AO53" si="162">+$D$51</f>
        <v>17.372968004908316</v>
      </c>
      <c r="AP53" s="4043">
        <f t="shared" ref="AP53" si="163">SUM(AP51:AP52)</f>
        <v>15.752624490829069</v>
      </c>
      <c r="AQ53" s="1371">
        <f t="shared" ref="AQ53" si="164">+$D$51</f>
        <v>17.372968004908316</v>
      </c>
      <c r="AR53" s="682">
        <f t="shared" ref="AR53" si="165">SUM(AR51:AR52)</f>
        <v>16.420094293610795</v>
      </c>
      <c r="AS53" s="1372">
        <f t="shared" ref="AS53" si="166">+$D$51</f>
        <v>17.372968004908316</v>
      </c>
      <c r="AT53" s="4043">
        <f t="shared" ref="AT53" si="167">SUM(AT51:AT52)</f>
        <v>15.834893389353413</v>
      </c>
      <c r="AU53" s="1371">
        <f t="shared" ref="AU53" si="168">+$D$51</f>
        <v>17.372968004908316</v>
      </c>
      <c r="AV53" s="682">
        <f t="shared" ref="AV53" si="169">SUM(AV51:AV52)</f>
        <v>16.267749388725633</v>
      </c>
      <c r="AW53" s="1372">
        <f t="shared" ref="AW53" si="170">+$D$51</f>
        <v>17.372968004908316</v>
      </c>
      <c r="AX53" s="4043">
        <f t="shared" ref="AX53" si="171">SUM(AX51:AX52)</f>
        <v>15.878371436142121</v>
      </c>
      <c r="AY53" s="1371">
        <f t="shared" ref="AY53" si="172">+$D$51</f>
        <v>17.372968004908316</v>
      </c>
      <c r="AZ53" s="682">
        <f t="shared" ref="AZ53" si="173">SUM(AZ51:AZ52)</f>
        <v>16.669951386151624</v>
      </c>
      <c r="BA53" s="5704">
        <f t="shared" ref="BA53" si="174">+$D$51</f>
        <v>17.372968004908316</v>
      </c>
      <c r="BB53" s="5704">
        <f t="shared" ref="BB53" si="175">SUM(BB51:BB52)</f>
        <v>16.457844143121207</v>
      </c>
      <c r="BC53" s="5705">
        <f t="shared" ref="BC53" si="176">+$D$51</f>
        <v>17.372968004908316</v>
      </c>
      <c r="BD53" s="5705">
        <f t="shared" ref="BD53" si="177">SUM(BD51:BD52)</f>
        <v>16.169988704787301</v>
      </c>
      <c r="BE53" s="5706">
        <f t="shared" ref="BE53" si="178">+$D$51</f>
        <v>17.372968004908316</v>
      </c>
      <c r="BF53" s="5706">
        <f t="shared" ref="BF53" si="179">SUM(BF51:BF52)</f>
        <v>15.956657825192195</v>
      </c>
      <c r="BG53" s="5707">
        <v>18.349999999999998</v>
      </c>
      <c r="BH53" s="5707">
        <v>16.183875067245694</v>
      </c>
      <c r="BI53" s="5707">
        <v>16.822446796403778</v>
      </c>
      <c r="BJ53" s="5707">
        <v>18.07321688069041</v>
      </c>
      <c r="BK53" s="5707">
        <f t="shared" ref="BK53:BL53" si="180">SUM(BK51:BK52)</f>
        <v>16</v>
      </c>
      <c r="BL53" s="5707">
        <f t="shared" si="180"/>
        <v>18.431726897146138</v>
      </c>
      <c r="BM53" s="5707"/>
      <c r="BN53" s="5708">
        <f t="shared" ref="BN53" si="181">SUM(BN51:BN52)</f>
        <v>15.648490818507298</v>
      </c>
      <c r="BO53" s="5675"/>
      <c r="BP53" s="2960"/>
      <c r="BQ53" s="2828"/>
      <c r="BR53" s="1831"/>
      <c r="BS53" s="1831"/>
      <c r="BU53" s="6601"/>
    </row>
    <row r="54" spans="1:73" ht="19.5" thickBot="1" x14ac:dyDescent="0.3">
      <c r="A54" s="93"/>
      <c r="B54" s="2998" t="s">
        <v>85</v>
      </c>
      <c r="C54" s="2987" t="s">
        <v>532</v>
      </c>
      <c r="D54" s="5299">
        <v>2.1669656814109719</v>
      </c>
      <c r="E54" s="5300">
        <f>+$D$54</f>
        <v>2.1669656814109719</v>
      </c>
      <c r="F54" s="5301">
        <f>+(F46/'Maj Production Summ'!F$18)*1000</f>
        <v>2.2558206936527871</v>
      </c>
      <c r="G54" s="5300">
        <f>+$D$54</f>
        <v>2.1669656814109719</v>
      </c>
      <c r="H54" s="5301">
        <f>+(H46/'Maj Production Summ'!H$18)*1000</f>
        <v>2.3284510518175443</v>
      </c>
      <c r="I54" s="5303">
        <f t="shared" ref="I54" si="182">+$D$54</f>
        <v>2.1669656814109719</v>
      </c>
      <c r="J54" s="4076">
        <f>+(J46/'Maj Production Summ'!J$18)*1000</f>
        <v>2.2945602243169287</v>
      </c>
      <c r="K54" s="5300">
        <f>+$D$54</f>
        <v>2.1669656814109719</v>
      </c>
      <c r="L54" s="5302">
        <f>+(L46/'Maj Production Summ'!L$18)*1000</f>
        <v>2.0320551498380595</v>
      </c>
      <c r="M54" s="5304">
        <f t="shared" ref="M54" si="183">+$D$54</f>
        <v>2.1669656814109719</v>
      </c>
      <c r="N54" s="5305">
        <f>+(N46/'Maj Production Summ'!N$18)*1000</f>
        <v>2.2301721366273877</v>
      </c>
      <c r="O54" s="5300">
        <f>+$D$54</f>
        <v>2.1669656814109719</v>
      </c>
      <c r="P54" s="5302">
        <f>+(P46/'Maj Production Summ'!P$18)*1000</f>
        <v>2.1875119929385578</v>
      </c>
      <c r="Q54" s="5303">
        <f t="shared" ref="Q54" si="184">+$D$54</f>
        <v>2.1669656814109719</v>
      </c>
      <c r="R54" s="5306">
        <f>+(R46/'Maj Production Summ'!R$18)*1000</f>
        <v>2.218006712388735</v>
      </c>
      <c r="S54" s="5300">
        <f>+$D$54</f>
        <v>2.1669656814109719</v>
      </c>
      <c r="T54" s="5302">
        <f>+(T46/'Maj Production Summ'!T$18)*1000</f>
        <v>2.4274675293822914</v>
      </c>
      <c r="U54" s="5303">
        <f t="shared" ref="U54" si="185">+$D$54</f>
        <v>2.1669656814109719</v>
      </c>
      <c r="V54" s="5306">
        <f>+(V46/'Maj Production Summ'!V$18)*1000</f>
        <v>2.2640213231714896</v>
      </c>
      <c r="W54" s="5300">
        <f>+$D$54</f>
        <v>2.1669656814109719</v>
      </c>
      <c r="X54" s="5302">
        <f>+(X46/'Maj Production Summ'!X$18)*1000</f>
        <v>2.5139858779170581</v>
      </c>
      <c r="Y54" s="594">
        <f>+$D$54</f>
        <v>2.1669656814109719</v>
      </c>
      <c r="Z54" s="594">
        <f>+(Z46/'Maj Production Summ'!Z$18)*1000</f>
        <v>2.3754616025550015</v>
      </c>
      <c r="AA54" s="619">
        <f>+$D$54</f>
        <v>2.1669656814109719</v>
      </c>
      <c r="AB54" s="619">
        <f>+(AB46/'Maj Production Summ'!AB$18)*1000</f>
        <v>2.3090038019026631</v>
      </c>
      <c r="AC54" s="1897">
        <f>+$D$54</f>
        <v>2.1669656814109719</v>
      </c>
      <c r="AD54" s="2094">
        <f>+(AD46/'Maj Production Summ'!AD$18)*1000</f>
        <v>2.7640475740305575</v>
      </c>
      <c r="AE54" s="2118">
        <f t="shared" ref="AE54" si="186">+$D$54</f>
        <v>2.1669656814109719</v>
      </c>
      <c r="AF54" s="131">
        <f>+(AF46/'Maj Production Summ'!AF$18)*1000</f>
        <v>2.3760664878019009</v>
      </c>
      <c r="AG54" s="5300">
        <f t="shared" ref="AG54" si="187">+$D$54</f>
        <v>2.1669656814109719</v>
      </c>
      <c r="AH54" s="5301">
        <f>+(AH46/'Maj Production Summ'!AH$18)*1000</f>
        <v>2.3944549464398235</v>
      </c>
      <c r="AI54" s="5303">
        <f t="shared" ref="AI54" si="188">+$D$54</f>
        <v>2.1669656814109719</v>
      </c>
      <c r="AJ54" s="5306">
        <f>+(AJ46/'Maj Production Summ'!AJ$18)*1000</f>
        <v>2.3761627857095244</v>
      </c>
      <c r="AK54" s="5300">
        <f t="shared" ref="AK54" si="189">+$D$54</f>
        <v>2.1669656814109719</v>
      </c>
      <c r="AL54" s="5301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5303">
        <f t="shared" ref="AO54" si="190">+$D$54</f>
        <v>2.1669656814109719</v>
      </c>
      <c r="AP54" s="5306">
        <f>+(AP46/'Maj Production Summ'!AP$18)*1000</f>
        <v>2.364602670972586</v>
      </c>
      <c r="AQ54" s="5300">
        <f t="shared" ref="AQ54" si="191">+$D$54</f>
        <v>2.1669656814109719</v>
      </c>
      <c r="AR54" s="5301">
        <f>+(AR46/'Maj Production Summ'!AR$18)*1000</f>
        <v>2.1947650788489677</v>
      </c>
      <c r="AS54" s="5303">
        <f t="shared" ref="AS54" si="192">+$D$54</f>
        <v>2.1669656814109719</v>
      </c>
      <c r="AT54" s="5306">
        <f>+(AT46/'Maj Production Summ'!AT$18)*1000</f>
        <v>2.3436693619692326</v>
      </c>
      <c r="AU54" s="5300">
        <f t="shared" ref="AU54" si="193">+$D$54</f>
        <v>2.1669656814109719</v>
      </c>
      <c r="AV54" s="5301">
        <f>+(AV46/'Maj Production Summ'!AV$18)*1000</f>
        <v>2.220776598846991</v>
      </c>
      <c r="AW54" s="5303">
        <f t="shared" ref="AW54" si="194">+$D$54</f>
        <v>2.1669656814109719</v>
      </c>
      <c r="AX54" s="5306">
        <f>+(AX46/'Maj Production Summ'!AX$18)*1000</f>
        <v>2.3313254477973793</v>
      </c>
      <c r="AY54" s="5300">
        <f t="shared" ref="AY54" si="195">+$D$54</f>
        <v>2.1669656814109719</v>
      </c>
      <c r="AZ54" s="5301">
        <f>+(AZ46/'Maj Production Summ'!AZ$18)*1000</f>
        <v>2.0940086716594402</v>
      </c>
      <c r="BA54" s="5715">
        <f t="shared" ref="BA54" si="196">+$D$54</f>
        <v>2.1669656814109719</v>
      </c>
      <c r="BB54" s="5715">
        <f>+(BB46/'Maj Production Summ'!BB$18)*1000</f>
        <v>2.1684606175270567</v>
      </c>
      <c r="BC54" s="5716">
        <f t="shared" ref="BC54" si="197">+$D$54</f>
        <v>2.1669656814109719</v>
      </c>
      <c r="BD54" s="5716">
        <f>+(BD46/'Maj Production Summ'!BD$18)*1000</f>
        <v>2.3066013299476</v>
      </c>
      <c r="BE54" s="5717">
        <f t="shared" ref="BE54" si="198">+$D$54</f>
        <v>2.1669656814109719</v>
      </c>
      <c r="BF54" s="5717">
        <f>+(BF46/'Maj Production Summ'!BF$18)*1000</f>
        <v>2.30785507886671</v>
      </c>
      <c r="BG54" s="1832">
        <v>2.1499999999999995</v>
      </c>
      <c r="BH54" s="1832">
        <v>2.3091923171460826</v>
      </c>
      <c r="BI54" s="1832">
        <v>2.8192466143166044</v>
      </c>
      <c r="BJ54" s="1832">
        <v>2.0997063969868619</v>
      </c>
      <c r="BK54" s="5718">
        <v>3.2</v>
      </c>
      <c r="BL54" s="1832">
        <v>2.1491300709104784</v>
      </c>
      <c r="BM54" s="1832">
        <v>3.0300000000000002</v>
      </c>
      <c r="BN54" s="5719">
        <v>2.235314175301673</v>
      </c>
      <c r="BO54" s="5676"/>
      <c r="BP54" s="2981"/>
      <c r="BQ54" s="2829"/>
      <c r="BR54" s="1832"/>
      <c r="BS54" s="1832"/>
      <c r="BU54" s="6601"/>
    </row>
    <row r="55" spans="1:73" ht="15" customHeight="1" x14ac:dyDescent="0.25"/>
    <row r="56" spans="1:73" ht="15" customHeight="1" x14ac:dyDescent="0.25"/>
    <row r="57" spans="1:73" ht="23.25" x14ac:dyDescent="0.35">
      <c r="B57" s="5723"/>
    </row>
    <row r="58" spans="1:73" ht="15" customHeight="1" x14ac:dyDescent="0.25"/>
    <row r="59" spans="1:73" ht="15" customHeight="1" x14ac:dyDescent="0.25"/>
    <row r="60" spans="1:73" ht="15" customHeight="1" x14ac:dyDescent="0.25"/>
    <row r="61" spans="1:73" ht="15" customHeight="1" x14ac:dyDescent="0.25"/>
    <row r="62" spans="1:73" ht="15" customHeight="1" x14ac:dyDescent="0.25"/>
    <row r="63" spans="1:73" ht="15" customHeight="1" x14ac:dyDescent="0.25"/>
    <row r="64" spans="1:7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9"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</mergeCells>
  <printOptions horizontalCentered="1" verticalCentered="1"/>
  <pageMargins left="0" right="0" top="0" bottom="0" header="0" footer="0"/>
  <pageSetup scale="3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I81"/>
  <sheetViews>
    <sheetView topLeftCell="A25" zoomScale="115" zoomScaleNormal="115" workbookViewId="0">
      <pane xSplit="7" topLeftCell="H1" activePane="topRight" state="frozen"/>
      <selection pane="topRight" activeCell="M43" sqref="M43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customWidth="1"/>
    <col min="13" max="13" width="6.140625" style="4" customWidth="1"/>
    <col min="14" max="14" width="9.5703125" style="4" hidden="1" customWidth="1"/>
    <col min="15" max="15" width="6.140625" style="4" hidden="1" customWidth="1"/>
    <col min="16" max="16" width="9.5703125" style="4" hidden="1" customWidth="1"/>
    <col min="17" max="17" width="6.140625" style="4" hidden="1" customWidth="1"/>
    <col min="18" max="18" width="9.140625" style="1277" hidden="1" customWidth="1"/>
    <col min="19" max="21" width="10.5703125" style="4" hidden="1" customWidth="1"/>
    <col min="22" max="22" width="9.140625" style="4" hidden="1" customWidth="1"/>
    <col min="23" max="23" width="10.5703125" style="4" hidden="1" customWidth="1"/>
    <col min="24" max="24" width="9.140625" style="4" hidden="1" customWidth="1"/>
    <col min="25" max="25" width="8.42578125" style="4" hidden="1" customWidth="1"/>
    <col min="26" max="26" width="12.5703125" style="4" hidden="1" customWidth="1"/>
    <col min="27" max="61" width="9.140625" style="4" hidden="1" customWidth="1"/>
    <col min="62" max="16384" width="9.140625" style="4"/>
  </cols>
  <sheetData>
    <row r="3" spans="3:61" ht="19.5" thickBot="1" x14ac:dyDescent="0.3">
      <c r="C3" s="7434" t="s">
        <v>2258</v>
      </c>
      <c r="D3" s="7435"/>
      <c r="E3" s="7435"/>
      <c r="F3" s="7435"/>
      <c r="G3" s="7435"/>
      <c r="H3" s="7435"/>
      <c r="I3" s="7435"/>
      <c r="J3" s="7435"/>
      <c r="K3" s="7435"/>
      <c r="L3" s="7435"/>
      <c r="M3" s="7435"/>
      <c r="N3" s="7435"/>
      <c r="O3" s="7435"/>
      <c r="P3" s="7435"/>
      <c r="Q3" s="7435"/>
      <c r="R3" s="7435"/>
      <c r="S3" s="7435"/>
      <c r="T3" s="7435"/>
      <c r="U3" s="7435"/>
      <c r="V3" s="7435"/>
      <c r="W3" s="7435"/>
      <c r="X3" s="7435"/>
      <c r="Y3" s="7435"/>
      <c r="Z3" s="7435"/>
      <c r="AA3" s="7435"/>
      <c r="AB3" s="7435"/>
      <c r="AC3" s="7435"/>
      <c r="AD3" s="7435"/>
      <c r="AE3" s="7435"/>
      <c r="AF3" s="7435"/>
      <c r="AG3" s="7435"/>
      <c r="AH3" s="7435"/>
      <c r="AI3" s="7435"/>
      <c r="AJ3" s="7435"/>
      <c r="AK3" s="7435"/>
      <c r="AL3" s="7435"/>
      <c r="AM3" s="7435"/>
      <c r="AN3" s="7435"/>
      <c r="AO3" s="7435"/>
      <c r="AP3" s="7435"/>
      <c r="AQ3" s="7435"/>
      <c r="AR3" s="7435"/>
      <c r="AS3" s="7435"/>
      <c r="AT3" s="7435"/>
      <c r="AU3" s="7435"/>
      <c r="AV3" s="7435"/>
      <c r="AW3" s="7435"/>
      <c r="AX3" s="7435"/>
      <c r="AY3" s="7435"/>
      <c r="AZ3" s="7435"/>
      <c r="BA3" s="7435"/>
      <c r="BB3" s="7435"/>
      <c r="BC3" s="7435"/>
      <c r="BD3" s="7435"/>
      <c r="BE3" s="7435"/>
      <c r="BF3" s="7435"/>
      <c r="BG3" s="7435"/>
      <c r="BH3" s="7435"/>
      <c r="BI3" s="7435"/>
    </row>
    <row r="4" spans="3:61" ht="15.75" thickBot="1" x14ac:dyDescent="0.3">
      <c r="C4" s="7425" t="s">
        <v>1071</v>
      </c>
      <c r="D4" s="4365" t="s">
        <v>171</v>
      </c>
      <c r="E4" s="4366" t="s">
        <v>172</v>
      </c>
      <c r="F4" s="4366" t="s">
        <v>1456</v>
      </c>
      <c r="G4" s="4367" t="s">
        <v>2257</v>
      </c>
      <c r="H4" s="7294" t="s">
        <v>2254</v>
      </c>
      <c r="I4" s="7295"/>
      <c r="J4" s="7294" t="s">
        <v>2306</v>
      </c>
      <c r="K4" s="7295"/>
      <c r="L4" s="7428" t="s">
        <v>14</v>
      </c>
      <c r="M4" s="7297"/>
      <c r="N4" s="7364" t="s">
        <v>1903</v>
      </c>
      <c r="O4" s="7377"/>
      <c r="P4" s="7371" t="s">
        <v>637</v>
      </c>
      <c r="Q4" s="7372"/>
      <c r="R4" s="7370" t="s">
        <v>1937</v>
      </c>
      <c r="S4" s="7377"/>
      <c r="T4" s="7362" t="s">
        <v>17</v>
      </c>
      <c r="U4" s="7363"/>
      <c r="V4" s="7370" t="s">
        <v>1961</v>
      </c>
      <c r="W4" s="7377"/>
      <c r="X4" s="7362" t="s">
        <v>18</v>
      </c>
      <c r="Y4" s="7363"/>
      <c r="Z4" s="7364" t="s">
        <v>1983</v>
      </c>
      <c r="AA4" s="7377"/>
      <c r="AB4" s="7371" t="s">
        <v>660</v>
      </c>
      <c r="AC4" s="7372"/>
      <c r="AD4" s="7433" t="s">
        <v>657</v>
      </c>
      <c r="AE4" s="7355"/>
      <c r="AF4" s="7294" t="s">
        <v>2002</v>
      </c>
      <c r="AG4" s="7295"/>
      <c r="AH4" s="7428" t="s">
        <v>24</v>
      </c>
      <c r="AI4" s="7297"/>
      <c r="AJ4" s="7294" t="s">
        <v>2018</v>
      </c>
      <c r="AK4" s="7295"/>
      <c r="AL4" s="7428" t="s">
        <v>27</v>
      </c>
      <c r="AM4" s="7297"/>
      <c r="AN4" s="7364" t="s">
        <v>2033</v>
      </c>
      <c r="AO4" s="7377"/>
      <c r="AP4" s="7371" t="s">
        <v>662</v>
      </c>
      <c r="AQ4" s="7372"/>
      <c r="AR4" s="7428" t="s">
        <v>1683</v>
      </c>
      <c r="AS4" s="7297"/>
      <c r="AT4" s="7294" t="s">
        <v>2137</v>
      </c>
      <c r="AU4" s="7295"/>
      <c r="AV4" s="7428" t="s">
        <v>28</v>
      </c>
      <c r="AW4" s="7297"/>
      <c r="AX4" s="7294" t="s">
        <v>2151</v>
      </c>
      <c r="AY4" s="7295"/>
      <c r="AZ4" s="7428" t="s">
        <v>30</v>
      </c>
      <c r="BA4" s="7297"/>
      <c r="BB4" s="7294" t="s">
        <v>2163</v>
      </c>
      <c r="BC4" s="7295"/>
      <c r="BD4" s="7371" t="s">
        <v>663</v>
      </c>
      <c r="BE4" s="7372"/>
      <c r="BF4" s="7433" t="s">
        <v>671</v>
      </c>
      <c r="BG4" s="7355"/>
      <c r="BH4" s="7428" t="s">
        <v>1765</v>
      </c>
      <c r="BI4" s="7297"/>
    </row>
    <row r="5" spans="3:61" ht="15.75" thickBot="1" x14ac:dyDescent="0.3">
      <c r="C5" s="7426"/>
      <c r="D5" s="4368"/>
      <c r="E5" s="4369"/>
      <c r="F5" s="4369"/>
      <c r="G5" s="4370"/>
      <c r="H5" s="1150" t="s">
        <v>173</v>
      </c>
      <c r="I5" s="1151" t="s">
        <v>174</v>
      </c>
      <c r="J5" s="1150" t="s">
        <v>173</v>
      </c>
      <c r="K5" s="1151" t="s">
        <v>174</v>
      </c>
      <c r="L5" s="1362" t="s">
        <v>173</v>
      </c>
      <c r="M5" s="1363" t="s">
        <v>174</v>
      </c>
      <c r="N5" s="4128" t="s">
        <v>173</v>
      </c>
      <c r="O5" s="178" t="s">
        <v>174</v>
      </c>
      <c r="P5" s="4130" t="s">
        <v>173</v>
      </c>
      <c r="Q5" s="170" t="s">
        <v>174</v>
      </c>
      <c r="R5" s="1043" t="s">
        <v>173</v>
      </c>
      <c r="S5" s="178" t="s">
        <v>174</v>
      </c>
      <c r="T5" s="4129" t="s">
        <v>173</v>
      </c>
      <c r="U5" s="163" t="s">
        <v>174</v>
      </c>
      <c r="V5" s="1043" t="s">
        <v>173</v>
      </c>
      <c r="W5" s="178" t="s">
        <v>174</v>
      </c>
      <c r="X5" s="4129" t="s">
        <v>173</v>
      </c>
      <c r="Y5" s="163" t="s">
        <v>174</v>
      </c>
      <c r="Z5" s="4128" t="s">
        <v>173</v>
      </c>
      <c r="AA5" s="178" t="s">
        <v>174</v>
      </c>
      <c r="AB5" s="4130" t="s">
        <v>173</v>
      </c>
      <c r="AC5" s="170" t="s">
        <v>174</v>
      </c>
      <c r="AD5" s="4132" t="s">
        <v>173</v>
      </c>
      <c r="AE5" s="467" t="s">
        <v>174</v>
      </c>
      <c r="AF5" s="1150" t="s">
        <v>173</v>
      </c>
      <c r="AG5" s="1151" t="s">
        <v>174</v>
      </c>
      <c r="AH5" s="1362" t="s">
        <v>173</v>
      </c>
      <c r="AI5" s="1363" t="s">
        <v>174</v>
      </c>
      <c r="AJ5" s="1150" t="s">
        <v>173</v>
      </c>
      <c r="AK5" s="1151" t="s">
        <v>174</v>
      </c>
      <c r="AL5" s="1362" t="s">
        <v>173</v>
      </c>
      <c r="AM5" s="1363" t="s">
        <v>174</v>
      </c>
      <c r="AN5" s="4128" t="s">
        <v>173</v>
      </c>
      <c r="AO5" s="178" t="s">
        <v>174</v>
      </c>
      <c r="AP5" s="4130" t="s">
        <v>173</v>
      </c>
      <c r="AQ5" s="170" t="s">
        <v>174</v>
      </c>
      <c r="AR5" s="1362" t="s">
        <v>173</v>
      </c>
      <c r="AS5" s="1363" t="s">
        <v>174</v>
      </c>
      <c r="AT5" s="1150" t="s">
        <v>173</v>
      </c>
      <c r="AU5" s="1151" t="s">
        <v>174</v>
      </c>
      <c r="AV5" s="1362" t="s">
        <v>173</v>
      </c>
      <c r="AW5" s="1363" t="s">
        <v>174</v>
      </c>
      <c r="AX5" s="1150" t="s">
        <v>173</v>
      </c>
      <c r="AY5" s="1151" t="s">
        <v>174</v>
      </c>
      <c r="AZ5" s="1362" t="s">
        <v>173</v>
      </c>
      <c r="BA5" s="1363" t="s">
        <v>174</v>
      </c>
      <c r="BB5" s="1150" t="s">
        <v>173</v>
      </c>
      <c r="BC5" s="1151" t="s">
        <v>174</v>
      </c>
      <c r="BD5" s="4130" t="s">
        <v>173</v>
      </c>
      <c r="BE5" s="170" t="s">
        <v>174</v>
      </c>
      <c r="BF5" s="4132" t="s">
        <v>173</v>
      </c>
      <c r="BG5" s="467" t="s">
        <v>174</v>
      </c>
      <c r="BH5" s="1362" t="s">
        <v>173</v>
      </c>
      <c r="BI5" s="1363" t="s">
        <v>174</v>
      </c>
    </row>
    <row r="6" spans="3:61" x14ac:dyDescent="0.25">
      <c r="C6" s="7429" t="s">
        <v>4</v>
      </c>
      <c r="D6" s="4371" t="s">
        <v>361</v>
      </c>
      <c r="E6" s="4366" t="s">
        <v>49</v>
      </c>
      <c r="F6" s="4372">
        <v>69.459875135267765</v>
      </c>
      <c r="G6" s="4367">
        <v>70</v>
      </c>
      <c r="H6" s="4373">
        <f>+'Maj Techno Summ'!E5</f>
        <v>70</v>
      </c>
      <c r="I6" s="4374">
        <f>+'Maj Techno Summ'!F5</f>
        <v>70.5</v>
      </c>
      <c r="J6" s="4373">
        <f>+'Maj Techno Summ'!G5</f>
        <v>70</v>
      </c>
      <c r="K6" s="4374">
        <f>+'Maj Techno Summ'!H5</f>
        <v>70.5</v>
      </c>
      <c r="L6" s="4375">
        <f>+'Maj Techno Summ'!I5</f>
        <v>70</v>
      </c>
      <c r="M6" s="4376">
        <f>+'Maj Techno Summ'!J5</f>
        <v>70.5</v>
      </c>
      <c r="N6" s="4373">
        <f>+'Maj Techno Summ'!K5</f>
        <v>70</v>
      </c>
      <c r="O6" s="4374">
        <f>+'Maj Techno Summ'!L5</f>
        <v>70.010000000000005</v>
      </c>
      <c r="P6" s="4377">
        <f>+'Maj Techno Summ'!M5</f>
        <v>70</v>
      </c>
      <c r="Q6" s="4378">
        <f>+'Maj Techno Summ'!N5</f>
        <v>70.339125169760081</v>
      </c>
      <c r="R6" s="4373">
        <f>+'Maj Techno Summ'!O5</f>
        <v>70</v>
      </c>
      <c r="S6" s="4374">
        <f>+'Maj Techno Summ'!P5</f>
        <v>70.503373452126255</v>
      </c>
      <c r="T6" s="4375">
        <f>+'Maj Techno Summ'!Q5</f>
        <v>70</v>
      </c>
      <c r="U6" s="4376">
        <f>+'Maj Techno Summ'!R5</f>
        <v>70.381405402459251</v>
      </c>
      <c r="V6" s="4373">
        <f>+'Maj Techno Summ'!S5</f>
        <v>70</v>
      </c>
      <c r="W6" s="4374">
        <f>+'Maj Techno Summ'!T5</f>
        <v>70.5</v>
      </c>
      <c r="X6" s="4375">
        <f>+'Maj Techno Summ'!U5</f>
        <v>70</v>
      </c>
      <c r="Y6" s="4376">
        <f>+'Maj Techno Summ'!V5</f>
        <v>70.405652395792117</v>
      </c>
      <c r="Z6" s="4373">
        <f>+'Maj Techno Summ'!W5</f>
        <v>70</v>
      </c>
      <c r="AA6" s="4374">
        <f>+'Maj Techno Summ'!X5</f>
        <v>70.5</v>
      </c>
      <c r="AB6" s="4379">
        <f>+'Maj Techno Summ'!Y5</f>
        <v>70</v>
      </c>
      <c r="AC6" s="4379">
        <f>+'Maj Techno Summ'!Z5</f>
        <v>70.501139237471079</v>
      </c>
      <c r="AD6" s="4380">
        <f>+'Maj Techno Summ'!AA5</f>
        <v>70</v>
      </c>
      <c r="AE6" s="4381">
        <f>+'Maj Techno Summ'!AB5</f>
        <v>70.421190823403478</v>
      </c>
      <c r="AF6" s="4373">
        <f>+'Maj Techno Summ'!AC5</f>
        <v>70</v>
      </c>
      <c r="AG6" s="4374">
        <f>+'Maj Techno Summ'!AD5</f>
        <v>70.453746245081177</v>
      </c>
      <c r="AH6" s="4375">
        <f>+'Maj Techno Summ'!AE5</f>
        <v>70</v>
      </c>
      <c r="AI6" s="4376">
        <f>+'Maj Techno Summ'!AF5</f>
        <v>70.425906454233441</v>
      </c>
      <c r="AJ6" s="4373">
        <f>+'Maj Techno Summ'!AG5</f>
        <v>70</v>
      </c>
      <c r="AK6" s="4374">
        <f>+'Maj Techno Summ'!AH5</f>
        <v>70.490000000000009</v>
      </c>
      <c r="AL6" s="4375">
        <f>+'Maj Techno Summ'!AI5</f>
        <v>70</v>
      </c>
      <c r="AM6" s="4376">
        <f>+'Maj Techno Summ'!AJ5</f>
        <v>70.433513836659529</v>
      </c>
      <c r="AN6" s="4373">
        <f>+'Maj Techno Summ'!AK5</f>
        <v>70</v>
      </c>
      <c r="AO6" s="4374">
        <f>+'Maj Techno Summ'!AL5</f>
        <v>70.010000000000005</v>
      </c>
      <c r="AP6" s="4379">
        <f>+'Maj Techno Summ'!AM5</f>
        <v>70</v>
      </c>
      <c r="AQ6" s="4379">
        <f>+'Maj Techno Summ'!AN5</f>
        <v>70.313108282206528</v>
      </c>
      <c r="AR6" s="4375">
        <f>+'Maj Techno Summ'!AO5</f>
        <v>70</v>
      </c>
      <c r="AS6" s="4376">
        <f>+'Maj Techno Summ'!AP5</f>
        <v>70.385289618275166</v>
      </c>
      <c r="AT6" s="4373">
        <f>+'Maj Techno Summ'!AQ5</f>
        <v>70</v>
      </c>
      <c r="AU6" s="4374">
        <f>+'Maj Techno Summ'!AR5</f>
        <v>70.59499999999997</v>
      </c>
      <c r="AV6" s="4375">
        <f>+'Maj Techno Summ'!AS5</f>
        <v>70</v>
      </c>
      <c r="AW6" s="4376">
        <f>+'Maj Techno Summ'!AT5</f>
        <v>70.406727615777456</v>
      </c>
      <c r="AX6" s="4373">
        <f>+'Maj Techno Summ'!AU5</f>
        <v>70</v>
      </c>
      <c r="AY6" s="4374">
        <f>+'Maj Techno Summ'!AV5</f>
        <v>70.499999999999972</v>
      </c>
      <c r="AZ6" s="4375">
        <f>+'Maj Techno Summ'!AW5</f>
        <v>70</v>
      </c>
      <c r="BA6" s="4376">
        <f>+'Maj Techno Summ'!AX5</f>
        <v>70.414605157731273</v>
      </c>
      <c r="BB6" s="4373">
        <f>+'Maj Techno Summ'!AY5</f>
        <v>70</v>
      </c>
      <c r="BC6" s="4374">
        <f>+'Maj Techno Summ'!AZ5</f>
        <v>70.5</v>
      </c>
      <c r="BD6" s="4379">
        <f>+'Maj Techno Summ'!BA5</f>
        <v>70</v>
      </c>
      <c r="BE6" s="4379">
        <f>+'Maj Techno Summ'!BB5</f>
        <v>70.532713173922829</v>
      </c>
      <c r="BF6" s="4380">
        <f>+'Maj Techno Summ'!BC5</f>
        <v>70</v>
      </c>
      <c r="BG6" s="4381">
        <f>+'Maj Techno Summ'!BD5</f>
        <v>70.422663592242358</v>
      </c>
      <c r="BH6" s="4375">
        <f>+'Maj Techno Summ'!BE5</f>
        <v>70</v>
      </c>
      <c r="BI6" s="4376">
        <f>+'Maj Techno Summ'!BF5</f>
        <v>70.4219244420986</v>
      </c>
    </row>
    <row r="7" spans="3:61" x14ac:dyDescent="0.25">
      <c r="C7" s="7430"/>
      <c r="D7" s="4382" t="s">
        <v>359</v>
      </c>
      <c r="E7" s="4383"/>
      <c r="F7" s="4383"/>
      <c r="G7" s="4384"/>
      <c r="H7" s="4385"/>
      <c r="I7" s="3868"/>
      <c r="J7" s="4385"/>
      <c r="K7" s="3868"/>
      <c r="L7" s="4386"/>
      <c r="M7" s="3847"/>
      <c r="N7" s="4385"/>
      <c r="O7" s="3868"/>
      <c r="P7" s="4385"/>
      <c r="Q7" s="3868"/>
      <c r="R7" s="4385"/>
      <c r="S7" s="3868"/>
      <c r="T7" s="4385"/>
      <c r="U7" s="3868"/>
      <c r="V7" s="4385"/>
      <c r="W7" s="3868"/>
      <c r="X7" s="4385"/>
      <c r="Y7" s="3868"/>
      <c r="Z7" s="4385"/>
      <c r="AA7" s="3868"/>
      <c r="AB7" s="4387"/>
      <c r="AC7" s="4387"/>
      <c r="AD7" s="4385"/>
      <c r="AE7" s="4387"/>
      <c r="AF7" s="4385"/>
      <c r="AG7" s="3868"/>
      <c r="AH7" s="4385"/>
      <c r="AI7" s="3868"/>
      <c r="AJ7" s="4385"/>
      <c r="AK7" s="3868"/>
      <c r="AL7" s="4385"/>
      <c r="AM7" s="3868"/>
      <c r="AN7" s="4385"/>
      <c r="AO7" s="3868"/>
      <c r="AP7" s="4387"/>
      <c r="AQ7" s="4387"/>
      <c r="AR7" s="4385"/>
      <c r="AS7" s="3868"/>
      <c r="AT7" s="4385"/>
      <c r="AU7" s="3868"/>
      <c r="AV7" s="4385"/>
      <c r="AW7" s="3868"/>
      <c r="AX7" s="4385"/>
      <c r="AY7" s="3868"/>
      <c r="AZ7" s="4385"/>
      <c r="BA7" s="3868"/>
      <c r="BB7" s="4385"/>
      <c r="BC7" s="3868"/>
      <c r="BD7" s="4387"/>
      <c r="BE7" s="4387"/>
      <c r="BF7" s="4385"/>
      <c r="BG7" s="4387"/>
      <c r="BH7" s="4385"/>
      <c r="BI7" s="3868"/>
    </row>
    <row r="8" spans="3:61" x14ac:dyDescent="0.25">
      <c r="C8" s="7430"/>
      <c r="D8" s="4388" t="s">
        <v>349</v>
      </c>
      <c r="E8" s="4389" t="s">
        <v>49</v>
      </c>
      <c r="F8" s="4390">
        <v>89.651305773130588</v>
      </c>
      <c r="G8" s="4391">
        <v>92</v>
      </c>
      <c r="H8" s="4392">
        <f>+'Maj Techno Summ'!E7</f>
        <v>92</v>
      </c>
      <c r="I8" s="4393">
        <f>+'Maj Techno Summ'!F7</f>
        <v>89.466617312982208</v>
      </c>
      <c r="J8" s="4392">
        <f>+'Maj Techno Summ'!G7</f>
        <v>92</v>
      </c>
      <c r="K8" s="4393">
        <f>+'Maj Techno Summ'!H7</f>
        <v>91.22579404282105</v>
      </c>
      <c r="L8" s="4386">
        <f>+'Maj Techno Summ'!I7</f>
        <v>92</v>
      </c>
      <c r="M8" s="3847">
        <f>+'Maj Techno Summ'!J7</f>
        <v>90.362489637492544</v>
      </c>
      <c r="N8" s="4392">
        <f>+'Maj Techno Summ'!K7</f>
        <v>92</v>
      </c>
      <c r="O8" s="4393">
        <f>+'Maj Techno Summ'!L7</f>
        <v>94.999981892521248</v>
      </c>
      <c r="P8" s="4394">
        <f>+'Maj Techno Summ'!M7</f>
        <v>92</v>
      </c>
      <c r="Q8" s="4395">
        <f>+'Maj Techno Summ'!N7</f>
        <v>91.891228838826791</v>
      </c>
      <c r="R8" s="4392">
        <f>+'Maj Techno Summ'!O7</f>
        <v>92</v>
      </c>
      <c r="S8" s="4393">
        <f>+'Maj Techno Summ'!P7</f>
        <v>95.000052472687969</v>
      </c>
      <c r="T8" s="4386">
        <f>+'Maj Techno Summ'!Q7</f>
        <v>92</v>
      </c>
      <c r="U8" s="3847">
        <f>+'Maj Techno Summ'!R7</f>
        <v>92.682228886842722</v>
      </c>
      <c r="V8" s="4392">
        <f>+'Maj Techno Summ'!S7</f>
        <v>92</v>
      </c>
      <c r="W8" s="4393">
        <f>+'Maj Techno Summ'!T7</f>
        <v>93.451695194206707</v>
      </c>
      <c r="X8" s="4386">
        <f>+'Maj Techno Summ'!U7</f>
        <v>92</v>
      </c>
      <c r="Y8" s="3847">
        <f>+'Maj Techno Summ'!V7</f>
        <v>92.840806990307456</v>
      </c>
      <c r="Z8" s="4392">
        <f>+'Maj Techno Summ'!W7</f>
        <v>92</v>
      </c>
      <c r="AA8" s="4393">
        <f>+'Maj Techno Summ'!X7</f>
        <v>92.000070861678012</v>
      </c>
      <c r="AB8" s="4396">
        <f>+'Maj Techno Summ'!Y7</f>
        <v>92</v>
      </c>
      <c r="AC8" s="4396">
        <f>+'Maj Techno Summ'!Z7</f>
        <v>93.489975585954539</v>
      </c>
      <c r="AD8" s="4397">
        <f>+'Maj Techno Summ'!AA7</f>
        <v>92</v>
      </c>
      <c r="AE8" s="4398">
        <f>+'Maj Techno Summ'!AB7</f>
        <v>92.701011164431236</v>
      </c>
      <c r="AF8" s="4392">
        <f>+'Maj Techno Summ'!AC7</f>
        <v>92</v>
      </c>
      <c r="AG8" s="4393">
        <f>+'Maj Techno Summ'!AD7</f>
        <v>92.000347584289187</v>
      </c>
      <c r="AH8" s="4386">
        <f>+'Maj Techno Summ'!AE7</f>
        <v>92</v>
      </c>
      <c r="AI8" s="3847">
        <f>+'Maj Techno Summ'!AF7</f>
        <v>92.59946415784195</v>
      </c>
      <c r="AJ8" s="4392">
        <f>+'Maj Techno Summ'!AG7</f>
        <v>92</v>
      </c>
      <c r="AK8" s="4393">
        <f>+'Maj Techno Summ'!AH7</f>
        <v>90.270086275741988</v>
      </c>
      <c r="AL8" s="4386">
        <f>+'Maj Techno Summ'!AI7</f>
        <v>92</v>
      </c>
      <c r="AM8" s="3847">
        <f>+'Maj Techno Summ'!AJ7</f>
        <v>92.322991955390592</v>
      </c>
      <c r="AN8" s="4392">
        <f>+'Maj Techno Summ'!AK7</f>
        <v>92</v>
      </c>
      <c r="AO8" s="4393">
        <f>+'Maj Techno Summ'!AL7</f>
        <v>91.999923369245295</v>
      </c>
      <c r="AP8" s="4396">
        <f>+'Maj Techno Summ'!AM7</f>
        <v>92</v>
      </c>
      <c r="AQ8" s="4396">
        <f>+'Maj Techno Summ'!AN7</f>
        <v>91.450919482289862</v>
      </c>
      <c r="AR8" s="4386">
        <f>+'Maj Techno Summ'!AO7</f>
        <v>92</v>
      </c>
      <c r="AS8" s="3847">
        <f>+'Maj Techno Summ'!AP7</f>
        <v>92.286469430772854</v>
      </c>
      <c r="AT8" s="4392">
        <f>+'Maj Techno Summ'!AQ7</f>
        <v>92</v>
      </c>
      <c r="AU8" s="4393">
        <f>+'Maj Techno Summ'!AR7</f>
        <v>91.99992336924528</v>
      </c>
      <c r="AV8" s="4386">
        <f>+'Maj Techno Summ'!AS7</f>
        <v>92</v>
      </c>
      <c r="AW8" s="3847">
        <f>+'Maj Techno Summ'!AT7</f>
        <v>92.257365859319009</v>
      </c>
      <c r="AX8" s="4392">
        <f>+'Maj Techno Summ'!AU7</f>
        <v>92</v>
      </c>
      <c r="AY8" s="4393">
        <f>+'Maj Techno Summ'!AV7</f>
        <v>90.285714285714292</v>
      </c>
      <c r="AZ8" s="4386">
        <f>+'Maj Techno Summ'!AW7</f>
        <v>92</v>
      </c>
      <c r="BA8" s="3847">
        <f>+'Maj Techno Summ'!AX7</f>
        <v>92.092187575717261</v>
      </c>
      <c r="BB8" s="4392">
        <f>+'Maj Techno Summ'!AY7</f>
        <v>92</v>
      </c>
      <c r="BC8" s="4393">
        <f>+'Maj Techno Summ'!AZ7</f>
        <v>89.032227052667253</v>
      </c>
      <c r="BD8" s="4396">
        <f>+'Maj Techno Summ'!BA7</f>
        <v>92</v>
      </c>
      <c r="BE8" s="4396">
        <f>+'Maj Techno Summ'!BB7</f>
        <v>90.444569295046733</v>
      </c>
      <c r="BF8" s="4397">
        <f>+'Maj Techno Summ'!BC7</f>
        <v>92</v>
      </c>
      <c r="BG8" s="4398">
        <f>+'Maj Techno Summ'!BD7</f>
        <v>90.950596174008496</v>
      </c>
      <c r="BH8" s="4386">
        <f>+'Maj Techno Summ'!BE7</f>
        <v>92</v>
      </c>
      <c r="BI8" s="3847">
        <f>+'Maj Techno Summ'!BF7</f>
        <v>91.831676606159832</v>
      </c>
    </row>
    <row r="9" spans="3:61" x14ac:dyDescent="0.25">
      <c r="C9" s="7430"/>
      <c r="D9" s="4388" t="s">
        <v>360</v>
      </c>
      <c r="E9" s="4389" t="s">
        <v>49</v>
      </c>
      <c r="F9" s="4390">
        <v>92.198587038217795</v>
      </c>
      <c r="G9" s="4391">
        <v>97</v>
      </c>
      <c r="H9" s="4392">
        <f>+'Maj Techno Summ'!E8</f>
        <v>97</v>
      </c>
      <c r="I9" s="4393">
        <f>+'Maj Techno Summ'!F8</f>
        <v>94.592173017507719</v>
      </c>
      <c r="J9" s="4392">
        <f>+'Maj Techno Summ'!G8</f>
        <v>97</v>
      </c>
      <c r="K9" s="4393">
        <f>+'Maj Techno Summ'!H8</f>
        <v>94.99999761388338</v>
      </c>
      <c r="L9" s="4386">
        <f>+'Maj Techno Summ'!I8</f>
        <v>97</v>
      </c>
      <c r="M9" s="3847">
        <f>+'Maj Techno Summ'!J8</f>
        <v>94.799830302761691</v>
      </c>
      <c r="N9" s="4392">
        <f>+'Maj Techno Summ'!K8</f>
        <v>97</v>
      </c>
      <c r="O9" s="4393">
        <f>+'Maj Techno Summ'!L8</f>
        <v>100</v>
      </c>
      <c r="P9" s="4394">
        <f>+'Maj Techno Summ'!M8</f>
        <v>97</v>
      </c>
      <c r="Q9" s="4395">
        <f>+'Maj Techno Summ'!N8</f>
        <v>96.507139889434484</v>
      </c>
      <c r="R9" s="4392">
        <f>+'Maj Techno Summ'!O8</f>
        <v>97</v>
      </c>
      <c r="S9" s="4393">
        <f>+'Maj Techno Summ'!P8</f>
        <v>100</v>
      </c>
      <c r="T9" s="4386">
        <f>+'Maj Techno Summ'!Q8</f>
        <v>97</v>
      </c>
      <c r="U9" s="3847">
        <f>+'Maj Techno Summ'!R8</f>
        <v>97.40626434784032</v>
      </c>
      <c r="V9" s="4392">
        <f>+'Maj Techno Summ'!S8</f>
        <v>97</v>
      </c>
      <c r="W9" s="4393">
        <f>+'Maj Techno Summ'!T8</f>
        <v>100</v>
      </c>
      <c r="X9" s="4386">
        <f>+'Maj Techno Summ'!U8</f>
        <v>97</v>
      </c>
      <c r="Y9" s="3847">
        <f>+'Maj Techno Summ'!V8</f>
        <v>97.936562726895403</v>
      </c>
      <c r="Z9" s="4392">
        <f>+'Maj Techno Summ'!W8</f>
        <v>97</v>
      </c>
      <c r="AA9" s="4393">
        <f>+'Maj Techno Summ'!X8</f>
        <v>97.799998669381651</v>
      </c>
      <c r="AB9" s="4396">
        <f>+'Maj Techno Summ'!Y8</f>
        <v>97</v>
      </c>
      <c r="AC9" s="4396">
        <f>+'Maj Techno Summ'!Z8</f>
        <v>99.284860142098637</v>
      </c>
      <c r="AD9" s="4397">
        <f>+'Maj Techno Summ'!AA8</f>
        <v>97</v>
      </c>
      <c r="AE9" s="4398">
        <f>+'Maj Techno Summ'!AB8</f>
        <v>97.914077830625558</v>
      </c>
      <c r="AF9" s="4392">
        <f>+'Maj Techno Summ'!AC8</f>
        <v>97</v>
      </c>
      <c r="AG9" s="4393">
        <f>+'Maj Techno Summ'!AD8</f>
        <v>96.999628878928888</v>
      </c>
      <c r="AH9" s="4386">
        <f>+'Maj Techno Summ'!AE8</f>
        <v>97</v>
      </c>
      <c r="AI9" s="3847">
        <f>+'Maj Techno Summ'!AF8</f>
        <v>97.781687210167718</v>
      </c>
      <c r="AJ9" s="4392">
        <f>+'Maj Techno Summ'!AG8</f>
        <v>97</v>
      </c>
      <c r="AK9" s="4393">
        <f>+'Maj Techno Summ'!AH8</f>
        <v>95.266662670908175</v>
      </c>
      <c r="AL9" s="4386">
        <f>+'Maj Techno Summ'!AI8</f>
        <v>97</v>
      </c>
      <c r="AM9" s="3847">
        <f>+'Maj Techno Summ'!AJ8</f>
        <v>97.483136268752901</v>
      </c>
      <c r="AN9" s="4392">
        <f>+'Maj Techno Summ'!AK8</f>
        <v>97</v>
      </c>
      <c r="AO9" s="4393">
        <f>+'Maj Techno Summ'!AL8</f>
        <v>96.999995843116182</v>
      </c>
      <c r="AP9" s="4396">
        <f>+'Maj Techno Summ'!AM8</f>
        <v>97</v>
      </c>
      <c r="AQ9" s="4396">
        <f>+'Maj Techno Summ'!AN8</f>
        <v>96.45090637411289</v>
      </c>
      <c r="AR9" s="4386">
        <f>+'Maj Techno Summ'!AO8</f>
        <v>97</v>
      </c>
      <c r="AS9" s="3847">
        <f>+'Maj Techno Summ'!AP8</f>
        <v>97.428116353496534</v>
      </c>
      <c r="AT9" s="4392">
        <f>+'Maj Techno Summ'!AQ8</f>
        <v>97</v>
      </c>
      <c r="AU9" s="4393">
        <f>+'Maj Techno Summ'!AR8</f>
        <v>96.999995843116182</v>
      </c>
      <c r="AV9" s="4386">
        <f>+'Maj Techno Summ'!AS8</f>
        <v>97</v>
      </c>
      <c r="AW9" s="3847">
        <f>+'Maj Techno Summ'!AT8</f>
        <v>97.384346583762948</v>
      </c>
      <c r="AX9" s="4392">
        <f>+'Maj Techno Summ'!AU8</f>
        <v>97</v>
      </c>
      <c r="AY9" s="4393">
        <f>+'Maj Techno Summ'!AV8</f>
        <v>97.000002931422728</v>
      </c>
      <c r="AZ9" s="4386">
        <f>+'Maj Techno Summ'!AW8</f>
        <v>97</v>
      </c>
      <c r="BA9" s="3847">
        <f>+'Maj Techno Summ'!AX8</f>
        <v>97.351882916068973</v>
      </c>
      <c r="BB9" s="4392">
        <f>+'Maj Techno Summ'!AY8</f>
        <v>97</v>
      </c>
      <c r="BC9" s="4393">
        <f>+'Maj Techno Summ'!AZ8</f>
        <v>95.387093247836503</v>
      </c>
      <c r="BD9" s="4396">
        <f>+'Maj Techno Summ'!BA8</f>
        <v>97</v>
      </c>
      <c r="BE9" s="4396">
        <f>+'Maj Techno Summ'!BB8</f>
        <v>96.443686731862385</v>
      </c>
      <c r="BF9" s="4397">
        <f>+'Maj Techno Summ'!BC8</f>
        <v>97</v>
      </c>
      <c r="BG9" s="4398">
        <f>+'Maj Techno Summ'!BD8</f>
        <v>96.447304279592444</v>
      </c>
      <c r="BH9" s="4386">
        <f>+'Maj Techno Summ'!BE8</f>
        <v>97</v>
      </c>
      <c r="BI9" s="3847">
        <f>+'Maj Techno Summ'!BF8</f>
        <v>97.183464405484429</v>
      </c>
    </row>
    <row r="10" spans="3:61" x14ac:dyDescent="0.25">
      <c r="C10" s="7430"/>
      <c r="D10" s="4399" t="s">
        <v>358</v>
      </c>
      <c r="E10" s="4389" t="s">
        <v>49</v>
      </c>
      <c r="F10" s="4390">
        <v>91.262623548364061</v>
      </c>
      <c r="G10" s="4391">
        <v>95.322290299597682</v>
      </c>
      <c r="H10" s="4392">
        <f>+'Maj Techno Summ'!E9</f>
        <v>95.322290299597682</v>
      </c>
      <c r="I10" s="4393">
        <f>+'Maj Techno Summ'!F9</f>
        <v>92.782623883203556</v>
      </c>
      <c r="J10" s="4392">
        <f>+'Maj Techno Summ'!G9</f>
        <v>95.322290299597682</v>
      </c>
      <c r="K10" s="4393">
        <f>+'Maj Techno Summ'!H9</f>
        <v>93.667281514284795</v>
      </c>
      <c r="L10" s="4386">
        <f>+'Maj Techno Summ'!I9</f>
        <v>95.322290299597682</v>
      </c>
      <c r="M10" s="3847">
        <f>+'Maj Techno Summ'!J9</f>
        <v>93.233099399768022</v>
      </c>
      <c r="N10" s="4392">
        <f>+'Maj Techno Summ'!K9</f>
        <v>95.322290299597682</v>
      </c>
      <c r="O10" s="4393">
        <f>+'Maj Techno Summ'!L9</f>
        <v>98.227713950605519</v>
      </c>
      <c r="P10" s="4394">
        <f>+'Maj Techno Summ'!M9</f>
        <v>95.322290299597682</v>
      </c>
      <c r="Q10" s="4395">
        <f>+'Maj Techno Summ'!N9</f>
        <v>94.875269559608114</v>
      </c>
      <c r="R10" s="4392">
        <f>+'Maj Techno Summ'!O9</f>
        <v>95.322290299597682</v>
      </c>
      <c r="S10" s="4393">
        <f>+'Maj Techno Summ'!P9</f>
        <v>98.250206298265724</v>
      </c>
      <c r="T10" s="4386">
        <f>+'Maj Techno Summ'!Q9</f>
        <v>95.322290299597682</v>
      </c>
      <c r="U10" s="3847">
        <f>+'Maj Techno Summ'!R9</f>
        <v>95.740491192200722</v>
      </c>
      <c r="V10" s="4392">
        <f>+'Maj Techno Summ'!S9</f>
        <v>95.322290299597682</v>
      </c>
      <c r="W10" s="4393">
        <f>+'Maj Techno Summ'!T9</f>
        <v>97.675956149096592</v>
      </c>
      <c r="X10" s="4386">
        <f>+'Maj Techno Summ'!U9</f>
        <v>95.322290299597682</v>
      </c>
      <c r="Y10" s="3847">
        <f>+'Maj Techno Summ'!V9</f>
        <v>96.13732108821614</v>
      </c>
      <c r="Z10" s="4392">
        <f>+'Maj Techno Summ'!W9</f>
        <v>95.322290299597682</v>
      </c>
      <c r="AA10" s="4393">
        <f>+'Maj Techno Summ'!X9</f>
        <v>95.736451893567065</v>
      </c>
      <c r="AB10" s="4396">
        <f>+'Maj Techno Summ'!Y9</f>
        <v>95.322290299597682</v>
      </c>
      <c r="AC10" s="4396">
        <f>+'Maj Techno Summ'!Z9</f>
        <v>97.236171952031867</v>
      </c>
      <c r="AD10" s="4397">
        <f>+'Maj Techno Summ'!AA9</f>
        <v>95.322290299597682</v>
      </c>
      <c r="AE10" s="4398">
        <f>+'Maj Techno Summ'!AB9</f>
        <v>96.071087983851356</v>
      </c>
      <c r="AF10" s="4392">
        <f>+'Maj Techno Summ'!AC9</f>
        <v>95.322290299597682</v>
      </c>
      <c r="AG10" s="4393">
        <f>+'Maj Techno Summ'!AD9</f>
        <v>95.230804232999446</v>
      </c>
      <c r="AH10" s="4386">
        <f>+'Maj Techno Summ'!AE9</f>
        <v>95.322290299597682</v>
      </c>
      <c r="AI10" s="3847">
        <f>+'Maj Techno Summ'!AF9</f>
        <v>95.949389166948862</v>
      </c>
      <c r="AJ10" s="4392">
        <f>+'Maj Techno Summ'!AG9</f>
        <v>95.322290299597682</v>
      </c>
      <c r="AK10" s="4393">
        <f>+'Maj Techno Summ'!AH9</f>
        <v>93.50019743657765</v>
      </c>
      <c r="AL10" s="4386">
        <f>+'Maj Techno Summ'!AI9</f>
        <v>95.322290299597682</v>
      </c>
      <c r="AM10" s="3847">
        <f>+'Maj Techno Summ'!AJ9</f>
        <v>95.658668350218733</v>
      </c>
      <c r="AN10" s="4392">
        <f>+'Maj Techno Summ'!AK9</f>
        <v>95.322290299597682</v>
      </c>
      <c r="AO10" s="4393">
        <f>+'Maj Techno Summ'!AL9</f>
        <v>95.241553208149213</v>
      </c>
      <c r="AP10" s="4396">
        <f>+'Maj Techno Summ'!AM9</f>
        <v>95.322290299597682</v>
      </c>
      <c r="AQ10" s="4396">
        <f>+'Maj Techno Summ'!AN9</f>
        <v>94.685925174274573</v>
      </c>
      <c r="AR10" s="4386">
        <f>+'Maj Techno Summ'!AO9</f>
        <v>95.322290299597682</v>
      </c>
      <c r="AS10" s="3847">
        <f>+'Maj Techno Summ'!AP9</f>
        <v>95.611289849217911</v>
      </c>
      <c r="AT10" s="4392">
        <f>+'Maj Techno Summ'!AQ9</f>
        <v>95.322290299597682</v>
      </c>
      <c r="AU10" s="4393">
        <f>+'Maj Techno Summ'!AR9</f>
        <v>95.241553208149213</v>
      </c>
      <c r="AV10" s="4386">
        <f>+'Maj Techno Summ'!AS9</f>
        <v>95.322290299597682</v>
      </c>
      <c r="AW10" s="3847">
        <f>+'Maj Techno Summ'!AT9</f>
        <v>95.573576592900537</v>
      </c>
      <c r="AX10" s="4392">
        <f>+'Maj Techno Summ'!AU9</f>
        <v>95.322290299597682</v>
      </c>
      <c r="AY10" s="4393">
        <f>+'Maj Techno Summ'!AV9</f>
        <v>94.642311511595864</v>
      </c>
      <c r="AZ10" s="4386">
        <f>+'Maj Techno Summ'!AW9</f>
        <v>95.322290299597682</v>
      </c>
      <c r="BA10" s="3847">
        <f>+'Maj Techno Summ'!AX9</f>
        <v>95.495143468031216</v>
      </c>
      <c r="BB10" s="4392">
        <f>+'Maj Techno Summ'!AY9</f>
        <v>95.322290299597682</v>
      </c>
      <c r="BC10" s="4393">
        <f>+'Maj Techno Summ'!AZ9</f>
        <v>93.154562017189306</v>
      </c>
      <c r="BD10" s="4396">
        <f>+'Maj Techno Summ'!BA9</f>
        <v>95.322290299597682</v>
      </c>
      <c r="BE10" s="4396">
        <f>+'Maj Techno Summ'!BB9</f>
        <v>94.33567073526487</v>
      </c>
      <c r="BF10" s="4397">
        <f>+'Maj Techno Summ'!BC9</f>
        <v>95.322290299597682</v>
      </c>
      <c r="BG10" s="4398">
        <f>+'Maj Techno Summ'!BD9</f>
        <v>94.511390354399111</v>
      </c>
      <c r="BH10" s="4386">
        <f>+'Maj Techno Summ'!BE9</f>
        <v>95.322290299597682</v>
      </c>
      <c r="BI10" s="3847">
        <f>+'Maj Techno Summ'!BF9</f>
        <v>95.294994166841917</v>
      </c>
    </row>
    <row r="11" spans="3:61" x14ac:dyDescent="0.25">
      <c r="C11" s="7430"/>
      <c r="D11" s="4399" t="s">
        <v>1457</v>
      </c>
      <c r="E11" s="4389" t="s">
        <v>49</v>
      </c>
      <c r="F11" s="4390">
        <v>23.372863219313984</v>
      </c>
      <c r="G11" s="4391">
        <v>25</v>
      </c>
      <c r="H11" s="4392">
        <f>+$G$11</f>
        <v>25</v>
      </c>
      <c r="I11" s="4393">
        <f>+'COKE OVENS'!F214</f>
        <v>24.618124940785474</v>
      </c>
      <c r="J11" s="4392">
        <f>+$G$11</f>
        <v>25</v>
      </c>
      <c r="K11" s="4393">
        <f>+'COKE OVENS'!H214</f>
        <v>24.706229924196233</v>
      </c>
      <c r="L11" s="4386">
        <f>+$G$11</f>
        <v>25</v>
      </c>
      <c r="M11" s="3847">
        <f>+'COKE OVENS'!J214</f>
        <v>24.662988780218317</v>
      </c>
      <c r="N11" s="4392">
        <f>+$G$11</f>
        <v>25</v>
      </c>
      <c r="O11" s="4393">
        <f>+'COKE OVENS'!L214</f>
        <v>25.354447582424175</v>
      </c>
      <c r="P11" s="4394">
        <f>+$G$11</f>
        <v>25</v>
      </c>
      <c r="Q11" s="4395">
        <f>+'COKE OVENS'!N214</f>
        <v>24.890332251908404</v>
      </c>
      <c r="R11" s="4392">
        <f>+$G$11</f>
        <v>25</v>
      </c>
      <c r="S11" s="4393">
        <f>+'COKE OVENS'!P214</f>
        <v>25.916142731405568</v>
      </c>
      <c r="T11" s="4386">
        <f>+$G$11</f>
        <v>25</v>
      </c>
      <c r="U11" s="3847">
        <f>+'COKE OVENS'!R214</f>
        <v>25.153315971761522</v>
      </c>
      <c r="V11" s="4392">
        <f>+$G$11</f>
        <v>25</v>
      </c>
      <c r="W11" s="4393">
        <f>+'COKE OVENS'!T214</f>
        <v>26.000000243380864</v>
      </c>
      <c r="X11" s="4386">
        <f>+$G$11</f>
        <v>25</v>
      </c>
      <c r="Y11" s="3847">
        <f>+'COKE OVENS'!V214</f>
        <v>25.326912311115283</v>
      </c>
      <c r="Z11" s="4392">
        <f>+$G$11</f>
        <v>25</v>
      </c>
      <c r="AA11" s="4393">
        <f>+'COKE OVENS'!X214</f>
        <v>25.355800961223565</v>
      </c>
      <c r="AB11" s="4396">
        <f>+$G$11</f>
        <v>25</v>
      </c>
      <c r="AC11" s="4396">
        <f>+'COKE OVENS'!Z214</f>
        <v>25.761695065957387</v>
      </c>
      <c r="AD11" s="4397">
        <f>+$G$11</f>
        <v>25</v>
      </c>
      <c r="AE11" s="4398">
        <f>+'COKE OVENS'!AB214</f>
        <v>25.331685401697236</v>
      </c>
      <c r="AF11" s="4392">
        <f>+$G$11</f>
        <v>25</v>
      </c>
      <c r="AG11" s="4393">
        <f>+'COKE OVENS'!AD214</f>
        <v>25.353723551439796</v>
      </c>
      <c r="AH11" s="4386">
        <f>+$G$11</f>
        <v>25</v>
      </c>
      <c r="AI11" s="4386">
        <f>+'COKE OVENS'!AF214</f>
        <v>25.334877200595727</v>
      </c>
      <c r="AJ11" s="4392">
        <f>+$G$11</f>
        <v>25</v>
      </c>
      <c r="AK11" s="4393">
        <f>+'COKE OVENS'!AH214</f>
        <v>24.741917464898478</v>
      </c>
      <c r="AL11" s="4386">
        <f>+$G$11</f>
        <v>25</v>
      </c>
      <c r="AM11" s="4386">
        <f>+'COKE OVENS'!AJ214</f>
        <v>25.264492454268066</v>
      </c>
      <c r="AN11" s="4392">
        <f>+$G$11</f>
        <v>25</v>
      </c>
      <c r="AO11" s="4393">
        <f>+'COKE OVENS'!AL214</f>
        <v>25.351663829591232</v>
      </c>
      <c r="AP11" s="4396">
        <f>+$G$11</f>
        <v>25</v>
      </c>
      <c r="AQ11" s="4396">
        <f>+'COKE OVENS'!AN214</f>
        <v>25.159092189468009</v>
      </c>
      <c r="AR11" s="4386">
        <f>+$G$11</f>
        <v>25</v>
      </c>
      <c r="AS11" s="4386">
        <f>+'COKE OVENS'!AP214</f>
        <v>25.274393914743701</v>
      </c>
      <c r="AT11" s="4392">
        <f>+$G$11</f>
        <v>25</v>
      </c>
      <c r="AU11" s="4393">
        <f>+'COKE OVENS'!AR214</f>
        <v>22.433432851471505</v>
      </c>
      <c r="AV11" s="4386">
        <f>+$G$11</f>
        <v>25</v>
      </c>
      <c r="AW11" s="4386">
        <f>+'COKE OVENS'!AT214</f>
        <v>24.984614972474883</v>
      </c>
      <c r="AX11" s="4392">
        <f>+$G$11</f>
        <v>25</v>
      </c>
      <c r="AY11" s="4393">
        <f>+'COKE OVENS'!AV214</f>
        <v>21.847328743645228</v>
      </c>
      <c r="AZ11" s="4386">
        <f>+$G$11</f>
        <v>25</v>
      </c>
      <c r="BA11" s="4386">
        <f>+'COKE OVENS'!AX214</f>
        <v>24.72038605691003</v>
      </c>
      <c r="BB11" s="4392">
        <f>+$G$11</f>
        <v>25</v>
      </c>
      <c r="BC11" s="4393">
        <f>+'COKE OVENS'!AZ214</f>
        <v>24.69401846266727</v>
      </c>
      <c r="BD11" s="4396">
        <f>+'COKE OVENS'!BA214</f>
        <v>25.350686327831198</v>
      </c>
      <c r="BE11" s="4396">
        <f>+'COKE OVENS'!BB214</f>
        <v>23.030989181247179</v>
      </c>
      <c r="BF11" s="4397">
        <f>+'COKE OVENS'!BC214</f>
        <v>25.350686435171081</v>
      </c>
      <c r="BG11" s="4398">
        <f>+'COKE OVENS'!BD214</f>
        <v>24.098640032840429</v>
      </c>
      <c r="BH11" s="4386">
        <f>+'COKE OVENS'!BE214</f>
        <v>25.402951387561952</v>
      </c>
      <c r="BI11" s="3847">
        <f>+'COKE OVENS'!BF214</f>
        <v>24.718131294291183</v>
      </c>
    </row>
    <row r="12" spans="3:61" ht="15.75" hidden="1" thickBot="1" x14ac:dyDescent="0.3">
      <c r="C12" s="7430"/>
      <c r="D12" s="4399" t="s">
        <v>1458</v>
      </c>
      <c r="E12" s="4389" t="s">
        <v>221</v>
      </c>
      <c r="F12" s="4390"/>
      <c r="G12" s="4400">
        <v>18.469687305965394</v>
      </c>
      <c r="H12" s="4401">
        <f>+'COKE OVENS'!E62</f>
        <v>0</v>
      </c>
      <c r="I12" s="4401">
        <f>+'COKE OVENS'!F62</f>
        <v>0</v>
      </c>
      <c r="J12" s="4401">
        <f>+'COKE OVENS'!G62</f>
        <v>0</v>
      </c>
      <c r="K12" s="4401">
        <f>+'COKE OVENS'!H62</f>
        <v>0</v>
      </c>
      <c r="L12" s="4402">
        <f>+'COKE OVENS'!I62</f>
        <v>0</v>
      </c>
      <c r="M12" s="4402">
        <f>+'COKE OVENS'!J62</f>
        <v>0</v>
      </c>
      <c r="N12" s="4401">
        <f>+'COKE OVENS'!K62</f>
        <v>0</v>
      </c>
      <c r="O12" s="4401">
        <f>+'COKE OVENS'!L62</f>
        <v>0</v>
      </c>
      <c r="P12" s="4403">
        <f>+'COKE OVENS'!M62</f>
        <v>0</v>
      </c>
      <c r="Q12" s="4403">
        <f>+'COKE OVENS'!N62</f>
        <v>0</v>
      </c>
      <c r="R12" s="4401">
        <f>+'COKE OVENS'!O62</f>
        <v>0</v>
      </c>
      <c r="S12" s="4401">
        <f>+'COKE OVENS'!P62</f>
        <v>0</v>
      </c>
      <c r="T12" s="4402">
        <f>+'COKE OVENS'!Q62</f>
        <v>0</v>
      </c>
      <c r="U12" s="4402">
        <f>+'COKE OVENS'!R62</f>
        <v>0</v>
      </c>
      <c r="V12" s="4401">
        <f>+'COKE OVENS'!S62</f>
        <v>0</v>
      </c>
      <c r="W12" s="4401">
        <f>+'COKE OVENS'!T62</f>
        <v>0</v>
      </c>
      <c r="X12" s="4402">
        <f>+'COKE OVENS'!U62</f>
        <v>0</v>
      </c>
      <c r="Y12" s="4402">
        <f>+'COKE OVENS'!V62</f>
        <v>0</v>
      </c>
      <c r="Z12" s="4401">
        <f>+'COKE OVENS'!W62</f>
        <v>0</v>
      </c>
      <c r="AA12" s="4401">
        <f>+'COKE OVENS'!X62</f>
        <v>0</v>
      </c>
      <c r="AB12" s="4404">
        <f>+'COKE OVENS'!Y62</f>
        <v>0</v>
      </c>
      <c r="AC12" s="4404">
        <f>+'COKE OVENS'!Z62</f>
        <v>0</v>
      </c>
      <c r="AD12" s="4397">
        <f>+'COKE OVENS'!AA62</f>
        <v>0</v>
      </c>
      <c r="AE12" s="4398">
        <f>+'COKE OVENS'!AB62</f>
        <v>0</v>
      </c>
      <c r="AF12" s="4401">
        <f>+'COKE OVENS'!AC62</f>
        <v>0</v>
      </c>
      <c r="AG12" s="4401">
        <f>+'COKE OVENS'!AD62</f>
        <v>0</v>
      </c>
      <c r="AH12" s="4402">
        <f>+'COKE OVENS'!AE62</f>
        <v>0</v>
      </c>
      <c r="AI12" s="4402">
        <f>+'COKE OVENS'!AF62</f>
        <v>0</v>
      </c>
      <c r="AJ12" s="4401">
        <f>+'COKE OVENS'!AG62</f>
        <v>0</v>
      </c>
      <c r="AK12" s="4401">
        <f>+'COKE OVENS'!AH62</f>
        <v>0</v>
      </c>
      <c r="AL12" s="4402">
        <f>+'COKE OVENS'!AI62</f>
        <v>0</v>
      </c>
      <c r="AM12" s="4402">
        <f>+'COKE OVENS'!AJ62</f>
        <v>0</v>
      </c>
      <c r="AN12" s="4401">
        <f>+'COKE OVENS'!AK62</f>
        <v>0</v>
      </c>
      <c r="AO12" s="4401">
        <f>+'COKE OVENS'!AL62</f>
        <v>0</v>
      </c>
      <c r="AP12" s="4404">
        <f>+'COKE OVENS'!AM62</f>
        <v>0</v>
      </c>
      <c r="AQ12" s="4404">
        <f>+'COKE OVENS'!AN62</f>
        <v>0</v>
      </c>
      <c r="AR12" s="4402">
        <f>+'COKE OVENS'!AO62</f>
        <v>0</v>
      </c>
      <c r="AS12" s="4402">
        <f>+'COKE OVENS'!AP62</f>
        <v>0</v>
      </c>
      <c r="AT12" s="4401">
        <f>+'COKE OVENS'!AQ62</f>
        <v>0</v>
      </c>
      <c r="AU12" s="4401">
        <f>+'COKE OVENS'!AR62</f>
        <v>0</v>
      </c>
      <c r="AV12" s="4402">
        <f>+'COKE OVENS'!AS62</f>
        <v>0</v>
      </c>
      <c r="AW12" s="4402">
        <f>+'COKE OVENS'!AT62</f>
        <v>0</v>
      </c>
      <c r="AX12" s="4401">
        <f>+'COKE OVENS'!AU62</f>
        <v>0</v>
      </c>
      <c r="AY12" s="4401">
        <f>+'COKE OVENS'!AV62</f>
        <v>0</v>
      </c>
      <c r="AZ12" s="4402">
        <f>+'COKE OVENS'!AW62</f>
        <v>0</v>
      </c>
      <c r="BA12" s="4402">
        <f>+'COKE OVENS'!AX62</f>
        <v>0</v>
      </c>
      <c r="BB12" s="4401">
        <f>+'COKE OVENS'!AY62</f>
        <v>0</v>
      </c>
      <c r="BC12" s="4401">
        <f>+'COKE OVENS'!AZ62</f>
        <v>0</v>
      </c>
      <c r="BD12" s="4405">
        <f>+'COKE OVENS'!BA62</f>
        <v>0</v>
      </c>
      <c r="BE12" s="4405">
        <f>+'COKE OVENS'!BB62</f>
        <v>0</v>
      </c>
      <c r="BF12" s="4406">
        <f>+'COKE OVENS'!BC62</f>
        <v>0</v>
      </c>
      <c r="BG12" s="4407">
        <f>+'COKE OVENS'!BD62</f>
        <v>0</v>
      </c>
      <c r="BH12" s="4402">
        <f>+'COKE OVENS'!BE62</f>
        <v>0</v>
      </c>
      <c r="BI12" s="3848">
        <f>+'COKE OVENS'!BF62</f>
        <v>0</v>
      </c>
    </row>
    <row r="13" spans="3:61" x14ac:dyDescent="0.25">
      <c r="C13" s="7430"/>
      <c r="D13" s="4408"/>
      <c r="E13" s="4409"/>
      <c r="F13" s="4409"/>
      <c r="G13" s="4409"/>
      <c r="H13" s="4409"/>
      <c r="I13" s="4409"/>
      <c r="J13" s="4409"/>
      <c r="K13" s="4409"/>
      <c r="L13" s="4410"/>
      <c r="M13" s="4410"/>
      <c r="N13" s="4409"/>
      <c r="O13" s="4409"/>
      <c r="P13" s="4409"/>
      <c r="Q13" s="4409"/>
      <c r="R13" s="4409"/>
      <c r="S13" s="4409"/>
      <c r="T13" s="4409"/>
      <c r="U13" s="4409"/>
      <c r="V13" s="4409"/>
      <c r="W13" s="4409"/>
      <c r="X13" s="4409"/>
      <c r="Y13" s="4409"/>
      <c r="Z13" s="4409"/>
      <c r="AA13" s="4409"/>
      <c r="AB13" s="4409"/>
      <c r="AC13" s="4409"/>
      <c r="AD13" s="4409"/>
      <c r="AE13" s="4411"/>
      <c r="AF13" s="4409"/>
      <c r="AG13" s="4409"/>
      <c r="AH13" s="4409"/>
      <c r="AI13" s="4409"/>
      <c r="AJ13" s="4409"/>
      <c r="AK13" s="4409"/>
      <c r="AL13" s="4409"/>
      <c r="AM13" s="4409"/>
      <c r="AN13" s="4409"/>
      <c r="AO13" s="4409"/>
      <c r="AP13" s="4409"/>
      <c r="AQ13" s="4409"/>
      <c r="AR13" s="4409"/>
      <c r="AS13" s="4409"/>
      <c r="AT13" s="4409"/>
      <c r="AU13" s="4409"/>
      <c r="AV13" s="4409"/>
      <c r="AW13" s="4409"/>
      <c r="AX13" s="4409"/>
      <c r="AY13" s="4409"/>
      <c r="AZ13" s="4409"/>
      <c r="BA13" s="4409"/>
      <c r="BB13" s="4409"/>
      <c r="BC13" s="4409"/>
      <c r="BD13" s="4409"/>
      <c r="BE13" s="4409"/>
      <c r="BF13" s="4409"/>
      <c r="BG13" s="4411"/>
      <c r="BH13" s="4409"/>
      <c r="BI13" s="4411"/>
    </row>
    <row r="14" spans="3:61" x14ac:dyDescent="0.25">
      <c r="C14" s="7430"/>
      <c r="D14" s="4412" t="s">
        <v>1053</v>
      </c>
      <c r="E14" s="4409"/>
      <c r="F14" s="4409"/>
      <c r="G14" s="4409"/>
      <c r="H14" s="4409"/>
      <c r="I14" s="4409"/>
      <c r="J14" s="4409"/>
      <c r="K14" s="4409"/>
      <c r="L14" s="4410"/>
      <c r="M14" s="4410"/>
      <c r="N14" s="4409"/>
      <c r="O14" s="4409"/>
      <c r="P14" s="4409"/>
      <c r="Q14" s="4409"/>
      <c r="R14" s="4409"/>
      <c r="S14" s="4409"/>
      <c r="T14" s="4409"/>
      <c r="U14" s="4409"/>
      <c r="V14" s="4409"/>
      <c r="W14" s="4409"/>
      <c r="X14" s="4409"/>
      <c r="Y14" s="4409"/>
      <c r="Z14" s="4409"/>
      <c r="AA14" s="4409"/>
      <c r="AB14" s="4409"/>
      <c r="AC14" s="4409"/>
      <c r="AD14" s="4409"/>
      <c r="AE14" s="4411"/>
      <c r="AF14" s="4409"/>
      <c r="AG14" s="4409"/>
      <c r="AH14" s="4409"/>
      <c r="AI14" s="4409"/>
      <c r="AJ14" s="4409"/>
      <c r="AK14" s="4409"/>
      <c r="AL14" s="4409"/>
      <c r="AM14" s="4409"/>
      <c r="AN14" s="4409"/>
      <c r="AO14" s="4409"/>
      <c r="AP14" s="4409"/>
      <c r="AQ14" s="4409"/>
      <c r="AR14" s="4409"/>
      <c r="AS14" s="4409"/>
      <c r="AT14" s="4409"/>
      <c r="AU14" s="4409"/>
      <c r="AV14" s="4409"/>
      <c r="AW14" s="4409"/>
      <c r="AX14" s="4409"/>
      <c r="AY14" s="4409"/>
      <c r="AZ14" s="4409"/>
      <c r="BA14" s="4409"/>
      <c r="BB14" s="4409"/>
      <c r="BC14" s="4409"/>
      <c r="BD14" s="4409"/>
      <c r="BE14" s="4409"/>
      <c r="BF14" s="4409"/>
      <c r="BG14" s="4411"/>
      <c r="BH14" s="4409"/>
      <c r="BI14" s="4411"/>
    </row>
    <row r="15" spans="3:61" x14ac:dyDescent="0.25">
      <c r="C15" s="7430"/>
      <c r="D15" s="4413" t="s">
        <v>1457</v>
      </c>
      <c r="E15" s="4389" t="s">
        <v>49</v>
      </c>
      <c r="F15" s="4414">
        <v>23.078854449800236</v>
      </c>
      <c r="G15" s="4415">
        <v>25</v>
      </c>
      <c r="H15" s="4385">
        <f>+$G$15</f>
        <v>25</v>
      </c>
      <c r="I15" s="3868">
        <f>+'COKE OVENS'!F148</f>
        <v>25.999956452631356</v>
      </c>
      <c r="J15" s="4385">
        <f>+$G$15</f>
        <v>25</v>
      </c>
      <c r="K15" s="3868">
        <f>+'COKE OVENS'!H148</f>
        <v>26.000017485115794</v>
      </c>
      <c r="L15" s="4386">
        <f>+$G$15</f>
        <v>25</v>
      </c>
      <c r="M15" s="3847">
        <f>+'COKE OVENS'!J148</f>
        <v>25.999987533825632</v>
      </c>
      <c r="N15" s="4385">
        <f>+$G$15</f>
        <v>25</v>
      </c>
      <c r="O15" s="3868">
        <f>+'COKE OVENS'!L148</f>
        <v>25.999985514016998</v>
      </c>
      <c r="P15" s="4394">
        <f>+$G$15</f>
        <v>25</v>
      </c>
      <c r="Q15" s="4395">
        <f>+'COKE OVENS'!N148</f>
        <v>25.999986868000125</v>
      </c>
      <c r="R15" s="4385">
        <f>+$G$15</f>
        <v>25</v>
      </c>
      <c r="S15" s="3868">
        <f>+'COKE OVENS'!P148</f>
        <v>26.000041978150367</v>
      </c>
      <c r="T15" s="4386">
        <f>+$G$15</f>
        <v>25</v>
      </c>
      <c r="U15" s="3847">
        <f>+'COKE OVENS'!R148</f>
        <v>26.000000890066548</v>
      </c>
      <c r="V15" s="4385">
        <f>+$G$15</f>
        <v>25</v>
      </c>
      <c r="W15" s="3868">
        <f>+'COKE OVENS'!T148</f>
        <v>26.000006857581742</v>
      </c>
      <c r="X15" s="4386">
        <f>+$G$15</f>
        <v>25</v>
      </c>
      <c r="Y15" s="3847">
        <f>+'COKE OVENS'!V148</f>
        <v>26.000002119902387</v>
      </c>
      <c r="Z15" s="4385">
        <f>+$G$15</f>
        <v>25</v>
      </c>
      <c r="AA15" s="3868">
        <f>+'COKE OVENS'!X148</f>
        <v>26.000035430838999</v>
      </c>
      <c r="AB15" s="4394">
        <f>+$G$15</f>
        <v>25</v>
      </c>
      <c r="AC15" s="4394">
        <f>+'COKE OVENS'!Z148</f>
        <v>26.000027915059125</v>
      </c>
      <c r="AD15" s="4397">
        <f>+$G$15</f>
        <v>25</v>
      </c>
      <c r="AE15" s="4398">
        <f>+'COKE OVENS'!AB148</f>
        <v>26.000007658774493</v>
      </c>
      <c r="AF15" s="4385">
        <f>+$G$15</f>
        <v>25</v>
      </c>
      <c r="AG15" s="3868">
        <f>+'COKE OVENS'!AD148</f>
        <v>25.999304831421622</v>
      </c>
      <c r="AH15" s="4386">
        <f>+$G$15</f>
        <v>25</v>
      </c>
      <c r="AI15" s="4386">
        <f>+'COKE OVENS'!AF148</f>
        <v>25.999905798172833</v>
      </c>
      <c r="AJ15" s="4385">
        <f>+$G$15</f>
        <v>25</v>
      </c>
      <c r="AK15" s="3868">
        <f>+'COKE OVENS'!AH148</f>
        <v>24.269985280943214</v>
      </c>
      <c r="AL15" s="4386">
        <f>+$G$15</f>
        <v>25</v>
      </c>
      <c r="AM15" s="4386">
        <f>+'COKE OVENS'!AJ148</f>
        <v>25.794582763580827</v>
      </c>
      <c r="AN15" s="4385">
        <f>+$G$15</f>
        <v>25</v>
      </c>
      <c r="AO15" s="3868">
        <f>+'COKE OVENS'!AL148</f>
        <v>25.999944268542031</v>
      </c>
      <c r="AP15" s="4394">
        <f>+$G$15</f>
        <v>25</v>
      </c>
      <c r="AQ15" s="4394">
        <f>+'COKE OVENS'!AN148</f>
        <v>25.450538306665877</v>
      </c>
      <c r="AR15" s="4386">
        <f>+$G$15</f>
        <v>25</v>
      </c>
      <c r="AS15" s="4386">
        <f>+'COKE OVENS'!AP148</f>
        <v>25.817798640772644</v>
      </c>
      <c r="AT15" s="4385">
        <f>+$G$15</f>
        <v>25</v>
      </c>
      <c r="AU15" s="3868">
        <f>+'COKE OVENS'!AR148</f>
        <v>21.032181433761423</v>
      </c>
      <c r="AV15" s="4386">
        <f>+$G$15</f>
        <v>25</v>
      </c>
      <c r="AW15" s="4386">
        <f>+'COKE OVENS'!AT148</f>
        <v>25.331738732663933</v>
      </c>
      <c r="AX15" s="4385">
        <f>+$G$15</f>
        <v>25</v>
      </c>
      <c r="AY15" s="3868">
        <f>+'COKE OVENS'!AV148</f>
        <v>22.357142857142858</v>
      </c>
      <c r="AZ15" s="4386">
        <f>+$G$15</f>
        <v>25</v>
      </c>
      <c r="BA15" s="4386">
        <f>+'COKE OVENS'!AX148</f>
        <v>25.082537176108431</v>
      </c>
      <c r="BB15" s="4385">
        <f>+$G$15</f>
        <v>25</v>
      </c>
      <c r="BC15" s="3868">
        <f>+'COKE OVENS'!AZ148</f>
        <v>24.129023853404028</v>
      </c>
      <c r="BD15" s="4396">
        <f>+'COKE OVENS'!BA148</f>
        <v>26.014421037749187</v>
      </c>
      <c r="BE15" s="4396">
        <f>+'COKE OVENS'!BB148</f>
        <v>22.511239256456214</v>
      </c>
      <c r="BF15" s="4397">
        <f>+'COKE OVENS'!BC148</f>
        <v>26.014421356377937</v>
      </c>
      <c r="BG15" s="4398">
        <f>+'COKE OVENS'!BD148</f>
        <v>23.989218138526518</v>
      </c>
      <c r="BH15" s="4386">
        <f>+'COKE OVENS'!BE148</f>
        <v>25.955676567630952</v>
      </c>
      <c r="BI15" s="3847">
        <f>+'COKE OVENS'!BF148</f>
        <v>25.001359435966847</v>
      </c>
    </row>
    <row r="16" spans="3:61" x14ac:dyDescent="0.25">
      <c r="C16" s="7430"/>
      <c r="D16" s="4413" t="s">
        <v>1458</v>
      </c>
      <c r="E16" s="4389" t="s">
        <v>221</v>
      </c>
      <c r="F16" s="4013"/>
      <c r="G16" s="4400">
        <v>18.960953126358817</v>
      </c>
      <c r="H16" s="4401">
        <f>+'COKE OVENS'!E60</f>
        <v>19.102040816326529</v>
      </c>
      <c r="I16" s="4401">
        <f>+'COKE OVENS'!F60</f>
        <v>19.066666666666666</v>
      </c>
      <c r="J16" s="4401">
        <f>+'COKE OVENS'!G60</f>
        <v>19.102040816326529</v>
      </c>
      <c r="K16" s="4401">
        <f>+'COKE OVENS'!H60</f>
        <v>19.016666666666666</v>
      </c>
      <c r="L16" s="4402">
        <f>+'COKE OVENS'!I60</f>
        <v>19.102040816326532</v>
      </c>
      <c r="M16" s="4402">
        <f>+'COKE OVENS'!J60</f>
        <v>19.04120385953102</v>
      </c>
      <c r="N16" s="4401">
        <f>+'COKE OVENS'!K60</f>
        <v>18.962273831104426</v>
      </c>
      <c r="O16" s="4401">
        <f>+'COKE OVENS'!L60</f>
        <v>19.116666666666667</v>
      </c>
      <c r="P16" s="4403">
        <f>+'COKE OVENS'!M60</f>
        <v>19.056135344934113</v>
      </c>
      <c r="Q16" s="4403">
        <f>+'COKE OVENS'!N60</f>
        <v>19.066080024067389</v>
      </c>
      <c r="R16" s="4401">
        <f>+'COKE OVENS'!O60</f>
        <v>19</v>
      </c>
      <c r="S16" s="4401">
        <f>+'COKE OVENS'!P60</f>
        <v>18.966666666666665</v>
      </c>
      <c r="T16" s="4402">
        <f>+'COKE OVENS'!Q60</f>
        <v>19.042070434511732</v>
      </c>
      <c r="U16" s="4402">
        <f>+'COKE OVENS'!R60</f>
        <v>19.040785600134576</v>
      </c>
      <c r="V16" s="4401">
        <f>+'COKE OVENS'!S60</f>
        <v>19</v>
      </c>
      <c r="W16" s="4401">
        <f>+'COKE OVENS'!T60</f>
        <v>18.883333333333333</v>
      </c>
      <c r="X16" s="4402">
        <f>+'COKE OVENS'!U60</f>
        <v>19.033641449605149</v>
      </c>
      <c r="Y16" s="4402">
        <f>+'COKE OVENS'!V60</f>
        <v>19.008740313972446</v>
      </c>
      <c r="Z16" s="4401">
        <f>+'COKE OVENS'!W60</f>
        <v>19</v>
      </c>
      <c r="AA16" s="4401">
        <f>+'COKE OVENS'!X60</f>
        <v>18.883333333333333</v>
      </c>
      <c r="AB16" s="4394">
        <f>+'COKE OVENS'!Y60</f>
        <v>19</v>
      </c>
      <c r="AC16" s="4394">
        <f>+'COKE OVENS'!Z60</f>
        <v>18.911333259283943</v>
      </c>
      <c r="AD16" s="4397">
        <f>+'COKE OVENS'!AA60</f>
        <v>19.028177988800984</v>
      </c>
      <c r="AE16" s="4398">
        <f>+'COKE OVENS'!AB60</f>
        <v>18.988104699539189</v>
      </c>
      <c r="AF16" s="4401">
        <f>+'COKE OVENS'!AC60</f>
        <v>19</v>
      </c>
      <c r="AG16" s="4401">
        <f>+'COKE OVENS'!AD60</f>
        <v>18.933333333333334</v>
      </c>
      <c r="AH16" s="4402">
        <f>+'COKE OVENS'!AE60</f>
        <v>19.024128789890728</v>
      </c>
      <c r="AI16" s="4402">
        <f>+'COKE OVENS'!AF60</f>
        <v>18.980145100853065</v>
      </c>
      <c r="AJ16" s="4401">
        <f>+'COKE OVENS'!AG60</f>
        <v>19</v>
      </c>
      <c r="AK16" s="4401">
        <f>+'COKE OVENS'!AH60</f>
        <v>19.666666666666668</v>
      </c>
      <c r="AL16" s="4402">
        <f>+'COKE OVENS'!AI60</f>
        <v>19.021182973925061</v>
      </c>
      <c r="AM16" s="4402">
        <f>+'COKE OVENS'!AJ60</f>
        <v>19.061975787196989</v>
      </c>
      <c r="AN16" s="4401">
        <f>+'COKE OVENS'!AK60</f>
        <v>19</v>
      </c>
      <c r="AO16" s="4401">
        <f>+'COKE OVENS'!AL60</f>
        <v>19</v>
      </c>
      <c r="AP16" s="4394">
        <f>+'COKE OVENS'!AM60</f>
        <v>19</v>
      </c>
      <c r="AQ16" s="4394">
        <f>+'COKE OVENS'!AN60</f>
        <v>19.189047351675089</v>
      </c>
      <c r="AR16" s="4402">
        <f>+'COKE OVENS'!AO60</f>
        <v>19.01880996924606</v>
      </c>
      <c r="AS16" s="4402">
        <f>+'COKE OVENS'!AP60</f>
        <v>19.054942975247769</v>
      </c>
      <c r="AT16" s="4401">
        <f>+'COKE OVENS'!AQ60</f>
        <v>19</v>
      </c>
      <c r="AU16" s="4401">
        <f>+'COKE OVENS'!AR60</f>
        <v>18.933333333333334</v>
      </c>
      <c r="AV16" s="4402">
        <f>+'COKE OVENS'!AS60</f>
        <v>19.016915072592305</v>
      </c>
      <c r="AW16" s="4402">
        <f>+'COKE OVENS'!AT60</f>
        <v>19.04254948004025</v>
      </c>
      <c r="AX16" s="4401">
        <f>+'COKE OVENS'!AU60</f>
        <v>19</v>
      </c>
      <c r="AY16" s="4401">
        <f>+'COKE OVENS'!AV60</f>
        <v>19.033333333333335</v>
      </c>
      <c r="AZ16" s="4402">
        <f>+'COKE OVENS'!AW60</f>
        <v>19.015504332959978</v>
      </c>
      <c r="BA16" s="4402">
        <f>+'COKE OVENS'!AX60</f>
        <v>19.04177497823526</v>
      </c>
      <c r="BB16" s="4401">
        <f>+'COKE OVENS'!AY60</f>
        <v>19</v>
      </c>
      <c r="BC16" s="4401">
        <f>+'COKE OVENS'!AZ60</f>
        <v>18.966666666666665</v>
      </c>
      <c r="BD16" s="4405">
        <f>+'COKE OVENS'!BA60</f>
        <v>19</v>
      </c>
      <c r="BE16" s="4405">
        <f>+'COKE OVENS'!BB60</f>
        <v>18.975867287103242</v>
      </c>
      <c r="BF16" s="4406">
        <f>+'COKE OVENS'!BC60</f>
        <v>19</v>
      </c>
      <c r="BG16" s="4407">
        <f>+'COKE OVENS'!BD60</f>
        <v>19.083022879506288</v>
      </c>
      <c r="BH16" s="4402">
        <f>+'COKE OVENS'!BE60</f>
        <v>19.014193724311692</v>
      </c>
      <c r="BI16" s="3848">
        <f>+'COKE OVENS'!BF60</f>
        <v>19.035362392153552</v>
      </c>
    </row>
    <row r="17" spans="3:61" ht="16.5" x14ac:dyDescent="0.25">
      <c r="C17" s="7430"/>
      <c r="D17" s="4413" t="s">
        <v>1054</v>
      </c>
      <c r="E17" s="4389" t="s">
        <v>49</v>
      </c>
      <c r="F17" s="4390">
        <v>84.340172124348669</v>
      </c>
      <c r="G17" s="7115" t="str">
        <f>+[1]CO!O159</f>
        <v>85.0-86.5</v>
      </c>
      <c r="H17" s="4392" t="s">
        <v>2268</v>
      </c>
      <c r="I17" s="4393">
        <f>+'COKE OVENS'!F158</f>
        <v>86.12</v>
      </c>
      <c r="J17" s="4392" t="s">
        <v>2268</v>
      </c>
      <c r="K17" s="4393">
        <f>+'COKE OVENS'!H158</f>
        <v>86.48</v>
      </c>
      <c r="L17" s="4386" t="s">
        <v>2268</v>
      </c>
      <c r="M17" s="3847">
        <f>+'COKE OVENS'!J158</f>
        <v>86.303332211376642</v>
      </c>
      <c r="N17" s="4392" t="s">
        <v>1753</v>
      </c>
      <c r="O17" s="4393">
        <f>+'COKE OVENS'!L158</f>
        <v>86.74639534883724</v>
      </c>
      <c r="P17" s="4394" t="str">
        <f>+'COKE OVENS'!M158</f>
        <v>85.0-86.5</v>
      </c>
      <c r="Q17" s="4395">
        <f>+'COKE OVENS'!N158</f>
        <v>86.448705035619682</v>
      </c>
      <c r="R17" s="4392" t="s">
        <v>1753</v>
      </c>
      <c r="S17" s="4393">
        <f>+'COKE OVENS'!P158</f>
        <v>86.803258426966309</v>
      </c>
      <c r="T17" s="4386" t="str">
        <f>+'COKE OVENS'!Q158</f>
        <v>85.0-86.5</v>
      </c>
      <c r="U17" s="3847">
        <f>+'COKE OVENS'!R158</f>
        <v>86.539074078259389</v>
      </c>
      <c r="V17" s="4392" t="s">
        <v>1753</v>
      </c>
      <c r="W17" s="4393">
        <f>+'COKE OVENS'!T158</f>
        <v>87.09</v>
      </c>
      <c r="X17" s="4386" t="str">
        <f>+'COKE OVENS'!U158</f>
        <v>85.0-86.5</v>
      </c>
      <c r="Y17" s="3847">
        <f>+'COKE OVENS'!V158</f>
        <v>86.651352295544484</v>
      </c>
      <c r="Z17" s="4392" t="s">
        <v>1753</v>
      </c>
      <c r="AA17" s="4393">
        <f>+'COKE OVENS'!X158</f>
        <v>86.85</v>
      </c>
      <c r="AB17" s="4394" t="str">
        <f>+'COKE OVENS'!Y158</f>
        <v>85.0-86.5</v>
      </c>
      <c r="AC17" s="4394">
        <f>+'COKE OVENS'!Z158</f>
        <v>86.915279409844004</v>
      </c>
      <c r="AD17" s="4397" t="str">
        <f>+'COKE OVENS'!AA158</f>
        <v>85.0-86.5</v>
      </c>
      <c r="AE17" s="4398">
        <f>+'COKE OVENS'!AB158</f>
        <v>86.684076541863334</v>
      </c>
      <c r="AF17" s="4392" t="s">
        <v>1753</v>
      </c>
      <c r="AG17" s="4393">
        <f>+'COKE OVENS'!AD158</f>
        <v>86.86</v>
      </c>
      <c r="AH17" s="4386" t="str">
        <f>+'COKE OVENS'!AE158</f>
        <v>85.0-86.5</v>
      </c>
      <c r="AI17" s="3847">
        <f>+'COKE OVENS'!AF158</f>
        <v>86.709667267063708</v>
      </c>
      <c r="AJ17" s="4392" t="s">
        <v>1753</v>
      </c>
      <c r="AK17" s="4393">
        <f>+'COKE OVENS'!AH158</f>
        <v>86.55</v>
      </c>
      <c r="AL17" s="4386" t="str">
        <f>+'COKE OVENS'!AI158</f>
        <v>85.0-86.5</v>
      </c>
      <c r="AM17" s="3847">
        <f>+'COKE OVENS'!AJ158</f>
        <v>86.690621763800493</v>
      </c>
      <c r="AN17" s="4392" t="s">
        <v>1753</v>
      </c>
      <c r="AO17" s="4393">
        <f>+'COKE OVENS'!AL158</f>
        <v>86.5</v>
      </c>
      <c r="AP17" s="4394" t="str">
        <f>+'COKE OVENS'!AM158</f>
        <v>85.0-86.5</v>
      </c>
      <c r="AQ17" s="4394">
        <f>+'COKE OVENS'!AN158</f>
        <v>86.639034849664029</v>
      </c>
      <c r="AR17" s="4386" t="str">
        <f>+'COKE OVENS'!AO158</f>
        <v>85.0-86.5</v>
      </c>
      <c r="AS17" s="3847">
        <f>+'COKE OVENS'!AP158</f>
        <v>86.669107485491253</v>
      </c>
      <c r="AT17" s="4392" t="s">
        <v>1753</v>
      </c>
      <c r="AU17" s="4393">
        <f>+'COKE OVENS'!AR158</f>
        <v>86.4</v>
      </c>
      <c r="AV17" s="4386" t="str">
        <f>+'COKE OVENS'!AS158</f>
        <v>85.0-86.5</v>
      </c>
      <c r="AW17" s="3847">
        <f>+'COKE OVENS'!AT158</f>
        <v>86.641610563486651</v>
      </c>
      <c r="AX17" s="4392" t="s">
        <v>1753</v>
      </c>
      <c r="AY17" s="4393">
        <f>+'COKE OVENS'!AV158</f>
        <v>86.45</v>
      </c>
      <c r="AZ17" s="4386" t="str">
        <f>+'COKE OVENS'!AW158</f>
        <v>85.0-86.5</v>
      </c>
      <c r="BA17" s="3847">
        <f>+'COKE OVENS'!AX158</f>
        <v>86.625489483429746</v>
      </c>
      <c r="BB17" s="4392" t="s">
        <v>1753</v>
      </c>
      <c r="BC17" s="4393">
        <f>+'COKE OVENS'!AZ158</f>
        <v>86.43</v>
      </c>
      <c r="BD17" s="4396" t="str">
        <f>+'COKE OVENS'!BA158</f>
        <v>85.0-86.5</v>
      </c>
      <c r="BE17" s="4396">
        <f>+'COKE OVENS'!BB158</f>
        <v>86.425852249134721</v>
      </c>
      <c r="BF17" s="4397" t="str">
        <f>+'COKE OVENS'!BC158</f>
        <v>85.0-86.5</v>
      </c>
      <c r="BG17" s="4398">
        <f>+'COKE OVENS'!BD158</f>
        <v>86.532855538033445</v>
      </c>
      <c r="BH17" s="4386" t="str">
        <f>+'COKE OVENS'!BE158</f>
        <v>85.0-86.5</v>
      </c>
      <c r="BI17" s="3847">
        <f>+'COKE OVENS'!BF158</f>
        <v>86.608781371004426</v>
      </c>
    </row>
    <row r="18" spans="3:61" x14ac:dyDescent="0.25">
      <c r="C18" s="7430"/>
      <c r="D18" s="4413" t="s">
        <v>205</v>
      </c>
      <c r="E18" s="4389" t="s">
        <v>49</v>
      </c>
      <c r="F18" s="4390">
        <v>7.9983421553617724</v>
      </c>
      <c r="G18" s="4391" t="s">
        <v>2269</v>
      </c>
      <c r="H18" s="4392" t="s">
        <v>2269</v>
      </c>
      <c r="I18" s="4393">
        <f>+'COKE OVENS'!F159</f>
        <v>7.74</v>
      </c>
      <c r="J18" s="4392" t="s">
        <v>2269</v>
      </c>
      <c r="K18" s="4393">
        <f>+'COKE OVENS'!H159</f>
        <v>7.64</v>
      </c>
      <c r="L18" s="4386" t="s">
        <v>2269</v>
      </c>
      <c r="M18" s="3847">
        <f>+'COKE OVENS'!J159</f>
        <v>7.6890743857287109</v>
      </c>
      <c r="N18" s="4392" t="s">
        <v>1754</v>
      </c>
      <c r="O18" s="4393">
        <f>+'COKE OVENS'!L159</f>
        <v>7.4724418604651159</v>
      </c>
      <c r="P18" s="4394" t="str">
        <f>+'COKE OVENS'!M159</f>
        <v>7.5-8.0</v>
      </c>
      <c r="Q18" s="4395">
        <f>+'COKE OVENS'!N159</f>
        <v>7.6179953918837997</v>
      </c>
      <c r="R18" s="4392" t="s">
        <v>1754</v>
      </c>
      <c r="S18" s="4393">
        <f>+'COKE OVENS'!P159</f>
        <v>7.6134831460674164</v>
      </c>
      <c r="T18" s="4386" t="str">
        <f>+'COKE OVENS'!Q159</f>
        <v>7.5-8.0</v>
      </c>
      <c r="U18" s="3847">
        <f>+'COKE OVENS'!R159</f>
        <v>7.6168453046345057</v>
      </c>
      <c r="V18" s="4392" t="s">
        <v>1754</v>
      </c>
      <c r="W18" s="4393">
        <f>+'COKE OVENS'!T159</f>
        <v>7.6</v>
      </c>
      <c r="X18" s="4386" t="str">
        <f>+'COKE OVENS'!U159</f>
        <v>7.5-8.0</v>
      </c>
      <c r="Y18" s="3847">
        <f>+'COKE OVENS'!V159</f>
        <v>7.6134122463968188</v>
      </c>
      <c r="Z18" s="4392" t="s">
        <v>1754</v>
      </c>
      <c r="AA18" s="4393">
        <f>+'COKE OVENS'!X159</f>
        <v>7.73</v>
      </c>
      <c r="AB18" s="4394" t="str">
        <f>+'COKE OVENS'!Y159</f>
        <v>7.5-8.0</v>
      </c>
      <c r="AC18" s="4394">
        <f>+'COKE OVENS'!Z159</f>
        <v>7.6469823023367436</v>
      </c>
      <c r="AD18" s="4397" t="str">
        <f>+'COKE OVENS'!AA159</f>
        <v>7.5-8.0</v>
      </c>
      <c r="AE18" s="4398">
        <f>+'COKE OVENS'!AB159</f>
        <v>7.6326183398028791</v>
      </c>
      <c r="AF18" s="4392" t="s">
        <v>1754</v>
      </c>
      <c r="AG18" s="4393">
        <f>+'COKE OVENS'!AD159</f>
        <v>7.73</v>
      </c>
      <c r="AH18" s="4386" t="str">
        <f>+'COKE OVENS'!AE159</f>
        <v>7.5-8.0</v>
      </c>
      <c r="AI18" s="3847">
        <f>+'COKE OVENS'!AF159</f>
        <v>7.6467839737214947</v>
      </c>
      <c r="AJ18" s="4392" t="s">
        <v>1754</v>
      </c>
      <c r="AK18" s="4393">
        <f>+'COKE OVENS'!AH159</f>
        <v>7.85</v>
      </c>
      <c r="AL18" s="4386" t="str">
        <f>+'COKE OVENS'!AI159</f>
        <v>7.5-8.0</v>
      </c>
      <c r="AM18" s="3847">
        <f>+'COKE OVENS'!AJ159</f>
        <v>7.6710240798045985</v>
      </c>
      <c r="AN18" s="4392" t="s">
        <v>1754</v>
      </c>
      <c r="AO18" s="4393">
        <f>+'COKE OVENS'!AL159</f>
        <v>7.73</v>
      </c>
      <c r="AP18" s="4394" t="str">
        <f>+'COKE OVENS'!AM159</f>
        <v>7.5-8.0</v>
      </c>
      <c r="AQ18" s="4394">
        <f>+'COKE OVENS'!AN159</f>
        <v>7.7682092426953133</v>
      </c>
      <c r="AR18" s="4386" t="str">
        <f>+'COKE OVENS'!AO159</f>
        <v>7.5-8.0</v>
      </c>
      <c r="AS18" s="3847">
        <f>+'COKE OVENS'!AP159</f>
        <v>7.6776803205996202</v>
      </c>
      <c r="AT18" s="4392" t="s">
        <v>1754</v>
      </c>
      <c r="AU18" s="4393">
        <f>+'COKE OVENS'!AR159</f>
        <v>7.73</v>
      </c>
      <c r="AV18" s="4386" t="str">
        <f>+'COKE OVENS'!AS159</f>
        <v>7.5-8.0</v>
      </c>
      <c r="AW18" s="3847">
        <f>+'COKE OVENS'!AT159</f>
        <v>7.6830262519517429</v>
      </c>
      <c r="AX18" s="4392" t="s">
        <v>1754</v>
      </c>
      <c r="AY18" s="4393">
        <f>+'COKE OVENS'!AV159</f>
        <v>7.76</v>
      </c>
      <c r="AZ18" s="4386" t="str">
        <f>+'COKE OVENS'!AW159</f>
        <v>7.5-8.0</v>
      </c>
      <c r="BA18" s="3847">
        <f>+'COKE OVENS'!AX159</f>
        <v>7.6895024082345014</v>
      </c>
      <c r="BB18" s="4392" t="s">
        <v>1754</v>
      </c>
      <c r="BC18" s="4393">
        <f>+'COKE OVENS'!AZ159</f>
        <v>7.81</v>
      </c>
      <c r="BD18" s="4396" t="str">
        <f>+'COKE OVENS'!BA159</f>
        <v>7.5-8.0</v>
      </c>
      <c r="BE18" s="4396">
        <f>+'COKE OVENS'!BB159</f>
        <v>7.7668787909570511</v>
      </c>
      <c r="BF18" s="4397" t="str">
        <f>+'COKE OVENS'!BC159</f>
        <v>7.5-8.0</v>
      </c>
      <c r="BG18" s="4398">
        <f>+'COKE OVENS'!BD159</f>
        <v>7.7675465880069119</v>
      </c>
      <c r="BH18" s="4386" t="str">
        <f>+'COKE OVENS'!BE159</f>
        <v>7.5-8.0</v>
      </c>
      <c r="BI18" s="3847">
        <f>+'COKE OVENS'!BF159</f>
        <v>7.6998011070436467</v>
      </c>
    </row>
    <row r="19" spans="3:61" x14ac:dyDescent="0.25">
      <c r="C19" s="7430"/>
      <c r="D19" s="4413" t="s">
        <v>1055</v>
      </c>
      <c r="E19" s="4389" t="s">
        <v>49</v>
      </c>
      <c r="F19" s="4390">
        <v>64.448248492385474</v>
      </c>
      <c r="G19" s="4391" t="s">
        <v>2270</v>
      </c>
      <c r="H19" s="4392" t="s">
        <v>2270</v>
      </c>
      <c r="I19" s="4393">
        <f>+'COKE OVENS'!F160</f>
        <v>65.14</v>
      </c>
      <c r="J19" s="4392" t="s">
        <v>2270</v>
      </c>
      <c r="K19" s="4393">
        <f>+'COKE OVENS'!H160</f>
        <v>65.19</v>
      </c>
      <c r="L19" s="4386" t="s">
        <v>2270</v>
      </c>
      <c r="M19" s="3847">
        <f>+'COKE OVENS'!J160</f>
        <v>65.16546280713564</v>
      </c>
      <c r="N19" s="4392" t="s">
        <v>1755</v>
      </c>
      <c r="O19" s="4393">
        <f>+'COKE OVENS'!L160</f>
        <v>65.455454545454543</v>
      </c>
      <c r="P19" s="4394" t="str">
        <f>+'COKE OVENS'!M160</f>
        <v>64.0-65.5</v>
      </c>
      <c r="Q19" s="4395">
        <f>+'COKE OVENS'!N160</f>
        <v>65.260611589424741</v>
      </c>
      <c r="R19" s="4392" t="s">
        <v>1755</v>
      </c>
      <c r="S19" s="4393">
        <f>+'COKE OVENS'!P160</f>
        <v>65.259999999999991</v>
      </c>
      <c r="T19" s="4386" t="str">
        <f>+'COKE OVENS'!Q160</f>
        <v>64.0-65.5</v>
      </c>
      <c r="U19" s="3847">
        <f>+'COKE OVENS'!R160</f>
        <v>65.260455706694088</v>
      </c>
      <c r="V19" s="4392" t="s">
        <v>1755</v>
      </c>
      <c r="W19" s="4393">
        <f>+'COKE OVENS'!T160</f>
        <v>65.17</v>
      </c>
      <c r="X19" s="4386" t="str">
        <f>+'COKE OVENS'!U160</f>
        <v>64.0-65.5</v>
      </c>
      <c r="Y19" s="3847">
        <f>+'COKE OVENS'!V160</f>
        <v>65.242020913394128</v>
      </c>
      <c r="Z19" s="4392" t="s">
        <v>1755</v>
      </c>
      <c r="AA19" s="4393">
        <f>+'COKE OVENS'!X160</f>
        <v>64.73</v>
      </c>
      <c r="AB19" s="4394" t="str">
        <f>+'COKE OVENS'!Y160</f>
        <v>64.0-65.5</v>
      </c>
      <c r="AC19" s="4394">
        <f>+'COKE OVENS'!Z160</f>
        <v>65.056557752720124</v>
      </c>
      <c r="AD19" s="4397" t="str">
        <f>+'COKE OVENS'!AA160</f>
        <v>64.0-65.5</v>
      </c>
      <c r="AE19" s="4398">
        <f>+'COKE OVENS'!AB160</f>
        <v>65.157673105115975</v>
      </c>
      <c r="AF19" s="4392" t="s">
        <v>1755</v>
      </c>
      <c r="AG19" s="4393">
        <f>+'COKE OVENS'!AD160</f>
        <v>64.73</v>
      </c>
      <c r="AH19" s="4386" t="str">
        <f>+'COKE OVENS'!AE160</f>
        <v>64.0-65.5</v>
      </c>
      <c r="AI19" s="3847">
        <f>+'COKE OVENS'!AF160</f>
        <v>65.095461589809631</v>
      </c>
      <c r="AJ19" s="4392" t="s">
        <v>1755</v>
      </c>
      <c r="AK19" s="4393">
        <f>+'COKE OVENS'!AH160</f>
        <v>64.39</v>
      </c>
      <c r="AL19" s="4386" t="str">
        <f>+'COKE OVENS'!AI160</f>
        <v>64.0-65.5</v>
      </c>
      <c r="AM19" s="3847">
        <f>+'COKE OVENS'!AJ160</f>
        <v>65.011312400950359</v>
      </c>
      <c r="AN19" s="4392" t="s">
        <v>1755</v>
      </c>
      <c r="AO19" s="4393">
        <f>+'COKE OVENS'!AL160</f>
        <v>64.7</v>
      </c>
      <c r="AP19" s="4394" t="str">
        <f>+'COKE OVENS'!AM160</f>
        <v>64.0-65.5</v>
      </c>
      <c r="AQ19" s="4394">
        <f>+'COKE OVENS'!AN160</f>
        <v>64.611552317359966</v>
      </c>
      <c r="AR19" s="4386" t="str">
        <f>+'COKE OVENS'!AO160</f>
        <v>64.0-65.5</v>
      </c>
      <c r="AS19" s="3847">
        <f>+'COKE OVENS'!AP160</f>
        <v>64.976176530304585</v>
      </c>
      <c r="AT19" s="4392" t="s">
        <v>1755</v>
      </c>
      <c r="AU19" s="4393">
        <f>+'COKE OVENS'!AR160</f>
        <v>64.650000000000006</v>
      </c>
      <c r="AV19" s="4386" t="str">
        <f>+'COKE OVENS'!AS160</f>
        <v>64.0-65.5</v>
      </c>
      <c r="AW19" s="3847">
        <f>+'COKE OVENS'!AT160</f>
        <v>64.942848395276499</v>
      </c>
      <c r="AX19" s="4392" t="s">
        <v>1755</v>
      </c>
      <c r="AY19" s="4393">
        <f>+'COKE OVENS'!AV160</f>
        <v>65</v>
      </c>
      <c r="AZ19" s="4386" t="str">
        <f>+'COKE OVENS'!AW160</f>
        <v>64.0-65.5</v>
      </c>
      <c r="BA19" s="3847">
        <f>+'COKE OVENS'!AX160</f>
        <v>64.947656823258569</v>
      </c>
      <c r="BB19" s="4392" t="s">
        <v>1755</v>
      </c>
      <c r="BC19" s="4393">
        <f>+'COKE OVENS'!AZ160</f>
        <v>64.98</v>
      </c>
      <c r="BD19" s="4396" t="str">
        <f>+'COKE OVENS'!BA160</f>
        <v>64.0-65.5</v>
      </c>
      <c r="BE19" s="4396">
        <f>+'COKE OVENS'!BB160</f>
        <v>64.872322082284043</v>
      </c>
      <c r="BF19" s="4397" t="str">
        <f>+'COKE OVENS'!BC160</f>
        <v>64.0-65.5</v>
      </c>
      <c r="BG19" s="4398">
        <f>+'COKE OVENS'!BD160</f>
        <v>64.741433246033111</v>
      </c>
      <c r="BH19" s="4386" t="str">
        <f>+'COKE OVENS'!BE160</f>
        <v>64.0-65.5</v>
      </c>
      <c r="BI19" s="3847">
        <f>+'COKE OVENS'!BF160</f>
        <v>64.950421132743188</v>
      </c>
    </row>
    <row r="20" spans="3:61" x14ac:dyDescent="0.25">
      <c r="C20" s="7430"/>
      <c r="D20" s="4413" t="s">
        <v>1056</v>
      </c>
      <c r="E20" s="4389" t="s">
        <v>49</v>
      </c>
      <c r="F20" s="4390">
        <v>22.958247683476721</v>
      </c>
      <c r="G20" s="4391" t="s">
        <v>2271</v>
      </c>
      <c r="H20" s="4392" t="s">
        <v>2271</v>
      </c>
      <c r="I20" s="4393">
        <f>+'COKE OVENS'!F161</f>
        <v>23.41</v>
      </c>
      <c r="J20" s="4392" t="s">
        <v>2271</v>
      </c>
      <c r="K20" s="4393">
        <f>+'COKE OVENS'!H161</f>
        <v>23.19</v>
      </c>
      <c r="L20" s="4386" t="s">
        <v>2271</v>
      </c>
      <c r="M20" s="3847">
        <f>+'COKE OVENS'!J161</f>
        <v>23.297963648603162</v>
      </c>
      <c r="N20" s="4392" t="s">
        <v>1756</v>
      </c>
      <c r="O20" s="4393">
        <f>+'COKE OVENS'!L161</f>
        <v>22.873636363636365</v>
      </c>
      <c r="P20" s="4394" t="str">
        <f>+'COKE OVENS'!M161</f>
        <v>22.5-24.0</v>
      </c>
      <c r="Q20" s="4395">
        <f>+'COKE OVENS'!N161</f>
        <v>23.158738218628212</v>
      </c>
      <c r="R20" s="4392" t="s">
        <v>1756</v>
      </c>
      <c r="S20" s="4393">
        <f>+'COKE OVENS'!P161</f>
        <v>23.161666666666665</v>
      </c>
      <c r="T20" s="4386" t="str">
        <f>+'COKE OVENS'!Q161</f>
        <v>22.5-24.0</v>
      </c>
      <c r="U20" s="3847">
        <f>+'COKE OVENS'!R161</f>
        <v>23.159484625381367</v>
      </c>
      <c r="V20" s="4392" t="s">
        <v>1756</v>
      </c>
      <c r="W20" s="4393">
        <f>+'COKE OVENS'!T161</f>
        <v>23.13</v>
      </c>
      <c r="X20" s="4386" t="str">
        <f>+'COKE OVENS'!U161</f>
        <v>22.5-24.0</v>
      </c>
      <c r="Y20" s="3847">
        <f>+'COKE OVENS'!V161</f>
        <v>23.153475684715296</v>
      </c>
      <c r="Z20" s="4392" t="s">
        <v>1756</v>
      </c>
      <c r="AA20" s="4393">
        <f>+'COKE OVENS'!X161</f>
        <v>23.56</v>
      </c>
      <c r="AB20" s="4394" t="str">
        <f>+'COKE OVENS'!Y161</f>
        <v>22.5-24.0</v>
      </c>
      <c r="AC20" s="4394">
        <f>+'COKE OVENS'!Z161</f>
        <v>23.28105791237283</v>
      </c>
      <c r="AD20" s="4397" t="str">
        <f>+'COKE OVENS'!AA161</f>
        <v>22.5-24.0</v>
      </c>
      <c r="AE20" s="4398">
        <f>+'COKE OVENS'!AB161</f>
        <v>23.2204445020215</v>
      </c>
      <c r="AF20" s="4392" t="s">
        <v>1756</v>
      </c>
      <c r="AG20" s="4393">
        <f>+'COKE OVENS'!AD161</f>
        <v>23.4</v>
      </c>
      <c r="AH20" s="4386" t="str">
        <f>+'COKE OVENS'!AE161</f>
        <v>22.5-24.0</v>
      </c>
      <c r="AI20" s="3847">
        <f>+'COKE OVENS'!AF161</f>
        <v>23.246563562297219</v>
      </c>
      <c r="AJ20" s="4392" t="s">
        <v>1756</v>
      </c>
      <c r="AK20" s="4393">
        <f>+'COKE OVENS'!AH161</f>
        <v>23.59</v>
      </c>
      <c r="AL20" s="4386" t="str">
        <f>+'COKE OVENS'!AI161</f>
        <v>22.5-24.0</v>
      </c>
      <c r="AM20" s="3847">
        <f>+'COKE OVENS'!AJ161</f>
        <v>23.287529503001668</v>
      </c>
      <c r="AN20" s="4392" t="s">
        <v>1756</v>
      </c>
      <c r="AO20" s="4393">
        <f>+'COKE OVENS'!AL161</f>
        <v>23.35</v>
      </c>
      <c r="AP20" s="4394" t="str">
        <f>+'COKE OVENS'!AM161</f>
        <v>22.5-24.0</v>
      </c>
      <c r="AQ20" s="4394">
        <f>+'COKE OVENS'!AN161</f>
        <v>23.443517698150945</v>
      </c>
      <c r="AR20" s="4386" t="str">
        <f>+'COKE OVENS'!AO161</f>
        <v>22.5-24.0</v>
      </c>
      <c r="AS20" s="3847">
        <f>+'COKE OVENS'!AP161</f>
        <v>23.294580154678282</v>
      </c>
      <c r="AT20" s="4392" t="s">
        <v>1756</v>
      </c>
      <c r="AU20" s="4393">
        <f>+'COKE OVENS'!AR161</f>
        <v>23.62</v>
      </c>
      <c r="AV20" s="4386" t="str">
        <f>+'COKE OVENS'!AS161</f>
        <v>22.5-24.0</v>
      </c>
      <c r="AW20" s="3847">
        <f>+'COKE OVENS'!AT161</f>
        <v>23.327830972986927</v>
      </c>
      <c r="AX20" s="4392" t="s">
        <v>1756</v>
      </c>
      <c r="AY20" s="4393">
        <f>+'COKE OVENS'!AV161</f>
        <v>23.38</v>
      </c>
      <c r="AZ20" s="4386" t="str">
        <f>+'COKE OVENS'!AW161</f>
        <v>22.5-24.0</v>
      </c>
      <c r="BA20" s="3847">
        <f>+'COKE OVENS'!AX161</f>
        <v>23.33222019373585</v>
      </c>
      <c r="BB20" s="4392" t="s">
        <v>1756</v>
      </c>
      <c r="BC20" s="4393">
        <f>+'COKE OVENS'!AZ161</f>
        <v>23.48</v>
      </c>
      <c r="BD20" s="4396" t="str">
        <f>+'COKE OVENS'!BA161</f>
        <v>22.5-24.0</v>
      </c>
      <c r="BE20" s="4396">
        <f>+'COKE OVENS'!BB161</f>
        <v>23.497287748764769</v>
      </c>
      <c r="BF20" s="4397" t="str">
        <f>+'COKE OVENS'!BC161</f>
        <v>22.5-24.0</v>
      </c>
      <c r="BG20" s="4398">
        <f>+'COKE OVENS'!BD161</f>
        <v>23.470298809490902</v>
      </c>
      <c r="BH20" s="4386" t="str">
        <f>+'COKE OVENS'!BE161</f>
        <v>22.5-24.0</v>
      </c>
      <c r="BI20" s="3847">
        <f>+'COKE OVENS'!BF161</f>
        <v>23.344850651261925</v>
      </c>
    </row>
    <row r="21" spans="3:61" x14ac:dyDescent="0.25">
      <c r="C21" s="7430"/>
      <c r="D21" s="4412" t="s">
        <v>1057</v>
      </c>
      <c r="E21" s="4383"/>
      <c r="F21" s="4414"/>
      <c r="G21" s="4416"/>
      <c r="H21" s="4385"/>
      <c r="I21" s="3868"/>
      <c r="J21" s="4385"/>
      <c r="K21" s="3868"/>
      <c r="L21" s="4386"/>
      <c r="M21" s="3847"/>
      <c r="N21" s="4385"/>
      <c r="O21" s="3868"/>
      <c r="P21" s="4385"/>
      <c r="Q21" s="3868"/>
      <c r="R21" s="4385"/>
      <c r="S21" s="3868"/>
      <c r="T21" s="4385"/>
      <c r="U21" s="3868"/>
      <c r="V21" s="4385"/>
      <c r="W21" s="3868"/>
      <c r="X21" s="4385"/>
      <c r="Y21" s="3868"/>
      <c r="Z21" s="4385"/>
      <c r="AA21" s="3868"/>
      <c r="AB21" s="4385"/>
      <c r="AC21" s="4385"/>
      <c r="AD21" s="4385"/>
      <c r="AE21" s="4387"/>
      <c r="AF21" s="4385"/>
      <c r="AG21" s="3868"/>
      <c r="AH21" s="4385"/>
      <c r="AI21" s="3868"/>
      <c r="AJ21" s="4385"/>
      <c r="AK21" s="3868"/>
      <c r="AL21" s="4385"/>
      <c r="AM21" s="3868"/>
      <c r="AN21" s="4385"/>
      <c r="AO21" s="3868"/>
      <c r="AP21" s="4385"/>
      <c r="AQ21" s="4385"/>
      <c r="AR21" s="4385"/>
      <c r="AS21" s="3868"/>
      <c r="AT21" s="4385"/>
      <c r="AU21" s="3868"/>
      <c r="AV21" s="4385"/>
      <c r="AW21" s="3868"/>
      <c r="AX21" s="4385"/>
      <c r="AY21" s="3868"/>
      <c r="AZ21" s="4385"/>
      <c r="BA21" s="3868"/>
      <c r="BB21" s="4385"/>
      <c r="BC21" s="3868"/>
      <c r="BD21" s="4385"/>
      <c r="BE21" s="4385"/>
      <c r="BF21" s="4385"/>
      <c r="BG21" s="4387"/>
      <c r="BH21" s="4385"/>
      <c r="BI21" s="3868"/>
    </row>
    <row r="22" spans="3:61" x14ac:dyDescent="0.25">
      <c r="C22" s="7430"/>
      <c r="D22" s="4413" t="s">
        <v>1457</v>
      </c>
      <c r="E22" s="4389" t="s">
        <v>49</v>
      </c>
      <c r="F22" s="4414">
        <v>23.543643606765379</v>
      </c>
      <c r="G22" s="4416">
        <v>25</v>
      </c>
      <c r="H22" s="4385">
        <f>+$G$22</f>
        <v>25</v>
      </c>
      <c r="I22" s="3868">
        <f>+'COKE OVENS'!F173</f>
        <v>23.864057672502575</v>
      </c>
      <c r="J22" s="4385">
        <f>+$G$22</f>
        <v>25</v>
      </c>
      <c r="K22" s="3868">
        <f>+'COKE OVENS'!H173</f>
        <v>23.999999999999996</v>
      </c>
      <c r="L22" s="4386">
        <f>+$G$22</f>
        <v>25</v>
      </c>
      <c r="M22" s="3847">
        <f>+'COKE OVENS'!J173</f>
        <v>23.933277172577107</v>
      </c>
      <c r="N22" s="4385">
        <f>+$G$22</f>
        <v>25</v>
      </c>
      <c r="O22" s="3868">
        <f>+'COKE OVENS'!L173</f>
        <v>24.999995028764566</v>
      </c>
      <c r="P22" s="4394">
        <f>+$G$22</f>
        <v>25</v>
      </c>
      <c r="Q22" s="4395">
        <f>+'COKE OVENS'!N173</f>
        <v>24.283499901483644</v>
      </c>
      <c r="R22" s="4385">
        <f>+$G$22</f>
        <v>25</v>
      </c>
      <c r="S22" s="3868">
        <f>+'COKE OVENS'!P173</f>
        <v>25.870973677442947</v>
      </c>
      <c r="T22" s="4386">
        <f>+$G$22</f>
        <v>25</v>
      </c>
      <c r="U22" s="3847">
        <f>+'COKE OVENS'!R173</f>
        <v>24.692143950732955</v>
      </c>
      <c r="V22" s="4385">
        <f>+$G$22</f>
        <v>25</v>
      </c>
      <c r="W22" s="3868">
        <f>+'COKE OVENS'!T173</f>
        <v>25.999996604473829</v>
      </c>
      <c r="X22" s="4386">
        <f>+$G$22</f>
        <v>25</v>
      </c>
      <c r="Y22" s="3847">
        <f>+'COKE OVENS'!V173</f>
        <v>24.959539026921306</v>
      </c>
      <c r="Z22" s="4385">
        <f>+$G$22</f>
        <v>25</v>
      </c>
      <c r="AA22" s="3868">
        <f>+'COKE OVENS'!X173</f>
        <v>25</v>
      </c>
      <c r="AB22" s="4394">
        <f>+$G$22</f>
        <v>25</v>
      </c>
      <c r="AC22" s="4394">
        <f>+'COKE OVENS'!Z173</f>
        <v>25.631357612832634</v>
      </c>
      <c r="AD22" s="4397">
        <f>+$G$22</f>
        <v>25</v>
      </c>
      <c r="AE22" s="4398">
        <f>+'COKE OVENS'!AB173</f>
        <v>24.966200814797368</v>
      </c>
      <c r="AF22" s="4385">
        <f>+$G$22</f>
        <v>25</v>
      </c>
      <c r="AG22" s="3868">
        <f>+'COKE OVENS'!AD173</f>
        <v>25.000237898122506</v>
      </c>
      <c r="AH22" s="4386">
        <f>+$G$22</f>
        <v>25</v>
      </c>
      <c r="AI22" s="4386">
        <f>+'COKE OVENS'!AF173</f>
        <v>24.971128580936345</v>
      </c>
      <c r="AJ22" s="4385">
        <f>+$G$22</f>
        <v>25</v>
      </c>
      <c r="AK22" s="3868">
        <f>+'COKE OVENS'!AH173</f>
        <v>25.000005114025381</v>
      </c>
      <c r="AL22" s="4386">
        <f>+$G$22</f>
        <v>25</v>
      </c>
      <c r="AM22" s="4386">
        <f>+'COKE OVENS'!AJ173</f>
        <v>24.974556426670631</v>
      </c>
      <c r="AN22" s="4385">
        <f>+$G$22</f>
        <v>25</v>
      </c>
      <c r="AO22" s="3868">
        <f>+'COKE OVENS'!AL173</f>
        <v>24.999999999999996</v>
      </c>
      <c r="AP22" s="4394">
        <f>+$G$22</f>
        <v>25</v>
      </c>
      <c r="AQ22" s="4394">
        <f>+'COKE OVENS'!AN173</f>
        <v>25.000082602902324</v>
      </c>
      <c r="AR22" s="4386">
        <f>+$G$22</f>
        <v>25</v>
      </c>
      <c r="AS22" s="4386">
        <f>+'COKE OVENS'!AP173</f>
        <v>24.977453934670617</v>
      </c>
      <c r="AT22" s="4385">
        <f>+$G$22</f>
        <v>25</v>
      </c>
      <c r="AU22" s="3868">
        <f>+'COKE OVENS'!AR173</f>
        <v>23.193550556965743</v>
      </c>
      <c r="AV22" s="4386">
        <f>+$G$22</f>
        <v>25</v>
      </c>
      <c r="AW22" s="4386">
        <f>+'COKE OVENS'!AT173</f>
        <v>24.795072950401149</v>
      </c>
      <c r="AX22" s="4385">
        <f>+$G$22</f>
        <v>25</v>
      </c>
      <c r="AY22" s="3868">
        <f>+'COKE OVENS'!AV173</f>
        <v>21.571428930378296</v>
      </c>
      <c r="AZ22" s="4386">
        <f>+$G$22</f>
        <v>25</v>
      </c>
      <c r="BA22" s="4386">
        <f>+'COKE OVENS'!AX173</f>
        <v>24.522787178039625</v>
      </c>
      <c r="BB22" s="4385">
        <f>+$G$22</f>
        <v>25</v>
      </c>
      <c r="BC22" s="3868">
        <f>+'COKE OVENS'!AZ173</f>
        <v>25.00000235800406</v>
      </c>
      <c r="BD22" s="4396">
        <f>+'COKE OVENS'!BA173</f>
        <v>25</v>
      </c>
      <c r="BE22" s="4396">
        <f>+'COKE OVENS'!BB173</f>
        <v>23.312565278021545</v>
      </c>
      <c r="BF22" s="4397">
        <f>+'COKE OVENS'!BC173</f>
        <v>25</v>
      </c>
      <c r="BG22" s="4398">
        <f>+'COKE OVENS'!BD173</f>
        <v>24.15812995508584</v>
      </c>
      <c r="BH22" s="4386">
        <f>+'COKE OVENS'!BE173</f>
        <v>25.107061951298892</v>
      </c>
      <c r="BI22" s="3847">
        <f>+'COKE OVENS'!BF173</f>
        <v>24.563693271519984</v>
      </c>
    </row>
    <row r="23" spans="3:61" x14ac:dyDescent="0.25">
      <c r="C23" s="7430"/>
      <c r="D23" s="4413" t="s">
        <v>1458</v>
      </c>
      <c r="E23" s="4389" t="s">
        <v>221</v>
      </c>
      <c r="F23" s="4414"/>
      <c r="G23" s="4400">
        <v>18.019026238248909</v>
      </c>
      <c r="H23" s="4401">
        <f>+'COKE OVENS'!E61</f>
        <v>17.951020408163266</v>
      </c>
      <c r="I23" s="4401">
        <f>+'COKE OVENS'!F61</f>
        <v>17.95</v>
      </c>
      <c r="J23" s="4401">
        <f>+'COKE OVENS'!G61</f>
        <v>17.951020408163266</v>
      </c>
      <c r="K23" s="4401">
        <f>+'COKE OVENS'!H61</f>
        <v>17.916666666666668</v>
      </c>
      <c r="L23" s="4402">
        <f>+'COKE OVENS'!I61</f>
        <v>17.951020408163266</v>
      </c>
      <c r="M23" s="4402">
        <f>+'COKE OVENS'!J61</f>
        <v>17.933024795242904</v>
      </c>
      <c r="N23" s="4401">
        <f>+'COKE OVENS'!K61</f>
        <v>18.373724046941188</v>
      </c>
      <c r="O23" s="4401">
        <f>+'COKE OVENS'!L61</f>
        <v>18</v>
      </c>
      <c r="P23" s="4403">
        <f>+'COKE OVENS'!M61</f>
        <v>18.08985440938719</v>
      </c>
      <c r="Q23" s="4403">
        <f>+'COKE OVENS'!N61</f>
        <v>17.955103038507822</v>
      </c>
      <c r="R23" s="4401">
        <f>+'COKE OVENS'!O61</f>
        <v>18.753086419753089</v>
      </c>
      <c r="S23" s="4401">
        <f>+'COKE OVENS'!P61</f>
        <v>17.600000000000001</v>
      </c>
      <c r="T23" s="4402">
        <f>+'COKE OVENS'!Q61</f>
        <v>18.256029549595219</v>
      </c>
      <c r="U23" s="4402">
        <f>+'COKE OVENS'!R61</f>
        <v>17.86475173129223</v>
      </c>
      <c r="V23" s="4401">
        <f>+'COKE OVENS'!S61</f>
        <v>17.81818181818182</v>
      </c>
      <c r="W23" s="4401">
        <f>+'COKE OVENS'!T61</f>
        <v>17.616666666666667</v>
      </c>
      <c r="X23" s="4402">
        <f>+'COKE OVENS'!U61</f>
        <v>18.168304952445268</v>
      </c>
      <c r="Y23" s="4402">
        <f>+'COKE OVENS'!V61</f>
        <v>17.814260512270831</v>
      </c>
      <c r="Z23" s="4401">
        <f>+'COKE OVENS'!W61</f>
        <v>17.81818181818182</v>
      </c>
      <c r="AA23" s="4401">
        <f>+'COKE OVENS'!X61</f>
        <v>17.649999999999999</v>
      </c>
      <c r="AB23" s="4394">
        <f>+'COKE OVENS'!Y61</f>
        <v>18.133204020885181</v>
      </c>
      <c r="AC23" s="4394">
        <f>+'COKE OVENS'!Z61</f>
        <v>17.621951941945277</v>
      </c>
      <c r="AD23" s="4397">
        <f>+'COKE OVENS'!AA61</f>
        <v>18.111444025132929</v>
      </c>
      <c r="AE23" s="4398">
        <f>+'COKE OVENS'!AB61</f>
        <v>17.787231581500347</v>
      </c>
      <c r="AF23" s="4401">
        <f>+'COKE OVENS'!AC61</f>
        <v>17.81818181818182</v>
      </c>
      <c r="AG23" s="4401">
        <f>+'COKE OVENS'!AD61</f>
        <v>17.75</v>
      </c>
      <c r="AH23" s="4402">
        <f>+'COKE OVENS'!AE61</f>
        <v>18.069302017866455</v>
      </c>
      <c r="AI23" s="4402">
        <f>+'COKE OVENS'!AF61</f>
        <v>17.781820935980228</v>
      </c>
      <c r="AJ23" s="4401">
        <f>+'COKE OVENS'!AG61</f>
        <v>17.81818181818182</v>
      </c>
      <c r="AK23" s="4401">
        <f>+'COKE OVENS'!AH61</f>
        <v>18.533333333333335</v>
      </c>
      <c r="AL23" s="4402">
        <f>+'COKE OVENS'!AI61</f>
        <v>18.038643460314145</v>
      </c>
      <c r="AM23" s="4402">
        <f>+'COKE OVENS'!AJ61</f>
        <v>17.871398275329341</v>
      </c>
      <c r="AN23" s="4401">
        <f>+'COKE OVENS'!AK61</f>
        <v>17.81818181818182</v>
      </c>
      <c r="AO23" s="4401">
        <f>+'COKE OVENS'!AL61</f>
        <v>17.716666666666665</v>
      </c>
      <c r="AP23" s="4394">
        <f>+'COKE OVENS'!AM61</f>
        <v>17.81818181818182</v>
      </c>
      <c r="AQ23" s="4394">
        <f>+'COKE OVENS'!AN61</f>
        <v>17.98748268762867</v>
      </c>
      <c r="AR23" s="4402">
        <f>+'COKE OVENS'!AO61</f>
        <v>18.013946431928453</v>
      </c>
      <c r="AS23" s="4402">
        <f>+'COKE OVENS'!AP61</f>
        <v>17.853839832660984</v>
      </c>
      <c r="AT23" s="4401">
        <f>+'COKE OVENS'!AQ61</f>
        <v>17.81818181818182</v>
      </c>
      <c r="AU23" s="4401">
        <f>+'COKE OVENS'!AR61</f>
        <v>17.683333333333334</v>
      </c>
      <c r="AV23" s="4402">
        <f>+'COKE OVENS'!AS61</f>
        <v>17.994225309226987</v>
      </c>
      <c r="AW23" s="4402">
        <f>+'COKE OVENS'!AT61</f>
        <v>17.836463155540642</v>
      </c>
      <c r="AX23" s="4401">
        <f>+'COKE OVENS'!AU61</f>
        <v>17.81818181818182</v>
      </c>
      <c r="AY23" s="4401">
        <f>+'COKE OVENS'!AV61</f>
        <v>17.649999999999999</v>
      </c>
      <c r="AZ23" s="4402">
        <f>+'COKE OVENS'!AW61</f>
        <v>17.979543047092079</v>
      </c>
      <c r="BA23" s="4402">
        <f>+'COKE OVENS'!AX61</f>
        <v>17.820793260613502</v>
      </c>
      <c r="BB23" s="4401">
        <f>+'COKE OVENS'!AY61</f>
        <v>17.81818181818182</v>
      </c>
      <c r="BC23" s="4401">
        <f>+'COKE OVENS'!AZ61</f>
        <v>17.683333333333334</v>
      </c>
      <c r="BD23" s="4405">
        <f>+'COKE OVENS'!BA61</f>
        <v>17.81818181818182</v>
      </c>
      <c r="BE23" s="4405">
        <f>+'COKE OVENS'!BB61</f>
        <v>17.672986418492034</v>
      </c>
      <c r="BF23" s="4406">
        <f>+'COKE OVENS'!BC61</f>
        <v>17.818181818181817</v>
      </c>
      <c r="BG23" s="4407">
        <f>+'COKE OVENS'!BD61</f>
        <v>17.831068901934223</v>
      </c>
      <c r="BH23" s="4402">
        <f>+'COKE OVENS'!BE61</f>
        <v>17.965902897422083</v>
      </c>
      <c r="BI23" s="3848">
        <f>+'COKE OVENS'!BF61</f>
        <v>17.809057227702361</v>
      </c>
    </row>
    <row r="24" spans="3:61" x14ac:dyDescent="0.25">
      <c r="C24" s="7430"/>
      <c r="D24" s="4413" t="s">
        <v>1058</v>
      </c>
      <c r="E24" s="4389" t="s">
        <v>49</v>
      </c>
      <c r="F24" s="4390">
        <v>88.599749618194579</v>
      </c>
      <c r="G24" s="4391" t="s">
        <v>2275</v>
      </c>
      <c r="H24" s="4392" t="s">
        <v>2275</v>
      </c>
      <c r="I24" s="4393">
        <f>+'COKE OVENS'!F183</f>
        <v>89.6</v>
      </c>
      <c r="J24" s="4392" t="s">
        <v>2275</v>
      </c>
      <c r="K24" s="4393">
        <f>+'COKE OVENS'!H183</f>
        <v>89.66</v>
      </c>
      <c r="L24" s="4386" t="s">
        <v>2275</v>
      </c>
      <c r="M24" s="3847">
        <f>+'COKE OVENS'!J183</f>
        <v>89.630550968828985</v>
      </c>
      <c r="N24" s="4392" t="s">
        <v>1757</v>
      </c>
      <c r="O24" s="4393">
        <f>+'COKE OVENS'!L183</f>
        <v>90.414923076923074</v>
      </c>
      <c r="P24" s="4394" t="str">
        <f>+'COKE OVENS'!M183</f>
        <v>89.0-90.5</v>
      </c>
      <c r="Q24" s="4395">
        <f>+'COKE OVENS'!N183</f>
        <v>89.886867890523519</v>
      </c>
      <c r="R24" s="4392" t="s">
        <v>1757</v>
      </c>
      <c r="S24" s="4393">
        <f>+'COKE OVENS'!P183</f>
        <v>90.199344262295114</v>
      </c>
      <c r="T24" s="4386" t="str">
        <f>+'COKE OVENS'!Q183</f>
        <v>89.0-90.5</v>
      </c>
      <c r="U24" s="3847">
        <f>+'COKE OVENS'!R183</f>
        <v>89.967443885771999</v>
      </c>
      <c r="V24" s="4392" t="s">
        <v>1757</v>
      </c>
      <c r="W24" s="4393">
        <f>+'COKE OVENS'!T183</f>
        <v>90.37</v>
      </c>
      <c r="X24" s="4386" t="str">
        <f>+'COKE OVENS'!U183</f>
        <v>89.0-90.5</v>
      </c>
      <c r="Y24" s="3847">
        <f>+'COKE OVENS'!V183</f>
        <v>90.049857887912324</v>
      </c>
      <c r="Z24" s="4392" t="s">
        <v>1757</v>
      </c>
      <c r="AA24" s="4393">
        <f>+'COKE OVENS'!X183</f>
        <v>89.73</v>
      </c>
      <c r="AB24" s="4394" t="str">
        <f>+'COKE OVENS'!Y183</f>
        <v>89.0-90.5</v>
      </c>
      <c r="AC24" s="4394">
        <f>+'COKE OVENS'!Z183</f>
        <v>90.104281742923646</v>
      </c>
      <c r="AD24" s="4397" t="str">
        <f>+'COKE OVENS'!AA183</f>
        <v>89.0-90.5</v>
      </c>
      <c r="AE24" s="4398">
        <f>+'COKE OVENS'!AB183</f>
        <v>89.997120452094777</v>
      </c>
      <c r="AF24" s="4392" t="s">
        <v>1757</v>
      </c>
      <c r="AG24" s="4393">
        <f>+'COKE OVENS'!AD183</f>
        <v>89.73</v>
      </c>
      <c r="AH24" s="4386" t="str">
        <f>+'COKE OVENS'!AE183</f>
        <v>89.0-90.5</v>
      </c>
      <c r="AI24" s="3847">
        <f>+'COKE OVENS'!AF183</f>
        <v>89.958412939851868</v>
      </c>
      <c r="AJ24" s="4392" t="s">
        <v>1757</v>
      </c>
      <c r="AK24" s="4393">
        <f>+'COKE OVENS'!AH183</f>
        <v>89.42</v>
      </c>
      <c r="AL24" s="4386" t="str">
        <f>+'COKE OVENS'!AI183</f>
        <v>89.0-90.5</v>
      </c>
      <c r="AM24" s="3847">
        <f>+'COKE OVENS'!AJ183</f>
        <v>89.89445645372156</v>
      </c>
      <c r="AN24" s="4392" t="s">
        <v>1757</v>
      </c>
      <c r="AO24" s="4393">
        <f>+'COKE OVENS'!AL183</f>
        <v>89.7</v>
      </c>
      <c r="AP24" s="4394" t="str">
        <f>+'COKE OVENS'!AM183</f>
        <v>89.0-90.5</v>
      </c>
      <c r="AQ24" s="4394">
        <f>+'COKE OVENS'!AN183</f>
        <v>89.621354765549114</v>
      </c>
      <c r="AR24" s="4386" t="str">
        <f>+'COKE OVENS'!AO183</f>
        <v>89.0-90.5</v>
      </c>
      <c r="AS24" s="3847">
        <f>+'COKE OVENS'!AP183</f>
        <v>89.872432355735853</v>
      </c>
      <c r="AT24" s="4392" t="s">
        <v>1757</v>
      </c>
      <c r="AU24" s="4393">
        <f>+'COKE OVENS'!AR183</f>
        <v>89.69</v>
      </c>
      <c r="AV24" s="4386" t="str">
        <f>+'COKE OVENS'!AS183</f>
        <v>89.0-90.5</v>
      </c>
      <c r="AW24" s="3847">
        <f>+'COKE OVENS'!AT183</f>
        <v>89.853733030538265</v>
      </c>
      <c r="AX24" s="4392" t="s">
        <v>1757</v>
      </c>
      <c r="AY24" s="4393">
        <f>+'COKE OVENS'!AV183</f>
        <v>89.77</v>
      </c>
      <c r="AZ24" s="4386" t="str">
        <f>+'COKE OVENS'!AW183</f>
        <v>89.0-90.5</v>
      </c>
      <c r="BA24" s="3847">
        <f>+'COKE OVENS'!AX183</f>
        <v>89.846652581114014</v>
      </c>
      <c r="BB24" s="4392" t="s">
        <v>1757</v>
      </c>
      <c r="BC24" s="4393">
        <f>+'COKE OVENS'!AZ183</f>
        <v>89.71</v>
      </c>
      <c r="BD24" s="4396" t="str">
        <f>+'COKE OVENS'!BA183</f>
        <v>89.0-90.5</v>
      </c>
      <c r="BE24" s="4396">
        <f>+'COKE OVENS'!BB183</f>
        <v>89.72174254591323</v>
      </c>
      <c r="BF24" s="4397" t="str">
        <f>+'COKE OVENS'!BC183</f>
        <v>89.0-90.5</v>
      </c>
      <c r="BG24" s="4398">
        <f>+'COKE OVENS'!BD183</f>
        <v>89.671513944272021</v>
      </c>
      <c r="BH24" s="4386" t="str">
        <f>+'COKE OVENS'!BE183</f>
        <v>89.0-90.5</v>
      </c>
      <c r="BI24" s="3847">
        <f>+'COKE OVENS'!BF183</f>
        <v>89.834926954865651</v>
      </c>
    </row>
    <row r="25" spans="3:61" x14ac:dyDescent="0.25">
      <c r="C25" s="7430"/>
      <c r="D25" s="4413" t="s">
        <v>205</v>
      </c>
      <c r="E25" s="4389" t="s">
        <v>49</v>
      </c>
      <c r="F25" s="4390">
        <v>5.948071105661457</v>
      </c>
      <c r="G25" s="4391" t="s">
        <v>2276</v>
      </c>
      <c r="H25" s="4392" t="s">
        <v>2276</v>
      </c>
      <c r="I25" s="4393">
        <f>+'COKE OVENS'!F184</f>
        <v>5.7</v>
      </c>
      <c r="J25" s="4392" t="s">
        <v>2276</v>
      </c>
      <c r="K25" s="4393">
        <f>+'COKE OVENS'!H184</f>
        <v>5.62</v>
      </c>
      <c r="L25" s="4386" t="s">
        <v>2276</v>
      </c>
      <c r="M25" s="3847">
        <f>+'COKE OVENS'!J184</f>
        <v>5.6592653748946926</v>
      </c>
      <c r="N25" s="4392" t="s">
        <v>1758</v>
      </c>
      <c r="O25" s="4393">
        <f>+'COKE OVENS'!L184</f>
        <v>5.476461538461538</v>
      </c>
      <c r="P25" s="4394" t="str">
        <f>+'COKE OVENS'!M184</f>
        <v>5.5-5.9</v>
      </c>
      <c r="Q25" s="4395">
        <f>+'COKE OVENS'!N184</f>
        <v>5.5995287828550451</v>
      </c>
      <c r="R25" s="4392" t="s">
        <v>1758</v>
      </c>
      <c r="S25" s="4393">
        <f>+'COKE OVENS'!P184</f>
        <v>5.5011475409836059</v>
      </c>
      <c r="T25" s="4386" t="str">
        <f>+'COKE OVENS'!Q184</f>
        <v>5.5-5.9</v>
      </c>
      <c r="U25" s="3847">
        <f>+'COKE OVENS'!R184</f>
        <v>5.5741599319795982</v>
      </c>
      <c r="V25" s="4392" t="s">
        <v>1758</v>
      </c>
      <c r="W25" s="4393">
        <f>+'COKE OVENS'!T184</f>
        <v>5.43</v>
      </c>
      <c r="X25" s="4386" t="str">
        <f>+'COKE OVENS'!U184</f>
        <v>5.5-5.9</v>
      </c>
      <c r="Y25" s="3847">
        <f>+'COKE OVENS'!V184</f>
        <v>5.5446465386344306</v>
      </c>
      <c r="Z25" s="4392" t="s">
        <v>1758</v>
      </c>
      <c r="AA25" s="4393">
        <f>+'COKE OVENS'!X184</f>
        <v>5.7</v>
      </c>
      <c r="AB25" s="4394" t="str">
        <f>+'COKE OVENS'!Y184</f>
        <v>5.5-5.9</v>
      </c>
      <c r="AC25" s="4394">
        <f>+'COKE OVENS'!Z184</f>
        <v>5.5418135565367797</v>
      </c>
      <c r="AD25" s="4397" t="str">
        <f>+'COKE OVENS'!AA184</f>
        <v>5.5-5.9</v>
      </c>
      <c r="AE25" s="4398">
        <f>+'COKE OVENS'!AB184</f>
        <v>5.5702608614553411</v>
      </c>
      <c r="AF25" s="4392" t="s">
        <v>1758</v>
      </c>
      <c r="AG25" s="4393">
        <f>+'COKE OVENS'!AD184</f>
        <v>5.72</v>
      </c>
      <c r="AH25" s="4386" t="str">
        <f>+'COKE OVENS'!AE184</f>
        <v>5.5-5.9</v>
      </c>
      <c r="AI25" s="3847">
        <f>+'COKE OVENS'!AF184</f>
        <v>5.5919590485204145</v>
      </c>
      <c r="AJ25" s="4392" t="s">
        <v>1758</v>
      </c>
      <c r="AK25" s="4393">
        <f>+'COKE OVENS'!AH184</f>
        <v>5.82</v>
      </c>
      <c r="AL25" s="4386" t="str">
        <f>+'COKE OVENS'!AI184</f>
        <v>5.5-5.9</v>
      </c>
      <c r="AM25" s="3847">
        <f>+'COKE OVENS'!AJ184</f>
        <v>5.6190473609864204</v>
      </c>
      <c r="AN25" s="4392" t="s">
        <v>1758</v>
      </c>
      <c r="AO25" s="4393">
        <f>+'COKE OVENS'!AL184</f>
        <v>5.69</v>
      </c>
      <c r="AP25" s="4394" t="str">
        <f>+'COKE OVENS'!AM184</f>
        <v>5.5-5.9</v>
      </c>
      <c r="AQ25" s="4394">
        <f>+'COKE OVENS'!AN184</f>
        <v>5.7415039610434278</v>
      </c>
      <c r="AR25" s="4386" t="str">
        <f>+'COKE OVENS'!AO184</f>
        <v>5.5-5.9</v>
      </c>
      <c r="AS25" s="3847">
        <f>+'COKE OVENS'!AP184</f>
        <v>5.6270834422996039</v>
      </c>
      <c r="AT25" s="4392" t="s">
        <v>1758</v>
      </c>
      <c r="AU25" s="4393">
        <f>+'COKE OVENS'!AR184</f>
        <v>5.65</v>
      </c>
      <c r="AV25" s="4386" t="str">
        <f>+'COKE OVENS'!AS184</f>
        <v>5.5-5.9</v>
      </c>
      <c r="AW25" s="3847">
        <f>+'COKE OVENS'!AT184</f>
        <v>5.6294323905611137</v>
      </c>
      <c r="AX25" s="4392" t="s">
        <v>1758</v>
      </c>
      <c r="AY25" s="4393">
        <f>+'COKE OVENS'!AV184</f>
        <v>5.6</v>
      </c>
      <c r="AZ25" s="4386" t="str">
        <f>+'COKE OVENS'!AW184</f>
        <v>5.5-5.9</v>
      </c>
      <c r="BA25" s="3847">
        <f>+'COKE OVENS'!AX184</f>
        <v>5.626943593112089</v>
      </c>
      <c r="BB25" s="4392" t="s">
        <v>1758</v>
      </c>
      <c r="BC25" s="4393">
        <f>+'COKE OVENS'!AZ184</f>
        <v>5.64</v>
      </c>
      <c r="BD25" s="4396" t="str">
        <f>+'COKE OVENS'!BA184</f>
        <v>5.5-5.9</v>
      </c>
      <c r="BE25" s="4396">
        <f>+'COKE OVENS'!BB184</f>
        <v>5.6310227917546083</v>
      </c>
      <c r="BF25" s="4397" t="str">
        <f>+'COKE OVENS'!BC184</f>
        <v>5.5-5.9</v>
      </c>
      <c r="BG25" s="4398">
        <f>+'COKE OVENS'!BD184</f>
        <v>5.6863015778870905</v>
      </c>
      <c r="BH25" s="4386" t="str">
        <f>+'COKE OVENS'!BE184</f>
        <v>5.5-5.9</v>
      </c>
      <c r="BI25" s="3847">
        <f>+'COKE OVENS'!BF184</f>
        <v>5.6280639125825749</v>
      </c>
    </row>
    <row r="26" spans="3:61" x14ac:dyDescent="0.25">
      <c r="C26" s="7430"/>
      <c r="D26" s="4413" t="s">
        <v>1055</v>
      </c>
      <c r="E26" s="4389" t="s">
        <v>49</v>
      </c>
      <c r="F26" s="4390">
        <v>66.654886908615453</v>
      </c>
      <c r="G26" s="4391" t="s">
        <v>2277</v>
      </c>
      <c r="H26" s="4392" t="s">
        <v>2277</v>
      </c>
      <c r="I26" s="4393">
        <f>+'COKE OVENS'!F185</f>
        <v>67.97</v>
      </c>
      <c r="J26" s="4392" t="s">
        <v>2277</v>
      </c>
      <c r="K26" s="4393">
        <f>+'COKE OVENS'!H185</f>
        <v>68.13</v>
      </c>
      <c r="L26" s="4386" t="s">
        <v>2277</v>
      </c>
      <c r="M26" s="3847">
        <f>+'COKE OVENS'!J185</f>
        <v>68.051469250210616</v>
      </c>
      <c r="N26" s="4392" t="s">
        <v>1759</v>
      </c>
      <c r="O26" s="4393">
        <f>+'COKE OVENS'!L185</f>
        <v>68.341000000000008</v>
      </c>
      <c r="P26" s="4394" t="str">
        <f>+'COKE OVENS'!M185</f>
        <v>67.0-68.4</v>
      </c>
      <c r="Q26" s="4395">
        <f>+'COKE OVENS'!N185</f>
        <v>68.146082036356532</v>
      </c>
      <c r="R26" s="4392" t="s">
        <v>1759</v>
      </c>
      <c r="S26" s="4393">
        <f>+'COKE OVENS'!P185</f>
        <v>68.219090909090895</v>
      </c>
      <c r="T26" s="4386" t="str">
        <f>+'COKE OVENS'!Q185</f>
        <v>67.0-68.4</v>
      </c>
      <c r="U26" s="3847">
        <f>+'COKE OVENS'!R185</f>
        <v>68.164908300080697</v>
      </c>
      <c r="V26" s="4392" t="s">
        <v>1759</v>
      </c>
      <c r="W26" s="4393">
        <f>+'COKE OVENS'!T185</f>
        <v>68.42</v>
      </c>
      <c r="X26" s="4386" t="str">
        <f>+'COKE OVENS'!U185</f>
        <v>67.0-68.4</v>
      </c>
      <c r="Y26" s="3847">
        <f>+'COKE OVENS'!V185</f>
        <v>68.217132392971308</v>
      </c>
      <c r="Z26" s="4392" t="s">
        <v>1759</v>
      </c>
      <c r="AA26" s="4393">
        <f>+'COKE OVENS'!X185</f>
        <v>67.64</v>
      </c>
      <c r="AB26" s="4394" t="str">
        <f>+'COKE OVENS'!Y185</f>
        <v>67.0-68.4</v>
      </c>
      <c r="AC26" s="4394">
        <f>+'COKE OVENS'!Z185</f>
        <v>68.098546099479975</v>
      </c>
      <c r="AD26" s="4397" t="str">
        <f>+'COKE OVENS'!AA185</f>
        <v>67.0-68.4</v>
      </c>
      <c r="AE26" s="4398">
        <f>+'COKE OVENS'!AB185</f>
        <v>68.121976126132907</v>
      </c>
      <c r="AF26" s="4392" t="s">
        <v>1759</v>
      </c>
      <c r="AG26" s="4393">
        <f>+'COKE OVENS'!AD185</f>
        <v>67.5</v>
      </c>
      <c r="AH26" s="4386" t="str">
        <f>+'COKE OVENS'!AE185</f>
        <v>67.0-68.4</v>
      </c>
      <c r="AI26" s="3847">
        <f>+'COKE OVENS'!AF185</f>
        <v>68.03184769033443</v>
      </c>
      <c r="AJ26" s="4392" t="s">
        <v>1759</v>
      </c>
      <c r="AK26" s="4393">
        <f>+'COKE OVENS'!AH185</f>
        <v>66.989999999999995</v>
      </c>
      <c r="AL26" s="4386" t="str">
        <f>+'COKE OVENS'!AI185</f>
        <v>67.0-68.4</v>
      </c>
      <c r="AM26" s="3847">
        <f>+'COKE OVENS'!AJ185</f>
        <v>67.908089674089311</v>
      </c>
      <c r="AN26" s="4392" t="s">
        <v>1759</v>
      </c>
      <c r="AO26" s="4393">
        <f>+'COKE OVENS'!AL185</f>
        <v>67.739999999999995</v>
      </c>
      <c r="AP26" s="4394" t="str">
        <f>+'COKE OVENS'!AM185</f>
        <v>67.0-68.4</v>
      </c>
      <c r="AQ26" s="4394">
        <f>+'COKE OVENS'!AN185</f>
        <v>67.420025059685145</v>
      </c>
      <c r="AR26" s="4386" t="str">
        <f>+'COKE OVENS'!AO185</f>
        <v>67.0-68.4</v>
      </c>
      <c r="AS26" s="3847">
        <f>+'COKE OVENS'!AP185</f>
        <v>67.889051872146098</v>
      </c>
      <c r="AT26" s="4392" t="s">
        <v>1759</v>
      </c>
      <c r="AU26" s="4393">
        <f>+'COKE OVENS'!AR185</f>
        <v>67.819999999999993</v>
      </c>
      <c r="AV26" s="4386" t="str">
        <f>+'COKE OVENS'!AS185</f>
        <v>67.0-68.4</v>
      </c>
      <c r="AW26" s="3847">
        <f>+'COKE OVENS'!AT185</f>
        <v>67.881974051944994</v>
      </c>
      <c r="AX26" s="4392" t="s">
        <v>1759</v>
      </c>
      <c r="AY26" s="4393">
        <f>+'COKE OVENS'!AV185</f>
        <v>67.97</v>
      </c>
      <c r="AZ26" s="4386" t="str">
        <f>+'COKE OVENS'!AW185</f>
        <v>67.0-68.4</v>
      </c>
      <c r="BA26" s="3847">
        <f>+'COKE OVENS'!AX185</f>
        <v>67.889417509672697</v>
      </c>
      <c r="BB26" s="4392" t="s">
        <v>1759</v>
      </c>
      <c r="BC26" s="4393">
        <f>+'COKE OVENS'!AZ185</f>
        <v>67.73</v>
      </c>
      <c r="BD26" s="4396" t="str">
        <f>+'COKE OVENS'!BA185</f>
        <v>67.0-68.4</v>
      </c>
      <c r="BE26" s="4396">
        <f>+'COKE OVENS'!BB185</f>
        <v>67.835561243118335</v>
      </c>
      <c r="BF26" s="4397" t="str">
        <f>+'COKE OVENS'!BC185</f>
        <v>67.0-68.4</v>
      </c>
      <c r="BG26" s="4398">
        <f>+'COKE OVENS'!BD185</f>
        <v>67.627649469897833</v>
      </c>
      <c r="BH26" s="4386" t="str">
        <f>+'COKE OVENS'!BE185</f>
        <v>67.0-68.4</v>
      </c>
      <c r="BI26" s="3847">
        <f>+'COKE OVENS'!BF185</f>
        <v>67.875738513486695</v>
      </c>
    </row>
    <row r="27" spans="3:61" ht="15.75" thickBot="1" x14ac:dyDescent="0.3">
      <c r="C27" s="7431"/>
      <c r="D27" s="4417" t="s">
        <v>1056</v>
      </c>
      <c r="E27" s="4369" t="s">
        <v>49</v>
      </c>
      <c r="F27" s="4418">
        <v>20.559439644635848</v>
      </c>
      <c r="G27" s="4419" t="s">
        <v>2278</v>
      </c>
      <c r="H27" s="4420" t="s">
        <v>2278</v>
      </c>
      <c r="I27" s="4421">
        <f>+'COKE OVENS'!F186</f>
        <v>21.56</v>
      </c>
      <c r="J27" s="4420" t="s">
        <v>2278</v>
      </c>
      <c r="K27" s="4421">
        <f>+'COKE OVENS'!H186</f>
        <v>22.14</v>
      </c>
      <c r="L27" s="4422" t="s">
        <v>2278</v>
      </c>
      <c r="M27" s="3864">
        <f>+'COKE OVENS'!J186</f>
        <v>21.85532603201348</v>
      </c>
      <c r="N27" s="4420" t="s">
        <v>1760</v>
      </c>
      <c r="O27" s="4421">
        <f>+'COKE OVENS'!L186</f>
        <v>20.452999999999996</v>
      </c>
      <c r="P27" s="4423" t="str">
        <f>+'COKE OVENS'!M186</f>
        <v>21.0-22.5</v>
      </c>
      <c r="Q27" s="4424">
        <f>+'COKE OVENS'!N186</f>
        <v>21.397074281309116</v>
      </c>
      <c r="R27" s="4420" t="s">
        <v>1760</v>
      </c>
      <c r="S27" s="4421">
        <f>+'COKE OVENS'!P186</f>
        <v>20.570909090909087</v>
      </c>
      <c r="T27" s="4422" t="str">
        <f>+'COKE OVENS'!Q186</f>
        <v>21.0-22.5</v>
      </c>
      <c r="U27" s="3864">
        <f>+'COKE OVENS'!R186</f>
        <v>21.18403710963841</v>
      </c>
      <c r="V27" s="4420" t="s">
        <v>1760</v>
      </c>
      <c r="W27" s="4421">
        <f>+'COKE OVENS'!T186</f>
        <v>20.53</v>
      </c>
      <c r="X27" s="4422" t="str">
        <f>+'COKE OVENS'!U186</f>
        <v>21.0-22.5</v>
      </c>
      <c r="Y27" s="3864">
        <f>+'COKE OVENS'!V186</f>
        <v>21.050138222381534</v>
      </c>
      <c r="Z27" s="4420" t="s">
        <v>1760</v>
      </c>
      <c r="AA27" s="4421">
        <f>+'COKE OVENS'!X186</f>
        <v>21.17</v>
      </c>
      <c r="AB27" s="4423" t="str">
        <f>+'COKE OVENS'!Y186</f>
        <v>21.0-22.5</v>
      </c>
      <c r="AC27" s="4423">
        <f>+'COKE OVENS'!Z186</f>
        <v>20.751900553286546</v>
      </c>
      <c r="AD27" s="4425" t="str">
        <f>+'COKE OVENS'!AA186</f>
        <v>21.0-22.5</v>
      </c>
      <c r="AE27" s="4426">
        <f>+'COKE OVENS'!AB186</f>
        <v>21.069900757691787</v>
      </c>
      <c r="AF27" s="4420" t="s">
        <v>1760</v>
      </c>
      <c r="AG27" s="4421">
        <f>+'COKE OVENS'!AD186</f>
        <v>21.54</v>
      </c>
      <c r="AH27" s="4422" t="str">
        <f>+'COKE OVENS'!AE186</f>
        <v>21.0-22.5</v>
      </c>
      <c r="AI27" s="3864">
        <f>+'COKE OVENS'!AF186</f>
        <v>21.138021233059092</v>
      </c>
      <c r="AJ27" s="4420" t="s">
        <v>1760</v>
      </c>
      <c r="AK27" s="4421">
        <f>+'COKE OVENS'!AH186</f>
        <v>21.62</v>
      </c>
      <c r="AL27" s="4422" t="str">
        <f>+'COKE OVENS'!AI186</f>
        <v>21.0-22.5</v>
      </c>
      <c r="AM27" s="3864">
        <f>+'COKE OVENS'!AJ186</f>
        <v>21.195274070131401</v>
      </c>
      <c r="AN27" s="4420" t="s">
        <v>1760</v>
      </c>
      <c r="AO27" s="4421">
        <f>+'COKE OVENS'!AL186</f>
        <v>20.92</v>
      </c>
      <c r="AP27" s="4423" t="str">
        <f>+'COKE OVENS'!AM186</f>
        <v>21.0-22.5</v>
      </c>
      <c r="AQ27" s="4423">
        <f>+'COKE OVENS'!AN186</f>
        <v>21.353773564697384</v>
      </c>
      <c r="AR27" s="4422" t="str">
        <f>+'COKE OVENS'!AO186</f>
        <v>21.0-22.5</v>
      </c>
      <c r="AS27" s="3864">
        <f>+'COKE OVENS'!AP186</f>
        <v>21.164096585519964</v>
      </c>
      <c r="AT27" s="4420" t="s">
        <v>1760</v>
      </c>
      <c r="AU27" s="4421">
        <f>+'COKE OVENS'!AR186</f>
        <v>20.71</v>
      </c>
      <c r="AV27" s="4422" t="str">
        <f>+'COKE OVENS'!AS186</f>
        <v>21.0-22.5</v>
      </c>
      <c r="AW27" s="3864">
        <f>+'COKE OVENS'!AT186</f>
        <v>21.117551663762509</v>
      </c>
      <c r="AX27" s="4420" t="s">
        <v>1760</v>
      </c>
      <c r="AY27" s="4421">
        <f>+'COKE OVENS'!AV186</f>
        <v>20.6</v>
      </c>
      <c r="AZ27" s="4422" t="str">
        <f>+'COKE OVENS'!AW186</f>
        <v>21.0-22.5</v>
      </c>
      <c r="BA27" s="3864">
        <f>+'COKE OVENS'!AX186</f>
        <v>21.073787591733225</v>
      </c>
      <c r="BB27" s="4420" t="s">
        <v>1760</v>
      </c>
      <c r="BC27" s="4421">
        <f>+'COKE OVENS'!AZ186</f>
        <v>21.57</v>
      </c>
      <c r="BD27" s="4404" t="str">
        <f>+'COKE OVENS'!BA186</f>
        <v>21.0-22.5</v>
      </c>
      <c r="BE27" s="4404">
        <f>+'COKE OVENS'!BB186</f>
        <v>20.972322446751168</v>
      </c>
      <c r="BF27" s="4425" t="str">
        <f>+'COKE OVENS'!BC186</f>
        <v>21.0-22.5</v>
      </c>
      <c r="BG27" s="4426">
        <f>+'COKE OVENS'!BD186</f>
        <v>21.163179901507291</v>
      </c>
      <c r="BH27" s="4422" t="str">
        <f>+'COKE OVENS'!BE186</f>
        <v>21.0-22.5</v>
      </c>
      <c r="BI27" s="3864">
        <f>+'COKE OVENS'!BF186</f>
        <v>21.11636564764482</v>
      </c>
    </row>
    <row r="28" spans="3:61" x14ac:dyDescent="0.25">
      <c r="C28" s="7429" t="s">
        <v>111</v>
      </c>
      <c r="D28" s="4427" t="s">
        <v>1051</v>
      </c>
      <c r="E28" s="4366" t="s">
        <v>228</v>
      </c>
      <c r="F28" s="4428">
        <v>1.3306230266546284</v>
      </c>
      <c r="G28" s="4429">
        <v>1.3471054974217826</v>
      </c>
      <c r="H28" s="4431">
        <f>+SINTER!E79</f>
        <v>1.3490593273127522</v>
      </c>
      <c r="I28" s="4431">
        <f>+SINTER!F79</f>
        <v>1.3518869877422415</v>
      </c>
      <c r="J28" s="4431">
        <f>+SINTER!G79</f>
        <v>1.3428765020223761</v>
      </c>
      <c r="K28" s="4431">
        <f>+SINTER!H79</f>
        <v>1.3467485876245864</v>
      </c>
      <c r="L28" s="4433">
        <f>+SINTER!I79</f>
        <v>1.3459150700069626</v>
      </c>
      <c r="M28" s="4433">
        <f>+SINTER!J79</f>
        <v>1.3491858929880494</v>
      </c>
      <c r="N28" s="4431">
        <f>+SINTER!K79</f>
        <v>1.2868234067992903</v>
      </c>
      <c r="O28" s="4431">
        <f>+SINTER!L79</f>
        <v>1.2363344447858462</v>
      </c>
      <c r="P28" s="4434">
        <f>+SINTER!M79</f>
        <v>1.3290946742503411</v>
      </c>
      <c r="Q28" s="4435">
        <f>+SINTER!N79</f>
        <v>1.3157957500720279</v>
      </c>
      <c r="R28" s="4431">
        <f>+SINTER!O79</f>
        <v>1.1302954482256913</v>
      </c>
      <c r="S28" s="4431">
        <f>+SINTER!P79</f>
        <v>1.3504116863679656</v>
      </c>
      <c r="T28" s="4432">
        <f>+SINTER!Q79</f>
        <v>1.2966594753923237</v>
      </c>
      <c r="U28" s="4433">
        <f>+SINTER!R79</f>
        <v>1.3258321992732451</v>
      </c>
      <c r="V28" s="4431">
        <f>+SINTER!S79</f>
        <v>1.3797760929021829</v>
      </c>
      <c r="W28" s="4431">
        <f>+SINTER!T79</f>
        <v>1.3413069950925705</v>
      </c>
      <c r="X28" s="4432">
        <f>+SINTER!U79</f>
        <v>1.3159571513513781</v>
      </c>
      <c r="Y28" s="4433">
        <f>+SINTER!V79</f>
        <v>1.3291530504132023</v>
      </c>
      <c r="Z28" s="4431">
        <f>+SINTER!W79</f>
        <v>1.3663036344290951</v>
      </c>
      <c r="AA28" s="4431">
        <f>+SINTER!X79</f>
        <v>1.3674156782418974</v>
      </c>
      <c r="AB28" s="4434">
        <f>+SINTER!Y79</f>
        <v>1.3208732606130904</v>
      </c>
      <c r="AC28" s="4434">
        <f>+SINTER!Z79</f>
        <v>1.3529338578265868</v>
      </c>
      <c r="AD28" s="4436">
        <f>+SINTER!AA79</f>
        <v>1.3251874269073107</v>
      </c>
      <c r="AE28" s="4437">
        <f>+SINTER!AB79</f>
        <v>1.3358445783905981</v>
      </c>
      <c r="AF28" s="4431">
        <f>+SINTER!AC79</f>
        <v>1.4012354451431732</v>
      </c>
      <c r="AG28" s="4431">
        <f>+SINTER!AD79</f>
        <v>1.370852628222776</v>
      </c>
      <c r="AH28" s="4432">
        <f>+SINTER!AE79</f>
        <v>1.3374548641001394</v>
      </c>
      <c r="AI28" s="4433">
        <f>+SINTER!AF79</f>
        <v>1.3410734980112573</v>
      </c>
      <c r="AJ28" s="4431">
        <f>+SINTER!AG79</f>
        <v>1.4040708451798729</v>
      </c>
      <c r="AK28" s="4431">
        <f>+SINTER!AH79</f>
        <v>1.0403665814151748</v>
      </c>
      <c r="AL28" s="4432">
        <f>+SINTER!AI79</f>
        <v>1.3464812055395488</v>
      </c>
      <c r="AM28" s="4433">
        <f>+SINTER!AJ79</f>
        <v>1.3372487342674482</v>
      </c>
      <c r="AN28" s="4431">
        <f>+SINTER!AK79</f>
        <v>1.4012354451431732</v>
      </c>
      <c r="AO28" s="4431">
        <f>+SINTER!AL79</f>
        <v>1.2510718411754189</v>
      </c>
      <c r="AP28" s="4434">
        <f>+SINTER!AM79</f>
        <v>1.4021625329833352</v>
      </c>
      <c r="AQ28" s="4434">
        <f>+SINTER!AN79</f>
        <v>1.2983544062624213</v>
      </c>
      <c r="AR28" s="4432">
        <f>+SINTER!AO79</f>
        <v>1.3531824076950434</v>
      </c>
      <c r="AS28" s="4433">
        <f>+SINTER!AP79</f>
        <v>1.3255738601288716</v>
      </c>
      <c r="AT28" s="4431">
        <f>+SINTER!AQ79</f>
        <v>1.4012354451431732</v>
      </c>
      <c r="AU28" s="4431">
        <f>+SINTER!AR79</f>
        <v>1.3570210966891405</v>
      </c>
      <c r="AV28" s="4432">
        <f>+SINTER!AS79</f>
        <v>1.3584221897047093</v>
      </c>
      <c r="AW28" s="4433">
        <f>+SINTER!AT79</f>
        <v>1.3291309519118066</v>
      </c>
      <c r="AX28" s="4431">
        <f>+SINTER!AU79</f>
        <v>1.3999166172521602</v>
      </c>
      <c r="AY28" s="4431">
        <f>+SINTER!AV79</f>
        <v>1.3225856427869946</v>
      </c>
      <c r="AZ28" s="4432">
        <f>+SINTER!AW79</f>
        <v>1.3621596793436561</v>
      </c>
      <c r="BA28" s="4433">
        <f>+SINTER!AX79</f>
        <v>1.3284948279148123</v>
      </c>
      <c r="BB28" s="4431">
        <f>+SINTER!AY79</f>
        <v>1.4012354451431732</v>
      </c>
      <c r="BC28" s="4431">
        <f>+SINTER!AZ79</f>
        <v>1.4164213959015601</v>
      </c>
      <c r="BD28" s="4438">
        <f>+SINTER!BA79</f>
        <v>1.4008237135089054</v>
      </c>
      <c r="BE28" s="4438">
        <f>+SINTER!BB79</f>
        <v>1.3671089504554215</v>
      </c>
      <c r="BF28" s="4436">
        <f>+SINTER!BC79</f>
        <v>1.401500390661844</v>
      </c>
      <c r="BG28" s="4437">
        <f>+SINTER!BD79</f>
        <v>1.3385073603502946</v>
      </c>
      <c r="BH28" s="4432">
        <f>+SINTER!BE79</f>
        <v>1.3656868155141386</v>
      </c>
      <c r="BI28" s="4433">
        <f>+SINTER!BF79</f>
        <v>1.337111079263051</v>
      </c>
    </row>
    <row r="29" spans="3:61" x14ac:dyDescent="0.25">
      <c r="C29" s="7430"/>
      <c r="D29" s="4408" t="s">
        <v>786</v>
      </c>
      <c r="E29" s="4389" t="s">
        <v>219</v>
      </c>
      <c r="F29" s="4439">
        <v>783.62841572321815</v>
      </c>
      <c r="G29" s="4415">
        <v>783.91225705888951</v>
      </c>
      <c r="H29" s="4440">
        <f>+SINTER!E85</f>
        <v>783.9122570588894</v>
      </c>
      <c r="I29" s="4440">
        <f>+SINTER!F85</f>
        <v>785.44262498834792</v>
      </c>
      <c r="J29" s="4440">
        <f>+SINTER!G85</f>
        <v>783.91225705888951</v>
      </c>
      <c r="K29" s="4440">
        <f>+SINTER!H85</f>
        <v>786.06609514052673</v>
      </c>
      <c r="L29" s="3861">
        <f>+SINTER!I85</f>
        <v>783.9122570588894</v>
      </c>
      <c r="M29" s="3861">
        <f>+SINTER!J85</f>
        <v>785.76977150823473</v>
      </c>
      <c r="N29" s="4440">
        <f>+SINTER!K85</f>
        <v>779.40144546743261</v>
      </c>
      <c r="O29" s="4440">
        <f>+SINTER!L85</f>
        <v>787.9549124213288</v>
      </c>
      <c r="P29" s="4442">
        <f>+SINTER!M85</f>
        <v>783.91225705888928</v>
      </c>
      <c r="Q29" s="4443">
        <f>+SINTER!N85</f>
        <v>786.37726003414105</v>
      </c>
      <c r="R29" s="4440">
        <f>+SINTER!O85</f>
        <v>779.40144546743261</v>
      </c>
      <c r="S29" s="4440">
        <f>+SINTER!P85</f>
        <v>786.95936473527672</v>
      </c>
      <c r="T29" s="4441">
        <f>+SINTER!Q85</f>
        <v>783.91225705888928</v>
      </c>
      <c r="U29" s="3861">
        <f>+SINTER!R85</f>
        <v>786.54916275078779</v>
      </c>
      <c r="V29" s="4440">
        <f>+SINTER!S85</f>
        <v>779.40144546743261</v>
      </c>
      <c r="W29" s="4440">
        <f>+SINTER!T85</f>
        <v>785.89854060034077</v>
      </c>
      <c r="X29" s="4441">
        <f>+SINTER!U85</f>
        <v>783.91225705888928</v>
      </c>
      <c r="Y29" s="3861">
        <f>+SINTER!V85</f>
        <v>786.40826420107874</v>
      </c>
      <c r="Z29" s="4440">
        <f>+SINTER!W85</f>
        <v>779.40144546743261</v>
      </c>
      <c r="AA29" s="4440">
        <f>+SINTER!X85</f>
        <v>784.99947358048951</v>
      </c>
      <c r="AB29" s="4442">
        <f>+SINTER!Y85</f>
        <v>783.91225705888928</v>
      </c>
      <c r="AC29" s="4442">
        <f>+SINTER!Z85</f>
        <v>785.97269989596509</v>
      </c>
      <c r="AD29" s="4444">
        <f>+SINTER!AA85</f>
        <v>783.91225705888928</v>
      </c>
      <c r="AE29" s="4445">
        <f>+SINTER!AB85</f>
        <v>786.1560662354583</v>
      </c>
      <c r="AF29" s="4440">
        <f>+SINTER!AC85</f>
        <v>779.40144546743261</v>
      </c>
      <c r="AG29" s="4440">
        <f>+SINTER!AD85</f>
        <v>786.35240856414123</v>
      </c>
      <c r="AH29" s="4441">
        <f>+SINTER!AE85</f>
        <v>783.91225705888928</v>
      </c>
      <c r="AI29" s="3861">
        <f>+SINTER!AF85</f>
        <v>786.18604378806435</v>
      </c>
      <c r="AJ29" s="4440">
        <f>+SINTER!AG85</f>
        <v>779.40144546743261</v>
      </c>
      <c r="AK29" s="4440">
        <f>+SINTER!AH85</f>
        <v>786.00401524152903</v>
      </c>
      <c r="AL29" s="4441">
        <f>+SINTER!AI85</f>
        <v>783.91225705888928</v>
      </c>
      <c r="AM29" s="3861">
        <f>+SINTER!AJ85</f>
        <v>786.18424253432408</v>
      </c>
      <c r="AN29" s="4440">
        <f>+SINTER!AK85</f>
        <v>779.40144546743261</v>
      </c>
      <c r="AO29" s="4440">
        <f>+SINTER!AL85</f>
        <v>785</v>
      </c>
      <c r="AP29" s="4442">
        <f>+SINTER!AM85</f>
        <v>783.91225705888928</v>
      </c>
      <c r="AQ29" s="4442">
        <f>+SINTER!AN85</f>
        <v>785.69677466963947</v>
      </c>
      <c r="AR29" s="4441">
        <f>+SINTER!AO85</f>
        <v>783.91225705888928</v>
      </c>
      <c r="AS29" s="3861">
        <f>+SINTER!AP85</f>
        <v>786.03282354322278</v>
      </c>
      <c r="AT29" s="4440">
        <f>+SINTER!AQ85</f>
        <v>779.40144546743261</v>
      </c>
      <c r="AU29" s="4440">
        <f>+SINTER!AR85</f>
        <v>787.86188219363578</v>
      </c>
      <c r="AV29" s="4441">
        <f>+SINTER!AS85</f>
        <v>783.91225705888928</v>
      </c>
      <c r="AW29" s="3861">
        <f>+SINTER!AT85</f>
        <v>786.24405521836582</v>
      </c>
      <c r="AX29" s="4440">
        <f>+SINTER!AU85</f>
        <v>779.40144546743272</v>
      </c>
      <c r="AY29" s="4440">
        <f>+SINTER!AV85</f>
        <v>789.55267022677435</v>
      </c>
      <c r="AZ29" s="4441">
        <f>+SINTER!AW85</f>
        <v>783.91225705888928</v>
      </c>
      <c r="BA29" s="3861">
        <f>+SINTER!AX85</f>
        <v>786.56418183754579</v>
      </c>
      <c r="BB29" s="4440">
        <f>+SINTER!AY85</f>
        <v>779.40144546743261</v>
      </c>
      <c r="BC29" s="4440">
        <f>+SINTER!AZ85</f>
        <v>786.37139651724306</v>
      </c>
      <c r="BD29" s="4446">
        <f>+SINTER!BA85</f>
        <v>783.91225705888928</v>
      </c>
      <c r="BE29" s="4446">
        <f>+SINTER!BB85</f>
        <v>787.83332397311744</v>
      </c>
      <c r="BF29" s="4444">
        <f>+SINTER!BC85</f>
        <v>783.91225705888928</v>
      </c>
      <c r="BG29" s="4445">
        <f>+SINTER!BD85</f>
        <v>786.97119114427733</v>
      </c>
      <c r="BH29" s="4441">
        <f>+SINTER!BE85</f>
        <v>783.91225705888928</v>
      </c>
      <c r="BI29" s="3861">
        <f>+SINTER!BF85</f>
        <v>786.54416952900374</v>
      </c>
    </row>
    <row r="30" spans="3:61" x14ac:dyDescent="0.25">
      <c r="C30" s="7430"/>
      <c r="D30" s="4408" t="s">
        <v>788</v>
      </c>
      <c r="E30" s="4389" t="s">
        <v>219</v>
      </c>
      <c r="F30" s="4439">
        <v>102.61678267110892</v>
      </c>
      <c r="G30" s="4415">
        <v>64.938026921102136</v>
      </c>
      <c r="H30" s="4440">
        <f>+SINTER!E86</f>
        <v>64.938026921102121</v>
      </c>
      <c r="I30" s="4440">
        <f>+SINTER!F86</f>
        <v>64.409781561694061</v>
      </c>
      <c r="J30" s="4440">
        <f>+SINTER!G86</f>
        <v>64.938026921102107</v>
      </c>
      <c r="K30" s="4440">
        <f>+SINTER!H86</f>
        <v>59.441720657686616</v>
      </c>
      <c r="L30" s="3861">
        <f>+SINTER!I86</f>
        <v>64.938026921102107</v>
      </c>
      <c r="M30" s="3861">
        <f>+SINTER!J86</f>
        <v>61.802946527728551</v>
      </c>
      <c r="N30" s="4440">
        <f>+SINTER!K86</f>
        <v>84.940005073175669</v>
      </c>
      <c r="O30" s="4440">
        <f>+SINTER!L86</f>
        <v>58.507231424769017</v>
      </c>
      <c r="P30" s="4442">
        <f>+SINTER!M86</f>
        <v>64.938026921102121</v>
      </c>
      <c r="Q30" s="4443">
        <f>+SINTER!N86</f>
        <v>60.886708541561603</v>
      </c>
      <c r="R30" s="4440">
        <f>+SINTER!O86</f>
        <v>84.940005073175683</v>
      </c>
      <c r="S30" s="4440">
        <f>+SINTER!P86</f>
        <v>62.758089015426179</v>
      </c>
      <c r="T30" s="4441">
        <f>+SINTER!Q86</f>
        <v>64.938026921102121</v>
      </c>
      <c r="U30" s="3861">
        <f>+SINTER!R86</f>
        <v>61.439350337289035</v>
      </c>
      <c r="V30" s="4440">
        <f>+SINTER!S86</f>
        <v>84.940005073175683</v>
      </c>
      <c r="W30" s="4440">
        <f>+SINTER!T86</f>
        <v>61.137673930593571</v>
      </c>
      <c r="X30" s="4441">
        <f>+SINTER!U86</f>
        <v>64.938026921102121</v>
      </c>
      <c r="Y30" s="3861">
        <f>+SINTER!V86</f>
        <v>61.374019379596263</v>
      </c>
      <c r="Z30" s="4440">
        <f>+SINTER!W86</f>
        <v>84.940005073175683</v>
      </c>
      <c r="AA30" s="4440">
        <f>+SINTER!X86</f>
        <v>63.351213599440648</v>
      </c>
      <c r="AB30" s="4442">
        <f>+SINTER!Y86</f>
        <v>64.938026921102121</v>
      </c>
      <c r="AC30" s="4442">
        <f>+SINTER!Z86</f>
        <v>62.425365779497255</v>
      </c>
      <c r="AD30" s="4444">
        <f>+SINTER!AA86</f>
        <v>64.938026921102121</v>
      </c>
      <c r="AE30" s="4445">
        <f>+SINTER!AB86</f>
        <v>61.727971452099915</v>
      </c>
      <c r="AF30" s="4440">
        <f>+SINTER!AC86</f>
        <v>84.940005073175669</v>
      </c>
      <c r="AG30" s="4440">
        <f>+SINTER!AD86</f>
        <v>68.047535650396796</v>
      </c>
      <c r="AH30" s="4441">
        <f>+SINTER!AE86</f>
        <v>64.938026921102121</v>
      </c>
      <c r="AI30" s="3861">
        <f>+SINTER!AF86</f>
        <v>62.692842702596678</v>
      </c>
      <c r="AJ30" s="4440">
        <f>+SINTER!AG86</f>
        <v>84.940005073175683</v>
      </c>
      <c r="AK30" s="4440">
        <f>+SINTER!AH86</f>
        <v>72.274347523251521</v>
      </c>
      <c r="AL30" s="4441">
        <f>+SINTER!AI86</f>
        <v>64.938026921102121</v>
      </c>
      <c r="AM30" s="3861">
        <f>+SINTER!AJ86</f>
        <v>62.787655970756795</v>
      </c>
      <c r="AN30" s="4440">
        <f>+SINTER!AK86</f>
        <v>84.940005073175669</v>
      </c>
      <c r="AO30" s="4440">
        <f>+SINTER!AL86</f>
        <v>82.96921494231259</v>
      </c>
      <c r="AP30" s="4442">
        <f>+SINTER!AM86</f>
        <v>64.938026921102121</v>
      </c>
      <c r="AQ30" s="4442">
        <f>+SINTER!AN86</f>
        <v>75.293726972279771</v>
      </c>
      <c r="AR30" s="4441">
        <f>+SINTER!AO86</f>
        <v>64.938026921102121</v>
      </c>
      <c r="AS30" s="3861">
        <f>+SINTER!AP86</f>
        <v>65.368099764788411</v>
      </c>
      <c r="AT30" s="4440">
        <f>+SINTER!AQ86</f>
        <v>84.940005073175669</v>
      </c>
      <c r="AU30" s="4440">
        <f>+SINTER!AR86</f>
        <v>78.20176032498307</v>
      </c>
      <c r="AV30" s="4441">
        <f>+SINTER!AS86</f>
        <v>64.938026921102121</v>
      </c>
      <c r="AW30" s="3861">
        <f>+SINTER!AT86</f>
        <v>66.850214959800994</v>
      </c>
      <c r="AX30" s="4440">
        <f>+SINTER!AU86</f>
        <v>84.940005073175683</v>
      </c>
      <c r="AY30" s="4440">
        <f>+SINTER!AV86</f>
        <v>56.706734910174923</v>
      </c>
      <c r="AZ30" s="4441">
        <f>+SINTER!AW86</f>
        <v>64.938026921102121</v>
      </c>
      <c r="BA30" s="3861">
        <f>+SINTER!AX86</f>
        <v>65.868777721937221</v>
      </c>
      <c r="BB30" s="4440">
        <f>+SINTER!AY86</f>
        <v>84.940005073175669</v>
      </c>
      <c r="BC30" s="4440">
        <f>+SINTER!AZ86</f>
        <v>69.886834788546906</v>
      </c>
      <c r="BD30" s="4446">
        <f>+SINTER!BA86</f>
        <v>64.938026921102121</v>
      </c>
      <c r="BE30" s="4446">
        <f>+SINTER!BB86</f>
        <v>68.599684961877188</v>
      </c>
      <c r="BF30" s="4444">
        <f>+SINTER!BC86</f>
        <v>64.938026921102121</v>
      </c>
      <c r="BG30" s="4445">
        <f>+SINTER!BD86</f>
        <v>71.300841151163141</v>
      </c>
      <c r="BH30" s="4441">
        <f>+SINTER!BE86</f>
        <v>64.938026921102121</v>
      </c>
      <c r="BI30" s="3861">
        <f>+SINTER!BF86</f>
        <v>66.285876895414788</v>
      </c>
    </row>
    <row r="31" spans="3:61" x14ac:dyDescent="0.25">
      <c r="C31" s="7430"/>
      <c r="D31" s="4408" t="s">
        <v>787</v>
      </c>
      <c r="E31" s="4389" t="s">
        <v>219</v>
      </c>
      <c r="F31" s="4439">
        <v>101.93133462172391</v>
      </c>
      <c r="G31" s="4415">
        <v>99.857531963581579</v>
      </c>
      <c r="H31" s="4440">
        <f>+SINTER!E87</f>
        <v>99.85753196358155</v>
      </c>
      <c r="I31" s="4440">
        <f>+SINTER!F87</f>
        <v>99.453127427523839</v>
      </c>
      <c r="J31" s="4440">
        <f>+SINTER!G87</f>
        <v>99.85753196358155</v>
      </c>
      <c r="K31" s="4440">
        <f>+SINTER!H87</f>
        <v>96.927718642522223</v>
      </c>
      <c r="L31" s="3861">
        <f>+SINTER!I87</f>
        <v>99.85753196358155</v>
      </c>
      <c r="M31" s="3861">
        <f>+SINTER!J87</f>
        <v>98.127997920654053</v>
      </c>
      <c r="N31" s="4440">
        <f>+SINTER!K87</f>
        <v>89.796141662047006</v>
      </c>
      <c r="O31" s="4440">
        <f>+SINTER!L87</f>
        <v>97.949274556353728</v>
      </c>
      <c r="P31" s="4442">
        <f>+SINTER!M87</f>
        <v>99.857531963581536</v>
      </c>
      <c r="Q31" s="4443">
        <f>+SINTER!N87</f>
        <v>98.078311242566954</v>
      </c>
      <c r="R31" s="4440">
        <f>+SINTER!O87</f>
        <v>89.796141662047006</v>
      </c>
      <c r="S31" s="4440">
        <f>+SINTER!P87</f>
        <v>93.088875488826645</v>
      </c>
      <c r="T31" s="4441">
        <f>+SINTER!Q87</f>
        <v>99.857531963581536</v>
      </c>
      <c r="U31" s="3861">
        <f>+SINTER!R87</f>
        <v>96.604869164313641</v>
      </c>
      <c r="V31" s="4440">
        <f>+SINTER!S87</f>
        <v>89.796141662047006</v>
      </c>
      <c r="W31" s="4440">
        <f>+SINTER!T87</f>
        <v>96.311135635283293</v>
      </c>
      <c r="X31" s="4441">
        <f>+SINTER!U87</f>
        <v>99.857531963581536</v>
      </c>
      <c r="Y31" s="3861">
        <f>+SINTER!V87</f>
        <v>96.541258313971582</v>
      </c>
      <c r="Z31" s="4440">
        <f>+SINTER!W87</f>
        <v>89.796141662047006</v>
      </c>
      <c r="AA31" s="4440">
        <f>+SINTER!X87</f>
        <v>95.962227375434296</v>
      </c>
      <c r="AB31" s="4442">
        <f>+SINTER!Y87</f>
        <v>99.857531963581536</v>
      </c>
      <c r="AC31" s="4442">
        <f>+SINTER!Z87</f>
        <v>95.077478165485331</v>
      </c>
      <c r="AD31" s="4444">
        <f>+SINTER!AA87</f>
        <v>99.857531963581536</v>
      </c>
      <c r="AE31" s="4445">
        <f>+SINTER!AB87</f>
        <v>96.437601728957318</v>
      </c>
      <c r="AF31" s="4440">
        <f>+SINTER!AC87</f>
        <v>89.796141662046978</v>
      </c>
      <c r="AG31" s="4440">
        <f>+SINTER!AD87</f>
        <v>101.97475171446426</v>
      </c>
      <c r="AH31" s="4441">
        <f>+SINTER!AE87</f>
        <v>99.857531963581536</v>
      </c>
      <c r="AI31" s="3861">
        <f>+SINTER!AF87</f>
        <v>97.28301395408262</v>
      </c>
      <c r="AJ31" s="4440">
        <f>+SINTER!AG87</f>
        <v>89.796141662047006</v>
      </c>
      <c r="AK31" s="4440">
        <f>+SINTER!AH87</f>
        <v>98.947023394927669</v>
      </c>
      <c r="AL31" s="4441">
        <f>+SINTER!AI87</f>
        <v>99.857531963581536</v>
      </c>
      <c r="AM31" s="3861">
        <f>+SINTER!AJ87</f>
        <v>97.29948007044834</v>
      </c>
      <c r="AN31" s="4440">
        <f>+SINTER!AK87</f>
        <v>89.796141662046978</v>
      </c>
      <c r="AO31" s="4440">
        <f>+SINTER!AL87</f>
        <v>101.49777104235572</v>
      </c>
      <c r="AP31" s="4442">
        <f>+SINTER!AM87</f>
        <v>99.857531963581536</v>
      </c>
      <c r="AQ31" s="4442">
        <f>+SINTER!AN87</f>
        <v>101.65008934360127</v>
      </c>
      <c r="AR31" s="4441">
        <f>+SINTER!AO87</f>
        <v>99.857531963581536</v>
      </c>
      <c r="AS31" s="3861">
        <f>+SINTER!AP87</f>
        <v>97.836279724987719</v>
      </c>
      <c r="AT31" s="4440">
        <f>+SINTER!AQ87</f>
        <v>89.796141662046978</v>
      </c>
      <c r="AU31" s="4440">
        <f>+SINTER!AR87</f>
        <v>99.591062965470556</v>
      </c>
      <c r="AV31" s="4441">
        <f>+SINTER!AS87</f>
        <v>99.857531963581536</v>
      </c>
      <c r="AW31" s="3861">
        <f>+SINTER!AT87</f>
        <v>98.038933589212547</v>
      </c>
      <c r="AX31" s="4440">
        <f>+SINTER!AU87</f>
        <v>89.796141662047006</v>
      </c>
      <c r="AY31" s="4440">
        <f>+SINTER!AV87</f>
        <v>94.044070201664809</v>
      </c>
      <c r="AZ31" s="4441">
        <f>+SINTER!AW87</f>
        <v>99.857531963581536</v>
      </c>
      <c r="BA31" s="3861">
        <f>+SINTER!AX87</f>
        <v>97.652408681632892</v>
      </c>
      <c r="BB31" s="4440">
        <f>+SINTER!AY87</f>
        <v>89.796141662046978</v>
      </c>
      <c r="BC31" s="4440">
        <f>+SINTER!AZ87</f>
        <v>98.392761328715679</v>
      </c>
      <c r="BD31" s="4446">
        <f>+SINTER!BA87</f>
        <v>99.857531963581536</v>
      </c>
      <c r="BE31" s="4446">
        <f>+SINTER!BB87</f>
        <v>97.459459122154385</v>
      </c>
      <c r="BF31" s="4444">
        <f>+SINTER!BC87</f>
        <v>99.857531963581536</v>
      </c>
      <c r="BG31" s="4445">
        <f>+SINTER!BD87</f>
        <v>99.150447428185231</v>
      </c>
      <c r="BH31" s="4441">
        <f>+SINTER!BE87</f>
        <v>99.857531963581536</v>
      </c>
      <c r="BI31" s="3861">
        <f>+SINTER!BF87</f>
        <v>97.729261865164361</v>
      </c>
    </row>
    <row r="32" spans="3:61" x14ac:dyDescent="0.25">
      <c r="C32" s="7430"/>
      <c r="D32" s="4408" t="s">
        <v>26</v>
      </c>
      <c r="E32" s="4389" t="s">
        <v>219</v>
      </c>
      <c r="F32" s="4390">
        <v>74.095728405144612</v>
      </c>
      <c r="G32" s="4416">
        <v>63.500000000000007</v>
      </c>
      <c r="H32" s="4393">
        <f>+SINTER!E98</f>
        <v>63.5</v>
      </c>
      <c r="I32" s="4393">
        <f>+SINTER!F98</f>
        <v>59.972656371376189</v>
      </c>
      <c r="J32" s="4393">
        <f>+SINTER!G98</f>
        <v>63.499999999999993</v>
      </c>
      <c r="K32" s="4393">
        <f>+SINTER!H98</f>
        <v>62.796575346321198</v>
      </c>
      <c r="L32" s="3847">
        <f>+SINTER!I98</f>
        <v>63.499999999999986</v>
      </c>
      <c r="M32" s="3847">
        <f>+SINTER!J98</f>
        <v>61.454419791592827</v>
      </c>
      <c r="N32" s="4393">
        <f>+SINTER!K98</f>
        <v>67.816371315908725</v>
      </c>
      <c r="O32" s="4393">
        <f>+SINTER!L98</f>
        <v>63.209287519607884</v>
      </c>
      <c r="P32" s="4394">
        <f>+SINTER!M98</f>
        <v>63.5</v>
      </c>
      <c r="Q32" s="4447">
        <f>+SINTER!N98</f>
        <v>61.942288561457687</v>
      </c>
      <c r="R32" s="4393">
        <f>+SINTER!O98</f>
        <v>67.816371315908725</v>
      </c>
      <c r="S32" s="4393">
        <f>+SINTER!P98</f>
        <v>68.111329074148983</v>
      </c>
      <c r="T32" s="4386">
        <f>+SINTER!Q98</f>
        <v>63.5</v>
      </c>
      <c r="U32" s="3847">
        <f>+SINTER!R98</f>
        <v>63.764082512213477</v>
      </c>
      <c r="V32" s="4393">
        <f>+SINTER!S98</f>
        <v>67.816371315908739</v>
      </c>
      <c r="W32" s="4393">
        <f>+SINTER!T98</f>
        <v>69.441764000750226</v>
      </c>
      <c r="X32" s="4386">
        <f>+SINTER!U98</f>
        <v>63.5</v>
      </c>
      <c r="Y32" s="3847">
        <f>+SINTER!V98</f>
        <v>64.993639616740552</v>
      </c>
      <c r="Z32" s="4393">
        <f>+SINTER!W98</f>
        <v>67.816371315908725</v>
      </c>
      <c r="AA32" s="4393">
        <f>+SINTER!X98</f>
        <v>63.405205344102882</v>
      </c>
      <c r="AB32" s="4442">
        <f>+SINTER!Y98</f>
        <v>63.5</v>
      </c>
      <c r="AC32" s="4442">
        <f>+SINTER!Z98</f>
        <v>67.003078620162967</v>
      </c>
      <c r="AD32" s="4444">
        <f>+SINTER!AA98</f>
        <v>63.5</v>
      </c>
      <c r="AE32" s="4445">
        <f>+SINTER!AB98</f>
        <v>64.709282320328782</v>
      </c>
      <c r="AF32" s="4393">
        <f>+SINTER!AC98</f>
        <v>67.816371315908725</v>
      </c>
      <c r="AG32" s="4393">
        <f>+SINTER!AD98</f>
        <v>62.573587192945283</v>
      </c>
      <c r="AH32" s="4386">
        <f>+SINTER!AE98</f>
        <v>63.5</v>
      </c>
      <c r="AI32" s="3847">
        <f>+SINTER!AF98</f>
        <v>64.383204324508483</v>
      </c>
      <c r="AJ32" s="4393">
        <f>+SINTER!AG98</f>
        <v>67.816371315908725</v>
      </c>
      <c r="AK32" s="4393">
        <f>+SINTER!AH98</f>
        <v>73.913221616749297</v>
      </c>
      <c r="AL32" s="4386">
        <f>+SINTER!AI98</f>
        <v>63.5</v>
      </c>
      <c r="AM32" s="3847">
        <f>+SINTER!AJ98</f>
        <v>64.477508100586746</v>
      </c>
      <c r="AN32" s="4393">
        <f>+SINTER!AK98</f>
        <v>67.816371315908725</v>
      </c>
      <c r="AO32" s="4393">
        <f>+SINTER!AL98</f>
        <v>63.699516598267721</v>
      </c>
      <c r="AP32" s="4442">
        <f>+SINTER!AM98</f>
        <v>63.5</v>
      </c>
      <c r="AQ32" s="4442">
        <f>+SINTER!AN98</f>
        <v>63.474807212848603</v>
      </c>
      <c r="AR32" s="4386">
        <f>+SINTER!AO98</f>
        <v>63.5</v>
      </c>
      <c r="AS32" s="3847">
        <f>+SINTER!AP98</f>
        <v>64.378032963566952</v>
      </c>
      <c r="AT32" s="4393">
        <f>+SINTER!AQ98</f>
        <v>67.816371315908725</v>
      </c>
      <c r="AU32" s="4393">
        <f>+SINTER!AR98</f>
        <v>65.042654028436033</v>
      </c>
      <c r="AV32" s="4386">
        <f>+SINTER!AS98</f>
        <v>63.5</v>
      </c>
      <c r="AW32" s="3847">
        <f>+SINTER!AT98</f>
        <v>64.454787758081551</v>
      </c>
      <c r="AX32" s="4393">
        <f>+SINTER!AU98</f>
        <v>67.816371315908725</v>
      </c>
      <c r="AY32" s="4393">
        <f>+SINTER!AV98</f>
        <v>65.78705339285662</v>
      </c>
      <c r="AZ32" s="4386">
        <f>+SINTER!AW98</f>
        <v>63.5</v>
      </c>
      <c r="BA32" s="3847">
        <f>+SINTER!AX98</f>
        <v>64.58369175338666</v>
      </c>
      <c r="BB32" s="4393">
        <f>+SINTER!AY98</f>
        <v>67.816371315908725</v>
      </c>
      <c r="BC32" s="4393">
        <f>+SINTER!AZ98</f>
        <v>62.79449782937418</v>
      </c>
      <c r="BD32" s="4396">
        <f>+SINTER!BA98</f>
        <v>63.5</v>
      </c>
      <c r="BE32" s="4396">
        <f>+SINTER!BB98</f>
        <v>64.448206359776393</v>
      </c>
      <c r="BF32" s="4397">
        <f>+SINTER!BC98</f>
        <v>63.5</v>
      </c>
      <c r="BG32" s="4398">
        <f>+SINTER!BD98</f>
        <v>64.055423773965956</v>
      </c>
      <c r="BH32" s="4386">
        <f>+SINTER!BE98</f>
        <v>63.5</v>
      </c>
      <c r="BI32" s="3847">
        <f>+SINTER!BF98</f>
        <v>64.397962358675414</v>
      </c>
    </row>
    <row r="33" spans="3:61" x14ac:dyDescent="0.25">
      <c r="C33" s="7432"/>
      <c r="D33" s="4448" t="s">
        <v>41</v>
      </c>
      <c r="E33" s="4449" t="s">
        <v>219</v>
      </c>
      <c r="F33" s="4450">
        <v>6.4308813342236046</v>
      </c>
      <c r="G33" s="4451">
        <v>10.414589223195625</v>
      </c>
      <c r="H33" s="4393">
        <f>+SINTER!E91</f>
        <v>10.414589223195621</v>
      </c>
      <c r="I33" s="4393">
        <f>+SINTER!F91</f>
        <v>0</v>
      </c>
      <c r="J33" s="4393">
        <f>+SINTER!G91</f>
        <v>10.414589223195623</v>
      </c>
      <c r="K33" s="4393">
        <f>+SINTER!H91</f>
        <v>0</v>
      </c>
      <c r="L33" s="3847">
        <f>+SINTER!I91</f>
        <v>10.414589223195621</v>
      </c>
      <c r="M33" s="3847">
        <f>+SINTER!J91</f>
        <v>0</v>
      </c>
      <c r="N33" s="4393">
        <f>+SINTER!K91</f>
        <v>7.3000000000000007</v>
      </c>
      <c r="O33" s="4393">
        <f>+SINTER!L91</f>
        <v>11.551870275411622</v>
      </c>
      <c r="P33" s="4394">
        <f>+SINTER!M91</f>
        <v>10.41458922319562</v>
      </c>
      <c r="Q33" s="4395">
        <f>+SINTER!N91</f>
        <v>3.2115222423505099</v>
      </c>
      <c r="R33" s="4393">
        <f>+SINTER!O91</f>
        <v>7.3</v>
      </c>
      <c r="S33" s="4393">
        <f>+SINTER!P91</f>
        <v>12.558741886813575</v>
      </c>
      <c r="T33" s="4386">
        <f>+SINTER!Q91</f>
        <v>10.41458922319562</v>
      </c>
      <c r="U33" s="3847">
        <f>+SINTER!R91</f>
        <v>5.9718717925984253</v>
      </c>
      <c r="V33" s="4393">
        <f>+SINTER!S91</f>
        <v>7.2999999999999989</v>
      </c>
      <c r="W33" s="4393">
        <f>+SINTER!T91</f>
        <v>9.7365795847139509</v>
      </c>
      <c r="X33" s="4386">
        <f>+SINTER!U91</f>
        <v>10.41458922319562</v>
      </c>
      <c r="Y33" s="3847">
        <f>+SINTER!V91</f>
        <v>6.7871558520529529</v>
      </c>
      <c r="Z33" s="4393">
        <f>+SINTER!W91</f>
        <v>7.2999999999999989</v>
      </c>
      <c r="AA33" s="4393">
        <f>+SINTER!X91</f>
        <v>8.6062840991612379</v>
      </c>
      <c r="AB33" s="4442">
        <f>+SINTER!Y91</f>
        <v>10.41458922319562</v>
      </c>
      <c r="AC33" s="4394">
        <f>+SINTER!Z91</f>
        <v>10.346921512421874</v>
      </c>
      <c r="AD33" s="4444">
        <f>+SINTER!AA91</f>
        <v>10.41458922319562</v>
      </c>
      <c r="AE33" s="4398">
        <f>+SINTER!AB91</f>
        <v>7.1128113727658286</v>
      </c>
      <c r="AF33" s="4393">
        <f>+SINTER!AC91</f>
        <v>7.2999999999999989</v>
      </c>
      <c r="AG33" s="4393">
        <f>+SINTER!AD91</f>
        <v>7.2655200251034575</v>
      </c>
      <c r="AH33" s="4386">
        <f>+SINTER!AE91</f>
        <v>10.41458922319562</v>
      </c>
      <c r="AI33" s="3847">
        <f>+SINTER!AF91</f>
        <v>7.1361269343645857</v>
      </c>
      <c r="AJ33" s="4393">
        <f>+SINTER!AG91</f>
        <v>7.3</v>
      </c>
      <c r="AK33" s="4393">
        <f>+SINTER!AH91</f>
        <v>6.3096652599664029</v>
      </c>
      <c r="AL33" s="4386">
        <f>+SINTER!AI91</f>
        <v>10.41458922319562</v>
      </c>
      <c r="AM33" s="3847">
        <f>+SINTER!AJ91</f>
        <v>7.1279487270969897</v>
      </c>
      <c r="AN33" s="4393">
        <f>+SINTER!AK91</f>
        <v>7.2999999999999989</v>
      </c>
      <c r="AO33" s="4393">
        <f>+SINTER!AL91</f>
        <v>4.753819094921516</v>
      </c>
      <c r="AP33" s="4442">
        <f>+SINTER!AM91</f>
        <v>10.41458922319562</v>
      </c>
      <c r="AQ33" s="4394">
        <f>+SINTER!AN91</f>
        <v>6.0379407222336434</v>
      </c>
      <c r="AR33" s="4386">
        <f>+SINTER!AO91</f>
        <v>10.41458922319562</v>
      </c>
      <c r="AS33" s="3847">
        <f>+SINTER!AP91</f>
        <v>6.8243890227050601</v>
      </c>
      <c r="AT33" s="4393">
        <f>+SINTER!AQ91</f>
        <v>7.2999999999999989</v>
      </c>
      <c r="AU33" s="4393">
        <f>+SINTER!AR91</f>
        <v>0.35748138117806366</v>
      </c>
      <c r="AV33" s="4386">
        <f>+SINTER!AS91</f>
        <v>10.41458922319562</v>
      </c>
      <c r="AW33" s="3847">
        <f>+SINTER!AT91</f>
        <v>6.07754816344326</v>
      </c>
      <c r="AX33" s="4393">
        <f>+SINTER!AU91</f>
        <v>7.3</v>
      </c>
      <c r="AY33" s="4393">
        <f>+SINTER!AV91</f>
        <v>1.4598582769584728E-2</v>
      </c>
      <c r="AZ33" s="4386">
        <f>+SINTER!AW91</f>
        <v>10.41458922319562</v>
      </c>
      <c r="BA33" s="3847">
        <f>+SINTER!AX91</f>
        <v>5.4909245923757588</v>
      </c>
      <c r="BB33" s="4393">
        <f>+SINTER!AY91</f>
        <v>7.2999999999999989</v>
      </c>
      <c r="BC33" s="4393">
        <f>+SINTER!AZ91</f>
        <v>0</v>
      </c>
      <c r="BD33" s="4396">
        <f>+SINTER!BA91</f>
        <v>10.41458922319562</v>
      </c>
      <c r="BE33" s="4396">
        <f>+SINTER!BB91</f>
        <v>0.12212853091857591</v>
      </c>
      <c r="BF33" s="4397">
        <f>+SINTER!BC91</f>
        <v>10.41458922319562</v>
      </c>
      <c r="BG33" s="4398">
        <f>+SINTER!BD91</f>
        <v>2.5092561722437661</v>
      </c>
      <c r="BH33" s="4386">
        <f>+SINTER!BE91</f>
        <v>10.41458922319562</v>
      </c>
      <c r="BI33" s="3847">
        <f>+SINTER!BF91</f>
        <v>4.9209326606683117</v>
      </c>
    </row>
    <row r="34" spans="3:61" x14ac:dyDescent="0.25">
      <c r="C34" s="7432"/>
      <c r="D34" s="4448" t="s">
        <v>1562</v>
      </c>
      <c r="E34" s="4449" t="s">
        <v>219</v>
      </c>
      <c r="F34" s="4450"/>
      <c r="G34" s="4451">
        <v>0</v>
      </c>
      <c r="H34" s="4393">
        <f>+SINTER!E92</f>
        <v>0</v>
      </c>
      <c r="I34" s="4393">
        <f>+SINTER!F92</f>
        <v>2.0725227604635985</v>
      </c>
      <c r="J34" s="4393">
        <f>+SINTER!G92</f>
        <v>0</v>
      </c>
      <c r="K34" s="4393">
        <f>+SINTER!H92</f>
        <v>1.9645038361299836</v>
      </c>
      <c r="L34" s="3847">
        <f>+SINTER!I92</f>
        <v>0</v>
      </c>
      <c r="M34" s="3847">
        <f>+SINTER!J92</f>
        <v>2.0158431984121359</v>
      </c>
      <c r="N34" s="4393">
        <f>+SINTER!K92</f>
        <v>0</v>
      </c>
      <c r="O34" s="4393">
        <f>+SINTER!L92</f>
        <v>1.9943467938957649</v>
      </c>
      <c r="P34" s="4394">
        <f>+SINTER!M92</f>
        <v>0</v>
      </c>
      <c r="Q34" s="4395">
        <f>+SINTER!N92</f>
        <v>2.0098670075799174</v>
      </c>
      <c r="R34" s="4393">
        <f>+SINTER!O92</f>
        <v>0</v>
      </c>
      <c r="S34" s="4393">
        <f>+SINTER!P92</f>
        <v>2.2135545870194107</v>
      </c>
      <c r="T34" s="4386">
        <f>+SINTER!Q92</f>
        <v>0</v>
      </c>
      <c r="U34" s="3847">
        <f>+SINTER!R92</f>
        <v>2.0700184686221266</v>
      </c>
      <c r="V34" s="4393">
        <f>+SINTER!S92</f>
        <v>0</v>
      </c>
      <c r="W34" s="4393">
        <f>+SINTER!T92</f>
        <v>1.6716907997205694</v>
      </c>
      <c r="X34" s="4386">
        <f>+SINTER!U92</f>
        <v>0</v>
      </c>
      <c r="Y34" s="3847">
        <f>+SINTER!V92</f>
        <v>1.9837567407995187</v>
      </c>
      <c r="Z34" s="4393">
        <f>+SINTER!W92</f>
        <v>0</v>
      </c>
      <c r="AA34" s="4393">
        <f>+SINTER!X92</f>
        <v>0.92055924649121146</v>
      </c>
      <c r="AB34" s="4442">
        <f>+SINTER!Y92</f>
        <v>0</v>
      </c>
      <c r="AC34" s="4394">
        <f>+SINTER!Z92</f>
        <v>1.613999545675922</v>
      </c>
      <c r="AD34" s="4444">
        <f>+SINTER!AA92</f>
        <v>0</v>
      </c>
      <c r="AE34" s="4398">
        <f>+SINTER!AB92</f>
        <v>1.7934259413190645</v>
      </c>
      <c r="AF34" s="4393">
        <f>+SINTER!AC92</f>
        <v>0</v>
      </c>
      <c r="AG34" s="4393">
        <f>+SINTER!AD92</f>
        <v>3.7252887836355493</v>
      </c>
      <c r="AH34" s="4386">
        <f>+SINTER!AE92</f>
        <v>0</v>
      </c>
      <c r="AI34" s="3847">
        <f>+SINTER!AF92</f>
        <v>2.0883828177689439</v>
      </c>
      <c r="AJ34" s="4393">
        <f>+SINTER!AG92</f>
        <v>0</v>
      </c>
      <c r="AK34" s="4393">
        <f>+SINTER!AH92</f>
        <v>1.1062400131109928</v>
      </c>
      <c r="AL34" s="4386">
        <f>+SINTER!AI92</f>
        <v>0</v>
      </c>
      <c r="AM34" s="3847">
        <f>+SINTER!AJ92</f>
        <v>2.0786640762087631</v>
      </c>
      <c r="AN34" s="4393">
        <f>+SINTER!AK92</f>
        <v>0</v>
      </c>
      <c r="AO34" s="4393">
        <f>+SINTER!AL92</f>
        <v>3.9214167984867423</v>
      </c>
      <c r="AP34" s="4442">
        <f>+SINTER!AM92</f>
        <v>0</v>
      </c>
      <c r="AQ34" s="4394">
        <f>+SINTER!AN92</f>
        <v>3.7345098225251294</v>
      </c>
      <c r="AR34" s="4386">
        <f>+SINTER!AO92</f>
        <v>0</v>
      </c>
      <c r="AS34" s="3847">
        <f>+SINTER!AP92</f>
        <v>2.3142811478551617</v>
      </c>
      <c r="AT34" s="4393">
        <f>+SINTER!AQ92</f>
        <v>0</v>
      </c>
      <c r="AU34" s="4393">
        <f>+SINTER!AR92</f>
        <v>5.0941096817874074</v>
      </c>
      <c r="AV34" s="4386">
        <f>+SINTER!AS92</f>
        <v>0</v>
      </c>
      <c r="AW34" s="3847">
        <f>+SINTER!AT92</f>
        <v>2.635313957656078</v>
      </c>
      <c r="AX34" s="4393">
        <f>+SINTER!AU92</f>
        <v>0</v>
      </c>
      <c r="AY34" s="4393">
        <f>+SINTER!AV92</f>
        <v>0</v>
      </c>
      <c r="AZ34" s="4386">
        <f>+SINTER!AW92</f>
        <v>0</v>
      </c>
      <c r="BA34" s="3847">
        <f>+SINTER!AX92</f>
        <v>2.3803329019580257</v>
      </c>
      <c r="BB34" s="4393">
        <f>+SINTER!AY92</f>
        <v>0</v>
      </c>
      <c r="BC34" s="4393">
        <f>+SINTER!AZ92</f>
        <v>0</v>
      </c>
      <c r="BD34" s="4396">
        <f>+SINTER!BA92</f>
        <v>0</v>
      </c>
      <c r="BE34" s="4396">
        <f>+SINTER!BB92</f>
        <v>1.6768158150207395</v>
      </c>
      <c r="BF34" s="4397">
        <f>+SINTER!BC92</f>
        <v>0</v>
      </c>
      <c r="BG34" s="4398">
        <f>+SINTER!BD92</f>
        <v>2.5071292333395547</v>
      </c>
      <c r="BH34" s="4386">
        <f>+SINTER!BE92</f>
        <v>0</v>
      </c>
      <c r="BI34" s="3847">
        <f>+SINTER!BF92</f>
        <v>2.1332396253944128</v>
      </c>
    </row>
    <row r="35" spans="3:61" x14ac:dyDescent="0.25">
      <c r="C35" s="7432"/>
      <c r="D35" s="4448" t="s">
        <v>42</v>
      </c>
      <c r="E35" s="4449" t="s">
        <v>219</v>
      </c>
      <c r="F35" s="4450">
        <v>12.079400955259329</v>
      </c>
      <c r="G35" s="4451">
        <v>0</v>
      </c>
      <c r="H35" s="4393">
        <f>+SINTER!E93</f>
        <v>0</v>
      </c>
      <c r="I35" s="4393">
        <f>+SINTER!F93</f>
        <v>0</v>
      </c>
      <c r="J35" s="4393">
        <f>+SINTER!G93</f>
        <v>0</v>
      </c>
      <c r="K35" s="4393">
        <f>+SINTER!H93</f>
        <v>0</v>
      </c>
      <c r="L35" s="3847">
        <f>+SINTER!I93</f>
        <v>0</v>
      </c>
      <c r="M35" s="3847">
        <f>+SINTER!J93</f>
        <v>0</v>
      </c>
      <c r="N35" s="4393">
        <f>+SINTER!K93</f>
        <v>21.858669683074151</v>
      </c>
      <c r="O35" s="4393">
        <f>+SINTER!L93</f>
        <v>0</v>
      </c>
      <c r="P35" s="4394">
        <f>+SINTER!M93</f>
        <v>0</v>
      </c>
      <c r="Q35" s="4395">
        <f>+SINTER!N93</f>
        <v>0</v>
      </c>
      <c r="R35" s="4393">
        <f>+SINTER!O93</f>
        <v>21.858669683074151</v>
      </c>
      <c r="S35" s="4393">
        <f>+SINTER!P93</f>
        <v>0</v>
      </c>
      <c r="T35" s="4386">
        <f>+SINTER!Q93</f>
        <v>0</v>
      </c>
      <c r="U35" s="3847">
        <f>+SINTER!R93</f>
        <v>0</v>
      </c>
      <c r="V35" s="4393">
        <f>+SINTER!S93</f>
        <v>21.858669683074151</v>
      </c>
      <c r="W35" s="4393">
        <f>+SINTER!T93</f>
        <v>0</v>
      </c>
      <c r="X35" s="4386">
        <f>+SINTER!U93</f>
        <v>0</v>
      </c>
      <c r="Y35" s="3847">
        <f>+SINTER!V93</f>
        <v>0</v>
      </c>
      <c r="Z35" s="4393">
        <f>+SINTER!W93</f>
        <v>21.858669683074151</v>
      </c>
      <c r="AA35" s="4393">
        <f>+SINTER!X93</f>
        <v>2.3324433694088174</v>
      </c>
      <c r="AB35" s="4442">
        <f>+SINTER!Y93</f>
        <v>0</v>
      </c>
      <c r="AC35" s="4394">
        <f>+SINTER!Z93</f>
        <v>0.76368872259802667</v>
      </c>
      <c r="AD35" s="4444">
        <f>+SINTER!AA93</f>
        <v>0</v>
      </c>
      <c r="AE35" s="4398">
        <f>+SINTER!AB93</f>
        <v>0.41754783435722759</v>
      </c>
      <c r="AF35" s="4393">
        <f>+SINTER!AC93</f>
        <v>21.858669683074151</v>
      </c>
      <c r="AG35" s="4393">
        <f>+SINTER!AD93</f>
        <v>0.42643694499499807</v>
      </c>
      <c r="AH35" s="4386">
        <f>+SINTER!AE93</f>
        <v>0</v>
      </c>
      <c r="AI35" s="3847">
        <f>+SINTER!AF93</f>
        <v>0.41890502403482932</v>
      </c>
      <c r="AJ35" s="4393">
        <f>+SINTER!AG93</f>
        <v>21.858669683074151</v>
      </c>
      <c r="AK35" s="4393">
        <f>+SINTER!AH93</f>
        <v>0</v>
      </c>
      <c r="AL35" s="4386">
        <f>+SINTER!AI93</f>
        <v>0</v>
      </c>
      <c r="AM35" s="3847">
        <f>+SINTER!AJ93</f>
        <v>0.41475977178887552</v>
      </c>
      <c r="AN35" s="4393">
        <f>+SINTER!AK93</f>
        <v>21.858669683074151</v>
      </c>
      <c r="AO35" s="4393">
        <f>+SINTER!AL93</f>
        <v>1.2969989270030198</v>
      </c>
      <c r="AP35" s="4442">
        <f>+SINTER!AM93</f>
        <v>0</v>
      </c>
      <c r="AQ35" s="4394">
        <f>+SINTER!AN93</f>
        <v>0.82754840103944294</v>
      </c>
      <c r="AR35" s="4386">
        <f>+SINTER!AO93</f>
        <v>0</v>
      </c>
      <c r="AS35" s="3847">
        <f>+SINTER!AP93</f>
        <v>0.52756416693657771</v>
      </c>
      <c r="AT35" s="4393">
        <f>+SINTER!AQ93</f>
        <v>21.858669683074151</v>
      </c>
      <c r="AU35" s="4393">
        <f>+SINTER!AR93</f>
        <v>3.9918754231550437</v>
      </c>
      <c r="AV35" s="4386">
        <f>+SINTER!AS93</f>
        <v>0</v>
      </c>
      <c r="AW35" s="3847">
        <f>+SINTER!AT93</f>
        <v>0.92764552556467217</v>
      </c>
      <c r="AX35" s="4393">
        <f>+SINTER!AU93</f>
        <v>21.858669683074151</v>
      </c>
      <c r="AY35" s="4393">
        <f>+SINTER!AV93</f>
        <v>2.6832195130496732</v>
      </c>
      <c r="AZ35" s="4386">
        <f>+SINTER!AW93</f>
        <v>0</v>
      </c>
      <c r="BA35" s="3847">
        <f>+SINTER!AX93</f>
        <v>1.0975069219210694</v>
      </c>
      <c r="BB35" s="4393">
        <f>+SINTER!AY93</f>
        <v>21.858669683074151</v>
      </c>
      <c r="BC35" s="4393">
        <f>+SINTER!AZ93</f>
        <v>0</v>
      </c>
      <c r="BD35" s="4396">
        <f>+SINTER!BA93</f>
        <v>0</v>
      </c>
      <c r="BE35" s="4396">
        <f>+SINTER!BB93</f>
        <v>2.1332377699865126</v>
      </c>
      <c r="BF35" s="4397">
        <f>+SINTER!BC93</f>
        <v>0</v>
      </c>
      <c r="BG35" s="4398">
        <f>+SINTER!BD93</f>
        <v>1.6063706074058948</v>
      </c>
      <c r="BH35" s="4386">
        <f>+SINTER!BE93</f>
        <v>0</v>
      </c>
      <c r="BI35" s="3847">
        <f>+SINTER!BF93</f>
        <v>0.98357891581501233</v>
      </c>
    </row>
    <row r="36" spans="3:61" ht="15.75" thickBot="1" x14ac:dyDescent="0.3">
      <c r="C36" s="7431"/>
      <c r="D36" s="4452" t="s">
        <v>1052</v>
      </c>
      <c r="E36" s="4369" t="s">
        <v>229</v>
      </c>
      <c r="F36" s="4418">
        <v>32.711238390550697</v>
      </c>
      <c r="G36" s="4453">
        <v>30.92429424402145</v>
      </c>
      <c r="H36" s="4421">
        <f>+SINTER!E81</f>
        <v>30.937619988311706</v>
      </c>
      <c r="I36" s="4421">
        <f>+SINTER!F81</f>
        <v>30.090265046763761</v>
      </c>
      <c r="J36" s="4421">
        <f>+SINTER!G81</f>
        <v>30.937619988311706</v>
      </c>
      <c r="K36" s="4421">
        <f>+SINTER!H81</f>
        <v>31.337579438568419</v>
      </c>
      <c r="L36" s="3864">
        <f>+SINTER!I81</f>
        <v>30.937619988311702</v>
      </c>
      <c r="M36" s="3864">
        <f>+SINTER!J81</f>
        <v>30.744754377259472</v>
      </c>
      <c r="N36" s="4421">
        <f>+SINTER!K81</f>
        <v>30.830000000000002</v>
      </c>
      <c r="O36" s="4421">
        <f>+SINTER!L81</f>
        <v>35.09241112692095</v>
      </c>
      <c r="P36" s="4423">
        <f>+SINTER!M81</f>
        <v>30.907960341806373</v>
      </c>
      <c r="Q36" s="4424">
        <f>+SINTER!N81</f>
        <v>31.953441457425427</v>
      </c>
      <c r="R36" s="4421">
        <f>+SINTER!O81</f>
        <v>30.83</v>
      </c>
      <c r="S36" s="4421">
        <f>+SINTER!P81</f>
        <v>31.521144534937307</v>
      </c>
      <c r="T36" s="4422">
        <f>+SINTER!Q81</f>
        <v>30.89687263710492</v>
      </c>
      <c r="U36" s="3864">
        <f>+SINTER!R81</f>
        <v>31.825778830360647</v>
      </c>
      <c r="V36" s="4421">
        <f>+SINTER!S81</f>
        <v>30.83</v>
      </c>
      <c r="W36" s="4421">
        <f>+SINTER!T81</f>
        <v>31.723717079243581</v>
      </c>
      <c r="X36" s="4422">
        <f>+SINTER!U81</f>
        <v>30.880593459337977</v>
      </c>
      <c r="Y36" s="3864">
        <f>+SINTER!V81</f>
        <v>31.803676366275646</v>
      </c>
      <c r="Z36" s="4421">
        <f>+SINTER!W81</f>
        <v>30.83</v>
      </c>
      <c r="AA36" s="4421">
        <f>+SINTER!X81</f>
        <v>30.73796726480521</v>
      </c>
      <c r="AB36" s="4423">
        <f>+SINTER!Y81</f>
        <v>30.829999999999995</v>
      </c>
      <c r="AC36" s="4423">
        <f>+SINTER!Z81</f>
        <v>31.33058882698651</v>
      </c>
      <c r="AD36" s="4425">
        <f>+SINTER!AA81</f>
        <v>30.871030114409589</v>
      </c>
      <c r="AE36" s="4426">
        <f>+SINTER!AB81</f>
        <v>31.612895945533189</v>
      </c>
      <c r="AF36" s="4421">
        <f>+SINTER!AC81</f>
        <v>30.829999999999991</v>
      </c>
      <c r="AG36" s="4421">
        <f>+SINTER!AD81</f>
        <v>30.930429092118331</v>
      </c>
      <c r="AH36" s="4422">
        <f>+SINTER!AE81</f>
        <v>30.86409584597072</v>
      </c>
      <c r="AI36" s="3864">
        <f>+SINTER!AF81</f>
        <v>31.508696885975503</v>
      </c>
      <c r="AJ36" s="4421">
        <f>+SINTER!AG81</f>
        <v>30.829999999999995</v>
      </c>
      <c r="AK36" s="4421">
        <f>+SINTER!AH81</f>
        <v>64.478633179007531</v>
      </c>
      <c r="AL36" s="4422">
        <f>+SINTER!AI81</f>
        <v>30.859278325980814</v>
      </c>
      <c r="AM36" s="3864">
        <f>+SINTER!AJ81</f>
        <v>31.834949126044794</v>
      </c>
      <c r="AN36" s="4421">
        <f>+SINTER!AK81</f>
        <v>30.829999999999991</v>
      </c>
      <c r="AO36" s="4421">
        <f>+SINTER!AL81</f>
        <v>31.699400449109962</v>
      </c>
      <c r="AP36" s="4423">
        <f>+SINTER!AM81</f>
        <v>30.829999999999995</v>
      </c>
      <c r="AQ36" s="4423">
        <f>+SINTER!AN81</f>
        <v>32.37583743154272</v>
      </c>
      <c r="AR36" s="4422">
        <f>+SINTER!AO81</f>
        <v>30.855567795694338</v>
      </c>
      <c r="AS36" s="3864">
        <f>+SINTER!AP81</f>
        <v>31.817617672975253</v>
      </c>
      <c r="AT36" s="4421">
        <f>+SINTER!AQ81</f>
        <v>30.829999999999991</v>
      </c>
      <c r="AU36" s="4421">
        <f>+SINTER!AR81</f>
        <v>30.616357481381286</v>
      </c>
      <c r="AV36" s="4422">
        <f>+SINTER!AS81</f>
        <v>30.852691973643587</v>
      </c>
      <c r="AW36" s="3864">
        <f>+SINTER!AT81</f>
        <v>31.678888276574721</v>
      </c>
      <c r="AX36" s="4421">
        <f>+SINTER!AU81</f>
        <v>30.830000000000005</v>
      </c>
      <c r="AY36" s="4421">
        <f>+SINTER!AV81</f>
        <v>30.78406068338877</v>
      </c>
      <c r="AZ36" s="4422">
        <f>+SINTER!AW81</f>
        <v>30.850591406160508</v>
      </c>
      <c r="BA36" s="3864">
        <f>+SINTER!AX81</f>
        <v>31.592308807090472</v>
      </c>
      <c r="BB36" s="4421">
        <f>+SINTER!AY81</f>
        <v>30.829999999999991</v>
      </c>
      <c r="BC36" s="4421">
        <f>+SINTER!AZ81</f>
        <v>29.247475732891111</v>
      </c>
      <c r="BD36" s="4404">
        <f>+SINTER!BA81</f>
        <v>30.83</v>
      </c>
      <c r="BE36" s="4404">
        <f>+SINTER!BB81</f>
        <v>30.167218027954082</v>
      </c>
      <c r="BF36" s="4425">
        <f>+SINTER!BC81</f>
        <v>30.829999999999995</v>
      </c>
      <c r="BG36" s="4426">
        <f>+SINTER!BD81</f>
        <v>31.058432329045949</v>
      </c>
      <c r="BH36" s="4422">
        <f>+SINTER!BE81</f>
        <v>30.848684362080974</v>
      </c>
      <c r="BI36" s="3864">
        <f>+SINTER!BF81</f>
        <v>31.348900632199452</v>
      </c>
    </row>
    <row r="37" spans="3:61" x14ac:dyDescent="0.25">
      <c r="C37" s="7422" t="s">
        <v>1065</v>
      </c>
      <c r="D37" s="4454" t="s">
        <v>355</v>
      </c>
      <c r="E37" s="4455" t="s">
        <v>363</v>
      </c>
      <c r="F37" s="4456">
        <v>400.04040555458937</v>
      </c>
      <c r="G37" s="4457">
        <f>+'Maj Techno Summ'!D10</f>
        <v>356.24</v>
      </c>
      <c r="H37" s="4458">
        <f>+'Maj Techno Summ'!E10</f>
        <v>356</v>
      </c>
      <c r="I37" s="4458">
        <f>+'Maj Techno Summ'!F10</f>
        <v>347.96952445897341</v>
      </c>
      <c r="J37" s="4458">
        <f>+'Maj Techno Summ'!G10</f>
        <v>356</v>
      </c>
      <c r="K37" s="4458">
        <f>+'Maj Techno Summ'!H10</f>
        <v>345.97012054468189</v>
      </c>
      <c r="L37" s="4459">
        <f>+'Maj Techno Summ'!I10</f>
        <v>356</v>
      </c>
      <c r="M37" s="4459">
        <f>+'Maj Techno Summ'!J10</f>
        <v>346.90840073756402</v>
      </c>
      <c r="N37" s="4458">
        <f>+'Maj Techno Summ'!K10</f>
        <v>372</v>
      </c>
      <c r="O37" s="4458">
        <f>+'Maj Techno Summ'!L10</f>
        <v>407.72719814283113</v>
      </c>
      <c r="P37" s="4460">
        <f>+'Maj Techno Summ'!M10</f>
        <v>359.60665658093797</v>
      </c>
      <c r="Q37" s="4461">
        <f>+'Maj Techno Summ'!N10</f>
        <v>362.5861449643258</v>
      </c>
      <c r="R37" s="4458">
        <f>+'Maj Techno Summ'!O10</f>
        <v>392</v>
      </c>
      <c r="S37" s="4458">
        <f>+'Maj Techno Summ'!P10</f>
        <v>370.776835051901</v>
      </c>
      <c r="T37" s="4462">
        <f>+'Maj Techno Summ'!Q10</f>
        <v>362.86802721088435</v>
      </c>
      <c r="U37" s="4459">
        <f>+'Maj Techno Summ'!R10</f>
        <v>364.86356285928878</v>
      </c>
      <c r="V37" s="4458">
        <f>+'Maj Techno Summ'!S10</f>
        <v>365.4</v>
      </c>
      <c r="W37" s="4458">
        <f>+'Maj Techno Summ'!T10</f>
        <v>377.37066832000892</v>
      </c>
      <c r="X37" s="4462">
        <f>+'Maj Techno Summ'!U10</f>
        <v>363.49128205128204</v>
      </c>
      <c r="Y37" s="4459">
        <f>+'Maj Techno Summ'!V10</f>
        <v>367.54498018029545</v>
      </c>
      <c r="Z37" s="4458">
        <f>+'Maj Techno Summ'!W10</f>
        <v>365.4</v>
      </c>
      <c r="AA37" s="4458">
        <f>+'Maj Techno Summ'!X10</f>
        <v>380.23555864064667</v>
      </c>
      <c r="AB37" s="4460">
        <f>+'Maj Techno Summ'!Y10</f>
        <v>369.00512820512819</v>
      </c>
      <c r="AC37" s="4460">
        <f>+'Maj Techno Summ'!Z10</f>
        <v>376.09628804697212</v>
      </c>
      <c r="AD37" s="4463">
        <f>+'Maj Techno Summ'!AA10</f>
        <v>363.85816072908034</v>
      </c>
      <c r="AE37" s="4464">
        <f>+'Maj Techno Summ'!AB10</f>
        <v>369.78816965600521</v>
      </c>
      <c r="AF37" s="4458">
        <f>+'Maj Techno Summ'!AC10</f>
        <v>362.4</v>
      </c>
      <c r="AG37" s="4458">
        <f>+'Maj Techno Summ'!AD10</f>
        <v>380.55652082528508</v>
      </c>
      <c r="AH37" s="4462">
        <f>+'Maj Techno Summ'!AE10</f>
        <v>363.60796156485929</v>
      </c>
      <c r="AI37" s="4459">
        <f>+'Maj Techno Summ'!AF10</f>
        <v>371.3613708667163</v>
      </c>
      <c r="AJ37" s="4458">
        <f>+'Maj Techno Summ'!AG10</f>
        <v>355.3</v>
      </c>
      <c r="AK37" s="4458">
        <f>+'Maj Techno Summ'!AH10</f>
        <v>624.51898381131389</v>
      </c>
      <c r="AL37" s="4462">
        <f>+'Maj Techno Summ'!AI10</f>
        <v>362.424602707475</v>
      </c>
      <c r="AM37" s="4459">
        <f>+'Maj Techno Summ'!AJ10</f>
        <v>372.63702329106115</v>
      </c>
      <c r="AN37" s="4458">
        <f>+'Maj Techno Summ'!AK10</f>
        <v>355.3</v>
      </c>
      <c r="AO37" s="4458">
        <f>+'Maj Techno Summ'!AL10</f>
        <v>366.34425469381154</v>
      </c>
      <c r="AP37" s="4460">
        <f>+'Maj Techno Summ'!AM10</f>
        <v>357.69218328840969</v>
      </c>
      <c r="AQ37" s="4460">
        <f>+'Maj Techno Summ'!AN10</f>
        <v>377.28919294026088</v>
      </c>
      <c r="AR37" s="4462">
        <f>+'Maj Techno Summ'!AO10</f>
        <v>361.51072344792203</v>
      </c>
      <c r="AS37" s="4459">
        <f>+'Maj Techno Summ'!AP10</f>
        <v>371.78210709452742</v>
      </c>
      <c r="AT37" s="4458">
        <f>+'Maj Techno Summ'!AQ10</f>
        <v>355.3</v>
      </c>
      <c r="AU37" s="4458">
        <f>+'Maj Techno Summ'!AR10</f>
        <v>348.01919033139393</v>
      </c>
      <c r="AV37" s="4462">
        <f>+'Maj Techno Summ'!AS10</f>
        <v>360.80463847203276</v>
      </c>
      <c r="AW37" s="4459">
        <f>+'Maj Techno Summ'!AT10</f>
        <v>368.89568474041579</v>
      </c>
      <c r="AX37" s="4458">
        <f>+'Maj Techno Summ'!AU10</f>
        <v>355.3</v>
      </c>
      <c r="AY37" s="4458">
        <f>+'Maj Techno Summ'!AV10</f>
        <v>342.2419244316095</v>
      </c>
      <c r="AZ37" s="4462">
        <f>+'Maj Techno Summ'!AW10</f>
        <v>360.29368811881193</v>
      </c>
      <c r="BA37" s="4459">
        <f>+'Maj Techno Summ'!AX10</f>
        <v>366.22927006922617</v>
      </c>
      <c r="BB37" s="4458">
        <f>+'Maj Techno Summ'!AY10</f>
        <v>355.3</v>
      </c>
      <c r="BC37" s="4458">
        <f>+'Maj Techno Summ'!AZ10</f>
        <v>339.29313876359765</v>
      </c>
      <c r="BD37" s="4465">
        <f>+'Maj Techno Summ'!BA10</f>
        <v>355.3</v>
      </c>
      <c r="BE37" s="4465">
        <f>+'Maj Techno Summ'!BB10</f>
        <v>343.20203543867916</v>
      </c>
      <c r="BF37" s="4463">
        <f>+'Maj Techno Summ'!BC10</f>
        <v>356.50995228357192</v>
      </c>
      <c r="BG37" s="4464">
        <f>+'Maj Techno Summ'!BD10</f>
        <v>356.72766837775703</v>
      </c>
      <c r="BH37" s="4462">
        <f>+'Maj Techno Summ'!BE10</f>
        <v>359.82681376215407</v>
      </c>
      <c r="BI37" s="4459">
        <f>+'Maj Techno Summ'!BF10</f>
        <v>363.55676369164337</v>
      </c>
    </row>
    <row r="38" spans="3:61" x14ac:dyDescent="0.25">
      <c r="C38" s="7423"/>
      <c r="D38" s="4466" t="s">
        <v>356</v>
      </c>
      <c r="E38" s="4140" t="s">
        <v>363</v>
      </c>
      <c r="F38" s="4467">
        <v>36.610035455154154</v>
      </c>
      <c r="G38" s="4468">
        <f>+'Maj Techno Summ'!D11</f>
        <v>28.952542372881357</v>
      </c>
      <c r="H38" s="4440">
        <f>+'Maj Techno Summ'!E11</f>
        <v>29</v>
      </c>
      <c r="I38" s="4440">
        <f>+'Maj Techno Summ'!F11</f>
        <v>25.274178598088856</v>
      </c>
      <c r="J38" s="4440">
        <f>+'Maj Techno Summ'!G11</f>
        <v>29</v>
      </c>
      <c r="K38" s="4440">
        <f>+'Maj Techno Summ'!H11</f>
        <v>26.198812892771265</v>
      </c>
      <c r="L38" s="3861">
        <f>+'Maj Techno Summ'!I11</f>
        <v>29</v>
      </c>
      <c r="M38" s="3861">
        <f>+'Maj Techno Summ'!J11</f>
        <v>25.764900546116948</v>
      </c>
      <c r="N38" s="4440">
        <f>+'Maj Techno Summ'!K11</f>
        <v>39</v>
      </c>
      <c r="O38" s="4440">
        <f>+'Maj Techno Summ'!L11</f>
        <v>45.394612907655464</v>
      </c>
      <c r="P38" s="4442">
        <f>+'Maj Techno Summ'!M11</f>
        <v>31.254160363086232</v>
      </c>
      <c r="Q38" s="4443">
        <f>+'Maj Techno Summ'!N11</f>
        <v>30.825007335115252</v>
      </c>
      <c r="R38" s="4440">
        <f>+'Maj Techno Summ'!O11</f>
        <v>36</v>
      </c>
      <c r="S38" s="4440">
        <f>+'Maj Techno Summ'!P11</f>
        <v>50.998254084109853</v>
      </c>
      <c r="T38" s="4441">
        <f>+'Maj Techno Summ'!Q11</f>
        <v>31.731972789115645</v>
      </c>
      <c r="U38" s="3861">
        <f>+'Maj Techno Summ'!R11</f>
        <v>36.434170013038766</v>
      </c>
      <c r="V38" s="4440">
        <f>+'Maj Techno Summ'!S11</f>
        <v>39</v>
      </c>
      <c r="W38" s="4440">
        <f>+'Maj Techno Summ'!T11</f>
        <v>51.019755103770592</v>
      </c>
      <c r="X38" s="4441">
        <f>+'Maj Techno Summ'!U11</f>
        <v>33.521025641025638</v>
      </c>
      <c r="Y38" s="3861">
        <f>+'Maj Techno Summ'!V11</f>
        <v>39.56119573630729</v>
      </c>
      <c r="Z38" s="4440">
        <f>+'Maj Techno Summ'!W11</f>
        <v>39</v>
      </c>
      <c r="AA38" s="4440">
        <f>+'Maj Techno Summ'!X11</f>
        <v>47.771227384324682</v>
      </c>
      <c r="AB38" s="4442">
        <f>+'Maj Techno Summ'!Y11</f>
        <v>38.593406593406591</v>
      </c>
      <c r="AC38" s="4442">
        <f>+'Maj Techno Summ'!Z11</f>
        <v>49.935351399868871</v>
      </c>
      <c r="AD38" s="4444">
        <f>+'Maj Techno Summ'!AA11</f>
        <v>34.574150787075396</v>
      </c>
      <c r="AE38" s="4445">
        <f>+'Maj Techno Summ'!AB11</f>
        <v>41.012402759345342</v>
      </c>
      <c r="AF38" s="4440">
        <f>+'Maj Techno Summ'!AC11</f>
        <v>39</v>
      </c>
      <c r="AG38" s="4440">
        <f>+'Maj Techno Summ'!AD11</f>
        <v>39.767759135351639</v>
      </c>
      <c r="AH38" s="4441">
        <f>+'Maj Techno Summ'!AE11</f>
        <v>35.333562113932736</v>
      </c>
      <c r="AI38" s="3861">
        <f>+'Maj Techno Summ'!AF11</f>
        <v>40.830566670849564</v>
      </c>
      <c r="AJ38" s="4440">
        <f>+'Maj Techno Summ'!AG11</f>
        <v>39</v>
      </c>
      <c r="AK38" s="4440">
        <f>+'Maj Techno Summ'!AH11</f>
        <v>14.079451888680046</v>
      </c>
      <c r="AL38" s="4441">
        <f>+'Maj Techno Summ'!AI11</f>
        <v>35.855797527957627</v>
      </c>
      <c r="AM38" s="3861">
        <f>+'Maj Techno Summ'!AJ11</f>
        <v>40.69576873201266</v>
      </c>
      <c r="AN38" s="4440">
        <f>+'Maj Techno Summ'!AK11</f>
        <v>39</v>
      </c>
      <c r="AO38" s="4440">
        <f>+'Maj Techno Summ'!AL11</f>
        <v>33.19678231915703</v>
      </c>
      <c r="AP38" s="4442">
        <f>+'Maj Techno Summ'!AM11</f>
        <v>39</v>
      </c>
      <c r="AQ38" s="4442">
        <f>+'Maj Techno Summ'!AN11</f>
        <v>35.988653851616441</v>
      </c>
      <c r="AR38" s="4441">
        <f>+'Maj Techno Summ'!AO11</f>
        <v>36.259107234479217</v>
      </c>
      <c r="AS38" s="3861">
        <f>+'Maj Techno Summ'!AP11</f>
        <v>39.676979491178543</v>
      </c>
      <c r="AT38" s="4440">
        <f>+'Maj Techno Summ'!AQ11</f>
        <v>39</v>
      </c>
      <c r="AU38" s="4440">
        <f>+'Maj Techno Summ'!AR11</f>
        <v>30.413521108257008</v>
      </c>
      <c r="AV38" s="4441">
        <f>+'Maj Techno Summ'!AS11</f>
        <v>36.570713960891318</v>
      </c>
      <c r="AW38" s="3861">
        <f>+'Maj Techno Summ'!AT11</f>
        <v>38.551770257843614</v>
      </c>
      <c r="AX38" s="4440">
        <f>+'Maj Techno Summ'!AU11</f>
        <v>39</v>
      </c>
      <c r="AY38" s="4440">
        <f>+'Maj Techno Summ'!AV11</f>
        <v>29.174869378693284</v>
      </c>
      <c r="AZ38" s="4441">
        <f>+'Maj Techno Summ'!AW11</f>
        <v>36.796204620462049</v>
      </c>
      <c r="BA38" s="3861">
        <f>+'Maj Techno Summ'!AX11</f>
        <v>37.61371477205924</v>
      </c>
      <c r="BB38" s="4440">
        <f>+'Maj Techno Summ'!AY11</f>
        <v>39</v>
      </c>
      <c r="BC38" s="4440">
        <f>+'Maj Techno Summ'!AZ11</f>
        <v>28.136015995148384</v>
      </c>
      <c r="BD38" s="4446">
        <f>+'Maj Techno Summ'!BA11</f>
        <v>39</v>
      </c>
      <c r="BE38" s="4446">
        <f>+'Maj Techno Summ'!BB11</f>
        <v>29.240535926200902</v>
      </c>
      <c r="BF38" s="4444">
        <f>+'Maj Techno Summ'!BC11</f>
        <v>39</v>
      </c>
      <c r="BG38" s="4445">
        <f>+'Maj Techno Summ'!BD11</f>
        <v>31.918159194862927</v>
      </c>
      <c r="BH38" s="4441">
        <f>+'Maj Techno Summ'!BE11</f>
        <v>37.002243829468966</v>
      </c>
      <c r="BI38" s="3861">
        <f>+'Maj Techno Summ'!BF11</f>
        <v>36.673371478558494</v>
      </c>
    </row>
    <row r="39" spans="3:61" x14ac:dyDescent="0.25">
      <c r="C39" s="7423"/>
      <c r="D39" s="4466" t="s">
        <v>357</v>
      </c>
      <c r="E39" s="4140" t="s">
        <v>363</v>
      </c>
      <c r="F39" s="4467">
        <v>122.58808331992087</v>
      </c>
      <c r="G39" s="4468">
        <f>+'Maj Techno Summ'!D12</f>
        <v>149.6650847457627</v>
      </c>
      <c r="H39" s="4440">
        <f>+'Maj Techno Summ'!E12</f>
        <v>150</v>
      </c>
      <c r="I39" s="4440">
        <f>+'Maj Techno Summ'!F12</f>
        <v>150.9002222658558</v>
      </c>
      <c r="J39" s="4440">
        <f>+'Maj Techno Summ'!G12</f>
        <v>150</v>
      </c>
      <c r="K39" s="4440">
        <f>+'Maj Techno Summ'!H12</f>
        <v>155.9320942443795</v>
      </c>
      <c r="L39" s="3861">
        <f>+'Maj Techno Summ'!I12</f>
        <v>150</v>
      </c>
      <c r="M39" s="3861">
        <f>+'Maj Techno Summ'!J12</f>
        <v>153.57073755360776</v>
      </c>
      <c r="N39" s="4440">
        <f>+'Maj Techno Summ'!K12</f>
        <v>129</v>
      </c>
      <c r="O39" s="4440">
        <f>+'Maj Techno Summ'!L12</f>
        <v>118.97807429273118</v>
      </c>
      <c r="P39" s="4442">
        <f>+'Maj Techno Summ'!M12</f>
        <v>145.2662632375189</v>
      </c>
      <c r="Q39" s="4443">
        <f>+'Maj Techno Summ'!N12</f>
        <v>144.65351212554373</v>
      </c>
      <c r="R39" s="4440">
        <f>+'Maj Techno Summ'!O12</f>
        <v>112</v>
      </c>
      <c r="S39" s="4440">
        <f>+'Maj Techno Summ'!P12</f>
        <v>129.18392833288942</v>
      </c>
      <c r="T39" s="4441">
        <f>+'Maj Techno Summ'!Q12</f>
        <v>141.91700680272109</v>
      </c>
      <c r="U39" s="3861">
        <f>+'Maj Techno Summ'!R12</f>
        <v>140.35220093194064</v>
      </c>
      <c r="V39" s="4440">
        <f>+'Maj Techno Summ'!S12</f>
        <v>136</v>
      </c>
      <c r="W39" s="4440">
        <f>+'Maj Techno Summ'!T12</f>
        <v>130.50570464205862</v>
      </c>
      <c r="X39" s="4441">
        <f>+'Maj Techno Summ'!U12</f>
        <v>140.46051282051283</v>
      </c>
      <c r="Y39" s="3861">
        <f>+'Maj Techno Summ'!V12</f>
        <v>138.2411956489168</v>
      </c>
      <c r="Z39" s="4440">
        <f>+'Maj Techno Summ'!W12</f>
        <v>141</v>
      </c>
      <c r="AA39" s="4440">
        <f>+'Maj Techno Summ'!X12</f>
        <v>122.30225519978454</v>
      </c>
      <c r="AB39" s="4442">
        <f>+'Maj Techno Summ'!Y12</f>
        <v>134.87179487179486</v>
      </c>
      <c r="AC39" s="4442">
        <f>+'Maj Techno Summ'!Z12</f>
        <v>127.33971507227079</v>
      </c>
      <c r="AD39" s="4444">
        <f>+'Maj Techno Summ'!AA12</f>
        <v>140.56420878210437</v>
      </c>
      <c r="AE39" s="4445">
        <f>+'Maj Techno Summ'!AB12</f>
        <v>135.42382498443808</v>
      </c>
      <c r="AF39" s="4440">
        <f>+'Maj Techno Summ'!AC12</f>
        <v>146</v>
      </c>
      <c r="AG39" s="4440">
        <f>+'Maj Techno Summ'!AD12</f>
        <v>126.07255945382309</v>
      </c>
      <c r="AH39" s="4441">
        <f>+'Maj Techno Summ'!AE12</f>
        <v>141.49691146190804</v>
      </c>
      <c r="AI39" s="3861">
        <f>+'Maj Techno Summ'!AF12</f>
        <v>134.05765276148776</v>
      </c>
      <c r="AJ39" s="4440">
        <f>+'Maj Techno Summ'!AG12</f>
        <v>146</v>
      </c>
      <c r="AK39" s="4440">
        <f>+'Maj Techno Summ'!AH12</f>
        <v>0</v>
      </c>
      <c r="AL39" s="4441">
        <f>+'Maj Techno Summ'!AI12</f>
        <v>142.13831665685697</v>
      </c>
      <c r="AM39" s="3861">
        <f>+'Maj Techno Summ'!AJ12</f>
        <v>133.38214090246024</v>
      </c>
      <c r="AN39" s="4440">
        <f>+'Maj Techno Summ'!AK12</f>
        <v>146</v>
      </c>
      <c r="AO39" s="4440">
        <f>+'Maj Techno Summ'!AL12</f>
        <v>138.96212419483157</v>
      </c>
      <c r="AP39" s="4442">
        <f>+'Maj Techno Summ'!AM12</f>
        <v>146</v>
      </c>
      <c r="AQ39" s="4442">
        <f>+'Maj Techno Summ'!AN12</f>
        <v>130.5950131072494</v>
      </c>
      <c r="AR39" s="4441">
        <f>+'Maj Techno Summ'!AO12</f>
        <v>142.63365828630069</v>
      </c>
      <c r="AS39" s="3861">
        <f>+'Maj Techno Summ'!AP12</f>
        <v>134.14022027870186</v>
      </c>
      <c r="AT39" s="4440">
        <f>+'Maj Techno Summ'!AQ12</f>
        <v>146</v>
      </c>
      <c r="AU39" s="4440">
        <f>+'Maj Techno Summ'!AR12</f>
        <v>153.61839772629187</v>
      </c>
      <c r="AV39" s="4441">
        <f>+'Maj Techno Summ'!AS12</f>
        <v>143.01637107776264</v>
      </c>
      <c r="AW39" s="3861">
        <f>+'Maj Techno Summ'!AT12</f>
        <v>136.50618601272745</v>
      </c>
      <c r="AX39" s="4440">
        <f>+'Maj Techno Summ'!AU12</f>
        <v>146</v>
      </c>
      <c r="AY39" s="4440">
        <f>+'Maj Techno Summ'!AV12</f>
        <v>156.32760908757055</v>
      </c>
      <c r="AZ39" s="4441">
        <f>+'Maj Techno Summ'!AW12</f>
        <v>143.29331683168317</v>
      </c>
      <c r="BA39" s="3861">
        <f>+'Maj Techno Summ'!AX12</f>
        <v>138.48910071888082</v>
      </c>
      <c r="BB39" s="4440">
        <f>+'Maj Techno Summ'!AY12</f>
        <v>146</v>
      </c>
      <c r="BC39" s="4440">
        <f>+'Maj Techno Summ'!AZ12</f>
        <v>158.53602736610694</v>
      </c>
      <c r="BD39" s="4446">
        <f>+'Maj Techno Summ'!BA12</f>
        <v>146</v>
      </c>
      <c r="BE39" s="4446">
        <f>+'Maj Techno Summ'!BB12</f>
        <v>156.16199084959428</v>
      </c>
      <c r="BF39" s="4444">
        <f>+'Maj Techno Summ'!BC12</f>
        <v>146</v>
      </c>
      <c r="BG39" s="4445">
        <f>+'Maj Techno Summ'!BD12</f>
        <v>146.01712745673188</v>
      </c>
      <c r="BH39" s="4441">
        <f>+'Maj Techno Summ'!BE12</f>
        <v>143.54637247569184</v>
      </c>
      <c r="BI39" s="3861">
        <f>+'Maj Techno Summ'!BF12</f>
        <v>140.47808490921452</v>
      </c>
    </row>
    <row r="40" spans="3:61" x14ac:dyDescent="0.25">
      <c r="C40" s="7423"/>
      <c r="D40" s="4466" t="s">
        <v>239</v>
      </c>
      <c r="E40" s="4140" t="s">
        <v>363</v>
      </c>
      <c r="F40" s="4467">
        <v>559.23852432966441</v>
      </c>
      <c r="G40" s="4468">
        <f>+'Maj Techno Summ'!D13</f>
        <v>534.85762711864402</v>
      </c>
      <c r="H40" s="4440">
        <f>+'Maj Techno Summ'!E13</f>
        <v>535</v>
      </c>
      <c r="I40" s="4440">
        <f>+'Maj Techno Summ'!F13</f>
        <v>524.14392532291799</v>
      </c>
      <c r="J40" s="4440">
        <f>+'Maj Techno Summ'!G13</f>
        <v>535</v>
      </c>
      <c r="K40" s="4440">
        <f>+'Maj Techno Summ'!H13</f>
        <v>528.10102768183265</v>
      </c>
      <c r="L40" s="3861">
        <f>+'Maj Techno Summ'!I13</f>
        <v>535</v>
      </c>
      <c r="M40" s="3861">
        <f>+'Maj Techno Summ'!J13</f>
        <v>526.24403883728871</v>
      </c>
      <c r="N40" s="4440">
        <f>+'Maj Techno Summ'!K13</f>
        <v>540</v>
      </c>
      <c r="O40" s="4440">
        <f>+'Maj Techno Summ'!L13</f>
        <v>572.09988534321781</v>
      </c>
      <c r="P40" s="4442">
        <f>+'Maj Techno Summ'!M13</f>
        <v>536.12708018154308</v>
      </c>
      <c r="Q40" s="4443">
        <f>+'Maj Techno Summ'!N13</f>
        <v>538.06466442498481</v>
      </c>
      <c r="R40" s="4440">
        <f>+'Maj Techno Summ'!O13</f>
        <v>540</v>
      </c>
      <c r="S40" s="4440">
        <f>+'Maj Techno Summ'!P13</f>
        <v>550.95901746890036</v>
      </c>
      <c r="T40" s="4441">
        <f>+'Maj Techno Summ'!Q13</f>
        <v>536.51700680272108</v>
      </c>
      <c r="U40" s="3861">
        <f>+'Maj Techno Summ'!R13</f>
        <v>541.64993380426813</v>
      </c>
      <c r="V40" s="4440">
        <f>+'Maj Techno Summ'!S13</f>
        <v>540.4</v>
      </c>
      <c r="W40" s="4440">
        <f>+'Maj Techno Summ'!T13</f>
        <v>558.89612806583818</v>
      </c>
      <c r="X40" s="4441">
        <f>+'Maj Techno Summ'!U13</f>
        <v>537.47282051282048</v>
      </c>
      <c r="Y40" s="3861">
        <f>+'Maj Techno Summ'!V13</f>
        <v>545.34737156551955</v>
      </c>
      <c r="Z40" s="4440">
        <f>+'Maj Techno Summ'!W13</f>
        <v>545.4</v>
      </c>
      <c r="AA40" s="4440">
        <f>+'Maj Techno Summ'!X13</f>
        <v>550.3090412247559</v>
      </c>
      <c r="AB40" s="4442">
        <f>+'Maj Techno Summ'!Y13</f>
        <v>542.47032967032965</v>
      </c>
      <c r="AC40" s="4442">
        <f>+'Maj Techno Summ'!Z13</f>
        <v>553.37135451911172</v>
      </c>
      <c r="AD40" s="4444">
        <f>+'Maj Techno Summ'!AA13</f>
        <v>538.99652029826007</v>
      </c>
      <c r="AE40" s="4445">
        <f>+'Maj Techno Summ'!AB13</f>
        <v>546.22439739978859</v>
      </c>
      <c r="AF40" s="4440">
        <f>+'Maj Techno Summ'!AC13</f>
        <v>547.4</v>
      </c>
      <c r="AG40" s="4440">
        <f>+'Maj Techno Summ'!AD13</f>
        <v>546.39683941445981</v>
      </c>
      <c r="AH40" s="4441">
        <f>+'Maj Techno Summ'!AE13</f>
        <v>540.43843514069999</v>
      </c>
      <c r="AI40" s="3861">
        <f>+'Maj Techno Summ'!AF13</f>
        <v>546.24959029905358</v>
      </c>
      <c r="AJ40" s="4440">
        <f>+'Maj Techno Summ'!AG13</f>
        <v>540.29999999999995</v>
      </c>
      <c r="AK40" s="4440">
        <f>+'Maj Techno Summ'!AH13</f>
        <v>638.59843569999396</v>
      </c>
      <c r="AL40" s="4441">
        <f>+'Maj Techno Summ'!AI13</f>
        <v>540.41871689228958</v>
      </c>
      <c r="AM40" s="3861">
        <f>+'Maj Techno Summ'!AJ13</f>
        <v>546.71493292553407</v>
      </c>
      <c r="AN40" s="4440">
        <f>+'Maj Techno Summ'!AK13</f>
        <v>540.29999999999995</v>
      </c>
      <c r="AO40" s="4440">
        <f>+'Maj Techno Summ'!AL13</f>
        <v>538.50316120780008</v>
      </c>
      <c r="AP40" s="4442">
        <f>+'Maj Techno Summ'!AM13</f>
        <v>542.69218328840975</v>
      </c>
      <c r="AQ40" s="4442">
        <f>+'Maj Techno Summ'!AN13</f>
        <v>543.87285989912675</v>
      </c>
      <c r="AR40" s="4441">
        <f>+'Maj Techno Summ'!AO13</f>
        <v>540.40348896870194</v>
      </c>
      <c r="AS40" s="3861">
        <f>+'Maj Techno Summ'!AP13</f>
        <v>545.59930686440782</v>
      </c>
      <c r="AT40" s="4440">
        <f>+'Maj Techno Summ'!AQ13</f>
        <v>540.29999999999995</v>
      </c>
      <c r="AU40" s="4440">
        <f>+'Maj Techno Summ'!AR13</f>
        <v>532.05110916594276</v>
      </c>
      <c r="AV40" s="4441">
        <f>+'Maj Techno Summ'!AS13</f>
        <v>540.39172351068669</v>
      </c>
      <c r="AW40" s="3861">
        <f>+'Maj Techno Summ'!AT13</f>
        <v>543.95364101098687</v>
      </c>
      <c r="AX40" s="4440">
        <f>+'Maj Techno Summ'!AU13</f>
        <v>540.29999999999995</v>
      </c>
      <c r="AY40" s="4440">
        <f>+'Maj Techno Summ'!AV13</f>
        <v>527.74440289787333</v>
      </c>
      <c r="AZ40" s="4441">
        <f>+'Maj Techno Summ'!AW13</f>
        <v>540.38320957095721</v>
      </c>
      <c r="BA40" s="3861">
        <f>+'Maj Techno Summ'!AX13</f>
        <v>542.33208556016621</v>
      </c>
      <c r="BB40" s="4440">
        <f>+'Maj Techno Summ'!AY13</f>
        <v>540.29999999999995</v>
      </c>
      <c r="BC40" s="4440">
        <f>+'Maj Techno Summ'!AZ13</f>
        <v>525.96518212485296</v>
      </c>
      <c r="BD40" s="4446">
        <f>+'Maj Techno Summ'!BA13</f>
        <v>540.29999999999995</v>
      </c>
      <c r="BE40" s="4446">
        <f>+'Maj Techno Summ'!BB13</f>
        <v>528.6045622144743</v>
      </c>
      <c r="BF40" s="4444">
        <f>+'Maj Techno Summ'!BC13</f>
        <v>541.50995228357192</v>
      </c>
      <c r="BG40" s="4445">
        <f>+'Maj Techno Summ'!BD13</f>
        <v>534.66295502935191</v>
      </c>
      <c r="BH40" s="4441">
        <f>+'Maj Techno Summ'!BE13</f>
        <v>540.37543006731494</v>
      </c>
      <c r="BI40" s="3861">
        <f>+'Maj Techno Summ'!BF13</f>
        <v>540.70822007941638</v>
      </c>
    </row>
    <row r="41" spans="3:61" x14ac:dyDescent="0.25">
      <c r="C41" s="7423"/>
      <c r="D41" s="4466" t="s">
        <v>1925</v>
      </c>
      <c r="E41" s="4140" t="s">
        <v>370</v>
      </c>
      <c r="F41" s="4469">
        <v>2.086254508453981</v>
      </c>
      <c r="G41" s="4470">
        <f>+'Maj Techno Summ'!D14</f>
        <v>2.4361020820953088</v>
      </c>
      <c r="H41" s="4471">
        <f>+'Maj Techno Summ'!E14</f>
        <v>2.4471008652249489</v>
      </c>
      <c r="I41" s="4471">
        <f>+'Maj Techno Summ'!F14</f>
        <v>2.3879780343565189</v>
      </c>
      <c r="J41" s="4471">
        <f>+'Maj Techno Summ'!G14</f>
        <v>2.4406270534121841</v>
      </c>
      <c r="K41" s="4471">
        <f>+'Maj Techno Summ'!H14</f>
        <v>2.4173399790859662</v>
      </c>
      <c r="L41" s="4472">
        <f>+'Maj Techno Summ'!I14</f>
        <v>2.4438090965065942</v>
      </c>
      <c r="M41" s="4472">
        <f>+'Maj Techno Summ'!J14</f>
        <v>2.40347160666763</v>
      </c>
      <c r="N41" s="4471">
        <f>+'Maj Techno Summ'!K14</f>
        <v>2.2084216454964505</v>
      </c>
      <c r="O41" s="4471">
        <f>+'Maj Techno Summ'!L14</f>
        <v>1.8780768962350072</v>
      </c>
      <c r="P41" s="4473">
        <f>+'Maj Techno Summ'!M14</f>
        <v>2.3864711276707897</v>
      </c>
      <c r="Q41" s="4474">
        <f>+'Maj Techno Summ'!N14</f>
        <v>2.2418065335507329</v>
      </c>
      <c r="R41" s="4471">
        <f>+'Maj Techno Summ'!O14</f>
        <v>2.1936000237145952</v>
      </c>
      <c r="S41" s="4471">
        <f>+'Maj Techno Summ'!P14</f>
        <v>2.3276758263880968</v>
      </c>
      <c r="T41" s="4475">
        <f>+'Maj Techno Summ'!Q14</f>
        <v>2.3655308363841172</v>
      </c>
      <c r="U41" s="4472">
        <f>+'Maj Techno Summ'!R14</f>
        <v>2.2650399723979984</v>
      </c>
      <c r="V41" s="4471">
        <f>+'Maj Techno Summ'!S14</f>
        <v>2.2528865108420164</v>
      </c>
      <c r="W41" s="4471">
        <f>+'Maj Techno Summ'!T14</f>
        <v>2.3360392827253578</v>
      </c>
      <c r="X41" s="4475">
        <f>+'Maj Techno Summ'!U14</f>
        <v>2.3367705830542191</v>
      </c>
      <c r="Y41" s="4472">
        <f>+'Maj Techno Summ'!V14</f>
        <v>2.279895790866687</v>
      </c>
      <c r="Z41" s="4471">
        <f>+'Maj Techno Summ'!W14</f>
        <v>2.2528865108420164</v>
      </c>
      <c r="AA41" s="4471">
        <f>+'Maj Techno Summ'!X14</f>
        <v>2.3134740969039282</v>
      </c>
      <c r="AB41" s="4473">
        <f>+'Maj Techno Summ'!Y14</f>
        <v>1.7131975892821254</v>
      </c>
      <c r="AC41" s="4473">
        <f>+'Maj Techno Summ'!Z14</f>
        <v>2.3256986735579712</v>
      </c>
      <c r="AD41" s="4476">
        <f>+'Maj Techno Summ'!AA14</f>
        <v>2.3201655448688681</v>
      </c>
      <c r="AE41" s="4477">
        <f>+'Maj Techno Summ'!AB14</f>
        <v>2.2857599981107133</v>
      </c>
      <c r="AF41" s="4471">
        <f>+'Maj Techno Summ'!AC14</f>
        <v>2.3467567821271005</v>
      </c>
      <c r="AG41" s="4471">
        <f>+'Maj Techno Summ'!AD14</f>
        <v>2.2356326894354832</v>
      </c>
      <c r="AH41" s="4475">
        <f>+'Maj Techno Summ'!AE14</f>
        <v>2.3246853019099274</v>
      </c>
      <c r="AI41" s="4472">
        <f>+'Maj Techno Summ'!AF14</f>
        <v>2.278296897138345</v>
      </c>
      <c r="AJ41" s="4471">
        <f>+'Maj Techno Summ'!AG14</f>
        <v>2.3499936880334826</v>
      </c>
      <c r="AK41" s="4471">
        <f>+'Maj Techno Summ'!AH14</f>
        <v>0.80694655877663402</v>
      </c>
      <c r="AL41" s="4475">
        <f>+'Maj Techno Summ'!AI14</f>
        <v>2.3282568016548577</v>
      </c>
      <c r="AM41" s="4472">
        <f>+'Maj Techno Summ'!AJ14</f>
        <v>2.2575548793304723</v>
      </c>
      <c r="AN41" s="4471">
        <f>+'Maj Techno Summ'!AK14</f>
        <v>2.3467567821271005</v>
      </c>
      <c r="AO41" s="4471">
        <f>+'Maj Techno Summ'!AL14</f>
        <v>2.3560233856843715</v>
      </c>
      <c r="AP41" s="4473">
        <f>+'Maj Techno Summ'!AM14</f>
        <v>2.347811504276371</v>
      </c>
      <c r="AQ41" s="4473">
        <f>+'Maj Techno Summ'!AN14</f>
        <v>2.2291988613244564</v>
      </c>
      <c r="AR41" s="4475">
        <f>+'Maj Techno Summ'!AO14</f>
        <v>2.3306134870653339</v>
      </c>
      <c r="AS41" s="4472">
        <f>+'Maj Techno Summ'!AP14</f>
        <v>2.2704465982537165</v>
      </c>
      <c r="AT41" s="4471">
        <f>+'Maj Techno Summ'!AQ14</f>
        <v>2.3467567821271005</v>
      </c>
      <c r="AU41" s="4471">
        <f>+'Maj Techno Summ'!AR14</f>
        <v>2.4887714643263985</v>
      </c>
      <c r="AV41" s="4475">
        <f>+'Maj Techno Summ'!AS14</f>
        <v>2.3324375882022568</v>
      </c>
      <c r="AW41" s="4472">
        <f>+'Maj Techno Summ'!AT14</f>
        <v>2.2949001593178062</v>
      </c>
      <c r="AX41" s="4471">
        <f>+'Maj Techno Summ'!AU14</f>
        <v>2.3467567821271005</v>
      </c>
      <c r="AY41" s="4471">
        <f>+'Maj Techno Summ'!AV14</f>
        <v>2.4820490909149764</v>
      </c>
      <c r="AZ41" s="4475">
        <f>+'Maj Techno Summ'!AW14</f>
        <v>2.3337593599491657</v>
      </c>
      <c r="BA41" s="4472">
        <f>+'Maj Techno Summ'!AX14</f>
        <v>2.3123422403688334</v>
      </c>
      <c r="BB41" s="4471">
        <f>+'Maj Techno Summ'!AY14</f>
        <v>2.3467567821271005</v>
      </c>
      <c r="BC41" s="4471">
        <f>+'Maj Techno Summ'!AZ14</f>
        <v>2.458086816036321</v>
      </c>
      <c r="BD41" s="4478">
        <f>+'Maj Techno Summ'!BA14</f>
        <v>2.3467567821271009</v>
      </c>
      <c r="BE41" s="4478">
        <f>+'Maj Techno Summ'!BB14</f>
        <v>2.4760163164415827</v>
      </c>
      <c r="BF41" s="4476">
        <f>+'Maj Techno Summ'!BC14</f>
        <v>2.3472901359412202</v>
      </c>
      <c r="BG41" s="4477">
        <f>+'Maj Techno Summ'!BD14</f>
        <v>2.371814661419942</v>
      </c>
      <c r="BH41" s="4475">
        <f>+'Maj Techno Summ'!BE14</f>
        <v>2.3349684224773455</v>
      </c>
      <c r="BI41" s="4472">
        <f>+'Maj Techno Summ'!BF14</f>
        <v>2.3260256146203999</v>
      </c>
    </row>
    <row r="42" spans="3:61" x14ac:dyDescent="0.25">
      <c r="C42" s="7423"/>
      <c r="D42" s="4564" t="s">
        <v>1904</v>
      </c>
      <c r="E42" s="4389" t="s">
        <v>49</v>
      </c>
      <c r="F42" s="4565"/>
      <c r="G42" s="4385">
        <f>'B-FCE'!D51</f>
        <v>70</v>
      </c>
      <c r="H42" s="4385">
        <f>'B-FCE'!E51</f>
        <v>70</v>
      </c>
      <c r="I42" s="4393">
        <f>'B-FCE'!F51</f>
        <v>67.728144451358403</v>
      </c>
      <c r="J42" s="4385">
        <f>'B-FCE'!G51</f>
        <v>70</v>
      </c>
      <c r="K42" s="4393">
        <f>'B-FCE'!H51</f>
        <v>68.71532071205479</v>
      </c>
      <c r="L42" s="4386">
        <f>'B-FCE'!I51</f>
        <v>70</v>
      </c>
      <c r="M42" s="3847">
        <f>'B-FCE'!J51</f>
        <v>68.251396769319385</v>
      </c>
      <c r="N42" s="4385">
        <f>'B-FCE'!K51</f>
        <v>70</v>
      </c>
      <c r="O42" s="4393">
        <f>'B-FCE'!L51</f>
        <v>81.082146621154223</v>
      </c>
      <c r="P42" s="4394">
        <f>'B-FCE'!M51</f>
        <v>70</v>
      </c>
      <c r="Q42" s="4395">
        <f>'B-FCE'!N51</f>
        <v>71.480866055350958</v>
      </c>
      <c r="R42" s="4385">
        <f>'B-FCE'!O51</f>
        <v>70</v>
      </c>
      <c r="S42" s="4393">
        <f>'B-FCE'!P51</f>
        <v>76.953707499417817</v>
      </c>
      <c r="T42" s="4386">
        <f>'B-FCE'!Q51</f>
        <v>70</v>
      </c>
      <c r="U42" s="3847">
        <f>'B-FCE'!R51</f>
        <v>73.011134086563047</v>
      </c>
      <c r="V42" s="4385">
        <f>'B-FCE'!S51</f>
        <v>70</v>
      </c>
      <c r="W42" s="4393">
        <f>'B-FCE'!T51</f>
        <v>74.861376564836206</v>
      </c>
      <c r="X42" s="4386">
        <f>'B-FCE'!U51</f>
        <v>70</v>
      </c>
      <c r="Y42" s="3847">
        <f>'B-FCE'!V51</f>
        <v>73.405788949217651</v>
      </c>
      <c r="Z42" s="4385">
        <f>'B-FCE'!W51</f>
        <v>70</v>
      </c>
      <c r="AA42" s="4393">
        <f>'B-FCE'!X51</f>
        <v>72.663235299621249</v>
      </c>
      <c r="AB42" s="4442">
        <f>'B-FCE'!Y51</f>
        <v>70</v>
      </c>
      <c r="AC42" s="4394">
        <f>'B-FCE'!Z51</f>
        <v>74.845528085916797</v>
      </c>
      <c r="AD42" s="4444">
        <f>'B-FCE'!AA51</f>
        <v>70</v>
      </c>
      <c r="AE42" s="4398">
        <f>'B-FCE'!AB51</f>
        <v>73.274869290778383</v>
      </c>
      <c r="AF42" s="4385">
        <f>'B-FCE'!AC51</f>
        <v>70</v>
      </c>
      <c r="AG42" s="4393">
        <f>'B-FCE'!AD51</f>
        <v>75.456460322892482</v>
      </c>
      <c r="AH42" s="4386">
        <f>'B-FCE'!AE51</f>
        <v>70</v>
      </c>
      <c r="AI42" s="3847">
        <f>'B-FCE'!AF51</f>
        <v>73.593606962224044</v>
      </c>
      <c r="AJ42" s="4385">
        <f>'B-FCE'!AG51</f>
        <v>70</v>
      </c>
      <c r="AK42" s="4393">
        <f>'B-FCE'!AH51</f>
        <v>65.313173496372698</v>
      </c>
      <c r="AL42" s="4386">
        <f>'B-FCE'!AI51</f>
        <v>70</v>
      </c>
      <c r="AM42" s="3847">
        <f>'B-FCE'!AJ51</f>
        <v>73.555439323626445</v>
      </c>
      <c r="AN42" s="4385">
        <f>'B-FCE'!AK51</f>
        <v>70</v>
      </c>
      <c r="AO42" s="4393">
        <f>'B-FCE'!AL51</f>
        <v>68.301122234689601</v>
      </c>
      <c r="AP42" s="4442">
        <f>'B-FCE'!AM51</f>
        <v>70</v>
      </c>
      <c r="AQ42" s="4394">
        <f>'B-FCE'!AN51</f>
        <v>71.619620041507233</v>
      </c>
      <c r="AR42" s="4386">
        <f>'B-FCE'!AO51</f>
        <v>70</v>
      </c>
      <c r="AS42" s="3847">
        <f>'B-FCE'!AP51</f>
        <v>72.833104422774497</v>
      </c>
      <c r="AT42" s="4385">
        <f>'B-FCE'!AQ51</f>
        <v>70</v>
      </c>
      <c r="AU42" s="4393">
        <f>'B-FCE'!AR51</f>
        <v>67.761756277843389</v>
      </c>
      <c r="AV42" s="4386">
        <f>'B-FCE'!AS51</f>
        <v>70</v>
      </c>
      <c r="AW42" s="3848">
        <f>'B-FCE'!AT51</f>
        <v>72.216332440854288</v>
      </c>
      <c r="AX42" s="4385">
        <f>'B-FCE'!AU51</f>
        <v>70</v>
      </c>
      <c r="AY42" s="4393">
        <f>'B-FCE'!AV51</f>
        <v>69.713499863473473</v>
      </c>
      <c r="AZ42" s="4386">
        <f>'B-FCE'!AW51</f>
        <v>70</v>
      </c>
      <c r="BA42" s="3847">
        <f>'B-FCE'!AX51</f>
        <v>71.965092079651555</v>
      </c>
      <c r="BB42" s="4385">
        <f>'B-FCE'!AY51</f>
        <v>70</v>
      </c>
      <c r="BC42" s="4393">
        <f>'B-FCE'!AZ51</f>
        <v>71.926187645776693</v>
      </c>
      <c r="BD42" s="4396">
        <f>'B-FCE'!BA51</f>
        <v>70</v>
      </c>
      <c r="BE42" s="4396">
        <f>'B-FCE'!BB51</f>
        <v>69.824227928002742</v>
      </c>
      <c r="BF42" s="4397">
        <f>'B-FCE'!BC51</f>
        <v>70</v>
      </c>
      <c r="BG42" s="4398">
        <f>'B-FCE'!BD51</f>
        <v>70.534181863157983</v>
      </c>
      <c r="BH42" s="4386">
        <f>'B-FCE'!BE51</f>
        <v>70</v>
      </c>
      <c r="BI42" s="3847">
        <f>'B-FCE'!BF51</f>
        <v>71.961153425461561</v>
      </c>
    </row>
    <row r="43" spans="3:61" x14ac:dyDescent="0.25">
      <c r="C43" s="7423"/>
      <c r="D43" s="4564" t="s">
        <v>1905</v>
      </c>
      <c r="E43" s="4389" t="s">
        <v>49</v>
      </c>
      <c r="F43" s="4565"/>
      <c r="G43" s="4385">
        <f>'B-FCE'!D52</f>
        <v>17</v>
      </c>
      <c r="H43" s="4385">
        <f>'B-FCE'!E52</f>
        <v>17</v>
      </c>
      <c r="I43" s="4393">
        <f>'B-FCE'!F52</f>
        <v>17.983612954408294</v>
      </c>
      <c r="J43" s="4385">
        <f>'B-FCE'!G52</f>
        <v>17</v>
      </c>
      <c r="K43" s="4393">
        <f>'B-FCE'!H52</f>
        <v>16.033685950987838</v>
      </c>
      <c r="L43" s="4386">
        <f>'B-FCE'!I52</f>
        <v>17.000000000000004</v>
      </c>
      <c r="M43" s="3847">
        <f>'B-FCE'!J52</f>
        <v>16.950055052930075</v>
      </c>
      <c r="N43" s="4385">
        <f>'B-FCE'!K52</f>
        <v>15</v>
      </c>
      <c r="O43" s="4393">
        <f>'B-FCE'!L52</f>
        <v>6.7183213613077637</v>
      </c>
      <c r="P43" s="4394">
        <f>'B-FCE'!M52</f>
        <v>16.999999999999989</v>
      </c>
      <c r="Q43" s="4395">
        <f>'B-FCE'!N52</f>
        <v>14.374751966086444</v>
      </c>
      <c r="R43" s="4385">
        <f>'B-FCE'!O52</f>
        <v>15</v>
      </c>
      <c r="S43" s="4393">
        <f>'B-FCE'!P52</f>
        <v>13.655609990167461</v>
      </c>
      <c r="T43" s="4386">
        <f>'B-FCE'!Q52</f>
        <v>16.999999999999993</v>
      </c>
      <c r="U43" s="3847">
        <f>'B-FCE'!R52</f>
        <v>14.173671780062696</v>
      </c>
      <c r="V43" s="4385">
        <f>'B-FCE'!S52</f>
        <v>15</v>
      </c>
      <c r="W43" s="4393">
        <f>'B-FCE'!T52</f>
        <v>14.388730151422321</v>
      </c>
      <c r="X43" s="4386">
        <f>'B-FCE'!U52</f>
        <v>16.999999999999986</v>
      </c>
      <c r="Y43" s="3847">
        <f>'B-FCE'!V52</f>
        <v>14.219543514718165</v>
      </c>
      <c r="Z43" s="4385">
        <f>'B-FCE'!W52</f>
        <v>15</v>
      </c>
      <c r="AA43" s="4393">
        <f>'B-FCE'!X52</f>
        <v>14.085178288074697</v>
      </c>
      <c r="AB43" s="4442">
        <f>'B-FCE'!Y52</f>
        <v>17</v>
      </c>
      <c r="AC43" s="4394">
        <f>'B-FCE'!Z52</f>
        <v>14.039227143946311</v>
      </c>
      <c r="AD43" s="4444">
        <f>'B-FCE'!AA52</f>
        <v>16.999999999999993</v>
      </c>
      <c r="AE43" s="4398">
        <f>'B-FCE'!AB52</f>
        <v>14.1958535771792</v>
      </c>
      <c r="AF43" s="4385">
        <f>'B-FCE'!AC52</f>
        <v>15</v>
      </c>
      <c r="AG43" s="4393">
        <f>'B-FCE'!AD52</f>
        <v>14.345528439431277</v>
      </c>
      <c r="AH43" s="4386">
        <f>'B-FCE'!AE52</f>
        <v>16.999999999999986</v>
      </c>
      <c r="AI43" s="3847">
        <f>'B-FCE'!AF52</f>
        <v>14.217721570018329</v>
      </c>
      <c r="AJ43" s="4385">
        <f>'B-FCE'!AG52</f>
        <v>15</v>
      </c>
      <c r="AK43" s="4393">
        <f>'B-FCE'!AH52</f>
        <v>30.952460854694991</v>
      </c>
      <c r="AL43" s="4386">
        <f>'B-FCE'!AI52</f>
        <v>17.000000000000007</v>
      </c>
      <c r="AM43" s="3847">
        <f>'B-FCE'!AJ52</f>
        <v>14.294858290417888</v>
      </c>
      <c r="AN43" s="4385">
        <f>'B-FCE'!AK52</f>
        <v>15</v>
      </c>
      <c r="AO43" s="4393">
        <f>'B-FCE'!AL52</f>
        <v>19.89864634827909</v>
      </c>
      <c r="AP43" s="4442">
        <f>'B-FCE'!AM52</f>
        <v>17.000000000000007</v>
      </c>
      <c r="AQ43" s="4394">
        <f>'B-FCE'!AN52</f>
        <v>17.453345580149978</v>
      </c>
      <c r="AR43" s="4386">
        <f>'B-FCE'!AO52</f>
        <v>16.999999999999989</v>
      </c>
      <c r="AS43" s="3847">
        <f>'B-FCE'!AP52</f>
        <v>15.065236557023326</v>
      </c>
      <c r="AT43" s="4385">
        <f>'B-FCE'!AQ52</f>
        <v>15</v>
      </c>
      <c r="AU43" s="4393">
        <f>'B-FCE'!AR52</f>
        <v>16.716073600986931</v>
      </c>
      <c r="AV43" s="4386">
        <f>'B-FCE'!AS52</f>
        <v>17.000000000000007</v>
      </c>
      <c r="AW43" s="3848">
        <f>'B-FCE'!AT52</f>
        <v>15.266009607173793</v>
      </c>
      <c r="AX43" s="4385">
        <f>'B-FCE'!AU52</f>
        <v>15</v>
      </c>
      <c r="AY43" s="4393">
        <f>'B-FCE'!AV52</f>
        <v>13.446591156927752</v>
      </c>
      <c r="AZ43" s="4386">
        <f>'B-FCE'!AW52</f>
        <v>16.999999999999989</v>
      </c>
      <c r="BA43" s="3847">
        <f>'B-FCE'!AX52</f>
        <v>15.083372001786296</v>
      </c>
      <c r="BB43" s="4385">
        <f>'B-FCE'!AY52</f>
        <v>15</v>
      </c>
      <c r="BC43" s="4393">
        <f>'B-FCE'!AZ52</f>
        <v>8.5266573962113057</v>
      </c>
      <c r="BD43" s="4396">
        <f>'B-FCE'!BA52</f>
        <v>17.000000000000004</v>
      </c>
      <c r="BE43" s="4396">
        <f>'B-FCE'!BB52</f>
        <v>12.837227506052255</v>
      </c>
      <c r="BF43" s="4397">
        <f>'B-FCE'!BC52</f>
        <v>16.999999999999989</v>
      </c>
      <c r="BG43" s="4398">
        <f>'B-FCE'!BD52</f>
        <v>14.662584299811334</v>
      </c>
      <c r="BH43" s="4386">
        <f>'B-FCE'!BE52</f>
        <v>17.000000000000004</v>
      </c>
      <c r="BI43" s="3847">
        <f>'B-FCE'!BF52</f>
        <v>14.419575388347216</v>
      </c>
    </row>
    <row r="44" spans="3:61" x14ac:dyDescent="0.25">
      <c r="C44" s="7423"/>
      <c r="D44" s="4564" t="s">
        <v>1906</v>
      </c>
      <c r="E44" s="4389" t="s">
        <v>49</v>
      </c>
      <c r="F44" s="4565"/>
      <c r="G44" s="4385">
        <f>G42+G43</f>
        <v>87</v>
      </c>
      <c r="H44" s="4385">
        <f>H42+H43</f>
        <v>87</v>
      </c>
      <c r="I44" s="4393">
        <f t="shared" ref="I44:BI44" si="0">I42+I43</f>
        <v>85.71175740576669</v>
      </c>
      <c r="J44" s="4385">
        <f>J42+J43</f>
        <v>87</v>
      </c>
      <c r="K44" s="4393">
        <f t="shared" ref="K44" si="1">K42+K43</f>
        <v>84.749006663042621</v>
      </c>
      <c r="L44" s="4386">
        <f t="shared" si="0"/>
        <v>87</v>
      </c>
      <c r="M44" s="3847">
        <f t="shared" si="0"/>
        <v>85.201451822249453</v>
      </c>
      <c r="N44" s="4385">
        <f t="shared" si="0"/>
        <v>85</v>
      </c>
      <c r="O44" s="4393">
        <f t="shared" si="0"/>
        <v>87.800467982461981</v>
      </c>
      <c r="P44" s="4394">
        <f t="shared" si="0"/>
        <v>86.999999999999986</v>
      </c>
      <c r="Q44" s="4395">
        <f t="shared" si="0"/>
        <v>85.855618021437408</v>
      </c>
      <c r="R44" s="4385">
        <f t="shared" ref="R44:S44" si="2">R42+R43</f>
        <v>85</v>
      </c>
      <c r="S44" s="4393">
        <f t="shared" si="2"/>
        <v>90.60931748958528</v>
      </c>
      <c r="T44" s="4386">
        <f t="shared" si="0"/>
        <v>87</v>
      </c>
      <c r="U44" s="3847">
        <f t="shared" si="0"/>
        <v>87.184805866625737</v>
      </c>
      <c r="V44" s="4385">
        <f t="shared" si="0"/>
        <v>85</v>
      </c>
      <c r="W44" s="4393">
        <f t="shared" si="0"/>
        <v>89.250106716258529</v>
      </c>
      <c r="X44" s="4386">
        <f t="shared" ref="X44:AA44" si="3">X42+X43</f>
        <v>86.999999999999986</v>
      </c>
      <c r="Y44" s="3847">
        <f t="shared" si="3"/>
        <v>87.62533246393582</v>
      </c>
      <c r="Z44" s="4385">
        <f t="shared" si="3"/>
        <v>85</v>
      </c>
      <c r="AA44" s="4393">
        <f t="shared" si="3"/>
        <v>86.74841358769595</v>
      </c>
      <c r="AB44" s="4442">
        <f t="shared" si="0"/>
        <v>87</v>
      </c>
      <c r="AC44" s="4394">
        <f t="shared" si="0"/>
        <v>88.884755229863103</v>
      </c>
      <c r="AD44" s="4444">
        <f t="shared" si="0"/>
        <v>87</v>
      </c>
      <c r="AE44" s="4398">
        <f t="shared" si="0"/>
        <v>87.470722867957591</v>
      </c>
      <c r="AF44" s="4385">
        <f t="shared" si="0"/>
        <v>85</v>
      </c>
      <c r="AG44" s="4393">
        <f t="shared" si="0"/>
        <v>89.801988762323759</v>
      </c>
      <c r="AH44" s="4386">
        <f t="shared" si="0"/>
        <v>86.999999999999986</v>
      </c>
      <c r="AI44" s="3847">
        <f t="shared" si="0"/>
        <v>87.811328532242371</v>
      </c>
      <c r="AJ44" s="4385">
        <f t="shared" ref="AJ44:AK44" si="4">AJ42+AJ43</f>
        <v>85</v>
      </c>
      <c r="AK44" s="4393">
        <f t="shared" si="4"/>
        <v>96.265634351067689</v>
      </c>
      <c r="AL44" s="4386">
        <f t="shared" si="0"/>
        <v>87</v>
      </c>
      <c r="AM44" s="3847">
        <f t="shared" si="0"/>
        <v>87.850297614044337</v>
      </c>
      <c r="AN44" s="4385">
        <f t="shared" si="0"/>
        <v>85</v>
      </c>
      <c r="AO44" s="4393">
        <f t="shared" si="0"/>
        <v>88.199768582968687</v>
      </c>
      <c r="AP44" s="4442">
        <f t="shared" si="0"/>
        <v>87</v>
      </c>
      <c r="AQ44" s="4394">
        <f t="shared" si="0"/>
        <v>89.072965621657204</v>
      </c>
      <c r="AR44" s="4386">
        <f t="shared" si="0"/>
        <v>86.999999999999986</v>
      </c>
      <c r="AS44" s="3847">
        <f t="shared" si="0"/>
        <v>87.898340979797823</v>
      </c>
      <c r="AT44" s="4385">
        <f t="shared" ref="AT44:AU44" si="5">AT42+AT43</f>
        <v>85</v>
      </c>
      <c r="AU44" s="4393">
        <f t="shared" si="5"/>
        <v>84.47782987883032</v>
      </c>
      <c r="AV44" s="4386">
        <f t="shared" si="0"/>
        <v>87</v>
      </c>
      <c r="AW44" s="3848">
        <f t="shared" si="0"/>
        <v>87.482342048028073</v>
      </c>
      <c r="AX44" s="4385">
        <f t="shared" si="0"/>
        <v>85</v>
      </c>
      <c r="AY44" s="4393">
        <f t="shared" si="0"/>
        <v>83.160091020401225</v>
      </c>
      <c r="AZ44" s="4386">
        <f t="shared" ref="AZ44:BC44" si="6">AZ42+AZ43</f>
        <v>86.999999999999986</v>
      </c>
      <c r="BA44" s="3847">
        <f t="shared" si="6"/>
        <v>87.048464081437857</v>
      </c>
      <c r="BB44" s="4385">
        <f t="shared" si="6"/>
        <v>85</v>
      </c>
      <c r="BC44" s="4393">
        <f t="shared" si="6"/>
        <v>80.452845041987999</v>
      </c>
      <c r="BD44" s="4396">
        <f t="shared" si="0"/>
        <v>87</v>
      </c>
      <c r="BE44" s="4396">
        <f t="shared" si="0"/>
        <v>82.661455434055</v>
      </c>
      <c r="BF44" s="4397">
        <f t="shared" si="0"/>
        <v>86.999999999999986</v>
      </c>
      <c r="BG44" s="4398">
        <f t="shared" si="0"/>
        <v>85.196766162969311</v>
      </c>
      <c r="BH44" s="4386">
        <f t="shared" si="0"/>
        <v>87</v>
      </c>
      <c r="BI44" s="3847">
        <f t="shared" si="0"/>
        <v>86.380728813808773</v>
      </c>
    </row>
    <row r="45" spans="3:61" x14ac:dyDescent="0.25">
      <c r="C45" s="7423"/>
      <c r="D45" s="4466" t="s">
        <v>1059</v>
      </c>
      <c r="E45" s="4140" t="s">
        <v>249</v>
      </c>
      <c r="F45" s="4467">
        <v>1139.2636881143576</v>
      </c>
      <c r="G45" s="4468">
        <f>+'B-FCE'!D80</f>
        <v>1175</v>
      </c>
      <c r="H45" s="4440">
        <f>+'B-FCE'!E80</f>
        <v>1175</v>
      </c>
      <c r="I45" s="4440">
        <f>+'B-FCE'!F80</f>
        <v>1169.6366534085485</v>
      </c>
      <c r="J45" s="4440">
        <f>+'B-FCE'!G80</f>
        <v>1175</v>
      </c>
      <c r="K45" s="4440">
        <f>+'B-FCE'!H80</f>
        <v>1185.0594910509444</v>
      </c>
      <c r="L45" s="3861">
        <f>+'B-FCE'!I80</f>
        <v>1175</v>
      </c>
      <c r="M45" s="3861">
        <f>+'B-FCE'!J80</f>
        <v>1177.4744889317333</v>
      </c>
      <c r="N45" s="4440">
        <f>+'B-FCE'!K80</f>
        <v>1175</v>
      </c>
      <c r="O45" s="4440">
        <f>+'B-FCE'!L80</f>
        <v>1134.6538461538462</v>
      </c>
      <c r="P45" s="4442">
        <f>+'B-FCE'!M80</f>
        <v>1175</v>
      </c>
      <c r="Q45" s="4443">
        <f>+'B-FCE'!N80</f>
        <v>1163.3577935104518</v>
      </c>
      <c r="R45" s="4440">
        <f>+'B-FCE'!O80</f>
        <v>1175</v>
      </c>
      <c r="S45" s="4440">
        <f>+'B-FCE'!P80</f>
        <v>1171.9745161290323</v>
      </c>
      <c r="T45" s="4441">
        <f>+'B-FCE'!Q80</f>
        <v>1175</v>
      </c>
      <c r="U45" s="3861">
        <f>+'B-FCE'!R80</f>
        <v>1165.5472886020582</v>
      </c>
      <c r="V45" s="4440">
        <f>+'B-FCE'!S80</f>
        <v>1175</v>
      </c>
      <c r="W45" s="4440">
        <f>+'B-FCE'!T80</f>
        <v>1161</v>
      </c>
      <c r="X45" s="4441">
        <f>+'B-FCE'!U80</f>
        <v>1175</v>
      </c>
      <c r="Y45" s="3861">
        <f>+'B-FCE'!V80</f>
        <v>1164.6259425454321</v>
      </c>
      <c r="Z45" s="4440">
        <f>+'B-FCE'!W80</f>
        <v>1175</v>
      </c>
      <c r="AA45" s="4440">
        <f>+'B-FCE'!X80</f>
        <v>1162.4360000000001</v>
      </c>
      <c r="AB45" s="4442">
        <f>+'B-FCE'!Y80</f>
        <v>1175</v>
      </c>
      <c r="AC45" s="4442">
        <f>+'B-FCE'!Z80</f>
        <v>1165.1661956521739</v>
      </c>
      <c r="AD45" s="4444">
        <f>+'B-FCE'!AA80</f>
        <v>1175</v>
      </c>
      <c r="AE45" s="4445">
        <f>+'B-FCE'!AB80</f>
        <v>1164.2669355707712</v>
      </c>
      <c r="AF45" s="4440">
        <f>+'B-FCE'!AC80</f>
        <v>1175</v>
      </c>
      <c r="AG45" s="4440">
        <f>+'B-FCE'!AD80</f>
        <v>1146.546129032258</v>
      </c>
      <c r="AH45" s="4441">
        <f>+'B-FCE'!AE80</f>
        <v>1175</v>
      </c>
      <c r="AI45" s="3861">
        <f>+'B-FCE'!AF80</f>
        <v>1161.6999028479024</v>
      </c>
      <c r="AJ45" s="4440">
        <f>+'B-FCE'!AG80</f>
        <v>1175</v>
      </c>
      <c r="AK45" s="4440">
        <f>+'B-FCE'!AH80</f>
        <v>1008.6666666666666</v>
      </c>
      <c r="AL45" s="4441">
        <f>+'B-FCE'!AI80</f>
        <v>1175</v>
      </c>
      <c r="AM45" s="3861">
        <f>+'B-FCE'!AJ80</f>
        <v>1142.8843410223405</v>
      </c>
      <c r="AN45" s="4440">
        <f>+'B-FCE'!AK80</f>
        <v>1175</v>
      </c>
      <c r="AO45" s="4440">
        <f>+'B-FCE'!AL80</f>
        <v>1168.2702832980101</v>
      </c>
      <c r="AP45" s="4442">
        <f>+'B-FCE'!AM80</f>
        <v>1175</v>
      </c>
      <c r="AQ45" s="4442">
        <f>+'B-FCE'!AN80</f>
        <v>1108.9055302417207</v>
      </c>
      <c r="AR45" s="4441">
        <f>+'B-FCE'!AO80</f>
        <v>1175</v>
      </c>
      <c r="AS45" s="3861">
        <f>+'B-FCE'!AP80</f>
        <v>1145.7460290606887</v>
      </c>
      <c r="AT45" s="4440">
        <f>+'B-FCE'!AQ80</f>
        <v>1175</v>
      </c>
      <c r="AU45" s="4440">
        <f>+'B-FCE'!AR80</f>
        <v>1180.3109392030563</v>
      </c>
      <c r="AV45" s="4441">
        <f>+'B-FCE'!AS80</f>
        <v>1175</v>
      </c>
      <c r="AW45" s="3861">
        <f>+'B-FCE'!AT80</f>
        <v>1149.2477029640004</v>
      </c>
      <c r="AX45" s="4440">
        <f>+'B-FCE'!AU80</f>
        <v>1175</v>
      </c>
      <c r="AY45" s="4440">
        <f>+'B-FCE'!AV80</f>
        <v>1171.6966869804357</v>
      </c>
      <c r="AZ45" s="4441">
        <f>+'B-FCE'!AW80</f>
        <v>1175</v>
      </c>
      <c r="BA45" s="3861">
        <f>+'B-FCE'!AX80</f>
        <v>1151.1296537198691</v>
      </c>
      <c r="BB45" s="4440">
        <f>+'B-FCE'!AY80</f>
        <v>1175</v>
      </c>
      <c r="BC45" s="4440">
        <f>+'B-FCE'!AZ80</f>
        <v>1179.4645730205052</v>
      </c>
      <c r="BD45" s="4446">
        <f>+'B-FCE'!BA80</f>
        <v>1175</v>
      </c>
      <c r="BE45" s="4446">
        <f>+'B-FCE'!BB80</f>
        <v>1177.33942349314</v>
      </c>
      <c r="BF45" s="4444">
        <f>+'B-FCE'!BC80</f>
        <v>1175</v>
      </c>
      <c r="BG45" s="4445">
        <f>+'B-FCE'!BD80</f>
        <v>1142.7464664649501</v>
      </c>
      <c r="BH45" s="4441">
        <f>+'B-FCE'!BE80</f>
        <v>1175</v>
      </c>
      <c r="BI45" s="3861">
        <f>+'B-FCE'!BF80</f>
        <v>1153.5361811125258</v>
      </c>
    </row>
    <row r="46" spans="3:61" x14ac:dyDescent="0.25">
      <c r="C46" s="7427"/>
      <c r="D46" s="4566" t="s">
        <v>19</v>
      </c>
      <c r="E46" s="4389" t="s">
        <v>242</v>
      </c>
      <c r="F46" s="4567"/>
      <c r="G46" s="4440">
        <f>'B-FCE'!D43</f>
        <v>1146.0197591850756</v>
      </c>
      <c r="H46" s="4440">
        <f>'B-FCE'!E43</f>
        <v>1146.0197591850756</v>
      </c>
      <c r="I46" s="4440">
        <f>'B-FCE'!F43</f>
        <v>1115.2616068238185</v>
      </c>
      <c r="J46" s="4440">
        <f>'B-FCE'!G43</f>
        <v>1146.0197591850756</v>
      </c>
      <c r="K46" s="4440">
        <f>'B-FCE'!H43</f>
        <v>1128.4752839801524</v>
      </c>
      <c r="L46" s="3861">
        <f>'B-FCE'!I43</f>
        <v>1146.0197591850756</v>
      </c>
      <c r="M46" s="3861">
        <f>'B-FCE'!J43</f>
        <v>1122.2743700666069</v>
      </c>
      <c r="N46" s="4440">
        <f>'B-FCE'!K43</f>
        <v>1146.0197591850756</v>
      </c>
      <c r="O46" s="4440">
        <f>'B-FCE'!L43</f>
        <v>1291.2277451949938</v>
      </c>
      <c r="P46" s="4442">
        <f>'B-FCE'!M43</f>
        <v>1146.0197591850756</v>
      </c>
      <c r="Q46" s="4443">
        <f>'B-FCE'!N43</f>
        <v>1165.8268228364409</v>
      </c>
      <c r="R46" s="4440">
        <f>'B-FCE'!O43</f>
        <v>1146.0197591850756</v>
      </c>
      <c r="S46" s="4440">
        <f>'B-FCE'!P43</f>
        <v>1264.8721892800097</v>
      </c>
      <c r="T46" s="4441">
        <f>'B-FCE'!Q43</f>
        <v>1146.0197591850758</v>
      </c>
      <c r="U46" s="3861">
        <f>'B-FCE'!R43</f>
        <v>1193.3663448474038</v>
      </c>
      <c r="V46" s="4440">
        <f>'B-FCE'!S43</f>
        <v>1146.0197591850756</v>
      </c>
      <c r="W46" s="4440">
        <f>'B-FCE'!T43</f>
        <v>1215.6825191654993</v>
      </c>
      <c r="X46" s="4441">
        <f>'B-FCE'!U43</f>
        <v>1146.0197591850756</v>
      </c>
      <c r="Y46" s="3861">
        <f>'B-FCE'!V43</f>
        <v>1198.150743327378</v>
      </c>
      <c r="Z46" s="4440">
        <f>'B-FCE'!W43</f>
        <v>1146.0197591850756</v>
      </c>
      <c r="AA46" s="4440">
        <f>'B-FCE'!X43</f>
        <v>1182.363292804893</v>
      </c>
      <c r="AB46" s="4442">
        <f>'B-FCE'!Y43</f>
        <v>1146.0197591850756</v>
      </c>
      <c r="AC46" s="4442">
        <f>'B-FCE'!Z43</f>
        <v>1221.227837623979</v>
      </c>
      <c r="AD46" s="4444">
        <f>'B-FCE'!AA43</f>
        <v>1146.0197591850756</v>
      </c>
      <c r="AE46" s="4445">
        <f>'B-FCE'!AB43</f>
        <v>1195.3601500560803</v>
      </c>
      <c r="AF46" s="4440">
        <f>'B-FCE'!AC43</f>
        <v>1146.0197591850756</v>
      </c>
      <c r="AG46" s="4440">
        <f>'B-FCE'!AD43</f>
        <v>1231.0322200143514</v>
      </c>
      <c r="AH46" s="4441">
        <f>'B-FCE'!AE43</f>
        <v>1146.0197591850756</v>
      </c>
      <c r="AI46" s="3861">
        <f>'B-FCE'!AF43</f>
        <v>1200.5716576271766</v>
      </c>
      <c r="AJ46" s="4440">
        <f>'B-FCE'!AG43</f>
        <v>1146.0197591850756</v>
      </c>
      <c r="AK46" s="4440">
        <f>'B-FCE'!AH43</f>
        <v>974.23149214818409</v>
      </c>
      <c r="AL46" s="4441">
        <f>'B-FCE'!AI43</f>
        <v>1146.0197591850756</v>
      </c>
      <c r="AM46" s="3861">
        <f>'B-FCE'!AJ43</f>
        <v>1199.4311373897579</v>
      </c>
      <c r="AN46" s="4440">
        <f>'B-FCE'!AK43</f>
        <v>1146.0197591850756</v>
      </c>
      <c r="AO46" s="4440">
        <f>'B-FCE'!AL43</f>
        <v>1129.1266033893933</v>
      </c>
      <c r="AP46" s="4442">
        <f>'B-FCE'!AM43</f>
        <v>1146.0197591850756</v>
      </c>
      <c r="AQ46" s="4442">
        <f>'B-FCE'!AN43</f>
        <v>1174.7434616208968</v>
      </c>
      <c r="AR46" s="4441">
        <f>'B-FCE'!AO43</f>
        <v>1146.0197591850756</v>
      </c>
      <c r="AS46" s="3861">
        <f>'B-FCE'!AP43</f>
        <v>1189.8797795290957</v>
      </c>
      <c r="AT46" s="4440">
        <f>'B-FCE'!AQ43</f>
        <v>1146.0197591850756</v>
      </c>
      <c r="AU46" s="4440">
        <f>'B-FCE'!AR43</f>
        <v>1108.5999601291448</v>
      </c>
      <c r="AV46" s="4441">
        <f>'B-FCE'!AS43</f>
        <v>1146.0197591850756</v>
      </c>
      <c r="AW46" s="3861">
        <f>'B-FCE'!AT43</f>
        <v>1180.0069221693398</v>
      </c>
      <c r="AX46" s="4440">
        <f>'B-FCE'!AU43</f>
        <v>1146.0197591850756</v>
      </c>
      <c r="AY46" s="4440">
        <f>'B-FCE'!AV43</f>
        <v>1143.4579174039329</v>
      </c>
      <c r="AZ46" s="4441">
        <f>'B-FCE'!AW43</f>
        <v>1146.0197591850756</v>
      </c>
      <c r="BA46" s="3861">
        <f>'B-FCE'!AX43</f>
        <v>1176.3505974558745</v>
      </c>
      <c r="BB46" s="4440">
        <f>'B-FCE'!AY43</f>
        <v>1146.0197591850756</v>
      </c>
      <c r="BC46" s="4440">
        <f>'B-FCE'!AZ43</f>
        <v>1202.3848690444604</v>
      </c>
      <c r="BD46" s="4446">
        <f>'B-FCE'!BA43</f>
        <v>1146.0197591850756</v>
      </c>
      <c r="BE46" s="4446">
        <f>'B-FCE'!BB43</f>
        <v>1151.8458788808666</v>
      </c>
      <c r="BF46" s="4444">
        <f>'B-FCE'!BC43</f>
        <v>1146.0197591850756</v>
      </c>
      <c r="BG46" s="4445">
        <f>'B-FCE'!BD43</f>
        <v>1160.9315381740898</v>
      </c>
      <c r="BH46" s="4441">
        <f>'B-FCE'!BE43</f>
        <v>1146.0197591850756</v>
      </c>
      <c r="BI46" s="3861">
        <f>'B-FCE'!BF43</f>
        <v>1178.9336245456511</v>
      </c>
    </row>
    <row r="47" spans="3:61" x14ac:dyDescent="0.25">
      <c r="C47" s="7427"/>
      <c r="D47" s="4566" t="s">
        <v>1309</v>
      </c>
      <c r="E47" s="4389" t="s">
        <v>242</v>
      </c>
      <c r="F47" s="4567"/>
      <c r="G47" s="4440">
        <f>'B-FCE'!D46</f>
        <v>278.31908437351831</v>
      </c>
      <c r="H47" s="4440">
        <f>'B-FCE'!E46</f>
        <v>278.31908437351831</v>
      </c>
      <c r="I47" s="4440">
        <f>'B-FCE'!F46</f>
        <v>296.13144199506826</v>
      </c>
      <c r="J47" s="4440">
        <f>'B-FCE'!G46</f>
        <v>278.31908437351831</v>
      </c>
      <c r="K47" s="4440">
        <f>'B-FCE'!H46</f>
        <v>263.31272443025074</v>
      </c>
      <c r="L47" s="3861">
        <f>'B-FCE'!I46</f>
        <v>278.31908437351831</v>
      </c>
      <c r="M47" s="3861">
        <f>'B-FCE'!J46</f>
        <v>278.71389096131315</v>
      </c>
      <c r="N47" s="4440">
        <f>'B-FCE'!K46</f>
        <v>278.31908437351831</v>
      </c>
      <c r="O47" s="4440">
        <f>'B-FCE'!L46</f>
        <v>106.98881695114774</v>
      </c>
      <c r="P47" s="4442">
        <f>'B-FCE'!M46</f>
        <v>278.31908437351825</v>
      </c>
      <c r="Q47" s="4443">
        <f>'B-FCE'!N46</f>
        <v>234.44695536715506</v>
      </c>
      <c r="R47" s="4440">
        <f>'B-FCE'!O46</f>
        <v>278.31908437351831</v>
      </c>
      <c r="S47" s="4440">
        <f>'B-FCE'!P46</f>
        <v>224.4544397597445</v>
      </c>
      <c r="T47" s="4441">
        <f>'B-FCE'!Q46</f>
        <v>278.31908437351825</v>
      </c>
      <c r="U47" s="3861">
        <f>'B-FCE'!R46</f>
        <v>231.66854065280327</v>
      </c>
      <c r="V47" s="4440">
        <f>'B-FCE'!S46</f>
        <v>278.31908437351831</v>
      </c>
      <c r="W47" s="4440">
        <f>'B-FCE'!T46</f>
        <v>233.66024672180615</v>
      </c>
      <c r="X47" s="4441">
        <f>'B-FCE'!U46</f>
        <v>278.31908437351825</v>
      </c>
      <c r="Y47" s="3861">
        <f>'B-FCE'!V46</f>
        <v>232.09554553962951</v>
      </c>
      <c r="Z47" s="4440">
        <f>'B-FCE'!W46</f>
        <v>278.31908437351831</v>
      </c>
      <c r="AA47" s="4440">
        <f>'B-FCE'!X46</f>
        <v>229.19152597267851</v>
      </c>
      <c r="AB47" s="4442">
        <f>'B-FCE'!Y46</f>
        <v>278.31908437351831</v>
      </c>
      <c r="AC47" s="4442">
        <f>'B-FCE'!Z46</f>
        <v>229.07307150311215</v>
      </c>
      <c r="AD47" s="4444">
        <f>'B-FCE'!AA46</f>
        <v>278.31908437351831</v>
      </c>
      <c r="AE47" s="4445">
        <f>'B-FCE'!AB46</f>
        <v>231.58223039405181</v>
      </c>
      <c r="AF47" s="4440">
        <f>'B-FCE'!AC46</f>
        <v>278.31908437351831</v>
      </c>
      <c r="AG47" s="4440">
        <f>'B-FCE'!AD46</f>
        <v>234.03970510281593</v>
      </c>
      <c r="AH47" s="4441">
        <f>'B-FCE'!AE46</f>
        <v>278.31908437351831</v>
      </c>
      <c r="AI47" s="3861">
        <f>'B-FCE'!AF46</f>
        <v>231.94125492123746</v>
      </c>
      <c r="AJ47" s="4440">
        <f>'B-FCE'!AG46</f>
        <v>278.31908437351831</v>
      </c>
      <c r="AK47" s="4440">
        <f>'B-FCE'!AH46</f>
        <v>461.69647729339721</v>
      </c>
      <c r="AL47" s="4441">
        <f>'B-FCE'!AI46</f>
        <v>278.31908437351831</v>
      </c>
      <c r="AM47" s="3861">
        <f>'B-FCE'!AJ46</f>
        <v>233.09898351180163</v>
      </c>
      <c r="AN47" s="4440">
        <f>'B-FCE'!AK46</f>
        <v>278.31908437351831</v>
      </c>
      <c r="AO47" s="4440">
        <f>'B-FCE'!AL46</f>
        <v>328.9563952708782</v>
      </c>
      <c r="AP47" s="4442">
        <f>'B-FCE'!AM46</f>
        <v>278.31908437351831</v>
      </c>
      <c r="AQ47" s="4442">
        <f>'B-FCE'!AN46</f>
        <v>286.27914518128568</v>
      </c>
      <c r="AR47" s="4441">
        <f>'B-FCE'!AO46</f>
        <v>278.31908437351831</v>
      </c>
      <c r="AS47" s="3861">
        <f>'B-FCE'!AP46</f>
        <v>246.12187679067659</v>
      </c>
      <c r="AT47" s="4440">
        <f>'B-FCE'!AQ46</f>
        <v>278.31908437351831</v>
      </c>
      <c r="AU47" s="4440">
        <f>'B-FCE'!AR46</f>
        <v>273.47931260201631</v>
      </c>
      <c r="AV47" s="4441">
        <f>'B-FCE'!AS46</f>
        <v>278.31908437351831</v>
      </c>
      <c r="AW47" s="3861">
        <f>'B-FCE'!AT46</f>
        <v>249.44491642693595</v>
      </c>
      <c r="AX47" s="4440">
        <f>'B-FCE'!AU46</f>
        <v>278.31908437351831</v>
      </c>
      <c r="AY47" s="4440">
        <f>'B-FCE'!AV46</f>
        <v>220.55428504657294</v>
      </c>
      <c r="AZ47" s="4441">
        <f>'B-FCE'!AW46</f>
        <v>278.31908437351831</v>
      </c>
      <c r="BA47" s="3861">
        <f>'B-FCE'!AX46</f>
        <v>246.55472748248593</v>
      </c>
      <c r="BB47" s="4440">
        <f>'B-FCE'!AY46</f>
        <v>278.31908437351831</v>
      </c>
      <c r="BC47" s="4440">
        <f>'B-FCE'!AZ46</f>
        <v>142.539514081037</v>
      </c>
      <c r="BD47" s="4446">
        <f>'B-FCE'!BA46</f>
        <v>278.31908437351831</v>
      </c>
      <c r="BE47" s="4446">
        <f>'B-FCE'!BB46</f>
        <v>211.76757749973402</v>
      </c>
      <c r="BF47" s="4444">
        <f>'B-FCE'!BC46</f>
        <v>278.31908437351831</v>
      </c>
      <c r="BG47" s="4445">
        <f>'B-FCE'!BD46</f>
        <v>241.33343713848981</v>
      </c>
      <c r="BH47" s="4441">
        <f>'B-FCE'!BE46</f>
        <v>278.31908437351831</v>
      </c>
      <c r="BI47" s="3861">
        <f>'B-FCE'!BF46</f>
        <v>236.23471092083042</v>
      </c>
    </row>
    <row r="48" spans="3:61" x14ac:dyDescent="0.25">
      <c r="C48" s="7427"/>
      <c r="D48" s="4566" t="s">
        <v>240</v>
      </c>
      <c r="E48" s="4389" t="s">
        <v>242</v>
      </c>
      <c r="F48" s="4567"/>
      <c r="G48" s="4440">
        <f>'B-FCE'!D44</f>
        <v>212.83224099151397</v>
      </c>
      <c r="H48" s="4440">
        <f>'B-FCE'!E44</f>
        <v>212.83224099151397</v>
      </c>
      <c r="I48" s="4440">
        <f>'B-FCE'!F44</f>
        <v>235.28074662930695</v>
      </c>
      <c r="J48" s="4440">
        <f>'B-FCE'!G44</f>
        <v>212.83224099151397</v>
      </c>
      <c r="K48" s="4440">
        <f>'B-FCE'!H44</f>
        <v>250.45897855910249</v>
      </c>
      <c r="L48" s="3861">
        <f>'B-FCE'!I44</f>
        <v>212.83224099151397</v>
      </c>
      <c r="M48" s="3861">
        <f>'B-FCE'!J44</f>
        <v>243.33613845615858</v>
      </c>
      <c r="N48" s="4440">
        <f>'B-FCE'!K44</f>
        <v>212.83224099151397</v>
      </c>
      <c r="O48" s="4440">
        <f>'B-FCE'!L44</f>
        <v>194.2767289208642</v>
      </c>
      <c r="P48" s="4442">
        <f>'B-FCE'!M44</f>
        <v>212.83224099151397</v>
      </c>
      <c r="Q48" s="4443">
        <f>'B-FCE'!N44</f>
        <v>230.68970499439314</v>
      </c>
      <c r="R48" s="4440">
        <f>'B-FCE'!O44</f>
        <v>212.83224099151397</v>
      </c>
      <c r="S48" s="4440">
        <f>'B-FCE'!P44</f>
        <v>154.35270803387385</v>
      </c>
      <c r="T48" s="4441">
        <f>'B-FCE'!Q44</f>
        <v>212.83224099151397</v>
      </c>
      <c r="U48" s="3861">
        <f>'B-FCE'!R44</f>
        <v>209.4642354592502</v>
      </c>
      <c r="V48" s="4440">
        <f>'B-FCE'!S44</f>
        <v>212.83224099151397</v>
      </c>
      <c r="W48" s="4440">
        <f>'B-FCE'!T44</f>
        <v>174.56875558013203</v>
      </c>
      <c r="X48" s="4441">
        <f>'B-FCE'!U44</f>
        <v>212.83224099151397</v>
      </c>
      <c r="Y48" s="3861">
        <f>'B-FCE'!V44</f>
        <v>201.98294056919198</v>
      </c>
      <c r="Z48" s="4440">
        <f>'B-FCE'!W44</f>
        <v>212.83224099151397</v>
      </c>
      <c r="AA48" s="4440">
        <f>'B-FCE'!X44</f>
        <v>215.62746663747944</v>
      </c>
      <c r="AB48" s="4442">
        <f>'B-FCE'!Y44</f>
        <v>212.83224099151397</v>
      </c>
      <c r="AC48" s="4442">
        <f>'B-FCE'!Z44</f>
        <v>181.36349201402311</v>
      </c>
      <c r="AD48" s="4444">
        <f>'B-FCE'!AA44</f>
        <v>212.83224099151397</v>
      </c>
      <c r="AE48" s="4445">
        <f>'B-FCE'!AB44</f>
        <v>204.39475003658984</v>
      </c>
      <c r="AF48" s="4440">
        <f>'B-FCE'!AC44</f>
        <v>212.83224099151397</v>
      </c>
      <c r="AG48" s="4440">
        <f>'B-FCE'!AD44</f>
        <v>166.37515674505005</v>
      </c>
      <c r="AH48" s="4441">
        <f>'B-FCE'!AE44</f>
        <v>212.83224099151397</v>
      </c>
      <c r="AI48" s="3861">
        <f>'B-FCE'!AF44</f>
        <v>198.84028127375558</v>
      </c>
      <c r="AJ48" s="4440">
        <f>'B-FCE'!AG44</f>
        <v>212.83224099151397</v>
      </c>
      <c r="AK48" s="4440">
        <f>'B-FCE'!AH44</f>
        <v>55.702952767840905</v>
      </c>
      <c r="AL48" s="4441">
        <f>'B-FCE'!AI44</f>
        <v>212.83224099151397</v>
      </c>
      <c r="AM48" s="3861">
        <f>'B-FCE'!AJ44</f>
        <v>198.11901724381397</v>
      </c>
      <c r="AN48" s="4440">
        <f>'B-FCE'!AK44</f>
        <v>212.83224099151397</v>
      </c>
      <c r="AO48" s="4440">
        <f>'B-FCE'!AL44</f>
        <v>195.07666613937766</v>
      </c>
      <c r="AP48" s="4442">
        <f>'B-FCE'!AM44</f>
        <v>212.83224099151397</v>
      </c>
      <c r="AQ48" s="4442">
        <f>'B-FCE'!AN44</f>
        <v>179.23108477014492</v>
      </c>
      <c r="AR48" s="4441">
        <f>'B-FCE'!AO44</f>
        <v>212.83224099151397</v>
      </c>
      <c r="AS48" s="3861">
        <f>'B-FCE'!AP44</f>
        <v>197.70569277549305</v>
      </c>
      <c r="AT48" s="4440">
        <f>'B-FCE'!AQ44</f>
        <v>212.83224099151397</v>
      </c>
      <c r="AU48" s="4440">
        <f>'B-FCE'!AR44</f>
        <v>253.94674109226278</v>
      </c>
      <c r="AV48" s="4441">
        <f>'B-FCE'!AS44</f>
        <v>212.83224099151397</v>
      </c>
      <c r="AW48" s="3861">
        <f>'B-FCE'!AT44</f>
        <v>204.53715293244005</v>
      </c>
      <c r="AX48" s="4440">
        <f>'B-FCE'!AU44</f>
        <v>212.83224099151397</v>
      </c>
      <c r="AY48" s="4440">
        <f>'B-FCE'!AV44</f>
        <v>276.21231596167331</v>
      </c>
      <c r="AZ48" s="4441">
        <f>'B-FCE'!AW44</f>
        <v>212.83224099151397</v>
      </c>
      <c r="BA48" s="3861">
        <f>'B-FCE'!AX44</f>
        <v>211.70746226391228</v>
      </c>
      <c r="BB48" s="4440">
        <f>'B-FCE'!AY44</f>
        <v>212.83224099151397</v>
      </c>
      <c r="BC48" s="4440">
        <f>'B-FCE'!AZ44</f>
        <v>326.76837357389223</v>
      </c>
      <c r="BD48" s="4446">
        <f>'B-FCE'!BA44</f>
        <v>212.83224099151397</v>
      </c>
      <c r="BE48" s="4446">
        <f>'B-FCE'!BB44</f>
        <v>286.02294213219034</v>
      </c>
      <c r="BF48" s="4444">
        <f>'B-FCE'!BC44</f>
        <v>212.83224099151397</v>
      </c>
      <c r="BG48" s="4445">
        <f>'B-FCE'!BD44</f>
        <v>243.64840669331232</v>
      </c>
      <c r="BH48" s="4441">
        <f>'B-FCE'!BE44</f>
        <v>212.832240991514</v>
      </c>
      <c r="BI48" s="3861">
        <f>'B-FCE'!BF44</f>
        <v>223.12339337136726</v>
      </c>
    </row>
    <row r="49" spans="3:61" x14ac:dyDescent="0.25">
      <c r="C49" s="7427"/>
      <c r="D49" s="4566" t="s">
        <v>1907</v>
      </c>
      <c r="E49" s="4389" t="s">
        <v>242</v>
      </c>
      <c r="F49" s="4567"/>
      <c r="G49" s="4440">
        <f>G46+G47+G48</f>
        <v>1637.1710845501079</v>
      </c>
      <c r="H49" s="4440">
        <f>H46+H47+H48</f>
        <v>1637.1710845501079</v>
      </c>
      <c r="I49" s="4440">
        <f t="shared" ref="I49:BI49" si="7">I46+I47+I48</f>
        <v>1646.6737954481937</v>
      </c>
      <c r="J49" s="4440">
        <f>J46+J47+J48</f>
        <v>1637.1710845501079</v>
      </c>
      <c r="K49" s="4440">
        <f t="shared" ref="K49" si="8">K46+K47+K48</f>
        <v>1642.2469869695055</v>
      </c>
      <c r="L49" s="3861">
        <f t="shared" si="7"/>
        <v>1637.1710845501079</v>
      </c>
      <c r="M49" s="3861">
        <f t="shared" si="7"/>
        <v>1644.3243994840786</v>
      </c>
      <c r="N49" s="4440">
        <f t="shared" si="7"/>
        <v>1637.1710845501079</v>
      </c>
      <c r="O49" s="4440">
        <f t="shared" si="7"/>
        <v>1592.4932910670057</v>
      </c>
      <c r="P49" s="4442">
        <f t="shared" si="7"/>
        <v>1637.1710845501079</v>
      </c>
      <c r="Q49" s="4443">
        <f t="shared" si="7"/>
        <v>1630.9634831979893</v>
      </c>
      <c r="R49" s="4440">
        <f t="shared" ref="R49:S49" si="9">R46+R47+R48</f>
        <v>1637.1710845501079</v>
      </c>
      <c r="S49" s="4440">
        <f t="shared" si="9"/>
        <v>1643.6793370736279</v>
      </c>
      <c r="T49" s="4441">
        <f t="shared" si="7"/>
        <v>1637.1710845501082</v>
      </c>
      <c r="U49" s="3861">
        <f t="shared" si="7"/>
        <v>1634.4991209594573</v>
      </c>
      <c r="V49" s="4440">
        <f t="shared" si="7"/>
        <v>1637.1710845501079</v>
      </c>
      <c r="W49" s="4440">
        <f t="shared" si="7"/>
        <v>1623.9115214674375</v>
      </c>
      <c r="X49" s="4441">
        <f t="shared" ref="X49:AA49" si="10">X46+X47+X48</f>
        <v>1637.1710845501079</v>
      </c>
      <c r="Y49" s="3861">
        <f t="shared" si="10"/>
        <v>1632.2292294361994</v>
      </c>
      <c r="Z49" s="4440">
        <f t="shared" si="10"/>
        <v>1637.1710845501079</v>
      </c>
      <c r="AA49" s="4440">
        <f t="shared" si="10"/>
        <v>1627.1822854150512</v>
      </c>
      <c r="AB49" s="4442">
        <f t="shared" si="7"/>
        <v>1637.1710845501079</v>
      </c>
      <c r="AC49" s="4442">
        <f t="shared" si="7"/>
        <v>1631.664401141114</v>
      </c>
      <c r="AD49" s="4444">
        <f t="shared" si="7"/>
        <v>1637.1710845501079</v>
      </c>
      <c r="AE49" s="4445">
        <f t="shared" si="7"/>
        <v>1631.3371304867219</v>
      </c>
      <c r="AF49" s="4440">
        <f t="shared" si="7"/>
        <v>1637.1710845501079</v>
      </c>
      <c r="AG49" s="4440">
        <f t="shared" si="7"/>
        <v>1631.4470818622176</v>
      </c>
      <c r="AH49" s="4441">
        <f t="shared" si="7"/>
        <v>1637.1710845501079</v>
      </c>
      <c r="AI49" s="3861">
        <f t="shared" si="7"/>
        <v>1631.3531938221697</v>
      </c>
      <c r="AJ49" s="4440">
        <f t="shared" ref="AJ49:AK49" si="11">AJ46+AJ47+AJ48</f>
        <v>1637.1710845501079</v>
      </c>
      <c r="AK49" s="4440">
        <f t="shared" si="11"/>
        <v>1491.6309222094224</v>
      </c>
      <c r="AL49" s="4441">
        <f t="shared" si="7"/>
        <v>1637.1710845501079</v>
      </c>
      <c r="AM49" s="3861">
        <f t="shared" si="7"/>
        <v>1630.6491381453734</v>
      </c>
      <c r="AN49" s="4440">
        <f t="shared" si="7"/>
        <v>1637.1710845501079</v>
      </c>
      <c r="AO49" s="4440">
        <f t="shared" si="7"/>
        <v>1653.1596647996491</v>
      </c>
      <c r="AP49" s="4442">
        <f t="shared" si="7"/>
        <v>1637.1710845501079</v>
      </c>
      <c r="AQ49" s="4442">
        <f t="shared" si="7"/>
        <v>1640.2536915723274</v>
      </c>
      <c r="AR49" s="4441">
        <f t="shared" si="7"/>
        <v>1637.1710845501079</v>
      </c>
      <c r="AS49" s="3861">
        <f t="shared" si="7"/>
        <v>1633.7073490952653</v>
      </c>
      <c r="AT49" s="4440">
        <f t="shared" ref="AT49:AU49" si="12">AT46+AT47+AT48</f>
        <v>1637.1710845501079</v>
      </c>
      <c r="AU49" s="4440">
        <f t="shared" si="12"/>
        <v>1636.0260138234239</v>
      </c>
      <c r="AV49" s="4441">
        <f t="shared" si="7"/>
        <v>1637.1710845501079</v>
      </c>
      <c r="AW49" s="3861">
        <f t="shared" si="7"/>
        <v>1633.9889915287156</v>
      </c>
      <c r="AX49" s="4440">
        <f t="shared" si="7"/>
        <v>1637.1710845501079</v>
      </c>
      <c r="AY49" s="4440">
        <f t="shared" si="7"/>
        <v>1640.2245184121791</v>
      </c>
      <c r="AZ49" s="4441">
        <f t="shared" ref="AZ49:BC49" si="13">AZ46+AZ47+AZ48</f>
        <v>1637.1710845501079</v>
      </c>
      <c r="BA49" s="3861">
        <f t="shared" si="13"/>
        <v>1634.6127872022728</v>
      </c>
      <c r="BB49" s="4440">
        <f t="shared" si="13"/>
        <v>1637.1710845501079</v>
      </c>
      <c r="BC49" s="4440">
        <f t="shared" si="13"/>
        <v>1671.6927566993895</v>
      </c>
      <c r="BD49" s="4446">
        <f t="shared" si="7"/>
        <v>1637.1710845501079</v>
      </c>
      <c r="BE49" s="4446">
        <f t="shared" si="7"/>
        <v>1649.6363985127909</v>
      </c>
      <c r="BF49" s="4444">
        <f t="shared" si="7"/>
        <v>1637.1710845501079</v>
      </c>
      <c r="BG49" s="4445">
        <f t="shared" si="7"/>
        <v>1645.9133820058921</v>
      </c>
      <c r="BH49" s="4441">
        <f t="shared" si="7"/>
        <v>1637.1710845501079</v>
      </c>
      <c r="BI49" s="3861">
        <f t="shared" si="7"/>
        <v>1638.2917288378487</v>
      </c>
    </row>
    <row r="50" spans="3:61" x14ac:dyDescent="0.25">
      <c r="C50" s="7427"/>
      <c r="D50" s="4479" t="s">
        <v>1459</v>
      </c>
      <c r="E50" s="4140" t="s">
        <v>49</v>
      </c>
      <c r="F50" s="4480">
        <v>0.7242055547698254</v>
      </c>
      <c r="G50" s="4481">
        <f>+'B-FCE'!D82</f>
        <v>0.5428135593220339</v>
      </c>
      <c r="H50" s="4482">
        <f>+'B-FCE'!E82</f>
        <v>0.53</v>
      </c>
      <c r="I50" s="4482">
        <f>+'B-FCE'!F82</f>
        <v>0.67656430326636097</v>
      </c>
      <c r="J50" s="4482">
        <f>+'B-FCE'!G82</f>
        <v>0.53</v>
      </c>
      <c r="K50" s="4482">
        <f>+'B-FCE'!H82</f>
        <v>0.660483227748908</v>
      </c>
      <c r="L50" s="3848">
        <f>+'B-FCE'!I82</f>
        <v>0.53</v>
      </c>
      <c r="M50" s="3848">
        <f>+'B-FCE'!J82</f>
        <v>0.66802975425634203</v>
      </c>
      <c r="N50" s="4482">
        <f>+'B-FCE'!K82</f>
        <v>0.8</v>
      </c>
      <c r="O50" s="4482">
        <f>+'B-FCE'!L82</f>
        <v>0.82446182416632663</v>
      </c>
      <c r="P50" s="4403">
        <f>+'B-FCE'!M82</f>
        <v>0.59086232980332831</v>
      </c>
      <c r="Q50" s="4447">
        <f>+'B-FCE'!N82</f>
        <v>0.70835449077767376</v>
      </c>
      <c r="R50" s="4482">
        <f>+'B-FCE'!O82</f>
        <v>0.8</v>
      </c>
      <c r="S50" s="4482">
        <f>+'B-FCE'!P82</f>
        <v>0.56939299431249313</v>
      </c>
      <c r="T50" s="4402">
        <f>+'B-FCE'!Q82</f>
        <v>0.61191836734693883</v>
      </c>
      <c r="U50" s="3848">
        <f>+'B-FCE'!R82</f>
        <v>0.66971630579241648</v>
      </c>
      <c r="V50" s="4482">
        <f>+'B-FCE'!S82</f>
        <v>0.55000000000000004</v>
      </c>
      <c r="W50" s="4482">
        <f>+'B-FCE'!T82</f>
        <v>0.68155759870357879</v>
      </c>
      <c r="X50" s="4402">
        <f>+'B-FCE'!U82</f>
        <v>0.5966769230769231</v>
      </c>
      <c r="Y50" s="3848">
        <f>+'B-FCE'!V82</f>
        <v>0.67225497855045968</v>
      </c>
      <c r="Z50" s="4482">
        <f>+'B-FCE'!W82</f>
        <v>0.55000000000000004</v>
      </c>
      <c r="AA50" s="4482">
        <f>+'B-FCE'!X82</f>
        <v>0.57478961611599855</v>
      </c>
      <c r="AB50" s="4403">
        <f>+'B-FCE'!Y82</f>
        <v>0.58388278388278392</v>
      </c>
      <c r="AC50" s="4403">
        <f>+'B-FCE'!Z82</f>
        <v>0.60831841201600978</v>
      </c>
      <c r="AD50" s="4406">
        <f>+'B-FCE'!AA82</f>
        <v>0.58770505385252692</v>
      </c>
      <c r="AE50" s="4407">
        <f>+'B-FCE'!AB82</f>
        <v>0.65502697937435483</v>
      </c>
      <c r="AF50" s="4482">
        <f>+'B-FCE'!AC82</f>
        <v>0.55000000000000004</v>
      </c>
      <c r="AG50" s="4482">
        <f>+'B-FCE'!AD82</f>
        <v>0.69457018105619173</v>
      </c>
      <c r="AH50" s="4402">
        <f>+'B-FCE'!AE82</f>
        <v>0.5812354152367879</v>
      </c>
      <c r="AI50" s="3848">
        <f>+'B-FCE'!AF82</f>
        <v>0.66080403955592948</v>
      </c>
      <c r="AJ50" s="4482">
        <f>+'B-FCE'!AG82</f>
        <v>0.55000000000000004</v>
      </c>
      <c r="AK50" s="4482">
        <f>+'B-FCE'!AH82</f>
        <v>1.1329131100865317</v>
      </c>
      <c r="AL50" s="4402">
        <f>+'B-FCE'!AI82</f>
        <v>0.5767863449087699</v>
      </c>
      <c r="AM50" s="3848">
        <f>+'B-FCE'!AJ82</f>
        <v>0.66318298077508764</v>
      </c>
      <c r="AN50" s="4482">
        <f>+'B-FCE'!AK82</f>
        <v>0.55000000000000004</v>
      </c>
      <c r="AO50" s="4482">
        <f>+'B-FCE'!AL82</f>
        <v>0.71038422835618731</v>
      </c>
      <c r="AP50" s="4403">
        <f>+'B-FCE'!AM82</f>
        <v>0.55000000000000004</v>
      </c>
      <c r="AQ50" s="4403">
        <f>+'B-FCE'!AN82</f>
        <v>0.70983288209054329</v>
      </c>
      <c r="AR50" s="4402">
        <f>+'B-FCE'!AO82</f>
        <v>0.57335043612108771</v>
      </c>
      <c r="AS50" s="3848">
        <f>+'B-FCE'!AP82</f>
        <v>0.66959559716643524</v>
      </c>
      <c r="AT50" s="4482">
        <f>+'B-FCE'!AQ82</f>
        <v>0.55000000000000004</v>
      </c>
      <c r="AU50" s="4482">
        <f>+'B-FCE'!AR82</f>
        <v>0.61304458497751468</v>
      </c>
      <c r="AV50" s="4402">
        <f>+'B-FCE'!AS82</f>
        <v>0.5706957708049113</v>
      </c>
      <c r="AW50" s="3848">
        <f>+'B-FCE'!AT82</f>
        <v>0.66272648646942778</v>
      </c>
      <c r="AX50" s="4482">
        <f>+'B-FCE'!AU82</f>
        <v>0.55000000000000004</v>
      </c>
      <c r="AY50" s="4482">
        <f>+'B-FCE'!AV82</f>
        <v>0.65020290632462296</v>
      </c>
      <c r="AZ50" s="4402">
        <f>+'B-FCE'!AW82</f>
        <v>0.56877475247524756</v>
      </c>
      <c r="BA50" s="3848">
        <f>+'B-FCE'!AX82</f>
        <v>0.66147364043768442</v>
      </c>
      <c r="BB50" s="4482">
        <f>+'B-FCE'!AY82</f>
        <v>0.55000000000000004</v>
      </c>
      <c r="BC50" s="4482">
        <f>+'B-FCE'!AZ82</f>
        <v>0.62914752668756546</v>
      </c>
      <c r="BD50" s="4405">
        <f>+'B-FCE'!BA82</f>
        <v>0.55000000000000004</v>
      </c>
      <c r="BE50" s="4405">
        <f>+'B-FCE'!BB82</f>
        <v>0.63023062315530776</v>
      </c>
      <c r="BF50" s="4406">
        <f>+'B-FCE'!BC82</f>
        <v>0.55000000000000004</v>
      </c>
      <c r="BG50" s="4407">
        <f>+'B-FCE'!BD82</f>
        <v>0.66181644650914628</v>
      </c>
      <c r="BH50" s="4402">
        <f>+'B-FCE'!BE82</f>
        <v>0.56701944652206437</v>
      </c>
      <c r="BI50" s="3848">
        <f>+'B-FCE'!BF82</f>
        <v>0.65826635932595301</v>
      </c>
    </row>
    <row r="51" spans="3:61" x14ac:dyDescent="0.25">
      <c r="C51" s="7427"/>
      <c r="D51" s="4479" t="s">
        <v>1460</v>
      </c>
      <c r="E51" s="4140" t="s">
        <v>49</v>
      </c>
      <c r="F51" s="4480">
        <v>3.8244802457396719E-2</v>
      </c>
      <c r="G51" s="4481">
        <f>+'B-FCE'!D83</f>
        <v>0.05</v>
      </c>
      <c r="H51" s="4471">
        <f>+'B-FCE'!E83</f>
        <v>0.05</v>
      </c>
      <c r="I51" s="4471">
        <f>+'B-FCE'!F83</f>
        <v>4.139445683669999E-2</v>
      </c>
      <c r="J51" s="4471">
        <f>+'B-FCE'!G83</f>
        <v>0.05</v>
      </c>
      <c r="K51" s="4471">
        <f>+'B-FCE'!H83</f>
        <v>4.23272247596422E-2</v>
      </c>
      <c r="L51" s="4472">
        <f>+'B-FCE'!I83</f>
        <v>0.05</v>
      </c>
      <c r="M51" s="4472">
        <f>+'B-FCE'!J83</f>
        <v>4.1889495464227357E-2</v>
      </c>
      <c r="N51" s="4471">
        <f>+'B-FCE'!K83</f>
        <v>0.05</v>
      </c>
      <c r="O51" s="4471">
        <f>+'B-FCE'!L83</f>
        <v>3.9794952500900045E-2</v>
      </c>
      <c r="P51" s="4403">
        <f>+'B-FCE'!M83</f>
        <v>0.05</v>
      </c>
      <c r="Q51" s="4447">
        <f>+'B-FCE'!N83</f>
        <v>4.1349568496711134E-2</v>
      </c>
      <c r="R51" s="4471">
        <f>+'B-FCE'!O83</f>
        <v>0.05</v>
      </c>
      <c r="S51" s="4471">
        <f>+'B-FCE'!P83</f>
        <v>4.019024741254866E-2</v>
      </c>
      <c r="T51" s="4402">
        <f>+'B-FCE'!Q83</f>
        <v>0.05</v>
      </c>
      <c r="U51" s="3848">
        <f>+'B-FCE'!R83</f>
        <v>4.1027219762373758E-2</v>
      </c>
      <c r="V51" s="4471">
        <f>+'B-FCE'!S83</f>
        <v>0.05</v>
      </c>
      <c r="W51" s="4471">
        <f>+'B-FCE'!T83</f>
        <v>3.9597716219994701E-2</v>
      </c>
      <c r="X51" s="4402">
        <f>+'B-FCE'!U83</f>
        <v>0.05</v>
      </c>
      <c r="Y51" s="3848">
        <f>+'B-FCE'!V83</f>
        <v>4.0720746328451442E-2</v>
      </c>
      <c r="Z51" s="4471">
        <f>+'B-FCE'!W83</f>
        <v>0.05</v>
      </c>
      <c r="AA51" s="4471">
        <f>+'B-FCE'!X83</f>
        <v>4.0452516375094477E-2</v>
      </c>
      <c r="AB51" s="4403">
        <f>+'B-FCE'!Y83</f>
        <v>0.05</v>
      </c>
      <c r="AC51" s="4403">
        <f>+'B-FCE'!Z83</f>
        <v>4.0081032775054849E-2</v>
      </c>
      <c r="AD51" s="4406">
        <f>+'B-FCE'!AA83</f>
        <v>0.05</v>
      </c>
      <c r="AE51" s="4407">
        <f>+'B-FCE'!AB83</f>
        <v>4.0673333942142939E-2</v>
      </c>
      <c r="AF51" s="4471">
        <f>+'B-FCE'!AC83</f>
        <v>0.05</v>
      </c>
      <c r="AG51" s="4471">
        <f>+'B-FCE'!AD83</f>
        <v>3.9479461045411814E-2</v>
      </c>
      <c r="AH51" s="4402">
        <f>+'B-FCE'!AE83</f>
        <v>0.05</v>
      </c>
      <c r="AI51" s="3848">
        <f>+'B-FCE'!AF83</f>
        <v>4.0498915198080174E-2</v>
      </c>
      <c r="AJ51" s="4471">
        <f>+'B-FCE'!AG83</f>
        <v>0.05</v>
      </c>
      <c r="AK51" s="4471">
        <f>+'B-FCE'!AH83</f>
        <v>6.1084637900644292E-2</v>
      </c>
      <c r="AL51" s="4402">
        <f>+'B-FCE'!AI83</f>
        <v>0.05</v>
      </c>
      <c r="AM51" s="3848">
        <f>+'B-FCE'!AJ83</f>
        <v>4.0602645940233148E-2</v>
      </c>
      <c r="AN51" s="4471">
        <f>+'B-FCE'!AK83</f>
        <v>0.05</v>
      </c>
      <c r="AO51" s="4471">
        <f>+'B-FCE'!AL83</f>
        <v>4.2552820200797807E-2</v>
      </c>
      <c r="AP51" s="4403">
        <f>+'B-FCE'!AM83</f>
        <v>0.05</v>
      </c>
      <c r="AQ51" s="4403">
        <f>+'B-FCE'!AN83</f>
        <v>4.1404111064966269E-2</v>
      </c>
      <c r="AR51" s="4402">
        <f>+'B-FCE'!AO83</f>
        <v>0.05</v>
      </c>
      <c r="AS51" s="3848">
        <f>+'B-FCE'!AP83</f>
        <v>4.0867590620091335E-2</v>
      </c>
      <c r="AT51" s="4471">
        <f>+'B-FCE'!AQ83</f>
        <v>0.05</v>
      </c>
      <c r="AU51" s="4471">
        <f>+'B-FCE'!AR83</f>
        <v>3.94219934940113E-2</v>
      </c>
      <c r="AV51" s="4402">
        <f>+'B-FCE'!AS83</f>
        <v>0.05</v>
      </c>
      <c r="AW51" s="3848">
        <f>+'B-FCE'!AT83</f>
        <v>4.0691997535229361E-2</v>
      </c>
      <c r="AX51" s="4482">
        <f>+'B-FCE'!AU83</f>
        <v>0.05</v>
      </c>
      <c r="AY51" s="4482">
        <f>+'B-FCE'!AV83</f>
        <v>4.0352792104928564E-2</v>
      </c>
      <c r="AZ51" s="4402">
        <f>+'B-FCE'!AW83</f>
        <v>0.05</v>
      </c>
      <c r="BA51" s="3848">
        <f>+'B-FCE'!AX83</f>
        <v>4.065806377408563E-2</v>
      </c>
      <c r="BB51" s="4482">
        <f>+'B-FCE'!AY83</f>
        <v>0.05</v>
      </c>
      <c r="BC51" s="4482">
        <f>+'B-FCE'!AZ83</f>
        <v>3.8488350930182491E-2</v>
      </c>
      <c r="BD51" s="4405">
        <f>+'B-FCE'!BA83</f>
        <v>0.05</v>
      </c>
      <c r="BE51" s="4405">
        <f>+'B-FCE'!BB83</f>
        <v>3.9391572417929809E-2</v>
      </c>
      <c r="BF51" s="4406">
        <f>+'B-FCE'!BC83</f>
        <v>0.05</v>
      </c>
      <c r="BG51" s="4407">
        <f>+'B-FCE'!BD83</f>
        <v>4.0190138828586387E-2</v>
      </c>
      <c r="BH51" s="4402">
        <f>+'B-FCE'!BE83</f>
        <v>0.05</v>
      </c>
      <c r="BI51" s="3848">
        <f>+'B-FCE'!BF83</f>
        <v>4.044279264449907E-2</v>
      </c>
    </row>
    <row r="52" spans="3:61" ht="15.75" thickBot="1" x14ac:dyDescent="0.3">
      <c r="C52" s="7424"/>
      <c r="D52" s="4368" t="s">
        <v>1060</v>
      </c>
      <c r="E52" s="4369" t="s">
        <v>242</v>
      </c>
      <c r="F52" s="4483">
        <v>413.76312883093829</v>
      </c>
      <c r="G52" s="4484">
        <f>+'B-FCE'!D81</f>
        <v>374</v>
      </c>
      <c r="H52" s="4485">
        <f>+'B-FCE'!E81</f>
        <v>374</v>
      </c>
      <c r="I52" s="4485">
        <f>+'B-FCE'!F81</f>
        <v>363.92550953983107</v>
      </c>
      <c r="J52" s="4485">
        <f>+'B-FCE'!G81</f>
        <v>374</v>
      </c>
      <c r="K52" s="4485">
        <f>+'B-FCE'!H81</f>
        <v>345.61695203825582</v>
      </c>
      <c r="L52" s="4486">
        <f>+'B-FCE'!I81</f>
        <v>374</v>
      </c>
      <c r="M52" s="4486">
        <f>+'B-FCE'!J81</f>
        <v>354.20879120651068</v>
      </c>
      <c r="N52" s="4485">
        <f>+'B-FCE'!K81</f>
        <v>374</v>
      </c>
      <c r="O52" s="4485">
        <f>+'B-FCE'!L81</f>
        <v>431.81690095398017</v>
      </c>
      <c r="P52" s="4488">
        <f>+'B-FCE'!M81</f>
        <v>375.35249621785169</v>
      </c>
      <c r="Q52" s="4489">
        <f>+'B-FCE'!N81</f>
        <v>374.21444976032342</v>
      </c>
      <c r="R52" s="4485">
        <f>+'B-FCE'!O81</f>
        <v>374</v>
      </c>
      <c r="S52" s="4485">
        <f>+'B-FCE'!P81</f>
        <v>391.22822874347389</v>
      </c>
      <c r="T52" s="4490">
        <f>+'B-FCE'!Q81</f>
        <v>375.82040816326531</v>
      </c>
      <c r="U52" s="4486">
        <f>+'B-FCE'!R81</f>
        <v>378.94512376982482</v>
      </c>
      <c r="V52" s="4485">
        <f>+'B-FCE'!S81</f>
        <v>374</v>
      </c>
      <c r="W52" s="4485">
        <f>+'B-FCE'!T81</f>
        <v>394.64163765643218</v>
      </c>
      <c r="X52" s="4490">
        <f>+'B-FCE'!U81</f>
        <v>376.84923076923076</v>
      </c>
      <c r="Y52" s="4486">
        <f>+'B-FCE'!V81</f>
        <v>382.31032320363101</v>
      </c>
      <c r="Z52" s="4485">
        <f>+'B-FCE'!W81</f>
        <v>374</v>
      </c>
      <c r="AA52" s="4485">
        <f>+'B-FCE'!X81</f>
        <v>374.1912623113173</v>
      </c>
      <c r="AB52" s="4488">
        <f>+'B-FCE'!Y81</f>
        <v>380</v>
      </c>
      <c r="AC52" s="4488">
        <f>+'B-FCE'!Z81</f>
        <v>386.70921910320413</v>
      </c>
      <c r="AD52" s="4491">
        <f>+'B-FCE'!AA81</f>
        <v>377.45484672742333</v>
      </c>
      <c r="AE52" s="4492">
        <f>+'B-FCE'!AB81</f>
        <v>380.87519619163663</v>
      </c>
      <c r="AF52" s="4485">
        <f>+'B-FCE'!AC81</f>
        <v>374</v>
      </c>
      <c r="AG52" s="4485">
        <f>+'B-FCE'!AD81</f>
        <v>375.79212169847528</v>
      </c>
      <c r="AH52" s="4490">
        <f>+'B-FCE'!AE81</f>
        <v>377.8915579958819</v>
      </c>
      <c r="AI52" s="4486">
        <f>+'B-FCE'!AF81</f>
        <v>380.13258492078677</v>
      </c>
      <c r="AJ52" s="4485">
        <f>+'B-FCE'!AG81</f>
        <v>374</v>
      </c>
      <c r="AK52" s="4485">
        <f>+'B-FCE'!AH81</f>
        <v>425.17589280300734</v>
      </c>
      <c r="AL52" s="4490">
        <f>+'B-FCE'!AI81</f>
        <v>378.19187757504415</v>
      </c>
      <c r="AM52" s="4486">
        <f>+'B-FCE'!AJ81</f>
        <v>380.35955658571964</v>
      </c>
      <c r="AN52" s="4485">
        <f>+'B-FCE'!AK81</f>
        <v>374</v>
      </c>
      <c r="AO52" s="4485">
        <f>+'B-FCE'!AL81</f>
        <v>389.56682883071267</v>
      </c>
      <c r="AP52" s="4488">
        <f>+'B-FCE'!AM81</f>
        <v>380</v>
      </c>
      <c r="AQ52" s="4488">
        <f>+'B-FCE'!AN81</f>
        <v>383.64107689010268</v>
      </c>
      <c r="AR52" s="4490">
        <f>+'B-FCE'!AO81</f>
        <v>378.42380708055413</v>
      </c>
      <c r="AS52" s="4486">
        <f>+'B-FCE'!AP81</f>
        <v>381.61042828813385</v>
      </c>
      <c r="AT52" s="4485">
        <f>+'B-FCE'!AQ81</f>
        <v>374</v>
      </c>
      <c r="AU52" s="4485">
        <f>+'B-FCE'!AR81</f>
        <v>405.53335556018931</v>
      </c>
      <c r="AV52" s="4490">
        <f>+'B-FCE'!AS81</f>
        <v>378.60300136425644</v>
      </c>
      <c r="AW52" s="4486">
        <f>+'B-FCE'!AT81</f>
        <v>384.51628672050339</v>
      </c>
      <c r="AX52" s="4485">
        <f>+'B-FCE'!AU81</f>
        <v>374</v>
      </c>
      <c r="AY52" s="4485">
        <f>+'B-FCE'!AV81</f>
        <v>363.15161753413679</v>
      </c>
      <c r="AZ52" s="4490">
        <f>+'B-FCE'!AW81</f>
        <v>378.73267326732673</v>
      </c>
      <c r="BA52" s="4486">
        <f>+'B-FCE'!AX81</f>
        <v>382.37898726618135</v>
      </c>
      <c r="BB52" s="4485">
        <f>+'B-FCE'!AY81</f>
        <v>374</v>
      </c>
      <c r="BC52" s="4485">
        <f>+'B-FCE'!AZ81</f>
        <v>388.34272372360977</v>
      </c>
      <c r="BD52" s="4446">
        <f>+'B-FCE'!BA81</f>
        <v>380</v>
      </c>
      <c r="BE52" s="4446">
        <f>+'B-FCE'!BB81</f>
        <v>386.33683457742154</v>
      </c>
      <c r="BF52" s="4444">
        <f>+'B-FCE'!BC81</f>
        <v>380</v>
      </c>
      <c r="BG52" s="4445">
        <f>+'B-FCE'!BD81</f>
        <v>385.26716988127663</v>
      </c>
      <c r="BH52" s="4441">
        <f>+'B-FCE'!BE81</f>
        <v>378.85115931189227</v>
      </c>
      <c r="BI52" s="3861">
        <f>+'B-FCE'!BF81</f>
        <v>382.97068781648909</v>
      </c>
    </row>
    <row r="53" spans="3:61" ht="15.75" thickBot="1" x14ac:dyDescent="0.3">
      <c r="C53" s="4493"/>
      <c r="D53" s="4494" t="s">
        <v>362</v>
      </c>
      <c r="E53" s="4495" t="s">
        <v>363</v>
      </c>
      <c r="F53" s="4496">
        <v>930.8611107215944</v>
      </c>
      <c r="G53" s="4497">
        <f>+'Maj Techno Summ'!D15</f>
        <v>871.29177755633066</v>
      </c>
      <c r="H53" s="4498">
        <f>+'Maj Techno Summ'!E15</f>
        <v>866.91251568708628</v>
      </c>
      <c r="I53" s="4498">
        <f>+'Maj Techno Summ'!F15</f>
        <v>848.82294100624927</v>
      </c>
      <c r="J53" s="4498">
        <f>+'Maj Techno Summ'!G15</f>
        <v>866.91251568708628</v>
      </c>
      <c r="K53" s="4498">
        <f>+'Maj Techno Summ'!H15</f>
        <v>836.726488959525</v>
      </c>
      <c r="L53" s="4499">
        <f>+'Maj Techno Summ'!I15</f>
        <v>866.91251568708617</v>
      </c>
      <c r="M53" s="4499">
        <f>+'Maj Techno Summ'!J15</f>
        <v>842.40311151610922</v>
      </c>
      <c r="N53" s="4498">
        <f>+'Maj Techno Summ'!K15</f>
        <v>918.52304191449321</v>
      </c>
      <c r="O53" s="4498">
        <f>+'Maj Techno Summ'!L15</f>
        <v>966.95282680626599</v>
      </c>
      <c r="P53" s="4500">
        <f>+'Maj Techno Summ'!M15</f>
        <v>880.73261912750058</v>
      </c>
      <c r="Q53" s="4501">
        <f>+'Maj Techno Summ'!N15</f>
        <v>874.50928038399229</v>
      </c>
      <c r="R53" s="4498">
        <f>+'Maj Techno Summ'!O15</f>
        <v>1076.9039529754427</v>
      </c>
      <c r="S53" s="4498">
        <f>+'Maj Techno Summ'!P15</f>
        <v>883.14642328614877</v>
      </c>
      <c r="T53" s="4502">
        <f>+'Maj Techno Summ'!Q15</f>
        <v>900.48320239926613</v>
      </c>
      <c r="U53" s="4499">
        <f>+'Maj Techno Summ'!R15</f>
        <v>876.91083429415221</v>
      </c>
      <c r="V53" s="4498">
        <f>+'Maj Techno Summ'!S15</f>
        <v>876.78258810480679</v>
      </c>
      <c r="W53" s="4498">
        <f>+'Maj Techno Summ'!T15</f>
        <v>908.50860040774546</v>
      </c>
      <c r="X53" s="4502">
        <f>+'Maj Techno Summ'!U15</f>
        <v>894.64920503447615</v>
      </c>
      <c r="Y53" s="4499">
        <f>+'Maj Techno Summ'!V15</f>
        <v>883.68512732527745</v>
      </c>
      <c r="Z53" s="4498">
        <f>+'Maj Techno Summ'!W15</f>
        <v>882.41812751169959</v>
      </c>
      <c r="AA53" s="4498">
        <f>+'Maj Techno Summ'!X15</f>
        <v>913.7326875694223</v>
      </c>
      <c r="AB53" s="4500">
        <f>+'Maj Techno Summ'!Y15</f>
        <v>915.86957773826725</v>
      </c>
      <c r="AC53" s="4500">
        <f>+'Maj Techno Summ'!Z15</f>
        <v>901.68528532835387</v>
      </c>
      <c r="AD53" s="4503">
        <f>+'Maj Techno Summ'!AA15</f>
        <v>896.62721680892457</v>
      </c>
      <c r="AE53" s="4504">
        <f>+'Maj Techno Summ'!AB15</f>
        <v>888.99634076767518</v>
      </c>
      <c r="AF53" s="4498">
        <f>+'Maj Techno Summ'!AC15</f>
        <v>882.68648653107562</v>
      </c>
      <c r="AG53" s="4498">
        <f>+'Maj Techno Summ'!AD15</f>
        <v>891.41530285112128</v>
      </c>
      <c r="AH53" s="4502">
        <f>+'Maj Techno Summ'!AE15</f>
        <v>894.23519033709044</v>
      </c>
      <c r="AI53" s="4499">
        <f>+'Maj Techno Summ'!AF15</f>
        <v>889.34973879663232</v>
      </c>
      <c r="AJ53" s="4498">
        <f>+'Maj Techno Summ'!AG15</f>
        <v>869.98415961395165</v>
      </c>
      <c r="AK53" s="4498">
        <f>+'Maj Techno Summ'!AH15</f>
        <v>1821.6956432768995</v>
      </c>
      <c r="AL53" s="4502">
        <f>+'Maj Techno Summ'!AI15</f>
        <v>890.78095288270583</v>
      </c>
      <c r="AM53" s="4499">
        <f>+'Maj Techno Summ'!AJ15</f>
        <v>894.04779744691098</v>
      </c>
      <c r="AN53" s="4498">
        <f>+'Maj Techno Summ'!AK15</f>
        <v>869.98415961395165</v>
      </c>
      <c r="AO53" s="4498">
        <f>+'Maj Techno Summ'!AL15</f>
        <v>880.90898319828568</v>
      </c>
      <c r="AP53" s="4500">
        <f>+'Maj Techno Summ'!AM15</f>
        <v>883.49537384954363</v>
      </c>
      <c r="AQ53" s="4500">
        <f>+'Maj Techno Summ'!AN15</f>
        <v>901.28447744134314</v>
      </c>
      <c r="AR53" s="4502">
        <f>+'Maj Techno Summ'!AO15</f>
        <v>891.62781841186938</v>
      </c>
      <c r="AS53" s="4499">
        <f>+'Maj Techno Summ'!AP15</f>
        <v>892.26279853414201</v>
      </c>
      <c r="AT53" s="4498">
        <f>+'Maj Techno Summ'!AQ15</f>
        <v>869.98415961395165</v>
      </c>
      <c r="AU53" s="4498">
        <f>+'Maj Techno Summ'!AR15</f>
        <v>839.50234176485299</v>
      </c>
      <c r="AV53" s="4502">
        <f>+'Maj Techno Summ'!AS15</f>
        <v>889.16719326431166</v>
      </c>
      <c r="AW53" s="4499">
        <f>+'Maj Techno Summ'!AT15</f>
        <v>885.85411716939132</v>
      </c>
      <c r="AX53" s="4498">
        <f>+'Maj Techno Summ'!AU15</f>
        <v>869.98415961395165</v>
      </c>
      <c r="AY53" s="4498">
        <f>+'Maj Techno Summ'!AV15</f>
        <v>833.03361977916063</v>
      </c>
      <c r="AZ53" s="4502">
        <f>+'Maj Techno Summ'!AW15</f>
        <v>887.38658989330054</v>
      </c>
      <c r="BA53" s="4499">
        <f>+'Maj Techno Summ'!AX15</f>
        <v>880.57000912800879</v>
      </c>
      <c r="BB53" s="4498">
        <f>+'Maj Techno Summ'!AY15</f>
        <v>869.98415961395165</v>
      </c>
      <c r="BC53" s="4498">
        <f>+'Maj Techno Summ'!AZ15</f>
        <v>821.74730547663194</v>
      </c>
      <c r="BD53" s="4446">
        <f>+'Maj Techno Summ'!BA15</f>
        <v>879.17042362526865</v>
      </c>
      <c r="BE53" s="4446">
        <f>+'Maj Techno Summ'!BB15</f>
        <v>831.35602378652857</v>
      </c>
      <c r="BF53" s="4444">
        <f>+'Maj Techno Summ'!BC15</f>
        <v>881.35795809453384</v>
      </c>
      <c r="BG53" s="4445">
        <f>+'Maj Techno Summ'!BD15</f>
        <v>859.10332410303215</v>
      </c>
      <c r="BH53" s="4441">
        <f>+'Maj Techno Summ'!BE15</f>
        <v>888.2502525104909</v>
      </c>
      <c r="BI53" s="3861">
        <f>+'Maj Techno Summ'!BF15</f>
        <v>874.7338313610062</v>
      </c>
    </row>
    <row r="54" spans="3:61" x14ac:dyDescent="0.25">
      <c r="C54" s="7422" t="s">
        <v>1066</v>
      </c>
      <c r="D54" s="4365" t="s">
        <v>364</v>
      </c>
      <c r="E54" s="4366" t="s">
        <v>271</v>
      </c>
      <c r="F54" s="4505">
        <v>1062.9741019163143</v>
      </c>
      <c r="G54" s="4506">
        <f>+'Maj Techno Summ'!D16</f>
        <v>1059</v>
      </c>
      <c r="H54" s="4507">
        <f>+'Maj Techno Summ'!E16</f>
        <v>1059</v>
      </c>
      <c r="I54" s="4507">
        <f>+'Maj Techno Summ'!F16</f>
        <v>1059.7699014587963</v>
      </c>
      <c r="J54" s="4507">
        <f>+'Maj Techno Summ'!G16</f>
        <v>1059</v>
      </c>
      <c r="K54" s="4507">
        <f>+'Maj Techno Summ'!H16</f>
        <v>1067.8204683947631</v>
      </c>
      <c r="L54" s="4508">
        <f>+'Maj Techno Summ'!I16</f>
        <v>1059</v>
      </c>
      <c r="M54" s="4508">
        <f>+'Maj Techno Summ'!J16</f>
        <v>1064.0639073340274</v>
      </c>
      <c r="N54" s="4507">
        <f>+'Maj Techno Summ'!K16</f>
        <v>1059</v>
      </c>
      <c r="O54" s="4507">
        <f>+'Maj Techno Summ'!L16</f>
        <v>1063.7513957375388</v>
      </c>
      <c r="P54" s="4509">
        <f>+'Maj Techno Summ'!M16</f>
        <v>1059</v>
      </c>
      <c r="Q54" s="4510">
        <f>+'Maj Techno Summ'!N16</f>
        <v>1063.9872534860262</v>
      </c>
      <c r="R54" s="4507">
        <f>+'Maj Techno Summ'!O16</f>
        <v>1059</v>
      </c>
      <c r="S54" s="4507">
        <f>+'Maj Techno Summ'!P16</f>
        <v>1058.7751638501916</v>
      </c>
      <c r="T54" s="4511">
        <f>+'Maj Techno Summ'!Q16</f>
        <v>1059</v>
      </c>
      <c r="U54" s="4508">
        <f>+'Maj Techno Summ'!R16</f>
        <v>1062.5009180894015</v>
      </c>
      <c r="V54" s="4507">
        <f>+'Maj Techno Summ'!S16</f>
        <v>1059</v>
      </c>
      <c r="W54" s="4507">
        <f>+'Maj Techno Summ'!T16</f>
        <v>1052.5995067316871</v>
      </c>
      <c r="X54" s="4511">
        <f>+'Maj Techno Summ'!U16</f>
        <v>1059</v>
      </c>
      <c r="Y54" s="4508">
        <f>+'Maj Techno Summ'!V16</f>
        <v>1060.3257638225334</v>
      </c>
      <c r="Z54" s="4507">
        <f>+'Maj Techno Summ'!W16</f>
        <v>1059</v>
      </c>
      <c r="AA54" s="4507">
        <f>+'Maj Techno Summ'!X16</f>
        <v>1057.3295599496691</v>
      </c>
      <c r="AB54" s="4509">
        <f>+'Maj Techno Summ'!Y16</f>
        <v>1059</v>
      </c>
      <c r="AC54" s="4509">
        <f>+'Maj Techno Summ'!Z16</f>
        <v>1056.2452692460481</v>
      </c>
      <c r="AD54" s="4512">
        <f>+'Maj Techno Summ'!AA16</f>
        <v>1059</v>
      </c>
      <c r="AE54" s="4513">
        <f>+'Maj Techno Summ'!AB16</f>
        <v>1059.7865806686557</v>
      </c>
      <c r="AF54" s="4507">
        <f>+'Maj Techno Summ'!AC16</f>
        <v>1059</v>
      </c>
      <c r="AG54" s="4507">
        <f>+'Maj Techno Summ'!AD16</f>
        <v>1061.2178015467862</v>
      </c>
      <c r="AH54" s="4511">
        <f>+'Maj Techno Summ'!AE16</f>
        <v>1059</v>
      </c>
      <c r="AI54" s="4508">
        <f>+'Maj Techno Summ'!AF16</f>
        <v>1059.9975087641083</v>
      </c>
      <c r="AJ54" s="4507">
        <f>+'Maj Techno Summ'!AG16</f>
        <v>1059</v>
      </c>
      <c r="AK54" s="4507">
        <f>+'Maj Techno Summ'!AH16</f>
        <v>1058.374291115312</v>
      </c>
      <c r="AL54" s="4511">
        <f>+'Maj Techno Summ'!AI16</f>
        <v>1059</v>
      </c>
      <c r="AM54" s="4508">
        <f>+'Maj Techno Summ'!AJ16</f>
        <v>1059.9890081895753</v>
      </c>
      <c r="AN54" s="4507">
        <f>+'Maj Techno Summ'!AK16</f>
        <v>1059</v>
      </c>
      <c r="AO54" s="4507">
        <f>+'Maj Techno Summ'!AL16</f>
        <v>1061.5576980377132</v>
      </c>
      <c r="AP54" s="4509">
        <f>+'Maj Techno Summ'!AM16</f>
        <v>1059</v>
      </c>
      <c r="AQ54" s="4509">
        <f>+'Maj Techno Summ'!AN16</f>
        <v>1061.3410021010616</v>
      </c>
      <c r="AR54" s="4511">
        <f>+'Maj Techno Summ'!AO16</f>
        <v>1059</v>
      </c>
      <c r="AS54" s="4508">
        <f>+'Maj Techno Summ'!AP16</f>
        <v>1060.1995801500329</v>
      </c>
      <c r="AT54" s="4507">
        <f>+'Maj Techno Summ'!AQ16</f>
        <v>1059</v>
      </c>
      <c r="AU54" s="4507">
        <f>+'Maj Techno Summ'!AR16</f>
        <v>1062.3569338318973</v>
      </c>
      <c r="AV54" s="4511">
        <f>+'Maj Techno Summ'!AS16</f>
        <v>1059</v>
      </c>
      <c r="AW54" s="4508">
        <f>+'Maj Techno Summ'!AT16</f>
        <v>1060.465484480678</v>
      </c>
      <c r="AX54" s="4507">
        <f>+'Maj Techno Summ'!AU16</f>
        <v>1059</v>
      </c>
      <c r="AY54" s="4507">
        <f>+'Maj Techno Summ'!AV16</f>
        <v>1061.4913748626034</v>
      </c>
      <c r="AZ54" s="4511">
        <f>+'Maj Techno Summ'!AW16</f>
        <v>1059</v>
      </c>
      <c r="BA54" s="4508">
        <f>+'Maj Techno Summ'!AX16</f>
        <v>1060.5685296275403</v>
      </c>
      <c r="BB54" s="4507">
        <f>+'Maj Techno Summ'!AY16</f>
        <v>1059</v>
      </c>
      <c r="BC54" s="4507">
        <f>+'Maj Techno Summ'!AZ16</f>
        <v>1057.0891431809223</v>
      </c>
      <c r="BD54" s="4446">
        <f>+'Maj Techno Summ'!BA16</f>
        <v>1059</v>
      </c>
      <c r="BE54" s="4446">
        <f>+'Maj Techno Summ'!BB16</f>
        <v>1060.2854438045888</v>
      </c>
      <c r="BF54" s="4444">
        <f>+'Maj Techno Summ'!BC16</f>
        <v>1059</v>
      </c>
      <c r="BG54" s="4445">
        <f>+'Maj Techno Summ'!BD16</f>
        <v>1060.7022947116322</v>
      </c>
      <c r="BH54" s="4441">
        <f>+'Maj Techno Summ'!BE16</f>
        <v>1059</v>
      </c>
      <c r="BI54" s="3861">
        <f>+'Maj Techno Summ'!BF16</f>
        <v>1060.2244221232856</v>
      </c>
    </row>
    <row r="55" spans="3:61" x14ac:dyDescent="0.25">
      <c r="C55" s="7423"/>
      <c r="D55" s="4466" t="s">
        <v>365</v>
      </c>
      <c r="E55" s="4140" t="s">
        <v>271</v>
      </c>
      <c r="F55" s="4467">
        <v>38.506404738512508</v>
      </c>
      <c r="G55" s="4468">
        <f>+'Maj Techno Summ'!D17</f>
        <v>38</v>
      </c>
      <c r="H55" s="4440">
        <f>+'Maj Techno Summ'!E17</f>
        <v>38</v>
      </c>
      <c r="I55" s="4440">
        <f>+'Maj Techno Summ'!F17</f>
        <v>37.174669114095252</v>
      </c>
      <c r="J55" s="4440">
        <f>+'Maj Techno Summ'!G17</f>
        <v>38</v>
      </c>
      <c r="K55" s="4440">
        <f>+'Maj Techno Summ'!H17</f>
        <v>28.189893423710473</v>
      </c>
      <c r="L55" s="3861">
        <f>+'Maj Techno Summ'!I17</f>
        <v>38</v>
      </c>
      <c r="M55" s="3861">
        <f>+'Maj Techno Summ'!J17</f>
        <v>32.382375613648342</v>
      </c>
      <c r="N55" s="4440">
        <f>+'Maj Techno Summ'!K17</f>
        <v>38</v>
      </c>
      <c r="O55" s="4440">
        <f>+'Maj Techno Summ'!L17</f>
        <v>36.038810172759362</v>
      </c>
      <c r="P55" s="4442">
        <f>+'Maj Techno Summ'!M17</f>
        <v>38</v>
      </c>
      <c r="Q55" s="4443">
        <f>+'Maj Techno Summ'!N17</f>
        <v>33.279237624756099</v>
      </c>
      <c r="R55" s="4440">
        <f>+'Maj Techno Summ'!O17</f>
        <v>38</v>
      </c>
      <c r="S55" s="4440">
        <f>+'Maj Techno Summ'!P17</f>
        <v>38.350112786924392</v>
      </c>
      <c r="T55" s="4441">
        <f>+'Maj Techno Summ'!Q17</f>
        <v>38</v>
      </c>
      <c r="U55" s="3861">
        <f>+'Maj Techno Summ'!R17</f>
        <v>34.725302787100539</v>
      </c>
      <c r="V55" s="4440">
        <f>+'Maj Techno Summ'!S17</f>
        <v>38</v>
      </c>
      <c r="W55" s="4440">
        <f>+'Maj Techno Summ'!T17</f>
        <v>44.128076987866976</v>
      </c>
      <c r="X55" s="4441">
        <f>+'Maj Techno Summ'!U17</f>
        <v>38</v>
      </c>
      <c r="Y55" s="3861">
        <f>+'Maj Techno Summ'!V17</f>
        <v>36.790915827938178</v>
      </c>
      <c r="Z55" s="4440">
        <f>+'Maj Techno Summ'!W17</f>
        <v>38</v>
      </c>
      <c r="AA55" s="4440">
        <f>+'Maj Techno Summ'!X17</f>
        <v>36.786599155096447</v>
      </c>
      <c r="AB55" s="4442">
        <f>+'Maj Techno Summ'!Y17</f>
        <v>38</v>
      </c>
      <c r="AC55" s="4442">
        <f>+'Maj Techno Summ'!Z17</f>
        <v>39.74994944779786</v>
      </c>
      <c r="AD55" s="4444">
        <f>+'Maj Techno Summ'!AA17</f>
        <v>38</v>
      </c>
      <c r="AE55" s="4445">
        <f>+'Maj Techno Summ'!AB17</f>
        <v>36.790139019224277</v>
      </c>
      <c r="AF55" s="4440">
        <f>+'Maj Techno Summ'!AC17</f>
        <v>38</v>
      </c>
      <c r="AG55" s="4440">
        <f>+'Maj Techno Summ'!AD17</f>
        <v>34.008139084713108</v>
      </c>
      <c r="AH55" s="4441">
        <f>+'Maj Techno Summ'!AE17</f>
        <v>38</v>
      </c>
      <c r="AI55" s="3861">
        <f>+'Maj Techno Summ'!AF17</f>
        <v>36.380138049630993</v>
      </c>
      <c r="AJ55" s="4440">
        <f>+'Maj Techno Summ'!AG17</f>
        <v>38</v>
      </c>
      <c r="AK55" s="4440">
        <f>+'Maj Techno Summ'!AH17</f>
        <v>41.109010712035285</v>
      </c>
      <c r="AL55" s="4441">
        <f>+'Maj Techno Summ'!AI17</f>
        <v>38</v>
      </c>
      <c r="AM55" s="3861">
        <f>+'Maj Techno Summ'!AJ17</f>
        <v>36.404902525641504</v>
      </c>
      <c r="AN55" s="4440">
        <f>+'Maj Techno Summ'!AK17</f>
        <v>38</v>
      </c>
      <c r="AO55" s="4440">
        <f>+'Maj Techno Summ'!AL17</f>
        <v>37.65462052526285</v>
      </c>
      <c r="AP55" s="4442">
        <f>+'Maj Techno Summ'!AM17</f>
        <v>38</v>
      </c>
      <c r="AQ55" s="4442">
        <f>+'Maj Techno Summ'!AN17</f>
        <v>35.971595882177105</v>
      </c>
      <c r="AR55" s="4441">
        <f>+'Maj Techno Summ'!AO17</f>
        <v>38</v>
      </c>
      <c r="AS55" s="3861">
        <f>+'Maj Techno Summ'!AP17</f>
        <v>36.57265752801618</v>
      </c>
      <c r="AT55" s="4440">
        <f>+'Maj Techno Summ'!AQ17</f>
        <v>38</v>
      </c>
      <c r="AU55" s="4440">
        <f>+'Maj Techno Summ'!AR17</f>
        <v>37.524386278653878</v>
      </c>
      <c r="AV55" s="4441">
        <f>+'Maj Techno Summ'!AS17</f>
        <v>38</v>
      </c>
      <c r="AW55" s="3861">
        <f>+'Maj Techno Summ'!AT17</f>
        <v>36.689962723970524</v>
      </c>
      <c r="AX55" s="4440">
        <f>+'Maj Techno Summ'!AU17</f>
        <v>38</v>
      </c>
      <c r="AY55" s="4440">
        <f>+'Maj Techno Summ'!AV17</f>
        <v>35.703806725139643</v>
      </c>
      <c r="AZ55" s="4441">
        <f>+'Maj Techno Summ'!AW17</f>
        <v>38</v>
      </c>
      <c r="BA55" s="3861">
        <f>+'Maj Techno Summ'!AX17</f>
        <v>36.59090868123964</v>
      </c>
      <c r="BB55" s="4440">
        <f>+'Maj Techno Summ'!AY17</f>
        <v>38</v>
      </c>
      <c r="BC55" s="4440">
        <f>+'Maj Techno Summ'!AZ17</f>
        <v>38.362238864800943</v>
      </c>
      <c r="BD55" s="4446">
        <f>+'Maj Techno Summ'!BA17</f>
        <v>38</v>
      </c>
      <c r="BE55" s="4446">
        <f>+'Maj Techno Summ'!BB17</f>
        <v>37.241240892816293</v>
      </c>
      <c r="BF55" s="4444">
        <f>+'Maj Techno Summ'!BC17</f>
        <v>38</v>
      </c>
      <c r="BG55" s="4445">
        <f>+'Maj Techno Summ'!BD17</f>
        <v>36.739844924373031</v>
      </c>
      <c r="BH55" s="4441">
        <f>+'Maj Techno Summ'!BE17</f>
        <v>38</v>
      </c>
      <c r="BI55" s="3861">
        <f>+'Maj Techno Summ'!BF17</f>
        <v>36.766091294044259</v>
      </c>
    </row>
    <row r="56" spans="3:61" x14ac:dyDescent="0.25">
      <c r="C56" s="7423"/>
      <c r="D56" s="4466" t="s">
        <v>288</v>
      </c>
      <c r="E56" s="4140" t="s">
        <v>271</v>
      </c>
      <c r="F56" s="4467">
        <v>1101.4805066548267</v>
      </c>
      <c r="G56" s="4468">
        <f>+'Maj Techno Summ'!D18</f>
        <v>1097</v>
      </c>
      <c r="H56" s="4440">
        <f>+'Maj Techno Summ'!E18</f>
        <v>1097</v>
      </c>
      <c r="I56" s="4440">
        <f>+'Maj Techno Summ'!F18</f>
        <v>1096.9445705728915</v>
      </c>
      <c r="J56" s="4440">
        <f>+'Maj Techno Summ'!G18</f>
        <v>1097</v>
      </c>
      <c r="K56" s="4440">
        <f>+'Maj Techno Summ'!H18</f>
        <v>1096.0103618184735</v>
      </c>
      <c r="L56" s="3861">
        <f>+'Maj Techno Summ'!I18</f>
        <v>1097</v>
      </c>
      <c r="M56" s="3861">
        <f>+'Maj Techno Summ'!J18</f>
        <v>1096.4462829476756</v>
      </c>
      <c r="N56" s="4440">
        <f>+'Maj Techno Summ'!K18</f>
        <v>1097</v>
      </c>
      <c r="O56" s="4440">
        <f>+'Maj Techno Summ'!L18</f>
        <v>1099.7902059102983</v>
      </c>
      <c r="P56" s="4442">
        <f>+'Maj Techno Summ'!M18</f>
        <v>1097</v>
      </c>
      <c r="Q56" s="4443">
        <f>+'Maj Techno Summ'!N18</f>
        <v>1097.2664911107825</v>
      </c>
      <c r="R56" s="4440">
        <f>+'Maj Techno Summ'!O18</f>
        <v>1097</v>
      </c>
      <c r="S56" s="4440">
        <f>+'Maj Techno Summ'!P18</f>
        <v>1097.125276637116</v>
      </c>
      <c r="T56" s="4441">
        <f>+'Maj Techno Summ'!Q18</f>
        <v>1097</v>
      </c>
      <c r="U56" s="3861">
        <f>+'Maj Techno Summ'!R18</f>
        <v>1097.2262208765021</v>
      </c>
      <c r="V56" s="4440">
        <f>+'Maj Techno Summ'!S18</f>
        <v>1097</v>
      </c>
      <c r="W56" s="4440">
        <f>+'Maj Techno Summ'!T18</f>
        <v>1096.7275837195541</v>
      </c>
      <c r="X56" s="4441">
        <f>+'Maj Techno Summ'!U18</f>
        <v>1097</v>
      </c>
      <c r="Y56" s="3861">
        <f>+'Maj Techno Summ'!V18</f>
        <v>1097.1166796504715</v>
      </c>
      <c r="Z56" s="4440">
        <f>+'Maj Techno Summ'!W18</f>
        <v>1097</v>
      </c>
      <c r="AA56" s="4440">
        <f>+'Maj Techno Summ'!X18</f>
        <v>1094.1161591047655</v>
      </c>
      <c r="AB56" s="4442">
        <f>+'Maj Techno Summ'!Y18</f>
        <v>1097</v>
      </c>
      <c r="AC56" s="4442">
        <f>+'Maj Techno Summ'!Z18</f>
        <v>1095.995218693846</v>
      </c>
      <c r="AD56" s="4444">
        <f>+'Maj Techno Summ'!AA18</f>
        <v>1097</v>
      </c>
      <c r="AE56" s="4445">
        <f>+'Maj Techno Summ'!AB18</f>
        <v>1096.5767196878799</v>
      </c>
      <c r="AF56" s="4440">
        <f>+'Maj Techno Summ'!AC18</f>
        <v>1097</v>
      </c>
      <c r="AG56" s="4440">
        <f>+'Maj Techno Summ'!AD18</f>
        <v>1095.2259406314993</v>
      </c>
      <c r="AH56" s="4441">
        <f>+'Maj Techno Summ'!AE18</f>
        <v>1097</v>
      </c>
      <c r="AI56" s="3861">
        <f>+'Maj Techno Summ'!AF18</f>
        <v>1096.3776468137391</v>
      </c>
      <c r="AJ56" s="4440">
        <f>+'Maj Techno Summ'!AG18</f>
        <v>1097</v>
      </c>
      <c r="AK56" s="4440">
        <f>+'Maj Techno Summ'!AH18</f>
        <v>1099.4833018273473</v>
      </c>
      <c r="AL56" s="4441">
        <f>+'Maj Techno Summ'!AI18</f>
        <v>1097</v>
      </c>
      <c r="AM56" s="3861">
        <f>+'Maj Techno Summ'!AJ18</f>
        <v>1096.3939107152169</v>
      </c>
      <c r="AN56" s="4440">
        <f>+'Maj Techno Summ'!AK18</f>
        <v>1097</v>
      </c>
      <c r="AO56" s="4440">
        <f>+'Maj Techno Summ'!AL18</f>
        <v>1099.212318562976</v>
      </c>
      <c r="AP56" s="4442">
        <f>+'Maj Techno Summ'!AM18</f>
        <v>1097</v>
      </c>
      <c r="AQ56" s="4442">
        <f>+'Maj Techno Summ'!AN18</f>
        <v>1097.3125979832387</v>
      </c>
      <c r="AR56" s="4441">
        <f>+'Maj Techno Summ'!AO18</f>
        <v>1097</v>
      </c>
      <c r="AS56" s="3861">
        <f>+'Maj Techno Summ'!AP18</f>
        <v>1096.7722376780491</v>
      </c>
      <c r="AT56" s="4440">
        <f>+'Maj Techno Summ'!AQ18</f>
        <v>1097</v>
      </c>
      <c r="AU56" s="4440">
        <f>+'Maj Techno Summ'!AR18</f>
        <v>1099.8813201105513</v>
      </c>
      <c r="AV56" s="4441">
        <f>+'Maj Techno Summ'!AS18</f>
        <v>1097</v>
      </c>
      <c r="AW56" s="3861">
        <f>+'Maj Techno Summ'!AT18</f>
        <v>1097.1554472046485</v>
      </c>
      <c r="AX56" s="4440">
        <f>+'Maj Techno Summ'!AU18</f>
        <v>1097</v>
      </c>
      <c r="AY56" s="4440">
        <f>+'Maj Techno Summ'!AV18</f>
        <v>1097.195181587743</v>
      </c>
      <c r="AZ56" s="4441">
        <f>+'Maj Techno Summ'!AW18</f>
        <v>1097</v>
      </c>
      <c r="BA56" s="3861">
        <f>+'Maj Techno Summ'!AX18</f>
        <v>1097.15943830878</v>
      </c>
      <c r="BB56" s="4440">
        <f>+'Maj Techno Summ'!AY18</f>
        <v>1097</v>
      </c>
      <c r="BC56" s="4440">
        <f>+'Maj Techno Summ'!AZ18</f>
        <v>1095.4513820457232</v>
      </c>
      <c r="BD56" s="4446">
        <f>+'Maj Techno Summ'!BA18</f>
        <v>1097</v>
      </c>
      <c r="BE56" s="4446">
        <f>+'Maj Techno Summ'!BB18</f>
        <v>1097.526684697405</v>
      </c>
      <c r="BF56" s="4444">
        <f>+'Maj Techno Summ'!BC18</f>
        <v>1097</v>
      </c>
      <c r="BG56" s="4445">
        <f>+'Maj Techno Summ'!BD18</f>
        <v>1097.4421396360053</v>
      </c>
      <c r="BH56" s="4441">
        <f>+'Maj Techno Summ'!BE18</f>
        <v>1097</v>
      </c>
      <c r="BI56" s="3861">
        <f>+'Maj Techno Summ'!BF18</f>
        <v>1096.99051341733</v>
      </c>
    </row>
    <row r="57" spans="3:61" x14ac:dyDescent="0.25">
      <c r="C57" s="7423"/>
      <c r="D57" s="4466" t="str">
        <f>+'Maj Techno Summ'!B19</f>
        <v>Ferro Alloys (FeMn+LCFeMn+SiMn+FeSi)</v>
      </c>
      <c r="E57" s="4140" t="s">
        <v>271</v>
      </c>
      <c r="F57" s="4514">
        <v>22.930617482833931</v>
      </c>
      <c r="G57" s="4515">
        <f>+'Maj Techno Summ'!D19</f>
        <v>22.017291674197072</v>
      </c>
      <c r="H57" s="4393">
        <f>+'Maj Techno Summ'!E19</f>
        <v>22.017291674197072</v>
      </c>
      <c r="I57" s="4393">
        <f>+'Maj Techno Summ'!F19</f>
        <v>20.62119601970824</v>
      </c>
      <c r="J57" s="4393">
        <f>+'Maj Techno Summ'!G19</f>
        <v>22.017291674197072</v>
      </c>
      <c r="K57" s="4393">
        <f>+'Maj Techno Summ'!H19</f>
        <v>19.422070842383725</v>
      </c>
      <c r="L57" s="3847">
        <f>+'Maj Techno Summ'!I19</f>
        <v>22.017291674197072</v>
      </c>
      <c r="M57" s="3847">
        <f>+'Maj Techno Summ'!J19</f>
        <v>19.981607454390545</v>
      </c>
      <c r="N57" s="4393">
        <f>+'Maj Techno Summ'!K19</f>
        <v>22.017291674197072</v>
      </c>
      <c r="O57" s="4393">
        <f>+'Maj Techno Summ'!L19</f>
        <v>17.594962167710435</v>
      </c>
      <c r="P57" s="4442">
        <f>+'Maj Techno Summ'!M19</f>
        <v>22.017291674197072</v>
      </c>
      <c r="Q57" s="4443">
        <f>+'Maj Techno Summ'!N19</f>
        <v>19.396203433886711</v>
      </c>
      <c r="R57" s="4393">
        <f>+'Maj Techno Summ'!O19</f>
        <v>22.017291674197072</v>
      </c>
      <c r="S57" s="4393">
        <f>+'Maj Techno Summ'!P19</f>
        <v>19.65963507353537</v>
      </c>
      <c r="T57" s="4441">
        <f>+'Maj Techno Summ'!Q19</f>
        <v>22.017291674197072</v>
      </c>
      <c r="U57" s="3861">
        <f>+'Maj Techno Summ'!R19</f>
        <v>19.471326426382607</v>
      </c>
      <c r="V57" s="4393">
        <f>+'Maj Techno Summ'!S19</f>
        <v>22.017291674197072</v>
      </c>
      <c r="W57" s="4393">
        <f>+'Maj Techno Summ'!T19</f>
        <v>21.190668503824774</v>
      </c>
      <c r="X57" s="4441">
        <f>+'Maj Techno Summ'!U19</f>
        <v>22.017291674197072</v>
      </c>
      <c r="Y57" s="3861">
        <f>+'Maj Techno Summ'!V19</f>
        <v>19.849033615877381</v>
      </c>
      <c r="Z57" s="4393">
        <f>+'Maj Techno Summ'!W19</f>
        <v>22.017291674197072</v>
      </c>
      <c r="AA57" s="4393">
        <f>+'Maj Techno Summ'!X19</f>
        <v>20.579528600893333</v>
      </c>
      <c r="AB57" s="4442">
        <f>+'Maj Techno Summ'!Y19</f>
        <v>22.017291674197072</v>
      </c>
      <c r="AC57" s="4442">
        <f>+'Maj Techno Summ'!Z19</f>
        <v>20.473063922363295</v>
      </c>
      <c r="AD57" s="4444">
        <f>+'Maj Techno Summ'!AA19</f>
        <v>22.017291674197072</v>
      </c>
      <c r="AE57" s="4445">
        <f>+'Maj Techno Summ'!AB19</f>
        <v>19.980490154426032</v>
      </c>
      <c r="AF57" s="4393">
        <f>+'Maj Techno Summ'!AC19</f>
        <v>22.017291674197072</v>
      </c>
      <c r="AG57" s="4393">
        <f>+'Maj Techno Summ'!AD19</f>
        <v>19.519397851785826</v>
      </c>
      <c r="AH57" s="4441">
        <f>+'Maj Techno Summ'!AE19</f>
        <v>22.017291674197072</v>
      </c>
      <c r="AI57" s="3861">
        <f>+'Maj Techno Summ'!AF19</f>
        <v>19.912536058234547</v>
      </c>
      <c r="AJ57" s="4393">
        <f>+'Maj Techno Summ'!AG19</f>
        <v>22.017291674197072</v>
      </c>
      <c r="AK57" s="4393">
        <f>+'Maj Techno Summ'!AH19</f>
        <v>17.643352236925015</v>
      </c>
      <c r="AL57" s="4441">
        <f>+'Maj Techno Summ'!AI19</f>
        <v>22.017291674197072</v>
      </c>
      <c r="AM57" s="3861">
        <f>+'Maj Techno Summ'!AJ19</f>
        <v>19.900652644931196</v>
      </c>
      <c r="AN57" s="4393">
        <f>+'Maj Techno Summ'!AK19</f>
        <v>22.017291674197072</v>
      </c>
      <c r="AO57" s="4393">
        <f>+'Maj Techno Summ'!AL19</f>
        <v>21.325501213127318</v>
      </c>
      <c r="AP57" s="4442">
        <f>+'Maj Techno Summ'!AM19</f>
        <v>22.017291674197072</v>
      </c>
      <c r="AQ57" s="4442">
        <f>+'Maj Techno Summ'!AN19</f>
        <v>20.399868387945887</v>
      </c>
      <c r="AR57" s="4441">
        <f>+'Maj Techno Summ'!AO19</f>
        <v>22.017291674197072</v>
      </c>
      <c r="AS57" s="3861">
        <f>+'Maj Techno Summ'!AP19</f>
        <v>20.091916173994331</v>
      </c>
      <c r="AT57" s="4393">
        <f>+'Maj Techno Summ'!AQ19</f>
        <v>22.017291674197072</v>
      </c>
      <c r="AU57" s="4393">
        <f>+'Maj Techno Summ'!AR19</f>
        <v>20.886847667046009</v>
      </c>
      <c r="AV57" s="4441">
        <f>+'Maj Techno Summ'!AS19</f>
        <v>22.017291674197072</v>
      </c>
      <c r="AW57" s="3861">
        <f>+'Maj Techno Summ'!AT19</f>
        <v>20.189895345581007</v>
      </c>
      <c r="AX57" s="4393">
        <f>+'Maj Techno Summ'!AU19</f>
        <v>22.017291674197072</v>
      </c>
      <c r="AY57" s="4393">
        <f>+'Maj Techno Summ'!AV19</f>
        <v>20.637519908477088</v>
      </c>
      <c r="AZ57" s="4441">
        <f>+'Maj Techno Summ'!AW19</f>
        <v>22.017291674197072</v>
      </c>
      <c r="BA57" s="3861">
        <f>+'Maj Techno Summ'!AX19</f>
        <v>20.234856814793854</v>
      </c>
      <c r="BB57" s="4440">
        <f>+'Maj Techno Summ'!AY19</f>
        <v>22.017291674197072</v>
      </c>
      <c r="BC57" s="4440">
        <f>+'Maj Techno Summ'!AZ19</f>
        <v>20.430955196426229</v>
      </c>
      <c r="BD57" s="4446">
        <f>+'Maj Techno Summ'!BA19</f>
        <v>22.017291674197072</v>
      </c>
      <c r="BE57" s="4446">
        <f>+'Maj Techno Summ'!BB19</f>
        <v>20.653008405767402</v>
      </c>
      <c r="BF57" s="4444">
        <f>+'Maj Techno Summ'!BC19</f>
        <v>22.017291674197072</v>
      </c>
      <c r="BG57" s="4445">
        <f>+'Maj Techno Summ'!BD19</f>
        <v>20.553040790155329</v>
      </c>
      <c r="BH57" s="4441">
        <f>+'Maj Techno Summ'!BE19</f>
        <v>22.017291674197072</v>
      </c>
      <c r="BI57" s="3861">
        <f>+'Maj Techno Summ'!BF19</f>
        <v>20.254250729705895</v>
      </c>
    </row>
    <row r="58" spans="3:61" x14ac:dyDescent="0.25">
      <c r="C58" s="7423"/>
      <c r="D58" s="4466" t="s">
        <v>1061</v>
      </c>
      <c r="E58" s="4140" t="s">
        <v>1062</v>
      </c>
      <c r="F58" s="4467">
        <v>150.30561739885829</v>
      </c>
      <c r="G58" s="4468">
        <f>+SMS!D52</f>
        <v>150</v>
      </c>
      <c r="H58" s="4440">
        <f>+SMS!E52</f>
        <v>150</v>
      </c>
      <c r="I58" s="4440">
        <f>+SMS!F52</f>
        <v>156.4773771730915</v>
      </c>
      <c r="J58" s="4440">
        <f>+SMS!G52</f>
        <v>150</v>
      </c>
      <c r="K58" s="4440">
        <f>+SMS!H52</f>
        <v>156.09373350923482</v>
      </c>
      <c r="L58" s="3861">
        <f>+SMS!I52</f>
        <v>150</v>
      </c>
      <c r="M58" s="3861">
        <f>+SMS!J52</f>
        <v>156.27251497005989</v>
      </c>
      <c r="N58" s="4440">
        <f>+SMS!K52</f>
        <v>150</v>
      </c>
      <c r="O58" s="4440">
        <f>+SMS!L52</f>
        <v>152.09805907172995</v>
      </c>
      <c r="P58" s="4442">
        <f>+SMS!M52</f>
        <v>150</v>
      </c>
      <c r="Q58" s="4443">
        <f>+SMS!N52</f>
        <v>155.22752310536043</v>
      </c>
      <c r="R58" s="4440">
        <f>+SMS!O52</f>
        <v>150</v>
      </c>
      <c r="S58" s="4440">
        <f>+SMS!P52</f>
        <v>151.88683290155438</v>
      </c>
      <c r="T58" s="4441">
        <f>+SMS!Q52</f>
        <v>150</v>
      </c>
      <c r="U58" s="3861">
        <f>+SMS!R52</f>
        <v>154.25996998686927</v>
      </c>
      <c r="V58" s="4440">
        <f>+SMS!S52</f>
        <v>150</v>
      </c>
      <c r="W58" s="4440">
        <f>+SMS!T52</f>
        <v>152.41398946675443</v>
      </c>
      <c r="X58" s="4441">
        <f>+SMS!U52</f>
        <v>150</v>
      </c>
      <c r="Y58" s="3861">
        <f>+SMS!V52</f>
        <v>153.8506204379562</v>
      </c>
      <c r="Z58" s="4440">
        <f>+SMS!W52</f>
        <v>150</v>
      </c>
      <c r="AA58" s="4440">
        <f>+SMS!X52</f>
        <v>153.15814569536425</v>
      </c>
      <c r="AB58" s="4442">
        <f>+SMS!Y52</f>
        <v>150.00000000000003</v>
      </c>
      <c r="AC58" s="4442">
        <f>+SMS!Z52</f>
        <v>152.48172315766456</v>
      </c>
      <c r="AD58" s="4444">
        <f>+SMS!AA52</f>
        <v>150</v>
      </c>
      <c r="AE58" s="4445">
        <f>+SMS!AB52</f>
        <v>153.72554425837322</v>
      </c>
      <c r="AF58" s="4440">
        <f>+SMS!AC52</f>
        <v>150</v>
      </c>
      <c r="AG58" s="4440">
        <f>+SMS!AD52</f>
        <v>153.09301171605787</v>
      </c>
      <c r="AH58" s="4441">
        <f>+SMS!AE52</f>
        <v>150</v>
      </c>
      <c r="AI58" s="3861">
        <f>+SMS!AF52</f>
        <v>153.63199571909081</v>
      </c>
      <c r="AJ58" s="4440">
        <f>+SMS!AG52</f>
        <v>150</v>
      </c>
      <c r="AK58" s="4440">
        <f>+SMS!AH52</f>
        <v>152.59615384615384</v>
      </c>
      <c r="AL58" s="4441">
        <f>+SMS!AI52</f>
        <v>150</v>
      </c>
      <c r="AM58" s="3861">
        <f>+SMS!AJ52</f>
        <v>153.62653452296462</v>
      </c>
      <c r="AN58" s="4440">
        <f>+SMS!AK52</f>
        <v>150</v>
      </c>
      <c r="AO58" s="4440">
        <f>+SMS!AL52</f>
        <v>153.44854996734162</v>
      </c>
      <c r="AP58" s="4442">
        <f>+SMS!AM52</f>
        <v>150.00000000000003</v>
      </c>
      <c r="AQ58" s="4442">
        <f>+SMS!AN52</f>
        <v>153.26390573500331</v>
      </c>
      <c r="AR58" s="4441">
        <f>+SMS!AO52</f>
        <v>150</v>
      </c>
      <c r="AS58" s="3861">
        <f>+SMS!AP52</f>
        <v>153.60261892223977</v>
      </c>
      <c r="AT58" s="4440">
        <f>+SMS!AQ52</f>
        <v>150</v>
      </c>
      <c r="AU58" s="4440">
        <f>+SMS!AR52</f>
        <v>153.87123827392119</v>
      </c>
      <c r="AV58" s="4441">
        <f>+SMS!AS52</f>
        <v>150</v>
      </c>
      <c r="AW58" s="3861">
        <f>+SMS!AT52</f>
        <v>153.63567690294775</v>
      </c>
      <c r="AX58" s="4440">
        <f>+SMS!AU52</f>
        <v>150</v>
      </c>
      <c r="AY58" s="4440">
        <f>+SMS!AV52</f>
        <v>154.46695079695081</v>
      </c>
      <c r="AZ58" s="4441">
        <f>+SMS!AW52</f>
        <v>150</v>
      </c>
      <c r="BA58" s="3861">
        <f>+SMS!AX52</f>
        <v>153.71876974231091</v>
      </c>
      <c r="BB58" s="4440">
        <f>+SMS!AY52</f>
        <v>150</v>
      </c>
      <c r="BC58" s="4440">
        <f>+SMS!AZ52</f>
        <v>154.931106870229</v>
      </c>
      <c r="BD58" s="4446">
        <f>+SMS!BA52</f>
        <v>150</v>
      </c>
      <c r="BE58" s="4446">
        <f>+SMS!BB52</f>
        <v>154.41864325964457</v>
      </c>
      <c r="BF58" s="4444">
        <f>+SMS!BC52</f>
        <v>150</v>
      </c>
      <c r="BG58" s="4445">
        <f>+SMS!BD52</f>
        <v>153.96055308577405</v>
      </c>
      <c r="BH58" s="4441">
        <f>+SMS!BE52</f>
        <v>150.00000000000003</v>
      </c>
      <c r="BI58" s="3861">
        <f>+SMS!BF52</f>
        <v>153.83782233883062</v>
      </c>
    </row>
    <row r="59" spans="3:61" x14ac:dyDescent="0.25">
      <c r="C59" s="7423"/>
      <c r="D59" s="4466" t="s">
        <v>1461</v>
      </c>
      <c r="E59" s="4140" t="s">
        <v>271</v>
      </c>
      <c r="F59" s="4516">
        <v>10.871440685841032</v>
      </c>
      <c r="G59" s="4481">
        <f>+SMS!D104</f>
        <v>9</v>
      </c>
      <c r="H59" s="4482">
        <f>+SMS!E104</f>
        <v>9</v>
      </c>
      <c r="I59" s="4482">
        <f>+SMS!F104</f>
        <v>7.4</v>
      </c>
      <c r="J59" s="4482">
        <f>+SMS!G104</f>
        <v>9</v>
      </c>
      <c r="K59" s="4482">
        <f>+SMS!H104</f>
        <v>7.5</v>
      </c>
      <c r="L59" s="3848">
        <f>+SMS!I104</f>
        <v>9</v>
      </c>
      <c r="M59" s="3848">
        <f>+SMS!J104</f>
        <v>7.4533379314697354</v>
      </c>
      <c r="N59" s="4482">
        <f>+SMS!K104</f>
        <v>9</v>
      </c>
      <c r="O59" s="4482">
        <f>+SMS!L104</f>
        <v>9.7200000000000006</v>
      </c>
      <c r="P59" s="4395">
        <f>+SMS!M104</f>
        <v>8.9999999999999982</v>
      </c>
      <c r="Q59" s="4394">
        <f>+SMS!N104</f>
        <v>8.009312082905927</v>
      </c>
      <c r="R59" s="4482">
        <f>+SMS!O104</f>
        <v>9</v>
      </c>
      <c r="S59" s="4482">
        <f>+SMS!P104</f>
        <v>8.83</v>
      </c>
      <c r="T59" s="3861">
        <f>+SMS!Q104</f>
        <v>8.9999999999999982</v>
      </c>
      <c r="U59" s="3847">
        <f>+SMS!R104</f>
        <v>8.2433482538061185</v>
      </c>
      <c r="V59" s="4482">
        <f>+SMS!S104</f>
        <v>9</v>
      </c>
      <c r="W59" s="4482">
        <f>+SMS!T104</f>
        <v>7.94</v>
      </c>
      <c r="X59" s="3861">
        <f>+SMS!U104</f>
        <v>9</v>
      </c>
      <c r="Y59" s="3847">
        <f>+SMS!V104</f>
        <v>8.1767083350334051</v>
      </c>
      <c r="Z59" s="4482">
        <f>+SMS!W104</f>
        <v>9</v>
      </c>
      <c r="AA59" s="4482">
        <f>+SMS!X104</f>
        <v>6.72</v>
      </c>
      <c r="AB59" s="4394">
        <f>+SMS!Y104</f>
        <v>8.9999999999999982</v>
      </c>
      <c r="AC59" s="4394">
        <f>+SMS!Z104</f>
        <v>7.8346913590869915</v>
      </c>
      <c r="AD59" s="4397">
        <f>+SMS!AA104</f>
        <v>8.9999999999999982</v>
      </c>
      <c r="AE59" s="4398">
        <f>+SMS!AB104</f>
        <v>7.9145657613998734</v>
      </c>
      <c r="AF59" s="4482">
        <f>+SMS!AC104</f>
        <v>9</v>
      </c>
      <c r="AG59" s="4482">
        <f>+SMS!AD104</f>
        <v>7.04</v>
      </c>
      <c r="AH59" s="4402">
        <f>+SMS!AE104</f>
        <v>9</v>
      </c>
      <c r="AI59" s="3848">
        <f>+SMS!AF104</f>
        <v>7.785675459966404</v>
      </c>
      <c r="AJ59" s="4482">
        <f>+SMS!AG104</f>
        <v>9</v>
      </c>
      <c r="AK59" s="4482">
        <f>+SMS!AH104</f>
        <v>5.23</v>
      </c>
      <c r="AL59" s="4402">
        <f>+SMS!AI104</f>
        <v>9</v>
      </c>
      <c r="AM59" s="3848">
        <f>+SMS!AJ104</f>
        <v>7.7722917281264303</v>
      </c>
      <c r="AN59" s="4482">
        <f>+SMS!AK104</f>
        <v>9</v>
      </c>
      <c r="AO59" s="4482">
        <f>+SMS!AL104</f>
        <v>7.54</v>
      </c>
      <c r="AP59" s="4394">
        <f>+SMS!AM104</f>
        <v>9</v>
      </c>
      <c r="AQ59" s="4394">
        <f>+SMS!AN104</f>
        <v>7.2617246985503323</v>
      </c>
      <c r="AR59" s="4402">
        <f>+SMS!AO104</f>
        <v>9</v>
      </c>
      <c r="AS59" s="3848">
        <f>+SMS!AP104</f>
        <v>7.7411102140446335</v>
      </c>
      <c r="AT59" s="4482">
        <f>+SMS!AQ104</f>
        <v>9</v>
      </c>
      <c r="AU59" s="4482">
        <f>+SMS!AR104</f>
        <v>6.3</v>
      </c>
      <c r="AV59" s="4402">
        <f>+SMS!AS104</f>
        <v>9</v>
      </c>
      <c r="AW59" s="3848">
        <f>+SMS!AT104</f>
        <v>7.5634863732842934</v>
      </c>
      <c r="AX59" s="4482">
        <f>+SMS!AU104</f>
        <v>9</v>
      </c>
      <c r="AY59" s="4482">
        <f>+SMS!AV104</f>
        <v>6.2</v>
      </c>
      <c r="AZ59" s="4402">
        <f>+SMS!AW104</f>
        <v>9</v>
      </c>
      <c r="BA59" s="3848">
        <f>+SMS!AX104</f>
        <v>7.4265315328306638</v>
      </c>
      <c r="BB59" s="4482">
        <f>+SMS!AY104</f>
        <v>9</v>
      </c>
      <c r="BC59" s="4482">
        <f>+SMS!AZ104</f>
        <v>6.03</v>
      </c>
      <c r="BD59" s="4405">
        <f>+SMS!BA104</f>
        <v>9</v>
      </c>
      <c r="BE59" s="4405">
        <f>+SMS!BB104</f>
        <v>6.1764208469768578</v>
      </c>
      <c r="BF59" s="4406">
        <f>+SMS!BC104</f>
        <v>9</v>
      </c>
      <c r="BG59" s="4407">
        <f>+SMS!BD104</f>
        <v>6.6050185818987845</v>
      </c>
      <c r="BH59" s="4402">
        <f>+SMS!BE104</f>
        <v>9.0000000000000018</v>
      </c>
      <c r="BI59" s="3848">
        <f>+SMS!BF104</f>
        <v>7.2884160955983752</v>
      </c>
    </row>
    <row r="60" spans="3:61" x14ac:dyDescent="0.25">
      <c r="C60" s="7423"/>
      <c r="D60" s="4466" t="s">
        <v>1462</v>
      </c>
      <c r="E60" s="4140" t="s">
        <v>271</v>
      </c>
      <c r="F60" s="4516">
        <v>0.35658561453086035</v>
      </c>
      <c r="G60" s="4481">
        <v>0.32</v>
      </c>
      <c r="H60" s="4482">
        <v>0.32</v>
      </c>
      <c r="I60" s="4482">
        <f>+SMS!F117*1000/SMS!F5</f>
        <v>0.34403439281228865</v>
      </c>
      <c r="J60" s="4482">
        <v>0.32</v>
      </c>
      <c r="K60" s="4482">
        <f>+SMS!H117*1000/SMS!H5</f>
        <v>0.35483734649549098</v>
      </c>
      <c r="L60" s="3848">
        <v>0.32</v>
      </c>
      <c r="M60" s="3848">
        <f>+SMS!J117*1000/SMS!J5</f>
        <v>0.34979646484454241</v>
      </c>
      <c r="N60" s="4482">
        <v>0.32</v>
      </c>
      <c r="O60" s="4482">
        <f>+SMS!L117*1000/SMS!L5</f>
        <v>0.33741131431662608</v>
      </c>
      <c r="P60" s="4403">
        <f>+$G$60</f>
        <v>0.32</v>
      </c>
      <c r="Q60" s="4447">
        <f>+SMS!N117*1000/SMS!N5</f>
        <v>0.34675859534878972</v>
      </c>
      <c r="R60" s="4482">
        <v>0.32</v>
      </c>
      <c r="S60" s="4482">
        <f>+SMS!P117*1000/SMS!P5</f>
        <v>0.31955584551815891</v>
      </c>
      <c r="T60" s="3848">
        <v>0.32</v>
      </c>
      <c r="U60" s="3848">
        <f>+SMS!R117*1000/SMS!R5</f>
        <v>0.3390011673719539</v>
      </c>
      <c r="V60" s="4482">
        <v>0.32</v>
      </c>
      <c r="W60" s="4482">
        <f>+SMS!T117*1000/SMS!T5</f>
        <v>0.304591023553346</v>
      </c>
      <c r="X60" s="3848">
        <v>0.32</v>
      </c>
      <c r="Y60" s="3848">
        <f>+SMS!V117*1000/SMS!V5</f>
        <v>0.33144190451067818</v>
      </c>
      <c r="Z60" s="4482">
        <v>0.32</v>
      </c>
      <c r="AA60" s="4482">
        <f>+SMS!X117*1000/SMS!X5</f>
        <v>0.33362448058321692</v>
      </c>
      <c r="AB60" s="4403">
        <v>0.32</v>
      </c>
      <c r="AC60" s="4403">
        <f>+SMS!Z117*1000/SMS!Z5</f>
        <v>0.31925329019545418</v>
      </c>
      <c r="AD60" s="4406">
        <v>0.32</v>
      </c>
      <c r="AE60" s="4407">
        <f>+SMS!AB117*1000/SMS!AB5</f>
        <v>0.33183467092454866</v>
      </c>
      <c r="AF60" s="4482">
        <v>0.32</v>
      </c>
      <c r="AG60" s="4482">
        <f>+SMS!AD117*1000/SMS!AD5</f>
        <v>0.35362702464233947</v>
      </c>
      <c r="AH60" s="4402">
        <f>+$G$60</f>
        <v>0.32</v>
      </c>
      <c r="AI60" s="4402">
        <f>+SMS!AF117*1000/SMS!AF5</f>
        <v>0.33504634826615287</v>
      </c>
      <c r="AJ60" s="4482">
        <v>0.32</v>
      </c>
      <c r="AK60" s="4482">
        <f>+SMS!AH117*1000/SMS!AH5</f>
        <v>0.31505986137366099</v>
      </c>
      <c r="AL60" s="4402">
        <f>+$G$60</f>
        <v>0.32</v>
      </c>
      <c r="AM60" s="4402">
        <f>+SMS!AJ117*1000/SMS!AJ5</f>
        <v>0.33494168169749722</v>
      </c>
      <c r="AN60" s="4482">
        <v>0.32</v>
      </c>
      <c r="AO60" s="4482">
        <f>+SMS!AL117*1000/SMS!AL5</f>
        <v>0.31999318946069044</v>
      </c>
      <c r="AP60" s="4403">
        <v>0.32</v>
      </c>
      <c r="AQ60" s="4403">
        <f>+SMS!AN117*1000/SMS!AN5</f>
        <v>0.3359763270344493</v>
      </c>
      <c r="AR60" s="4402">
        <v>0.32</v>
      </c>
      <c r="AS60" s="4402">
        <f>+SMS!AP117*1000/SMS!AP5</f>
        <v>0.33293508152734425</v>
      </c>
      <c r="AT60" s="4482">
        <v>0.32</v>
      </c>
      <c r="AU60" s="4482">
        <f>+SMS!AR117*1000/SMS!AR5</f>
        <v>0.33417330515363358</v>
      </c>
      <c r="AV60" s="4402">
        <f>+$G$60</f>
        <v>0.32</v>
      </c>
      <c r="AW60" s="4402">
        <f>+SMS!AT117*1000/SMS!AT5</f>
        <v>0.33308769860970083</v>
      </c>
      <c r="AX60" s="4482">
        <v>0.32</v>
      </c>
      <c r="AY60" s="4482">
        <f>+SMS!AV117*1000/SMS!AV5</f>
        <v>0.32437694878754569</v>
      </c>
      <c r="AZ60" s="4402">
        <f>+$G$60</f>
        <v>0.32</v>
      </c>
      <c r="BA60" s="4402">
        <f>+SMS!AX117*1000/SMS!AX5</f>
        <v>0.33221275084674584</v>
      </c>
      <c r="BB60" s="4482">
        <v>0.32</v>
      </c>
      <c r="BC60" s="4482">
        <f>+SMS!AZ117*1000/SMS!AZ5</f>
        <v>0.30043276179214295</v>
      </c>
      <c r="BD60" s="4405">
        <f>+$G$60</f>
        <v>0.32</v>
      </c>
      <c r="BE60" s="4405">
        <f>+SMS!BB117*1000/SMS!BB5</f>
        <v>0.31957495364827709</v>
      </c>
      <c r="BF60" s="4406">
        <f>+$G$60</f>
        <v>0.32</v>
      </c>
      <c r="BG60" s="4407">
        <f>+SMS!BD117*1000/SMS!BD5</f>
        <v>0.32605202591954074</v>
      </c>
      <c r="BH60" s="4402">
        <f>+$G$60</f>
        <v>0.32</v>
      </c>
      <c r="BI60" s="3848">
        <f>+SMS!BF117*1000/SMS!BF5</f>
        <v>0.32906974477754736</v>
      </c>
    </row>
    <row r="61" spans="3:61" x14ac:dyDescent="0.25">
      <c r="C61" s="7423"/>
      <c r="D61" s="4466" t="s">
        <v>2308</v>
      </c>
      <c r="E61" s="4140" t="s">
        <v>271</v>
      </c>
      <c r="F61" s="4467">
        <v>64.983071452256169</v>
      </c>
      <c r="G61" s="4515">
        <f>+SMS!D87</f>
        <v>67</v>
      </c>
      <c r="H61" s="4393">
        <f>+SMS!E87</f>
        <v>67</v>
      </c>
      <c r="I61" s="4393">
        <f>+SMS!F87</f>
        <v>67.167229648868457</v>
      </c>
      <c r="J61" s="4393">
        <f>+SMS!G87</f>
        <v>67</v>
      </c>
      <c r="K61" s="4393">
        <f>+SMS!H87</f>
        <v>66.359014038736788</v>
      </c>
      <c r="L61" s="3861">
        <f>+SMS!I87</f>
        <v>66.999999999999829</v>
      </c>
      <c r="M61" s="3861">
        <f>+SMS!J87</f>
        <v>66.736143657789114</v>
      </c>
      <c r="N61" s="4440">
        <f>+SMS!K87</f>
        <v>70</v>
      </c>
      <c r="O61" s="4440">
        <f>+SMS!L87</f>
        <v>69.817203758179559</v>
      </c>
      <c r="P61" s="4442">
        <f>+SMS!M87</f>
        <v>67.67477971137464</v>
      </c>
      <c r="Q61" s="4443">
        <f>+SMS!N87</f>
        <v>67.491876239896115</v>
      </c>
      <c r="R61" s="4440">
        <f>+SMS!O87</f>
        <v>70</v>
      </c>
      <c r="S61" s="4440">
        <f>+SMS!P87</f>
        <v>63.354837020523398</v>
      </c>
      <c r="T61" s="4441">
        <f>+SMS!Q87</f>
        <v>67.890853923611331</v>
      </c>
      <c r="U61" s="3861">
        <f>+SMS!R87</f>
        <v>66.31211225158232</v>
      </c>
      <c r="V61" s="4440">
        <f>+SMS!S87</f>
        <v>70</v>
      </c>
      <c r="W61" s="4440">
        <f>+SMS!T87</f>
        <v>68.229547870921706</v>
      </c>
      <c r="X61" s="4441">
        <f>+SMS!U87</f>
        <v>68.414035008619962</v>
      </c>
      <c r="Y61" s="3861">
        <f>+SMS!V87</f>
        <v>66.733336701848685</v>
      </c>
      <c r="Z61" s="4440">
        <f>+SMS!W87</f>
        <v>70</v>
      </c>
      <c r="AA61" s="4440">
        <f>+SMS!X87</f>
        <v>65.924339988792255</v>
      </c>
      <c r="AB61" s="4442">
        <f>+SMS!Y87</f>
        <v>70.000001065864808</v>
      </c>
      <c r="AC61" s="4442">
        <f>+SMS!Z87</f>
        <v>65.825547241633458</v>
      </c>
      <c r="AD61" s="4444">
        <f>+SMS!AA87</f>
        <v>68.720760812202016</v>
      </c>
      <c r="AE61" s="4445">
        <f>+SMS!AB87</f>
        <v>66.587753426061354</v>
      </c>
      <c r="AF61" s="4440">
        <f>+SMS!AC87</f>
        <v>70</v>
      </c>
      <c r="AG61" s="4440">
        <f>+SMS!AD87</f>
        <v>68.143405116352014</v>
      </c>
      <c r="AH61" s="4441">
        <f>+SMS!AE87</f>
        <v>68.941403757633395</v>
      </c>
      <c r="AI61" s="3861">
        <f>+SMS!AF87</f>
        <v>66.817019712502514</v>
      </c>
      <c r="AJ61" s="4440">
        <f>+SMS!AG87</f>
        <v>70</v>
      </c>
      <c r="AK61" s="4440">
        <f>+SMS!AH87</f>
        <v>79.727662255828619</v>
      </c>
      <c r="AL61" s="4441">
        <f>+SMS!AI87</f>
        <v>69.09285370409502</v>
      </c>
      <c r="AM61" s="3861">
        <f>+SMS!AJ87</f>
        <v>66.884631049022758</v>
      </c>
      <c r="AN61" s="4440">
        <f>+SMS!AK87</f>
        <v>70</v>
      </c>
      <c r="AO61" s="4440">
        <f>+SMS!AL87</f>
        <v>66.182441021832346</v>
      </c>
      <c r="AP61" s="4442">
        <f>+SMS!AM87</f>
        <v>70.000000000000014</v>
      </c>
      <c r="AQ61" s="4442">
        <f>+SMS!AN87</f>
        <v>67.350360919417469</v>
      </c>
      <c r="AR61" s="4441">
        <f>+SMS!AO87</f>
        <v>69.209667729548087</v>
      </c>
      <c r="AS61" s="3861">
        <f>+SMS!AP87</f>
        <v>66.79037314004897</v>
      </c>
      <c r="AT61" s="4440">
        <f>+SMS!AQ87</f>
        <v>70</v>
      </c>
      <c r="AU61" s="4440">
        <f>+SMS!AR87</f>
        <v>66.009704677826718</v>
      </c>
      <c r="AV61" s="4441">
        <f>+SMS!AS87</f>
        <v>69.299829322757589</v>
      </c>
      <c r="AW61" s="3861">
        <f>+SMS!AT87</f>
        <v>66.694151882010516</v>
      </c>
      <c r="AX61" s="4440">
        <f>+SMS!AU87</f>
        <v>70</v>
      </c>
      <c r="AY61" s="4440">
        <f>+SMS!AV87</f>
        <v>67.556904726024229</v>
      </c>
      <c r="AZ61" s="4441">
        <f>+SMS!AW87</f>
        <v>69.365013936964544</v>
      </c>
      <c r="BA61" s="3861">
        <f>+SMS!AX87</f>
        <v>66.780811053150856</v>
      </c>
      <c r="BB61" s="4440">
        <f>+SMS!AY87</f>
        <v>70</v>
      </c>
      <c r="BC61" s="4440">
        <f>+SMS!AZ87</f>
        <v>66.364784150552012</v>
      </c>
      <c r="BD61" s="4446">
        <f>+SMS!BA87</f>
        <v>69.999999999999972</v>
      </c>
      <c r="BE61" s="4446">
        <f>+SMS!BB87</f>
        <v>66.615111150983921</v>
      </c>
      <c r="BF61" s="4444">
        <f>+SMS!BC87</f>
        <v>70</v>
      </c>
      <c r="BG61" s="4445">
        <f>+SMS!BD87</f>
        <v>66.905468631839526</v>
      </c>
      <c r="BH61" s="4441">
        <f>+SMS!BE87</f>
        <v>69.424549952612068</v>
      </c>
      <c r="BI61" s="3861">
        <f>+SMS!BF87</f>
        <v>66.739666497019158</v>
      </c>
    </row>
    <row r="62" spans="3:61" ht="15.75" thickBot="1" x14ac:dyDescent="0.3">
      <c r="C62" s="7424"/>
      <c r="D62" s="4368" t="s">
        <v>548</v>
      </c>
      <c r="E62" s="4369" t="s">
        <v>271</v>
      </c>
      <c r="F62" s="4483">
        <v>18.939404807363346</v>
      </c>
      <c r="G62" s="4484">
        <f>+SMS!D82</f>
        <v>24</v>
      </c>
      <c r="H62" s="4485">
        <f>+SMS!E82</f>
        <v>24</v>
      </c>
      <c r="I62" s="4485">
        <f>+SMS!F82</f>
        <v>24.433965349266252</v>
      </c>
      <c r="J62" s="4485">
        <f>+SMS!G82</f>
        <v>24</v>
      </c>
      <c r="K62" s="4485">
        <f>+SMS!H82</f>
        <v>23.098254254069818</v>
      </c>
      <c r="L62" s="4486">
        <f>+SMS!I82</f>
        <v>23.99999999999994</v>
      </c>
      <c r="M62" s="4486">
        <f>+SMS!J82</f>
        <v>23.721523849683475</v>
      </c>
      <c r="N62" s="4485">
        <f>+SMS!K82</f>
        <v>20</v>
      </c>
      <c r="O62" s="4485">
        <f>+SMS!L82</f>
        <v>24.358120066890006</v>
      </c>
      <c r="P62" s="4488">
        <f>+SMS!M82</f>
        <v>23.100293855773806</v>
      </c>
      <c r="Q62" s="4489">
        <f>+SMS!N82</f>
        <v>23.877670269199296</v>
      </c>
      <c r="R62" s="4485">
        <f>+SMS!O82</f>
        <v>20</v>
      </c>
      <c r="S62" s="4485">
        <f>+SMS!P82</f>
        <v>26.616830680839509</v>
      </c>
      <c r="T62" s="4490">
        <f>+SMS!Q82</f>
        <v>22.812194893836889</v>
      </c>
      <c r="U62" s="4486">
        <f>+SMS!R82</f>
        <v>24.658799632618273</v>
      </c>
      <c r="V62" s="4485">
        <f>+SMS!S82</f>
        <v>20</v>
      </c>
      <c r="W62" s="4485">
        <f>+SMS!T82</f>
        <v>24.824111074420721</v>
      </c>
      <c r="X62" s="4490">
        <f>+SMS!U82</f>
        <v>22.114620552027983</v>
      </c>
      <c r="Y62" s="4486">
        <f>+SMS!V82</f>
        <v>24.695115439257961</v>
      </c>
      <c r="Z62" s="4485">
        <f>+SMS!W82</f>
        <v>20</v>
      </c>
      <c r="AA62" s="4485">
        <f>+SMS!X82</f>
        <v>22.398611485855422</v>
      </c>
      <c r="AB62" s="4488">
        <f>+SMS!Y82</f>
        <v>20.000000304532801</v>
      </c>
      <c r="AC62" s="4488">
        <f>+SMS!Z82</f>
        <v>24.622582234890022</v>
      </c>
      <c r="AD62" s="4491">
        <f>+SMS!AA82</f>
        <v>21.705653102387942</v>
      </c>
      <c r="AE62" s="4492">
        <f>+SMS!AB82</f>
        <v>24.281847297374213</v>
      </c>
      <c r="AF62" s="4485">
        <f>+SMS!AC82</f>
        <v>20</v>
      </c>
      <c r="AG62" s="4485">
        <f>+SMS!AD82</f>
        <v>22.757929351651558</v>
      </c>
      <c r="AH62" s="4490">
        <f>+SMS!AE82</f>
        <v>21.411462361528255</v>
      </c>
      <c r="AI62" s="4486">
        <f>+SMS!AF82</f>
        <v>24.057257814755765</v>
      </c>
      <c r="AJ62" s="4485">
        <f>+SMS!AG82</f>
        <v>20</v>
      </c>
      <c r="AK62" s="4485">
        <f>+SMS!AH82</f>
        <v>22.432262129804663</v>
      </c>
      <c r="AL62" s="4490">
        <f>+SMS!AI82</f>
        <v>21.209528998711708</v>
      </c>
      <c r="AM62" s="4486">
        <f>+SMS!AJ82</f>
        <v>24.048747926132449</v>
      </c>
      <c r="AN62" s="4485">
        <f>+SMS!AK82</f>
        <v>20</v>
      </c>
      <c r="AO62" s="4485">
        <f>+SMS!AL82</f>
        <v>17.177476856590264</v>
      </c>
      <c r="AP62" s="4488">
        <f>+SMS!AM82</f>
        <v>20.000000000000007</v>
      </c>
      <c r="AQ62" s="4488">
        <f>+SMS!AN82</f>
        <v>19.933002968219387</v>
      </c>
      <c r="AR62" s="4490">
        <f>+SMS!AO82</f>
        <v>21.053776886974557</v>
      </c>
      <c r="AS62" s="4486">
        <f>+SMS!AP82</f>
        <v>23.126388425245626</v>
      </c>
      <c r="AT62" s="4485">
        <f>+SMS!AQ82</f>
        <v>20</v>
      </c>
      <c r="AU62" s="4485">
        <f>+SMS!AR82</f>
        <v>24.512629261952455</v>
      </c>
      <c r="AV62" s="4490">
        <f>+SMS!AS82</f>
        <v>20.93356136931305</v>
      </c>
      <c r="AW62" s="4486">
        <f>+SMS!AT82</f>
        <v>23.297249480491157</v>
      </c>
      <c r="AX62" s="4485">
        <f>+SMS!AU82</f>
        <v>20</v>
      </c>
      <c r="AY62" s="4485">
        <f>+SMS!AV82</f>
        <v>25.294252951636906</v>
      </c>
      <c r="AZ62" s="4490">
        <f>+SMS!AW82</f>
        <v>20.84664850695658</v>
      </c>
      <c r="BA62" s="4486">
        <f>+SMS!AX82</f>
        <v>23.497838405551956</v>
      </c>
      <c r="BB62" s="4485">
        <f>+SMS!AY82</f>
        <v>20</v>
      </c>
      <c r="BC62" s="4485">
        <f>+SMS!AZ82</f>
        <v>26.637605075226325</v>
      </c>
      <c r="BD62" s="4446">
        <f>+SMS!BA82</f>
        <v>19.999999999999996</v>
      </c>
      <c r="BE62" s="4446">
        <f>+SMS!BB82</f>
        <v>25.483540331549904</v>
      </c>
      <c r="BF62" s="4444">
        <f>+SMS!BC82</f>
        <v>20.000000000000004</v>
      </c>
      <c r="BG62" s="4445">
        <f>+SMS!BD82</f>
        <v>23.291577660626356</v>
      </c>
      <c r="BH62" s="4441">
        <f>+SMS!BE82</f>
        <v>20.767267113108083</v>
      </c>
      <c r="BI62" s="3861">
        <f>+SMS!BF82</f>
        <v>23.80835752144046</v>
      </c>
    </row>
    <row r="63" spans="3:61" x14ac:dyDescent="0.25">
      <c r="C63" s="7422" t="s">
        <v>1067</v>
      </c>
      <c r="D63" s="4518" t="s">
        <v>34</v>
      </c>
      <c r="E63" s="4519"/>
      <c r="F63" s="4519"/>
      <c r="G63" s="4520"/>
      <c r="H63" s="4521"/>
      <c r="I63" s="4522"/>
      <c r="J63" s="4521"/>
      <c r="K63" s="4522"/>
      <c r="L63" s="4375"/>
      <c r="M63" s="4376"/>
      <c r="N63" s="4521"/>
      <c r="O63" s="4522"/>
      <c r="P63" s="4521"/>
      <c r="Q63" s="4522"/>
      <c r="R63" s="4521"/>
      <c r="S63" s="4522"/>
      <c r="T63" s="4521"/>
      <c r="U63" s="4522"/>
      <c r="V63" s="4521"/>
      <c r="W63" s="4522"/>
      <c r="X63" s="4521"/>
      <c r="Y63" s="4522"/>
      <c r="Z63" s="4521"/>
      <c r="AA63" s="4522"/>
      <c r="AB63" s="4521"/>
      <c r="AC63" s="4522"/>
      <c r="AD63" s="4523"/>
      <c r="AE63" s="4522"/>
      <c r="AF63" s="4521"/>
      <c r="AG63" s="4522"/>
      <c r="AH63" s="4521"/>
      <c r="AI63" s="4522"/>
      <c r="AJ63" s="4521"/>
      <c r="AK63" s="4522"/>
      <c r="AL63" s="4521"/>
      <c r="AM63" s="4522"/>
      <c r="AN63" s="4521"/>
      <c r="AO63" s="4522"/>
      <c r="AP63" s="4521"/>
      <c r="AQ63" s="4522"/>
      <c r="AR63" s="4521"/>
      <c r="AS63" s="4522"/>
      <c r="AT63" s="4521"/>
      <c r="AU63" s="4522"/>
      <c r="AV63" s="4521"/>
      <c r="AW63" s="4522"/>
      <c r="AX63" s="4521"/>
      <c r="AY63" s="4522"/>
      <c r="AZ63" s="4521"/>
      <c r="BA63" s="4522"/>
      <c r="BB63" s="4521"/>
      <c r="BC63" s="4522"/>
      <c r="BD63" s="4522"/>
      <c r="BE63" s="4522"/>
      <c r="BF63" s="4522"/>
      <c r="BG63" s="4522"/>
      <c r="BH63" s="4522"/>
      <c r="BI63" s="4522"/>
    </row>
    <row r="64" spans="3:61" x14ac:dyDescent="0.25">
      <c r="C64" s="7423"/>
      <c r="D64" s="4524" t="s">
        <v>1064</v>
      </c>
      <c r="E64" s="4140" t="s">
        <v>49</v>
      </c>
      <c r="F64" s="4516">
        <v>95.450038252944893</v>
      </c>
      <c r="G64" s="4525">
        <v>96</v>
      </c>
      <c r="H64" s="4392">
        <f>++'Maj Techno Summ'!E21</f>
        <v>96</v>
      </c>
      <c r="I64" s="4393">
        <f>++'Maj Techno Summ'!F21</f>
        <v>95.812540022738901</v>
      </c>
      <c r="J64" s="4392">
        <f>++'Maj Techno Summ'!G21</f>
        <v>96</v>
      </c>
      <c r="K64" s="4393">
        <f>++'Maj Techno Summ'!H21</f>
        <v>95.667534001835477</v>
      </c>
      <c r="L64" s="4386">
        <f>++'Maj Techno Summ'!I21</f>
        <v>96</v>
      </c>
      <c r="M64" s="3847">
        <f>++'Maj Techno Summ'!J21</f>
        <v>95.737476932696083</v>
      </c>
      <c r="N64" s="4392">
        <f>++'Maj Techno Summ'!K21</f>
        <v>96</v>
      </c>
      <c r="O64" s="4393">
        <f>++'Maj Techno Summ'!L21</f>
        <v>95.828319866939381</v>
      </c>
      <c r="P64" s="4394">
        <f>++'Maj Techno Summ'!M21</f>
        <v>96</v>
      </c>
      <c r="Q64" s="4395">
        <f>++'Maj Techno Summ'!N21</f>
        <v>93.544342315921426</v>
      </c>
      <c r="R64" s="4392">
        <f>++'Maj Techno Summ'!O21</f>
        <v>96</v>
      </c>
      <c r="S64" s="4393">
        <f>++'Maj Techno Summ'!P21</f>
        <v>95.980373534772824</v>
      </c>
      <c r="T64" s="4386">
        <f>+WRM!Q153</f>
        <v>96</v>
      </c>
      <c r="U64" s="3847">
        <f>+WRM!R153</f>
        <v>94.151357873346072</v>
      </c>
      <c r="V64" s="4392">
        <f>++'Maj Techno Summ'!S21</f>
        <v>96</v>
      </c>
      <c r="W64" s="4393">
        <f>++'Maj Techno Summ'!T21</f>
        <v>95.889415039186275</v>
      </c>
      <c r="X64" s="4386">
        <f>+WRM!U153</f>
        <v>95.999999999999986</v>
      </c>
      <c r="Y64" s="3847">
        <f>+WRM!V153</f>
        <v>94.515922005478942</v>
      </c>
      <c r="Z64" s="4392">
        <f>++'Maj Techno Summ'!W21</f>
        <v>96</v>
      </c>
      <c r="AA64" s="4393">
        <f>++'Maj Techno Summ'!X21</f>
        <v>96.019246283514676</v>
      </c>
      <c r="AB64" s="4394">
        <f>+WRM!Y153</f>
        <v>95.999999999999986</v>
      </c>
      <c r="AC64" s="4394">
        <f>+WRM!Z153</f>
        <v>95.963663668491378</v>
      </c>
      <c r="AD64" s="4397">
        <f>+WRM!AA153</f>
        <v>96</v>
      </c>
      <c r="AE64" s="4398">
        <f>+WRM!AB153</f>
        <v>94.813608939752058</v>
      </c>
      <c r="AF64" s="4392">
        <f>++'Maj Techno Summ'!AC21</f>
        <v>96</v>
      </c>
      <c r="AG64" s="4393">
        <f>++'Maj Techno Summ'!AD21</f>
        <v>95.917021134700391</v>
      </c>
      <c r="AH64" s="4386">
        <f>++'Maj Techno Summ'!AE21</f>
        <v>96</v>
      </c>
      <c r="AI64" s="3847">
        <f>++'Maj Techno Summ'!AF21</f>
        <v>94.978587193048597</v>
      </c>
      <c r="AJ64" s="4392">
        <f>++'Maj Techno Summ'!AG21</f>
        <v>96</v>
      </c>
      <c r="AK64" s="4393">
        <f>++'Maj Techno Summ'!AH21</f>
        <v>95.589763343773882</v>
      </c>
      <c r="AL64" s="4386">
        <f>++'Maj Techno Summ'!AI21</f>
        <v>96</v>
      </c>
      <c r="AM64" s="3847">
        <f>++'Maj Techno Summ'!AJ21</f>
        <v>95.018958774110928</v>
      </c>
      <c r="AN64" s="4392">
        <f>++'Maj Techno Summ'!AK21</f>
        <v>96</v>
      </c>
      <c r="AO64" s="4393">
        <f>++'Maj Techno Summ'!AL21</f>
        <v>95.504190674215039</v>
      </c>
      <c r="AP64" s="4394">
        <f>+WRM!AM153</f>
        <v>96</v>
      </c>
      <c r="AQ64" s="4394">
        <f>+WRM!AN153</f>
        <v>95.69292018289876</v>
      </c>
      <c r="AR64" s="4386">
        <f>+WRM!AO153</f>
        <v>96.000000000000014</v>
      </c>
      <c r="AS64" s="3847">
        <f>+WRM!AP153</f>
        <v>95.074670229640006</v>
      </c>
      <c r="AT64" s="4392">
        <f>++'Maj Techno Summ'!AQ21</f>
        <v>96</v>
      </c>
      <c r="AU64" s="4393">
        <f>++'Maj Techno Summ'!AR21</f>
        <v>96.131407927563089</v>
      </c>
      <c r="AV64" s="4386">
        <f>+WRM!AS153</f>
        <v>96.000000000000014</v>
      </c>
      <c r="AW64" s="3847">
        <f>+WRM!AT153</f>
        <v>95.185575094230515</v>
      </c>
      <c r="AX64" s="4392">
        <f>++'Maj Techno Summ'!AU21</f>
        <v>96</v>
      </c>
      <c r="AY64" s="4393">
        <f>++'Maj Techno Summ'!AV21</f>
        <v>95.760199382221273</v>
      </c>
      <c r="AZ64" s="4386">
        <f>+WRM!AW153</f>
        <v>96.000000000000014</v>
      </c>
      <c r="BA64" s="3847">
        <f>+WRM!AX153</f>
        <v>95.232910154618921</v>
      </c>
      <c r="BB64" s="4392">
        <f>++'Maj Techno Summ'!AY21</f>
        <v>96</v>
      </c>
      <c r="BC64" s="4393">
        <f>++'Maj Techno Summ'!AZ21</f>
        <v>95.419404264602818</v>
      </c>
      <c r="BD64" s="4396">
        <f>+WRM!BA153</f>
        <v>95.999999999999986</v>
      </c>
      <c r="BE64" s="4396">
        <f>+WRM!BB153</f>
        <v>95.761638869331975</v>
      </c>
      <c r="BF64" s="4397">
        <f>+WRM!BC153</f>
        <v>96</v>
      </c>
      <c r="BG64" s="4398">
        <f>+WRM!BD153</f>
        <v>95.729796138600832</v>
      </c>
      <c r="BH64" s="4386">
        <f>+WRM!BE153</f>
        <v>96.000000000000014</v>
      </c>
      <c r="BI64" s="3847">
        <f>+WRM!BF153</f>
        <v>95.25043353477335</v>
      </c>
    </row>
    <row r="65" spans="3:61" x14ac:dyDescent="0.25">
      <c r="C65" s="7423"/>
      <c r="D65" s="4524" t="s">
        <v>1063</v>
      </c>
      <c r="E65" s="4140" t="s">
        <v>49</v>
      </c>
      <c r="F65" s="4516">
        <v>83.928534989967247</v>
      </c>
      <c r="G65" s="4525">
        <v>87.500000000000014</v>
      </c>
      <c r="H65" s="4392">
        <f>+WRM!E160</f>
        <v>87.5</v>
      </c>
      <c r="I65" s="4393">
        <f>+WRM!F160</f>
        <v>86.375218739446765</v>
      </c>
      <c r="J65" s="4392">
        <f>+WRM!G160</f>
        <v>87.499999999999986</v>
      </c>
      <c r="K65" s="4393">
        <f>+WRM!H160</f>
        <v>88.984700973574448</v>
      </c>
      <c r="L65" s="4386">
        <f>+WRM!I160</f>
        <v>87.499999999999986</v>
      </c>
      <c r="M65" s="3847">
        <f>+WRM!J160</f>
        <v>87.744261051033973</v>
      </c>
      <c r="N65" s="4392">
        <f>+WRM!K160</f>
        <v>85.833333333333343</v>
      </c>
      <c r="O65" s="4393">
        <f>+WRM!L160</f>
        <v>85.877090515399317</v>
      </c>
      <c r="P65" s="4394">
        <f>+WRM!M160</f>
        <v>87.053046342037163</v>
      </c>
      <c r="Q65" s="4395">
        <f>+WRM!N160</f>
        <v>87.111810233348152</v>
      </c>
      <c r="R65" s="4392">
        <f>+WRM!O160</f>
        <v>85.833333333333343</v>
      </c>
      <c r="S65" s="4393">
        <f>+WRM!P160</f>
        <v>86.060639379862053</v>
      </c>
      <c r="T65" s="4386">
        <f>+WRM!Q160</f>
        <v>86.828343887929378</v>
      </c>
      <c r="U65" s="3847">
        <f>+WRM!R160</f>
        <v>86.83866543810403</v>
      </c>
      <c r="V65" s="4392">
        <f>+WRM!S160</f>
        <v>85.833333333333343</v>
      </c>
      <c r="W65" s="4393">
        <f>+WRM!T160</f>
        <v>91.136649874055408</v>
      </c>
      <c r="X65" s="4386">
        <f>+WRM!U160</f>
        <v>86.587734613705805</v>
      </c>
      <c r="Y65" s="3847">
        <f>+WRM!V160</f>
        <v>87.758333192973026</v>
      </c>
      <c r="Z65" s="4392">
        <f>+WRM!W160</f>
        <v>85.833333333333343</v>
      </c>
      <c r="AA65" s="4393">
        <f>+WRM!X160</f>
        <v>89.736372756660316</v>
      </c>
      <c r="AB65" s="4394">
        <f>+WRM!Y160</f>
        <v>85.833333333333343</v>
      </c>
      <c r="AC65" s="4394">
        <f>+WRM!Z160</f>
        <v>89.00838052095132</v>
      </c>
      <c r="AD65" s="4397">
        <f>+WRM!AA160</f>
        <v>86.445132743362834</v>
      </c>
      <c r="AE65" s="4398">
        <f>+WRM!AB160</f>
        <v>88.090019953550751</v>
      </c>
      <c r="AF65" s="4392">
        <f>+WRM!AC160</f>
        <v>85.833333333333343</v>
      </c>
      <c r="AG65" s="4393">
        <f>+WRM!AD160</f>
        <v>88.890957942060581</v>
      </c>
      <c r="AH65" s="4386">
        <f>+WRM!AE160</f>
        <v>86.344825885370412</v>
      </c>
      <c r="AI65" s="3847">
        <f>+WRM!AF160</f>
        <v>88.209692036186155</v>
      </c>
      <c r="AJ65" s="4392">
        <f>+WRM!AG160</f>
        <v>85.833333333333343</v>
      </c>
      <c r="AK65" s="4393">
        <f>+WRM!AH160</f>
        <v>82.317262830482107</v>
      </c>
      <c r="AL65" s="4386">
        <f>+WRM!AI160</f>
        <v>86.275023426186209</v>
      </c>
      <c r="AM65" s="3847">
        <f>+WRM!AJ160</f>
        <v>87.790075236822489</v>
      </c>
      <c r="AN65" s="4392">
        <f>+WRM!AK160</f>
        <v>85.833333333333343</v>
      </c>
      <c r="AO65" s="4393">
        <f>+WRM!AL160</f>
        <v>83.777627118644034</v>
      </c>
      <c r="AP65" s="4394">
        <f>+WRM!AM160</f>
        <v>85.833333333333329</v>
      </c>
      <c r="AQ65" s="4394">
        <f>+WRM!AN160</f>
        <v>85.527326251119902</v>
      </c>
      <c r="AR65" s="4386">
        <f>+WRM!AO160</f>
        <v>86.220244757853877</v>
      </c>
      <c r="AS65" s="3847">
        <f>+WRM!AP160</f>
        <v>87.309303239935915</v>
      </c>
      <c r="AT65" s="4392">
        <f>+WRM!AQ160</f>
        <v>85.833333333333343</v>
      </c>
      <c r="AU65" s="4393">
        <f>+WRM!AR160</f>
        <v>88.013518380010524</v>
      </c>
      <c r="AV65" s="4386">
        <f>+WRM!AS160</f>
        <v>86.17755427205735</v>
      </c>
      <c r="AW65" s="3847">
        <f>+WRM!AT160</f>
        <v>87.38323464746459</v>
      </c>
      <c r="AX65" s="4392">
        <f>+WRM!AU160</f>
        <v>85.833333333333343</v>
      </c>
      <c r="AY65" s="4393">
        <f>+WRM!AV160</f>
        <v>89.43532600511972</v>
      </c>
      <c r="AZ65" s="4386">
        <f>+WRM!AW160</f>
        <v>86.146721063765469</v>
      </c>
      <c r="BA65" s="3847">
        <f>+WRM!AX160</f>
        <v>87.563949217227091</v>
      </c>
      <c r="BB65" s="4392">
        <f>+WRM!AY160</f>
        <v>85.833333333333343</v>
      </c>
      <c r="BC65" s="4393">
        <f>+WRM!AZ160</f>
        <v>87.499671458984935</v>
      </c>
      <c r="BD65" s="4396">
        <f>+WRM!BA160</f>
        <v>85.833333333333343</v>
      </c>
      <c r="BE65" s="4396">
        <f>+WRM!BB160</f>
        <v>88.271185177594973</v>
      </c>
      <c r="BF65" s="4397">
        <f>+WRM!BC160</f>
        <v>85.833333333333329</v>
      </c>
      <c r="BG65" s="4398">
        <f>+WRM!BD160</f>
        <v>86.991999283963239</v>
      </c>
      <c r="BH65" s="4386">
        <f>+WRM!BE160</f>
        <v>86.118113912231536</v>
      </c>
      <c r="BI65" s="3847">
        <f>+WRM!BF160</f>
        <v>87.558057739747127</v>
      </c>
    </row>
    <row r="66" spans="3:61" x14ac:dyDescent="0.25">
      <c r="C66" s="7423"/>
      <c r="D66" s="4524" t="s">
        <v>312</v>
      </c>
      <c r="E66" s="4140" t="s">
        <v>551</v>
      </c>
      <c r="F66" s="4516">
        <v>75.551242533855927</v>
      </c>
      <c r="G66" s="4525">
        <v>79.035763683066577</v>
      </c>
      <c r="H66" s="4392">
        <f>+WRM!E170</f>
        <v>79.365079365079367</v>
      </c>
      <c r="I66" s="4393">
        <f>+WRM!F170</f>
        <v>78.359722765239042</v>
      </c>
      <c r="J66" s="4392">
        <f>+WRM!G170</f>
        <v>79.51567723863738</v>
      </c>
      <c r="K66" s="4393">
        <f>+WRM!H170</f>
        <v>73.849984370115649</v>
      </c>
      <c r="L66" s="4386">
        <f>+WRM!I170</f>
        <v>79.441612710658035</v>
      </c>
      <c r="M66" s="3847">
        <f>+WRM!J170</f>
        <v>75.960279417879377</v>
      </c>
      <c r="N66" s="4392">
        <f>+WRM!K170</f>
        <v>76.647930505876332</v>
      </c>
      <c r="O66" s="4393">
        <f>+WRM!L170</f>
        <v>76.259836772609646</v>
      </c>
      <c r="P66" s="4394">
        <f>+WRM!M170</f>
        <v>78.702921803749362</v>
      </c>
      <c r="Q66" s="4395">
        <f>+WRM!N170</f>
        <v>74.294346771245273</v>
      </c>
      <c r="R66" s="4392">
        <f>+WRM!O170</f>
        <v>75.849514563106794</v>
      </c>
      <c r="S66" s="4393">
        <f>+WRM!P170</f>
        <v>80.569950172479878</v>
      </c>
      <c r="T66" s="4386">
        <f>+WRM!Q170</f>
        <v>78.183274857032359</v>
      </c>
      <c r="U66" s="3847">
        <f>+WRM!R170</f>
        <v>75.873006785934606</v>
      </c>
      <c r="V66" s="4392">
        <f>+WRM!S170</f>
        <v>79.737829028074728</v>
      </c>
      <c r="W66" s="4393">
        <f>+WRM!T170</f>
        <v>71.79072378649164</v>
      </c>
      <c r="X66" s="4386">
        <f>+WRM!U170</f>
        <v>78.555915428465809</v>
      </c>
      <c r="Y66" s="3847">
        <f>+WRM!V170</f>
        <v>74.965867608391079</v>
      </c>
      <c r="Z66" s="4392">
        <f>+WRM!W170</f>
        <v>79.997091014872183</v>
      </c>
      <c r="AA66" s="4393">
        <f>+WRM!X170</f>
        <v>80.023912300860246</v>
      </c>
      <c r="AB66" s="4394">
        <f>+WRM!Y170</f>
        <v>78.952449249779349</v>
      </c>
      <c r="AC66" s="4394">
        <f>+WRM!Z170</f>
        <v>77.287063709373712</v>
      </c>
      <c r="AD66" s="4397">
        <f>+WRM!AA170</f>
        <v>78.826407870356164</v>
      </c>
      <c r="AE66" s="4398">
        <f>+WRM!AB170</f>
        <v>75.8540172935123</v>
      </c>
      <c r="AF66" s="4392">
        <f>+WRM!AC170</f>
        <v>79.737829028074728</v>
      </c>
      <c r="AG66" s="4393">
        <f>+WRM!AD170</f>
        <v>76.106108035313511</v>
      </c>
      <c r="AH66" s="4386">
        <f>+WRM!AE170</f>
        <v>78.974953657554323</v>
      </c>
      <c r="AI66" s="3847">
        <f>+WRM!AF170</f>
        <v>75.89197431564719</v>
      </c>
      <c r="AJ66" s="4392">
        <f>+WRM!AG170</f>
        <v>79.997091014872183</v>
      </c>
      <c r="AK66" s="4393">
        <f>+WRM!AH170</f>
        <v>75.501039108256222</v>
      </c>
      <c r="AL66" s="4386">
        <f>+WRM!AI170</f>
        <v>79.113728762098489</v>
      </c>
      <c r="AM66" s="3847">
        <f>+WRM!AJ170</f>
        <v>75.865870212443852</v>
      </c>
      <c r="AN66" s="4392">
        <f>+WRM!AK170</f>
        <v>79.737829028074728</v>
      </c>
      <c r="AO66" s="4393">
        <f>+WRM!AL170</f>
        <v>76.133946201404896</v>
      </c>
      <c r="AP66" s="4394">
        <f>+WRM!AM170</f>
        <v>79.822144436692184</v>
      </c>
      <c r="AQ66" s="4394">
        <f>+WRM!AN170</f>
        <v>75.997014478656169</v>
      </c>
      <c r="AR66" s="4386">
        <f>+WRM!AO170</f>
        <v>79.19078271217613</v>
      </c>
      <c r="AS66" s="3847">
        <f>+WRM!AP170</f>
        <v>75.896691812711026</v>
      </c>
      <c r="AT66" s="4392">
        <f>+WRM!AQ170</f>
        <v>79.737829028074728</v>
      </c>
      <c r="AU66" s="4393">
        <f>+WRM!AR170</f>
        <v>76.098797683494894</v>
      </c>
      <c r="AV66" s="4386">
        <f>+WRM!AS170</f>
        <v>79.250900841041755</v>
      </c>
      <c r="AW66" s="3847">
        <f>+WRM!AT170</f>
        <v>75.918062761882311</v>
      </c>
      <c r="AX66" s="4392">
        <f>+WRM!AU170</f>
        <v>79.595927833025428</v>
      </c>
      <c r="AY66" s="4393">
        <f>+WRM!AV170</f>
        <v>69.371350641478941</v>
      </c>
      <c r="AZ66" s="4386">
        <f>+WRM!AW170</f>
        <v>79.281693821816148</v>
      </c>
      <c r="BA66" s="3847">
        <f>+WRM!AX170</f>
        <v>75.329214395183058</v>
      </c>
      <c r="BB66" s="4392">
        <f>+WRM!AY170</f>
        <v>79.737829028074728</v>
      </c>
      <c r="BC66" s="4393">
        <f>+WRM!AZ170</f>
        <v>77.629179057402936</v>
      </c>
      <c r="BD66" s="4396">
        <f>+WRM!BA170</f>
        <v>79.694071730724943</v>
      </c>
      <c r="BE66" s="4396">
        <f>+WRM!BB170</f>
        <v>74.528123680878039</v>
      </c>
      <c r="BF66" s="4397">
        <f>+WRM!BC170</f>
        <v>79.758897681155958</v>
      </c>
      <c r="BG66" s="4398">
        <f>+WRM!BD170</f>
        <v>75.201390135298155</v>
      </c>
      <c r="BH66" s="4386">
        <f>+WRM!BE170</f>
        <v>79.32319378297494</v>
      </c>
      <c r="BI66" s="3847">
        <f>+WRM!BF170</f>
        <v>75.539880646128722</v>
      </c>
    </row>
    <row r="67" spans="3:61" x14ac:dyDescent="0.25">
      <c r="C67" s="7423"/>
      <c r="D67" s="4526" t="s">
        <v>91</v>
      </c>
      <c r="E67" s="1555"/>
      <c r="F67" s="4527"/>
      <c r="G67" s="4528"/>
      <c r="H67" s="4385"/>
      <c r="I67" s="3868"/>
      <c r="J67" s="4385"/>
      <c r="K67" s="3868"/>
      <c r="L67" s="4386"/>
      <c r="M67" s="3847"/>
      <c r="N67" s="4385"/>
      <c r="O67" s="3868"/>
      <c r="P67" s="4385"/>
      <c r="Q67" s="3868"/>
      <c r="R67" s="4385"/>
      <c r="S67" s="3868"/>
      <c r="T67" s="4385"/>
      <c r="U67" s="3868"/>
      <c r="V67" s="4385"/>
      <c r="W67" s="3868"/>
      <c r="X67" s="4385"/>
      <c r="Y67" s="3868"/>
      <c r="Z67" s="4385"/>
      <c r="AA67" s="3868"/>
      <c r="AB67" s="4385"/>
      <c r="AC67" s="4385"/>
      <c r="AD67" s="4385"/>
      <c r="AE67" s="4387"/>
      <c r="AF67" s="4385"/>
      <c r="AG67" s="3868"/>
      <c r="AH67" s="4385"/>
      <c r="AI67" s="3868"/>
      <c r="AJ67" s="4385"/>
      <c r="AK67" s="3868"/>
      <c r="AL67" s="4385"/>
      <c r="AM67" s="3868"/>
      <c r="AN67" s="4385"/>
      <c r="AO67" s="3868"/>
      <c r="AP67" s="4385"/>
      <c r="AQ67" s="4385"/>
      <c r="AR67" s="4385"/>
      <c r="AS67" s="3868"/>
      <c r="AT67" s="4385"/>
      <c r="AU67" s="3868"/>
      <c r="AV67" s="4385"/>
      <c r="AW67" s="3868"/>
      <c r="AX67" s="4385"/>
      <c r="AY67" s="3868"/>
      <c r="AZ67" s="4385"/>
      <c r="BA67" s="3868"/>
      <c r="BB67" s="4385"/>
      <c r="BC67" s="3868"/>
      <c r="BD67" s="3868"/>
      <c r="BE67" s="3868"/>
      <c r="BF67" s="3868"/>
      <c r="BG67" s="3868"/>
      <c r="BH67" s="3868"/>
      <c r="BI67" s="3868"/>
    </row>
    <row r="68" spans="3:61" x14ac:dyDescent="0.25">
      <c r="C68" s="7423"/>
      <c r="D68" s="4524" t="s">
        <v>1064</v>
      </c>
      <c r="E68" s="4140" t="s">
        <v>49</v>
      </c>
      <c r="F68" s="4516">
        <v>95.450022221864671</v>
      </c>
      <c r="G68" s="4529">
        <v>96.5</v>
      </c>
      <c r="H68" s="4392">
        <f>+'Maj Techno Summ'!E22</f>
        <v>96.5</v>
      </c>
      <c r="I68" s="4393">
        <f>+'Maj Techno Summ'!F22</f>
        <v>96.340554248429044</v>
      </c>
      <c r="J68" s="4392">
        <f>+'Maj Techno Summ'!G22</f>
        <v>96.5</v>
      </c>
      <c r="K68" s="4393">
        <f>+'Maj Techno Summ'!H22</f>
        <v>96.517503903684087</v>
      </c>
      <c r="L68" s="4386">
        <f>+'Maj Techno Summ'!I22</f>
        <v>96.5</v>
      </c>
      <c r="M68" s="3847">
        <f>+'Maj Techno Summ'!J22</f>
        <v>96.434687077655013</v>
      </c>
      <c r="N68" s="4392">
        <f>+'Maj Techno Summ'!K22</f>
        <v>96.5</v>
      </c>
      <c r="O68" s="4393">
        <f>+'Maj Techno Summ'!L22</f>
        <v>96.368789993966118</v>
      </c>
      <c r="P68" s="4394">
        <f>+'Maj Techno Summ'!M22</f>
        <v>96.5</v>
      </c>
      <c r="Q68" s="4395">
        <f>+'Maj Techno Summ'!N22</f>
        <v>96.417695053573311</v>
      </c>
      <c r="R68" s="4392">
        <f>+'Maj Techno Summ'!O22</f>
        <v>96.5</v>
      </c>
      <c r="S68" s="4393">
        <f>+'Maj Techno Summ'!P22</f>
        <v>96.278900525834928</v>
      </c>
      <c r="T68" s="4386">
        <f>+BM!Q55</f>
        <v>96.5</v>
      </c>
      <c r="U68" s="3847">
        <f>+BM!R55</f>
        <v>96.380641239834631</v>
      </c>
      <c r="V68" s="4392">
        <f>+'Maj Techno Summ'!S22</f>
        <v>96.5</v>
      </c>
      <c r="W68" s="4393">
        <f>+'Maj Techno Summ'!T22</f>
        <v>96.354195762942425</v>
      </c>
      <c r="X68" s="4386">
        <f>+BM!U55</f>
        <v>96.500000000000014</v>
      </c>
      <c r="Y68" s="3847">
        <f>+BM!V55</f>
        <v>96.375005523751497</v>
      </c>
      <c r="Z68" s="4392">
        <f>+'Maj Techno Summ'!W22</f>
        <v>96.5</v>
      </c>
      <c r="AA68" s="4393">
        <f>+'Maj Techno Summ'!X22</f>
        <v>96.249592078903603</v>
      </c>
      <c r="AB68" s="4394">
        <f>+BM!Y55</f>
        <v>96.5</v>
      </c>
      <c r="AC68" s="4394">
        <f>+BM!Z55</f>
        <v>96.29442970859688</v>
      </c>
      <c r="AD68" s="4397">
        <f>+BM!AA55</f>
        <v>96.5</v>
      </c>
      <c r="AE68" s="4398">
        <f>+BM!AB55</f>
        <v>96.353128191254399</v>
      </c>
      <c r="AF68" s="4392">
        <f>+'Maj Techno Summ'!AC22</f>
        <v>96.5</v>
      </c>
      <c r="AG68" s="4393">
        <f>+'Maj Techno Summ'!AD22</f>
        <v>96.204059065906378</v>
      </c>
      <c r="AH68" s="4386">
        <f>+'Maj Techno Summ'!AE22</f>
        <v>96.5</v>
      </c>
      <c r="AI68" s="3847">
        <f>+'Maj Techno Summ'!AF22</f>
        <v>96.331985564640988</v>
      </c>
      <c r="AJ68" s="4392">
        <f>+'Maj Techno Summ'!AG22</f>
        <v>96.5</v>
      </c>
      <c r="AK68" s="4393">
        <f>+'Maj Techno Summ'!AH22</f>
        <v>94.958487192653337</v>
      </c>
      <c r="AL68" s="4386">
        <f>+'Maj Techno Summ'!AI22</f>
        <v>96.5</v>
      </c>
      <c r="AM68" s="3847">
        <f>+'Maj Techno Summ'!AJ22</f>
        <v>96.322676853715677</v>
      </c>
      <c r="AN68" s="4392">
        <f>+'Maj Techno Summ'!AK22</f>
        <v>96.5</v>
      </c>
      <c r="AO68" s="4393">
        <f>+'Maj Techno Summ'!AL22</f>
        <v>96.296097647380492</v>
      </c>
      <c r="AP68" s="4394">
        <f>+BM!AM55</f>
        <v>96.5</v>
      </c>
      <c r="AQ68" s="4394">
        <f>+BM!AN55</f>
        <v>96.22181161869544</v>
      </c>
      <c r="AR68" s="4386">
        <f>+BM!AO55</f>
        <v>96.5</v>
      </c>
      <c r="AS68" s="3847">
        <f>+BM!AP55</f>
        <v>96.319231687647402</v>
      </c>
      <c r="AT68" s="4392">
        <f>+'Maj Techno Summ'!AQ22</f>
        <v>96.5</v>
      </c>
      <c r="AU68" s="4393">
        <f>+'Maj Techno Summ'!AR22</f>
        <v>96.148154975014705</v>
      </c>
      <c r="AV68" s="4386">
        <f>+'Maj Techno Summ'!AS22</f>
        <v>96.5</v>
      </c>
      <c r="AW68" s="3847">
        <f>+'Maj Techno Summ'!AT22</f>
        <v>96.299709140774652</v>
      </c>
      <c r="AX68" s="4392">
        <f>+'Maj Techno Summ'!AU22</f>
        <v>96.5</v>
      </c>
      <c r="AY68" s="4393">
        <f>+'Maj Techno Summ'!AV22</f>
        <v>96.184460544082043</v>
      </c>
      <c r="AZ68" s="4386">
        <f>+'Maj Techno Summ'!AW22</f>
        <v>96.5</v>
      </c>
      <c r="BA68" s="3847">
        <f>+'Maj Techno Summ'!AX22</f>
        <v>96.288531189664099</v>
      </c>
      <c r="BB68" s="4392">
        <f>+'Maj Techno Summ'!AY22</f>
        <v>96.5</v>
      </c>
      <c r="BC68" s="4393">
        <f>+'Maj Techno Summ'!AZ22</f>
        <v>96.379797529138472</v>
      </c>
      <c r="BD68" s="4396">
        <f>+'Maj Techno Summ'!BA22</f>
        <v>96.5</v>
      </c>
      <c r="BE68" s="4396">
        <f>+'Maj Techno Summ'!BB22</f>
        <v>96.243641618151642</v>
      </c>
      <c r="BF68" s="4397">
        <f>+'Maj Techno Summ'!BC22</f>
        <v>96.5</v>
      </c>
      <c r="BG68" s="4398">
        <f>+'Maj Techno Summ'!BD22</f>
        <v>96.234988789342083</v>
      </c>
      <c r="BH68" s="4386">
        <f>+'Maj Techno Summ'!BE22</f>
        <v>96.5</v>
      </c>
      <c r="BI68" s="3847">
        <f>+'Maj Techno Summ'!BF22</f>
        <v>96.297902078505174</v>
      </c>
    </row>
    <row r="69" spans="3:61" x14ac:dyDescent="0.25">
      <c r="C69" s="7423"/>
      <c r="D69" s="4524" t="s">
        <v>1063</v>
      </c>
      <c r="E69" s="4140" t="s">
        <v>49</v>
      </c>
      <c r="F69" s="4514">
        <v>80.103400582885854</v>
      </c>
      <c r="G69" s="4525">
        <v>85.416666666666671</v>
      </c>
      <c r="H69" s="4392">
        <f>+BM!E66</f>
        <v>85.416666666666657</v>
      </c>
      <c r="I69" s="4393">
        <f>+BM!F66</f>
        <v>89.026578924878208</v>
      </c>
      <c r="J69" s="4392">
        <f>+BM!G66</f>
        <v>85.416666666666657</v>
      </c>
      <c r="K69" s="4393">
        <f>+BM!H66</f>
        <v>89.292985145901909</v>
      </c>
      <c r="L69" s="4386">
        <f>+BM!I66</f>
        <v>85.416666666666657</v>
      </c>
      <c r="M69" s="3847">
        <f>+BM!J66</f>
        <v>89.168113232741348</v>
      </c>
      <c r="N69" s="4392">
        <f>+BM!K66</f>
        <v>83.333333333333343</v>
      </c>
      <c r="O69" s="4393">
        <f>+BM!L66</f>
        <v>83.857178777973346</v>
      </c>
      <c r="P69" s="4394">
        <f>+BM!M66</f>
        <v>84.924768518518519</v>
      </c>
      <c r="Q69" s="4395">
        <f>+BM!N66</f>
        <v>87.728878894956637</v>
      </c>
      <c r="R69" s="4392">
        <f>+BM!O66</f>
        <v>83.333333333333343</v>
      </c>
      <c r="S69" s="4393">
        <f>+BM!P66</f>
        <v>87.487471646357548</v>
      </c>
      <c r="T69" s="4386">
        <f>+BM!Q66</f>
        <v>84.620786516853926</v>
      </c>
      <c r="U69" s="3847">
        <f>+BM!R66</f>
        <v>87.663801255661483</v>
      </c>
      <c r="V69" s="4392">
        <f>+BM!S66</f>
        <v>83.333333333333343</v>
      </c>
      <c r="W69" s="4393">
        <f>+BM!T66</f>
        <v>89.146648971466476</v>
      </c>
      <c r="X69" s="4386">
        <f>+BM!U66</f>
        <v>84.304378531073439</v>
      </c>
      <c r="Y69" s="3847">
        <f>+BM!V66</f>
        <v>87.977097096198904</v>
      </c>
      <c r="Z69" s="4392">
        <f>+BM!W66</f>
        <v>83.333333333333343</v>
      </c>
      <c r="AA69" s="4393">
        <f>+BM!X66</f>
        <v>88.383798246311173</v>
      </c>
      <c r="AB69" s="4394">
        <f>+BM!Y66</f>
        <v>83.333333333333343</v>
      </c>
      <c r="AC69" s="4394">
        <f>+BM!Z66</f>
        <v>88.337539042510002</v>
      </c>
      <c r="AD69" s="4397">
        <f>+BM!AA66</f>
        <v>84.118150684931507</v>
      </c>
      <c r="AE69" s="4398">
        <f>+BM!AB66</f>
        <v>88.048151730713144</v>
      </c>
      <c r="AF69" s="4392">
        <f>+BM!AC66</f>
        <v>83.333333333333343</v>
      </c>
      <c r="AG69" s="4393">
        <f>+BM!AD66</f>
        <v>79.715141296962656</v>
      </c>
      <c r="AH69" s="4386">
        <f>+BM!AE66</f>
        <v>83.988095238095241</v>
      </c>
      <c r="AI69" s="3847">
        <f>+BM!AF66</f>
        <v>86.753633612972308</v>
      </c>
      <c r="AJ69" s="4392">
        <f>+BM!AG66</f>
        <v>83.333333333333343</v>
      </c>
      <c r="AK69" s="4393">
        <f>+BM!AH66</f>
        <v>72.067714631197106</v>
      </c>
      <c r="AL69" s="4386">
        <f>+BM!AI66</f>
        <v>83.89778325123153</v>
      </c>
      <c r="AM69" s="3847">
        <f>+BM!AJ66</f>
        <v>86.61256664098461</v>
      </c>
      <c r="AN69" s="4392">
        <f>+BM!AK66</f>
        <v>83.333333333333343</v>
      </c>
      <c r="AO69" s="4393">
        <f>+BM!AL66</f>
        <v>87.548184215865277</v>
      </c>
      <c r="AP69" s="4394">
        <f>+BM!AM66</f>
        <v>83.333333333333343</v>
      </c>
      <c r="AQ69" s="4394">
        <f>+BM!AN66</f>
        <v>83.265566060843568</v>
      </c>
      <c r="AR69" s="4386">
        <f>+BM!AO66</f>
        <v>83.827227011494259</v>
      </c>
      <c r="AS69" s="3847">
        <f>+BM!AP66</f>
        <v>86.736486418401228</v>
      </c>
      <c r="AT69" s="4392">
        <f>+BM!AQ66</f>
        <v>83.333333333333343</v>
      </c>
      <c r="AU69" s="4393">
        <f>+BM!AR66</f>
        <v>87.271777458534686</v>
      </c>
      <c r="AV69" s="4386">
        <f>+BM!AS66</f>
        <v>83.772349936143044</v>
      </c>
      <c r="AW69" s="3847">
        <f>+BM!AT66</f>
        <v>86.797478601445206</v>
      </c>
      <c r="AX69" s="4392">
        <f>+BM!AU66</f>
        <v>83.333333333333343</v>
      </c>
      <c r="AY69" s="4393">
        <f>+BM!AV66</f>
        <v>84.796459179070823</v>
      </c>
      <c r="AZ69" s="4386">
        <f>+BM!AW66</f>
        <v>83.732578397212549</v>
      </c>
      <c r="BA69" s="3847">
        <f>+BM!AX66</f>
        <v>86.606402567056818</v>
      </c>
      <c r="BB69" s="4392">
        <f>+BM!AY66</f>
        <v>83.333333333333343</v>
      </c>
      <c r="BC69" s="4393">
        <f>+BM!AZ66</f>
        <v>87.801023479831429</v>
      </c>
      <c r="BD69" s="4396">
        <f>+BM!BA66</f>
        <v>83.333333333333343</v>
      </c>
      <c r="BE69" s="4396">
        <f>+BM!BB66</f>
        <v>86.684679768704726</v>
      </c>
      <c r="BF69" s="4397">
        <f>+BM!BC66</f>
        <v>83.333333333333343</v>
      </c>
      <c r="BG69" s="4398">
        <f>+BM!BD66</f>
        <v>85.25500197159873</v>
      </c>
      <c r="BH69" s="4386">
        <f>+BM!BE66</f>
        <v>83.695938818565395</v>
      </c>
      <c r="BI69" s="3847">
        <f>+BM!BF66</f>
        <v>86.722176301842765</v>
      </c>
    </row>
    <row r="70" spans="3:61" x14ac:dyDescent="0.25">
      <c r="C70" s="7423"/>
      <c r="D70" s="4524" t="s">
        <v>312</v>
      </c>
      <c r="E70" s="4140" t="s">
        <v>551</v>
      </c>
      <c r="F70" s="4514">
        <v>129.35729675734254</v>
      </c>
      <c r="G70" s="4525">
        <v>137.10942855837052</v>
      </c>
      <c r="H70" s="4392">
        <f>+BM!E76</f>
        <v>137.30803974706413</v>
      </c>
      <c r="I70" s="4393">
        <f>+BM!F76</f>
        <v>128.43516367476246</v>
      </c>
      <c r="J70" s="4392">
        <f>+BM!G76</f>
        <v>137.63066202090593</v>
      </c>
      <c r="K70" s="4393">
        <f>+BM!H76</f>
        <v>128.64970585751695</v>
      </c>
      <c r="L70" s="4386">
        <f>+BM!I76</f>
        <v>137.47228381374723</v>
      </c>
      <c r="M70" s="3847">
        <f>+BM!J76</f>
        <v>128.54930366288306</v>
      </c>
      <c r="N70" s="4392">
        <f>+BM!K76</f>
        <v>141.1764705882353</v>
      </c>
      <c r="O70" s="4393">
        <f>+BM!L76</f>
        <v>127.67436624544887</v>
      </c>
      <c r="P70" s="4394">
        <f>+BM!M76</f>
        <v>138.3304940374787</v>
      </c>
      <c r="Q70" s="4395">
        <f>+BM!N76</f>
        <v>128.32266435870989</v>
      </c>
      <c r="R70" s="4392">
        <f>+BM!O76</f>
        <v>110.29411764705883</v>
      </c>
      <c r="S70" s="4393">
        <f>+BM!P76</f>
        <v>126.79614410612015</v>
      </c>
      <c r="T70" s="4386">
        <f>+BM!Q76</f>
        <v>133.05670816044261</v>
      </c>
      <c r="U70" s="3847">
        <f>+BM!R76</f>
        <v>127.91197862003531</v>
      </c>
      <c r="V70" s="4392">
        <f>+BM!S76</f>
        <v>137.93103448275863</v>
      </c>
      <c r="W70" s="4393">
        <f>+BM!T76</f>
        <v>127.1317983683679</v>
      </c>
      <c r="X70" s="4386">
        <f>+BM!U76</f>
        <v>134.24083769633509</v>
      </c>
      <c r="Y70" s="3847">
        <f>+BM!V76</f>
        <v>127.74495094945797</v>
      </c>
      <c r="Z70" s="4392">
        <f>+BM!W76</f>
        <v>138.39285714285714</v>
      </c>
      <c r="AA70" s="4393">
        <f>+BM!X76</f>
        <v>126.75568277184993</v>
      </c>
      <c r="AB70" s="4394">
        <f>+BM!Y76</f>
        <v>131.75675675675674</v>
      </c>
      <c r="AC70" s="4394">
        <f>+BM!Z76</f>
        <v>126.89525848981235</v>
      </c>
      <c r="AD70" s="4397">
        <f>+BM!AA76</f>
        <v>135.02968617472433</v>
      </c>
      <c r="AE70" s="4398">
        <f>+BM!AB76</f>
        <v>127.57145734665676</v>
      </c>
      <c r="AF70" s="4392">
        <f>+BM!AC76</f>
        <v>137.93103448275863</v>
      </c>
      <c r="AG70" s="4393">
        <f>+BM!AD76</f>
        <v>126.42426920891478</v>
      </c>
      <c r="AH70" s="4386">
        <f>+BM!AE76</f>
        <v>135.50673281360736</v>
      </c>
      <c r="AI70" s="3847">
        <f>+BM!AF76</f>
        <v>127.40770256082131</v>
      </c>
      <c r="AJ70" s="4392">
        <f>+BM!AG76</f>
        <v>138.39285714285714</v>
      </c>
      <c r="AK70" s="4393">
        <f>+BM!AH76</f>
        <v>106.36644295302014</v>
      </c>
      <c r="AL70" s="4386">
        <f>+BM!AI76</f>
        <v>135.90214067278288</v>
      </c>
      <c r="AM70" s="3847">
        <f>+BM!AJ76</f>
        <v>127.23952974623293</v>
      </c>
      <c r="AN70" s="4392">
        <f>+BM!AK76</f>
        <v>137.93103448275863</v>
      </c>
      <c r="AO70" s="4393">
        <f>+BM!AL76</f>
        <v>122.75759805341532</v>
      </c>
      <c r="AP70" s="4394">
        <f>+BM!AM76</f>
        <v>138.08139534883722</v>
      </c>
      <c r="AQ70" s="4394">
        <f>+BM!AN76</f>
        <v>124.03496205212693</v>
      </c>
      <c r="AR70" s="4386">
        <f>+BM!AO76</f>
        <v>136.15425816818424</v>
      </c>
      <c r="AS70" s="3847">
        <f>+BM!AP76</f>
        <v>126.64035596036118</v>
      </c>
      <c r="AT70" s="4392">
        <f>+BM!AQ76</f>
        <v>137.93103448275863</v>
      </c>
      <c r="AU70" s="4393">
        <f>+BM!AR76</f>
        <v>125.85618640009596</v>
      </c>
      <c r="AV70" s="4386">
        <f>+BM!AS76</f>
        <v>136.35064316341115</v>
      </c>
      <c r="AW70" s="3847">
        <f>+BM!AT76</f>
        <v>126.55051779058657</v>
      </c>
      <c r="AX70" s="4392">
        <f>+BM!AU76</f>
        <v>139.42307692307693</v>
      </c>
      <c r="AY70" s="4393">
        <f>+BM!AV76</f>
        <v>131.63336547092669</v>
      </c>
      <c r="AZ70" s="4386">
        <f>+BM!AW76</f>
        <v>136.62765496315561</v>
      </c>
      <c r="BA70" s="3847">
        <f>+BM!AX76</f>
        <v>127.02573234034365</v>
      </c>
      <c r="BB70" s="4392">
        <f>+BM!AY76</f>
        <v>137.93103448275863</v>
      </c>
      <c r="BC70" s="4393">
        <f>+BM!AZ76</f>
        <v>133.72865346704393</v>
      </c>
      <c r="BD70" s="4396">
        <f>+BM!BA76</f>
        <v>138.39285714285714</v>
      </c>
      <c r="BE70" s="4396">
        <f>+BM!BB76</f>
        <v>130.41814055963948</v>
      </c>
      <c r="BF70" s="4397">
        <f>+BM!BC76</f>
        <v>138.23529411764707</v>
      </c>
      <c r="BG70" s="4398">
        <f>+BM!BD76</f>
        <v>127.81134370494965</v>
      </c>
      <c r="BH70" s="4386">
        <f>+BM!BE76</f>
        <v>136.74675068924773</v>
      </c>
      <c r="BI70" s="3847">
        <f>+BM!BF76</f>
        <v>127.68341054543731</v>
      </c>
    </row>
    <row r="71" spans="3:61" x14ac:dyDescent="0.25">
      <c r="C71" s="7423"/>
      <c r="D71" s="4526" t="s">
        <v>109</v>
      </c>
      <c r="E71" s="1555"/>
      <c r="F71" s="4527"/>
      <c r="G71" s="4528"/>
      <c r="H71" s="4385"/>
      <c r="I71" s="3868"/>
      <c r="J71" s="4385"/>
      <c r="K71" s="3868"/>
      <c r="L71" s="4386"/>
      <c r="M71" s="3847"/>
      <c r="N71" s="4385"/>
      <c r="O71" s="3868"/>
      <c r="P71" s="4385"/>
      <c r="Q71" s="3868"/>
      <c r="R71" s="4385"/>
      <c r="S71" s="3868"/>
      <c r="T71" s="4385"/>
      <c r="U71" s="3868"/>
      <c r="V71" s="4385"/>
      <c r="W71" s="3868"/>
      <c r="X71" s="4385"/>
      <c r="Y71" s="3868"/>
      <c r="Z71" s="4385"/>
      <c r="AA71" s="3868"/>
      <c r="AB71" s="4385"/>
      <c r="AC71" s="4385"/>
      <c r="AD71" s="4385"/>
      <c r="AE71" s="4387"/>
      <c r="AF71" s="4385"/>
      <c r="AG71" s="3868"/>
      <c r="AH71" s="4385"/>
      <c r="AI71" s="3868"/>
      <c r="AJ71" s="4385"/>
      <c r="AK71" s="3868"/>
      <c r="AL71" s="4385"/>
      <c r="AM71" s="3868"/>
      <c r="AN71" s="4385"/>
      <c r="AO71" s="3868"/>
      <c r="AP71" s="4385"/>
      <c r="AQ71" s="4385"/>
      <c r="AR71" s="4385"/>
      <c r="AS71" s="3868"/>
      <c r="AT71" s="4385"/>
      <c r="AU71" s="3868"/>
      <c r="AV71" s="4385"/>
      <c r="AW71" s="3868"/>
      <c r="AX71" s="4385"/>
      <c r="AY71" s="3868"/>
      <c r="AZ71" s="4385"/>
      <c r="BA71" s="3868"/>
      <c r="BB71" s="4385"/>
      <c r="BC71" s="3868"/>
      <c r="BD71" s="3868"/>
      <c r="BE71" s="3868"/>
      <c r="BF71" s="3868"/>
      <c r="BG71" s="3868"/>
      <c r="BH71" s="3868"/>
      <c r="BI71" s="3868"/>
    </row>
    <row r="72" spans="3:61" x14ac:dyDescent="0.25">
      <c r="C72" s="7423"/>
      <c r="D72" s="4524" t="s">
        <v>1064</v>
      </c>
      <c r="E72" s="4140" t="s">
        <v>49</v>
      </c>
      <c r="F72" s="4514">
        <v>93.371871065542948</v>
      </c>
      <c r="G72" s="4529">
        <v>94.75</v>
      </c>
      <c r="H72" s="4392">
        <f>+'Maj Techno Summ'!E23</f>
        <v>94.75</v>
      </c>
      <c r="I72" s="4393">
        <f>+'Maj Techno Summ'!F23</f>
        <v>93.760477464473936</v>
      </c>
      <c r="J72" s="4392">
        <f>+'Maj Techno Summ'!G23</f>
        <v>94.75</v>
      </c>
      <c r="K72" s="4393">
        <f>+'Maj Techno Summ'!H23</f>
        <v>93.848373432627127</v>
      </c>
      <c r="L72" s="4386">
        <f>+'Maj Techno Summ'!I23</f>
        <v>94.75</v>
      </c>
      <c r="M72" s="3847">
        <f>+'Maj Techno Summ'!J23</f>
        <v>93.80756445928256</v>
      </c>
      <c r="N72" s="4392">
        <f>+'Maj Techno Summ'!K23</f>
        <v>94.75</v>
      </c>
      <c r="O72" s="4393">
        <f>+'Maj Techno Summ'!L23</f>
        <v>94.056654633784291</v>
      </c>
      <c r="P72" s="4394">
        <f>+'Maj Techno Summ'!M23</f>
        <v>94.75</v>
      </c>
      <c r="Q72" s="4395">
        <f>+'Maj Techno Summ'!N23</f>
        <v>93.859033272184462</v>
      </c>
      <c r="R72" s="4392">
        <f>+'Maj Techno Summ'!O23</f>
        <v>94.75</v>
      </c>
      <c r="S72" s="4393">
        <f>+'Maj Techno Summ'!P23</f>
        <v>93.978114077063097</v>
      </c>
      <c r="T72" s="4386">
        <f>+USM!R91</f>
        <v>94.749999999999986</v>
      </c>
      <c r="U72" s="3847">
        <f>+USM!S91</f>
        <v>93.888689199383577</v>
      </c>
      <c r="V72" s="4392">
        <f>+'Maj Techno Summ'!S23</f>
        <v>94.75</v>
      </c>
      <c r="W72" s="4393">
        <f>+'Maj Techno Summ'!T23</f>
        <v>92.45532246096252</v>
      </c>
      <c r="X72" s="4386">
        <f>+USM!V91</f>
        <v>94.75</v>
      </c>
      <c r="Y72" s="3847">
        <f>+USM!W91</f>
        <v>93.655072450114929</v>
      </c>
      <c r="Z72" s="4392">
        <f>+'Maj Techno Summ'!W23</f>
        <v>94.75</v>
      </c>
      <c r="AA72" s="4393">
        <f>+'Maj Techno Summ'!X23</f>
        <v>94.354897028315634</v>
      </c>
      <c r="AB72" s="4394">
        <f>+USM!Z91</f>
        <v>94.75</v>
      </c>
      <c r="AC72" s="4394">
        <f>+USM!AA91</f>
        <v>93.67897018794875</v>
      </c>
      <c r="AD72" s="4397">
        <f>+USM!AB91</f>
        <v>94.75</v>
      </c>
      <c r="AE72" s="4398">
        <f>+USM!AC91</f>
        <v>93.773068257192875</v>
      </c>
      <c r="AF72" s="4392">
        <f>+'Maj Techno Summ'!AC23</f>
        <v>94.75</v>
      </c>
      <c r="AG72" s="4393">
        <f>+'Maj Techno Summ'!AD23</f>
        <v>94.095025573033311</v>
      </c>
      <c r="AH72" s="4386">
        <f>+'Maj Techno Summ'!AE23</f>
        <v>94.75</v>
      </c>
      <c r="AI72" s="3847">
        <f>+'Maj Techno Summ'!AF23</f>
        <v>93.754925421652771</v>
      </c>
      <c r="AJ72" s="4392">
        <f>+'Maj Techno Summ'!AG23</f>
        <v>94.75</v>
      </c>
      <c r="AK72" s="4393">
        <f>+'Maj Techno Summ'!AH23</f>
        <v>93.69597873790353</v>
      </c>
      <c r="AL72" s="4386">
        <f>+'Maj Techno Summ'!AI23</f>
        <v>94.75</v>
      </c>
      <c r="AM72" s="3847">
        <f>+'Maj Techno Summ'!AJ23</f>
        <v>93.753295581333887</v>
      </c>
      <c r="AN72" s="4392">
        <f>+'Maj Techno Summ'!AK23</f>
        <v>94.75</v>
      </c>
      <c r="AO72" s="4393">
        <f>+'Maj Techno Summ'!AL23</f>
        <v>91.062905975135806</v>
      </c>
      <c r="AP72" s="4394">
        <f>+USM!AN91</f>
        <v>94.75</v>
      </c>
      <c r="AQ72" s="4394">
        <f>+USM!AO91</f>
        <v>92.736311942445084</v>
      </c>
      <c r="AR72" s="4386">
        <f>+USM!AP91</f>
        <v>94.75</v>
      </c>
      <c r="AS72" s="3847">
        <f>+USM!AQ91</f>
        <v>93.437953293316738</v>
      </c>
      <c r="AT72" s="4392">
        <f>+'Maj Techno Summ'!AQ23</f>
        <v>94.75</v>
      </c>
      <c r="AU72" s="4393">
        <f>+'Maj Techno Summ'!AR23</f>
        <v>93.52941585010818</v>
      </c>
      <c r="AV72" s="4386">
        <f>+USM!AT91</f>
        <v>94.750000000000014</v>
      </c>
      <c r="AW72" s="3847">
        <f>+USM!AU91</f>
        <v>93.449561806581059</v>
      </c>
      <c r="AX72" s="4392">
        <f>+'Maj Techno Summ'!AU23</f>
        <v>94.75</v>
      </c>
      <c r="AY72" s="4393">
        <f>+'Maj Techno Summ'!AV23</f>
        <v>94.085079490713611</v>
      </c>
      <c r="AZ72" s="4386">
        <f>+USM!AX91</f>
        <v>94.750000000000014</v>
      </c>
      <c r="BA72" s="3847">
        <f>+USM!AY91</f>
        <v>93.52072565523406</v>
      </c>
      <c r="BB72" s="4392">
        <f>+'Maj Techno Summ'!AY23</f>
        <v>94.75</v>
      </c>
      <c r="BC72" s="4393">
        <f>+'Maj Techno Summ'!AZ23</f>
        <v>94.09315214316058</v>
      </c>
      <c r="BD72" s="4396">
        <f>+USM!BB91</f>
        <v>94.75</v>
      </c>
      <c r="BE72" s="4396">
        <f>+USM!BC91</f>
        <v>93.914611600919798</v>
      </c>
      <c r="BF72" s="4397">
        <f>+USM!BD91</f>
        <v>94.75</v>
      </c>
      <c r="BG72" s="4398">
        <f>+USM!BE91</f>
        <v>93.483365333354996</v>
      </c>
      <c r="BH72" s="4386">
        <f>+USM!BF91</f>
        <v>94.750000000000014</v>
      </c>
      <c r="BI72" s="3847">
        <f>+USM!BG91</f>
        <v>93.589366745645307</v>
      </c>
    </row>
    <row r="73" spans="3:61" x14ac:dyDescent="0.25">
      <c r="C73" s="7423"/>
      <c r="D73" s="4524" t="s">
        <v>1063</v>
      </c>
      <c r="E73" s="4140" t="s">
        <v>49</v>
      </c>
      <c r="F73" s="4514">
        <v>68.17523999238459</v>
      </c>
      <c r="G73" s="4525">
        <v>83.333333333333343</v>
      </c>
      <c r="H73" s="4392">
        <f>+USM!F102</f>
        <v>83.333333333333343</v>
      </c>
      <c r="I73" s="4393">
        <f>+USM!G102</f>
        <v>83.78210116731519</v>
      </c>
      <c r="J73" s="4392">
        <f>+USM!H102</f>
        <v>83.333333333333343</v>
      </c>
      <c r="K73" s="4393">
        <f>+USM!I102</f>
        <v>81.178027796161459</v>
      </c>
      <c r="L73" s="4386">
        <f>+USM!J102</f>
        <v>83.333333333333343</v>
      </c>
      <c r="M73" s="3847">
        <f>+USM!K102</f>
        <v>82.374821173104422</v>
      </c>
      <c r="N73" s="4392">
        <f>+USM!L102</f>
        <v>81.25</v>
      </c>
      <c r="O73" s="4393">
        <f>+USM!M102</f>
        <v>78.017585931255013</v>
      </c>
      <c r="P73" s="4394">
        <f>+USM!N102</f>
        <v>82.700421940928265</v>
      </c>
      <c r="Q73" s="4395">
        <f>+USM!O102</f>
        <v>81.226295828065744</v>
      </c>
      <c r="R73" s="4392">
        <f>+USM!P102</f>
        <v>81.25</v>
      </c>
      <c r="S73" s="4393">
        <f>+USM!Q102</f>
        <v>85.815911730545864</v>
      </c>
      <c r="T73" s="4386">
        <f>+USM!R102</f>
        <v>82.567049808429118</v>
      </c>
      <c r="U73" s="3847">
        <f>+USM!S102</f>
        <v>82.448206555349415</v>
      </c>
      <c r="V73" s="4392">
        <f>+USM!T102</f>
        <v>81.25</v>
      </c>
      <c r="W73" s="4393">
        <f>+USM!U102</f>
        <v>73.770730288041904</v>
      </c>
      <c r="X73" s="4386">
        <f>+USM!V102</f>
        <v>82.246376811594203</v>
      </c>
      <c r="Y73" s="3847">
        <f>+USM!W102</f>
        <v>80.626641421853037</v>
      </c>
      <c r="Z73" s="4392">
        <f>+USM!X102</f>
        <v>81.25</v>
      </c>
      <c r="AA73" s="4393">
        <f>+USM!Y102</f>
        <v>89.26545454545456</v>
      </c>
      <c r="AB73" s="4394">
        <f>+USM!Z102</f>
        <v>81.25</v>
      </c>
      <c r="AC73" s="4394">
        <f>+USM!AA102</f>
        <v>82.952948587488478</v>
      </c>
      <c r="AD73" s="4397">
        <f>+USM!AB102</f>
        <v>82.056924882629119</v>
      </c>
      <c r="AE73" s="4398">
        <f>+USM!AC102</f>
        <v>82.125640443199302</v>
      </c>
      <c r="AF73" s="4392">
        <f>+USM!AD102</f>
        <v>81.25</v>
      </c>
      <c r="AG73" s="4393">
        <f>+USM!AE102</f>
        <v>80.337964827493622</v>
      </c>
      <c r="AH73" s="4386">
        <f>+USM!AF102</f>
        <v>81.924019607843135</v>
      </c>
      <c r="AI73" s="3847">
        <f>+USM!AG102</f>
        <v>81.852320317865107</v>
      </c>
      <c r="AJ73" s="4392">
        <f>+USM!AH102</f>
        <v>81.25</v>
      </c>
      <c r="AK73" s="4393">
        <f>+USM!AI102</f>
        <v>87.625594923320989</v>
      </c>
      <c r="AL73" s="4386">
        <f>+USM!AJ102</f>
        <v>81.831641285955996</v>
      </c>
      <c r="AM73" s="3847">
        <f>+USM!AK102</f>
        <v>82.076664343205834</v>
      </c>
      <c r="AN73" s="4392">
        <f>+USM!AL102</f>
        <v>81.25</v>
      </c>
      <c r="AO73" s="4393">
        <f>+USM!AM102</f>
        <v>74.710917555188445</v>
      </c>
      <c r="AP73" s="4394">
        <f>+USM!AN102</f>
        <v>81.25</v>
      </c>
      <c r="AQ73" s="4394">
        <f>+USM!AO102</f>
        <v>78.829173099361554</v>
      </c>
      <c r="AR73" s="4386">
        <f>+USM!AP102</f>
        <v>81.759259259259252</v>
      </c>
      <c r="AS73" s="3847">
        <f>+USM!AQ102</f>
        <v>81.190064574625225</v>
      </c>
      <c r="AT73" s="4392">
        <f>+USM!AR102</f>
        <v>81.25</v>
      </c>
      <c r="AU73" s="4393">
        <f>+USM!AS102</f>
        <v>82.111784866860035</v>
      </c>
      <c r="AV73" s="4386">
        <f>+USM!AT102</f>
        <v>81.70289855072464</v>
      </c>
      <c r="AW73" s="3847">
        <f>+USM!AU102</f>
        <v>81.301213644551638</v>
      </c>
      <c r="AX73" s="4392">
        <f>+USM!AV102</f>
        <v>81.25</v>
      </c>
      <c r="AY73" s="4393">
        <f>+USM!AW102</f>
        <v>88.17551963048497</v>
      </c>
      <c r="AZ73" s="4386">
        <f>+USM!AX102</f>
        <v>81.662170263788965</v>
      </c>
      <c r="BA73" s="3847">
        <f>+USM!AY102</f>
        <v>81.944537299807038</v>
      </c>
      <c r="BB73" s="4392">
        <f>+USM!AZ102</f>
        <v>81.25</v>
      </c>
      <c r="BC73" s="4393">
        <f>+USM!BA102</f>
        <v>84.861464328737796</v>
      </c>
      <c r="BD73" s="4396">
        <f>+USM!BB102</f>
        <v>81.25</v>
      </c>
      <c r="BE73" s="4396">
        <f>+USM!BC102</f>
        <v>84.892353377876788</v>
      </c>
      <c r="BF73" s="4397">
        <f>+USM!BD102</f>
        <v>81.25</v>
      </c>
      <c r="BG73" s="4398">
        <f>+USM!BE102</f>
        <v>82.336904585504968</v>
      </c>
      <c r="BH73" s="4386">
        <f>+USM!BF102</f>
        <v>81.62445533769062</v>
      </c>
      <c r="BI73" s="3847">
        <f>+USM!BG102</f>
        <v>82.228018717371953</v>
      </c>
    </row>
    <row r="74" spans="3:61" ht="15.75" thickBot="1" x14ac:dyDescent="0.3">
      <c r="C74" s="7424"/>
      <c r="D74" s="4530" t="s">
        <v>312</v>
      </c>
      <c r="E74" s="4369" t="s">
        <v>551</v>
      </c>
      <c r="F74" s="4418">
        <v>72.378210767795224</v>
      </c>
      <c r="G74" s="4419">
        <v>118.29652996845427</v>
      </c>
      <c r="H74" s="4420">
        <f>+USM!F112</f>
        <v>114.81481481481481</v>
      </c>
      <c r="I74" s="4421">
        <f>+USM!G112</f>
        <v>110.44497937952814</v>
      </c>
      <c r="J74" s="4420">
        <f>+USM!H112</f>
        <v>116.07142857142857</v>
      </c>
      <c r="K74" s="4421">
        <f>+USM!I112</f>
        <v>111.95658372737651</v>
      </c>
      <c r="L74" s="4422">
        <f>+USM!J112</f>
        <v>115.45454545454545</v>
      </c>
      <c r="M74" s="3864">
        <f>+USM!K112</f>
        <v>111.25000451545674</v>
      </c>
      <c r="N74" s="4420">
        <f>+USM!L112</f>
        <v>74.786324786324784</v>
      </c>
      <c r="O74" s="4421">
        <f>+USM!M112</f>
        <v>85.694671106557379</v>
      </c>
      <c r="P74" s="4423">
        <f>+USM!N112</f>
        <v>103.31632653061224</v>
      </c>
      <c r="Q74" s="4424">
        <f>+USM!O112</f>
        <v>104.77996420233463</v>
      </c>
      <c r="R74" s="4420">
        <f>+USM!P112</f>
        <v>80.128205128205124</v>
      </c>
      <c r="S74" s="4421">
        <f>+USM!Q112</f>
        <v>90.762293351378787</v>
      </c>
      <c r="T74" s="4422">
        <f>+USM!R112</f>
        <v>101.21809744779583</v>
      </c>
      <c r="U74" s="3864">
        <f>+USM!S112</f>
        <v>100.89554938821435</v>
      </c>
      <c r="V74" s="4420">
        <f>+USM!T112</f>
        <v>89.743589743589737</v>
      </c>
      <c r="W74" s="4421">
        <f>+USM!U112</f>
        <v>81.380710707947159</v>
      </c>
      <c r="X74" s="4422">
        <f>+USM!V112</f>
        <v>98.458149779735677</v>
      </c>
      <c r="Y74" s="3864">
        <f>+USM!W112</f>
        <v>97.147358078933422</v>
      </c>
      <c r="Z74" s="4420">
        <f>+USM!X112</f>
        <v>91.168091168091166</v>
      </c>
      <c r="AA74" s="4421">
        <f>+USM!Y112</f>
        <v>85.391810330780501</v>
      </c>
      <c r="AB74" s="4423">
        <f>+USM!Z112</f>
        <v>89.133089133089129</v>
      </c>
      <c r="AC74" s="4423">
        <f>+USM!AA112</f>
        <v>86.058008061218544</v>
      </c>
      <c r="AD74" s="4425">
        <f>+USM!AB112</f>
        <v>97.085642767745398</v>
      </c>
      <c r="AE74" s="4426">
        <f>+USM!AC112</f>
        <v>94.930209533175599</v>
      </c>
      <c r="AF74" s="4420">
        <f>+USM!AD112</f>
        <v>98.901098901098905</v>
      </c>
      <c r="AG74" s="4421">
        <f>+USM!AE112</f>
        <v>93.786529503916469</v>
      </c>
      <c r="AH74" s="4422">
        <f>+USM!AF112</f>
        <v>97.382198952879577</v>
      </c>
      <c r="AI74" s="3864">
        <f>+USM!AG112</f>
        <v>94.69210625848919</v>
      </c>
      <c r="AJ74" s="4420">
        <f>+USM!AH112</f>
        <v>98.76543209876543</v>
      </c>
      <c r="AK74" s="4421">
        <f>+USM!AI112</f>
        <v>62.17248521424262</v>
      </c>
      <c r="AL74" s="4422">
        <f>+USM!AJ112</f>
        <v>97.570431636081679</v>
      </c>
      <c r="AM74" s="3864">
        <f>+USM!AK112</f>
        <v>93.342991011742299</v>
      </c>
      <c r="AN74" s="4420">
        <f>+USM!AL112</f>
        <v>98.901098901098905</v>
      </c>
      <c r="AO74" s="4421">
        <f>+USM!AM112</f>
        <v>96.643460502512582</v>
      </c>
      <c r="AP74" s="4423">
        <f>+USM!AN112</f>
        <v>98.85696632684585</v>
      </c>
      <c r="AQ74" s="4423">
        <f>+USM!AO112</f>
        <v>90.702483315827763</v>
      </c>
      <c r="AR74" s="4422">
        <f>+USM!AP112</f>
        <v>97.734994337485844</v>
      </c>
      <c r="AS74" s="3864">
        <f>+USM!AQ112</f>
        <v>93.708558642799858</v>
      </c>
      <c r="AT74" s="4420">
        <f>+USM!AR112</f>
        <v>98.901098901098905</v>
      </c>
      <c r="AU74" s="4421">
        <f>+USM!AS112</f>
        <v>98.325597688232421</v>
      </c>
      <c r="AV74" s="4422">
        <f>+USM!AT112</f>
        <v>97.863334005240873</v>
      </c>
      <c r="AW74" s="3864">
        <f>+USM!AU112</f>
        <v>94.270872382442036</v>
      </c>
      <c r="AX74" s="4420">
        <f>+USM!AV112</f>
        <v>98.461538461538467</v>
      </c>
      <c r="AY74" s="4421">
        <f>+USM!AW112</f>
        <v>106.88209533787324</v>
      </c>
      <c r="AZ74" s="4422">
        <f>+USM!AX112</f>
        <v>97.916857850784623</v>
      </c>
      <c r="BA74" s="3864">
        <f>+USM!AY112</f>
        <v>95.540820227880133</v>
      </c>
      <c r="BB74" s="4420">
        <f>+USM!AZ112</f>
        <v>109.89010989010988</v>
      </c>
      <c r="BC74" s="4421">
        <f>+USM!BA112</f>
        <v>117.48622712933755</v>
      </c>
      <c r="BD74" s="4396">
        <f>+USM!BB112</f>
        <v>102.56410256410257</v>
      </c>
      <c r="BE74" s="4396">
        <f>+USM!BC112</f>
        <v>107.64356077831218</v>
      </c>
      <c r="BF74" s="4397">
        <f>+USM!BD112</f>
        <v>100.68792995622263</v>
      </c>
      <c r="BG74" s="4398">
        <f>+USM!BE112</f>
        <v>100.80759051934925</v>
      </c>
      <c r="BH74" s="4386">
        <f>+USM!BF112</f>
        <v>99.007423471515551</v>
      </c>
      <c r="BI74" s="3847">
        <f>+USM!BG112</f>
        <v>97.741887742833626</v>
      </c>
    </row>
    <row r="75" spans="3:61" x14ac:dyDescent="0.25">
      <c r="C75" s="7422" t="s">
        <v>1068</v>
      </c>
      <c r="D75" s="4365" t="s">
        <v>1409</v>
      </c>
      <c r="E75" s="4366" t="s">
        <v>324</v>
      </c>
      <c r="F75" s="4428">
        <v>6.2012037687729737</v>
      </c>
      <c r="G75" s="4531">
        <f>+'Maj Techno Summ'!D24</f>
        <v>5.9499750782715646</v>
      </c>
      <c r="H75" s="4430">
        <f>+'Maj Techno Summ'!E24</f>
        <v>5.9579646181196697</v>
      </c>
      <c r="I75" s="4431">
        <f>+'Maj Techno Summ'!F24</f>
        <v>6.0597861270040427</v>
      </c>
      <c r="J75" s="4430">
        <f>+'Maj Techno Summ'!G24</f>
        <v>5.8950819349699</v>
      </c>
      <c r="K75" s="4431">
        <f>+'Maj Techno Summ'!H24</f>
        <v>5.9443637482373992</v>
      </c>
      <c r="L75" s="4432">
        <f>+'Maj Techno Summ'!I24</f>
        <v>5.9260302723648577</v>
      </c>
      <c r="M75" s="4433">
        <f>+'Maj Techno Summ'!J24</f>
        <v>5.9982222177167515</v>
      </c>
      <c r="N75" s="4430">
        <f>+'Maj Techno Summ'!K24</f>
        <v>6.252995740429987</v>
      </c>
      <c r="O75" s="4431">
        <f>+'Maj Techno Summ'!L24</f>
        <v>7.0163171864011664</v>
      </c>
      <c r="P75" s="4434">
        <f>+'Maj Techno Summ'!M24</f>
        <v>5.999573484799523</v>
      </c>
      <c r="Q75" s="4435">
        <f>+'Maj Techno Summ'!N24</f>
        <v>6.4699824642222374</v>
      </c>
      <c r="R75" s="4430">
        <f>+'Maj Techno Summ'!O24</f>
        <v>7.7286662431280844</v>
      </c>
      <c r="S75" s="4857">
        <f>+'Maj Techno Summ'!P24</f>
        <v>5.9975708212932197</v>
      </c>
      <c r="T75" s="4432">
        <f>+'Maj Techno Summ'!Q24</f>
        <v>6.1602517467857263</v>
      </c>
      <c r="U75" s="4856">
        <f>+'Maj Techno Summ'!R24</f>
        <v>6.3352644920224561</v>
      </c>
      <c r="V75" s="4430">
        <f>+'Maj Techno Summ'!S24</f>
        <v>5.9155176479076816</v>
      </c>
      <c r="W75" s="4857">
        <f>+'Maj Techno Summ'!T24</f>
        <v>5.9945722275614308</v>
      </c>
      <c r="X75" s="4432">
        <f>+'Maj Techno Summ'!U24</f>
        <v>6.0995446277357717</v>
      </c>
      <c r="Y75" s="4856">
        <f>+'Maj Techno Summ'!V24</f>
        <v>6.2604207949010426</v>
      </c>
      <c r="Z75" s="4430">
        <f>+'Maj Techno Summ'!W24</f>
        <v>5.9554124893098255</v>
      </c>
      <c r="AA75" s="4857">
        <f>+'Maj Techno Summ'!X24</f>
        <v>5.9775120545997682</v>
      </c>
      <c r="AB75" s="4434">
        <f>+'Maj Techno Summ'!Y24</f>
        <v>6.1598432471632441</v>
      </c>
      <c r="AC75" s="4434">
        <f>+'Maj Techno Summ'!Z24</f>
        <v>5.989922457622213</v>
      </c>
      <c r="AD75" s="4436">
        <f>+'Maj Techno Summ'!AA24</f>
        <v>6.0287708104402764</v>
      </c>
      <c r="AE75" s="4437">
        <f>+'Maj Techno Summ'!AB24</f>
        <v>6.2078763194773892</v>
      </c>
      <c r="AF75" s="4430">
        <f>+'Maj Techno Summ'!AC24</f>
        <v>5.9185019189583619</v>
      </c>
      <c r="AG75" s="4857">
        <f>+'Maj Techno Summ'!AD24</f>
        <v>6.0970123553483413</v>
      </c>
      <c r="AH75" s="4432">
        <f>+'Maj Techno Summ'!AE24</f>
        <v>6.0094385160929535</v>
      </c>
      <c r="AI75" s="4433">
        <f>+'Maj Techno Summ'!AF24</f>
        <v>6.1913023947145307</v>
      </c>
      <c r="AJ75" s="4430">
        <f>+'Maj Techno Summ'!AG24</f>
        <v>5.8679361229423455</v>
      </c>
      <c r="AK75" s="4857">
        <f>+'Maj Techno Summ'!AH24</f>
        <v>29.436172268975831</v>
      </c>
      <c r="AL75" s="4432">
        <f>+'Maj Techno Summ'!AI24</f>
        <v>5.9891942256874868</v>
      </c>
      <c r="AM75" s="4433">
        <f>+'Maj Techno Summ'!AJ24</f>
        <v>6.3410738789124395</v>
      </c>
      <c r="AN75" s="4430">
        <f>+'Maj Techno Summ'!AK24</f>
        <v>5.8607390227005398</v>
      </c>
      <c r="AO75" s="4857">
        <f>+'Maj Techno Summ'!AL24</f>
        <v>5.9578574346924951</v>
      </c>
      <c r="AP75" s="4434">
        <f>+'Maj Techno Summ'!AM24</f>
        <v>5.8825484570394204</v>
      </c>
      <c r="AQ75" s="4434">
        <f>+'Maj Techno Summ'!AN24</f>
        <v>6.4229770532211647</v>
      </c>
      <c r="AR75" s="4432">
        <f>+'Maj Techno Summ'!AO24</f>
        <v>5.9726529364275942</v>
      </c>
      <c r="AS75" s="4433">
        <f>+'Maj Techno Summ'!AP24</f>
        <v>6.2876330934475497</v>
      </c>
      <c r="AT75" s="4430">
        <f>+'Maj Techno Summ'!AQ24</f>
        <v>5.8608476022205673</v>
      </c>
      <c r="AU75" s="4857">
        <f>+'Maj Techno Summ'!AR24</f>
        <v>5.8560511441313423</v>
      </c>
      <c r="AV75" s="4432">
        <f>+'Maj Techno Summ'!AS24</f>
        <v>5.9598981149470234</v>
      </c>
      <c r="AW75" s="4433">
        <f>+'Maj Techno Summ'!AT24</f>
        <v>6.231438519782551</v>
      </c>
      <c r="AX75" s="4430">
        <f>+'Maj Techno Summ'!AU24</f>
        <v>5.8591772297916185</v>
      </c>
      <c r="AY75" s="4857">
        <f>+'Maj Techno Summ'!AV24</f>
        <v>5.888599128118563</v>
      </c>
      <c r="AZ75" s="4432">
        <f>+'Maj Techno Summ'!AW24</f>
        <v>5.9505211841066776</v>
      </c>
      <c r="BA75" s="4856">
        <f>+'Maj Techno Summ'!AX24</f>
        <v>6.1941702176749738</v>
      </c>
      <c r="BB75" s="4430">
        <f>+'Maj Techno Summ'!AY24</f>
        <v>5.8704881721591375</v>
      </c>
      <c r="BC75" s="4431">
        <f>+'Maj Techno Summ'!AZ24</f>
        <v>5.8758634243320023</v>
      </c>
      <c r="BD75" s="4405">
        <f>+'Maj Techno Summ'!BA24</f>
        <v>5.8636537802288489</v>
      </c>
      <c r="BE75" s="4405">
        <f>+'Maj Techno Summ'!BB24</f>
        <v>5.8730059845119555</v>
      </c>
      <c r="BF75" s="4406">
        <f>+'Maj Techno Summ'!BC24</f>
        <v>5.8732107674085681</v>
      </c>
      <c r="BG75" s="4407">
        <f>+'Maj Techno Summ'!BD24</f>
        <v>6.0909850780609363</v>
      </c>
      <c r="BH75" s="4402">
        <f>+'Maj Techno Summ'!BE24</f>
        <v>5.9500019581826908</v>
      </c>
      <c r="BI75" s="3848">
        <f>+'Maj Techno Summ'!BF24</f>
        <v>6.1600133062678522</v>
      </c>
    </row>
    <row r="76" spans="3:61" ht="15.75" thickBot="1" x14ac:dyDescent="0.3">
      <c r="C76" s="7424"/>
      <c r="D76" s="4368" t="s">
        <v>308</v>
      </c>
      <c r="E76" s="4369" t="s">
        <v>367</v>
      </c>
      <c r="F76" s="4483">
        <v>516.74946439793155</v>
      </c>
      <c r="G76" s="4532">
        <f>+'Maj Techno Summ'!D25</f>
        <v>467.95995482299668</v>
      </c>
      <c r="H76" s="4487">
        <f>+'Maj Techno Summ'!E25</f>
        <v>461.33365080836813</v>
      </c>
      <c r="I76" s="4485">
        <f>+'Maj Techno Summ'!F25</f>
        <v>479.82228799886599</v>
      </c>
      <c r="J76" s="4487">
        <f>+'Maj Techno Summ'!G25</f>
        <v>461.80049178666684</v>
      </c>
      <c r="K76" s="4485">
        <f>+'Maj Techno Summ'!H25</f>
        <v>454.07151976836832</v>
      </c>
      <c r="L76" s="4490">
        <f>+'Maj Techno Summ'!I25</f>
        <v>461.57082871638227</v>
      </c>
      <c r="M76" s="4486">
        <f>+'Maj Techno Summ'!J25</f>
        <v>466.0736787227786</v>
      </c>
      <c r="N76" s="4487">
        <f>+'Maj Techno Summ'!K25</f>
        <v>593.17325600344623</v>
      </c>
      <c r="O76" s="4485">
        <f>+'Maj Techno Summ'!L25</f>
        <v>591.60315942549914</v>
      </c>
      <c r="P76" s="4488">
        <f>+'Maj Techno Summ'!M25</f>
        <v>492.4292716019761</v>
      </c>
      <c r="Q76" s="4489">
        <f>+'Maj Techno Summ'!N25</f>
        <v>498.5949319790476</v>
      </c>
      <c r="R76" s="4487">
        <f>+'Maj Techno Summ'!O25</f>
        <v>853.70360454893421</v>
      </c>
      <c r="S76" s="4485">
        <f>+'Maj Techno Summ'!P25</f>
        <v>472.5444917217867</v>
      </c>
      <c r="T76" s="4490">
        <f>+'Maj Techno Summ'!Q25</f>
        <v>535.5502263615632</v>
      </c>
      <c r="U76" s="4486">
        <f>+'Maj Techno Summ'!R25</f>
        <v>491.39039929808365</v>
      </c>
      <c r="V76" s="4487">
        <f>+'Maj Techno Summ'!S25</f>
        <v>483.12920384333933</v>
      </c>
      <c r="W76" s="4485">
        <f>+'Maj Techno Summ'!T25</f>
        <v>494.26516320159294</v>
      </c>
      <c r="X76" s="4490">
        <f>+'Maj Techno Summ'!U25</f>
        <v>522.97818002264864</v>
      </c>
      <c r="Y76" s="4486">
        <f>+'Maj Techno Summ'!V25</f>
        <v>491.99095934366176</v>
      </c>
      <c r="Z76" s="4487">
        <f>+'Maj Techno Summ'!W25</f>
        <v>495.38777384713421</v>
      </c>
      <c r="AA76" s="4485">
        <f>+'Maj Techno Summ'!X25</f>
        <v>466.32576393202481</v>
      </c>
      <c r="AB76" s="4488">
        <f>+'Maj Techno Summ'!Y25</f>
        <v>548.50848929919312</v>
      </c>
      <c r="AC76" s="4488">
        <f>+'Maj Techno Summ'!Z25</f>
        <v>477.54500235246735</v>
      </c>
      <c r="AD76" s="4491">
        <f>+'Maj Techno Summ'!AA25</f>
        <v>517.89006696758679</v>
      </c>
      <c r="AE76" s="4492">
        <f>+'Maj Techno Summ'!AB25</f>
        <v>487.46986466733466</v>
      </c>
      <c r="AF76" s="4487">
        <f>+'Maj Techno Summ'!AC25</f>
        <v>473.75976042711665</v>
      </c>
      <c r="AG76" s="4485">
        <f>+'Maj Techno Summ'!AD25</f>
        <v>548.7195620509907</v>
      </c>
      <c r="AH76" s="4490">
        <f>+'Maj Techno Summ'!AE25</f>
        <v>510.42577796102643</v>
      </c>
      <c r="AI76" s="4486">
        <f>+'Maj Techno Summ'!AF25</f>
        <v>495.56019975566511</v>
      </c>
      <c r="AJ76" s="4487">
        <f>+'Maj Techno Summ'!AG25</f>
        <v>466.25572957873084</v>
      </c>
      <c r="AK76" s="4485">
        <f>+'Maj Techno Summ'!AH25</f>
        <v>1065.6855882267746</v>
      </c>
      <c r="AL76" s="4490">
        <f>+'Maj Techno Summ'!AI25</f>
        <v>504.12397660638572</v>
      </c>
      <c r="AM76" s="4486">
        <f>+'Maj Techno Summ'!AJ25</f>
        <v>511.49772143951361</v>
      </c>
      <c r="AN76" s="4487">
        <f>+'Maj Techno Summ'!AK25</f>
        <v>477.18948648607778</v>
      </c>
      <c r="AO76" s="4485">
        <f>+'Maj Techno Summ'!AL25</f>
        <v>440.38862841414038</v>
      </c>
      <c r="AP76" s="4488">
        <f>+'Maj Techno Summ'!AM25</f>
        <v>472.42342260403262</v>
      </c>
      <c r="AQ76" s="4488">
        <f>+'Maj Techno Summ'!AN25</f>
        <v>540.56277464225934</v>
      </c>
      <c r="AR76" s="4490">
        <f>+'Maj Techno Summ'!AO25</f>
        <v>500.73428754421479</v>
      </c>
      <c r="AS76" s="4486">
        <f>+'Maj Techno Summ'!AP25</f>
        <v>501.84880851784578</v>
      </c>
      <c r="AT76" s="4487">
        <f>+'Maj Techno Summ'!AQ25</f>
        <v>473.76184815883681</v>
      </c>
      <c r="AU76" s="4485">
        <f>+'Maj Techno Summ'!AR25</f>
        <v>429.41760724586254</v>
      </c>
      <c r="AV76" s="4490">
        <f>+'Maj Techno Summ'!AS25</f>
        <v>497.70001397929201</v>
      </c>
      <c r="AW76" s="4486">
        <f>+'Maj Techno Summ'!AT25</f>
        <v>492.96201359532438</v>
      </c>
      <c r="AX76" s="4487">
        <f>+'Maj Techno Summ'!AU25</f>
        <v>466.39504702757426</v>
      </c>
      <c r="AY76" s="4485">
        <f>+'Maj Techno Summ'!AV25</f>
        <v>447.46905949788925</v>
      </c>
      <c r="AZ76" s="4490">
        <f>+'Maj Techno Summ'!AW25</f>
        <v>494.77695754012058</v>
      </c>
      <c r="BA76" s="4486">
        <f>+'Maj Techno Summ'!AX25</f>
        <v>488.49433598237925</v>
      </c>
      <c r="BB76" s="4487">
        <f>+'Maj Techno Summ'!AY25</f>
        <v>467.6395763391838</v>
      </c>
      <c r="BC76" s="4485">
        <f>+'Maj Techno Summ'!AZ25</f>
        <v>432.53356318568495</v>
      </c>
      <c r="BD76" s="4446">
        <f>+'Maj Techno Summ'!BA25</f>
        <v>469.33851593448247</v>
      </c>
      <c r="BE76" s="4446">
        <f>+'Maj Techno Summ'!BB25</f>
        <v>436.01158173192226</v>
      </c>
      <c r="BF76" s="4444">
        <f>+'Maj Techno Summ'!BC25</f>
        <v>470.89221897235092</v>
      </c>
      <c r="BG76" s="4445">
        <f>+'Maj Techno Summ'!BD25</f>
        <v>477.738633617647</v>
      </c>
      <c r="BH76" s="4441">
        <f>+'Maj Techno Summ'!BE25</f>
        <v>492.22402349013691</v>
      </c>
      <c r="BI76" s="3861">
        <f>+'Maj Techno Summ'!BF25</f>
        <v>482.77911292358175</v>
      </c>
    </row>
    <row r="77" spans="3:61" x14ac:dyDescent="0.25">
      <c r="C77" s="7422" t="s">
        <v>1069</v>
      </c>
      <c r="D77" s="4365" t="s">
        <v>1410</v>
      </c>
      <c r="E77" s="4366" t="s">
        <v>29</v>
      </c>
      <c r="F77" s="4428">
        <v>3.0186531588909742</v>
      </c>
      <c r="G77" s="4531">
        <f>+'Maj Techno Summ'!D27</f>
        <v>2.850000000000001</v>
      </c>
      <c r="H77" s="4430">
        <f>+'Maj Techno Summ'!E27</f>
        <v>2.850000000000001</v>
      </c>
      <c r="I77" s="4431">
        <f>+'Maj Techno Summ'!F27</f>
        <v>2.98</v>
      </c>
      <c r="J77" s="4430">
        <f>+'Maj Techno Summ'!G27</f>
        <v>2.850000000000001</v>
      </c>
      <c r="K77" s="4431">
        <f>+'Maj Techno Summ'!H27</f>
        <v>2.97</v>
      </c>
      <c r="L77" s="4432">
        <f>+'Maj Techno Summ'!I27</f>
        <v>2.850000000000001</v>
      </c>
      <c r="M77" s="4433">
        <f>+'Maj Techno Summ'!J27</f>
        <v>2.9746662068530263</v>
      </c>
      <c r="N77" s="4430">
        <f>+'Maj Techno Summ'!K27</f>
        <v>2.850000000000001</v>
      </c>
      <c r="O77" s="4431">
        <f>+'Maj Techno Summ'!L27</f>
        <v>3.27</v>
      </c>
      <c r="P77" s="4434">
        <f>+'Maj Techno Summ'!M27</f>
        <v>2.850000000000001</v>
      </c>
      <c r="Q77" s="4435">
        <f>+'Maj Techno Summ'!N27</f>
        <v>3.0471066280851988</v>
      </c>
      <c r="R77" s="4430">
        <f>+'Maj Techno Summ'!O27</f>
        <v>2.850000000000001</v>
      </c>
      <c r="S77" s="4431">
        <f>+'Maj Techno Summ'!P27</f>
        <v>2.98</v>
      </c>
      <c r="T77" s="4432">
        <f>+'Maj Techno Summ'!Q27</f>
        <v>2.850000000000001</v>
      </c>
      <c r="U77" s="4433">
        <f>+'Maj Techno Summ'!R27</f>
        <v>3.0279697820905684</v>
      </c>
      <c r="V77" s="4430">
        <f>+'Maj Techno Summ'!S27</f>
        <v>2.850000000000001</v>
      </c>
      <c r="W77" s="4431">
        <f>+'Maj Techno Summ'!T27</f>
        <v>2.93</v>
      </c>
      <c r="X77" s="4432">
        <f>+'Maj Techno Summ'!U27</f>
        <v>2.850000000000001</v>
      </c>
      <c r="Y77" s="4433">
        <f>+'Maj Techno Summ'!V27</f>
        <v>3.0064476594517195</v>
      </c>
      <c r="Z77" s="4430">
        <f>+'Maj Techno Summ'!W27</f>
        <v>2.850000000000001</v>
      </c>
      <c r="AA77" s="4431">
        <f>+'Maj Techno Summ'!X27</f>
        <v>2.93</v>
      </c>
      <c r="AB77" s="4434">
        <f>+'Maj Techno Summ'!Y27</f>
        <v>2.850000000000001</v>
      </c>
      <c r="AC77" s="4434">
        <f>+'Maj Techno Summ'!Z27</f>
        <v>2.9468158135892928</v>
      </c>
      <c r="AD77" s="4436">
        <f>+'Maj Techno Summ'!AA27</f>
        <v>2.850000000000001</v>
      </c>
      <c r="AE77" s="4437">
        <f>+'Maj Techno Summ'!AB27</f>
        <v>2.9926904880846221</v>
      </c>
      <c r="AF77" s="4430">
        <f>+'Maj Techno Summ'!AC27</f>
        <v>2.850000000000001</v>
      </c>
      <c r="AG77" s="4431">
        <f>+'Maj Techno Summ'!AD27</f>
        <v>2.99</v>
      </c>
      <c r="AH77" s="4432">
        <f>+'Maj Techno Summ'!AE27</f>
        <v>2.850000000000001</v>
      </c>
      <c r="AI77" s="4433">
        <f>+'Maj Techno Summ'!AF27</f>
        <v>2.9922939737965772</v>
      </c>
      <c r="AJ77" s="4430">
        <f>+'Maj Techno Summ'!AG27</f>
        <v>2.850000000000001</v>
      </c>
      <c r="AK77" s="4431">
        <f>+'Maj Techno Summ'!AH27</f>
        <v>3.19</v>
      </c>
      <c r="AL77" s="4432">
        <f>+'Maj Techno Summ'!AI27</f>
        <v>2.850000000000001</v>
      </c>
      <c r="AM77" s="4433">
        <f>+'Maj Techno Summ'!AJ27</f>
        <v>2.9933293339114679</v>
      </c>
      <c r="AN77" s="4430">
        <f>+'Maj Techno Summ'!AK27</f>
        <v>2.850000000000001</v>
      </c>
      <c r="AO77" s="4431">
        <f>+'Maj Techno Summ'!AL27</f>
        <v>2.87</v>
      </c>
      <c r="AP77" s="4434">
        <f>+'Maj Techno Summ'!AM27</f>
        <v>2.850000000000001</v>
      </c>
      <c r="AQ77" s="4434">
        <f>+'Maj Techno Summ'!AN27</f>
        <v>2.9327861755730611</v>
      </c>
      <c r="AR77" s="4432">
        <f>+'Maj Techno Summ'!AO27</f>
        <v>2.850000000000001</v>
      </c>
      <c r="AS77" s="4433">
        <f>+'Maj Techno Summ'!AP27</f>
        <v>2.9767743089302683</v>
      </c>
      <c r="AT77" s="4430">
        <f>+'Maj Techno Summ'!AQ27</f>
        <v>2.850000000000001</v>
      </c>
      <c r="AU77" s="4431">
        <f>+'Maj Techno Summ'!AR27</f>
        <v>2.87</v>
      </c>
      <c r="AV77" s="4432">
        <f>+'Maj Techno Summ'!AS27</f>
        <v>2.850000000000001</v>
      </c>
      <c r="AW77" s="4433">
        <f>+'Maj Techno Summ'!AT27</f>
        <v>2.9636138562029948</v>
      </c>
      <c r="AX77" s="4430">
        <f>+'Maj Techno Summ'!AU27</f>
        <v>2.850000000000001</v>
      </c>
      <c r="AY77" s="4431">
        <f>+'Maj Techno Summ'!AV27</f>
        <v>2.86</v>
      </c>
      <c r="AZ77" s="4432">
        <f>+'Maj Techno Summ'!AW27</f>
        <v>2.850000000000001</v>
      </c>
      <c r="BA77" s="4433">
        <f>+'Maj Techno Summ'!AX27</f>
        <v>2.953206404083847</v>
      </c>
      <c r="BB77" s="4430">
        <f>+'Maj Techno Summ'!AY27</f>
        <v>2.850000000000001</v>
      </c>
      <c r="BC77" s="4431">
        <f>+'Maj Techno Summ'!AZ27</f>
        <v>2.88</v>
      </c>
      <c r="BD77" s="4405">
        <f>+'Maj Techno Summ'!BA27</f>
        <v>2.850000000000001</v>
      </c>
      <c r="BE77" s="4405">
        <f>+'Maj Techno Summ'!BB27</f>
        <v>2.8702899280969336</v>
      </c>
      <c r="BF77" s="4406">
        <f>+'Maj Techno Summ'!BC27</f>
        <v>2.850000000000001</v>
      </c>
      <c r="BG77" s="4407">
        <f>+'Maj Techno Summ'!BD27</f>
        <v>2.8949703436971861</v>
      </c>
      <c r="BH77" s="4402">
        <f>+'Maj Techno Summ'!BE27</f>
        <v>2.850000000000001</v>
      </c>
      <c r="BI77" s="3848">
        <f>+'Maj Techno Summ'!BF27</f>
        <v>2.9459663709943329</v>
      </c>
    </row>
    <row r="78" spans="3:61" x14ac:dyDescent="0.25">
      <c r="C78" s="7423"/>
      <c r="D78" s="4466" t="s">
        <v>368</v>
      </c>
      <c r="E78" s="4140" t="s">
        <v>424</v>
      </c>
      <c r="F78" s="4516">
        <v>2.4470555125122435</v>
      </c>
      <c r="G78" s="4533">
        <f>+'Maj Techno Summ'!D28</f>
        <v>2.2695881506742244</v>
      </c>
      <c r="H78" s="4401">
        <f>+'Maj Techno Summ'!E28</f>
        <v>2.2695881506742244</v>
      </c>
      <c r="I78" s="4482">
        <f>+'Maj Techno Summ'!F28</f>
        <v>2.2999999999999998</v>
      </c>
      <c r="J78" s="4401">
        <f>+'Maj Techno Summ'!G28</f>
        <v>2.2695881506742244</v>
      </c>
      <c r="K78" s="4482">
        <f>+'Maj Techno Summ'!H28</f>
        <v>2.2909999999999999</v>
      </c>
      <c r="L78" s="4402">
        <f>+'Maj Techno Summ'!I28</f>
        <v>2.2695881506742244</v>
      </c>
      <c r="M78" s="3848">
        <f>+'Maj Techno Summ'!J28</f>
        <v>2.2951995861677235</v>
      </c>
      <c r="N78" s="4401">
        <f>+'Maj Techno Summ'!K28</f>
        <v>2.2695881506742244</v>
      </c>
      <c r="O78" s="4482">
        <f>+'Maj Techno Summ'!L28</f>
        <v>2.5910000000000002</v>
      </c>
      <c r="P78" s="4403">
        <f>+'Maj Techno Summ'!M28</f>
        <v>2.2695881506742244</v>
      </c>
      <c r="Q78" s="4447">
        <f>+'Maj Techno Summ'!N28</f>
        <v>2.3677544616201152</v>
      </c>
      <c r="R78" s="4401">
        <f>+'Maj Techno Summ'!O28</f>
        <v>2.2695881506742244</v>
      </c>
      <c r="S78" s="4482">
        <f>+'Maj Techno Summ'!P28</f>
        <v>2.36</v>
      </c>
      <c r="T78" s="4402">
        <f>+'Maj Techno Summ'!Q28</f>
        <v>2.2695881506742244</v>
      </c>
      <c r="U78" s="3848">
        <f>+'Maj Techno Summ'!R28</f>
        <v>2.3655431161535092</v>
      </c>
      <c r="V78" s="4401">
        <f>+'Maj Techno Summ'!S28</f>
        <v>2.2695881506742244</v>
      </c>
      <c r="W78" s="4482">
        <f>+'Maj Techno Summ'!T28</f>
        <v>2.41</v>
      </c>
      <c r="X78" s="4402">
        <f>+'Maj Techno Summ'!U28</f>
        <v>2.2695881506742244</v>
      </c>
      <c r="Y78" s="3848">
        <f>+'Maj Techno Summ'!V28</f>
        <v>2.3753094592632724</v>
      </c>
      <c r="Z78" s="4401">
        <f>+'Maj Techno Summ'!W28</f>
        <v>2.2695881506742244</v>
      </c>
      <c r="AA78" s="4482">
        <f>+'Maj Techno Summ'!X28</f>
        <v>2.33</v>
      </c>
      <c r="AB78" s="4403">
        <f>+'Maj Techno Summ'!Y28</f>
        <v>2.2695881506742244</v>
      </c>
      <c r="AC78" s="4403">
        <f>+'Maj Techno Summ'!Z28</f>
        <v>2.3666510636039919</v>
      </c>
      <c r="AD78" s="4406">
        <f>+'Maj Techno Summ'!AA28</f>
        <v>2.2695881506742244</v>
      </c>
      <c r="AE78" s="4407">
        <f>+'Maj Techno Summ'!AB28</f>
        <v>2.3771557760752473</v>
      </c>
      <c r="AF78" s="4401">
        <f>+'Maj Techno Summ'!AC28</f>
        <v>2.2695881506742244</v>
      </c>
      <c r="AG78" s="4482">
        <f>+'Maj Techno Summ'!AD28</f>
        <v>2.36</v>
      </c>
      <c r="AH78" s="4402">
        <f>+'Maj Techno Summ'!AE28</f>
        <v>2.2695881506742244</v>
      </c>
      <c r="AI78" s="3848">
        <f>+'Maj Techno Summ'!AF28</f>
        <v>2.3746274205790017</v>
      </c>
      <c r="AJ78" s="4401">
        <f>+'Maj Techno Summ'!AG28</f>
        <v>2.2695881506742244</v>
      </c>
      <c r="AK78" s="4482">
        <f>+'Maj Techno Summ'!AH28</f>
        <v>0</v>
      </c>
      <c r="AL78" s="4402">
        <f>+'Maj Techno Summ'!AI28</f>
        <v>2.2695881506742244</v>
      </c>
      <c r="AM78" s="3848">
        <f>+'Maj Techno Summ'!AJ28</f>
        <v>2.4500000000000002</v>
      </c>
      <c r="AN78" s="4401">
        <f>+'Maj Techno Summ'!AK28</f>
        <v>2.2695881506742244</v>
      </c>
      <c r="AO78" s="4482">
        <f>+'Maj Techno Summ'!AL28</f>
        <v>2.33</v>
      </c>
      <c r="AP78" s="4403">
        <f>+'Maj Techno Summ'!AM28</f>
        <v>2.2695881506742244</v>
      </c>
      <c r="AQ78" s="4403">
        <f>+'Maj Techno Summ'!AN28</f>
        <v>2.3045713253462883</v>
      </c>
      <c r="AR78" s="4402">
        <f>+'Maj Techno Summ'!AO28</f>
        <v>2.2695881506742244</v>
      </c>
      <c r="AS78" s="3848">
        <f>+'Maj Techno Summ'!AP28</f>
        <v>2.399891885776583</v>
      </c>
      <c r="AT78" s="4401">
        <f>+'Maj Techno Summ'!AQ28</f>
        <v>2.2695881506742244</v>
      </c>
      <c r="AU78" s="4482">
        <f>+'Maj Techno Summ'!AR28</f>
        <v>2.29</v>
      </c>
      <c r="AV78" s="4402">
        <f>+'Maj Techno Summ'!AS28</f>
        <v>2.2695881506742244</v>
      </c>
      <c r="AW78" s="3848">
        <f>+'Maj Techno Summ'!AT28</f>
        <v>2.3763471765449067</v>
      </c>
      <c r="AX78" s="4401">
        <f>+'Maj Techno Summ'!AU28</f>
        <v>2.2695881506742244</v>
      </c>
      <c r="AY78" s="4482">
        <f>+'Maj Techno Summ'!AV28</f>
        <v>2.29</v>
      </c>
      <c r="AZ78" s="4402">
        <f>+'Maj Techno Summ'!AW28</f>
        <v>2.2695881506742244</v>
      </c>
      <c r="BA78" s="3848">
        <f>+'Maj Techno Summ'!AX28</f>
        <v>2.3676740691204121</v>
      </c>
      <c r="BB78" s="4401">
        <f>+'Maj Techno Summ'!AY28</f>
        <v>2.2695881506742244</v>
      </c>
      <c r="BC78" s="4482">
        <f>+'Maj Techno Summ'!AZ28</f>
        <v>2.29</v>
      </c>
      <c r="BD78" s="4478">
        <f>+'Maj Techno Summ'!BA28</f>
        <v>2.2695881506742244</v>
      </c>
      <c r="BE78" s="4405">
        <f>+'Maj Techno Summ'!BB28</f>
        <v>2.29</v>
      </c>
      <c r="BF78" s="4476">
        <f>+'Maj Techno Summ'!BC28</f>
        <v>2.2695881506742244</v>
      </c>
      <c r="BG78" s="4407">
        <f>+'Maj Techno Summ'!BD28</f>
        <v>2.2957543673406993</v>
      </c>
      <c r="BH78" s="4475">
        <f>+'Maj Techno Summ'!BE28</f>
        <v>2.2695881506742244</v>
      </c>
      <c r="BI78" s="3848">
        <f>+'Maj Techno Summ'!BF28</f>
        <v>2.3699921888577928</v>
      </c>
    </row>
    <row r="79" spans="3:61" ht="15.75" thickBot="1" x14ac:dyDescent="0.3">
      <c r="C79" s="7424"/>
      <c r="D79" s="4368" t="s">
        <v>369</v>
      </c>
      <c r="E79" s="4369" t="s">
        <v>425</v>
      </c>
      <c r="F79" s="4534">
        <v>0.52806819520607939</v>
      </c>
      <c r="G79" s="4535">
        <f>+'Maj Techno Summ'!D29</f>
        <v>0.5</v>
      </c>
      <c r="H79" s="4536">
        <f>+'Maj Techno Summ'!E29</f>
        <v>0.5</v>
      </c>
      <c r="I79" s="4517">
        <f>+'Maj Techno Summ'!F29</f>
        <v>0.5</v>
      </c>
      <c r="J79" s="4536">
        <f>+'Maj Techno Summ'!G29</f>
        <v>0.5</v>
      </c>
      <c r="K79" s="4517">
        <f>+'Maj Techno Summ'!H29</f>
        <v>0.49199999999999999</v>
      </c>
      <c r="L79" s="4537">
        <f>+'Maj Techno Summ'!I29</f>
        <v>0.5</v>
      </c>
      <c r="M79" s="4538">
        <f>+'Maj Techno Summ'!J29</f>
        <v>0.49573296548242118</v>
      </c>
      <c r="N79" s="4536">
        <f>+'Maj Techno Summ'!K29</f>
        <v>0.5</v>
      </c>
      <c r="O79" s="4517">
        <f>+'Maj Techno Summ'!L29</f>
        <v>0.57999999999999996</v>
      </c>
      <c r="P79" s="4539">
        <f>+'Maj Techno Summ'!M29</f>
        <v>0.5</v>
      </c>
      <c r="Q79" s="4540">
        <f>+'Maj Techno Summ'!N29</f>
        <v>0.51640225432808196</v>
      </c>
      <c r="R79" s="4536">
        <f>+'Maj Techno Summ'!O29</f>
        <v>0.5</v>
      </c>
      <c r="S79" s="4517">
        <f>+'Maj Techno Summ'!P29</f>
        <v>0.52</v>
      </c>
      <c r="T79" s="4537">
        <f>+'Maj Techno Summ'!Q29</f>
        <v>0.5</v>
      </c>
      <c r="U79" s="4538">
        <f>+'Maj Techno Summ'!R29</f>
        <v>0.51742822608103511</v>
      </c>
      <c r="V79" s="4536">
        <f>+'Maj Techno Summ'!S29</f>
        <v>0.5</v>
      </c>
      <c r="W79" s="4517">
        <f>+'Maj Techno Summ'!T29</f>
        <v>0.5</v>
      </c>
      <c r="X79" s="4537">
        <f>+'Maj Techno Summ'!U29</f>
        <v>0.5</v>
      </c>
      <c r="Y79" s="4538">
        <f>+'Maj Techno Summ'!V29</f>
        <v>0.51359957186654615</v>
      </c>
      <c r="Z79" s="4536">
        <f>+'Maj Techno Summ'!W29</f>
        <v>0.5</v>
      </c>
      <c r="AA79" s="4517">
        <f>+'Maj Techno Summ'!X29</f>
        <v>0.51</v>
      </c>
      <c r="AB79" s="4539">
        <f>+'Maj Techno Summ'!Y29</f>
        <v>0.5</v>
      </c>
      <c r="AC79" s="4539">
        <f>+'Maj Techno Summ'!Z29</f>
        <v>0.51004296578655639</v>
      </c>
      <c r="AD79" s="4541">
        <f>+'Maj Techno Summ'!AA29</f>
        <v>0.5</v>
      </c>
      <c r="AE79" s="4542">
        <f>+'Maj Techno Summ'!AB29</f>
        <v>0.51295180936640661</v>
      </c>
      <c r="AF79" s="4536">
        <f>+'Maj Techno Summ'!AC29</f>
        <v>0.5</v>
      </c>
      <c r="AG79" s="4517">
        <f>+'Maj Techno Summ'!AD29</f>
        <v>0.5</v>
      </c>
      <c r="AH79" s="4537">
        <f>+'Maj Techno Summ'!AE29</f>
        <v>0.5</v>
      </c>
      <c r="AI79" s="4538">
        <f>+'Maj Techno Summ'!AF29</f>
        <v>0.51104301909925398</v>
      </c>
      <c r="AJ79" s="4536">
        <f>+'Maj Techno Summ'!AG29</f>
        <v>0.5</v>
      </c>
      <c r="AK79" s="4517">
        <f>+'Maj Techno Summ'!AH29</f>
        <v>0</v>
      </c>
      <c r="AL79" s="4537">
        <f>+'Maj Techno Summ'!AI29</f>
        <v>0.5</v>
      </c>
      <c r="AM79" s="4538">
        <f>+'Maj Techno Summ'!AJ29</f>
        <v>0.54</v>
      </c>
      <c r="AN79" s="4536">
        <f>+'Maj Techno Summ'!AK29</f>
        <v>0.5</v>
      </c>
      <c r="AO79" s="4517">
        <f>+'Maj Techno Summ'!AL29</f>
        <v>0.49</v>
      </c>
      <c r="AP79" s="4539">
        <f>+'Maj Techno Summ'!AM29</f>
        <v>0.5</v>
      </c>
      <c r="AQ79" s="4539">
        <f>+'Maj Techno Summ'!AN29</f>
        <v>0.48641557151244186</v>
      </c>
      <c r="AR79" s="4537">
        <f>+'Maj Techno Summ'!AO29</f>
        <v>0.5</v>
      </c>
      <c r="AS79" s="4538">
        <f>+'Maj Techno Summ'!AP29</f>
        <v>0.52328828574024266</v>
      </c>
      <c r="AT79" s="4536">
        <f>+'Maj Techno Summ'!AQ29</f>
        <v>0.5</v>
      </c>
      <c r="AU79" s="4517">
        <f>+'Maj Techno Summ'!AR29</f>
        <v>0.46</v>
      </c>
      <c r="AV79" s="4537">
        <f>+'Maj Techno Summ'!AS29</f>
        <v>0.5</v>
      </c>
      <c r="AW79" s="4538">
        <f>+'Maj Techno Summ'!AT29</f>
        <v>0.51548769680626438</v>
      </c>
      <c r="AX79" s="4536">
        <f>+'Maj Techno Summ'!AU29</f>
        <v>0.5</v>
      </c>
      <c r="AY79" s="4517">
        <f>+'Maj Techno Summ'!AV29</f>
        <v>0.44</v>
      </c>
      <c r="AZ79" s="4537">
        <f>+'Maj Techno Summ'!AW29</f>
        <v>0.5</v>
      </c>
      <c r="BA79" s="4538">
        <f>+'Maj Techno Summ'!AX29</f>
        <v>0.50790536545709863</v>
      </c>
      <c r="BB79" s="4536">
        <f>+'Maj Techno Summ'!AY29</f>
        <v>0.5</v>
      </c>
      <c r="BC79" s="4517">
        <f>+'Maj Techno Summ'!AZ29</f>
        <v>0.49</v>
      </c>
      <c r="BD79" s="4405">
        <f>+'Maj Techno Summ'!BA29</f>
        <v>0.5</v>
      </c>
      <c r="BE79" s="4405">
        <f>+'Maj Techno Summ'!BB29</f>
        <v>0.46399819224771821</v>
      </c>
      <c r="BF79" s="4406">
        <f>+'Maj Techno Summ'!BC29</f>
        <v>0.5</v>
      </c>
      <c r="BG79" s="4407">
        <f>+'Maj Techno Summ'!BD29</f>
        <v>0.47285104756728297</v>
      </c>
      <c r="BH79" s="4402">
        <f>+'Maj Techno Summ'!BE29</f>
        <v>0.5</v>
      </c>
      <c r="BI79" s="3848">
        <f>+'Maj Techno Summ'!BF29</f>
        <v>0.4961345444474945</v>
      </c>
    </row>
    <row r="80" spans="3:61" ht="16.5" thickBot="1" x14ac:dyDescent="0.3">
      <c r="C80" s="4543" t="s">
        <v>1070</v>
      </c>
      <c r="D80" s="4544" t="s">
        <v>546</v>
      </c>
      <c r="E80" s="4545" t="s">
        <v>547</v>
      </c>
      <c r="F80" s="4546">
        <v>639.11266207165545</v>
      </c>
      <c r="G80" s="4547">
        <f>+'Maj Techno Summ'!D30</f>
        <v>789.97408213376912</v>
      </c>
      <c r="H80" s="4548">
        <f>+'Maj Techno Summ'!E30</f>
        <v>812.64670771500494</v>
      </c>
      <c r="I80" s="4549">
        <f>+'Maj Techno Summ'!F30</f>
        <v>724.01994644622903</v>
      </c>
      <c r="J80" s="4548">
        <f>+'Maj Techno Summ'!G30</f>
        <v>814.8825190968206</v>
      </c>
      <c r="K80" s="4549">
        <f>+'Maj Techno Summ'!H30</f>
        <v>799.42672946489506</v>
      </c>
      <c r="L80" s="4550">
        <f>+'Maj Techno Summ'!I30</f>
        <v>813.75238109297538</v>
      </c>
      <c r="M80" s="4551">
        <f>+'Maj Techno Summ'!J30</f>
        <v>762.26283598469161</v>
      </c>
      <c r="N80" s="4548">
        <f>+'Maj Techno Summ'!K30</f>
        <v>480.12886707462184</v>
      </c>
      <c r="O80" s="4549">
        <f>+'Maj Techno Summ'!L30</f>
        <v>511.97435785946328</v>
      </c>
      <c r="P80" s="4552">
        <f>+'Maj Techno Summ'!M30</f>
        <v>703.69137026213741</v>
      </c>
      <c r="Q80" s="4553">
        <f>+'Maj Techno Summ'!N30</f>
        <v>679.29879718907546</v>
      </c>
      <c r="R80" s="4548">
        <f>+'Maj Techno Summ'!O30</f>
        <v>221.11383558715067</v>
      </c>
      <c r="S80" s="4549">
        <f>+'Maj Techno Summ'!P30</f>
        <v>780.59808898227641</v>
      </c>
      <c r="T80" s="4550">
        <f>+'Maj Techno Summ'!Q30</f>
        <v>581.56345018802324</v>
      </c>
      <c r="U80" s="4551">
        <f>+'Maj Techno Summ'!R30</f>
        <v>705.15362412993875</v>
      </c>
      <c r="V80" s="4548">
        <f>+'Maj Techno Summ'!S30</f>
        <v>759.30661140764448</v>
      </c>
      <c r="W80" s="4549">
        <f>+'Maj Techno Summ'!T30</f>
        <v>770.78121747298167</v>
      </c>
      <c r="X80" s="4550">
        <f>+'Maj Techno Summ'!U30</f>
        <v>617.26166122517884</v>
      </c>
      <c r="Y80" s="4551">
        <f>+'Maj Techno Summ'!V30</f>
        <v>718.49934860964333</v>
      </c>
      <c r="Z80" s="4548">
        <f>+'Maj Techno Summ'!W30</f>
        <v>761.48023656006831</v>
      </c>
      <c r="AA80" s="4549">
        <f>+'Maj Techno Summ'!X30</f>
        <v>795.29293304431258</v>
      </c>
      <c r="AB80" s="4552">
        <f>+'Maj Techno Summ'!Y30</f>
        <v>576.89702721697745</v>
      </c>
      <c r="AC80" s="4552">
        <f>+'Maj Techno Summ'!Z30</f>
        <v>782.08087540881343</v>
      </c>
      <c r="AD80" s="4554">
        <f>+'Maj Techno Summ'!AA30</f>
        <v>640.68256759680594</v>
      </c>
      <c r="AE80" s="4554">
        <f>+'Maj Techno Summ'!AB30</f>
        <v>731.12226940013204</v>
      </c>
      <c r="AF80" s="4548">
        <f>+'Maj Techno Summ'!AC30</f>
        <v>795.73412401614883</v>
      </c>
      <c r="AG80" s="4549">
        <f>+'Maj Techno Summ'!AD30</f>
        <v>739.55185266664535</v>
      </c>
      <c r="AH80" s="4550">
        <f>+'Maj Techno Summ'!AE30</f>
        <v>662.89176523060291</v>
      </c>
      <c r="AI80" s="4551">
        <f>+'Maj Techno Summ'!AF30</f>
        <v>732.34882674584208</v>
      </c>
      <c r="AJ80" s="4548">
        <f>+'Maj Techno Summ'!AG30</f>
        <v>797.75562539658404</v>
      </c>
      <c r="AK80" s="4549" t="str">
        <f>+'Maj Techno Summ'!AH30</f>
        <v>30 *</v>
      </c>
      <c r="AL80" s="4550">
        <f>+'Maj Techno Summ'!AI30</f>
        <v>679.30519210513353</v>
      </c>
      <c r="AM80" s="4551" t="str">
        <f>+'Maj Techno Summ'!AJ30</f>
        <v>632*</v>
      </c>
      <c r="AN80" s="4548">
        <f>+'Maj Techno Summ'!AK30</f>
        <v>799.40215800758006</v>
      </c>
      <c r="AO80" s="4549">
        <f>+'Maj Techno Summ'!AL30</f>
        <v>783.42260951459184</v>
      </c>
      <c r="AP80" s="4552">
        <f>+'Maj Techno Summ'!AM30</f>
        <v>797.6264351018807</v>
      </c>
      <c r="AQ80" s="4552">
        <f>+'Maj Techno Summ'!AN30</f>
        <v>523.07889747208162</v>
      </c>
      <c r="AR80" s="4550">
        <f>+'Maj Techno Summ'!AO30</f>
        <v>692.66631026207722</v>
      </c>
      <c r="AS80" s="4551">
        <f>+'Maj Techno Summ'!AP30</f>
        <v>661.24790180319837</v>
      </c>
      <c r="AT80" s="4548">
        <f>+'Maj Techno Summ'!AQ30</f>
        <v>801.24888548781723</v>
      </c>
      <c r="AU80" s="4549">
        <f>+'Maj Techno Summ'!AR30</f>
        <v>812.39513195852544</v>
      </c>
      <c r="AV80" s="4550">
        <f>+'Maj Techno Summ'!AS30</f>
        <v>703.51215393966368</v>
      </c>
      <c r="AW80" s="4551">
        <f>+'Maj Techno Summ'!AT30</f>
        <v>676.69069341768454</v>
      </c>
      <c r="AX80" s="4548">
        <f>+'Maj Techno Summ'!AU30</f>
        <v>800.86058845530192</v>
      </c>
      <c r="AY80" s="4549">
        <f>+'Maj Techno Summ'!AV30</f>
        <v>821.47127169292764</v>
      </c>
      <c r="AZ80" s="4550">
        <f>+'Maj Techno Summ'!AW30</f>
        <v>711.63401697763777</v>
      </c>
      <c r="BA80" s="4551">
        <f>+'Maj Techno Summ'!AX30</f>
        <v>688.83398231830859</v>
      </c>
      <c r="BB80" s="4548">
        <f>+'Maj Techno Summ'!AY30</f>
        <v>804.50127296152823</v>
      </c>
      <c r="BC80" s="4549">
        <f>+'Maj Techno Summ'!AZ30</f>
        <v>821.28851210997527</v>
      </c>
      <c r="BD80" s="4446">
        <f>+'Maj Techno Summ'!BA30</f>
        <v>802.26722065252466</v>
      </c>
      <c r="BE80" s="4446">
        <f>+'Maj Techno Summ'!BB30</f>
        <v>818.29190777807003</v>
      </c>
      <c r="BF80" s="4444">
        <f>+'Maj Techno Summ'!BC30</f>
        <v>799.94403598855672</v>
      </c>
      <c r="BG80" s="4445">
        <f>+'Maj Techno Summ'!BD30</f>
        <v>668.98436156557557</v>
      </c>
      <c r="BH80" s="4441">
        <f>+'Maj Techno Summ'!BE30</f>
        <v>719.39222072523751</v>
      </c>
      <c r="BI80" s="3861">
        <f>+'Maj Techno Summ'!BF30</f>
        <v>700.0483840982771</v>
      </c>
    </row>
    <row r="81" spans="20:21" x14ac:dyDescent="0.25">
      <c r="T81" s="1277"/>
      <c r="U81" s="1277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Q262"/>
  <sheetViews>
    <sheetView zoomScaleNormal="100" workbookViewId="0">
      <pane xSplit="3" topLeftCell="D1" activePane="topRight" state="frozen"/>
      <selection pane="topRight" activeCell="G188" sqref="G188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customWidth="1"/>
    <col min="10" max="10" width="10" hidden="1" customWidth="1"/>
    <col min="11" max="11" width="10.7109375" hidden="1" customWidth="1"/>
    <col min="12" max="12" width="10" hidden="1" customWidth="1"/>
    <col min="13" max="13" width="10.85546875" style="152" hidden="1" customWidth="1"/>
    <col min="14" max="14" width="10" hidden="1" customWidth="1"/>
    <col min="15" max="15" width="10.7109375" hidden="1" customWidth="1"/>
    <col min="16" max="16" width="10" hidden="1" customWidth="1"/>
    <col min="17" max="17" width="10.7109375" hidden="1" customWidth="1"/>
    <col min="18" max="18" width="10" hidden="1" customWidth="1"/>
    <col min="19" max="19" width="10.7109375" hidden="1" customWidth="1"/>
    <col min="20" max="20" width="10" hidden="1" customWidth="1"/>
    <col min="21" max="21" width="12.28515625" hidden="1" customWidth="1"/>
    <col min="22" max="22" width="10" hidden="1" customWidth="1"/>
    <col min="23" max="23" width="10.7109375" hidden="1" customWidth="1"/>
    <col min="24" max="24" width="9.5703125" hidden="1" customWidth="1"/>
    <col min="25" max="25" width="10.85546875" style="152" hidden="1" customWidth="1"/>
    <col min="26" max="26" width="10" hidden="1" customWidth="1"/>
    <col min="27" max="27" width="12.42578125" hidden="1" customWidth="1"/>
    <col min="28" max="28" width="9.140625" hidden="1" customWidth="1"/>
    <col min="29" max="29" width="10.85546875" style="5454" hidden="1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78" hidden="1" customWidth="1"/>
    <col min="53" max="53" width="10.85546875" style="3078" hidden="1" customWidth="1"/>
    <col min="54" max="54" width="9.140625" style="3078" hidden="1" customWidth="1"/>
    <col min="55" max="55" width="12" style="3078" hidden="1" customWidth="1"/>
    <col min="56" max="56" width="9.140625" hidden="1" customWidth="1"/>
    <col min="57" max="57" width="12.42578125" hidden="1" customWidth="1"/>
    <col min="58" max="67" width="9.140625" customWidth="1"/>
  </cols>
  <sheetData>
    <row r="1" spans="1:69" hidden="1" x14ac:dyDescent="0.25">
      <c r="B1" s="261"/>
      <c r="E1" s="552"/>
      <c r="F1" s="552"/>
      <c r="I1" s="628"/>
      <c r="J1" s="149"/>
      <c r="M1" s="2409"/>
      <c r="N1" s="149"/>
      <c r="Q1" s="628"/>
      <c r="R1" s="149"/>
      <c r="U1" s="628"/>
      <c r="V1" s="149"/>
      <c r="W1" s="2256"/>
      <c r="X1" s="26"/>
      <c r="Y1" s="2409"/>
      <c r="AA1" s="453"/>
    </row>
    <row r="2" spans="1:69" ht="43.5" customHeight="1" thickBot="1" x14ac:dyDescent="0.3">
      <c r="A2" s="149"/>
      <c r="B2" s="7439" t="s">
        <v>1112</v>
      </c>
      <c r="C2" s="7439"/>
      <c r="D2" s="7439"/>
      <c r="E2" s="7439"/>
      <c r="F2" s="7439"/>
      <c r="G2" s="7439"/>
      <c r="H2" s="7439"/>
      <c r="I2" s="7439"/>
      <c r="J2" s="7439"/>
      <c r="K2" s="7439"/>
      <c r="L2" s="7439"/>
      <c r="M2" s="7439"/>
      <c r="N2" s="7439"/>
      <c r="O2" s="7439"/>
      <c r="P2" s="7439"/>
      <c r="Q2" s="7439"/>
      <c r="R2" s="7439"/>
      <c r="S2" s="7439"/>
      <c r="T2" s="7439"/>
      <c r="U2" s="7439"/>
      <c r="V2" s="7439"/>
      <c r="W2" s="7439"/>
      <c r="X2" s="7439"/>
      <c r="Y2" s="7439"/>
      <c r="Z2" s="7439"/>
      <c r="AA2" s="7439"/>
    </row>
    <row r="3" spans="1:69" ht="16.5" thickBot="1" x14ac:dyDescent="0.3">
      <c r="B3" s="7440" t="s">
        <v>171</v>
      </c>
      <c r="C3" s="7375" t="s">
        <v>172</v>
      </c>
      <c r="D3" s="7364" t="s">
        <v>2254</v>
      </c>
      <c r="E3" s="7443"/>
      <c r="F3" s="7364" t="s">
        <v>2306</v>
      </c>
      <c r="G3" s="7364"/>
      <c r="H3" s="7444" t="s">
        <v>14</v>
      </c>
      <c r="I3" s="7445"/>
      <c r="J3" s="7370" t="s">
        <v>1903</v>
      </c>
      <c r="K3" s="7377"/>
      <c r="L3" s="7437" t="s">
        <v>637</v>
      </c>
      <c r="M3" s="7438"/>
      <c r="N3" s="7370" t="s">
        <v>1937</v>
      </c>
      <c r="O3" s="7377"/>
      <c r="P3" s="7436" t="s">
        <v>17</v>
      </c>
      <c r="Q3" s="7363"/>
      <c r="R3" s="7370" t="s">
        <v>1961</v>
      </c>
      <c r="S3" s="7377"/>
      <c r="T3" s="7436" t="s">
        <v>18</v>
      </c>
      <c r="U3" s="7363"/>
      <c r="V3" s="7364" t="s">
        <v>1983</v>
      </c>
      <c r="W3" s="7364"/>
      <c r="X3" s="7437" t="s">
        <v>660</v>
      </c>
      <c r="Y3" s="7438"/>
      <c r="Z3" s="7433" t="s">
        <v>657</v>
      </c>
      <c r="AA3" s="7355"/>
      <c r="AB3" s="7370" t="s">
        <v>2002</v>
      </c>
      <c r="AC3" s="7377"/>
      <c r="AD3" s="7436" t="s">
        <v>24</v>
      </c>
      <c r="AE3" s="7363"/>
      <c r="AF3" s="7370" t="s">
        <v>2018</v>
      </c>
      <c r="AG3" s="7377"/>
      <c r="AH3" s="7436" t="s">
        <v>27</v>
      </c>
      <c r="AI3" s="7363"/>
      <c r="AJ3" s="7364" t="s">
        <v>2033</v>
      </c>
      <c r="AK3" s="7364"/>
      <c r="AL3" s="7371" t="s">
        <v>662</v>
      </c>
      <c r="AM3" s="7372"/>
      <c r="AN3" s="7436" t="s">
        <v>1683</v>
      </c>
      <c r="AO3" s="7363"/>
      <c r="AP3" s="7370" t="s">
        <v>2137</v>
      </c>
      <c r="AQ3" s="7377"/>
      <c r="AR3" s="7436" t="s">
        <v>28</v>
      </c>
      <c r="AS3" s="7363"/>
      <c r="AT3" s="7370" t="s">
        <v>2151</v>
      </c>
      <c r="AU3" s="7377"/>
      <c r="AV3" s="7436" t="s">
        <v>30</v>
      </c>
      <c r="AW3" s="7363"/>
      <c r="AX3" s="7370" t="s">
        <v>2163</v>
      </c>
      <c r="AY3" s="7377"/>
      <c r="AZ3" s="7371" t="s">
        <v>663</v>
      </c>
      <c r="BA3" s="7372"/>
      <c r="BB3" s="7433" t="s">
        <v>671</v>
      </c>
      <c r="BC3" s="7355"/>
      <c r="BD3" s="7436" t="s">
        <v>1765</v>
      </c>
      <c r="BE3" s="7363"/>
    </row>
    <row r="4" spans="1:69" ht="16.5" thickBot="1" x14ac:dyDescent="0.3">
      <c r="B4" s="7441"/>
      <c r="C4" s="7442"/>
      <c r="D4" s="546" t="s">
        <v>173</v>
      </c>
      <c r="E4" s="157" t="s">
        <v>174</v>
      </c>
      <c r="F4" s="546" t="s">
        <v>173</v>
      </c>
      <c r="G4" s="178" t="s">
        <v>174</v>
      </c>
      <c r="H4" s="1696" t="s">
        <v>173</v>
      </c>
      <c r="I4" s="1661" t="s">
        <v>174</v>
      </c>
      <c r="J4" s="1043" t="s">
        <v>173</v>
      </c>
      <c r="K4" s="178" t="s">
        <v>174</v>
      </c>
      <c r="L4" s="2392" t="s">
        <v>173</v>
      </c>
      <c r="M4" s="2393" t="s">
        <v>174</v>
      </c>
      <c r="N4" s="1043" t="s">
        <v>173</v>
      </c>
      <c r="O4" s="178" t="s">
        <v>174</v>
      </c>
      <c r="P4" s="146" t="s">
        <v>173</v>
      </c>
      <c r="Q4" s="163" t="s">
        <v>174</v>
      </c>
      <c r="R4" s="1043" t="s">
        <v>173</v>
      </c>
      <c r="S4" s="178" t="s">
        <v>174</v>
      </c>
      <c r="T4" s="146" t="s">
        <v>173</v>
      </c>
      <c r="U4" s="163" t="s">
        <v>174</v>
      </c>
      <c r="V4" s="1043" t="s">
        <v>173</v>
      </c>
      <c r="W4" s="2367" t="s">
        <v>174</v>
      </c>
      <c r="X4" s="3077" t="s">
        <v>173</v>
      </c>
      <c r="Y4" s="2393" t="s">
        <v>174</v>
      </c>
      <c r="Z4" s="467" t="s">
        <v>173</v>
      </c>
      <c r="AA4" s="467" t="s">
        <v>174</v>
      </c>
      <c r="AB4" s="1043" t="s">
        <v>173</v>
      </c>
      <c r="AC4" s="5467" t="s">
        <v>174</v>
      </c>
      <c r="AD4" s="2612" t="s">
        <v>173</v>
      </c>
      <c r="AE4" s="163" t="s">
        <v>174</v>
      </c>
      <c r="AF4" s="1043" t="s">
        <v>173</v>
      </c>
      <c r="AG4" s="178" t="s">
        <v>174</v>
      </c>
      <c r="AH4" s="2661" t="s">
        <v>173</v>
      </c>
      <c r="AI4" s="163" t="s">
        <v>174</v>
      </c>
      <c r="AJ4" s="1043" t="s">
        <v>173</v>
      </c>
      <c r="AK4" s="2721" t="s">
        <v>174</v>
      </c>
      <c r="AL4" s="2717" t="s">
        <v>173</v>
      </c>
      <c r="AM4" s="2393" t="s">
        <v>174</v>
      </c>
      <c r="AN4" s="2718" t="s">
        <v>173</v>
      </c>
      <c r="AO4" s="163" t="s">
        <v>174</v>
      </c>
      <c r="AP4" s="1043" t="s">
        <v>173</v>
      </c>
      <c r="AQ4" s="178" t="s">
        <v>174</v>
      </c>
      <c r="AR4" s="2789" t="s">
        <v>173</v>
      </c>
      <c r="AS4" s="163" t="s">
        <v>174</v>
      </c>
      <c r="AT4" s="1043" t="s">
        <v>173</v>
      </c>
      <c r="AU4" s="178" t="s">
        <v>174</v>
      </c>
      <c r="AV4" s="2838" t="s">
        <v>173</v>
      </c>
      <c r="AW4" s="163" t="s">
        <v>174</v>
      </c>
      <c r="AX4" s="1043" t="s">
        <v>173</v>
      </c>
      <c r="AY4" s="178" t="s">
        <v>174</v>
      </c>
      <c r="AZ4" s="3075" t="s">
        <v>173</v>
      </c>
      <c r="BA4" s="2393" t="s">
        <v>174</v>
      </c>
      <c r="BB4" s="467" t="s">
        <v>173</v>
      </c>
      <c r="BC4" s="467" t="s">
        <v>174</v>
      </c>
      <c r="BD4" s="3076" t="s">
        <v>173</v>
      </c>
      <c r="BE4" s="163" t="s">
        <v>174</v>
      </c>
    </row>
    <row r="5" spans="1:69" ht="25.5" x14ac:dyDescent="0.25">
      <c r="A5" s="149"/>
      <c r="B5" s="3883" t="s">
        <v>1673</v>
      </c>
      <c r="C5" s="204"/>
      <c r="D5" s="235"/>
      <c r="E5" s="2715">
        <f>+E6+E12+E14+E19</f>
        <v>1095.8900000000001</v>
      </c>
      <c r="F5" s="596"/>
      <c r="G5" s="2715">
        <f>+G6+G12+G14+G19</f>
        <v>2704.9500000000007</v>
      </c>
      <c r="H5" s="1662"/>
      <c r="I5" s="1662">
        <f>+E5+G5</f>
        <v>3800.8400000000011</v>
      </c>
      <c r="J5" s="1137"/>
      <c r="K5" s="2715">
        <f>+K6+K12+K14+K19</f>
        <v>4335</v>
      </c>
      <c r="L5" s="802"/>
      <c r="M5" s="802">
        <f>+E5+G5+K5</f>
        <v>8135.8400000000011</v>
      </c>
      <c r="N5" s="1137"/>
      <c r="O5" s="2715">
        <f>+O6+O12+O14+O19</f>
        <v>2363.0899999999997</v>
      </c>
      <c r="P5" s="2608"/>
      <c r="Q5" s="1662">
        <f>+M5+O5</f>
        <v>10498.93</v>
      </c>
      <c r="R5" s="1137"/>
      <c r="S5" s="2715">
        <f>+S6+S12+S14+S19</f>
        <v>4615.5</v>
      </c>
      <c r="T5" s="2399"/>
      <c r="U5" s="1662">
        <f>+Q5+S5</f>
        <v>15114.43</v>
      </c>
      <c r="V5" s="1044"/>
      <c r="W5" s="2715">
        <f>+W6+W12+W14+W19</f>
        <v>5084.5199999999995</v>
      </c>
      <c r="X5" s="802"/>
      <c r="Y5" s="802">
        <f>+O5+S5+W5</f>
        <v>12063.11</v>
      </c>
      <c r="Z5" s="470"/>
      <c r="AA5" s="522">
        <f>M5+Y5</f>
        <v>20198.95</v>
      </c>
      <c r="AB5" s="2400"/>
      <c r="AC5" s="5468">
        <f>+AC6+AC12+AC14+AC19</f>
        <v>4044.21</v>
      </c>
      <c r="AD5" s="2608"/>
      <c r="AE5" s="2608">
        <f>AA5+AC5</f>
        <v>24243.16</v>
      </c>
      <c r="AF5" s="2400"/>
      <c r="AG5" s="5468">
        <f>+AG6+AG12+AG14+AG19</f>
        <v>5778.3500000000013</v>
      </c>
      <c r="AH5" s="2608"/>
      <c r="AI5" s="2608">
        <f t="shared" ref="AI5:AI10" si="0">+AE5+AG5</f>
        <v>30021.510000000002</v>
      </c>
      <c r="AJ5" s="2720"/>
      <c r="AK5" s="5468">
        <f>+AK6+AK12+AK14+AK19</f>
        <v>3912.4900000000002</v>
      </c>
      <c r="AL5" s="595"/>
      <c r="AM5" s="802">
        <f>+AC5+AG5+AK5</f>
        <v>13735.050000000001</v>
      </c>
      <c r="AN5" s="2608"/>
      <c r="AO5" s="2608">
        <f>AI5+AK5</f>
        <v>33934</v>
      </c>
      <c r="AP5" s="2400"/>
      <c r="AQ5" s="5468">
        <f>+AQ6+AQ12+AQ14+AQ19</f>
        <v>3486.44</v>
      </c>
      <c r="AR5" s="2608"/>
      <c r="AS5" s="2608">
        <f t="shared" ref="AS5:AS19" si="1">+AO5+AQ5</f>
        <v>37420.44</v>
      </c>
      <c r="AT5" s="2400"/>
      <c r="AU5" s="5468">
        <f>+AU6+AU12+AU14+AU19</f>
        <v>1080.44</v>
      </c>
      <c r="AV5" s="2608"/>
      <c r="AW5" s="2608">
        <f t="shared" ref="AW5:AW19" si="2">+AS5+AU5</f>
        <v>38500.880000000005</v>
      </c>
      <c r="AX5" s="2400"/>
      <c r="AY5" s="5468">
        <f>+AY6+AY12+AY14+AY19</f>
        <v>6965.79</v>
      </c>
      <c r="AZ5" s="595"/>
      <c r="BA5" s="802">
        <f>+AQ5+AU5+AY5</f>
        <v>11532.67</v>
      </c>
      <c r="BB5" s="470"/>
      <c r="BC5" s="522">
        <f>BA5+AM5</f>
        <v>25267.72</v>
      </c>
      <c r="BD5" s="2608"/>
      <c r="BE5" s="256">
        <f t="shared" ref="BE5:BE19" si="3">+AW5+AY5</f>
        <v>45466.670000000006</v>
      </c>
      <c r="BF5" s="26"/>
      <c r="BG5" s="26"/>
      <c r="BP5" s="26"/>
      <c r="BQ5" s="26"/>
    </row>
    <row r="6" spans="1:69" ht="23.25" x14ac:dyDescent="0.25">
      <c r="A6" s="149"/>
      <c r="B6" s="3141" t="s">
        <v>1349</v>
      </c>
      <c r="C6" s="159" t="s">
        <v>354</v>
      </c>
      <c r="D6" s="596"/>
      <c r="E6" s="2712">
        <f>+E7+E8</f>
        <v>1095.8900000000001</v>
      </c>
      <c r="F6" s="2712">
        <f t="shared" ref="F6:AF6" si="4">+F7+F8</f>
        <v>0</v>
      </c>
      <c r="G6" s="2712">
        <f>+G7+G8</f>
        <v>1764.7700000000004</v>
      </c>
      <c r="H6" s="2711"/>
      <c r="I6" s="1662">
        <f t="shared" ref="I6:I19" si="5">+E6+G6</f>
        <v>2860.6600000000008</v>
      </c>
      <c r="J6" s="2712">
        <f t="shared" si="4"/>
        <v>0</v>
      </c>
      <c r="K6" s="2712">
        <f>+K7+K8</f>
        <v>2866.6199999999994</v>
      </c>
      <c r="L6" s="1360"/>
      <c r="M6" s="802">
        <f t="shared" ref="M6:M20" si="6">+E6+G6+K6</f>
        <v>5727.2800000000007</v>
      </c>
      <c r="N6" s="2712">
        <f t="shared" si="4"/>
        <v>0</v>
      </c>
      <c r="O6" s="2712">
        <f>+O7+O8</f>
        <v>2363.0899999999997</v>
      </c>
      <c r="P6" s="1608"/>
      <c r="Q6" s="1662">
        <f t="shared" ref="Q6:Q19" si="7">+M6+O6</f>
        <v>8090.3700000000008</v>
      </c>
      <c r="R6" s="2712">
        <f t="shared" si="4"/>
        <v>0</v>
      </c>
      <c r="S6" s="2712">
        <f>+S7+S8</f>
        <v>3766.74</v>
      </c>
      <c r="T6" s="2711"/>
      <c r="U6" s="1662">
        <f t="shared" ref="U6:U19" si="8">+Q6+S6</f>
        <v>11857.11</v>
      </c>
      <c r="V6" s="2712">
        <f t="shared" si="4"/>
        <v>0</v>
      </c>
      <c r="W6" s="2712">
        <f>+W7+W8</f>
        <v>4291.2199999999993</v>
      </c>
      <c r="X6" s="1360"/>
      <c r="Y6" s="802">
        <f t="shared" ref="Y6:Y73" si="9">+O6+S6+W6</f>
        <v>10421.049999999999</v>
      </c>
      <c r="Z6" s="470"/>
      <c r="AA6" s="522">
        <f t="shared" ref="AA6:AA73" si="10">M6+Y6</f>
        <v>16148.33</v>
      </c>
      <c r="AB6" s="2712">
        <f t="shared" si="4"/>
        <v>0</v>
      </c>
      <c r="AC6" s="5469">
        <f>+AC7+AC8</f>
        <v>3411.65</v>
      </c>
      <c r="AD6" s="1608"/>
      <c r="AE6" s="2608">
        <f t="shared" ref="AE6:AE10" si="11">AA6+AC6</f>
        <v>19559.98</v>
      </c>
      <c r="AF6" s="2712">
        <f t="shared" si="4"/>
        <v>0</v>
      </c>
      <c r="AG6" s="5469">
        <f>+AG7+AG8</f>
        <v>5141.4700000000012</v>
      </c>
      <c r="AH6" s="1608"/>
      <c r="AI6" s="2608">
        <f t="shared" si="0"/>
        <v>24701.45</v>
      </c>
      <c r="AJ6" s="2712">
        <f t="shared" ref="AJ6" si="12">+AJ7+AJ8</f>
        <v>0</v>
      </c>
      <c r="AK6" s="5469">
        <f>+AK7+AK8</f>
        <v>3545.03</v>
      </c>
      <c r="AL6" s="2714"/>
      <c r="AM6" s="802">
        <f t="shared" ref="AM6:AM73" si="13">+AC6+AG6+AK6</f>
        <v>12098.150000000001</v>
      </c>
      <c r="AN6" s="1608"/>
      <c r="AO6" s="2608">
        <f t="shared" ref="AO6:AO76" si="14">AI6+AK6</f>
        <v>28246.48</v>
      </c>
      <c r="AP6" s="2712">
        <f t="shared" ref="AP6" si="15">+AP7+AP8</f>
        <v>0</v>
      </c>
      <c r="AQ6" s="5469">
        <f>+AQ7+AQ8</f>
        <v>3486.44</v>
      </c>
      <c r="AR6" s="1608"/>
      <c r="AS6" s="2608">
        <f t="shared" si="1"/>
        <v>31732.92</v>
      </c>
      <c r="AT6" s="2712">
        <f t="shared" ref="AT6" si="16">+AT7+AT8</f>
        <v>0</v>
      </c>
      <c r="AU6" s="5469">
        <f>+AU7+AU8</f>
        <v>1080.44</v>
      </c>
      <c r="AV6" s="1608"/>
      <c r="AW6" s="2608">
        <f t="shared" si="2"/>
        <v>32813.360000000001</v>
      </c>
      <c r="AX6" s="2712">
        <f t="shared" ref="AX6" si="17">+AX7+AX8</f>
        <v>0</v>
      </c>
      <c r="AY6" s="5469">
        <f>+AY7+AY8</f>
        <v>6449.17</v>
      </c>
      <c r="AZ6" s="2714"/>
      <c r="BA6" s="802">
        <f t="shared" ref="BA6:BA69" si="18">+AQ6+AU6+AY6</f>
        <v>11016.05</v>
      </c>
      <c r="BB6" s="470"/>
      <c r="BC6" s="522">
        <f>BA6+AM6</f>
        <v>23114.2</v>
      </c>
      <c r="BD6" s="1608"/>
      <c r="BE6" s="256">
        <f t="shared" si="3"/>
        <v>39262.53</v>
      </c>
      <c r="BF6" s="26"/>
      <c r="BG6" s="26"/>
      <c r="BP6" s="26"/>
      <c r="BQ6" s="26"/>
    </row>
    <row r="7" spans="1:69" s="2692" customFormat="1" ht="18.75" x14ac:dyDescent="0.25">
      <c r="A7" s="149"/>
      <c r="B7" s="530" t="s">
        <v>2178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62"/>
      <c r="I7" s="1662">
        <f t="shared" si="5"/>
        <v>2860.6600000000008</v>
      </c>
      <c r="J7" s="621"/>
      <c r="K7" s="621">
        <v>0</v>
      </c>
      <c r="L7" s="802"/>
      <c r="M7" s="802">
        <f t="shared" si="6"/>
        <v>2860.6600000000008</v>
      </c>
      <c r="N7" s="621"/>
      <c r="O7" s="621">
        <v>299.77000000000004</v>
      </c>
      <c r="P7" s="2608"/>
      <c r="Q7" s="1662">
        <f t="shared" si="7"/>
        <v>3160.4300000000007</v>
      </c>
      <c r="R7" s="621"/>
      <c r="S7" s="621">
        <v>0</v>
      </c>
      <c r="T7" s="2399"/>
      <c r="U7" s="1662">
        <f t="shared" si="8"/>
        <v>3160.4300000000007</v>
      </c>
      <c r="V7" s="621"/>
      <c r="W7" s="621">
        <v>0</v>
      </c>
      <c r="X7" s="802"/>
      <c r="Y7" s="802">
        <f t="shared" si="9"/>
        <v>299.77000000000004</v>
      </c>
      <c r="Z7" s="470"/>
      <c r="AA7" s="522">
        <f t="shared" si="10"/>
        <v>3160.4300000000007</v>
      </c>
      <c r="AB7" s="621"/>
      <c r="AC7" s="5470">
        <v>651.15</v>
      </c>
      <c r="AD7" s="2608"/>
      <c r="AE7" s="2608">
        <f t="shared" si="11"/>
        <v>3811.5800000000008</v>
      </c>
      <c r="AF7" s="621"/>
      <c r="AG7" s="5470">
        <v>710.81</v>
      </c>
      <c r="AH7" s="2608"/>
      <c r="AI7" s="2608">
        <f t="shared" si="0"/>
        <v>4522.3900000000012</v>
      </c>
      <c r="AJ7" s="621"/>
      <c r="AK7" s="5470">
        <v>40.57</v>
      </c>
      <c r="AL7" s="595"/>
      <c r="AM7" s="802">
        <f t="shared" si="13"/>
        <v>1402.53</v>
      </c>
      <c r="AN7" s="2608"/>
      <c r="AO7" s="2608">
        <f t="shared" si="14"/>
        <v>4562.9600000000009</v>
      </c>
      <c r="AP7" s="621"/>
      <c r="AQ7" s="5470"/>
      <c r="AR7" s="2608"/>
      <c r="AS7" s="2608">
        <f t="shared" si="1"/>
        <v>4562.9600000000009</v>
      </c>
      <c r="AT7" s="621"/>
      <c r="AU7" s="5470">
        <v>1080.44</v>
      </c>
      <c r="AV7" s="2608"/>
      <c r="AW7" s="2608">
        <f t="shared" si="2"/>
        <v>5643.4000000000015</v>
      </c>
      <c r="AX7" s="621"/>
      <c r="AY7" s="5470">
        <v>5154.93</v>
      </c>
      <c r="AZ7" s="595"/>
      <c r="BA7" s="802">
        <f t="shared" si="18"/>
        <v>6235.3700000000008</v>
      </c>
      <c r="BB7" s="470"/>
      <c r="BC7" s="522">
        <f t="shared" ref="BC7:BC74" si="19">BA7+AM7</f>
        <v>7637.9000000000005</v>
      </c>
      <c r="BD7" s="2608"/>
      <c r="BE7" s="256">
        <f t="shared" si="3"/>
        <v>10798.330000000002</v>
      </c>
      <c r="BF7" s="26"/>
      <c r="BG7" s="26"/>
      <c r="BP7" s="26"/>
      <c r="BQ7" s="26"/>
    </row>
    <row r="8" spans="1:69" s="2692" customFormat="1" ht="18.75" x14ac:dyDescent="0.25">
      <c r="A8" s="149"/>
      <c r="B8" s="530" t="s">
        <v>1674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62"/>
      <c r="I8" s="1662">
        <f t="shared" si="5"/>
        <v>0</v>
      </c>
      <c r="J8" s="621">
        <f t="shared" si="20"/>
        <v>0</v>
      </c>
      <c r="K8" s="621">
        <f>+K9+K10</f>
        <v>2866.6199999999994</v>
      </c>
      <c r="L8" s="802"/>
      <c r="M8" s="802">
        <f t="shared" si="6"/>
        <v>2866.6199999999994</v>
      </c>
      <c r="N8" s="621">
        <f t="shared" si="20"/>
        <v>0</v>
      </c>
      <c r="O8" s="621">
        <f>+O9+O10</f>
        <v>2063.3199999999997</v>
      </c>
      <c r="P8" s="2608"/>
      <c r="Q8" s="1662">
        <f t="shared" si="7"/>
        <v>4929.9399999999987</v>
      </c>
      <c r="R8" s="621">
        <f t="shared" si="20"/>
        <v>0</v>
      </c>
      <c r="S8" s="621">
        <f>+S9+S10</f>
        <v>3766.74</v>
      </c>
      <c r="T8" s="2399"/>
      <c r="U8" s="1662">
        <f t="shared" si="8"/>
        <v>8696.6799999999985</v>
      </c>
      <c r="V8" s="621">
        <f t="shared" si="20"/>
        <v>0</v>
      </c>
      <c r="W8" s="621">
        <f>+W9+W10</f>
        <v>4291.2199999999993</v>
      </c>
      <c r="X8" s="802"/>
      <c r="Y8" s="802">
        <f t="shared" si="9"/>
        <v>10121.279999999999</v>
      </c>
      <c r="Z8" s="470"/>
      <c r="AA8" s="522">
        <f t="shared" si="10"/>
        <v>12987.899999999998</v>
      </c>
      <c r="AB8" s="621">
        <f t="shared" si="20"/>
        <v>0</v>
      </c>
      <c r="AC8" s="5470">
        <f>+AC9+AC10</f>
        <v>2760.5</v>
      </c>
      <c r="AD8" s="2608"/>
      <c r="AE8" s="2608">
        <f t="shared" si="11"/>
        <v>15748.399999999998</v>
      </c>
      <c r="AF8" s="621">
        <f t="shared" si="20"/>
        <v>0</v>
      </c>
      <c r="AG8" s="5470">
        <f>+AG9+AG10</f>
        <v>4430.6600000000008</v>
      </c>
      <c r="AH8" s="2608"/>
      <c r="AI8" s="2608">
        <f t="shared" si="0"/>
        <v>20179.059999999998</v>
      </c>
      <c r="AJ8" s="621">
        <f t="shared" ref="AJ8" si="21">+AJ9+AJ10</f>
        <v>0</v>
      </c>
      <c r="AK8" s="5470">
        <f>+AK9+AK10</f>
        <v>3504.46</v>
      </c>
      <c r="AL8" s="595"/>
      <c r="AM8" s="802">
        <f t="shared" si="13"/>
        <v>10695.62</v>
      </c>
      <c r="AN8" s="2608"/>
      <c r="AO8" s="2608">
        <f t="shared" si="14"/>
        <v>23683.519999999997</v>
      </c>
      <c r="AP8" s="621">
        <f t="shared" ref="AP8" si="22">+AP9+AP10</f>
        <v>0</v>
      </c>
      <c r="AQ8" s="5470">
        <f>+AQ9+AQ10</f>
        <v>3486.44</v>
      </c>
      <c r="AR8" s="2608"/>
      <c r="AS8" s="2608">
        <f t="shared" si="1"/>
        <v>27169.959999999995</v>
      </c>
      <c r="AT8" s="621">
        <f t="shared" ref="AT8" si="23">+AT9+AT10</f>
        <v>0</v>
      </c>
      <c r="AU8" s="5470">
        <f>+AU9+AU10</f>
        <v>0</v>
      </c>
      <c r="AV8" s="2608"/>
      <c r="AW8" s="2608">
        <f t="shared" si="2"/>
        <v>27169.959999999995</v>
      </c>
      <c r="AX8" s="621">
        <f t="shared" ref="AX8" si="24">+AX9+AX10</f>
        <v>0</v>
      </c>
      <c r="AY8" s="5470">
        <f>+AY9+AY10</f>
        <v>1294.24</v>
      </c>
      <c r="AZ8" s="595"/>
      <c r="BA8" s="802">
        <f t="shared" si="18"/>
        <v>4780.68</v>
      </c>
      <c r="BB8" s="470"/>
      <c r="BC8" s="522">
        <f t="shared" si="19"/>
        <v>15476.300000000001</v>
      </c>
      <c r="BD8" s="2608"/>
      <c r="BE8" s="256">
        <f t="shared" si="3"/>
        <v>28464.199999999997</v>
      </c>
      <c r="BF8" s="26"/>
      <c r="BG8" s="26"/>
      <c r="BP8" s="26"/>
      <c r="BQ8" s="26"/>
    </row>
    <row r="9" spans="1:69" s="2692" customFormat="1" ht="18.75" x14ac:dyDescent="0.25">
      <c r="A9" s="149"/>
      <c r="B9" s="2696" t="s">
        <v>1642</v>
      </c>
      <c r="C9" s="159" t="s">
        <v>354</v>
      </c>
      <c r="D9" s="621"/>
      <c r="E9" s="596"/>
      <c r="F9" s="596"/>
      <c r="G9" s="596"/>
      <c r="H9" s="1662"/>
      <c r="I9" s="1662">
        <f t="shared" si="5"/>
        <v>0</v>
      </c>
      <c r="J9" s="596"/>
      <c r="K9" s="596">
        <v>1651.4999999999995</v>
      </c>
      <c r="L9" s="802"/>
      <c r="M9" s="802">
        <f t="shared" si="6"/>
        <v>1651.4999999999995</v>
      </c>
      <c r="N9" s="596"/>
      <c r="O9" s="596">
        <v>2063.3199999999997</v>
      </c>
      <c r="P9" s="2608"/>
      <c r="Q9" s="1662">
        <f t="shared" si="7"/>
        <v>3714.8199999999993</v>
      </c>
      <c r="R9" s="596"/>
      <c r="S9" s="596">
        <v>2278.38</v>
      </c>
      <c r="T9" s="2399"/>
      <c r="U9" s="1662">
        <f t="shared" si="8"/>
        <v>5993.1999999999989</v>
      </c>
      <c r="V9" s="596"/>
      <c r="W9" s="596">
        <v>2804.22</v>
      </c>
      <c r="X9" s="802"/>
      <c r="Y9" s="802">
        <f t="shared" si="9"/>
        <v>7145.92</v>
      </c>
      <c r="Z9" s="470"/>
      <c r="AA9" s="522">
        <f t="shared" si="10"/>
        <v>8797.42</v>
      </c>
      <c r="AB9" s="596"/>
      <c r="AC9" s="1525">
        <v>1273.2</v>
      </c>
      <c r="AD9" s="2608"/>
      <c r="AE9" s="2608">
        <f t="shared" si="11"/>
        <v>10070.620000000001</v>
      </c>
      <c r="AF9" s="596"/>
      <c r="AG9" s="1525">
        <v>1411.1600000000003</v>
      </c>
      <c r="AH9" s="2608"/>
      <c r="AI9" s="2608">
        <f t="shared" si="0"/>
        <v>11481.78</v>
      </c>
      <c r="AJ9" s="596"/>
      <c r="AK9" s="1525">
        <v>2020.64</v>
      </c>
      <c r="AL9" s="595"/>
      <c r="AM9" s="802">
        <f t="shared" si="13"/>
        <v>4705.0000000000009</v>
      </c>
      <c r="AN9" s="2608"/>
      <c r="AO9" s="2608">
        <f t="shared" si="14"/>
        <v>13502.42</v>
      </c>
      <c r="AP9" s="596"/>
      <c r="AQ9" s="1525">
        <v>1990.42</v>
      </c>
      <c r="AR9" s="2608"/>
      <c r="AS9" s="2608">
        <f t="shared" si="1"/>
        <v>15492.84</v>
      </c>
      <c r="AT9" s="596"/>
      <c r="AU9" s="1525"/>
      <c r="AV9" s="2608"/>
      <c r="AW9" s="2608">
        <f t="shared" si="2"/>
        <v>15492.84</v>
      </c>
      <c r="AX9" s="596"/>
      <c r="AY9" s="1525"/>
      <c r="AZ9" s="595"/>
      <c r="BA9" s="802">
        <f t="shared" si="18"/>
        <v>1990.42</v>
      </c>
      <c r="BB9" s="470"/>
      <c r="BC9" s="522">
        <f t="shared" si="19"/>
        <v>6695.420000000001</v>
      </c>
      <c r="BD9" s="2608"/>
      <c r="BE9" s="256">
        <f t="shared" si="3"/>
        <v>15492.84</v>
      </c>
      <c r="BF9" s="26"/>
      <c r="BG9" s="26"/>
      <c r="BP9" s="26"/>
      <c r="BQ9" s="26"/>
    </row>
    <row r="10" spans="1:69" s="2692" customFormat="1" ht="18.75" x14ac:dyDescent="0.25">
      <c r="A10" s="149"/>
      <c r="B10" s="2696" t="s">
        <v>1643</v>
      </c>
      <c r="C10" s="159" t="s">
        <v>354</v>
      </c>
      <c r="D10" s="621"/>
      <c r="E10" s="596"/>
      <c r="F10" s="596"/>
      <c r="G10" s="596"/>
      <c r="H10" s="1662"/>
      <c r="I10" s="1662">
        <f t="shared" si="5"/>
        <v>0</v>
      </c>
      <c r="J10" s="596"/>
      <c r="K10" s="596">
        <v>1215.1199999999999</v>
      </c>
      <c r="L10" s="802"/>
      <c r="M10" s="802">
        <f t="shared" si="6"/>
        <v>1215.1199999999999</v>
      </c>
      <c r="N10" s="596"/>
      <c r="O10" s="596"/>
      <c r="P10" s="2608"/>
      <c r="Q10" s="1662">
        <f t="shared" si="7"/>
        <v>1215.1199999999999</v>
      </c>
      <c r="R10" s="596"/>
      <c r="S10" s="596">
        <v>1488.36</v>
      </c>
      <c r="T10" s="2399"/>
      <c r="U10" s="1662">
        <f t="shared" si="8"/>
        <v>2703.4799999999996</v>
      </c>
      <c r="V10" s="596"/>
      <c r="W10" s="596">
        <v>1487</v>
      </c>
      <c r="X10" s="802"/>
      <c r="Y10" s="802">
        <f t="shared" si="9"/>
        <v>2975.3599999999997</v>
      </c>
      <c r="Z10" s="470"/>
      <c r="AA10" s="522">
        <f t="shared" si="10"/>
        <v>4190.4799999999996</v>
      </c>
      <c r="AB10" s="596"/>
      <c r="AC10" s="1525">
        <v>1487.3</v>
      </c>
      <c r="AD10" s="2608"/>
      <c r="AE10" s="2608">
        <f t="shared" si="11"/>
        <v>5677.78</v>
      </c>
      <c r="AF10" s="596"/>
      <c r="AG10" s="1525">
        <v>3019.5000000000005</v>
      </c>
      <c r="AH10" s="2608"/>
      <c r="AI10" s="2608">
        <f t="shared" si="0"/>
        <v>8697.2800000000007</v>
      </c>
      <c r="AJ10" s="596"/>
      <c r="AK10" s="1525">
        <v>1483.82</v>
      </c>
      <c r="AL10" s="595"/>
      <c r="AM10" s="802">
        <f t="shared" si="13"/>
        <v>5990.62</v>
      </c>
      <c r="AN10" s="2608"/>
      <c r="AO10" s="2608">
        <f t="shared" si="14"/>
        <v>10181.1</v>
      </c>
      <c r="AP10" s="596"/>
      <c r="AQ10" s="1525">
        <v>1496.02</v>
      </c>
      <c r="AR10" s="2608"/>
      <c r="AS10" s="2608">
        <f t="shared" si="1"/>
        <v>11677.12</v>
      </c>
      <c r="AT10" s="596"/>
      <c r="AU10" s="1525"/>
      <c r="AV10" s="2608"/>
      <c r="AW10" s="2608">
        <f t="shared" si="2"/>
        <v>11677.12</v>
      </c>
      <c r="AX10" s="596"/>
      <c r="AY10" s="1525">
        <v>1294.24</v>
      </c>
      <c r="AZ10" s="595"/>
      <c r="BA10" s="802">
        <f t="shared" si="18"/>
        <v>2790.26</v>
      </c>
      <c r="BB10" s="470"/>
      <c r="BC10" s="522">
        <f t="shared" si="19"/>
        <v>8780.880000000001</v>
      </c>
      <c r="BD10" s="2608"/>
      <c r="BE10" s="256">
        <f t="shared" si="3"/>
        <v>12971.36</v>
      </c>
      <c r="BF10" s="26"/>
      <c r="BG10" s="26"/>
      <c r="BP10" s="26"/>
      <c r="BQ10" s="26"/>
    </row>
    <row r="11" spans="1:69" s="2692" customFormat="1" ht="10.5" customHeight="1" x14ac:dyDescent="0.25">
      <c r="A11" s="149"/>
      <c r="B11" s="2713"/>
      <c r="C11" s="2693"/>
      <c r="D11" s="621"/>
      <c r="E11" s="596"/>
      <c r="F11" s="596"/>
      <c r="G11" s="596"/>
      <c r="H11" s="1662"/>
      <c r="I11" s="1662"/>
      <c r="J11" s="596"/>
      <c r="K11" s="596"/>
      <c r="L11" s="802"/>
      <c r="M11" s="802"/>
      <c r="N11" s="596"/>
      <c r="O11" s="596"/>
      <c r="P11" s="2608"/>
      <c r="Q11" s="1662"/>
      <c r="R11" s="596"/>
      <c r="S11" s="596"/>
      <c r="T11" s="2399"/>
      <c r="U11" s="1662"/>
      <c r="V11" s="596"/>
      <c r="W11" s="596"/>
      <c r="X11" s="802"/>
      <c r="Y11" s="802"/>
      <c r="Z11" s="470"/>
      <c r="AA11" s="522"/>
      <c r="AB11" s="596"/>
      <c r="AC11" s="1525"/>
      <c r="AD11" s="2608"/>
      <c r="AE11" s="2608"/>
      <c r="AF11" s="596"/>
      <c r="AG11" s="1525"/>
      <c r="AH11" s="2608"/>
      <c r="AI11" s="2608"/>
      <c r="AJ11" s="596"/>
      <c r="AK11" s="1525"/>
      <c r="AL11" s="595"/>
      <c r="AM11" s="802"/>
      <c r="AN11" s="2608"/>
      <c r="AO11" s="2608"/>
      <c r="AP11" s="596"/>
      <c r="AQ11" s="1525"/>
      <c r="AR11" s="2608"/>
      <c r="AS11" s="2608"/>
      <c r="AT11" s="596"/>
      <c r="AU11" s="1525"/>
      <c r="AV11" s="2608"/>
      <c r="AW11" s="2608"/>
      <c r="AX11" s="596"/>
      <c r="AY11" s="1525"/>
      <c r="AZ11" s="595"/>
      <c r="BA11" s="802"/>
      <c r="BB11" s="470"/>
      <c r="BC11" s="522"/>
      <c r="BD11" s="2608"/>
      <c r="BE11" s="256"/>
      <c r="BF11" s="26"/>
      <c r="BG11" s="26"/>
      <c r="BP11" s="26"/>
      <c r="BQ11" s="26"/>
    </row>
    <row r="12" spans="1:69" s="2692" customFormat="1" ht="23.25" x14ac:dyDescent="0.25">
      <c r="A12" s="149"/>
      <c r="B12" s="3141" t="s">
        <v>1676</v>
      </c>
      <c r="C12" s="205"/>
      <c r="D12" s="596"/>
      <c r="E12" s="2712"/>
      <c r="F12" s="2712"/>
      <c r="G12" s="2712">
        <v>299.72000000000003</v>
      </c>
      <c r="H12" s="2711"/>
      <c r="I12" s="1662">
        <f t="shared" si="5"/>
        <v>299.72000000000003</v>
      </c>
      <c r="J12" s="2712"/>
      <c r="K12" s="2712"/>
      <c r="L12" s="1360"/>
      <c r="M12" s="802">
        <f t="shared" si="6"/>
        <v>299.72000000000003</v>
      </c>
      <c r="N12" s="2712"/>
      <c r="O12" s="2712"/>
      <c r="P12" s="1608"/>
      <c r="Q12" s="1662">
        <f t="shared" si="7"/>
        <v>299.72000000000003</v>
      </c>
      <c r="R12" s="2712"/>
      <c r="S12" s="2712"/>
      <c r="T12" s="2711"/>
      <c r="U12" s="1662">
        <f t="shared" si="8"/>
        <v>299.72000000000003</v>
      </c>
      <c r="V12" s="2712"/>
      <c r="W12" s="2712"/>
      <c r="X12" s="1360"/>
      <c r="Y12" s="802">
        <f t="shared" si="9"/>
        <v>0</v>
      </c>
      <c r="Z12" s="470"/>
      <c r="AA12" s="522">
        <f t="shared" si="10"/>
        <v>299.72000000000003</v>
      </c>
      <c r="AB12" s="2712"/>
      <c r="AC12" s="5469"/>
      <c r="AD12" s="1608"/>
      <c r="AE12" s="2608">
        <f t="shared" ref="AE12:AE19" si="25">+AC12+W12+S12+K12+E12</f>
        <v>0</v>
      </c>
      <c r="AF12" s="2712"/>
      <c r="AG12" s="5469"/>
      <c r="AH12" s="1608"/>
      <c r="AI12" s="2608">
        <f t="shared" ref="AI12:AI19" si="26">+AC12+W12+S12+O12+K12+E12+G12+AG12</f>
        <v>299.72000000000003</v>
      </c>
      <c r="AJ12" s="2712"/>
      <c r="AK12" s="5469"/>
      <c r="AL12" s="2714"/>
      <c r="AM12" s="802">
        <f t="shared" si="13"/>
        <v>0</v>
      </c>
      <c r="AN12" s="1608"/>
      <c r="AO12" s="2608">
        <f t="shared" si="14"/>
        <v>299.72000000000003</v>
      </c>
      <c r="AP12" s="2712"/>
      <c r="AQ12" s="5469"/>
      <c r="AR12" s="1608"/>
      <c r="AS12" s="2608">
        <f t="shared" si="1"/>
        <v>299.72000000000003</v>
      </c>
      <c r="AT12" s="2712"/>
      <c r="AU12" s="5469"/>
      <c r="AV12" s="1608"/>
      <c r="AW12" s="2608">
        <f t="shared" si="2"/>
        <v>299.72000000000003</v>
      </c>
      <c r="AX12" s="2712"/>
      <c r="AY12" s="5469">
        <v>516.62</v>
      </c>
      <c r="AZ12" s="2714"/>
      <c r="BA12" s="802">
        <f t="shared" si="18"/>
        <v>516.62</v>
      </c>
      <c r="BB12" s="470"/>
      <c r="BC12" s="522">
        <f t="shared" si="19"/>
        <v>516.62</v>
      </c>
      <c r="BD12" s="1608"/>
      <c r="BE12" s="256">
        <f t="shared" si="3"/>
        <v>816.34</v>
      </c>
      <c r="BF12" s="26"/>
      <c r="BG12" s="26"/>
      <c r="BI12" s="26"/>
      <c r="BP12" s="26"/>
      <c r="BQ12" s="26"/>
    </row>
    <row r="13" spans="1:69" s="2692" customFormat="1" ht="18.75" x14ac:dyDescent="0.25">
      <c r="A13" s="149"/>
      <c r="B13" s="2710"/>
      <c r="C13" s="205"/>
      <c r="D13" s="596"/>
      <c r="E13" s="2400"/>
      <c r="F13" s="2400"/>
      <c r="G13" s="7150"/>
      <c r="H13" s="1662"/>
      <c r="I13" s="1662"/>
      <c r="J13" s="2400"/>
      <c r="K13" s="4562"/>
      <c r="L13" s="802"/>
      <c r="M13" s="802"/>
      <c r="N13" s="2400"/>
      <c r="O13" s="4778"/>
      <c r="P13" s="2608"/>
      <c r="Q13" s="1662"/>
      <c r="R13" s="2400"/>
      <c r="S13" s="4889"/>
      <c r="T13" s="2399"/>
      <c r="U13" s="1662"/>
      <c r="V13" s="2400"/>
      <c r="W13" s="5026"/>
      <c r="X13" s="802"/>
      <c r="Y13" s="802"/>
      <c r="Z13" s="470"/>
      <c r="AA13" s="522"/>
      <c r="AB13" s="2400"/>
      <c r="AC13" s="151"/>
      <c r="AD13" s="2608"/>
      <c r="AE13" s="2608"/>
      <c r="AF13" s="2400"/>
      <c r="AG13" s="151"/>
      <c r="AH13" s="2608"/>
      <c r="AI13" s="2608"/>
      <c r="AJ13" s="2400"/>
      <c r="AK13" s="151"/>
      <c r="AL13" s="595"/>
      <c r="AM13" s="802"/>
      <c r="AN13" s="2608"/>
      <c r="AO13" s="2608"/>
      <c r="AP13" s="2400"/>
      <c r="AQ13" s="151"/>
      <c r="AR13" s="2608"/>
      <c r="AS13" s="2608"/>
      <c r="AT13" s="2400"/>
      <c r="AU13" s="151"/>
      <c r="AV13" s="2608"/>
      <c r="AW13" s="2608"/>
      <c r="AX13" s="2400"/>
      <c r="AY13" s="151"/>
      <c r="AZ13" s="595"/>
      <c r="BA13" s="802"/>
      <c r="BB13" s="470"/>
      <c r="BC13" s="522"/>
      <c r="BD13" s="2608"/>
      <c r="BE13" s="256"/>
      <c r="BF13" s="26"/>
      <c r="BG13" s="26"/>
      <c r="BP13" s="26"/>
      <c r="BQ13" s="26"/>
    </row>
    <row r="14" spans="1:69" ht="15.75" customHeight="1" x14ac:dyDescent="0.25">
      <c r="A14" s="149"/>
      <c r="B14" s="3141" t="s">
        <v>1677</v>
      </c>
      <c r="C14" s="159" t="s">
        <v>354</v>
      </c>
      <c r="D14" s="200"/>
      <c r="E14" s="2712">
        <f>+E15+E17+E18</f>
        <v>0</v>
      </c>
      <c r="F14" s="2712">
        <f>+F15+F17</f>
        <v>0</v>
      </c>
      <c r="G14" s="2712">
        <f>+G15+G17+G18</f>
        <v>640.46</v>
      </c>
      <c r="H14" s="2711"/>
      <c r="I14" s="1666">
        <f t="shared" si="5"/>
        <v>640.46</v>
      </c>
      <c r="J14" s="2712"/>
      <c r="K14" s="2712">
        <f>+K15+K17+K18</f>
        <v>1468.38</v>
      </c>
      <c r="L14" s="1360"/>
      <c r="M14" s="802">
        <f t="shared" si="6"/>
        <v>2108.84</v>
      </c>
      <c r="N14" s="2712"/>
      <c r="O14" s="2712">
        <f>+O15+O17+O18</f>
        <v>0</v>
      </c>
      <c r="P14" s="1608"/>
      <c r="Q14" s="1666">
        <f t="shared" si="7"/>
        <v>2108.84</v>
      </c>
      <c r="R14" s="2712"/>
      <c r="S14" s="2712">
        <f>+S15+S17+S18</f>
        <v>848.76</v>
      </c>
      <c r="T14" s="2711"/>
      <c r="U14" s="1666">
        <f t="shared" si="8"/>
        <v>2957.6000000000004</v>
      </c>
      <c r="V14" s="2712"/>
      <c r="W14" s="2712">
        <f>+W15+W17+W18</f>
        <v>793.3</v>
      </c>
      <c r="X14" s="1360"/>
      <c r="Y14" s="802">
        <f t="shared" si="9"/>
        <v>1642.06</v>
      </c>
      <c r="Z14" s="470"/>
      <c r="AA14" s="522">
        <f t="shared" si="10"/>
        <v>3750.9</v>
      </c>
      <c r="AB14" s="2712"/>
      <c r="AC14" s="5469">
        <f>+AC15+AC17+AC18</f>
        <v>632.55999999999995</v>
      </c>
      <c r="AD14" s="1608"/>
      <c r="AE14" s="2608">
        <f t="shared" ref="AE14" si="27">AA14+AC14</f>
        <v>4383.46</v>
      </c>
      <c r="AF14" s="2712"/>
      <c r="AG14" s="5469">
        <f>+AG15+AG17+AG18</f>
        <v>636.88</v>
      </c>
      <c r="AH14" s="1608"/>
      <c r="AI14" s="2608">
        <f t="shared" si="26"/>
        <v>5020.34</v>
      </c>
      <c r="AJ14" s="2712"/>
      <c r="AK14" s="5469">
        <f>+AK15+AK17+AK18</f>
        <v>367.46</v>
      </c>
      <c r="AL14" s="2714"/>
      <c r="AM14" s="802">
        <f t="shared" si="13"/>
        <v>1636.9</v>
      </c>
      <c r="AN14" s="1608"/>
      <c r="AO14" s="2608">
        <f t="shared" si="14"/>
        <v>5387.8</v>
      </c>
      <c r="AP14" s="2712"/>
      <c r="AQ14" s="5469">
        <f>+AQ15+AQ17+AQ18</f>
        <v>0</v>
      </c>
      <c r="AR14" s="1608"/>
      <c r="AS14" s="2608">
        <f t="shared" si="1"/>
        <v>5387.8</v>
      </c>
      <c r="AT14" s="2712"/>
      <c r="AU14" s="5469">
        <f>+AU15+AU17+AU18</f>
        <v>0</v>
      </c>
      <c r="AV14" s="1608"/>
      <c r="AW14" s="2608">
        <f t="shared" si="2"/>
        <v>5387.8</v>
      </c>
      <c r="AX14" s="2712"/>
      <c r="AY14" s="5469">
        <f>+AY15+AY17+AY18</f>
        <v>0</v>
      </c>
      <c r="AZ14" s="2714"/>
      <c r="BA14" s="802">
        <f t="shared" si="18"/>
        <v>0</v>
      </c>
      <c r="BB14" s="470"/>
      <c r="BC14" s="522">
        <f t="shared" si="19"/>
        <v>1636.9</v>
      </c>
      <c r="BD14" s="1608"/>
      <c r="BE14" s="256">
        <f>+AW14+AY14</f>
        <v>5387.8</v>
      </c>
      <c r="BF14" s="26"/>
      <c r="BG14" s="26"/>
      <c r="BP14" s="26"/>
      <c r="BQ14" s="26"/>
    </row>
    <row r="15" spans="1:69" s="2692" customFormat="1" ht="15.75" customHeight="1" x14ac:dyDescent="0.25">
      <c r="A15" s="149"/>
      <c r="B15" s="530" t="s">
        <v>1675</v>
      </c>
      <c r="C15" s="159" t="s">
        <v>354</v>
      </c>
      <c r="D15" s="200"/>
      <c r="E15" s="621"/>
      <c r="F15" s="621">
        <v>0</v>
      </c>
      <c r="G15" s="621">
        <v>640.46</v>
      </c>
      <c r="H15" s="1662"/>
      <c r="I15" s="1662">
        <f t="shared" si="5"/>
        <v>640.46</v>
      </c>
      <c r="J15" s="621">
        <v>0</v>
      </c>
      <c r="K15" s="621"/>
      <c r="L15" s="802"/>
      <c r="M15" s="802">
        <f t="shared" si="6"/>
        <v>640.46</v>
      </c>
      <c r="N15" s="621">
        <v>0</v>
      </c>
      <c r="O15" s="621"/>
      <c r="P15" s="2608"/>
      <c r="Q15" s="1662">
        <f t="shared" si="7"/>
        <v>640.46</v>
      </c>
      <c r="R15" s="621">
        <v>0</v>
      </c>
      <c r="S15" s="621"/>
      <c r="T15" s="2399"/>
      <c r="U15" s="1662">
        <f t="shared" si="8"/>
        <v>640.46</v>
      </c>
      <c r="V15" s="621">
        <v>0</v>
      </c>
      <c r="W15" s="621"/>
      <c r="X15" s="802"/>
      <c r="Y15" s="802">
        <f t="shared" si="9"/>
        <v>0</v>
      </c>
      <c r="Z15" s="470"/>
      <c r="AA15" s="522">
        <f t="shared" si="10"/>
        <v>640.46</v>
      </c>
      <c r="AB15" s="621"/>
      <c r="AC15" s="5470"/>
      <c r="AD15" s="2608"/>
      <c r="AE15" s="2608">
        <f t="shared" si="25"/>
        <v>0</v>
      </c>
      <c r="AF15" s="621"/>
      <c r="AG15" s="5470"/>
      <c r="AH15" s="2608"/>
      <c r="AI15" s="2608">
        <f t="shared" si="26"/>
        <v>640.46</v>
      </c>
      <c r="AJ15" s="621">
        <v>0</v>
      </c>
      <c r="AK15" s="5470"/>
      <c r="AL15" s="595"/>
      <c r="AM15" s="802">
        <f t="shared" si="13"/>
        <v>0</v>
      </c>
      <c r="AN15" s="2608"/>
      <c r="AO15" s="2608">
        <f t="shared" si="14"/>
        <v>640.46</v>
      </c>
      <c r="AP15" s="621"/>
      <c r="AQ15" s="5470"/>
      <c r="AR15" s="2608"/>
      <c r="AS15" s="2608">
        <f t="shared" si="1"/>
        <v>640.46</v>
      </c>
      <c r="AT15" s="621"/>
      <c r="AU15" s="5470"/>
      <c r="AV15" s="2608"/>
      <c r="AW15" s="2608">
        <f t="shared" si="2"/>
        <v>640.46</v>
      </c>
      <c r="AX15" s="621"/>
      <c r="AY15" s="5470"/>
      <c r="AZ15" s="595"/>
      <c r="BA15" s="802">
        <f t="shared" si="18"/>
        <v>0</v>
      </c>
      <c r="BB15" s="470"/>
      <c r="BC15" s="522">
        <f t="shared" si="19"/>
        <v>0</v>
      </c>
      <c r="BD15" s="2608"/>
      <c r="BE15" s="256">
        <f t="shared" si="3"/>
        <v>640.46</v>
      </c>
      <c r="BF15" s="26"/>
      <c r="BG15" s="26"/>
      <c r="BP15" s="26"/>
      <c r="BQ15" s="26"/>
    </row>
    <row r="16" spans="1:69" s="3122" customFormat="1" ht="15.75" customHeight="1" x14ac:dyDescent="0.25">
      <c r="A16" s="149"/>
      <c r="B16" s="530" t="s">
        <v>1674</v>
      </c>
      <c r="C16" s="159" t="s">
        <v>354</v>
      </c>
      <c r="D16" s="3143"/>
      <c r="E16" s="3144">
        <f>+E18+E17</f>
        <v>0</v>
      </c>
      <c r="F16" s="3144">
        <f t="shared" ref="F16:BE16" si="28">+F18+F17</f>
        <v>0</v>
      </c>
      <c r="G16" s="3144">
        <f>+G18+G17</f>
        <v>0</v>
      </c>
      <c r="H16" s="3144">
        <f t="shared" si="28"/>
        <v>0</v>
      </c>
      <c r="I16" s="3144">
        <f t="shared" si="28"/>
        <v>0</v>
      </c>
      <c r="J16" s="3144">
        <f t="shared" si="28"/>
        <v>0</v>
      </c>
      <c r="K16" s="3144">
        <f>+K18+K17</f>
        <v>1468.38</v>
      </c>
      <c r="L16" s="3144">
        <f t="shared" si="28"/>
        <v>0</v>
      </c>
      <c r="M16" s="3144">
        <f t="shared" si="28"/>
        <v>1468.38</v>
      </c>
      <c r="N16" s="3144">
        <f t="shared" si="28"/>
        <v>0</v>
      </c>
      <c r="O16" s="3144">
        <f>+O18+O17</f>
        <v>0</v>
      </c>
      <c r="P16" s="3144">
        <f t="shared" si="28"/>
        <v>0</v>
      </c>
      <c r="Q16" s="3144">
        <f t="shared" ref="Q16" si="29">+Q18+Q17</f>
        <v>1468.38</v>
      </c>
      <c r="R16" s="3144">
        <f t="shared" si="28"/>
        <v>0</v>
      </c>
      <c r="S16" s="3144">
        <f>+S18+S17</f>
        <v>848.76</v>
      </c>
      <c r="T16" s="3144">
        <f t="shared" si="28"/>
        <v>0</v>
      </c>
      <c r="U16" s="3144">
        <f t="shared" si="28"/>
        <v>2317.1400000000003</v>
      </c>
      <c r="V16" s="3144">
        <f t="shared" si="28"/>
        <v>0</v>
      </c>
      <c r="W16" s="3144">
        <f>+W18+W17</f>
        <v>793.3</v>
      </c>
      <c r="X16" s="3144">
        <f t="shared" si="28"/>
        <v>0</v>
      </c>
      <c r="Y16" s="3144">
        <f t="shared" si="28"/>
        <v>1642.06</v>
      </c>
      <c r="Z16" s="3144">
        <f t="shared" si="28"/>
        <v>0</v>
      </c>
      <c r="AA16" s="3144">
        <f t="shared" si="28"/>
        <v>3110.44</v>
      </c>
      <c r="AB16" s="3144">
        <f t="shared" si="28"/>
        <v>0</v>
      </c>
      <c r="AC16" s="3551">
        <f>+AC18+AC17</f>
        <v>632.55999999999995</v>
      </c>
      <c r="AD16" s="3144">
        <f t="shared" si="28"/>
        <v>0</v>
      </c>
      <c r="AE16" s="3144">
        <f t="shared" si="28"/>
        <v>3743</v>
      </c>
      <c r="AF16" s="3144">
        <f t="shared" si="28"/>
        <v>0</v>
      </c>
      <c r="AG16" s="3551">
        <f>+AG18+AG17</f>
        <v>636.88</v>
      </c>
      <c r="AH16" s="3144">
        <f t="shared" si="28"/>
        <v>0</v>
      </c>
      <c r="AI16" s="3144">
        <f t="shared" si="28"/>
        <v>4379.88</v>
      </c>
      <c r="AJ16" s="3144">
        <f t="shared" si="28"/>
        <v>0</v>
      </c>
      <c r="AK16" s="3551">
        <f>+AK18+AK17</f>
        <v>367.46</v>
      </c>
      <c r="AL16" s="3144">
        <f t="shared" si="28"/>
        <v>0</v>
      </c>
      <c r="AM16" s="3144">
        <f t="shared" si="28"/>
        <v>1636.9</v>
      </c>
      <c r="AN16" s="3144">
        <f t="shared" si="28"/>
        <v>0</v>
      </c>
      <c r="AO16" s="3144">
        <f t="shared" si="28"/>
        <v>4747.34</v>
      </c>
      <c r="AP16" s="3144">
        <f t="shared" si="28"/>
        <v>0</v>
      </c>
      <c r="AQ16" s="3551">
        <f>+AQ18+AQ17</f>
        <v>0</v>
      </c>
      <c r="AR16" s="3144">
        <f t="shared" si="28"/>
        <v>0</v>
      </c>
      <c r="AS16" s="3144">
        <f t="shared" si="28"/>
        <v>4747.34</v>
      </c>
      <c r="AT16" s="3144">
        <f t="shared" si="28"/>
        <v>0</v>
      </c>
      <c r="AU16" s="3551">
        <f>+AU18+AU17</f>
        <v>0</v>
      </c>
      <c r="AV16" s="3144">
        <f t="shared" si="28"/>
        <v>0</v>
      </c>
      <c r="AW16" s="3144">
        <f t="shared" ref="AW16" si="30">+AW18+AW17</f>
        <v>4747.34</v>
      </c>
      <c r="AX16" s="3144">
        <f t="shared" si="28"/>
        <v>0</v>
      </c>
      <c r="AY16" s="3551">
        <f>+AY18+AY17</f>
        <v>0</v>
      </c>
      <c r="AZ16" s="3144">
        <f t="shared" si="28"/>
        <v>0</v>
      </c>
      <c r="BA16" s="3144">
        <f t="shared" si="28"/>
        <v>0</v>
      </c>
      <c r="BB16" s="3144">
        <f t="shared" si="28"/>
        <v>0</v>
      </c>
      <c r="BC16" s="3144">
        <f t="shared" si="28"/>
        <v>1636.9</v>
      </c>
      <c r="BD16" s="3144">
        <f t="shared" si="28"/>
        <v>0</v>
      </c>
      <c r="BE16" s="256">
        <f t="shared" si="28"/>
        <v>4747.34</v>
      </c>
      <c r="BF16" s="26"/>
      <c r="BG16" s="26"/>
      <c r="BP16" s="26"/>
      <c r="BQ16" s="26"/>
    </row>
    <row r="17" spans="1:69" s="2692" customFormat="1" ht="15.75" customHeight="1" x14ac:dyDescent="0.25">
      <c r="A17" s="149"/>
      <c r="B17" s="2696" t="s">
        <v>1643</v>
      </c>
      <c r="C17" s="159" t="s">
        <v>354</v>
      </c>
      <c r="D17" s="200"/>
      <c r="E17" s="621"/>
      <c r="F17" s="621"/>
      <c r="G17" s="621"/>
      <c r="H17" s="1662"/>
      <c r="I17" s="1662">
        <f t="shared" si="5"/>
        <v>0</v>
      </c>
      <c r="J17" s="621"/>
      <c r="K17" s="621"/>
      <c r="L17" s="802"/>
      <c r="M17" s="802">
        <f t="shared" si="6"/>
        <v>0</v>
      </c>
      <c r="N17" s="621"/>
      <c r="O17" s="621"/>
      <c r="P17" s="2608"/>
      <c r="Q17" s="1662">
        <f t="shared" si="7"/>
        <v>0</v>
      </c>
      <c r="R17" s="621"/>
      <c r="S17" s="621"/>
      <c r="T17" s="2399"/>
      <c r="U17" s="1662">
        <f t="shared" si="8"/>
        <v>0</v>
      </c>
      <c r="V17" s="621"/>
      <c r="W17" s="621"/>
      <c r="X17" s="802"/>
      <c r="Y17" s="802">
        <f t="shared" si="9"/>
        <v>0</v>
      </c>
      <c r="Z17" s="470"/>
      <c r="AA17" s="522">
        <f t="shared" si="10"/>
        <v>0</v>
      </c>
      <c r="AB17" s="621"/>
      <c r="AC17" s="5470"/>
      <c r="AD17" s="2608"/>
      <c r="AE17" s="2608">
        <f t="shared" si="25"/>
        <v>0</v>
      </c>
      <c r="AF17" s="621"/>
      <c r="AG17" s="5470"/>
      <c r="AH17" s="2608"/>
      <c r="AI17" s="2608">
        <f t="shared" si="26"/>
        <v>0</v>
      </c>
      <c r="AJ17" s="621"/>
      <c r="AK17" s="5470"/>
      <c r="AL17" s="595"/>
      <c r="AM17" s="802">
        <f t="shared" si="13"/>
        <v>0</v>
      </c>
      <c r="AN17" s="2608"/>
      <c r="AO17" s="2608">
        <f t="shared" si="14"/>
        <v>0</v>
      </c>
      <c r="AP17" s="621"/>
      <c r="AQ17" s="5470"/>
      <c r="AR17" s="2608"/>
      <c r="AS17" s="2608">
        <f t="shared" si="1"/>
        <v>0</v>
      </c>
      <c r="AT17" s="621"/>
      <c r="AU17" s="5470"/>
      <c r="AV17" s="2608"/>
      <c r="AW17" s="2608">
        <f t="shared" si="2"/>
        <v>0</v>
      </c>
      <c r="AX17" s="621"/>
      <c r="AY17" s="5470"/>
      <c r="AZ17" s="595"/>
      <c r="BA17" s="802">
        <f t="shared" si="18"/>
        <v>0</v>
      </c>
      <c r="BB17" s="470"/>
      <c r="BC17" s="522">
        <f t="shared" si="19"/>
        <v>0</v>
      </c>
      <c r="BD17" s="2608"/>
      <c r="BE17" s="256">
        <f t="shared" si="3"/>
        <v>0</v>
      </c>
      <c r="BF17" s="26"/>
      <c r="BG17" s="26"/>
      <c r="BP17" s="26"/>
      <c r="BQ17" s="26"/>
    </row>
    <row r="18" spans="1:69" s="2692" customFormat="1" ht="21" customHeight="1" x14ac:dyDescent="0.25">
      <c r="A18" s="149"/>
      <c r="B18" s="2696" t="s">
        <v>1642</v>
      </c>
      <c r="C18" s="159" t="s">
        <v>354</v>
      </c>
      <c r="D18" s="200"/>
      <c r="E18" s="2400"/>
      <c r="F18" s="2400"/>
      <c r="G18" s="7150"/>
      <c r="H18" s="1662"/>
      <c r="I18" s="1662">
        <f t="shared" si="5"/>
        <v>0</v>
      </c>
      <c r="J18" s="2400"/>
      <c r="K18" s="596">
        <v>1468.38</v>
      </c>
      <c r="L18" s="802"/>
      <c r="M18" s="802">
        <f t="shared" si="6"/>
        <v>1468.38</v>
      </c>
      <c r="N18" s="2400"/>
      <c r="O18" s="596"/>
      <c r="P18" s="2608"/>
      <c r="Q18" s="1662">
        <f t="shared" si="7"/>
        <v>1468.38</v>
      </c>
      <c r="R18" s="2400"/>
      <c r="S18" s="596">
        <v>848.76</v>
      </c>
      <c r="T18" s="2399"/>
      <c r="U18" s="1662">
        <f t="shared" si="8"/>
        <v>2317.1400000000003</v>
      </c>
      <c r="V18" s="2400"/>
      <c r="W18" s="596">
        <v>793.3</v>
      </c>
      <c r="X18" s="802"/>
      <c r="Y18" s="802">
        <f t="shared" si="9"/>
        <v>1642.06</v>
      </c>
      <c r="Z18" s="470"/>
      <c r="AA18" s="522">
        <f t="shared" si="10"/>
        <v>3110.44</v>
      </c>
      <c r="AB18" s="2400"/>
      <c r="AC18" s="1525">
        <v>632.55999999999995</v>
      </c>
      <c r="AD18" s="2608"/>
      <c r="AE18" s="2608">
        <f t="shared" ref="AE18" si="31">AA18+AC18</f>
        <v>3743</v>
      </c>
      <c r="AF18" s="2400"/>
      <c r="AG18" s="1525">
        <v>636.88</v>
      </c>
      <c r="AH18" s="2608"/>
      <c r="AI18" s="2608">
        <f t="shared" ref="AI18" si="32">+AE18+AG18</f>
        <v>4379.88</v>
      </c>
      <c r="AJ18" s="2400"/>
      <c r="AK18" s="1525">
        <v>367.46</v>
      </c>
      <c r="AL18" s="595"/>
      <c r="AM18" s="802">
        <f t="shared" si="13"/>
        <v>1636.9</v>
      </c>
      <c r="AN18" s="2608"/>
      <c r="AO18" s="2608">
        <f t="shared" si="14"/>
        <v>4747.34</v>
      </c>
      <c r="AP18" s="2400"/>
      <c r="AQ18" s="1525"/>
      <c r="AR18" s="2608"/>
      <c r="AS18" s="2608">
        <f t="shared" si="1"/>
        <v>4747.34</v>
      </c>
      <c r="AT18" s="2400"/>
      <c r="AU18" s="1525"/>
      <c r="AV18" s="2608"/>
      <c r="AW18" s="2608">
        <f t="shared" si="2"/>
        <v>4747.34</v>
      </c>
      <c r="AX18" s="2400"/>
      <c r="AY18" s="1525"/>
      <c r="AZ18" s="595"/>
      <c r="BA18" s="802">
        <f t="shared" si="18"/>
        <v>0</v>
      </c>
      <c r="BB18" s="470"/>
      <c r="BC18" s="522">
        <f t="shared" ref="BC18" si="33">BA18+AM18</f>
        <v>1636.9</v>
      </c>
      <c r="BD18" s="2608"/>
      <c r="BE18" s="256">
        <f t="shared" ref="BE18" si="34">+AW18+AY18</f>
        <v>4747.34</v>
      </c>
      <c r="BF18" s="26"/>
      <c r="BG18" s="26"/>
      <c r="BP18" s="26"/>
      <c r="BQ18" s="26"/>
    </row>
    <row r="19" spans="1:69" ht="23.25" x14ac:dyDescent="0.25">
      <c r="A19" s="33"/>
      <c r="B19" s="3141" t="s">
        <v>1678</v>
      </c>
      <c r="C19" s="159" t="s">
        <v>354</v>
      </c>
      <c r="D19" s="200"/>
      <c r="E19" s="2712"/>
      <c r="F19" s="2712"/>
      <c r="G19" s="2712"/>
      <c r="H19" s="2711"/>
      <c r="I19" s="1662">
        <f t="shared" si="5"/>
        <v>0</v>
      </c>
      <c r="J19" s="2712"/>
      <c r="K19" s="2712"/>
      <c r="L19" s="1360"/>
      <c r="M19" s="802">
        <f t="shared" si="6"/>
        <v>0</v>
      </c>
      <c r="N19" s="2712"/>
      <c r="O19" s="2712"/>
      <c r="P19" s="1608"/>
      <c r="Q19" s="1662">
        <f t="shared" si="7"/>
        <v>0</v>
      </c>
      <c r="R19" s="2712"/>
      <c r="S19" s="2712"/>
      <c r="T19" s="2711"/>
      <c r="U19" s="1662">
        <f t="shared" si="8"/>
        <v>0</v>
      </c>
      <c r="V19" s="2712"/>
      <c r="W19" s="2712"/>
      <c r="X19" s="1360"/>
      <c r="Y19" s="802">
        <f t="shared" si="9"/>
        <v>0</v>
      </c>
      <c r="Z19" s="470"/>
      <c r="AA19" s="522">
        <f t="shared" si="10"/>
        <v>0</v>
      </c>
      <c r="AB19" s="2712"/>
      <c r="AC19" s="5469"/>
      <c r="AD19" s="1608"/>
      <c r="AE19" s="2608">
        <f t="shared" si="25"/>
        <v>0</v>
      </c>
      <c r="AF19" s="2712"/>
      <c r="AG19" s="5469"/>
      <c r="AH19" s="1608"/>
      <c r="AI19" s="2608">
        <f t="shared" si="26"/>
        <v>0</v>
      </c>
      <c r="AJ19" s="2712"/>
      <c r="AK19" s="5469"/>
      <c r="AL19" s="2714"/>
      <c r="AM19" s="802">
        <f t="shared" si="13"/>
        <v>0</v>
      </c>
      <c r="AN19" s="1608"/>
      <c r="AO19" s="2608">
        <f t="shared" si="14"/>
        <v>0</v>
      </c>
      <c r="AP19" s="2712"/>
      <c r="AQ19" s="5469"/>
      <c r="AR19" s="1608"/>
      <c r="AS19" s="2608">
        <f t="shared" si="1"/>
        <v>0</v>
      </c>
      <c r="AT19" s="2712"/>
      <c r="AU19" s="5469"/>
      <c r="AV19" s="1608"/>
      <c r="AW19" s="2608">
        <f t="shared" si="2"/>
        <v>0</v>
      </c>
      <c r="AX19" s="2712"/>
      <c r="AY19" s="5469"/>
      <c r="AZ19" s="2714"/>
      <c r="BA19" s="802">
        <f t="shared" si="18"/>
        <v>0</v>
      </c>
      <c r="BB19" s="470"/>
      <c r="BC19" s="522">
        <f t="shared" si="19"/>
        <v>0</v>
      </c>
      <c r="BD19" s="1608"/>
      <c r="BE19" s="256">
        <f t="shared" si="3"/>
        <v>0</v>
      </c>
      <c r="BF19" s="26"/>
      <c r="BG19" s="26"/>
      <c r="BP19" s="26"/>
      <c r="BQ19" s="26"/>
    </row>
    <row r="20" spans="1:69" s="2692" customFormat="1" ht="16.5" thickBot="1" x14ac:dyDescent="0.3">
      <c r="A20" s="33"/>
      <c r="B20" s="1660"/>
      <c r="C20" s="159"/>
      <c r="D20" s="200"/>
      <c r="E20" s="2400"/>
      <c r="F20" s="2400"/>
      <c r="G20" s="7150"/>
      <c r="H20" s="1662"/>
      <c r="I20" s="1662"/>
      <c r="J20" s="2400"/>
      <c r="K20" s="4562"/>
      <c r="L20" s="802"/>
      <c r="M20" s="802">
        <f t="shared" si="6"/>
        <v>0</v>
      </c>
      <c r="N20" s="2400"/>
      <c r="O20" s="4778"/>
      <c r="P20" s="2608"/>
      <c r="Q20" s="1662"/>
      <c r="R20" s="2400"/>
      <c r="S20" s="4889"/>
      <c r="T20" s="2399"/>
      <c r="U20" s="1662"/>
      <c r="V20" s="2400"/>
      <c r="W20" s="5026"/>
      <c r="X20" s="802"/>
      <c r="Y20" s="802"/>
      <c r="Z20" s="470"/>
      <c r="AA20" s="522"/>
      <c r="AB20" s="2400"/>
      <c r="AC20" s="151"/>
      <c r="AD20" s="2608"/>
      <c r="AE20" s="2608"/>
      <c r="AF20" s="2400"/>
      <c r="AG20" s="151"/>
      <c r="AH20" s="2608"/>
      <c r="AI20" s="2608"/>
      <c r="AJ20" s="2400"/>
      <c r="AK20" s="151"/>
      <c r="AL20" s="595"/>
      <c r="AM20" s="802"/>
      <c r="AN20" s="2608"/>
      <c r="AO20" s="2608"/>
      <c r="AP20" s="2400"/>
      <c r="AQ20" s="151"/>
      <c r="AR20" s="2608"/>
      <c r="AS20" s="2608"/>
      <c r="AT20" s="2400"/>
      <c r="AU20" s="151"/>
      <c r="AV20" s="2608"/>
      <c r="AW20" s="2608"/>
      <c r="AX20" s="2400"/>
      <c r="AY20" s="151"/>
      <c r="AZ20" s="595"/>
      <c r="BA20" s="802"/>
      <c r="BB20" s="470"/>
      <c r="BC20" s="522"/>
      <c r="BD20" s="2608"/>
      <c r="BE20" s="256"/>
      <c r="BF20" s="26"/>
      <c r="BG20" s="26"/>
      <c r="BP20" s="26"/>
      <c r="BQ20" s="26"/>
    </row>
    <row r="21" spans="1:69" s="2692" customFormat="1" ht="25.5" x14ac:dyDescent="0.25">
      <c r="A21" s="33"/>
      <c r="B21" s="2695" t="s">
        <v>1679</v>
      </c>
      <c r="C21" s="159"/>
      <c r="D21" s="200"/>
      <c r="E21" s="2400"/>
      <c r="F21" s="2400"/>
      <c r="G21" s="7150"/>
      <c r="H21" s="1662"/>
      <c r="I21" s="1662"/>
      <c r="J21" s="2400"/>
      <c r="K21" s="4562"/>
      <c r="L21" s="802"/>
      <c r="M21" s="802"/>
      <c r="N21" s="2400"/>
      <c r="O21" s="4778"/>
      <c r="P21" s="2608"/>
      <c r="Q21" s="1662"/>
      <c r="R21" s="2400"/>
      <c r="S21" s="4889"/>
      <c r="T21" s="2399"/>
      <c r="U21" s="1662"/>
      <c r="V21" s="2400"/>
      <c r="W21" s="5026"/>
      <c r="X21" s="802"/>
      <c r="Y21" s="802"/>
      <c r="Z21" s="470"/>
      <c r="AA21" s="522"/>
      <c r="AB21" s="2400"/>
      <c r="AC21" s="151"/>
      <c r="AD21" s="2400"/>
      <c r="AE21" s="2399"/>
      <c r="AF21" s="2400"/>
      <c r="AG21" s="151"/>
      <c r="AH21" s="2608"/>
      <c r="AI21" s="2608"/>
      <c r="AJ21" s="2400"/>
      <c r="AK21" s="151"/>
      <c r="AL21" s="595"/>
      <c r="AM21" s="802"/>
      <c r="AN21" s="2608"/>
      <c r="AO21" s="2608"/>
      <c r="AP21" s="2400"/>
      <c r="AQ21" s="151"/>
      <c r="AR21" s="2608"/>
      <c r="AS21" s="2608"/>
      <c r="AT21" s="2400"/>
      <c r="AU21" s="151"/>
      <c r="AV21" s="2608"/>
      <c r="AW21" s="2608"/>
      <c r="AX21" s="2400"/>
      <c r="AY21" s="151"/>
      <c r="AZ21" s="595"/>
      <c r="BA21" s="802"/>
      <c r="BB21" s="470"/>
      <c r="BC21" s="522"/>
      <c r="BD21" s="2608"/>
      <c r="BE21" s="256"/>
      <c r="BF21" s="26"/>
      <c r="BG21" s="26"/>
      <c r="BP21" s="26"/>
      <c r="BQ21" s="26"/>
    </row>
    <row r="22" spans="1:69" ht="20.25" x14ac:dyDescent="0.25">
      <c r="A22" s="33"/>
      <c r="B22" s="743" t="s">
        <v>691</v>
      </c>
      <c r="C22" s="159"/>
      <c r="D22" s="200"/>
      <c r="E22" s="1137"/>
      <c r="F22" s="1137"/>
      <c r="G22" s="7150"/>
      <c r="H22" s="1662"/>
      <c r="I22" s="1662"/>
      <c r="J22" s="1137"/>
      <c r="K22" s="4562"/>
      <c r="L22" s="802"/>
      <c r="M22" s="802"/>
      <c r="N22" s="1137"/>
      <c r="O22" s="4778"/>
      <c r="P22" s="2608"/>
      <c r="Q22" s="1662"/>
      <c r="R22" s="1137"/>
      <c r="S22" s="4889"/>
      <c r="T22" s="2399"/>
      <c r="U22" s="1662"/>
      <c r="V22" s="1137"/>
      <c r="W22" s="5026"/>
      <c r="X22" s="802"/>
      <c r="Y22" s="802"/>
      <c r="Z22" s="470"/>
      <c r="AA22" s="522"/>
      <c r="AB22" s="2400"/>
      <c r="AC22" s="151"/>
      <c r="AD22" s="2400"/>
      <c r="AE22" s="2399">
        <f t="shared" ref="AE22" si="35">+AA22+AC22</f>
        <v>0</v>
      </c>
      <c r="AF22" s="2400"/>
      <c r="AG22" s="151"/>
      <c r="AH22" s="2608"/>
      <c r="AI22" s="2608"/>
      <c r="AJ22" s="2400"/>
      <c r="AK22" s="151"/>
      <c r="AL22" s="595"/>
      <c r="AM22" s="802"/>
      <c r="AN22" s="2608"/>
      <c r="AO22" s="2608"/>
      <c r="AP22" s="2400"/>
      <c r="AQ22" s="151"/>
      <c r="AR22" s="2608"/>
      <c r="AS22" s="2608"/>
      <c r="AT22" s="2400"/>
      <c r="AU22" s="151"/>
      <c r="AV22" s="2608"/>
      <c r="AW22" s="2608"/>
      <c r="AX22" s="2400"/>
      <c r="AY22" s="151"/>
      <c r="AZ22" s="595"/>
      <c r="BA22" s="802"/>
      <c r="BB22" s="470"/>
      <c r="BC22" s="522"/>
      <c r="BD22" s="2608"/>
      <c r="BE22" s="256"/>
      <c r="BF22" s="26"/>
      <c r="BG22" s="26"/>
      <c r="BP22" s="26"/>
      <c r="BQ22" s="26"/>
    </row>
    <row r="23" spans="1:69" x14ac:dyDescent="0.25">
      <c r="A23" s="149"/>
      <c r="B23" s="744" t="s">
        <v>692</v>
      </c>
      <c r="C23" s="159" t="s">
        <v>354</v>
      </c>
      <c r="D23" s="1360"/>
      <c r="E23" s="1360">
        <f>+SUM(E24:E32)</f>
        <v>4059.2500000000005</v>
      </c>
      <c r="F23" s="1360"/>
      <c r="G23" s="1360">
        <f>+SUM(G24:G32)</f>
        <v>4257.2500000000009</v>
      </c>
      <c r="H23" s="1663"/>
      <c r="I23" s="1663">
        <f t="shared" ref="I23:I86" si="36">+E23+G23</f>
        <v>8316.5000000000018</v>
      </c>
      <c r="J23" s="1360"/>
      <c r="K23" s="1360">
        <f>+SUM(K24:K32)</f>
        <v>3557.0000000000014</v>
      </c>
      <c r="L23" s="1360"/>
      <c r="M23" s="2394">
        <f t="shared" ref="M23:M108" si="37">+E23+G23+K23</f>
        <v>11873.500000000004</v>
      </c>
      <c r="N23" s="1360"/>
      <c r="O23" s="1360">
        <f>+SUM(O24:O32)</f>
        <v>3617.1599999999985</v>
      </c>
      <c r="P23" s="1360"/>
      <c r="Q23" s="1663">
        <f t="shared" ref="Q23:Q89" si="38">+M23+O23</f>
        <v>15490.660000000002</v>
      </c>
      <c r="R23" s="1360"/>
      <c r="S23" s="1360">
        <f>+SUM(S24:S32)</f>
        <v>3009.8</v>
      </c>
      <c r="T23" s="1360"/>
      <c r="U23" s="1663">
        <f t="shared" ref="U23:U89" si="39">+Q23+S23</f>
        <v>18500.460000000003</v>
      </c>
      <c r="V23" s="1360"/>
      <c r="W23" s="1360">
        <f>+SUM(W24:W32)</f>
        <v>3072.89</v>
      </c>
      <c r="X23" s="1360"/>
      <c r="Y23" s="2394">
        <f t="shared" si="9"/>
        <v>9699.8499999999985</v>
      </c>
      <c r="Z23" s="1360"/>
      <c r="AA23" s="522">
        <f t="shared" si="10"/>
        <v>21573.350000000002</v>
      </c>
      <c r="AB23" s="1360"/>
      <c r="AC23" s="5466">
        <f>+SUM(AC24:AC32)</f>
        <v>3713.7899999999986</v>
      </c>
      <c r="AD23" s="1360"/>
      <c r="AE23" s="1360">
        <f t="shared" ref="AE23:AE58" si="40">+AA23+AC23</f>
        <v>25287.14</v>
      </c>
      <c r="AF23" s="1360"/>
      <c r="AG23" s="5466">
        <f>+SUM(AG24:AG32)</f>
        <v>3826.9700000000003</v>
      </c>
      <c r="AH23" s="1360"/>
      <c r="AI23" s="1360">
        <f t="shared" ref="AI23:AI58" si="41">+AE23+AG23</f>
        <v>29114.11</v>
      </c>
      <c r="AJ23" s="1360"/>
      <c r="AK23" s="5466">
        <f>+SUM(AK24:AK32)</f>
        <v>3981.27</v>
      </c>
      <c r="AL23" s="1360"/>
      <c r="AM23" s="2394">
        <f t="shared" si="13"/>
        <v>11522.029999999999</v>
      </c>
      <c r="AN23" s="1360"/>
      <c r="AO23" s="1360">
        <f t="shared" si="14"/>
        <v>33095.379999999997</v>
      </c>
      <c r="AP23" s="1360"/>
      <c r="AQ23" s="5466">
        <f>+SUM(AQ24:AQ32)</f>
        <v>3120.1499999999996</v>
      </c>
      <c r="AR23" s="1360"/>
      <c r="AS23" s="1360">
        <f t="shared" ref="AS23:AS58" si="42">+AO23+AQ23</f>
        <v>36215.53</v>
      </c>
      <c r="AT23" s="1360"/>
      <c r="AU23" s="5466">
        <f>+SUM(AU24:AU32)</f>
        <v>4844.83</v>
      </c>
      <c r="AV23" s="1360"/>
      <c r="AW23" s="1360">
        <f t="shared" ref="AW23:AW58" si="43">+AS23+AU23</f>
        <v>41060.36</v>
      </c>
      <c r="AX23" s="1360"/>
      <c r="AY23" s="5466">
        <f>+SUM(AY24:AY32)</f>
        <v>4199.58</v>
      </c>
      <c r="AZ23" s="1360"/>
      <c r="BA23" s="2394">
        <f t="shared" si="18"/>
        <v>12164.56</v>
      </c>
      <c r="BB23" s="1360"/>
      <c r="BC23" s="522">
        <f t="shared" si="19"/>
        <v>23686.589999999997</v>
      </c>
      <c r="BD23" s="1360"/>
      <c r="BE23" s="1360">
        <f t="shared" ref="BE23:BE58" si="44">+AW23+AY23</f>
        <v>45259.94</v>
      </c>
      <c r="BF23" s="26"/>
      <c r="BG23" s="26"/>
      <c r="BP23" s="26"/>
      <c r="BQ23" s="26"/>
    </row>
    <row r="24" spans="1:69" x14ac:dyDescent="0.25">
      <c r="B24" s="8" t="s">
        <v>344</v>
      </c>
      <c r="C24" s="159" t="s">
        <v>354</v>
      </c>
      <c r="D24" s="597"/>
      <c r="E24" s="1970">
        <v>752.26</v>
      </c>
      <c r="F24" s="1204"/>
      <c r="G24" s="1970">
        <v>634.84</v>
      </c>
      <c r="H24" s="1662"/>
      <c r="I24" s="1662">
        <f t="shared" si="36"/>
        <v>1387.1</v>
      </c>
      <c r="J24" s="1204"/>
      <c r="K24" s="1970">
        <v>356.90000000000003</v>
      </c>
      <c r="L24" s="200"/>
      <c r="M24" s="2394">
        <f t="shared" si="37"/>
        <v>1744</v>
      </c>
      <c r="N24" s="1204"/>
      <c r="O24" s="1970">
        <v>297.33999999999997</v>
      </c>
      <c r="P24" s="1204"/>
      <c r="Q24" s="1662">
        <f t="shared" si="38"/>
        <v>2041.34</v>
      </c>
      <c r="R24" s="1204"/>
      <c r="S24" s="1970">
        <v>416.53</v>
      </c>
      <c r="T24" s="1204"/>
      <c r="U24" s="1662">
        <f t="shared" si="39"/>
        <v>2457.87</v>
      </c>
      <c r="V24" s="1204"/>
      <c r="W24" s="1970">
        <v>198.21</v>
      </c>
      <c r="X24" s="200"/>
      <c r="Y24" s="2394">
        <f t="shared" si="9"/>
        <v>912.07999999999993</v>
      </c>
      <c r="Z24" s="1970"/>
      <c r="AA24" s="544">
        <f t="shared" si="10"/>
        <v>2656.08</v>
      </c>
      <c r="AB24" s="1970"/>
      <c r="AC24" s="1283">
        <v>238.39999999999998</v>
      </c>
      <c r="AD24" s="1970"/>
      <c r="AE24" s="2608">
        <f t="shared" ref="AE24:AE32" si="45">AA24+AC24</f>
        <v>2894.48</v>
      </c>
      <c r="AF24" s="1970"/>
      <c r="AG24" s="1283">
        <v>496.84999999999997</v>
      </c>
      <c r="AH24" s="1970"/>
      <c r="AI24" s="2399">
        <f t="shared" si="41"/>
        <v>3391.33</v>
      </c>
      <c r="AJ24" s="1970"/>
      <c r="AK24" s="1283">
        <v>436.56</v>
      </c>
      <c r="AL24" s="1970"/>
      <c r="AM24" s="2394">
        <f t="shared" si="13"/>
        <v>1171.81</v>
      </c>
      <c r="AN24" s="1970"/>
      <c r="AO24" s="2399">
        <f t="shared" si="14"/>
        <v>3827.89</v>
      </c>
      <c r="AP24" s="1970"/>
      <c r="AQ24" s="1283">
        <v>455.26</v>
      </c>
      <c r="AR24" s="1970"/>
      <c r="AS24" s="2399">
        <f t="shared" si="42"/>
        <v>4283.1499999999996</v>
      </c>
      <c r="AT24" s="1970"/>
      <c r="AU24" s="1283">
        <v>614.73</v>
      </c>
      <c r="AV24" s="1970"/>
      <c r="AW24" s="6170">
        <f t="shared" si="43"/>
        <v>4897.8799999999992</v>
      </c>
      <c r="AX24" s="1970"/>
      <c r="AY24" s="1283">
        <v>455.19</v>
      </c>
      <c r="AZ24" s="1970"/>
      <c r="BA24" s="2394">
        <f t="shared" si="18"/>
        <v>1525.18</v>
      </c>
      <c r="BB24" s="1970"/>
      <c r="BC24" s="544">
        <f t="shared" si="19"/>
        <v>2696.99</v>
      </c>
      <c r="BD24" s="1970"/>
      <c r="BE24" s="376">
        <f t="shared" si="44"/>
        <v>5353.0699999999988</v>
      </c>
      <c r="BF24" s="26"/>
      <c r="BG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7"/>
      <c r="E25" s="1204"/>
      <c r="F25" s="1204"/>
      <c r="G25" s="1970"/>
      <c r="H25" s="1662"/>
      <c r="I25" s="1662">
        <f t="shared" si="36"/>
        <v>0</v>
      </c>
      <c r="J25" s="1204"/>
      <c r="K25" s="1970"/>
      <c r="L25" s="200"/>
      <c r="M25" s="2394">
        <f t="shared" si="37"/>
        <v>0</v>
      </c>
      <c r="N25" s="1204"/>
      <c r="O25" s="1970"/>
      <c r="P25" s="1204"/>
      <c r="Q25" s="1662">
        <f t="shared" si="38"/>
        <v>0</v>
      </c>
      <c r="R25" s="1204"/>
      <c r="S25" s="1970"/>
      <c r="T25" s="1204"/>
      <c r="U25" s="1662">
        <f t="shared" si="39"/>
        <v>0</v>
      </c>
      <c r="V25" s="1204"/>
      <c r="W25" s="1970"/>
      <c r="X25" s="200"/>
      <c r="Y25" s="2394">
        <f t="shared" si="9"/>
        <v>0</v>
      </c>
      <c r="Z25" s="1970"/>
      <c r="AA25" s="544">
        <f t="shared" si="10"/>
        <v>0</v>
      </c>
      <c r="AB25" s="1970"/>
      <c r="AC25" s="1283"/>
      <c r="AD25" s="1970"/>
      <c r="AE25" s="2608">
        <f t="shared" si="45"/>
        <v>0</v>
      </c>
      <c r="AF25" s="1970"/>
      <c r="AG25" s="1283"/>
      <c r="AH25" s="1970"/>
      <c r="AI25" s="2399">
        <f t="shared" si="41"/>
        <v>0</v>
      </c>
      <c r="AJ25" s="1970"/>
      <c r="AK25" s="1283"/>
      <c r="AL25" s="1970"/>
      <c r="AM25" s="2394">
        <f t="shared" si="13"/>
        <v>0</v>
      </c>
      <c r="AN25" s="1970"/>
      <c r="AO25" s="2399">
        <f t="shared" si="14"/>
        <v>0</v>
      </c>
      <c r="AP25" s="1970"/>
      <c r="AQ25" s="1283"/>
      <c r="AR25" s="1970"/>
      <c r="AS25" s="2399">
        <f t="shared" si="42"/>
        <v>0</v>
      </c>
      <c r="AT25" s="1970"/>
      <c r="AU25" s="1283"/>
      <c r="AV25" s="1970"/>
      <c r="AW25" s="6170">
        <f t="shared" si="43"/>
        <v>0</v>
      </c>
      <c r="AX25" s="1970"/>
      <c r="AY25" s="1283"/>
      <c r="AZ25" s="1970"/>
      <c r="BA25" s="2394">
        <f t="shared" si="18"/>
        <v>0</v>
      </c>
      <c r="BB25" s="1970"/>
      <c r="BC25" s="544">
        <f t="shared" si="19"/>
        <v>0</v>
      </c>
      <c r="BD25" s="1970"/>
      <c r="BE25" s="376">
        <f t="shared" si="44"/>
        <v>0</v>
      </c>
      <c r="BF25" s="26"/>
      <c r="BG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7"/>
      <c r="E26" s="1204"/>
      <c r="F26" s="1204"/>
      <c r="G26" s="1970"/>
      <c r="H26" s="1662"/>
      <c r="I26" s="1662">
        <f t="shared" si="36"/>
        <v>0</v>
      </c>
      <c r="J26" s="1204"/>
      <c r="K26" s="1970"/>
      <c r="L26" s="200"/>
      <c r="M26" s="2394">
        <f t="shared" si="37"/>
        <v>0</v>
      </c>
      <c r="N26" s="1204"/>
      <c r="O26" s="1970"/>
      <c r="P26" s="1204"/>
      <c r="Q26" s="1662">
        <f t="shared" si="38"/>
        <v>0</v>
      </c>
      <c r="R26" s="1204"/>
      <c r="S26" s="1970"/>
      <c r="T26" s="1204"/>
      <c r="U26" s="1662">
        <f t="shared" si="39"/>
        <v>0</v>
      </c>
      <c r="V26" s="1204"/>
      <c r="W26" s="1970"/>
      <c r="X26" s="200"/>
      <c r="Y26" s="2394">
        <f t="shared" si="9"/>
        <v>0</v>
      </c>
      <c r="Z26" s="1970"/>
      <c r="AA26" s="544">
        <f t="shared" si="10"/>
        <v>0</v>
      </c>
      <c r="AB26" s="1970"/>
      <c r="AC26" s="1283"/>
      <c r="AD26" s="1970"/>
      <c r="AE26" s="2608">
        <f t="shared" si="45"/>
        <v>0</v>
      </c>
      <c r="AF26" s="1970"/>
      <c r="AG26" s="1283"/>
      <c r="AH26" s="1970"/>
      <c r="AI26" s="2399">
        <f t="shared" si="41"/>
        <v>0</v>
      </c>
      <c r="AJ26" s="1970"/>
      <c r="AK26" s="1283"/>
      <c r="AL26" s="1970"/>
      <c r="AM26" s="2394">
        <f t="shared" si="13"/>
        <v>0</v>
      </c>
      <c r="AN26" s="1970"/>
      <c r="AO26" s="2399">
        <f t="shared" si="14"/>
        <v>0</v>
      </c>
      <c r="AP26" s="1970"/>
      <c r="AQ26" s="1283"/>
      <c r="AR26" s="1970"/>
      <c r="AS26" s="2399">
        <f t="shared" si="42"/>
        <v>0</v>
      </c>
      <c r="AT26" s="1970"/>
      <c r="AU26" s="1283"/>
      <c r="AV26" s="1970"/>
      <c r="AW26" s="6170">
        <f t="shared" si="43"/>
        <v>0</v>
      </c>
      <c r="AX26" s="1970"/>
      <c r="AY26" s="1283"/>
      <c r="AZ26" s="1970"/>
      <c r="BA26" s="2394">
        <f t="shared" si="18"/>
        <v>0</v>
      </c>
      <c r="BB26" s="1970"/>
      <c r="BC26" s="544">
        <f t="shared" si="19"/>
        <v>0</v>
      </c>
      <c r="BD26" s="1970"/>
      <c r="BE26" s="376">
        <f t="shared" si="44"/>
        <v>0</v>
      </c>
      <c r="BF26" s="26"/>
      <c r="BG26" s="26"/>
      <c r="BP26" s="26"/>
      <c r="BQ26" s="26"/>
    </row>
    <row r="27" spans="1:69" s="2868" customFormat="1" hidden="1" x14ac:dyDescent="0.25">
      <c r="B27" s="8" t="s">
        <v>1690</v>
      </c>
      <c r="C27" s="2878" t="s">
        <v>354</v>
      </c>
      <c r="D27" s="2879"/>
      <c r="E27" s="2860"/>
      <c r="F27" s="2860"/>
      <c r="G27" s="2860"/>
      <c r="H27" s="2880"/>
      <c r="I27" s="1662">
        <f t="shared" si="36"/>
        <v>0</v>
      </c>
      <c r="J27" s="2860"/>
      <c r="K27" s="2860"/>
      <c r="L27" s="2881"/>
      <c r="M27" s="2394">
        <f t="shared" si="37"/>
        <v>0</v>
      </c>
      <c r="N27" s="2860"/>
      <c r="O27" s="2860"/>
      <c r="P27" s="2860"/>
      <c r="Q27" s="1662">
        <f t="shared" si="38"/>
        <v>0</v>
      </c>
      <c r="R27" s="2860"/>
      <c r="S27" s="2860"/>
      <c r="T27" s="2860"/>
      <c r="U27" s="1662">
        <f t="shared" si="39"/>
        <v>0</v>
      </c>
      <c r="V27" s="2860"/>
      <c r="W27" s="2860"/>
      <c r="X27" s="2881"/>
      <c r="Y27" s="2394">
        <f t="shared" si="9"/>
        <v>0</v>
      </c>
      <c r="Z27" s="1970"/>
      <c r="AA27" s="544">
        <f t="shared" si="10"/>
        <v>0</v>
      </c>
      <c r="AB27" s="2860"/>
      <c r="AC27" s="5471"/>
      <c r="AD27" s="2860"/>
      <c r="AE27" s="2608">
        <f t="shared" si="45"/>
        <v>0</v>
      </c>
      <c r="AF27" s="2860"/>
      <c r="AG27" s="5471"/>
      <c r="AH27" s="2860"/>
      <c r="AI27" s="2862"/>
      <c r="AJ27" s="2860"/>
      <c r="AK27" s="5471"/>
      <c r="AL27" s="2860"/>
      <c r="AM27" s="2394">
        <f t="shared" si="13"/>
        <v>0</v>
      </c>
      <c r="AN27" s="2860"/>
      <c r="AO27" s="2862"/>
      <c r="AP27" s="2860"/>
      <c r="AQ27" s="5471"/>
      <c r="AR27" s="2860"/>
      <c r="AS27" s="2399">
        <f t="shared" si="42"/>
        <v>0</v>
      </c>
      <c r="AT27" s="2860"/>
      <c r="AU27" s="5471"/>
      <c r="AV27" s="2860"/>
      <c r="AW27" s="6170">
        <f t="shared" si="43"/>
        <v>0</v>
      </c>
      <c r="AX27" s="2860"/>
      <c r="AY27" s="5471"/>
      <c r="AZ27" s="2860"/>
      <c r="BA27" s="2394">
        <f t="shared" si="18"/>
        <v>0</v>
      </c>
      <c r="BB27" s="1970"/>
      <c r="BC27" s="544">
        <f t="shared" si="19"/>
        <v>0</v>
      </c>
      <c r="BD27" s="2860"/>
      <c r="BE27" s="376">
        <f t="shared" si="44"/>
        <v>0</v>
      </c>
      <c r="BF27" s="26"/>
      <c r="BG27" s="26"/>
      <c r="BP27" s="26"/>
      <c r="BQ27" s="26"/>
    </row>
    <row r="28" spans="1:69" x14ac:dyDescent="0.25">
      <c r="B28" s="8" t="s">
        <v>693</v>
      </c>
      <c r="C28" s="159" t="s">
        <v>354</v>
      </c>
      <c r="D28" s="597"/>
      <c r="E28" s="1970">
        <v>3284.26</v>
      </c>
      <c r="F28" s="1204"/>
      <c r="G28" s="1970">
        <v>3622.4100000000012</v>
      </c>
      <c r="H28" s="1662"/>
      <c r="I28" s="1662">
        <f t="shared" si="36"/>
        <v>6906.6700000000019</v>
      </c>
      <c r="J28" s="1204"/>
      <c r="K28" s="1970">
        <v>3200.1000000000013</v>
      </c>
      <c r="L28" s="200"/>
      <c r="M28" s="2394">
        <f t="shared" si="37"/>
        <v>10106.770000000004</v>
      </c>
      <c r="N28" s="1204"/>
      <c r="O28" s="1970">
        <v>3319.8199999999983</v>
      </c>
      <c r="P28" s="1204"/>
      <c r="Q28" s="1662">
        <f t="shared" si="38"/>
        <v>13426.590000000002</v>
      </c>
      <c r="R28" s="1204"/>
      <c r="S28" s="1970">
        <v>2593.27</v>
      </c>
      <c r="T28" s="1204"/>
      <c r="U28" s="1662">
        <f t="shared" si="39"/>
        <v>16019.860000000002</v>
      </c>
      <c r="V28" s="1204"/>
      <c r="W28" s="1970">
        <v>2874.68</v>
      </c>
      <c r="X28" s="200"/>
      <c r="Y28" s="2394">
        <f t="shared" si="9"/>
        <v>8787.7699999999986</v>
      </c>
      <c r="Z28" s="1970"/>
      <c r="AA28" s="544">
        <f t="shared" si="10"/>
        <v>18894.54</v>
      </c>
      <c r="AB28" s="1970"/>
      <c r="AC28" s="1283">
        <v>3460.8999999999987</v>
      </c>
      <c r="AD28" s="1970"/>
      <c r="AE28" s="2608">
        <f t="shared" si="45"/>
        <v>22355.439999999999</v>
      </c>
      <c r="AF28" s="1970"/>
      <c r="AG28" s="1283">
        <v>3330.1200000000003</v>
      </c>
      <c r="AH28" s="1970"/>
      <c r="AI28" s="2399">
        <f t="shared" si="41"/>
        <v>25685.559999999998</v>
      </c>
      <c r="AJ28" s="1970"/>
      <c r="AK28" s="1283">
        <v>3544.71</v>
      </c>
      <c r="AL28" s="1970"/>
      <c r="AM28" s="2394">
        <f t="shared" si="13"/>
        <v>10335.73</v>
      </c>
      <c r="AN28" s="1970"/>
      <c r="AO28" s="2399">
        <f t="shared" si="14"/>
        <v>29230.269999999997</v>
      </c>
      <c r="AP28" s="1970"/>
      <c r="AQ28" s="1283">
        <v>2649.93</v>
      </c>
      <c r="AR28" s="1970"/>
      <c r="AS28" s="2399">
        <f t="shared" si="42"/>
        <v>31880.199999999997</v>
      </c>
      <c r="AT28" s="1970"/>
      <c r="AU28" s="1283">
        <v>4230.1000000000004</v>
      </c>
      <c r="AV28" s="1970"/>
      <c r="AW28" s="6170">
        <f t="shared" si="43"/>
        <v>36110.299999999996</v>
      </c>
      <c r="AX28" s="1970"/>
      <c r="AY28" s="1283">
        <v>3744.39</v>
      </c>
      <c r="AZ28" s="1970"/>
      <c r="BA28" s="2394">
        <f t="shared" si="18"/>
        <v>10624.42</v>
      </c>
      <c r="BB28" s="1970"/>
      <c r="BC28" s="544">
        <f t="shared" si="19"/>
        <v>20960.150000000001</v>
      </c>
      <c r="BD28" s="1970"/>
      <c r="BE28" s="376">
        <f t="shared" si="44"/>
        <v>39854.689999999995</v>
      </c>
      <c r="BF28" s="26"/>
      <c r="BG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7"/>
      <c r="E29" s="1204"/>
      <c r="F29" s="1204"/>
      <c r="G29" s="1970"/>
      <c r="H29" s="1662"/>
      <c r="I29" s="1662">
        <f t="shared" si="36"/>
        <v>0</v>
      </c>
      <c r="J29" s="1204"/>
      <c r="K29" s="1970"/>
      <c r="L29" s="200"/>
      <c r="M29" s="2394">
        <f t="shared" si="37"/>
        <v>0</v>
      </c>
      <c r="N29" s="1204"/>
      <c r="O29" s="1970"/>
      <c r="P29" s="1204"/>
      <c r="Q29" s="1662">
        <f t="shared" si="38"/>
        <v>0</v>
      </c>
      <c r="R29" s="1204"/>
      <c r="S29" s="1970"/>
      <c r="T29" s="1204"/>
      <c r="U29" s="1662">
        <f t="shared" si="39"/>
        <v>0</v>
      </c>
      <c r="V29" s="1204"/>
      <c r="W29" s="1970"/>
      <c r="X29" s="200"/>
      <c r="Y29" s="2394">
        <f t="shared" si="9"/>
        <v>0</v>
      </c>
      <c r="Z29" s="1970"/>
      <c r="AA29" s="544">
        <f t="shared" si="10"/>
        <v>0</v>
      </c>
      <c r="AB29" s="1970"/>
      <c r="AC29" s="1283"/>
      <c r="AD29" s="1970"/>
      <c r="AE29" s="2608">
        <f t="shared" si="45"/>
        <v>0</v>
      </c>
      <c r="AF29" s="1970"/>
      <c r="AG29" s="1283"/>
      <c r="AH29" s="1970"/>
      <c r="AI29" s="2399">
        <f t="shared" si="41"/>
        <v>0</v>
      </c>
      <c r="AJ29" s="1970"/>
      <c r="AK29" s="1283"/>
      <c r="AL29" s="1970"/>
      <c r="AM29" s="2394">
        <f t="shared" si="13"/>
        <v>0</v>
      </c>
      <c r="AN29" s="1970"/>
      <c r="AO29" s="2399">
        <f t="shared" si="14"/>
        <v>0</v>
      </c>
      <c r="AP29" s="1970"/>
      <c r="AQ29" s="1283"/>
      <c r="AR29" s="1970"/>
      <c r="AS29" s="2399">
        <f t="shared" si="42"/>
        <v>0</v>
      </c>
      <c r="AT29" s="1970"/>
      <c r="AU29" s="1283"/>
      <c r="AV29" s="1970"/>
      <c r="AW29" s="6170">
        <f t="shared" si="43"/>
        <v>0</v>
      </c>
      <c r="AX29" s="1970"/>
      <c r="AY29" s="1283"/>
      <c r="AZ29" s="1970"/>
      <c r="BA29" s="2394">
        <f t="shared" si="18"/>
        <v>0</v>
      </c>
      <c r="BB29" s="1970"/>
      <c r="BC29" s="544">
        <f t="shared" si="19"/>
        <v>0</v>
      </c>
      <c r="BD29" s="1970"/>
      <c r="BE29" s="376">
        <f t="shared" si="44"/>
        <v>0</v>
      </c>
      <c r="BF29" s="26"/>
      <c r="BG29" s="26"/>
      <c r="BP29" s="26"/>
      <c r="BQ29" s="26"/>
    </row>
    <row r="30" spans="1:69" hidden="1" x14ac:dyDescent="0.25">
      <c r="B30" s="8" t="s">
        <v>1485</v>
      </c>
      <c r="C30" s="159" t="s">
        <v>354</v>
      </c>
      <c r="D30" s="597"/>
      <c r="E30" s="1204"/>
      <c r="F30" s="1204"/>
      <c r="G30" s="1970"/>
      <c r="H30" s="1662"/>
      <c r="I30" s="1662">
        <f t="shared" si="36"/>
        <v>0</v>
      </c>
      <c r="J30" s="1204"/>
      <c r="K30" s="1970"/>
      <c r="L30" s="200"/>
      <c r="M30" s="2394">
        <f t="shared" si="37"/>
        <v>0</v>
      </c>
      <c r="N30" s="1204"/>
      <c r="O30" s="1970"/>
      <c r="P30" s="1204"/>
      <c r="Q30" s="1662">
        <f t="shared" si="38"/>
        <v>0</v>
      </c>
      <c r="R30" s="1204"/>
      <c r="S30" s="1970"/>
      <c r="T30" s="1204"/>
      <c r="U30" s="1662">
        <f t="shared" si="39"/>
        <v>0</v>
      </c>
      <c r="V30" s="1204"/>
      <c r="W30" s="1970"/>
      <c r="X30" s="200"/>
      <c r="Y30" s="2394">
        <f t="shared" si="9"/>
        <v>0</v>
      </c>
      <c r="Z30" s="1970"/>
      <c r="AA30" s="544">
        <f t="shared" si="10"/>
        <v>0</v>
      </c>
      <c r="AB30" s="1970"/>
      <c r="AC30" s="1283"/>
      <c r="AD30" s="1970"/>
      <c r="AE30" s="2608">
        <f t="shared" si="45"/>
        <v>0</v>
      </c>
      <c r="AF30" s="1970"/>
      <c r="AG30" s="1283"/>
      <c r="AH30" s="1970"/>
      <c r="AI30" s="2399">
        <f t="shared" si="41"/>
        <v>0</v>
      </c>
      <c r="AJ30" s="1970"/>
      <c r="AK30" s="1283"/>
      <c r="AL30" s="1970"/>
      <c r="AM30" s="2394">
        <f t="shared" si="13"/>
        <v>0</v>
      </c>
      <c r="AN30" s="1970"/>
      <c r="AO30" s="2399">
        <f t="shared" si="14"/>
        <v>0</v>
      </c>
      <c r="AP30" s="1970"/>
      <c r="AQ30" s="1283"/>
      <c r="AR30" s="1970"/>
      <c r="AS30" s="2399">
        <f t="shared" si="42"/>
        <v>0</v>
      </c>
      <c r="AT30" s="1970"/>
      <c r="AU30" s="1283"/>
      <c r="AV30" s="1970"/>
      <c r="AW30" s="6170">
        <f t="shared" si="43"/>
        <v>0</v>
      </c>
      <c r="AX30" s="1970"/>
      <c r="AY30" s="1283"/>
      <c r="AZ30" s="1970"/>
      <c r="BA30" s="2394">
        <f t="shared" si="18"/>
        <v>0</v>
      </c>
      <c r="BB30" s="1970"/>
      <c r="BC30" s="544">
        <f t="shared" si="19"/>
        <v>0</v>
      </c>
      <c r="BD30" s="1970"/>
      <c r="BE30" s="376">
        <f t="shared" si="44"/>
        <v>0</v>
      </c>
      <c r="BF30" s="26"/>
      <c r="BG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7"/>
      <c r="E31" s="1204"/>
      <c r="F31" s="1204"/>
      <c r="G31" s="1970"/>
      <c r="H31" s="1662"/>
      <c r="I31" s="1662">
        <f t="shared" si="36"/>
        <v>0</v>
      </c>
      <c r="J31" s="1204"/>
      <c r="K31" s="1970"/>
      <c r="L31" s="200"/>
      <c r="M31" s="2394">
        <f t="shared" si="37"/>
        <v>0</v>
      </c>
      <c r="N31" s="1204"/>
      <c r="O31" s="1970"/>
      <c r="P31" s="1204"/>
      <c r="Q31" s="1662">
        <f t="shared" si="38"/>
        <v>0</v>
      </c>
      <c r="R31" s="1204"/>
      <c r="S31" s="1970"/>
      <c r="T31" s="1204"/>
      <c r="U31" s="1662">
        <f t="shared" si="39"/>
        <v>0</v>
      </c>
      <c r="V31" s="1204"/>
      <c r="W31" s="1970"/>
      <c r="X31" s="200"/>
      <c r="Y31" s="2394">
        <f t="shared" si="9"/>
        <v>0</v>
      </c>
      <c r="Z31" s="1970"/>
      <c r="AA31" s="544">
        <f t="shared" si="10"/>
        <v>0</v>
      </c>
      <c r="AB31" s="1970"/>
      <c r="AC31" s="1283"/>
      <c r="AD31" s="1970"/>
      <c r="AE31" s="2608">
        <f t="shared" si="45"/>
        <v>0</v>
      </c>
      <c r="AF31" s="1970"/>
      <c r="AG31" s="1283"/>
      <c r="AH31" s="1970"/>
      <c r="AI31" s="2399">
        <f t="shared" si="41"/>
        <v>0</v>
      </c>
      <c r="AJ31" s="1970"/>
      <c r="AK31" s="1283"/>
      <c r="AL31" s="1970"/>
      <c r="AM31" s="2394">
        <f t="shared" si="13"/>
        <v>0</v>
      </c>
      <c r="AN31" s="1970"/>
      <c r="AO31" s="2399">
        <f t="shared" si="14"/>
        <v>0</v>
      </c>
      <c r="AP31" s="1970"/>
      <c r="AQ31" s="1283"/>
      <c r="AR31" s="1970"/>
      <c r="AS31" s="2399">
        <f t="shared" si="42"/>
        <v>0</v>
      </c>
      <c r="AT31" s="1970"/>
      <c r="AU31" s="1283"/>
      <c r="AV31" s="1970"/>
      <c r="AW31" s="6170">
        <f t="shared" si="43"/>
        <v>0</v>
      </c>
      <c r="AX31" s="1970"/>
      <c r="AY31" s="1283"/>
      <c r="AZ31" s="1970"/>
      <c r="BA31" s="2394">
        <f t="shared" si="18"/>
        <v>0</v>
      </c>
      <c r="BB31" s="1970"/>
      <c r="BC31" s="544">
        <f t="shared" si="19"/>
        <v>0</v>
      </c>
      <c r="BD31" s="1970"/>
      <c r="BE31" s="376">
        <f t="shared" si="44"/>
        <v>0</v>
      </c>
      <c r="BF31" s="26"/>
      <c r="BG31" s="26"/>
      <c r="BP31" s="26"/>
      <c r="BQ31" s="26"/>
    </row>
    <row r="32" spans="1:69" x14ac:dyDescent="0.25">
      <c r="B32" s="8" t="s">
        <v>814</v>
      </c>
      <c r="C32" s="159" t="s">
        <v>354</v>
      </c>
      <c r="D32" s="597"/>
      <c r="E32" s="1970">
        <v>22.73</v>
      </c>
      <c r="F32" s="1204"/>
      <c r="G32" s="1970"/>
      <c r="H32" s="1662"/>
      <c r="I32" s="1662">
        <f t="shared" si="36"/>
        <v>22.73</v>
      </c>
      <c r="J32" s="1204"/>
      <c r="K32" s="1970"/>
      <c r="L32" s="200"/>
      <c r="M32" s="2394">
        <f t="shared" si="37"/>
        <v>22.73</v>
      </c>
      <c r="N32" s="1204"/>
      <c r="O32" s="1970"/>
      <c r="P32" s="1204"/>
      <c r="Q32" s="1662">
        <f t="shared" si="38"/>
        <v>22.73</v>
      </c>
      <c r="R32" s="1204"/>
      <c r="S32" s="1970"/>
      <c r="T32" s="1204"/>
      <c r="U32" s="1662">
        <f t="shared" si="39"/>
        <v>22.73</v>
      </c>
      <c r="V32" s="1204"/>
      <c r="W32" s="1970"/>
      <c r="X32" s="200"/>
      <c r="Y32" s="2394">
        <f t="shared" si="9"/>
        <v>0</v>
      </c>
      <c r="Z32" s="1970"/>
      <c r="AA32" s="544">
        <f t="shared" si="10"/>
        <v>22.73</v>
      </c>
      <c r="AB32" s="1970"/>
      <c r="AC32" s="1283">
        <v>14.489999999999998</v>
      </c>
      <c r="AD32" s="1970"/>
      <c r="AE32" s="2608">
        <f t="shared" si="45"/>
        <v>37.22</v>
      </c>
      <c r="AF32" s="1970"/>
      <c r="AG32" s="1283"/>
      <c r="AH32" s="1970"/>
      <c r="AI32" s="2399">
        <f t="shared" si="41"/>
        <v>37.22</v>
      </c>
      <c r="AJ32" s="1970"/>
      <c r="AK32" s="1283"/>
      <c r="AL32" s="1970"/>
      <c r="AM32" s="2394">
        <f t="shared" si="13"/>
        <v>14.489999999999998</v>
      </c>
      <c r="AN32" s="1970"/>
      <c r="AO32" s="2399">
        <f t="shared" si="14"/>
        <v>37.22</v>
      </c>
      <c r="AP32" s="1970"/>
      <c r="AQ32" s="1283">
        <v>14.96</v>
      </c>
      <c r="AR32" s="1970"/>
      <c r="AS32" s="2399">
        <f t="shared" si="42"/>
        <v>52.18</v>
      </c>
      <c r="AT32" s="1970"/>
      <c r="AU32" s="1283"/>
      <c r="AV32" s="1970"/>
      <c r="AW32" s="6170">
        <f t="shared" si="43"/>
        <v>52.18</v>
      </c>
      <c r="AX32" s="1970"/>
      <c r="AY32" s="1283"/>
      <c r="AZ32" s="1970"/>
      <c r="BA32" s="2394">
        <f t="shared" si="18"/>
        <v>14.96</v>
      </c>
      <c r="BB32" s="1970"/>
      <c r="BC32" s="544">
        <f t="shared" si="19"/>
        <v>29.45</v>
      </c>
      <c r="BD32" s="1970"/>
      <c r="BE32" s="376">
        <f t="shared" si="44"/>
        <v>52.18</v>
      </c>
      <c r="BF32" s="26"/>
      <c r="BG32" s="26"/>
      <c r="BP32" s="26"/>
      <c r="BQ32" s="26"/>
    </row>
    <row r="33" spans="1:69" hidden="1" x14ac:dyDescent="0.25">
      <c r="B33" s="744" t="s">
        <v>718</v>
      </c>
      <c r="C33" s="159" t="s">
        <v>354</v>
      </c>
      <c r="D33" s="1140"/>
      <c r="E33" s="1360"/>
      <c r="F33" s="1360"/>
      <c r="G33" s="1360"/>
      <c r="H33" s="1663"/>
      <c r="I33" s="1663">
        <f t="shared" si="36"/>
        <v>0</v>
      </c>
      <c r="J33" s="1360"/>
      <c r="K33" s="1360"/>
      <c r="L33" s="1360"/>
      <c r="M33" s="2394">
        <f t="shared" si="37"/>
        <v>0</v>
      </c>
      <c r="N33" s="1360"/>
      <c r="O33" s="1360"/>
      <c r="P33" s="1360"/>
      <c r="Q33" s="1663">
        <f t="shared" si="38"/>
        <v>0</v>
      </c>
      <c r="R33" s="1360"/>
      <c r="S33" s="1360"/>
      <c r="T33" s="1360"/>
      <c r="U33" s="1663">
        <f t="shared" si="39"/>
        <v>0</v>
      </c>
      <c r="V33" s="1310"/>
      <c r="W33" s="1360"/>
      <c r="X33" s="1360"/>
      <c r="Y33" s="2394">
        <f t="shared" si="9"/>
        <v>0</v>
      </c>
      <c r="Z33" s="1310"/>
      <c r="AA33" s="522">
        <f t="shared" si="10"/>
        <v>0</v>
      </c>
      <c r="AB33" s="1360"/>
      <c r="AC33" s="5466"/>
      <c r="AD33" s="1360"/>
      <c r="AE33" s="1360">
        <f t="shared" si="40"/>
        <v>0</v>
      </c>
      <c r="AF33" s="1360"/>
      <c r="AG33" s="5466"/>
      <c r="AH33" s="1360"/>
      <c r="AI33" s="1360">
        <f t="shared" si="41"/>
        <v>0</v>
      </c>
      <c r="AJ33" s="1310"/>
      <c r="AK33" s="5466"/>
      <c r="AL33" s="1310"/>
      <c r="AM33" s="2394">
        <f t="shared" si="13"/>
        <v>0</v>
      </c>
      <c r="AN33" s="1360"/>
      <c r="AO33" s="1360">
        <f t="shared" si="14"/>
        <v>0</v>
      </c>
      <c r="AP33" s="1360"/>
      <c r="AQ33" s="5466"/>
      <c r="AR33" s="1360"/>
      <c r="AS33" s="1360">
        <f t="shared" si="42"/>
        <v>0</v>
      </c>
      <c r="AT33" s="1360"/>
      <c r="AU33" s="5466"/>
      <c r="AV33" s="1360"/>
      <c r="AW33" s="1360">
        <f t="shared" si="43"/>
        <v>0</v>
      </c>
      <c r="AX33" s="1360"/>
      <c r="AY33" s="5466"/>
      <c r="AZ33" s="1310"/>
      <c r="BA33" s="2394">
        <f t="shared" si="18"/>
        <v>0</v>
      </c>
      <c r="BB33" s="1310"/>
      <c r="BC33" s="522">
        <f t="shared" si="19"/>
        <v>0</v>
      </c>
      <c r="BD33" s="1360"/>
      <c r="BE33" s="1360">
        <f t="shared" si="44"/>
        <v>0</v>
      </c>
      <c r="BF33" s="26"/>
      <c r="BG33" s="26"/>
      <c r="BP33" s="26"/>
      <c r="BQ33" s="26"/>
    </row>
    <row r="34" spans="1:69" hidden="1" x14ac:dyDescent="0.25">
      <c r="A34" s="149"/>
      <c r="B34" s="744" t="s">
        <v>665</v>
      </c>
      <c r="C34" s="205"/>
      <c r="D34" s="1360"/>
      <c r="E34" s="1360">
        <f>+SUM(E35:E47)</f>
        <v>0</v>
      </c>
      <c r="F34" s="1360"/>
      <c r="G34" s="1360">
        <f>+SUM(G35:G47)</f>
        <v>0</v>
      </c>
      <c r="H34" s="1663"/>
      <c r="I34" s="1663">
        <f t="shared" si="36"/>
        <v>0</v>
      </c>
      <c r="J34" s="1360"/>
      <c r="K34" s="1360">
        <f>+SUM(K35:K47)</f>
        <v>23.8</v>
      </c>
      <c r="L34" s="1360"/>
      <c r="M34" s="2394">
        <f t="shared" si="37"/>
        <v>23.8</v>
      </c>
      <c r="N34" s="1360"/>
      <c r="O34" s="1360">
        <f>+SUM(O35:O47)</f>
        <v>173.31</v>
      </c>
      <c r="P34" s="1360"/>
      <c r="Q34" s="1663">
        <f t="shared" si="38"/>
        <v>197.11</v>
      </c>
      <c r="R34" s="1360"/>
      <c r="S34" s="1360">
        <f>+SUM(S35:S47)</f>
        <v>0</v>
      </c>
      <c r="T34" s="1360"/>
      <c r="U34" s="1663">
        <f t="shared" si="39"/>
        <v>197.11</v>
      </c>
      <c r="V34" s="1360"/>
      <c r="W34" s="1360">
        <f>+SUM(W35:W47)</f>
        <v>0</v>
      </c>
      <c r="X34" s="1360"/>
      <c r="Y34" s="2394">
        <f t="shared" si="9"/>
        <v>173.31</v>
      </c>
      <c r="Z34" s="1360"/>
      <c r="AA34" s="522">
        <f t="shared" si="10"/>
        <v>197.11</v>
      </c>
      <c r="AB34" s="1360"/>
      <c r="AC34" s="5466">
        <f>+SUM(AC35:AC47)</f>
        <v>0</v>
      </c>
      <c r="AD34" s="1360"/>
      <c r="AE34" s="1360">
        <f t="shared" si="40"/>
        <v>197.11</v>
      </c>
      <c r="AF34" s="1360"/>
      <c r="AG34" s="5466">
        <f>+SUM(AG35:AG47)</f>
        <v>0</v>
      </c>
      <c r="AH34" s="1360"/>
      <c r="AI34" s="1360">
        <f t="shared" si="41"/>
        <v>197.11</v>
      </c>
      <c r="AJ34" s="1360"/>
      <c r="AK34" s="5466">
        <f>+SUM(AK35:AK47)</f>
        <v>0</v>
      </c>
      <c r="AL34" s="1360"/>
      <c r="AM34" s="2394">
        <f t="shared" si="13"/>
        <v>0</v>
      </c>
      <c r="AN34" s="1360"/>
      <c r="AO34" s="1360">
        <f t="shared" si="14"/>
        <v>197.11</v>
      </c>
      <c r="AP34" s="1360"/>
      <c r="AQ34" s="5466">
        <f>+SUM(AQ35:AQ47)</f>
        <v>0</v>
      </c>
      <c r="AR34" s="1360"/>
      <c r="AS34" s="1360">
        <f t="shared" si="42"/>
        <v>197.11</v>
      </c>
      <c r="AT34" s="1360"/>
      <c r="AU34" s="5466">
        <f>+SUM(AU35:AU47)</f>
        <v>63.75</v>
      </c>
      <c r="AV34" s="1360"/>
      <c r="AW34" s="1360">
        <f t="shared" si="43"/>
        <v>260.86</v>
      </c>
      <c r="AX34" s="1360"/>
      <c r="AY34" s="5466">
        <f>+SUM(AY35:AY47)</f>
        <v>30.16</v>
      </c>
      <c r="AZ34" s="1360"/>
      <c r="BA34" s="2394">
        <f t="shared" si="18"/>
        <v>93.91</v>
      </c>
      <c r="BB34" s="1360"/>
      <c r="BC34" s="522">
        <f t="shared" si="19"/>
        <v>93.91</v>
      </c>
      <c r="BD34" s="1360"/>
      <c r="BE34" s="1360">
        <f t="shared" si="44"/>
        <v>291.02000000000004</v>
      </c>
      <c r="BF34" s="26"/>
      <c r="BG34" s="26"/>
      <c r="BP34" s="26"/>
      <c r="BQ34" s="26"/>
    </row>
    <row r="35" spans="1:69" hidden="1" x14ac:dyDescent="0.25">
      <c r="B35" s="8" t="s">
        <v>837</v>
      </c>
      <c r="C35" s="159" t="s">
        <v>354</v>
      </c>
      <c r="D35" s="597"/>
      <c r="E35" s="1204"/>
      <c r="F35" s="1204"/>
      <c r="G35" s="1970"/>
      <c r="H35" s="1662"/>
      <c r="I35" s="1662">
        <f t="shared" si="36"/>
        <v>0</v>
      </c>
      <c r="J35" s="1204"/>
      <c r="K35" s="1970"/>
      <c r="L35" s="200"/>
      <c r="M35" s="2394">
        <f t="shared" si="37"/>
        <v>0</v>
      </c>
      <c r="N35" s="1204"/>
      <c r="O35" s="1970">
        <v>173.31</v>
      </c>
      <c r="P35" s="1204"/>
      <c r="Q35" s="1662">
        <f t="shared" si="38"/>
        <v>173.31</v>
      </c>
      <c r="R35" s="1204"/>
      <c r="S35" s="1970"/>
      <c r="T35" s="1204"/>
      <c r="U35" s="1662">
        <f t="shared" si="39"/>
        <v>173.31</v>
      </c>
      <c r="V35" s="1204"/>
      <c r="W35" s="1970"/>
      <c r="X35" s="200"/>
      <c r="Y35" s="2394">
        <f t="shared" si="9"/>
        <v>173.31</v>
      </c>
      <c r="Z35" s="1970"/>
      <c r="AA35" s="544">
        <f t="shared" si="10"/>
        <v>173.31</v>
      </c>
      <c r="AB35" s="1970"/>
      <c r="AC35" s="1283"/>
      <c r="AD35" s="1970"/>
      <c r="AE35" s="2608">
        <f t="shared" ref="AE35:AE41" si="46">AA35+AC35</f>
        <v>173.31</v>
      </c>
      <c r="AF35" s="1970"/>
      <c r="AG35" s="1283"/>
      <c r="AH35" s="1970"/>
      <c r="AI35" s="2399">
        <f t="shared" si="41"/>
        <v>173.31</v>
      </c>
      <c r="AJ35" s="1970"/>
      <c r="AK35" s="1283"/>
      <c r="AL35" s="1970"/>
      <c r="AM35" s="2394">
        <f t="shared" si="13"/>
        <v>0</v>
      </c>
      <c r="AN35" s="1970"/>
      <c r="AO35" s="2399">
        <f t="shared" si="14"/>
        <v>173.31</v>
      </c>
      <c r="AP35" s="1970"/>
      <c r="AQ35" s="1283"/>
      <c r="AR35" s="1970"/>
      <c r="AS35" s="2399">
        <f t="shared" si="42"/>
        <v>173.31</v>
      </c>
      <c r="AT35" s="1970"/>
      <c r="AU35" s="1283"/>
      <c r="AV35" s="1970"/>
      <c r="AW35" s="6170">
        <f t="shared" si="43"/>
        <v>173.31</v>
      </c>
      <c r="AX35" s="1970"/>
      <c r="AY35" s="1283"/>
      <c r="AZ35" s="1970"/>
      <c r="BA35" s="2394">
        <f t="shared" si="18"/>
        <v>0</v>
      </c>
      <c r="BB35" s="1970"/>
      <c r="BC35" s="544">
        <f t="shared" si="19"/>
        <v>0</v>
      </c>
      <c r="BD35" s="1970"/>
      <c r="BE35" s="376">
        <f t="shared" si="44"/>
        <v>173.31</v>
      </c>
      <c r="BF35" s="26"/>
      <c r="BG35" s="26"/>
      <c r="BP35" s="26"/>
      <c r="BQ35" s="26"/>
    </row>
    <row r="36" spans="1:69" hidden="1" x14ac:dyDescent="0.25">
      <c r="B36" s="8" t="s">
        <v>815</v>
      </c>
      <c r="C36" s="159" t="s">
        <v>354</v>
      </c>
      <c r="D36" s="597"/>
      <c r="E36" s="1204"/>
      <c r="F36" s="1204"/>
      <c r="G36" s="1970"/>
      <c r="H36" s="1662"/>
      <c r="I36" s="1662">
        <f t="shared" si="36"/>
        <v>0</v>
      </c>
      <c r="J36" s="1204"/>
      <c r="K36" s="1970">
        <v>18.91</v>
      </c>
      <c r="L36" s="200"/>
      <c r="M36" s="2394">
        <f t="shared" si="37"/>
        <v>18.91</v>
      </c>
      <c r="N36" s="1204"/>
      <c r="O36" s="1970"/>
      <c r="P36" s="1204"/>
      <c r="Q36" s="1662">
        <f t="shared" si="38"/>
        <v>18.91</v>
      </c>
      <c r="R36" s="1204"/>
      <c r="S36" s="1970"/>
      <c r="T36" s="1204"/>
      <c r="U36" s="1662">
        <f t="shared" si="39"/>
        <v>18.91</v>
      </c>
      <c r="V36" s="1204"/>
      <c r="W36" s="1970"/>
      <c r="X36" s="200"/>
      <c r="Y36" s="2394">
        <f t="shared" si="9"/>
        <v>0</v>
      </c>
      <c r="Z36" s="1970"/>
      <c r="AA36" s="544">
        <f t="shared" si="10"/>
        <v>18.91</v>
      </c>
      <c r="AB36" s="1970"/>
      <c r="AC36" s="1283"/>
      <c r="AD36" s="1970"/>
      <c r="AE36" s="2608">
        <f t="shared" si="46"/>
        <v>18.91</v>
      </c>
      <c r="AF36" s="1970"/>
      <c r="AG36" s="1283"/>
      <c r="AH36" s="1970"/>
      <c r="AI36" s="2399">
        <f t="shared" si="41"/>
        <v>18.91</v>
      </c>
      <c r="AJ36" s="1970"/>
      <c r="AK36" s="1283"/>
      <c r="AL36" s="1970"/>
      <c r="AM36" s="2394">
        <f t="shared" si="13"/>
        <v>0</v>
      </c>
      <c r="AN36" s="1970"/>
      <c r="AO36" s="2399">
        <f t="shared" si="14"/>
        <v>18.91</v>
      </c>
      <c r="AP36" s="1970"/>
      <c r="AQ36" s="1283"/>
      <c r="AR36" s="1970"/>
      <c r="AS36" s="2399">
        <f t="shared" si="42"/>
        <v>18.91</v>
      </c>
      <c r="AT36" s="1970"/>
      <c r="AU36" s="1283"/>
      <c r="AV36" s="1970"/>
      <c r="AW36" s="6170">
        <f t="shared" si="43"/>
        <v>18.91</v>
      </c>
      <c r="AX36" s="1970"/>
      <c r="AY36" s="1283"/>
      <c r="AZ36" s="1970"/>
      <c r="BA36" s="2394">
        <f t="shared" si="18"/>
        <v>0</v>
      </c>
      <c r="BB36" s="1970"/>
      <c r="BC36" s="544">
        <f t="shared" si="19"/>
        <v>0</v>
      </c>
      <c r="BD36" s="1970"/>
      <c r="BE36" s="376">
        <f t="shared" si="44"/>
        <v>18.91</v>
      </c>
      <c r="BF36" s="26"/>
      <c r="BG36" s="26"/>
      <c r="BP36" s="26"/>
      <c r="BQ36" s="26"/>
    </row>
    <row r="37" spans="1:69" hidden="1" x14ac:dyDescent="0.25">
      <c r="B37" s="8" t="s">
        <v>1537</v>
      </c>
      <c r="C37" s="159" t="s">
        <v>354</v>
      </c>
      <c r="D37" s="597"/>
      <c r="E37" s="1204"/>
      <c r="F37" s="1204"/>
      <c r="G37" s="1970"/>
      <c r="H37" s="1662"/>
      <c r="I37" s="1662">
        <f t="shared" si="36"/>
        <v>0</v>
      </c>
      <c r="J37" s="1204"/>
      <c r="K37" s="1970"/>
      <c r="L37" s="200"/>
      <c r="M37" s="2394">
        <f t="shared" si="37"/>
        <v>0</v>
      </c>
      <c r="N37" s="1204"/>
      <c r="O37" s="1970"/>
      <c r="P37" s="1204"/>
      <c r="Q37" s="1662">
        <f t="shared" si="38"/>
        <v>0</v>
      </c>
      <c r="R37" s="1204"/>
      <c r="S37" s="1970"/>
      <c r="T37" s="1204"/>
      <c r="U37" s="1662">
        <f t="shared" si="39"/>
        <v>0</v>
      </c>
      <c r="V37" s="1204"/>
      <c r="W37" s="1970"/>
      <c r="X37" s="200"/>
      <c r="Y37" s="2394">
        <f t="shared" si="9"/>
        <v>0</v>
      </c>
      <c r="Z37" s="1970"/>
      <c r="AA37" s="544">
        <f t="shared" si="10"/>
        <v>0</v>
      </c>
      <c r="AB37" s="1970"/>
      <c r="AC37" s="1283"/>
      <c r="AD37" s="1970"/>
      <c r="AE37" s="2608">
        <f t="shared" si="46"/>
        <v>0</v>
      </c>
      <c r="AF37" s="1970"/>
      <c r="AG37" s="1283"/>
      <c r="AH37" s="1970"/>
      <c r="AI37" s="2399">
        <f t="shared" si="41"/>
        <v>0</v>
      </c>
      <c r="AJ37" s="1970"/>
      <c r="AK37" s="1283"/>
      <c r="AL37" s="1970"/>
      <c r="AM37" s="2394">
        <f t="shared" si="13"/>
        <v>0</v>
      </c>
      <c r="AN37" s="1970"/>
      <c r="AO37" s="2399">
        <f t="shared" si="14"/>
        <v>0</v>
      </c>
      <c r="AP37" s="1970"/>
      <c r="AQ37" s="1283"/>
      <c r="AR37" s="1970"/>
      <c r="AS37" s="2399">
        <f t="shared" si="42"/>
        <v>0</v>
      </c>
      <c r="AT37" s="1970"/>
      <c r="AU37" s="1283"/>
      <c r="AV37" s="1970"/>
      <c r="AW37" s="6170">
        <f t="shared" si="43"/>
        <v>0</v>
      </c>
      <c r="AX37" s="1970"/>
      <c r="AY37" s="1283"/>
      <c r="AZ37" s="1970"/>
      <c r="BA37" s="2394">
        <f t="shared" si="18"/>
        <v>0</v>
      </c>
      <c r="BB37" s="1970"/>
      <c r="BC37" s="544">
        <f t="shared" si="19"/>
        <v>0</v>
      </c>
      <c r="BD37" s="1970"/>
      <c r="BE37" s="376">
        <f t="shared" si="44"/>
        <v>0</v>
      </c>
      <c r="BF37" s="26"/>
      <c r="BG37" s="26"/>
      <c r="BP37" s="26"/>
      <c r="BQ37" s="26"/>
    </row>
    <row r="38" spans="1:69" hidden="1" x14ac:dyDescent="0.25">
      <c r="B38" s="8" t="s">
        <v>1538</v>
      </c>
      <c r="C38" s="159" t="s">
        <v>354</v>
      </c>
      <c r="D38" s="597"/>
      <c r="E38" s="1204"/>
      <c r="F38" s="1204"/>
      <c r="G38" s="1970"/>
      <c r="H38" s="1662"/>
      <c r="I38" s="1662">
        <f t="shared" si="36"/>
        <v>0</v>
      </c>
      <c r="J38" s="1204"/>
      <c r="K38" s="1970"/>
      <c r="L38" s="200"/>
      <c r="M38" s="2394">
        <f t="shared" si="37"/>
        <v>0</v>
      </c>
      <c r="N38" s="1204"/>
      <c r="O38" s="1970"/>
      <c r="P38" s="1204"/>
      <c r="Q38" s="1662">
        <f t="shared" si="38"/>
        <v>0</v>
      </c>
      <c r="R38" s="1204"/>
      <c r="S38" s="1970"/>
      <c r="T38" s="1204"/>
      <c r="U38" s="1662">
        <f t="shared" si="39"/>
        <v>0</v>
      </c>
      <c r="V38" s="1204"/>
      <c r="W38" s="1970"/>
      <c r="X38" s="200"/>
      <c r="Y38" s="2394">
        <f t="shared" si="9"/>
        <v>0</v>
      </c>
      <c r="Z38" s="1970"/>
      <c r="AA38" s="544">
        <f t="shared" si="10"/>
        <v>0</v>
      </c>
      <c r="AB38" s="1970"/>
      <c r="AC38" s="1283"/>
      <c r="AD38" s="1970"/>
      <c r="AE38" s="2608">
        <f t="shared" si="46"/>
        <v>0</v>
      </c>
      <c r="AF38" s="1970"/>
      <c r="AG38" s="1283"/>
      <c r="AH38" s="1970"/>
      <c r="AI38" s="2399">
        <f t="shared" si="41"/>
        <v>0</v>
      </c>
      <c r="AJ38" s="1970"/>
      <c r="AK38" s="1283"/>
      <c r="AL38" s="1970"/>
      <c r="AM38" s="2394">
        <f t="shared" si="13"/>
        <v>0</v>
      </c>
      <c r="AN38" s="1970"/>
      <c r="AO38" s="2399">
        <f t="shared" si="14"/>
        <v>0</v>
      </c>
      <c r="AP38" s="1970"/>
      <c r="AQ38" s="1283"/>
      <c r="AR38" s="1970"/>
      <c r="AS38" s="2399">
        <f t="shared" si="42"/>
        <v>0</v>
      </c>
      <c r="AT38" s="1970"/>
      <c r="AU38" s="1283"/>
      <c r="AV38" s="1970"/>
      <c r="AW38" s="6170">
        <f t="shared" si="43"/>
        <v>0</v>
      </c>
      <c r="AX38" s="1970"/>
      <c r="AY38" s="1283"/>
      <c r="AZ38" s="1970"/>
      <c r="BA38" s="2394">
        <f t="shared" si="18"/>
        <v>0</v>
      </c>
      <c r="BB38" s="1970"/>
      <c r="BC38" s="544">
        <f t="shared" si="19"/>
        <v>0</v>
      </c>
      <c r="BD38" s="1970"/>
      <c r="BE38" s="376">
        <f t="shared" si="44"/>
        <v>0</v>
      </c>
      <c r="BF38" s="26"/>
      <c r="BG38" s="26"/>
      <c r="BP38" s="26"/>
      <c r="BQ38" s="26"/>
    </row>
    <row r="39" spans="1:69" hidden="1" x14ac:dyDescent="0.25">
      <c r="B39" s="8" t="s">
        <v>1721</v>
      </c>
      <c r="C39" s="159" t="s">
        <v>354</v>
      </c>
      <c r="D39" s="597"/>
      <c r="E39" s="1204"/>
      <c r="F39" s="1204"/>
      <c r="G39" s="1970"/>
      <c r="H39" s="1662"/>
      <c r="I39" s="1662">
        <f t="shared" si="36"/>
        <v>0</v>
      </c>
      <c r="J39" s="1204"/>
      <c r="K39" s="1970"/>
      <c r="L39" s="200"/>
      <c r="M39" s="2394">
        <f t="shared" si="37"/>
        <v>0</v>
      </c>
      <c r="N39" s="1204"/>
      <c r="O39" s="1970"/>
      <c r="P39" s="1204"/>
      <c r="Q39" s="1662">
        <f t="shared" si="38"/>
        <v>0</v>
      </c>
      <c r="R39" s="1204"/>
      <c r="S39" s="1970"/>
      <c r="T39" s="1204"/>
      <c r="U39" s="1662">
        <f t="shared" si="39"/>
        <v>0</v>
      </c>
      <c r="V39" s="1204"/>
      <c r="W39" s="1970"/>
      <c r="X39" s="200"/>
      <c r="Y39" s="2394">
        <f t="shared" si="9"/>
        <v>0</v>
      </c>
      <c r="Z39" s="1970"/>
      <c r="AA39" s="544">
        <f t="shared" si="10"/>
        <v>0</v>
      </c>
      <c r="AB39" s="1970"/>
      <c r="AC39" s="1283"/>
      <c r="AD39" s="1970"/>
      <c r="AE39" s="2608">
        <f t="shared" si="46"/>
        <v>0</v>
      </c>
      <c r="AF39" s="1970"/>
      <c r="AG39" s="1283"/>
      <c r="AH39" s="1970"/>
      <c r="AI39" s="2399">
        <f t="shared" si="41"/>
        <v>0</v>
      </c>
      <c r="AJ39" s="1970"/>
      <c r="AK39" s="1283"/>
      <c r="AL39" s="1970"/>
      <c r="AM39" s="2394">
        <f t="shared" si="13"/>
        <v>0</v>
      </c>
      <c r="AN39" s="1970"/>
      <c r="AO39" s="2399">
        <f t="shared" si="14"/>
        <v>0</v>
      </c>
      <c r="AP39" s="1970"/>
      <c r="AQ39" s="1283"/>
      <c r="AR39" s="1970"/>
      <c r="AS39" s="2399">
        <f t="shared" si="42"/>
        <v>0</v>
      </c>
      <c r="AT39" s="1970"/>
      <c r="AU39" s="1283">
        <v>63.75</v>
      </c>
      <c r="AV39" s="1970"/>
      <c r="AW39" s="6170">
        <f t="shared" si="43"/>
        <v>63.75</v>
      </c>
      <c r="AX39" s="1970"/>
      <c r="AY39" s="1283">
        <v>30.16</v>
      </c>
      <c r="AZ39" s="1970"/>
      <c r="BA39" s="2394">
        <f t="shared" si="18"/>
        <v>93.91</v>
      </c>
      <c r="BB39" s="1970"/>
      <c r="BC39" s="544">
        <f t="shared" si="19"/>
        <v>93.91</v>
      </c>
      <c r="BD39" s="1970"/>
      <c r="BE39" s="376">
        <f t="shared" si="44"/>
        <v>93.91</v>
      </c>
      <c r="BF39" s="26"/>
      <c r="BG39" s="26"/>
      <c r="BP39" s="26"/>
      <c r="BQ39" s="26"/>
    </row>
    <row r="40" spans="1:69" hidden="1" x14ac:dyDescent="0.25">
      <c r="B40" s="8" t="s">
        <v>1442</v>
      </c>
      <c r="C40" s="159" t="s">
        <v>354</v>
      </c>
      <c r="D40" s="597"/>
      <c r="E40" s="1204"/>
      <c r="F40" s="1204"/>
      <c r="G40" s="1970"/>
      <c r="H40" s="1662"/>
      <c r="I40" s="1662">
        <f t="shared" si="36"/>
        <v>0</v>
      </c>
      <c r="J40" s="1204"/>
      <c r="K40" s="1970"/>
      <c r="L40" s="200"/>
      <c r="M40" s="2394">
        <f t="shared" si="37"/>
        <v>0</v>
      </c>
      <c r="N40" s="1204"/>
      <c r="O40" s="1970"/>
      <c r="P40" s="1204"/>
      <c r="Q40" s="1662">
        <f t="shared" si="38"/>
        <v>0</v>
      </c>
      <c r="R40" s="1204"/>
      <c r="S40" s="1970"/>
      <c r="T40" s="1204"/>
      <c r="U40" s="1662">
        <f t="shared" si="39"/>
        <v>0</v>
      </c>
      <c r="V40" s="1204"/>
      <c r="W40" s="1970"/>
      <c r="X40" s="200"/>
      <c r="Y40" s="2394">
        <f t="shared" si="9"/>
        <v>0</v>
      </c>
      <c r="Z40" s="1970"/>
      <c r="AA40" s="544">
        <f t="shared" si="10"/>
        <v>0</v>
      </c>
      <c r="AB40" s="1970"/>
      <c r="AC40" s="1283"/>
      <c r="AD40" s="1970"/>
      <c r="AE40" s="2608">
        <f t="shared" si="46"/>
        <v>0</v>
      </c>
      <c r="AF40" s="1970"/>
      <c r="AG40" s="1283"/>
      <c r="AH40" s="1970"/>
      <c r="AI40" s="2399">
        <f t="shared" si="41"/>
        <v>0</v>
      </c>
      <c r="AJ40" s="1970"/>
      <c r="AK40" s="1283"/>
      <c r="AL40" s="1970"/>
      <c r="AM40" s="2394">
        <f t="shared" si="13"/>
        <v>0</v>
      </c>
      <c r="AN40" s="1970"/>
      <c r="AO40" s="2399">
        <f t="shared" si="14"/>
        <v>0</v>
      </c>
      <c r="AP40" s="1970"/>
      <c r="AQ40" s="1283"/>
      <c r="AR40" s="1970"/>
      <c r="AS40" s="2399">
        <f t="shared" si="42"/>
        <v>0</v>
      </c>
      <c r="AT40" s="1970"/>
      <c r="AU40" s="1283"/>
      <c r="AV40" s="1970"/>
      <c r="AW40" s="6170">
        <f t="shared" si="43"/>
        <v>0</v>
      </c>
      <c r="AX40" s="1970"/>
      <c r="AY40" s="1283"/>
      <c r="AZ40" s="1970"/>
      <c r="BA40" s="2394">
        <f t="shared" si="18"/>
        <v>0</v>
      </c>
      <c r="BB40" s="1970"/>
      <c r="BC40" s="544">
        <f t="shared" si="19"/>
        <v>0</v>
      </c>
      <c r="BD40" s="1970"/>
      <c r="BE40" s="376">
        <f t="shared" si="44"/>
        <v>0</v>
      </c>
      <c r="BF40" s="26"/>
      <c r="BG40" s="26"/>
      <c r="BP40" s="26"/>
      <c r="BQ40" s="26"/>
    </row>
    <row r="41" spans="1:69" hidden="1" x14ac:dyDescent="0.25">
      <c r="B41" s="8" t="s">
        <v>944</v>
      </c>
      <c r="C41" s="159" t="s">
        <v>354</v>
      </c>
      <c r="D41" s="597"/>
      <c r="E41" s="597"/>
      <c r="F41" s="597"/>
      <c r="G41" s="597"/>
      <c r="H41" s="1664"/>
      <c r="I41" s="1662">
        <f t="shared" si="36"/>
        <v>0</v>
      </c>
      <c r="J41" s="597"/>
      <c r="K41" s="597">
        <v>4.8899999999999997</v>
      </c>
      <c r="L41" s="200"/>
      <c r="M41" s="2394">
        <f t="shared" si="37"/>
        <v>4.8899999999999997</v>
      </c>
      <c r="N41" s="597"/>
      <c r="O41" s="597"/>
      <c r="P41" s="597"/>
      <c r="Q41" s="1662">
        <f t="shared" si="38"/>
        <v>4.8899999999999997</v>
      </c>
      <c r="R41" s="597"/>
      <c r="S41" s="597"/>
      <c r="T41" s="597"/>
      <c r="U41" s="1662">
        <f t="shared" si="39"/>
        <v>4.8899999999999997</v>
      </c>
      <c r="V41" s="597"/>
      <c r="W41" s="597"/>
      <c r="X41" s="200"/>
      <c r="Y41" s="2394">
        <f t="shared" si="9"/>
        <v>0</v>
      </c>
      <c r="Z41" s="1970"/>
      <c r="AA41" s="522">
        <f t="shared" si="10"/>
        <v>4.8899999999999997</v>
      </c>
      <c r="AB41" s="597"/>
      <c r="AC41" s="5472"/>
      <c r="AD41" s="597"/>
      <c r="AE41" s="2608">
        <f t="shared" si="46"/>
        <v>4.8899999999999997</v>
      </c>
      <c r="AF41" s="597"/>
      <c r="AG41" s="5472"/>
      <c r="AH41" s="597"/>
      <c r="AI41" s="2608">
        <f t="shared" si="41"/>
        <v>4.8899999999999997</v>
      </c>
      <c r="AJ41" s="597"/>
      <c r="AK41" s="5472"/>
      <c r="AL41" s="597"/>
      <c r="AM41" s="2394">
        <f t="shared" si="13"/>
        <v>0</v>
      </c>
      <c r="AN41" s="597"/>
      <c r="AO41" s="2608">
        <f t="shared" si="14"/>
        <v>4.8899999999999997</v>
      </c>
      <c r="AP41" s="597"/>
      <c r="AQ41" s="5472"/>
      <c r="AR41" s="597"/>
      <c r="AS41" s="2608">
        <f t="shared" si="42"/>
        <v>4.8899999999999997</v>
      </c>
      <c r="AT41" s="597"/>
      <c r="AU41" s="5472"/>
      <c r="AV41" s="597"/>
      <c r="AW41" s="2608">
        <f t="shared" si="43"/>
        <v>4.8899999999999997</v>
      </c>
      <c r="AX41" s="597"/>
      <c r="AY41" s="5472"/>
      <c r="AZ41" s="597"/>
      <c r="BA41" s="2394">
        <f t="shared" si="18"/>
        <v>0</v>
      </c>
      <c r="BB41" s="1970"/>
      <c r="BC41" s="522">
        <f t="shared" si="19"/>
        <v>0</v>
      </c>
      <c r="BD41" s="597"/>
      <c r="BE41" s="256">
        <f t="shared" si="44"/>
        <v>4.8899999999999997</v>
      </c>
      <c r="BF41" s="26"/>
      <c r="BG41" s="26"/>
      <c r="BP41" s="26"/>
      <c r="BQ41" s="26"/>
    </row>
    <row r="42" spans="1:69" hidden="1" x14ac:dyDescent="0.25">
      <c r="B42" s="8" t="s">
        <v>1539</v>
      </c>
      <c r="C42" s="159" t="s">
        <v>354</v>
      </c>
      <c r="D42" s="597"/>
      <c r="E42" s="597"/>
      <c r="F42" s="597"/>
      <c r="G42" s="597"/>
      <c r="H42" s="1664"/>
      <c r="I42" s="1662">
        <f t="shared" si="36"/>
        <v>0</v>
      </c>
      <c r="J42" s="597"/>
      <c r="K42" s="597"/>
      <c r="L42" s="200"/>
      <c r="M42" s="2394">
        <f t="shared" si="37"/>
        <v>0</v>
      </c>
      <c r="N42" s="597"/>
      <c r="O42" s="597"/>
      <c r="P42" s="597"/>
      <c r="Q42" s="1662">
        <f t="shared" si="38"/>
        <v>0</v>
      </c>
      <c r="R42" s="597"/>
      <c r="S42" s="597"/>
      <c r="T42" s="597"/>
      <c r="U42" s="1662">
        <f t="shared" si="39"/>
        <v>0</v>
      </c>
      <c r="V42" s="597"/>
      <c r="W42" s="597"/>
      <c r="X42" s="200"/>
      <c r="Y42" s="2394">
        <f t="shared" si="9"/>
        <v>0</v>
      </c>
      <c r="Z42" s="1970"/>
      <c r="AA42" s="522">
        <f t="shared" si="10"/>
        <v>0</v>
      </c>
      <c r="AB42" s="597"/>
      <c r="AC42" s="5472"/>
      <c r="AD42" s="597"/>
      <c r="AE42" s="2608">
        <f t="shared" si="40"/>
        <v>0</v>
      </c>
      <c r="AF42" s="597"/>
      <c r="AG42" s="5472"/>
      <c r="AH42" s="597"/>
      <c r="AI42" s="2608">
        <f t="shared" si="41"/>
        <v>0</v>
      </c>
      <c r="AJ42" s="597"/>
      <c r="AK42" s="5472"/>
      <c r="AL42" s="597"/>
      <c r="AM42" s="2394">
        <f t="shared" si="13"/>
        <v>0</v>
      </c>
      <c r="AN42" s="597"/>
      <c r="AO42" s="2608">
        <f t="shared" si="14"/>
        <v>0</v>
      </c>
      <c r="AP42" s="597"/>
      <c r="AQ42" s="5472"/>
      <c r="AR42" s="597"/>
      <c r="AS42" s="2608">
        <f t="shared" si="42"/>
        <v>0</v>
      </c>
      <c r="AT42" s="597"/>
      <c r="AU42" s="5472"/>
      <c r="AV42" s="597"/>
      <c r="AW42" s="2608">
        <f t="shared" si="43"/>
        <v>0</v>
      </c>
      <c r="AX42" s="597"/>
      <c r="AY42" s="5472"/>
      <c r="AZ42" s="597"/>
      <c r="BA42" s="2394">
        <f t="shared" si="18"/>
        <v>0</v>
      </c>
      <c r="BB42" s="1970"/>
      <c r="BC42" s="522">
        <f t="shared" si="19"/>
        <v>0</v>
      </c>
      <c r="BD42" s="597"/>
      <c r="BE42" s="256">
        <f t="shared" si="44"/>
        <v>0</v>
      </c>
      <c r="BF42" s="26"/>
      <c r="BG42" s="26"/>
      <c r="BP42" s="26"/>
      <c r="BQ42" s="26"/>
    </row>
    <row r="43" spans="1:69" hidden="1" x14ac:dyDescent="0.25">
      <c r="A43" s="1792"/>
      <c r="B43" s="8" t="s">
        <v>1575</v>
      </c>
      <c r="C43" s="159" t="s">
        <v>354</v>
      </c>
      <c r="D43" s="597"/>
      <c r="E43" s="597"/>
      <c r="F43" s="597"/>
      <c r="G43" s="597"/>
      <c r="H43" s="1664"/>
      <c r="I43" s="1662">
        <f t="shared" si="36"/>
        <v>0</v>
      </c>
      <c r="J43" s="597"/>
      <c r="K43" s="597"/>
      <c r="L43" s="200"/>
      <c r="M43" s="2394">
        <f t="shared" si="37"/>
        <v>0</v>
      </c>
      <c r="N43" s="597"/>
      <c r="O43" s="597"/>
      <c r="P43" s="597"/>
      <c r="Q43" s="1662">
        <f t="shared" si="38"/>
        <v>0</v>
      </c>
      <c r="R43" s="597"/>
      <c r="S43" s="597"/>
      <c r="T43" s="597"/>
      <c r="U43" s="1662">
        <f t="shared" si="39"/>
        <v>0</v>
      </c>
      <c r="V43" s="597"/>
      <c r="W43" s="597"/>
      <c r="X43" s="200"/>
      <c r="Y43" s="2394">
        <f t="shared" si="9"/>
        <v>0</v>
      </c>
      <c r="Z43" s="1970"/>
      <c r="AA43" s="522">
        <f t="shared" si="10"/>
        <v>0</v>
      </c>
      <c r="AB43" s="597"/>
      <c r="AC43" s="5472"/>
      <c r="AD43" s="597"/>
      <c r="AE43" s="2608">
        <f t="shared" si="40"/>
        <v>0</v>
      </c>
      <c r="AF43" s="597"/>
      <c r="AG43" s="5472"/>
      <c r="AH43" s="597"/>
      <c r="AI43" s="2608">
        <f t="shared" si="41"/>
        <v>0</v>
      </c>
      <c r="AJ43" s="597"/>
      <c r="AK43" s="5472"/>
      <c r="AL43" s="597"/>
      <c r="AM43" s="2394">
        <f t="shared" si="13"/>
        <v>0</v>
      </c>
      <c r="AN43" s="597"/>
      <c r="AO43" s="2608">
        <f t="shared" si="14"/>
        <v>0</v>
      </c>
      <c r="AP43" s="597"/>
      <c r="AQ43" s="5472"/>
      <c r="AR43" s="597"/>
      <c r="AS43" s="2608">
        <f t="shared" si="42"/>
        <v>0</v>
      </c>
      <c r="AT43" s="597"/>
      <c r="AU43" s="5472"/>
      <c r="AV43" s="597"/>
      <c r="AW43" s="2608">
        <f t="shared" si="43"/>
        <v>0</v>
      </c>
      <c r="AX43" s="597"/>
      <c r="AY43" s="5472"/>
      <c r="AZ43" s="597"/>
      <c r="BA43" s="2394">
        <f t="shared" si="18"/>
        <v>0</v>
      </c>
      <c r="BB43" s="1970"/>
      <c r="BC43" s="522">
        <f t="shared" si="19"/>
        <v>0</v>
      </c>
      <c r="BD43" s="597"/>
      <c r="BE43" s="256">
        <f t="shared" si="44"/>
        <v>0</v>
      </c>
      <c r="BF43" s="26"/>
      <c r="BG43" s="26"/>
      <c r="BP43" s="26"/>
      <c r="BQ43" s="26"/>
    </row>
    <row r="44" spans="1:69" s="2868" customFormat="1" hidden="1" x14ac:dyDescent="0.25">
      <c r="B44" s="8" t="s">
        <v>1721</v>
      </c>
      <c r="C44" s="2878" t="s">
        <v>354</v>
      </c>
      <c r="D44" s="2879"/>
      <c r="E44" s="2879"/>
      <c r="F44" s="2879"/>
      <c r="G44" s="2879"/>
      <c r="H44" s="2884"/>
      <c r="I44" s="1662">
        <f t="shared" si="36"/>
        <v>0</v>
      </c>
      <c r="J44" s="2879"/>
      <c r="K44" s="2879"/>
      <c r="L44" s="2881"/>
      <c r="M44" s="2394">
        <f t="shared" si="37"/>
        <v>0</v>
      </c>
      <c r="N44" s="2879"/>
      <c r="O44" s="2879"/>
      <c r="P44" s="2879"/>
      <c r="Q44" s="1662">
        <f t="shared" si="38"/>
        <v>0</v>
      </c>
      <c r="R44" s="2879"/>
      <c r="S44" s="2879"/>
      <c r="T44" s="2879"/>
      <c r="U44" s="1662">
        <f t="shared" si="39"/>
        <v>0</v>
      </c>
      <c r="V44" s="2879"/>
      <c r="W44" s="2879"/>
      <c r="X44" s="2881"/>
      <c r="Y44" s="2882">
        <f t="shared" si="9"/>
        <v>0</v>
      </c>
      <c r="Z44" s="2860"/>
      <c r="AA44" s="522">
        <f t="shared" si="10"/>
        <v>0</v>
      </c>
      <c r="AB44" s="2879"/>
      <c r="AC44" s="5473"/>
      <c r="AD44" s="2879"/>
      <c r="AE44" s="2885"/>
      <c r="AF44" s="2879"/>
      <c r="AG44" s="5473"/>
      <c r="AH44" s="2879"/>
      <c r="AI44" s="2885"/>
      <c r="AJ44" s="2879"/>
      <c r="AK44" s="5473"/>
      <c r="AL44" s="2879"/>
      <c r="AM44" s="2882">
        <f t="shared" si="13"/>
        <v>0</v>
      </c>
      <c r="AN44" s="2879"/>
      <c r="AO44" s="2885"/>
      <c r="AP44" s="2879"/>
      <c r="AQ44" s="5473"/>
      <c r="AR44" s="2879"/>
      <c r="AS44" s="2608">
        <f t="shared" si="42"/>
        <v>0</v>
      </c>
      <c r="AT44" s="2879"/>
      <c r="AU44" s="5473"/>
      <c r="AV44" s="2879"/>
      <c r="AW44" s="2608">
        <f t="shared" si="43"/>
        <v>0</v>
      </c>
      <c r="AX44" s="2879"/>
      <c r="AY44" s="5473"/>
      <c r="AZ44" s="2879"/>
      <c r="BA44" s="2882">
        <f t="shared" si="18"/>
        <v>0</v>
      </c>
      <c r="BB44" s="2860"/>
      <c r="BC44" s="522">
        <f t="shared" si="19"/>
        <v>0</v>
      </c>
      <c r="BD44" s="2879"/>
      <c r="BE44" s="256">
        <f t="shared" si="44"/>
        <v>0</v>
      </c>
      <c r="BF44" s="26"/>
      <c r="BG44" s="26"/>
      <c r="BP44" s="26"/>
      <c r="BQ44" s="26"/>
    </row>
    <row r="45" spans="1:69" hidden="1" x14ac:dyDescent="0.25">
      <c r="A45" s="1792"/>
      <c r="B45" s="8" t="s">
        <v>1576</v>
      </c>
      <c r="C45" s="159" t="s">
        <v>354</v>
      </c>
      <c r="D45" s="597"/>
      <c r="E45" s="597"/>
      <c r="F45" s="597"/>
      <c r="G45" s="597"/>
      <c r="H45" s="1664"/>
      <c r="I45" s="1662">
        <f t="shared" si="36"/>
        <v>0</v>
      </c>
      <c r="J45" s="597"/>
      <c r="K45" s="597"/>
      <c r="L45" s="200"/>
      <c r="M45" s="2394">
        <f t="shared" si="37"/>
        <v>0</v>
      </c>
      <c r="N45" s="597"/>
      <c r="O45" s="597"/>
      <c r="P45" s="597"/>
      <c r="Q45" s="1662">
        <f t="shared" si="38"/>
        <v>0</v>
      </c>
      <c r="R45" s="597"/>
      <c r="S45" s="597"/>
      <c r="T45" s="597"/>
      <c r="U45" s="1662">
        <f t="shared" si="39"/>
        <v>0</v>
      </c>
      <c r="V45" s="597"/>
      <c r="W45" s="597"/>
      <c r="X45" s="200"/>
      <c r="Y45" s="2394">
        <f t="shared" si="9"/>
        <v>0</v>
      </c>
      <c r="Z45" s="1970"/>
      <c r="AA45" s="522">
        <f t="shared" si="10"/>
        <v>0</v>
      </c>
      <c r="AB45" s="597"/>
      <c r="AC45" s="5472"/>
      <c r="AD45" s="597"/>
      <c r="AE45" s="2608">
        <f t="shared" si="40"/>
        <v>0</v>
      </c>
      <c r="AF45" s="597"/>
      <c r="AG45" s="5472"/>
      <c r="AH45" s="597"/>
      <c r="AI45" s="2608">
        <f t="shared" si="41"/>
        <v>0</v>
      </c>
      <c r="AJ45" s="597"/>
      <c r="AK45" s="5472"/>
      <c r="AL45" s="597"/>
      <c r="AM45" s="2394">
        <f t="shared" si="13"/>
        <v>0</v>
      </c>
      <c r="AN45" s="597"/>
      <c r="AO45" s="2608">
        <f t="shared" si="14"/>
        <v>0</v>
      </c>
      <c r="AP45" s="597"/>
      <c r="AQ45" s="5472"/>
      <c r="AR45" s="597"/>
      <c r="AS45" s="2608">
        <f t="shared" si="42"/>
        <v>0</v>
      </c>
      <c r="AT45" s="597"/>
      <c r="AU45" s="5472"/>
      <c r="AV45" s="597"/>
      <c r="AW45" s="2608">
        <f t="shared" si="43"/>
        <v>0</v>
      </c>
      <c r="AX45" s="597"/>
      <c r="AY45" s="5472"/>
      <c r="AZ45" s="597"/>
      <c r="BA45" s="2394">
        <f t="shared" si="18"/>
        <v>0</v>
      </c>
      <c r="BB45" s="1970"/>
      <c r="BC45" s="522">
        <f t="shared" si="19"/>
        <v>0</v>
      </c>
      <c r="BD45" s="597"/>
      <c r="BE45" s="256">
        <f t="shared" si="44"/>
        <v>0</v>
      </c>
      <c r="BF45" s="26"/>
      <c r="BG45" s="26"/>
      <c r="BP45" s="26"/>
      <c r="BQ45" s="26"/>
    </row>
    <row r="46" spans="1:69" hidden="1" x14ac:dyDescent="0.25">
      <c r="A46" s="1792"/>
      <c r="B46" s="8" t="s">
        <v>1574</v>
      </c>
      <c r="C46" s="159" t="s">
        <v>354</v>
      </c>
      <c r="D46" s="597"/>
      <c r="E46" s="597"/>
      <c r="F46" s="597"/>
      <c r="G46" s="597"/>
      <c r="H46" s="1664"/>
      <c r="I46" s="1662">
        <f t="shared" si="36"/>
        <v>0</v>
      </c>
      <c r="J46" s="597"/>
      <c r="K46" s="597"/>
      <c r="L46" s="200"/>
      <c r="M46" s="2394">
        <f t="shared" si="37"/>
        <v>0</v>
      </c>
      <c r="N46" s="597"/>
      <c r="O46" s="597"/>
      <c r="P46" s="597"/>
      <c r="Q46" s="1662">
        <f t="shared" si="38"/>
        <v>0</v>
      </c>
      <c r="R46" s="597"/>
      <c r="S46" s="597"/>
      <c r="T46" s="597"/>
      <c r="U46" s="1662">
        <f t="shared" si="39"/>
        <v>0</v>
      </c>
      <c r="V46" s="597"/>
      <c r="W46" s="597"/>
      <c r="X46" s="200"/>
      <c r="Y46" s="2394">
        <f t="shared" si="9"/>
        <v>0</v>
      </c>
      <c r="Z46" s="1970"/>
      <c r="AA46" s="522">
        <f t="shared" si="10"/>
        <v>0</v>
      </c>
      <c r="AB46" s="597"/>
      <c r="AC46" s="5472"/>
      <c r="AD46" s="597"/>
      <c r="AE46" s="2608">
        <f t="shared" si="40"/>
        <v>0</v>
      </c>
      <c r="AF46" s="597"/>
      <c r="AG46" s="5472"/>
      <c r="AH46" s="597"/>
      <c r="AI46" s="2608">
        <f t="shared" si="41"/>
        <v>0</v>
      </c>
      <c r="AJ46" s="597"/>
      <c r="AK46" s="5472"/>
      <c r="AL46" s="597"/>
      <c r="AM46" s="2394">
        <f t="shared" si="13"/>
        <v>0</v>
      </c>
      <c r="AN46" s="597"/>
      <c r="AO46" s="2608">
        <f t="shared" si="14"/>
        <v>0</v>
      </c>
      <c r="AP46" s="597"/>
      <c r="AQ46" s="5472"/>
      <c r="AR46" s="597"/>
      <c r="AS46" s="2608">
        <f t="shared" si="42"/>
        <v>0</v>
      </c>
      <c r="AT46" s="597"/>
      <c r="AU46" s="5472"/>
      <c r="AV46" s="597"/>
      <c r="AW46" s="2608">
        <f t="shared" si="43"/>
        <v>0</v>
      </c>
      <c r="AX46" s="597"/>
      <c r="AY46" s="5472"/>
      <c r="AZ46" s="597"/>
      <c r="BA46" s="2394">
        <f t="shared" si="18"/>
        <v>0</v>
      </c>
      <c r="BB46" s="1970"/>
      <c r="BC46" s="522">
        <f t="shared" si="19"/>
        <v>0</v>
      </c>
      <c r="BD46" s="597"/>
      <c r="BE46" s="256">
        <f t="shared" si="44"/>
        <v>0</v>
      </c>
      <c r="BF46" s="26"/>
      <c r="BG46" s="26"/>
      <c r="BP46" s="26"/>
      <c r="BQ46" s="26"/>
    </row>
    <row r="47" spans="1:69" ht="15.75" hidden="1" customHeight="1" x14ac:dyDescent="0.25">
      <c r="A47" s="149"/>
      <c r="B47" s="8" t="s">
        <v>1392</v>
      </c>
      <c r="C47" s="159" t="s">
        <v>354</v>
      </c>
      <c r="D47" s="597"/>
      <c r="E47" s="1204"/>
      <c r="F47" s="1204"/>
      <c r="G47" s="1970"/>
      <c r="H47" s="1662"/>
      <c r="I47" s="1662">
        <f t="shared" si="36"/>
        <v>0</v>
      </c>
      <c r="J47" s="1204"/>
      <c r="K47" s="1970"/>
      <c r="L47" s="200"/>
      <c r="M47" s="2394">
        <f t="shared" si="37"/>
        <v>0</v>
      </c>
      <c r="N47" s="1204"/>
      <c r="O47" s="1970"/>
      <c r="P47" s="1204"/>
      <c r="Q47" s="1662">
        <f t="shared" si="38"/>
        <v>0</v>
      </c>
      <c r="R47" s="1204"/>
      <c r="S47" s="1970"/>
      <c r="T47" s="1204"/>
      <c r="U47" s="1662">
        <f t="shared" si="39"/>
        <v>0</v>
      </c>
      <c r="V47" s="1204"/>
      <c r="W47" s="1970"/>
      <c r="X47" s="200"/>
      <c r="Y47" s="2394">
        <f t="shared" si="9"/>
        <v>0</v>
      </c>
      <c r="Z47" s="1970"/>
      <c r="AA47" s="544">
        <f t="shared" si="10"/>
        <v>0</v>
      </c>
      <c r="AB47" s="1970"/>
      <c r="AC47" s="1283"/>
      <c r="AD47" s="1970"/>
      <c r="AE47" s="2399">
        <f t="shared" si="40"/>
        <v>0</v>
      </c>
      <c r="AF47" s="1970"/>
      <c r="AG47" s="1283"/>
      <c r="AH47" s="1970"/>
      <c r="AI47" s="2399">
        <f t="shared" si="41"/>
        <v>0</v>
      </c>
      <c r="AJ47" s="1970"/>
      <c r="AK47" s="1283"/>
      <c r="AL47" s="1970"/>
      <c r="AM47" s="2394">
        <f t="shared" si="13"/>
        <v>0</v>
      </c>
      <c r="AN47" s="1970"/>
      <c r="AO47" s="2399">
        <f t="shared" si="14"/>
        <v>0</v>
      </c>
      <c r="AP47" s="1970"/>
      <c r="AQ47" s="1283"/>
      <c r="AR47" s="1970"/>
      <c r="AS47" s="2399">
        <f t="shared" si="42"/>
        <v>0</v>
      </c>
      <c r="AT47" s="1970"/>
      <c r="AU47" s="1283"/>
      <c r="AV47" s="1970"/>
      <c r="AW47" s="6170">
        <f t="shared" si="43"/>
        <v>0</v>
      </c>
      <c r="AX47" s="1970"/>
      <c r="AY47" s="1283"/>
      <c r="AZ47" s="1970"/>
      <c r="BA47" s="2394">
        <f t="shared" si="18"/>
        <v>0</v>
      </c>
      <c r="BB47" s="1970"/>
      <c r="BC47" s="544">
        <f t="shared" si="19"/>
        <v>0</v>
      </c>
      <c r="BD47" s="1970"/>
      <c r="BE47" s="376">
        <f t="shared" si="44"/>
        <v>0</v>
      </c>
      <c r="BF47" s="26"/>
      <c r="BG47" s="26"/>
      <c r="BP47" s="26"/>
      <c r="BQ47" s="26"/>
    </row>
    <row r="48" spans="1:69" x14ac:dyDescent="0.25">
      <c r="A48" s="149"/>
      <c r="B48" s="744" t="s">
        <v>719</v>
      </c>
      <c r="C48" s="205"/>
      <c r="D48" s="1360"/>
      <c r="E48" s="1360">
        <f>+SUM(E49:E52)</f>
        <v>999.31</v>
      </c>
      <c r="F48" s="1360"/>
      <c r="G48" s="1360">
        <f>+SUM(G49:G52)</f>
        <v>106.08</v>
      </c>
      <c r="H48" s="1663"/>
      <c r="I48" s="1663">
        <f t="shared" si="36"/>
        <v>1105.3899999999999</v>
      </c>
      <c r="J48" s="1360"/>
      <c r="K48" s="1360">
        <f>+SUM(K49:K52)</f>
        <v>167.22</v>
      </c>
      <c r="L48" s="1360"/>
      <c r="M48" s="2394">
        <f t="shared" si="37"/>
        <v>1272.6099999999999</v>
      </c>
      <c r="N48" s="1360"/>
      <c r="O48" s="1360">
        <f>+SUM(O49:O52)</f>
        <v>2152.42</v>
      </c>
      <c r="P48" s="1360"/>
      <c r="Q48" s="1663">
        <f t="shared" si="38"/>
        <v>3425.0299999999997</v>
      </c>
      <c r="R48" s="1360"/>
      <c r="S48" s="1360">
        <f>+SUM(S49:S52)</f>
        <v>4035.8599999999997</v>
      </c>
      <c r="T48" s="1360"/>
      <c r="U48" s="1663">
        <f t="shared" si="39"/>
        <v>7460.8899999999994</v>
      </c>
      <c r="V48" s="1360"/>
      <c r="W48" s="1360">
        <f>+SUM(W49:W52)</f>
        <v>595.91</v>
      </c>
      <c r="X48" s="1360"/>
      <c r="Y48" s="2394">
        <f t="shared" si="9"/>
        <v>6784.19</v>
      </c>
      <c r="Z48" s="1360"/>
      <c r="AA48" s="522">
        <f t="shared" si="10"/>
        <v>8056.7999999999993</v>
      </c>
      <c r="AB48" s="1360"/>
      <c r="AC48" s="5466">
        <f>+SUM(AC49:AC52)</f>
        <v>1002.83</v>
      </c>
      <c r="AD48" s="1360"/>
      <c r="AE48" s="1360">
        <f t="shared" si="40"/>
        <v>9059.6299999999992</v>
      </c>
      <c r="AF48" s="1360"/>
      <c r="AG48" s="5466">
        <f>+SUM(AG49:AG52)</f>
        <v>198.57000000000002</v>
      </c>
      <c r="AH48" s="1360"/>
      <c r="AI48" s="1360">
        <f t="shared" si="41"/>
        <v>9258.1999999999989</v>
      </c>
      <c r="AJ48" s="1360"/>
      <c r="AK48" s="5466">
        <f>+SUM(AK49:AK52)</f>
        <v>1114.75</v>
      </c>
      <c r="AL48" s="1360"/>
      <c r="AM48" s="2394">
        <f t="shared" si="13"/>
        <v>2316.15</v>
      </c>
      <c r="AN48" s="1360"/>
      <c r="AO48" s="1360">
        <f t="shared" si="14"/>
        <v>10372.949999999999</v>
      </c>
      <c r="AP48" s="1360"/>
      <c r="AQ48" s="5466">
        <f>+SUM(AQ49:AQ52)</f>
        <v>1017.51</v>
      </c>
      <c r="AR48" s="1360"/>
      <c r="AS48" s="1360">
        <f t="shared" si="42"/>
        <v>11390.46</v>
      </c>
      <c r="AT48" s="1360"/>
      <c r="AU48" s="5466">
        <f>+SUM(AU49:AU52)</f>
        <v>664.93</v>
      </c>
      <c r="AV48" s="1360"/>
      <c r="AW48" s="1360">
        <f t="shared" si="43"/>
        <v>12055.39</v>
      </c>
      <c r="AX48" s="1360"/>
      <c r="AY48" s="5466">
        <f>+SUM(AY49:AY52)</f>
        <v>998.41</v>
      </c>
      <c r="AZ48" s="1360"/>
      <c r="BA48" s="2394">
        <f t="shared" si="18"/>
        <v>2680.85</v>
      </c>
      <c r="BB48" s="1360"/>
      <c r="BC48" s="522">
        <f t="shared" si="19"/>
        <v>4997</v>
      </c>
      <c r="BD48" s="1360"/>
      <c r="BE48" s="1360">
        <f t="shared" si="44"/>
        <v>13053.8</v>
      </c>
      <c r="BF48" s="26"/>
      <c r="BG48" s="26"/>
      <c r="BP48" s="26"/>
      <c r="BQ48" s="26"/>
    </row>
    <row r="49" spans="1:69" x14ac:dyDescent="0.25">
      <c r="B49" s="8" t="s">
        <v>1103</v>
      </c>
      <c r="C49" s="159" t="s">
        <v>354</v>
      </c>
      <c r="D49" s="596"/>
      <c r="E49" s="597"/>
      <c r="F49" s="597"/>
      <c r="G49" s="597"/>
      <c r="H49" s="1664"/>
      <c r="I49" s="1664">
        <f t="shared" si="36"/>
        <v>0</v>
      </c>
      <c r="J49" s="597"/>
      <c r="K49" s="597"/>
      <c r="L49" s="200"/>
      <c r="M49" s="2394">
        <f t="shared" si="37"/>
        <v>0</v>
      </c>
      <c r="N49" s="597"/>
      <c r="O49" s="597">
        <v>553.73</v>
      </c>
      <c r="P49" s="597"/>
      <c r="Q49" s="1664">
        <f t="shared" si="38"/>
        <v>553.73</v>
      </c>
      <c r="R49" s="597"/>
      <c r="S49" s="597">
        <v>2943.31</v>
      </c>
      <c r="T49" s="597"/>
      <c r="U49" s="1664">
        <f t="shared" si="39"/>
        <v>3497.04</v>
      </c>
      <c r="V49" s="597"/>
      <c r="W49" s="597"/>
      <c r="X49" s="200"/>
      <c r="Y49" s="2394">
        <f t="shared" si="9"/>
        <v>3497.04</v>
      </c>
      <c r="Z49" s="597"/>
      <c r="AA49" s="522">
        <f t="shared" si="10"/>
        <v>3497.04</v>
      </c>
      <c r="AB49" s="597"/>
      <c r="AC49" s="5472">
        <v>998.58</v>
      </c>
      <c r="AD49" s="597"/>
      <c r="AE49" s="2608">
        <f t="shared" si="40"/>
        <v>4495.62</v>
      </c>
      <c r="AF49" s="597"/>
      <c r="AG49" s="5472"/>
      <c r="AH49" s="597"/>
      <c r="AI49" s="2608">
        <f t="shared" si="41"/>
        <v>4495.62</v>
      </c>
      <c r="AJ49" s="597"/>
      <c r="AK49" s="5472">
        <v>816.04</v>
      </c>
      <c r="AL49" s="597"/>
      <c r="AM49" s="2394">
        <f t="shared" si="13"/>
        <v>1814.62</v>
      </c>
      <c r="AN49" s="597"/>
      <c r="AO49" s="2608">
        <f t="shared" si="14"/>
        <v>5311.66</v>
      </c>
      <c r="AP49" s="597"/>
      <c r="AQ49" s="5472">
        <v>518.41999999999996</v>
      </c>
      <c r="AR49" s="597"/>
      <c r="AS49" s="2608">
        <f t="shared" si="42"/>
        <v>5830.08</v>
      </c>
      <c r="AT49" s="597"/>
      <c r="AU49" s="5472">
        <v>664.93</v>
      </c>
      <c r="AV49" s="597"/>
      <c r="AW49" s="2608">
        <f t="shared" si="43"/>
        <v>6495.01</v>
      </c>
      <c r="AX49" s="597"/>
      <c r="AY49" s="5472"/>
      <c r="AZ49" s="597"/>
      <c r="BA49" s="2394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4"/>
        <v>6495.01</v>
      </c>
      <c r="BF49" s="26"/>
      <c r="BG49" s="26"/>
      <c r="BP49" s="26"/>
      <c r="BQ49" s="26"/>
    </row>
    <row r="50" spans="1:69" x14ac:dyDescent="0.25">
      <c r="B50" s="8" t="s">
        <v>1443</v>
      </c>
      <c r="C50" s="159" t="s">
        <v>354</v>
      </c>
      <c r="D50" s="596"/>
      <c r="E50" s="597"/>
      <c r="F50" s="597"/>
      <c r="G50" s="597">
        <v>19.7</v>
      </c>
      <c r="H50" s="1664"/>
      <c r="I50" s="1664">
        <f t="shared" si="36"/>
        <v>19.7</v>
      </c>
      <c r="J50" s="597"/>
      <c r="K50" s="597"/>
      <c r="L50" s="200"/>
      <c r="M50" s="2394">
        <f t="shared" si="37"/>
        <v>19.7</v>
      </c>
      <c r="N50" s="597"/>
      <c r="O50" s="597"/>
      <c r="P50" s="597"/>
      <c r="Q50" s="1664">
        <f t="shared" si="38"/>
        <v>19.7</v>
      </c>
      <c r="R50" s="597"/>
      <c r="S50" s="597"/>
      <c r="T50" s="597"/>
      <c r="U50" s="1664">
        <f t="shared" si="39"/>
        <v>19.7</v>
      </c>
      <c r="V50" s="597"/>
      <c r="W50" s="597"/>
      <c r="X50" s="200"/>
      <c r="Y50" s="2394">
        <f t="shared" si="9"/>
        <v>0</v>
      </c>
      <c r="Z50" s="597"/>
      <c r="AA50" s="522">
        <f t="shared" si="10"/>
        <v>19.7</v>
      </c>
      <c r="AB50" s="597"/>
      <c r="AC50" s="5472"/>
      <c r="AD50" s="597"/>
      <c r="AE50" s="2608">
        <f t="shared" si="40"/>
        <v>19.7</v>
      </c>
      <c r="AF50" s="597"/>
      <c r="AG50" s="5472"/>
      <c r="AH50" s="597"/>
      <c r="AI50" s="2608">
        <f t="shared" si="41"/>
        <v>19.7</v>
      </c>
      <c r="AJ50" s="597"/>
      <c r="AK50" s="5472"/>
      <c r="AL50" s="597"/>
      <c r="AM50" s="2394">
        <f t="shared" si="13"/>
        <v>0</v>
      </c>
      <c r="AN50" s="597"/>
      <c r="AO50" s="2608">
        <f t="shared" si="14"/>
        <v>19.7</v>
      </c>
      <c r="AP50" s="597"/>
      <c r="AQ50" s="5472"/>
      <c r="AR50" s="597"/>
      <c r="AS50" s="2608">
        <f t="shared" si="42"/>
        <v>19.7</v>
      </c>
      <c r="AT50" s="597"/>
      <c r="AU50" s="5472"/>
      <c r="AV50" s="597"/>
      <c r="AW50" s="2608">
        <f t="shared" si="43"/>
        <v>19.7</v>
      </c>
      <c r="AX50" s="597"/>
      <c r="AY50" s="5472"/>
      <c r="AZ50" s="597"/>
      <c r="BA50" s="2394">
        <f t="shared" si="18"/>
        <v>0</v>
      </c>
      <c r="BB50" s="597"/>
      <c r="BC50" s="522">
        <f t="shared" si="19"/>
        <v>0</v>
      </c>
      <c r="BD50" s="597"/>
      <c r="BE50" s="256">
        <f t="shared" si="44"/>
        <v>19.7</v>
      </c>
      <c r="BF50" s="26"/>
      <c r="BG50" s="26"/>
      <c r="BP50" s="26"/>
      <c r="BQ50" s="26"/>
    </row>
    <row r="51" spans="1:69" ht="15.75" customHeight="1" x14ac:dyDescent="0.25">
      <c r="B51" s="8" t="s">
        <v>1348</v>
      </c>
      <c r="C51" s="159" t="s">
        <v>354</v>
      </c>
      <c r="D51" s="597"/>
      <c r="E51" s="597"/>
      <c r="F51" s="597"/>
      <c r="G51" s="597">
        <v>86.38</v>
      </c>
      <c r="H51" s="1664"/>
      <c r="I51" s="1664">
        <f t="shared" si="36"/>
        <v>86.38</v>
      </c>
      <c r="J51" s="597"/>
      <c r="K51" s="597"/>
      <c r="L51" s="200"/>
      <c r="M51" s="2394">
        <f t="shared" si="37"/>
        <v>86.38</v>
      </c>
      <c r="N51" s="597"/>
      <c r="O51" s="597"/>
      <c r="P51" s="597"/>
      <c r="Q51" s="1664">
        <f t="shared" si="38"/>
        <v>86.38</v>
      </c>
      <c r="R51" s="597"/>
      <c r="S51" s="597"/>
      <c r="T51" s="597"/>
      <c r="U51" s="1664">
        <f t="shared" si="39"/>
        <v>86.38</v>
      </c>
      <c r="V51" s="597"/>
      <c r="W51" s="597">
        <v>96.15</v>
      </c>
      <c r="X51" s="200"/>
      <c r="Y51" s="2394">
        <f t="shared" si="9"/>
        <v>96.15</v>
      </c>
      <c r="Z51" s="597"/>
      <c r="AA51" s="522">
        <f t="shared" si="10"/>
        <v>182.53</v>
      </c>
      <c r="AB51" s="597"/>
      <c r="AC51" s="5472">
        <v>4.25</v>
      </c>
      <c r="AD51" s="597"/>
      <c r="AE51" s="2608">
        <f t="shared" si="40"/>
        <v>186.78</v>
      </c>
      <c r="AF51" s="597"/>
      <c r="AG51" s="5472"/>
      <c r="AH51" s="597"/>
      <c r="AI51" s="2608">
        <f t="shared" si="41"/>
        <v>186.78</v>
      </c>
      <c r="AJ51" s="597"/>
      <c r="AK51" s="5472"/>
      <c r="AL51" s="597"/>
      <c r="AM51" s="2394">
        <f t="shared" si="13"/>
        <v>4.25</v>
      </c>
      <c r="AN51" s="597"/>
      <c r="AO51" s="2608">
        <f t="shared" si="14"/>
        <v>186.78</v>
      </c>
      <c r="AP51" s="597"/>
      <c r="AQ51" s="5472"/>
      <c r="AR51" s="597"/>
      <c r="AS51" s="2608">
        <f t="shared" si="42"/>
        <v>186.78</v>
      </c>
      <c r="AT51" s="597"/>
      <c r="AU51" s="5472"/>
      <c r="AV51" s="597"/>
      <c r="AW51" s="2608">
        <f t="shared" si="43"/>
        <v>186.78</v>
      </c>
      <c r="AX51" s="597"/>
      <c r="AY51" s="5472"/>
      <c r="AZ51" s="597"/>
      <c r="BA51" s="2394">
        <f t="shared" si="18"/>
        <v>0</v>
      </c>
      <c r="BB51" s="597"/>
      <c r="BC51" s="522">
        <f t="shared" si="19"/>
        <v>4.25</v>
      </c>
      <c r="BD51" s="597"/>
      <c r="BE51" s="256">
        <f t="shared" si="44"/>
        <v>186.78</v>
      </c>
      <c r="BF51" s="26"/>
      <c r="BG51" s="26"/>
      <c r="BP51" s="26"/>
      <c r="BQ51" s="26"/>
    </row>
    <row r="52" spans="1:69" x14ac:dyDescent="0.25">
      <c r="A52" s="149"/>
      <c r="B52" s="8" t="s">
        <v>720</v>
      </c>
      <c r="C52" s="159" t="s">
        <v>354</v>
      </c>
      <c r="D52" s="597"/>
      <c r="E52" s="1970">
        <v>999.31</v>
      </c>
      <c r="F52" s="1204"/>
      <c r="G52" s="1970"/>
      <c r="H52" s="1662"/>
      <c r="I52" s="1662">
        <f t="shared" si="36"/>
        <v>999.31</v>
      </c>
      <c r="J52" s="1204"/>
      <c r="K52" s="1970">
        <v>167.22</v>
      </c>
      <c r="L52" s="200"/>
      <c r="M52" s="2394">
        <f t="shared" si="37"/>
        <v>1166.53</v>
      </c>
      <c r="N52" s="1204"/>
      <c r="O52" s="1970">
        <v>1598.6900000000003</v>
      </c>
      <c r="P52" s="1204"/>
      <c r="Q52" s="1662">
        <f t="shared" si="38"/>
        <v>2765.2200000000003</v>
      </c>
      <c r="R52" s="1204"/>
      <c r="S52" s="1970">
        <v>1092.55</v>
      </c>
      <c r="T52" s="1204"/>
      <c r="U52" s="1662">
        <f t="shared" si="39"/>
        <v>3857.7700000000004</v>
      </c>
      <c r="V52" s="1204"/>
      <c r="W52" s="1970">
        <v>499.76</v>
      </c>
      <c r="X52" s="200"/>
      <c r="Y52" s="2394">
        <f t="shared" si="9"/>
        <v>3191</v>
      </c>
      <c r="Z52" s="1970"/>
      <c r="AA52" s="544">
        <f t="shared" si="10"/>
        <v>4357.53</v>
      </c>
      <c r="AB52" s="1970"/>
      <c r="AC52" s="1283"/>
      <c r="AD52" s="1970"/>
      <c r="AE52" s="2399">
        <f t="shared" si="40"/>
        <v>4357.53</v>
      </c>
      <c r="AF52" s="1970"/>
      <c r="AG52" s="1283">
        <v>198.57000000000002</v>
      </c>
      <c r="AH52" s="1970"/>
      <c r="AI52" s="2399">
        <f t="shared" si="41"/>
        <v>4556.0999999999995</v>
      </c>
      <c r="AJ52" s="1970"/>
      <c r="AK52" s="1283">
        <v>298.70999999999998</v>
      </c>
      <c r="AL52" s="1970"/>
      <c r="AM52" s="2394">
        <f t="shared" si="13"/>
        <v>497.28</v>
      </c>
      <c r="AN52" s="1970"/>
      <c r="AO52" s="2399">
        <f t="shared" si="14"/>
        <v>4854.8099999999995</v>
      </c>
      <c r="AP52" s="1970"/>
      <c r="AQ52" s="1283">
        <v>499.09</v>
      </c>
      <c r="AR52" s="1970"/>
      <c r="AS52" s="2399">
        <f t="shared" si="42"/>
        <v>5353.9</v>
      </c>
      <c r="AT52" s="1970"/>
      <c r="AU52" s="1283"/>
      <c r="AV52" s="1970"/>
      <c r="AW52" s="6170">
        <f t="shared" si="43"/>
        <v>5353.9</v>
      </c>
      <c r="AX52" s="1970"/>
      <c r="AY52" s="1283">
        <v>998.41</v>
      </c>
      <c r="AZ52" s="1970"/>
      <c r="BA52" s="2394">
        <f t="shared" si="18"/>
        <v>1497.5</v>
      </c>
      <c r="BB52" s="1970"/>
      <c r="BC52" s="544">
        <f t="shared" si="19"/>
        <v>1994.78</v>
      </c>
      <c r="BD52" s="1970"/>
      <c r="BE52" s="376">
        <f t="shared" si="44"/>
        <v>6352.3099999999995</v>
      </c>
      <c r="BF52" s="26"/>
      <c r="BG52" s="26"/>
      <c r="BP52" s="26"/>
      <c r="BQ52" s="26"/>
    </row>
    <row r="53" spans="1:69" x14ac:dyDescent="0.25">
      <c r="B53" s="744" t="s">
        <v>721</v>
      </c>
      <c r="C53" s="205"/>
      <c r="D53" s="1360"/>
      <c r="E53" s="1360">
        <f>+SUM(E54:E57)</f>
        <v>44.989999999999995</v>
      </c>
      <c r="F53" s="1360"/>
      <c r="G53" s="1360">
        <f>+SUM(G54:G57)</f>
        <v>0</v>
      </c>
      <c r="H53" s="1663"/>
      <c r="I53" s="1663">
        <f t="shared" si="36"/>
        <v>44.989999999999995</v>
      </c>
      <c r="J53" s="1360"/>
      <c r="K53" s="1360">
        <f>+SUM(K54:K57)</f>
        <v>61.459999999999994</v>
      </c>
      <c r="L53" s="1360"/>
      <c r="M53" s="2394">
        <f t="shared" si="37"/>
        <v>106.44999999999999</v>
      </c>
      <c r="N53" s="1360"/>
      <c r="O53" s="1360">
        <f>+SUM(O54:O57)</f>
        <v>113.46000000000001</v>
      </c>
      <c r="P53" s="1360"/>
      <c r="Q53" s="1663">
        <f t="shared" si="38"/>
        <v>219.91</v>
      </c>
      <c r="R53" s="1360"/>
      <c r="S53" s="1360">
        <f>+SUM(S54:S57)</f>
        <v>49.95</v>
      </c>
      <c r="T53" s="1360"/>
      <c r="U53" s="1663">
        <f t="shared" si="39"/>
        <v>269.86</v>
      </c>
      <c r="V53" s="1360"/>
      <c r="W53" s="1360">
        <f>+SUM(W54:W57)</f>
        <v>40.020000000000003</v>
      </c>
      <c r="X53" s="1360"/>
      <c r="Y53" s="2394">
        <f t="shared" si="9"/>
        <v>203.43000000000004</v>
      </c>
      <c r="Z53" s="1360"/>
      <c r="AA53" s="522">
        <f t="shared" si="10"/>
        <v>309.88</v>
      </c>
      <c r="AB53" s="1360"/>
      <c r="AC53" s="5466">
        <f>+SUM(AC54:AC57)</f>
        <v>62.349999999999994</v>
      </c>
      <c r="AD53" s="1360"/>
      <c r="AE53" s="1360">
        <f t="shared" si="40"/>
        <v>372.23</v>
      </c>
      <c r="AF53" s="1360"/>
      <c r="AG53" s="5466">
        <f>+SUM(AG54:AG57)</f>
        <v>22.6</v>
      </c>
      <c r="AH53" s="1360"/>
      <c r="AI53" s="1360">
        <f t="shared" si="41"/>
        <v>394.83000000000004</v>
      </c>
      <c r="AJ53" s="1360"/>
      <c r="AK53" s="5466">
        <f>+SUM(AK54:AK57)</f>
        <v>24.97</v>
      </c>
      <c r="AL53" s="1360"/>
      <c r="AM53" s="2394">
        <f t="shared" si="13"/>
        <v>109.91999999999999</v>
      </c>
      <c r="AN53" s="1360"/>
      <c r="AO53" s="1360">
        <f t="shared" si="14"/>
        <v>419.80000000000007</v>
      </c>
      <c r="AP53" s="1360"/>
      <c r="AQ53" s="5466">
        <f>+SUM(AQ54:AQ57)</f>
        <v>49.92</v>
      </c>
      <c r="AR53" s="1360"/>
      <c r="AS53" s="1360">
        <f t="shared" si="42"/>
        <v>469.72000000000008</v>
      </c>
      <c r="AT53" s="1360"/>
      <c r="AU53" s="5466">
        <f>+SUM(AU54:AU57)</f>
        <v>76.09</v>
      </c>
      <c r="AV53" s="1360"/>
      <c r="AW53" s="1360">
        <f t="shared" si="43"/>
        <v>545.81000000000006</v>
      </c>
      <c r="AX53" s="1360"/>
      <c r="AY53" s="5466">
        <f>+SUM(AY54:AY57)</f>
        <v>48.89</v>
      </c>
      <c r="AZ53" s="1360"/>
      <c r="BA53" s="2394">
        <f t="shared" si="18"/>
        <v>174.9</v>
      </c>
      <c r="BB53" s="1360"/>
      <c r="BC53" s="522">
        <f t="shared" si="19"/>
        <v>284.82</v>
      </c>
      <c r="BD53" s="1360"/>
      <c r="BE53" s="1360">
        <f t="shared" si="44"/>
        <v>594.70000000000005</v>
      </c>
      <c r="BF53" s="26"/>
      <c r="BG53" s="26"/>
      <c r="BP53" s="26"/>
      <c r="BQ53" s="26"/>
    </row>
    <row r="54" spans="1:69" x14ac:dyDescent="0.25">
      <c r="B54" s="8" t="s">
        <v>914</v>
      </c>
      <c r="C54" s="159" t="s">
        <v>354</v>
      </c>
      <c r="D54" s="597"/>
      <c r="E54" s="1970">
        <v>25</v>
      </c>
      <c r="F54" s="1204"/>
      <c r="G54" s="1970"/>
      <c r="H54" s="1662"/>
      <c r="I54" s="1662">
        <f t="shared" si="36"/>
        <v>25</v>
      </c>
      <c r="J54" s="1204"/>
      <c r="K54" s="1970"/>
      <c r="L54" s="200"/>
      <c r="M54" s="1154">
        <f t="shared" si="37"/>
        <v>25</v>
      </c>
      <c r="N54" s="1204"/>
      <c r="O54" s="1970">
        <v>25</v>
      </c>
      <c r="P54" s="1204"/>
      <c r="Q54" s="1662">
        <f t="shared" si="38"/>
        <v>50</v>
      </c>
      <c r="R54" s="1204"/>
      <c r="S54" s="1970">
        <v>24.99</v>
      </c>
      <c r="T54" s="1204"/>
      <c r="U54" s="1662">
        <f t="shared" si="39"/>
        <v>74.989999999999995</v>
      </c>
      <c r="V54" s="1204"/>
      <c r="W54" s="1970"/>
      <c r="X54" s="200"/>
      <c r="Y54" s="1154">
        <f t="shared" si="9"/>
        <v>49.989999999999995</v>
      </c>
      <c r="Z54" s="1970"/>
      <c r="AA54" s="544">
        <f t="shared" si="10"/>
        <v>74.989999999999995</v>
      </c>
      <c r="AB54" s="1970"/>
      <c r="AC54" s="1283">
        <v>24.99</v>
      </c>
      <c r="AD54" s="1970"/>
      <c r="AE54" s="2399">
        <f t="shared" si="40"/>
        <v>99.97999999999999</v>
      </c>
      <c r="AF54" s="1970"/>
      <c r="AG54" s="1283"/>
      <c r="AH54" s="1970"/>
      <c r="AI54" s="2399">
        <f t="shared" si="41"/>
        <v>99.97999999999999</v>
      </c>
      <c r="AJ54" s="1970"/>
      <c r="AK54" s="1283"/>
      <c r="AL54" s="1970"/>
      <c r="AM54" s="1154">
        <f t="shared" si="13"/>
        <v>24.99</v>
      </c>
      <c r="AN54" s="1970"/>
      <c r="AO54" s="2399">
        <f t="shared" si="14"/>
        <v>99.97999999999999</v>
      </c>
      <c r="AP54" s="1970"/>
      <c r="AQ54" s="1283">
        <v>24.95</v>
      </c>
      <c r="AR54" s="1970"/>
      <c r="AS54" s="2399">
        <f t="shared" si="42"/>
        <v>124.92999999999999</v>
      </c>
      <c r="AT54" s="1970"/>
      <c r="AU54" s="1283"/>
      <c r="AV54" s="1970"/>
      <c r="AW54" s="6170">
        <f t="shared" si="43"/>
        <v>124.92999999999999</v>
      </c>
      <c r="AX54" s="1970"/>
      <c r="AY54" s="1283">
        <v>24.98</v>
      </c>
      <c r="AZ54" s="1970"/>
      <c r="BA54" s="1154">
        <f t="shared" si="18"/>
        <v>49.93</v>
      </c>
      <c r="BB54" s="1970"/>
      <c r="BC54" s="544">
        <f t="shared" si="19"/>
        <v>74.92</v>
      </c>
      <c r="BD54" s="1970"/>
      <c r="BE54" s="376">
        <f t="shared" si="44"/>
        <v>149.91</v>
      </c>
      <c r="BF54" s="26"/>
      <c r="BG54" s="26"/>
      <c r="BP54" s="26"/>
      <c r="BQ54" s="26"/>
    </row>
    <row r="55" spans="1:69" x14ac:dyDescent="0.25">
      <c r="B55" s="8" t="s">
        <v>1270</v>
      </c>
      <c r="C55" s="159" t="s">
        <v>354</v>
      </c>
      <c r="D55" s="597"/>
      <c r="E55" s="1970">
        <v>19.989999999999998</v>
      </c>
      <c r="F55" s="1204"/>
      <c r="G55" s="1970"/>
      <c r="H55" s="1662"/>
      <c r="I55" s="1662">
        <f t="shared" si="36"/>
        <v>19.989999999999998</v>
      </c>
      <c r="J55" s="1204"/>
      <c r="K55" s="1970">
        <v>24.88</v>
      </c>
      <c r="L55" s="200"/>
      <c r="M55" s="1154">
        <f t="shared" si="37"/>
        <v>44.87</v>
      </c>
      <c r="N55" s="1204"/>
      <c r="O55" s="1970"/>
      <c r="P55" s="1204"/>
      <c r="Q55" s="1662">
        <f t="shared" si="38"/>
        <v>44.87</v>
      </c>
      <c r="R55" s="1204"/>
      <c r="S55" s="1970"/>
      <c r="T55" s="1204"/>
      <c r="U55" s="1662">
        <f t="shared" si="39"/>
        <v>44.87</v>
      </c>
      <c r="V55" s="1204"/>
      <c r="W55" s="1970"/>
      <c r="X55" s="200"/>
      <c r="Y55" s="1154">
        <f t="shared" si="9"/>
        <v>0</v>
      </c>
      <c r="Z55" s="1970"/>
      <c r="AA55" s="544">
        <f t="shared" si="10"/>
        <v>44.87</v>
      </c>
      <c r="AB55" s="1970"/>
      <c r="AC55" s="1283"/>
      <c r="AD55" s="1970"/>
      <c r="AE55" s="2399">
        <f t="shared" si="40"/>
        <v>44.87</v>
      </c>
      <c r="AF55" s="1970"/>
      <c r="AG55" s="1283"/>
      <c r="AH55" s="1970"/>
      <c r="AI55" s="2399">
        <f t="shared" si="41"/>
        <v>44.87</v>
      </c>
      <c r="AJ55" s="1970"/>
      <c r="AK55" s="1283">
        <v>24.97</v>
      </c>
      <c r="AL55" s="1970"/>
      <c r="AM55" s="1154">
        <f t="shared" si="13"/>
        <v>24.97</v>
      </c>
      <c r="AN55" s="1970"/>
      <c r="AO55" s="2399">
        <f t="shared" si="14"/>
        <v>69.84</v>
      </c>
      <c r="AP55" s="1970"/>
      <c r="AQ55" s="1283"/>
      <c r="AR55" s="1970"/>
      <c r="AS55" s="2399">
        <f t="shared" si="42"/>
        <v>69.84</v>
      </c>
      <c r="AT55" s="1970"/>
      <c r="AU55" s="1283"/>
      <c r="AV55" s="1970"/>
      <c r="AW55" s="6170">
        <f t="shared" si="43"/>
        <v>69.84</v>
      </c>
      <c r="AX55" s="1970"/>
      <c r="AY55" s="1283"/>
      <c r="AZ55" s="1970"/>
      <c r="BA55" s="1154">
        <f t="shared" si="18"/>
        <v>0</v>
      </c>
      <c r="BB55" s="1970"/>
      <c r="BC55" s="544">
        <f t="shared" si="19"/>
        <v>24.97</v>
      </c>
      <c r="BD55" s="1970"/>
      <c r="BE55" s="376">
        <f t="shared" si="44"/>
        <v>69.84</v>
      </c>
      <c r="BF55" s="26"/>
      <c r="BG55" s="26"/>
      <c r="BP55" s="26"/>
      <c r="BQ55" s="26"/>
    </row>
    <row r="56" spans="1:69" hidden="1" x14ac:dyDescent="0.25">
      <c r="A56" s="1792"/>
      <c r="B56" s="8" t="s">
        <v>1577</v>
      </c>
      <c r="C56" s="159" t="s">
        <v>354</v>
      </c>
      <c r="D56" s="597"/>
      <c r="E56" s="1791"/>
      <c r="F56" s="1791"/>
      <c r="G56" s="1970"/>
      <c r="H56" s="1662"/>
      <c r="I56" s="1662">
        <f t="shared" si="36"/>
        <v>0</v>
      </c>
      <c r="J56" s="1791"/>
      <c r="K56" s="1970"/>
      <c r="L56" s="200"/>
      <c r="M56" s="1154">
        <f t="shared" si="37"/>
        <v>0</v>
      </c>
      <c r="N56" s="1791"/>
      <c r="O56" s="1970"/>
      <c r="P56" s="1791"/>
      <c r="Q56" s="1662">
        <f t="shared" si="38"/>
        <v>0</v>
      </c>
      <c r="R56" s="1791"/>
      <c r="S56" s="1970"/>
      <c r="T56" s="1791"/>
      <c r="U56" s="1662">
        <f t="shared" si="39"/>
        <v>0</v>
      </c>
      <c r="V56" s="1791"/>
      <c r="W56" s="1970"/>
      <c r="X56" s="200"/>
      <c r="Y56" s="1154">
        <f t="shared" si="9"/>
        <v>0</v>
      </c>
      <c r="Z56" s="1970"/>
      <c r="AA56" s="544">
        <f t="shared" si="10"/>
        <v>0</v>
      </c>
      <c r="AB56" s="1970"/>
      <c r="AC56" s="1283"/>
      <c r="AD56" s="1970"/>
      <c r="AE56" s="2399">
        <f t="shared" si="40"/>
        <v>0</v>
      </c>
      <c r="AF56" s="1970"/>
      <c r="AG56" s="1283"/>
      <c r="AH56" s="1970"/>
      <c r="AI56" s="2399">
        <f t="shared" si="41"/>
        <v>0</v>
      </c>
      <c r="AJ56" s="1970"/>
      <c r="AK56" s="1283"/>
      <c r="AL56" s="1970"/>
      <c r="AM56" s="1154">
        <f t="shared" si="13"/>
        <v>0</v>
      </c>
      <c r="AN56" s="1970"/>
      <c r="AO56" s="2399">
        <f t="shared" si="14"/>
        <v>0</v>
      </c>
      <c r="AP56" s="1970"/>
      <c r="AQ56" s="1283">
        <v>24.97</v>
      </c>
      <c r="AR56" s="1970"/>
      <c r="AS56" s="2399">
        <f t="shared" si="42"/>
        <v>24.97</v>
      </c>
      <c r="AT56" s="1970"/>
      <c r="AU56" s="1283"/>
      <c r="AV56" s="1970"/>
      <c r="AW56" s="6170">
        <f t="shared" si="43"/>
        <v>24.97</v>
      </c>
      <c r="AX56" s="1970"/>
      <c r="AY56" s="1283"/>
      <c r="AZ56" s="1970"/>
      <c r="BA56" s="1154">
        <f t="shared" si="18"/>
        <v>24.97</v>
      </c>
      <c r="BB56" s="1970"/>
      <c r="BC56" s="544">
        <f t="shared" si="19"/>
        <v>24.97</v>
      </c>
      <c r="BD56" s="1970"/>
      <c r="BE56" s="376">
        <f t="shared" si="44"/>
        <v>24.97</v>
      </c>
      <c r="BF56" s="26"/>
      <c r="BG56" s="26"/>
      <c r="BP56" s="26"/>
      <c r="BQ56" s="26"/>
    </row>
    <row r="57" spans="1:69" hidden="1" x14ac:dyDescent="0.25">
      <c r="A57" s="149"/>
      <c r="B57" s="8" t="s">
        <v>652</v>
      </c>
      <c r="C57" s="159" t="s">
        <v>354</v>
      </c>
      <c r="D57" s="597"/>
      <c r="E57" s="1204"/>
      <c r="F57" s="1204"/>
      <c r="G57" s="1970"/>
      <c r="H57" s="1662"/>
      <c r="I57" s="1662">
        <f t="shared" si="36"/>
        <v>0</v>
      </c>
      <c r="J57" s="1204"/>
      <c r="K57" s="1970">
        <v>36.58</v>
      </c>
      <c r="L57" s="200"/>
      <c r="M57" s="1154">
        <f t="shared" si="37"/>
        <v>36.58</v>
      </c>
      <c r="N57" s="1204"/>
      <c r="O57" s="1970">
        <v>88.460000000000008</v>
      </c>
      <c r="P57" s="1204"/>
      <c r="Q57" s="1662">
        <f t="shared" si="38"/>
        <v>125.04</v>
      </c>
      <c r="R57" s="1204"/>
      <c r="S57" s="1970">
        <v>24.96</v>
      </c>
      <c r="T57" s="1204"/>
      <c r="U57" s="1662">
        <f t="shared" si="39"/>
        <v>150</v>
      </c>
      <c r="V57" s="1204"/>
      <c r="W57" s="1970">
        <v>40.020000000000003</v>
      </c>
      <c r="X57" s="200"/>
      <c r="Y57" s="1154">
        <f t="shared" si="9"/>
        <v>153.44000000000003</v>
      </c>
      <c r="Z57" s="1970"/>
      <c r="AA57" s="544">
        <f t="shared" si="10"/>
        <v>190.02000000000004</v>
      </c>
      <c r="AB57" s="1970"/>
      <c r="AC57" s="1283">
        <v>37.36</v>
      </c>
      <c r="AD57" s="1970"/>
      <c r="AE57" s="2399">
        <f t="shared" si="40"/>
        <v>227.38000000000005</v>
      </c>
      <c r="AF57" s="1970"/>
      <c r="AG57" s="1283">
        <v>22.6</v>
      </c>
      <c r="AH57" s="1970"/>
      <c r="AI57" s="2399">
        <f t="shared" si="41"/>
        <v>249.98000000000005</v>
      </c>
      <c r="AJ57" s="1970"/>
      <c r="AK57" s="1283"/>
      <c r="AL57" s="1970"/>
      <c r="AM57" s="1154">
        <f t="shared" si="13"/>
        <v>59.96</v>
      </c>
      <c r="AN57" s="1970"/>
      <c r="AO57" s="2399">
        <f t="shared" si="14"/>
        <v>249.98000000000005</v>
      </c>
      <c r="AP57" s="1970"/>
      <c r="AQ57" s="1283"/>
      <c r="AR57" s="1970"/>
      <c r="AS57" s="2399">
        <f t="shared" si="42"/>
        <v>249.98000000000005</v>
      </c>
      <c r="AT57" s="1970"/>
      <c r="AU57" s="1283">
        <v>76.09</v>
      </c>
      <c r="AV57" s="1970"/>
      <c r="AW57" s="6170">
        <f t="shared" si="43"/>
        <v>326.07000000000005</v>
      </c>
      <c r="AX57" s="1970"/>
      <c r="AY57" s="1283">
        <v>23.91</v>
      </c>
      <c r="AZ57" s="1970"/>
      <c r="BA57" s="1154">
        <f t="shared" si="18"/>
        <v>100</v>
      </c>
      <c r="BB57" s="1970"/>
      <c r="BC57" s="544">
        <f t="shared" si="19"/>
        <v>159.96</v>
      </c>
      <c r="BD57" s="1970"/>
      <c r="BE57" s="376">
        <f t="shared" si="44"/>
        <v>349.98000000000008</v>
      </c>
      <c r="BF57" s="26"/>
      <c r="BG57" s="26"/>
      <c r="BP57" s="26"/>
      <c r="BQ57" s="26"/>
    </row>
    <row r="58" spans="1:69" x14ac:dyDescent="0.25">
      <c r="B58" s="744" t="s">
        <v>673</v>
      </c>
      <c r="C58" s="205"/>
      <c r="D58" s="1360"/>
      <c r="E58" s="1360">
        <f>+SUM(E59:E64)</f>
        <v>175.32999999999998</v>
      </c>
      <c r="F58" s="1360">
        <f>+SUM(F59:F64)</f>
        <v>0</v>
      </c>
      <c r="G58" s="1360">
        <f>+SUM(G59:G64)</f>
        <v>21.57</v>
      </c>
      <c r="H58" s="1663">
        <f>+SUM(H59:H64)</f>
        <v>0</v>
      </c>
      <c r="I58" s="1663">
        <f t="shared" si="36"/>
        <v>196.89999999999998</v>
      </c>
      <c r="J58" s="1360"/>
      <c r="K58" s="1360">
        <f>+SUM(K59:K64)</f>
        <v>0</v>
      </c>
      <c r="L58" s="1360"/>
      <c r="M58" s="2394">
        <f t="shared" si="37"/>
        <v>196.89999999999998</v>
      </c>
      <c r="N58" s="1360"/>
      <c r="O58" s="1360">
        <f>+SUM(O59:O64)</f>
        <v>88.050000000000011</v>
      </c>
      <c r="P58" s="1360"/>
      <c r="Q58" s="1663">
        <f t="shared" si="38"/>
        <v>284.95</v>
      </c>
      <c r="R58" s="1360"/>
      <c r="S58" s="1360">
        <f>+SUM(S59:S64)</f>
        <v>0</v>
      </c>
      <c r="T58" s="1360"/>
      <c r="U58" s="1663">
        <f t="shared" si="39"/>
        <v>284.95</v>
      </c>
      <c r="V58" s="1360"/>
      <c r="W58" s="1360">
        <f>+SUM(W59:W64)</f>
        <v>0</v>
      </c>
      <c r="X58" s="1360"/>
      <c r="Y58" s="2394">
        <f t="shared" si="9"/>
        <v>88.050000000000011</v>
      </c>
      <c r="Z58" s="1360"/>
      <c r="AA58" s="522">
        <f t="shared" si="10"/>
        <v>284.95</v>
      </c>
      <c r="AB58" s="1360"/>
      <c r="AC58" s="5466">
        <f>+SUM(AC59:AC64)</f>
        <v>0</v>
      </c>
      <c r="AD58" s="1360"/>
      <c r="AE58" s="1360">
        <f t="shared" si="40"/>
        <v>284.95</v>
      </c>
      <c r="AF58" s="1360"/>
      <c r="AG58" s="5466">
        <f>+SUM(AG59:AG64)</f>
        <v>0</v>
      </c>
      <c r="AH58" s="1360"/>
      <c r="AI58" s="1360">
        <f t="shared" si="41"/>
        <v>284.95</v>
      </c>
      <c r="AJ58" s="1360"/>
      <c r="AK58" s="5466">
        <f>+SUM(AK59:AK64)</f>
        <v>0</v>
      </c>
      <c r="AL58" s="1360"/>
      <c r="AM58" s="2394">
        <f t="shared" si="13"/>
        <v>0</v>
      </c>
      <c r="AN58" s="1360"/>
      <c r="AO58" s="1360">
        <f t="shared" si="14"/>
        <v>284.95</v>
      </c>
      <c r="AP58" s="1360"/>
      <c r="AQ58" s="5466">
        <f>+SUM(AQ59:AQ64)</f>
        <v>0</v>
      </c>
      <c r="AR58" s="1360"/>
      <c r="AS58" s="1360">
        <f t="shared" si="42"/>
        <v>284.95</v>
      </c>
      <c r="AT58" s="1360"/>
      <c r="AU58" s="5466">
        <f>+SUM(AU59:AU64)</f>
        <v>0</v>
      </c>
      <c r="AV58" s="1360"/>
      <c r="AW58" s="1360">
        <f t="shared" si="43"/>
        <v>284.95</v>
      </c>
      <c r="AX58" s="1360"/>
      <c r="AY58" s="5466">
        <f>+SUM(AY59:AY64)</f>
        <v>0</v>
      </c>
      <c r="AZ58" s="1360"/>
      <c r="BA58" s="2394">
        <f t="shared" si="18"/>
        <v>0</v>
      </c>
      <c r="BB58" s="1360"/>
      <c r="BC58" s="522">
        <f t="shared" si="19"/>
        <v>0</v>
      </c>
      <c r="BD58" s="1360"/>
      <c r="BE58" s="1360">
        <f t="shared" si="44"/>
        <v>284.95</v>
      </c>
      <c r="BF58" s="26"/>
      <c r="BG58" s="26"/>
      <c r="BP58" s="26"/>
      <c r="BQ58" s="26"/>
    </row>
    <row r="59" spans="1:69" x14ac:dyDescent="0.25">
      <c r="B59" s="8" t="s">
        <v>1447</v>
      </c>
      <c r="C59" s="205" t="s">
        <v>354</v>
      </c>
      <c r="D59" s="1360"/>
      <c r="E59" s="1140">
        <v>71.11</v>
      </c>
      <c r="F59" s="1140"/>
      <c r="G59" s="1140">
        <v>21.57</v>
      </c>
      <c r="H59" s="1663"/>
      <c r="I59" s="1663">
        <f t="shared" si="36"/>
        <v>92.68</v>
      </c>
      <c r="J59" s="1140"/>
      <c r="K59" s="1140"/>
      <c r="L59" s="1360"/>
      <c r="M59" s="1154">
        <f t="shared" si="37"/>
        <v>92.68</v>
      </c>
      <c r="N59" s="1360"/>
      <c r="O59" s="1140"/>
      <c r="P59" s="1360"/>
      <c r="Q59" s="1663">
        <f t="shared" si="38"/>
        <v>92.68</v>
      </c>
      <c r="R59" s="1360"/>
      <c r="S59" s="1140"/>
      <c r="T59" s="1360"/>
      <c r="U59" s="1663">
        <f t="shared" si="39"/>
        <v>92.68</v>
      </c>
      <c r="V59" s="1360"/>
      <c r="W59" s="1140"/>
      <c r="X59" s="1360"/>
      <c r="Y59" s="1154">
        <f t="shared" si="9"/>
        <v>0</v>
      </c>
      <c r="Z59" s="1360"/>
      <c r="AA59" s="522">
        <f t="shared" si="10"/>
        <v>92.68</v>
      </c>
      <c r="AB59" s="1360"/>
      <c r="AC59" s="1557"/>
      <c r="AD59" s="1360"/>
      <c r="AE59" s="256">
        <f>AA59+AC59</f>
        <v>92.68</v>
      </c>
      <c r="AF59" s="1360"/>
      <c r="AG59" s="1557"/>
      <c r="AH59" s="1360"/>
      <c r="AI59" s="256">
        <f>AE59+AG59</f>
        <v>92.68</v>
      </c>
      <c r="AJ59" s="1360"/>
      <c r="AK59" s="1557"/>
      <c r="AL59" s="1360"/>
      <c r="AM59" s="1154">
        <f t="shared" si="13"/>
        <v>0</v>
      </c>
      <c r="AN59" s="1360"/>
      <c r="AO59" s="256">
        <f t="shared" si="14"/>
        <v>92.68</v>
      </c>
      <c r="AP59" s="1360"/>
      <c r="AQ59" s="1557"/>
      <c r="AR59" s="1360"/>
      <c r="AS59" s="256">
        <f>AO59+AQ59</f>
        <v>92.68</v>
      </c>
      <c r="AT59" s="1360"/>
      <c r="AU59" s="1557"/>
      <c r="AV59" s="1360"/>
      <c r="AW59" s="256">
        <f>AS59+AU59</f>
        <v>92.68</v>
      </c>
      <c r="AX59" s="1360"/>
      <c r="AY59" s="1557"/>
      <c r="AZ59" s="1360"/>
      <c r="BA59" s="1154">
        <f t="shared" si="18"/>
        <v>0</v>
      </c>
      <c r="BB59" s="1360"/>
      <c r="BC59" s="522">
        <f t="shared" si="19"/>
        <v>0</v>
      </c>
      <c r="BD59" s="1360"/>
      <c r="BE59" s="256">
        <f>AW59+AY59</f>
        <v>92.68</v>
      </c>
      <c r="BF59" s="26"/>
      <c r="BG59" s="26"/>
      <c r="BP59" s="26"/>
      <c r="BQ59" s="26"/>
    </row>
    <row r="60" spans="1:69" x14ac:dyDescent="0.25">
      <c r="B60" s="8" t="s">
        <v>1489</v>
      </c>
      <c r="C60" s="205" t="s">
        <v>354</v>
      </c>
      <c r="D60" s="1360"/>
      <c r="E60" s="1140">
        <v>104.22</v>
      </c>
      <c r="F60" s="1140"/>
      <c r="G60" s="1140"/>
      <c r="H60" s="1663"/>
      <c r="I60" s="1663">
        <f t="shared" si="36"/>
        <v>104.22</v>
      </c>
      <c r="J60" s="1140"/>
      <c r="K60" s="1140"/>
      <c r="L60" s="1360"/>
      <c r="M60" s="1154">
        <f t="shared" si="37"/>
        <v>104.22</v>
      </c>
      <c r="N60" s="1360"/>
      <c r="O60" s="1140">
        <v>88.050000000000011</v>
      </c>
      <c r="P60" s="1360"/>
      <c r="Q60" s="1663">
        <f t="shared" si="38"/>
        <v>192.27</v>
      </c>
      <c r="R60" s="1360"/>
      <c r="S60" s="1140"/>
      <c r="T60" s="1360"/>
      <c r="U60" s="1663">
        <f t="shared" si="39"/>
        <v>192.27</v>
      </c>
      <c r="V60" s="1360"/>
      <c r="W60" s="1140"/>
      <c r="X60" s="1360"/>
      <c r="Y60" s="1154">
        <f t="shared" si="9"/>
        <v>88.050000000000011</v>
      </c>
      <c r="Z60" s="1360"/>
      <c r="AA60" s="522">
        <f t="shared" si="10"/>
        <v>192.27</v>
      </c>
      <c r="AB60" s="1360"/>
      <c r="AC60" s="1557"/>
      <c r="AD60" s="1360"/>
      <c r="AE60" s="256">
        <f>AA60+AC60</f>
        <v>192.27</v>
      </c>
      <c r="AF60" s="1360"/>
      <c r="AG60" s="1557"/>
      <c r="AH60" s="1360"/>
      <c r="AI60" s="256">
        <f>AE60+AG60</f>
        <v>192.27</v>
      </c>
      <c r="AJ60" s="1360"/>
      <c r="AK60" s="1557"/>
      <c r="AL60" s="1360"/>
      <c r="AM60" s="1154">
        <f t="shared" si="13"/>
        <v>0</v>
      </c>
      <c r="AN60" s="1360"/>
      <c r="AO60" s="256">
        <f t="shared" si="14"/>
        <v>192.27</v>
      </c>
      <c r="AP60" s="1360"/>
      <c r="AQ60" s="1557"/>
      <c r="AR60" s="1360"/>
      <c r="AS60" s="256">
        <f>AO60+AQ60</f>
        <v>192.27</v>
      </c>
      <c r="AT60" s="1360"/>
      <c r="AU60" s="1557"/>
      <c r="AV60" s="1360"/>
      <c r="AW60" s="256">
        <f>AS60+AU60</f>
        <v>192.27</v>
      </c>
      <c r="AX60" s="1360"/>
      <c r="AY60" s="1557"/>
      <c r="AZ60" s="1360"/>
      <c r="BA60" s="1154">
        <f t="shared" si="18"/>
        <v>0</v>
      </c>
      <c r="BB60" s="1360"/>
      <c r="BC60" s="522">
        <f t="shared" si="19"/>
        <v>0</v>
      </c>
      <c r="BD60" s="1360"/>
      <c r="BE60" s="256">
        <f>AW60+AY60</f>
        <v>192.27</v>
      </c>
      <c r="BF60" s="26"/>
      <c r="BG60" s="26"/>
      <c r="BP60" s="26"/>
      <c r="BQ60" s="26"/>
    </row>
    <row r="61" spans="1:69" s="2256" customFormat="1" hidden="1" x14ac:dyDescent="0.25">
      <c r="B61" s="8" t="s">
        <v>1629</v>
      </c>
      <c r="C61" s="205" t="s">
        <v>354</v>
      </c>
      <c r="D61" s="1360"/>
      <c r="E61" s="1140"/>
      <c r="F61" s="1140"/>
      <c r="G61" s="1140"/>
      <c r="H61" s="1663"/>
      <c r="I61" s="1663">
        <f t="shared" ref="I61:I63" si="47">+E61+G61</f>
        <v>0</v>
      </c>
      <c r="J61" s="1140"/>
      <c r="K61" s="1140"/>
      <c r="L61" s="1360"/>
      <c r="M61" s="1154">
        <f t="shared" si="37"/>
        <v>0</v>
      </c>
      <c r="N61" s="1360"/>
      <c r="O61" s="1140"/>
      <c r="P61" s="1360"/>
      <c r="Q61" s="1663">
        <f t="shared" si="38"/>
        <v>0</v>
      </c>
      <c r="R61" s="1360"/>
      <c r="S61" s="1140"/>
      <c r="T61" s="1360"/>
      <c r="U61" s="1663">
        <f t="shared" si="39"/>
        <v>0</v>
      </c>
      <c r="V61" s="1360"/>
      <c r="W61" s="1140"/>
      <c r="X61" s="1360"/>
      <c r="Y61" s="1154">
        <f t="shared" si="9"/>
        <v>0</v>
      </c>
      <c r="Z61" s="1360"/>
      <c r="AA61" s="522">
        <f t="shared" si="10"/>
        <v>0</v>
      </c>
      <c r="AB61" s="1360"/>
      <c r="AC61" s="1557"/>
      <c r="AD61" s="1360"/>
      <c r="AE61" s="256">
        <f>AA61+AC61</f>
        <v>0</v>
      </c>
      <c r="AF61" s="1360"/>
      <c r="AG61" s="1557"/>
      <c r="AH61" s="1360"/>
      <c r="AI61" s="256">
        <f>AE61+AG61</f>
        <v>0</v>
      </c>
      <c r="AJ61" s="1360"/>
      <c r="AK61" s="1557"/>
      <c r="AL61" s="1360"/>
      <c r="AM61" s="1154">
        <f t="shared" si="13"/>
        <v>0</v>
      </c>
      <c r="AN61" s="1360"/>
      <c r="AO61" s="256">
        <f t="shared" si="14"/>
        <v>0</v>
      </c>
      <c r="AP61" s="1360"/>
      <c r="AQ61" s="1557"/>
      <c r="AR61" s="1360"/>
      <c r="AS61" s="256">
        <f>AO61+AQ61</f>
        <v>0</v>
      </c>
      <c r="AT61" s="1360"/>
      <c r="AU61" s="1557"/>
      <c r="AV61" s="1360"/>
      <c r="AW61" s="256">
        <f>AS61+AU61</f>
        <v>0</v>
      </c>
      <c r="AX61" s="1360"/>
      <c r="AY61" s="1557"/>
      <c r="AZ61" s="1360"/>
      <c r="BA61" s="1154">
        <f t="shared" si="18"/>
        <v>0</v>
      </c>
      <c r="BB61" s="1360"/>
      <c r="BC61" s="522">
        <f t="shared" si="19"/>
        <v>0</v>
      </c>
      <c r="BD61" s="1360"/>
      <c r="BE61" s="256">
        <f>AW61+AY61</f>
        <v>0</v>
      </c>
      <c r="BF61" s="26"/>
      <c r="BG61" s="26"/>
      <c r="BP61" s="26"/>
      <c r="BQ61" s="26"/>
    </row>
    <row r="62" spans="1:69" s="2256" customFormat="1" hidden="1" x14ac:dyDescent="0.25">
      <c r="B62" s="8" t="s">
        <v>1631</v>
      </c>
      <c r="C62" s="205" t="s">
        <v>354</v>
      </c>
      <c r="D62" s="1360"/>
      <c r="E62" s="1140"/>
      <c r="F62" s="1140"/>
      <c r="G62" s="1140"/>
      <c r="H62" s="1663"/>
      <c r="I62" s="1663">
        <f t="shared" si="47"/>
        <v>0</v>
      </c>
      <c r="J62" s="1140"/>
      <c r="K62" s="1140"/>
      <c r="L62" s="1360"/>
      <c r="M62" s="1154">
        <f t="shared" si="37"/>
        <v>0</v>
      </c>
      <c r="N62" s="1360"/>
      <c r="O62" s="1140"/>
      <c r="P62" s="1360"/>
      <c r="Q62" s="1663">
        <f t="shared" si="38"/>
        <v>0</v>
      </c>
      <c r="R62" s="1360"/>
      <c r="S62" s="1140"/>
      <c r="T62" s="1360"/>
      <c r="U62" s="1663">
        <f t="shared" si="39"/>
        <v>0</v>
      </c>
      <c r="V62" s="1360"/>
      <c r="W62" s="1140"/>
      <c r="X62" s="1360"/>
      <c r="Y62" s="1154">
        <f t="shared" si="9"/>
        <v>0</v>
      </c>
      <c r="Z62" s="1360"/>
      <c r="AA62" s="522">
        <f t="shared" si="10"/>
        <v>0</v>
      </c>
      <c r="AB62" s="1360"/>
      <c r="AC62" s="1557"/>
      <c r="AD62" s="1360"/>
      <c r="AE62" s="256">
        <f>AA62+AC62</f>
        <v>0</v>
      </c>
      <c r="AF62" s="1360"/>
      <c r="AG62" s="1557"/>
      <c r="AH62" s="1360"/>
      <c r="AI62" s="256">
        <f>AE62+AG62</f>
        <v>0</v>
      </c>
      <c r="AJ62" s="1360"/>
      <c r="AK62" s="1557"/>
      <c r="AL62" s="1360"/>
      <c r="AM62" s="1154">
        <f t="shared" si="13"/>
        <v>0</v>
      </c>
      <c r="AN62" s="1360"/>
      <c r="AO62" s="256">
        <f t="shared" si="14"/>
        <v>0</v>
      </c>
      <c r="AP62" s="1360"/>
      <c r="AQ62" s="1557"/>
      <c r="AR62" s="1360"/>
      <c r="AS62" s="256">
        <f>AO62+AQ62</f>
        <v>0</v>
      </c>
      <c r="AT62" s="1360"/>
      <c r="AU62" s="1557"/>
      <c r="AV62" s="1360"/>
      <c r="AW62" s="256">
        <f>AS62+AU62</f>
        <v>0</v>
      </c>
      <c r="AX62" s="1360"/>
      <c r="AY62" s="1557"/>
      <c r="AZ62" s="1360"/>
      <c r="BA62" s="1154">
        <f t="shared" si="18"/>
        <v>0</v>
      </c>
      <c r="BB62" s="1360"/>
      <c r="BC62" s="522">
        <f t="shared" si="19"/>
        <v>0</v>
      </c>
      <c r="BD62" s="1360"/>
      <c r="BE62" s="256">
        <f>AW62+AY62</f>
        <v>0</v>
      </c>
      <c r="BF62" s="26"/>
      <c r="BG62" s="26"/>
      <c r="BP62" s="26"/>
      <c r="BQ62" s="26"/>
    </row>
    <row r="63" spans="1:69" s="2256" customFormat="1" hidden="1" x14ac:dyDescent="0.25">
      <c r="B63" s="8" t="s">
        <v>1630</v>
      </c>
      <c r="C63" s="205" t="s">
        <v>354</v>
      </c>
      <c r="D63" s="1360"/>
      <c r="E63" s="1140"/>
      <c r="F63" s="1140"/>
      <c r="G63" s="1140"/>
      <c r="H63" s="1663"/>
      <c r="I63" s="1663">
        <f t="shared" si="47"/>
        <v>0</v>
      </c>
      <c r="J63" s="1140"/>
      <c r="K63" s="1140"/>
      <c r="L63" s="1360"/>
      <c r="M63" s="1154">
        <f t="shared" si="37"/>
        <v>0</v>
      </c>
      <c r="N63" s="1360"/>
      <c r="O63" s="1140"/>
      <c r="P63" s="1360"/>
      <c r="Q63" s="1663">
        <f t="shared" si="38"/>
        <v>0</v>
      </c>
      <c r="R63" s="1360"/>
      <c r="S63" s="1140"/>
      <c r="T63" s="1360"/>
      <c r="U63" s="1663">
        <f t="shared" si="39"/>
        <v>0</v>
      </c>
      <c r="V63" s="1360"/>
      <c r="W63" s="1140"/>
      <c r="X63" s="1360"/>
      <c r="Y63" s="1154">
        <f t="shared" si="9"/>
        <v>0</v>
      </c>
      <c r="Z63" s="1360"/>
      <c r="AA63" s="522">
        <f t="shared" si="10"/>
        <v>0</v>
      </c>
      <c r="AB63" s="1360"/>
      <c r="AC63" s="1557"/>
      <c r="AD63" s="1360"/>
      <c r="AE63" s="256">
        <f>AA63+AC63</f>
        <v>0</v>
      </c>
      <c r="AF63" s="1360"/>
      <c r="AG63" s="1557"/>
      <c r="AH63" s="1360"/>
      <c r="AI63" s="256">
        <f>AE63+AG63</f>
        <v>0</v>
      </c>
      <c r="AJ63" s="1360"/>
      <c r="AK63" s="1557"/>
      <c r="AL63" s="1360"/>
      <c r="AM63" s="1154">
        <f t="shared" si="13"/>
        <v>0</v>
      </c>
      <c r="AN63" s="1360"/>
      <c r="AO63" s="256">
        <f t="shared" si="14"/>
        <v>0</v>
      </c>
      <c r="AP63" s="1360"/>
      <c r="AQ63" s="1557"/>
      <c r="AR63" s="1360"/>
      <c r="AS63" s="256">
        <f>AO63+AQ63</f>
        <v>0</v>
      </c>
      <c r="AT63" s="1360"/>
      <c r="AU63" s="1557"/>
      <c r="AV63" s="1360"/>
      <c r="AW63" s="256">
        <f>AS63+AU63</f>
        <v>0</v>
      </c>
      <c r="AX63" s="1360"/>
      <c r="AY63" s="1557"/>
      <c r="AZ63" s="1360"/>
      <c r="BA63" s="1154">
        <f t="shared" si="18"/>
        <v>0</v>
      </c>
      <c r="BB63" s="1360"/>
      <c r="BC63" s="522">
        <f t="shared" si="19"/>
        <v>0</v>
      </c>
      <c r="BD63" s="1360"/>
      <c r="BE63" s="256">
        <f>AW63+AY63</f>
        <v>0</v>
      </c>
      <c r="BF63" s="26"/>
      <c r="BG63" s="26"/>
      <c r="BP63" s="26"/>
      <c r="BQ63" s="26"/>
    </row>
    <row r="64" spans="1:69" hidden="1" x14ac:dyDescent="0.25">
      <c r="B64" s="8" t="s">
        <v>667</v>
      </c>
      <c r="C64" s="159" t="s">
        <v>354</v>
      </c>
      <c r="D64" s="597"/>
      <c r="E64" s="596"/>
      <c r="F64" s="596"/>
      <c r="G64" s="596"/>
      <c r="H64" s="1664"/>
      <c r="I64" s="1664">
        <f t="shared" si="36"/>
        <v>0</v>
      </c>
      <c r="J64" s="596"/>
      <c r="K64" s="596"/>
      <c r="L64" s="200"/>
      <c r="M64" s="1154">
        <f t="shared" si="37"/>
        <v>0</v>
      </c>
      <c r="N64" s="597"/>
      <c r="O64" s="596"/>
      <c r="P64" s="597"/>
      <c r="Q64" s="1664">
        <f t="shared" si="38"/>
        <v>0</v>
      </c>
      <c r="R64" s="597"/>
      <c r="S64" s="596"/>
      <c r="T64" s="597"/>
      <c r="U64" s="1664">
        <f t="shared" si="39"/>
        <v>0</v>
      </c>
      <c r="V64" s="597"/>
      <c r="W64" s="596"/>
      <c r="X64" s="200"/>
      <c r="Y64" s="1154">
        <f t="shared" si="9"/>
        <v>0</v>
      </c>
      <c r="Z64" s="597"/>
      <c r="AA64" s="522">
        <f t="shared" si="10"/>
        <v>0</v>
      </c>
      <c r="AB64" s="597"/>
      <c r="AC64" s="1525"/>
      <c r="AD64" s="597"/>
      <c r="AE64" s="2608">
        <f t="shared" ref="AE64:AE101" si="48">+AA64+AC64</f>
        <v>0</v>
      </c>
      <c r="AF64" s="597"/>
      <c r="AG64" s="1525"/>
      <c r="AH64" s="597"/>
      <c r="AI64" s="2608">
        <f t="shared" ref="AI64:AI97" si="49">+AE64+AG64</f>
        <v>0</v>
      </c>
      <c r="AJ64" s="597"/>
      <c r="AK64" s="1525"/>
      <c r="AL64" s="597"/>
      <c r="AM64" s="1154">
        <f t="shared" si="13"/>
        <v>0</v>
      </c>
      <c r="AN64" s="597"/>
      <c r="AO64" s="2608">
        <f t="shared" si="14"/>
        <v>0</v>
      </c>
      <c r="AP64" s="597"/>
      <c r="AQ64" s="1525"/>
      <c r="AR64" s="597"/>
      <c r="AS64" s="2608">
        <f t="shared" ref="AS64:AS98" si="50">+AO64+AQ64</f>
        <v>0</v>
      </c>
      <c r="AT64" s="597"/>
      <c r="AU64" s="1525"/>
      <c r="AV64" s="597"/>
      <c r="AW64" s="2608">
        <f t="shared" ref="AW64:AW107" si="51">+AS64+AU64</f>
        <v>0</v>
      </c>
      <c r="AX64" s="597"/>
      <c r="AY64" s="1525"/>
      <c r="AZ64" s="597"/>
      <c r="BA64" s="1154">
        <f t="shared" si="18"/>
        <v>0</v>
      </c>
      <c r="BB64" s="597"/>
      <c r="BC64" s="522">
        <f t="shared" si="19"/>
        <v>0</v>
      </c>
      <c r="BD64" s="597"/>
      <c r="BE64" s="256">
        <f t="shared" ref="BE64:BE77" si="52">+AW64+AY64</f>
        <v>0</v>
      </c>
      <c r="BF64" s="26"/>
      <c r="BG64" s="26"/>
      <c r="BP64" s="26"/>
      <c r="BQ64" s="26"/>
    </row>
    <row r="65" spans="2:69" x14ac:dyDescent="0.25">
      <c r="B65" s="744" t="s">
        <v>694</v>
      </c>
      <c r="C65" s="205"/>
      <c r="D65" s="1360"/>
      <c r="E65" s="1360">
        <f>+SUM(E66:E101)</f>
        <v>8275.2200000000012</v>
      </c>
      <c r="F65" s="1360"/>
      <c r="G65" s="1360">
        <f>+SUM(G66:G101)</f>
        <v>5878.0199999999995</v>
      </c>
      <c r="H65" s="1663"/>
      <c r="I65" s="1663">
        <f t="shared" si="36"/>
        <v>14153.240000000002</v>
      </c>
      <c r="J65" s="1360"/>
      <c r="K65" s="1360">
        <f>+SUM(K66:K101)</f>
        <v>9350.659999999998</v>
      </c>
      <c r="L65" s="1360"/>
      <c r="M65" s="2394">
        <f t="shared" si="37"/>
        <v>23503.9</v>
      </c>
      <c r="N65" s="1360"/>
      <c r="O65" s="1360">
        <f>+SUM(O66:O101)</f>
        <v>12383.789999999997</v>
      </c>
      <c r="P65" s="1360"/>
      <c r="Q65" s="1663">
        <f t="shared" si="38"/>
        <v>35887.69</v>
      </c>
      <c r="R65" s="1360"/>
      <c r="S65" s="1360">
        <f>+SUM(S66:S101)</f>
        <v>6940.93</v>
      </c>
      <c r="T65" s="1360"/>
      <c r="U65" s="1663">
        <f t="shared" si="39"/>
        <v>42828.62</v>
      </c>
      <c r="V65" s="1360"/>
      <c r="W65" s="1360">
        <f>+SUM(W66:W101)</f>
        <v>11508.409999999998</v>
      </c>
      <c r="X65" s="1360"/>
      <c r="Y65" s="2394">
        <f t="shared" si="9"/>
        <v>30833.129999999997</v>
      </c>
      <c r="Z65" s="1360"/>
      <c r="AA65" s="522">
        <f t="shared" si="10"/>
        <v>54337.03</v>
      </c>
      <c r="AB65" s="1360"/>
      <c r="AC65" s="5466">
        <f>+SUM(AC66:AC101)</f>
        <v>4534.22</v>
      </c>
      <c r="AD65" s="1360"/>
      <c r="AE65" s="1360">
        <f t="shared" si="48"/>
        <v>58871.25</v>
      </c>
      <c r="AF65" s="1360"/>
      <c r="AG65" s="5466">
        <f>+SUM(AG66:AG101)</f>
        <v>8049.2300000000005</v>
      </c>
      <c r="AH65" s="1360"/>
      <c r="AI65" s="1360">
        <f t="shared" si="49"/>
        <v>66920.479999999996</v>
      </c>
      <c r="AJ65" s="1360"/>
      <c r="AK65" s="5466">
        <f>+SUM(AK66:AK101)</f>
        <v>3799.6600000000003</v>
      </c>
      <c r="AL65" s="1360"/>
      <c r="AM65" s="2394">
        <f t="shared" si="13"/>
        <v>16383.11</v>
      </c>
      <c r="AN65" s="1360"/>
      <c r="AO65" s="1360">
        <f t="shared" si="14"/>
        <v>70720.14</v>
      </c>
      <c r="AP65" s="1360"/>
      <c r="AQ65" s="5466">
        <f>+SUM(AQ66:AQ101)</f>
        <v>5872.43</v>
      </c>
      <c r="AR65" s="1360"/>
      <c r="AS65" s="1360">
        <f t="shared" si="50"/>
        <v>76592.570000000007</v>
      </c>
      <c r="AT65" s="1360"/>
      <c r="AU65" s="5466">
        <f>+SUM(AU66:AU101)</f>
        <v>5624.8399999999992</v>
      </c>
      <c r="AV65" s="1360"/>
      <c r="AW65" s="1360">
        <f t="shared" si="51"/>
        <v>82217.41</v>
      </c>
      <c r="AX65" s="1360"/>
      <c r="AY65" s="5466">
        <f>+SUM(AY66:AY101)</f>
        <v>8506.61</v>
      </c>
      <c r="AZ65" s="1360"/>
      <c r="BA65" s="2394">
        <f t="shared" si="18"/>
        <v>20003.88</v>
      </c>
      <c r="BB65" s="1360"/>
      <c r="BC65" s="522">
        <f t="shared" si="19"/>
        <v>36386.990000000005</v>
      </c>
      <c r="BD65" s="1360"/>
      <c r="BE65" s="1360">
        <f t="shared" si="52"/>
        <v>90724.02</v>
      </c>
      <c r="BF65" s="26"/>
      <c r="BG65" s="26"/>
      <c r="BP65" s="26"/>
      <c r="BQ65" s="26"/>
    </row>
    <row r="66" spans="2:69" x14ac:dyDescent="0.25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5"/>
      <c r="I66" s="1665">
        <f t="shared" si="36"/>
        <v>1060.1799999999998</v>
      </c>
      <c r="J66" s="351"/>
      <c r="K66" s="351">
        <v>589.31000000000006</v>
      </c>
      <c r="L66" s="2395"/>
      <c r="M66" s="1154">
        <f t="shared" si="37"/>
        <v>1649.4899999999998</v>
      </c>
      <c r="N66" s="351"/>
      <c r="O66" s="351">
        <v>523.21</v>
      </c>
      <c r="P66" s="351"/>
      <c r="Q66" s="1665">
        <f t="shared" si="38"/>
        <v>2172.6999999999998</v>
      </c>
      <c r="R66" s="351"/>
      <c r="S66" s="351">
        <v>424.99</v>
      </c>
      <c r="T66" s="351"/>
      <c r="U66" s="1665">
        <f t="shared" si="39"/>
        <v>2597.6899999999996</v>
      </c>
      <c r="V66" s="351"/>
      <c r="W66" s="351">
        <v>228.8</v>
      </c>
      <c r="X66" s="2395"/>
      <c r="Y66" s="1154">
        <f t="shared" si="9"/>
        <v>1177</v>
      </c>
      <c r="Z66" s="351"/>
      <c r="AA66" s="3080">
        <f t="shared" si="10"/>
        <v>2826.49</v>
      </c>
      <c r="AB66" s="351"/>
      <c r="AC66" s="5474">
        <v>539.11999999999989</v>
      </c>
      <c r="AD66" s="351"/>
      <c r="AE66" s="1720">
        <f t="shared" si="48"/>
        <v>3365.6099999999997</v>
      </c>
      <c r="AF66" s="351"/>
      <c r="AG66" s="5474">
        <v>287.66000000000003</v>
      </c>
      <c r="AH66" s="351"/>
      <c r="AI66" s="1720">
        <f t="shared" si="49"/>
        <v>3653.2699999999995</v>
      </c>
      <c r="AJ66" s="351"/>
      <c r="AK66" s="5474">
        <v>580.71</v>
      </c>
      <c r="AL66" s="351"/>
      <c r="AM66" s="1154">
        <f t="shared" si="13"/>
        <v>1407.49</v>
      </c>
      <c r="AN66" s="351"/>
      <c r="AO66" s="1720">
        <f t="shared" si="14"/>
        <v>4233.9799999999996</v>
      </c>
      <c r="AP66" s="351"/>
      <c r="AQ66" s="5474">
        <v>406.42</v>
      </c>
      <c r="AR66" s="351"/>
      <c r="AS66" s="1720">
        <f t="shared" si="50"/>
        <v>4640.3999999999996</v>
      </c>
      <c r="AT66" s="351"/>
      <c r="AU66" s="5474">
        <v>382.41</v>
      </c>
      <c r="AV66" s="351"/>
      <c r="AW66" s="1720">
        <f t="shared" si="51"/>
        <v>5022.8099999999995</v>
      </c>
      <c r="AX66" s="351"/>
      <c r="AY66" s="5474">
        <v>744.94</v>
      </c>
      <c r="AZ66" s="351"/>
      <c r="BA66" s="1154">
        <f t="shared" si="18"/>
        <v>1533.77</v>
      </c>
      <c r="BB66" s="351"/>
      <c r="BC66" s="3080">
        <f t="shared" si="19"/>
        <v>2941.26</v>
      </c>
      <c r="BD66" s="351"/>
      <c r="BE66" s="2999">
        <f t="shared" si="52"/>
        <v>5767.75</v>
      </c>
      <c r="BF66" s="26"/>
      <c r="BG66" s="26"/>
      <c r="BP66" s="26"/>
      <c r="BQ66" s="26"/>
    </row>
    <row r="67" spans="2:69" ht="15.6" customHeight="1" x14ac:dyDescent="0.25">
      <c r="B67" s="8" t="s">
        <v>2318</v>
      </c>
      <c r="C67" s="159" t="s">
        <v>354</v>
      </c>
      <c r="D67" s="597"/>
      <c r="E67" s="1204"/>
      <c r="F67" s="1204"/>
      <c r="G67" s="1970">
        <v>400</v>
      </c>
      <c r="H67" s="1662"/>
      <c r="I67" s="1665">
        <f t="shared" si="36"/>
        <v>400</v>
      </c>
      <c r="J67" s="1204"/>
      <c r="K67" s="1970"/>
      <c r="L67" s="200"/>
      <c r="M67" s="1154">
        <f t="shared" si="37"/>
        <v>400</v>
      </c>
      <c r="N67" s="1204"/>
      <c r="O67" s="1970"/>
      <c r="P67" s="1204"/>
      <c r="Q67" s="1665">
        <f t="shared" si="38"/>
        <v>400</v>
      </c>
      <c r="R67" s="1204"/>
      <c r="S67" s="1970"/>
      <c r="T67" s="1204"/>
      <c r="U67" s="1665">
        <f t="shared" si="39"/>
        <v>400</v>
      </c>
      <c r="V67" s="1204"/>
      <c r="W67" s="1970"/>
      <c r="X67" s="200"/>
      <c r="Y67" s="1154">
        <f t="shared" si="9"/>
        <v>0</v>
      </c>
      <c r="Z67" s="1970"/>
      <c r="AA67" s="544">
        <f t="shared" si="10"/>
        <v>400</v>
      </c>
      <c r="AB67" s="1970"/>
      <c r="AC67" s="1283"/>
      <c r="AD67" s="1970"/>
      <c r="AE67" s="1720">
        <f t="shared" si="48"/>
        <v>400</v>
      </c>
      <c r="AF67" s="1970"/>
      <c r="AG67" s="1283"/>
      <c r="AH67" s="1970"/>
      <c r="AI67" s="2399">
        <f t="shared" si="49"/>
        <v>400</v>
      </c>
      <c r="AJ67" s="1970"/>
      <c r="AK67" s="1283"/>
      <c r="AL67" s="1970"/>
      <c r="AM67" s="1154">
        <f t="shared" si="13"/>
        <v>0</v>
      </c>
      <c r="AN67" s="1970"/>
      <c r="AO67" s="1720">
        <f t="shared" si="14"/>
        <v>400</v>
      </c>
      <c r="AP67" s="1970"/>
      <c r="AQ67" s="1283"/>
      <c r="AR67" s="1970"/>
      <c r="AS67" s="1720">
        <f t="shared" si="50"/>
        <v>400</v>
      </c>
      <c r="AT67" s="1970"/>
      <c r="AU67" s="1283"/>
      <c r="AV67" s="1970"/>
      <c r="AW67" s="1720">
        <f t="shared" si="51"/>
        <v>400</v>
      </c>
      <c r="AX67" s="1970"/>
      <c r="AY67" s="1283">
        <v>1.77</v>
      </c>
      <c r="AZ67" s="1970"/>
      <c r="BA67" s="1154">
        <f t="shared" si="18"/>
        <v>1.77</v>
      </c>
      <c r="BB67" s="1970"/>
      <c r="BC67" s="544">
        <f t="shared" si="19"/>
        <v>1.77</v>
      </c>
      <c r="BD67" s="1970"/>
      <c r="BE67" s="376">
        <f t="shared" si="52"/>
        <v>401.77</v>
      </c>
      <c r="BF67" s="26"/>
      <c r="BG67" s="26"/>
      <c r="BP67" s="26"/>
      <c r="BQ67" s="26"/>
    </row>
    <row r="68" spans="2:69" ht="15.6" customHeight="1" x14ac:dyDescent="0.25">
      <c r="B68" s="8" t="s">
        <v>1395</v>
      </c>
      <c r="C68" s="159" t="s">
        <v>354</v>
      </c>
      <c r="D68" s="597"/>
      <c r="E68" s="1204"/>
      <c r="F68" s="1204"/>
      <c r="G68" s="1970">
        <v>500</v>
      </c>
      <c r="H68" s="1662"/>
      <c r="I68" s="1665">
        <f t="shared" si="36"/>
        <v>500</v>
      </c>
      <c r="J68" s="1204"/>
      <c r="K68" s="1970"/>
      <c r="L68" s="200"/>
      <c r="M68" s="1154">
        <f t="shared" si="37"/>
        <v>500</v>
      </c>
      <c r="N68" s="1204"/>
      <c r="O68" s="1970">
        <v>420</v>
      </c>
      <c r="P68" s="1204"/>
      <c r="Q68" s="1665">
        <f t="shared" si="38"/>
        <v>920</v>
      </c>
      <c r="R68" s="1204"/>
      <c r="S68" s="1970"/>
      <c r="T68" s="1204"/>
      <c r="U68" s="1665">
        <f t="shared" si="39"/>
        <v>920</v>
      </c>
      <c r="V68" s="1204"/>
      <c r="W68" s="1970"/>
      <c r="X68" s="200"/>
      <c r="Y68" s="1154">
        <f t="shared" si="9"/>
        <v>420</v>
      </c>
      <c r="Z68" s="1970"/>
      <c r="AA68" s="544">
        <f t="shared" si="10"/>
        <v>920</v>
      </c>
      <c r="AB68" s="1970"/>
      <c r="AC68" s="1283"/>
      <c r="AD68" s="1970"/>
      <c r="AE68" s="1720">
        <f t="shared" si="48"/>
        <v>920</v>
      </c>
      <c r="AF68" s="1970"/>
      <c r="AG68" s="1283">
        <v>165</v>
      </c>
      <c r="AH68" s="1970"/>
      <c r="AI68" s="5511">
        <f t="shared" si="49"/>
        <v>1085</v>
      </c>
      <c r="AJ68" s="1970"/>
      <c r="AK68" s="1283">
        <v>535</v>
      </c>
      <c r="AL68" s="1970"/>
      <c r="AM68" s="1154">
        <f t="shared" si="13"/>
        <v>700</v>
      </c>
      <c r="AN68" s="1970"/>
      <c r="AO68" s="1720">
        <f t="shared" si="14"/>
        <v>1620</v>
      </c>
      <c r="AP68" s="1970"/>
      <c r="AQ68" s="1283">
        <v>320</v>
      </c>
      <c r="AR68" s="1970"/>
      <c r="AS68" s="1720">
        <f t="shared" si="50"/>
        <v>1940</v>
      </c>
      <c r="AT68" s="1970"/>
      <c r="AU68" s="1283"/>
      <c r="AV68" s="1970"/>
      <c r="AW68" s="1720">
        <f t="shared" si="51"/>
        <v>1940</v>
      </c>
      <c r="AX68" s="1970"/>
      <c r="AY68" s="1283">
        <v>500</v>
      </c>
      <c r="AZ68" s="1970"/>
      <c r="BA68" s="1154">
        <f t="shared" si="18"/>
        <v>820</v>
      </c>
      <c r="BB68" s="1970"/>
      <c r="BC68" s="544">
        <f t="shared" si="19"/>
        <v>1520</v>
      </c>
      <c r="BD68" s="1970"/>
      <c r="BE68" s="376">
        <f t="shared" si="52"/>
        <v>2440</v>
      </c>
      <c r="BF68" s="26"/>
      <c r="BG68" s="26"/>
      <c r="BP68" s="26"/>
      <c r="BQ68" s="26"/>
    </row>
    <row r="69" spans="2:69" ht="15.6" customHeight="1" x14ac:dyDescent="0.25">
      <c r="B69" s="8" t="s">
        <v>1394</v>
      </c>
      <c r="C69" s="159" t="s">
        <v>354</v>
      </c>
      <c r="D69" s="597"/>
      <c r="E69" s="1970">
        <v>75.930000000000007</v>
      </c>
      <c r="F69" s="1204"/>
      <c r="G69" s="1970">
        <v>41.86</v>
      </c>
      <c r="H69" s="1662"/>
      <c r="I69" s="1665">
        <f t="shared" si="36"/>
        <v>117.79</v>
      </c>
      <c r="J69" s="1204"/>
      <c r="K69" s="1970"/>
      <c r="L69" s="200"/>
      <c r="M69" s="1154">
        <f t="shared" si="37"/>
        <v>117.79</v>
      </c>
      <c r="N69" s="1204"/>
      <c r="O69" s="1970">
        <v>99.97999999999999</v>
      </c>
      <c r="P69" s="1204"/>
      <c r="Q69" s="1665">
        <f t="shared" si="38"/>
        <v>217.76999999999998</v>
      </c>
      <c r="R69" s="1204"/>
      <c r="S69" s="1970">
        <v>84.81</v>
      </c>
      <c r="T69" s="1204"/>
      <c r="U69" s="1665">
        <f t="shared" si="39"/>
        <v>302.58</v>
      </c>
      <c r="V69" s="1204"/>
      <c r="W69" s="1970">
        <v>15.15</v>
      </c>
      <c r="X69" s="200"/>
      <c r="Y69" s="1154">
        <f t="shared" si="9"/>
        <v>199.94</v>
      </c>
      <c r="Z69" s="1970"/>
      <c r="AA69" s="544">
        <f t="shared" si="10"/>
        <v>317.73</v>
      </c>
      <c r="AB69" s="1970"/>
      <c r="AC69" s="1283">
        <v>62.54</v>
      </c>
      <c r="AD69" s="1970"/>
      <c r="AE69" s="1720">
        <f t="shared" si="48"/>
        <v>380.27000000000004</v>
      </c>
      <c r="AF69" s="1970"/>
      <c r="AG69" s="1283">
        <v>37.43</v>
      </c>
      <c r="AH69" s="1970"/>
      <c r="AI69" s="5511">
        <f t="shared" si="49"/>
        <v>417.70000000000005</v>
      </c>
      <c r="AJ69" s="1970"/>
      <c r="AK69" s="1283">
        <v>29.78</v>
      </c>
      <c r="AL69" s="1970"/>
      <c r="AM69" s="1154">
        <f t="shared" si="13"/>
        <v>129.75</v>
      </c>
      <c r="AN69" s="1970"/>
      <c r="AO69" s="1720">
        <f t="shared" si="14"/>
        <v>447.48</v>
      </c>
      <c r="AP69" s="1970"/>
      <c r="AQ69" s="1283">
        <v>70.19</v>
      </c>
      <c r="AR69" s="1970"/>
      <c r="AS69" s="1720">
        <f t="shared" si="50"/>
        <v>517.67000000000007</v>
      </c>
      <c r="AT69" s="1970"/>
      <c r="AU69" s="1283"/>
      <c r="AV69" s="1970"/>
      <c r="AW69" s="1720">
        <f t="shared" si="51"/>
        <v>517.67000000000007</v>
      </c>
      <c r="AX69" s="1970"/>
      <c r="AY69" s="1283">
        <v>81.99</v>
      </c>
      <c r="AZ69" s="1970"/>
      <c r="BA69" s="1154">
        <f t="shared" si="18"/>
        <v>152.18</v>
      </c>
      <c r="BB69" s="1970"/>
      <c r="BC69" s="544">
        <f t="shared" si="19"/>
        <v>281.93</v>
      </c>
      <c r="BD69" s="1970"/>
      <c r="BE69" s="376">
        <f t="shared" si="52"/>
        <v>599.66000000000008</v>
      </c>
      <c r="BF69" s="26"/>
      <c r="BG69" s="26"/>
      <c r="BP69" s="26"/>
      <c r="BQ69" s="26"/>
    </row>
    <row r="70" spans="2:69" s="4712" customFormat="1" ht="15.6" customHeight="1" x14ac:dyDescent="0.25">
      <c r="B70" s="8" t="s">
        <v>1977</v>
      </c>
      <c r="C70" s="5003" t="s">
        <v>354</v>
      </c>
      <c r="D70" s="3161"/>
      <c r="E70" s="4994"/>
      <c r="F70" s="4994"/>
      <c r="G70" s="7156"/>
      <c r="H70" s="3925"/>
      <c r="I70" s="1665">
        <f t="shared" si="36"/>
        <v>0</v>
      </c>
      <c r="J70" s="4994"/>
      <c r="K70" s="4994"/>
      <c r="L70" s="3143"/>
      <c r="M70" s="3163"/>
      <c r="N70" s="4994"/>
      <c r="O70" s="4994"/>
      <c r="P70" s="4994"/>
      <c r="Q70" s="3924"/>
      <c r="R70" s="4994"/>
      <c r="S70" s="4994">
        <v>94</v>
      </c>
      <c r="T70" s="4994"/>
      <c r="U70" s="1665">
        <f t="shared" si="39"/>
        <v>94</v>
      </c>
      <c r="V70" s="4994"/>
      <c r="W70" s="5032"/>
      <c r="X70" s="3143"/>
      <c r="Y70" s="1154">
        <f t="shared" si="9"/>
        <v>94</v>
      </c>
      <c r="Z70" s="4994"/>
      <c r="AA70" s="544">
        <f t="shared" si="10"/>
        <v>94</v>
      </c>
      <c r="AB70" s="4994"/>
      <c r="AC70" s="3262"/>
      <c r="AD70" s="4994"/>
      <c r="AE70" s="1720">
        <f t="shared" si="48"/>
        <v>94</v>
      </c>
      <c r="AF70" s="4994"/>
      <c r="AG70" s="3262">
        <v>18</v>
      </c>
      <c r="AH70" s="4994"/>
      <c r="AI70" s="5511">
        <f t="shared" si="49"/>
        <v>112</v>
      </c>
      <c r="AJ70" s="4994"/>
      <c r="AK70" s="3262"/>
      <c r="AL70" s="4994"/>
      <c r="AM70" s="1154">
        <f t="shared" si="13"/>
        <v>18</v>
      </c>
      <c r="AN70" s="4994"/>
      <c r="AO70" s="1720">
        <f t="shared" si="14"/>
        <v>112</v>
      </c>
      <c r="AP70" s="4994"/>
      <c r="AQ70" s="3262"/>
      <c r="AR70" s="4994"/>
      <c r="AS70" s="1720">
        <f t="shared" si="50"/>
        <v>112</v>
      </c>
      <c r="AT70" s="4994"/>
      <c r="AU70" s="3262">
        <v>24</v>
      </c>
      <c r="AV70" s="4994"/>
      <c r="AW70" s="1720">
        <f t="shared" si="51"/>
        <v>136</v>
      </c>
      <c r="AX70" s="4994"/>
      <c r="AY70" s="3262"/>
      <c r="AZ70" s="4994"/>
      <c r="BA70" s="1154">
        <f t="shared" ref="BA70:BA73" si="53">+AQ70+AU70+AY70</f>
        <v>24</v>
      </c>
      <c r="BB70" s="1970"/>
      <c r="BC70" s="544">
        <f t="shared" ref="BC70:BC73" si="54">BA70+AM70</f>
        <v>42</v>
      </c>
      <c r="BD70" s="4994"/>
      <c r="BE70" s="6402">
        <f t="shared" si="52"/>
        <v>136</v>
      </c>
      <c r="BF70" s="26"/>
      <c r="BG70" s="26"/>
      <c r="BP70" s="26"/>
      <c r="BQ70" s="26"/>
    </row>
    <row r="71" spans="2:69" s="4712" customFormat="1" ht="15.6" customHeight="1" x14ac:dyDescent="0.25">
      <c r="B71" s="8" t="s">
        <v>2023</v>
      </c>
      <c r="C71" s="5003" t="s">
        <v>354</v>
      </c>
      <c r="D71" s="3161"/>
      <c r="E71" s="4994"/>
      <c r="F71" s="4994"/>
      <c r="G71" s="7156"/>
      <c r="H71" s="3925"/>
      <c r="I71" s="1665">
        <f t="shared" si="36"/>
        <v>0</v>
      </c>
      <c r="J71" s="4994"/>
      <c r="K71" s="4994"/>
      <c r="L71" s="3143"/>
      <c r="M71" s="3163"/>
      <c r="N71" s="4994"/>
      <c r="O71" s="4994"/>
      <c r="P71" s="4994"/>
      <c r="Q71" s="3924"/>
      <c r="R71" s="4994"/>
      <c r="S71" s="4994">
        <v>211</v>
      </c>
      <c r="T71" s="4994"/>
      <c r="U71" s="1665">
        <f t="shared" si="39"/>
        <v>211</v>
      </c>
      <c r="V71" s="4994"/>
      <c r="W71" s="5032"/>
      <c r="X71" s="3143"/>
      <c r="Y71" s="1154">
        <f t="shared" si="9"/>
        <v>211</v>
      </c>
      <c r="Z71" s="4994"/>
      <c r="AA71" s="544">
        <f t="shared" si="10"/>
        <v>211</v>
      </c>
      <c r="AB71" s="4994"/>
      <c r="AC71" s="3262">
        <v>3</v>
      </c>
      <c r="AD71" s="4994"/>
      <c r="AE71" s="1720">
        <f t="shared" si="48"/>
        <v>214</v>
      </c>
      <c r="AF71" s="4994"/>
      <c r="AG71" s="3262">
        <v>27</v>
      </c>
      <c r="AH71" s="4994"/>
      <c r="AI71" s="5511">
        <f t="shared" si="49"/>
        <v>241</v>
      </c>
      <c r="AJ71" s="4994"/>
      <c r="AK71" s="3262"/>
      <c r="AL71" s="4994"/>
      <c r="AM71" s="1154">
        <f t="shared" si="13"/>
        <v>30</v>
      </c>
      <c r="AN71" s="4994"/>
      <c r="AO71" s="1720">
        <f t="shared" si="14"/>
        <v>241</v>
      </c>
      <c r="AP71" s="4994"/>
      <c r="AQ71" s="3262"/>
      <c r="AR71" s="4994"/>
      <c r="AS71" s="1720">
        <f t="shared" si="50"/>
        <v>241</v>
      </c>
      <c r="AT71" s="4994"/>
      <c r="AU71" s="3262"/>
      <c r="AV71" s="4994"/>
      <c r="AW71" s="1720">
        <f t="shared" si="51"/>
        <v>241</v>
      </c>
      <c r="AX71" s="4994"/>
      <c r="AY71" s="3262"/>
      <c r="AZ71" s="4994"/>
      <c r="BA71" s="1154">
        <f t="shared" si="53"/>
        <v>0</v>
      </c>
      <c r="BB71" s="1970"/>
      <c r="BC71" s="544">
        <f t="shared" si="54"/>
        <v>30</v>
      </c>
      <c r="BD71" s="4994"/>
      <c r="BE71" s="6402">
        <f t="shared" si="52"/>
        <v>241</v>
      </c>
      <c r="BF71" s="26"/>
      <c r="BG71" s="26"/>
      <c r="BP71" s="26"/>
      <c r="BQ71" s="26"/>
    </row>
    <row r="72" spans="2:69" s="4712" customFormat="1" ht="15.6" customHeight="1" x14ac:dyDescent="0.25">
      <c r="B72" s="8" t="s">
        <v>1976</v>
      </c>
      <c r="C72" s="5003" t="s">
        <v>354</v>
      </c>
      <c r="D72" s="3161"/>
      <c r="E72" s="4994"/>
      <c r="F72" s="4994"/>
      <c r="G72" s="7156"/>
      <c r="H72" s="3925"/>
      <c r="I72" s="1665">
        <f t="shared" si="36"/>
        <v>0</v>
      </c>
      <c r="J72" s="4994"/>
      <c r="K72" s="4994"/>
      <c r="L72" s="3143"/>
      <c r="M72" s="3163"/>
      <c r="N72" s="4994"/>
      <c r="O72" s="4994"/>
      <c r="P72" s="4994"/>
      <c r="Q72" s="3924"/>
      <c r="R72" s="4994"/>
      <c r="S72" s="4994">
        <v>558</v>
      </c>
      <c r="T72" s="4994"/>
      <c r="U72" s="1665">
        <f t="shared" si="39"/>
        <v>558</v>
      </c>
      <c r="V72" s="4994"/>
      <c r="W72" s="5032"/>
      <c r="X72" s="3143"/>
      <c r="Y72" s="1154">
        <f t="shared" si="9"/>
        <v>558</v>
      </c>
      <c r="Z72" s="4994"/>
      <c r="AA72" s="544">
        <f t="shared" si="10"/>
        <v>558</v>
      </c>
      <c r="AB72" s="4994"/>
      <c r="AC72" s="3262"/>
      <c r="AD72" s="4994"/>
      <c r="AE72" s="1720">
        <f t="shared" si="48"/>
        <v>558</v>
      </c>
      <c r="AF72" s="4994"/>
      <c r="AG72" s="3262"/>
      <c r="AH72" s="4994"/>
      <c r="AI72" s="5511">
        <f t="shared" si="49"/>
        <v>558</v>
      </c>
      <c r="AJ72" s="4994"/>
      <c r="AK72" s="3262"/>
      <c r="AL72" s="4994"/>
      <c r="AM72" s="1154">
        <f t="shared" si="13"/>
        <v>0</v>
      </c>
      <c r="AN72" s="4994"/>
      <c r="AO72" s="1720">
        <f t="shared" si="14"/>
        <v>558</v>
      </c>
      <c r="AP72" s="4994"/>
      <c r="AQ72" s="3262"/>
      <c r="AR72" s="4994"/>
      <c r="AS72" s="1720">
        <f t="shared" si="50"/>
        <v>558</v>
      </c>
      <c r="AT72" s="4994"/>
      <c r="AU72" s="3262"/>
      <c r="AV72" s="4994"/>
      <c r="AW72" s="1720">
        <f t="shared" si="51"/>
        <v>558</v>
      </c>
      <c r="AX72" s="4994"/>
      <c r="AY72" s="3262"/>
      <c r="AZ72" s="4994"/>
      <c r="BA72" s="1154">
        <f t="shared" si="53"/>
        <v>0</v>
      </c>
      <c r="BB72" s="1970"/>
      <c r="BC72" s="544">
        <f t="shared" si="54"/>
        <v>0</v>
      </c>
      <c r="BD72" s="4994"/>
      <c r="BE72" s="6402">
        <f t="shared" si="52"/>
        <v>558</v>
      </c>
      <c r="BF72" s="26"/>
      <c r="BG72" s="26"/>
      <c r="BP72" s="26"/>
      <c r="BQ72" s="26"/>
    </row>
    <row r="73" spans="2:69" s="2682" customFormat="1" ht="15.6" customHeight="1" x14ac:dyDescent="0.25">
      <c r="B73" s="3885" t="s">
        <v>1872</v>
      </c>
      <c r="C73" s="159" t="s">
        <v>354</v>
      </c>
      <c r="D73" s="597"/>
      <c r="E73" s="1970"/>
      <c r="F73" s="1970"/>
      <c r="G73" s="1970"/>
      <c r="H73" s="1662"/>
      <c r="I73" s="1665">
        <f t="shared" si="36"/>
        <v>0</v>
      </c>
      <c r="J73" s="1970"/>
      <c r="K73" s="1970"/>
      <c r="L73" s="200"/>
      <c r="M73" s="1154">
        <f t="shared" si="37"/>
        <v>0</v>
      </c>
      <c r="N73" s="1970"/>
      <c r="O73" s="1970"/>
      <c r="P73" s="1970"/>
      <c r="Q73" s="1665">
        <f t="shared" si="38"/>
        <v>0</v>
      </c>
      <c r="R73" s="1970"/>
      <c r="S73" s="1970"/>
      <c r="T73" s="1970"/>
      <c r="U73" s="1665">
        <f t="shared" si="39"/>
        <v>0</v>
      </c>
      <c r="V73" s="1970"/>
      <c r="W73" s="1970"/>
      <c r="X73" s="200"/>
      <c r="Y73" s="1154">
        <f t="shared" si="9"/>
        <v>0</v>
      </c>
      <c r="Z73" s="1970"/>
      <c r="AA73" s="544">
        <f t="shared" si="10"/>
        <v>0</v>
      </c>
      <c r="AB73" s="1970"/>
      <c r="AC73" s="1283"/>
      <c r="AD73" s="1970"/>
      <c r="AE73" s="1720">
        <f t="shared" si="48"/>
        <v>0</v>
      </c>
      <c r="AF73" s="1970"/>
      <c r="AG73" s="1283"/>
      <c r="AH73" s="1970"/>
      <c r="AI73" s="5511">
        <f t="shared" si="49"/>
        <v>0</v>
      </c>
      <c r="AJ73" s="1970"/>
      <c r="AK73" s="1283"/>
      <c r="AL73" s="1970"/>
      <c r="AM73" s="1154">
        <f t="shared" si="13"/>
        <v>0</v>
      </c>
      <c r="AN73" s="1970"/>
      <c r="AO73" s="1720">
        <f t="shared" si="14"/>
        <v>0</v>
      </c>
      <c r="AP73" s="1970"/>
      <c r="AQ73" s="1283">
        <v>796</v>
      </c>
      <c r="AR73" s="1970"/>
      <c r="AS73" s="1720">
        <f t="shared" si="50"/>
        <v>796</v>
      </c>
      <c r="AT73" s="1970"/>
      <c r="AU73" s="1283">
        <v>259</v>
      </c>
      <c r="AV73" s="1970"/>
      <c r="AW73" s="1720">
        <f t="shared" si="51"/>
        <v>1055</v>
      </c>
      <c r="AX73" s="1970"/>
      <c r="AY73" s="1283"/>
      <c r="AZ73" s="1970"/>
      <c r="BA73" s="1154">
        <f t="shared" si="53"/>
        <v>1055</v>
      </c>
      <c r="BB73" s="1970"/>
      <c r="BC73" s="544">
        <f t="shared" si="54"/>
        <v>1055</v>
      </c>
      <c r="BD73" s="1970"/>
      <c r="BE73" s="376">
        <f t="shared" si="52"/>
        <v>1055</v>
      </c>
      <c r="BF73" s="26"/>
      <c r="BG73" s="26"/>
      <c r="BP73" s="26"/>
      <c r="BQ73" s="26"/>
    </row>
    <row r="74" spans="2:69" s="2757" customFormat="1" ht="15.6" customHeight="1" x14ac:dyDescent="0.25">
      <c r="B74" s="8" t="s">
        <v>2140</v>
      </c>
      <c r="C74" s="4623" t="s">
        <v>354</v>
      </c>
      <c r="D74" s="597"/>
      <c r="E74" s="1970">
        <v>42.03</v>
      </c>
      <c r="F74" s="1970"/>
      <c r="G74" s="1970">
        <v>23.98</v>
      </c>
      <c r="H74" s="1662"/>
      <c r="I74" s="1665">
        <f t="shared" si="36"/>
        <v>66.010000000000005</v>
      </c>
      <c r="J74" s="1970"/>
      <c r="K74" s="1970"/>
      <c r="L74" s="200"/>
      <c r="M74" s="1154">
        <f t="shared" si="37"/>
        <v>66.010000000000005</v>
      </c>
      <c r="N74" s="1970"/>
      <c r="O74" s="1970"/>
      <c r="P74" s="1970"/>
      <c r="Q74" s="1665">
        <f t="shared" si="38"/>
        <v>66.010000000000005</v>
      </c>
      <c r="R74" s="1970"/>
      <c r="S74" s="1970"/>
      <c r="T74" s="1970"/>
      <c r="U74" s="1665">
        <f t="shared" si="39"/>
        <v>66.010000000000005</v>
      </c>
      <c r="V74" s="1970"/>
      <c r="W74" s="1970"/>
      <c r="X74" s="200"/>
      <c r="Y74" s="1154">
        <f t="shared" ref="Y74" si="55">+O74+S74+W74</f>
        <v>0</v>
      </c>
      <c r="Z74" s="1970"/>
      <c r="AA74" s="544">
        <f t="shared" ref="AA74:AA138" si="56">M74+Y74</f>
        <v>66.010000000000005</v>
      </c>
      <c r="AB74" s="1970"/>
      <c r="AC74" s="1283"/>
      <c r="AD74" s="1970"/>
      <c r="AE74" s="1720">
        <f t="shared" si="48"/>
        <v>66.010000000000005</v>
      </c>
      <c r="AF74" s="1970"/>
      <c r="AG74" s="1283"/>
      <c r="AH74" s="1970"/>
      <c r="AI74" s="5511">
        <f t="shared" si="49"/>
        <v>66.010000000000005</v>
      </c>
      <c r="AJ74" s="1970"/>
      <c r="AK74" s="1283"/>
      <c r="AL74" s="1970"/>
      <c r="AM74" s="1154">
        <f t="shared" ref="AM74:AM80" si="57">+AC74+AG74+AK74</f>
        <v>0</v>
      </c>
      <c r="AN74" s="1970"/>
      <c r="AO74" s="1720">
        <f t="shared" si="14"/>
        <v>66.010000000000005</v>
      </c>
      <c r="AP74" s="1970"/>
      <c r="AQ74" s="1283">
        <v>12.37</v>
      </c>
      <c r="AR74" s="1970"/>
      <c r="AS74" s="1720">
        <f t="shared" si="50"/>
        <v>78.38000000000001</v>
      </c>
      <c r="AT74" s="1970"/>
      <c r="AU74" s="1283">
        <v>7.54</v>
      </c>
      <c r="AV74" s="1970"/>
      <c r="AW74" s="1720">
        <f t="shared" si="51"/>
        <v>85.920000000000016</v>
      </c>
      <c r="AX74" s="1970"/>
      <c r="AY74" s="1283">
        <v>27.84</v>
      </c>
      <c r="AZ74" s="1970"/>
      <c r="BA74" s="1154">
        <f t="shared" ref="BA74:BA138" si="58">+AQ74+AU74+AY74</f>
        <v>47.75</v>
      </c>
      <c r="BB74" s="1970"/>
      <c r="BC74" s="544">
        <f t="shared" si="19"/>
        <v>47.75</v>
      </c>
      <c r="BD74" s="1970"/>
      <c r="BE74" s="376">
        <f t="shared" si="52"/>
        <v>113.76000000000002</v>
      </c>
      <c r="BF74" s="26"/>
      <c r="BG74" s="26"/>
      <c r="BP74" s="26"/>
      <c r="BQ74" s="26"/>
    </row>
    <row r="75" spans="2:69" s="2635" customFormat="1" ht="15.6" customHeight="1" x14ac:dyDescent="0.25">
      <c r="B75" s="8" t="s">
        <v>1657</v>
      </c>
      <c r="C75" s="4623" t="s">
        <v>354</v>
      </c>
      <c r="D75" s="597"/>
      <c r="E75" s="1970"/>
      <c r="F75" s="1970"/>
      <c r="G75" s="1970"/>
      <c r="H75" s="1662"/>
      <c r="I75" s="1665">
        <f t="shared" si="36"/>
        <v>0</v>
      </c>
      <c r="J75" s="1970"/>
      <c r="K75" s="1970"/>
      <c r="L75" s="200"/>
      <c r="M75" s="1154">
        <f t="shared" si="37"/>
        <v>0</v>
      </c>
      <c r="N75" s="1970"/>
      <c r="O75" s="1970"/>
      <c r="P75" s="1970"/>
      <c r="Q75" s="1665">
        <f t="shared" si="38"/>
        <v>0</v>
      </c>
      <c r="R75" s="1970"/>
      <c r="S75" s="1970"/>
      <c r="T75" s="1970"/>
      <c r="U75" s="1665">
        <f t="shared" si="39"/>
        <v>0</v>
      </c>
      <c r="V75" s="1970"/>
      <c r="W75" s="1970"/>
      <c r="X75" s="200"/>
      <c r="Y75" s="1154">
        <f t="shared" ref="Y75:Y138" si="59">+O75+S75+W75</f>
        <v>0</v>
      </c>
      <c r="Z75" s="1970"/>
      <c r="AA75" s="544">
        <f t="shared" si="56"/>
        <v>0</v>
      </c>
      <c r="AB75" s="1970"/>
      <c r="AC75" s="1283"/>
      <c r="AD75" s="1970"/>
      <c r="AE75" s="1720">
        <f t="shared" si="48"/>
        <v>0</v>
      </c>
      <c r="AF75" s="1970"/>
      <c r="AG75" s="1283"/>
      <c r="AH75" s="1970"/>
      <c r="AI75" s="5511">
        <f t="shared" si="49"/>
        <v>0</v>
      </c>
      <c r="AJ75" s="1970"/>
      <c r="AK75" s="1283"/>
      <c r="AL75" s="1970"/>
      <c r="AM75" s="1154">
        <f t="shared" si="57"/>
        <v>0</v>
      </c>
      <c r="AN75" s="1970"/>
      <c r="AO75" s="1720">
        <f t="shared" si="14"/>
        <v>0</v>
      </c>
      <c r="AP75" s="1970"/>
      <c r="AQ75" s="1283"/>
      <c r="AR75" s="1970"/>
      <c r="AS75" s="1720">
        <f t="shared" si="50"/>
        <v>0</v>
      </c>
      <c r="AT75" s="1970"/>
      <c r="AU75" s="1283"/>
      <c r="AV75" s="1970"/>
      <c r="AW75" s="1720">
        <f t="shared" si="51"/>
        <v>0</v>
      </c>
      <c r="AX75" s="1970"/>
      <c r="AY75" s="1283"/>
      <c r="AZ75" s="1970"/>
      <c r="BA75" s="1154">
        <f t="shared" si="58"/>
        <v>0</v>
      </c>
      <c r="BB75" s="1970"/>
      <c r="BC75" s="544">
        <f t="shared" ref="BC75:BC139" si="60">BA75+AM75</f>
        <v>0</v>
      </c>
      <c r="BD75" s="1970"/>
      <c r="BE75" s="376">
        <f t="shared" si="52"/>
        <v>0</v>
      </c>
      <c r="BF75" s="26"/>
      <c r="BG75" s="26"/>
      <c r="BP75" s="26"/>
      <c r="BQ75" s="26"/>
    </row>
    <row r="76" spans="2:69" ht="15.6" customHeight="1" x14ac:dyDescent="0.25">
      <c r="B76" s="3885" t="s">
        <v>1393</v>
      </c>
      <c r="C76" s="793" t="s">
        <v>354</v>
      </c>
      <c r="D76" s="3886"/>
      <c r="E76" s="1205"/>
      <c r="F76" s="1205"/>
      <c r="G76" s="7154"/>
      <c r="H76" s="3887"/>
      <c r="I76" s="1665">
        <f t="shared" si="36"/>
        <v>0</v>
      </c>
      <c r="J76" s="1204"/>
      <c r="K76" s="1205">
        <v>1975.5200000000007</v>
      </c>
      <c r="L76" s="200"/>
      <c r="M76" s="1154">
        <f t="shared" si="37"/>
        <v>1975.5200000000007</v>
      </c>
      <c r="N76" s="1204"/>
      <c r="O76" s="1205">
        <v>499.11</v>
      </c>
      <c r="P76" s="1204"/>
      <c r="Q76" s="3887">
        <f t="shared" si="38"/>
        <v>2474.6300000000006</v>
      </c>
      <c r="R76" s="1204"/>
      <c r="S76" s="1205">
        <v>1497.94</v>
      </c>
      <c r="T76" s="1204"/>
      <c r="U76" s="3887">
        <f t="shared" si="39"/>
        <v>3972.5700000000006</v>
      </c>
      <c r="V76" s="1204"/>
      <c r="W76" s="1205">
        <v>1350.48</v>
      </c>
      <c r="X76" s="200"/>
      <c r="Y76" s="1154">
        <f t="shared" si="59"/>
        <v>3347.53</v>
      </c>
      <c r="Z76" s="1970"/>
      <c r="AA76" s="544">
        <f t="shared" si="56"/>
        <v>5323.0500000000011</v>
      </c>
      <c r="AB76" s="1970"/>
      <c r="AC76" s="5475">
        <v>146.70999999999998</v>
      </c>
      <c r="AD76" s="1970"/>
      <c r="AE76" s="1720">
        <f t="shared" si="48"/>
        <v>5469.7600000000011</v>
      </c>
      <c r="AF76" s="1970"/>
      <c r="AG76" s="5475"/>
      <c r="AH76" s="1970"/>
      <c r="AI76" s="5511">
        <f t="shared" si="49"/>
        <v>5469.7600000000011</v>
      </c>
      <c r="AJ76" s="1970"/>
      <c r="AK76" s="5475">
        <v>467.96</v>
      </c>
      <c r="AL76" s="1970"/>
      <c r="AM76" s="1154">
        <f t="shared" si="57"/>
        <v>614.66999999999996</v>
      </c>
      <c r="AN76" s="1970"/>
      <c r="AO76" s="1720">
        <f t="shared" si="14"/>
        <v>5937.7200000000012</v>
      </c>
      <c r="AP76" s="1970"/>
      <c r="AQ76" s="5475">
        <v>529.83000000000004</v>
      </c>
      <c r="AR76" s="1970"/>
      <c r="AS76" s="1720">
        <f t="shared" si="50"/>
        <v>6467.5500000000011</v>
      </c>
      <c r="AT76" s="1970"/>
      <c r="AU76" s="5475">
        <v>999.38</v>
      </c>
      <c r="AV76" s="1970"/>
      <c r="AW76" s="1720">
        <f t="shared" si="51"/>
        <v>7466.9300000000012</v>
      </c>
      <c r="AX76" s="1970"/>
      <c r="AY76" s="5475">
        <v>1999.58</v>
      </c>
      <c r="AZ76" s="1970"/>
      <c r="BA76" s="1154">
        <f t="shared" si="58"/>
        <v>3528.79</v>
      </c>
      <c r="BB76" s="1970"/>
      <c r="BC76" s="544">
        <f t="shared" si="60"/>
        <v>4143.46</v>
      </c>
      <c r="BD76" s="1970"/>
      <c r="BE76" s="376">
        <f t="shared" si="52"/>
        <v>9466.510000000002</v>
      </c>
      <c r="BF76" s="26"/>
      <c r="BG76" s="26"/>
      <c r="BP76" s="26"/>
      <c r="BQ76" s="26"/>
    </row>
    <row r="77" spans="2:69" ht="15.6" customHeight="1" x14ac:dyDescent="0.25">
      <c r="B77" s="8" t="s">
        <v>1444</v>
      </c>
      <c r="C77" s="159" t="s">
        <v>354</v>
      </c>
      <c r="D77" s="597"/>
      <c r="E77" s="1970">
        <v>4503.93</v>
      </c>
      <c r="F77" s="1204"/>
      <c r="G77" s="1970">
        <v>618.07000000000005</v>
      </c>
      <c r="H77" s="1662"/>
      <c r="I77" s="1665">
        <f t="shared" si="36"/>
        <v>5122</v>
      </c>
      <c r="J77" s="1204"/>
      <c r="K77" s="1970">
        <v>6679.659999999998</v>
      </c>
      <c r="L77" s="200"/>
      <c r="M77" s="1154">
        <f t="shared" si="37"/>
        <v>11801.659999999998</v>
      </c>
      <c r="N77" s="1204"/>
      <c r="O77" s="1970">
        <v>9326.489999999998</v>
      </c>
      <c r="P77" s="1204"/>
      <c r="Q77" s="1662">
        <f t="shared" si="38"/>
        <v>21128.149999999994</v>
      </c>
      <c r="R77" s="1204"/>
      <c r="S77" s="1970"/>
      <c r="T77" s="1204"/>
      <c r="U77" s="1662">
        <f t="shared" si="39"/>
        <v>21128.149999999994</v>
      </c>
      <c r="V77" s="1204"/>
      <c r="W77" s="1970">
        <v>7873.7</v>
      </c>
      <c r="X77" s="200"/>
      <c r="Y77" s="1154">
        <f t="shared" si="59"/>
        <v>17200.189999999999</v>
      </c>
      <c r="Z77" s="1970"/>
      <c r="AA77" s="544">
        <f t="shared" si="56"/>
        <v>29001.85</v>
      </c>
      <c r="AB77" s="1970"/>
      <c r="AC77" s="1283">
        <v>2125.13</v>
      </c>
      <c r="AD77" s="1970"/>
      <c r="AE77" s="1720">
        <f t="shared" si="48"/>
        <v>31126.98</v>
      </c>
      <c r="AF77" s="1970"/>
      <c r="AG77" s="1283">
        <v>4123.4000000000005</v>
      </c>
      <c r="AH77" s="1970"/>
      <c r="AI77" s="5511">
        <f t="shared" si="49"/>
        <v>35250.379999999997</v>
      </c>
      <c r="AJ77" s="1970"/>
      <c r="AK77" s="1283">
        <v>319.88</v>
      </c>
      <c r="AL77" s="1970"/>
      <c r="AM77" s="1154">
        <f t="shared" si="57"/>
        <v>6568.4100000000008</v>
      </c>
      <c r="AN77" s="1970"/>
      <c r="AO77" s="1720">
        <f t="shared" ref="AO77:AO100" si="61">AI77+AK77</f>
        <v>35570.259999999995</v>
      </c>
      <c r="AP77" s="1970"/>
      <c r="AQ77" s="1283">
        <v>555.46</v>
      </c>
      <c r="AR77" s="1970"/>
      <c r="AS77" s="1720">
        <f t="shared" si="50"/>
        <v>36125.719999999994</v>
      </c>
      <c r="AT77" s="1970"/>
      <c r="AU77" s="1283">
        <v>3331.72</v>
      </c>
      <c r="AV77" s="1970"/>
      <c r="AW77" s="1720">
        <f t="shared" si="51"/>
        <v>39457.439999999995</v>
      </c>
      <c r="AX77" s="1970"/>
      <c r="AY77" s="1283">
        <v>2160.37</v>
      </c>
      <c r="AZ77" s="1970"/>
      <c r="BA77" s="1154">
        <f t="shared" si="58"/>
        <v>6047.5499999999993</v>
      </c>
      <c r="BB77" s="1970"/>
      <c r="BC77" s="544">
        <f t="shared" si="60"/>
        <v>12615.96</v>
      </c>
      <c r="BD77" s="1970"/>
      <c r="BE77" s="376">
        <f t="shared" si="52"/>
        <v>41617.81</v>
      </c>
      <c r="BF77" s="26"/>
      <c r="BG77" s="26"/>
      <c r="BP77" s="26"/>
      <c r="BQ77" s="26"/>
    </row>
    <row r="78" spans="2:69" ht="15.6" customHeight="1" x14ac:dyDescent="0.25">
      <c r="B78" s="8" t="s">
        <v>2138</v>
      </c>
      <c r="C78" s="159" t="s">
        <v>354</v>
      </c>
      <c r="D78" s="597"/>
      <c r="E78" s="1970">
        <v>38</v>
      </c>
      <c r="F78" s="1204"/>
      <c r="G78" s="1970">
        <v>10</v>
      </c>
      <c r="H78" s="1662"/>
      <c r="I78" s="1665">
        <f t="shared" si="36"/>
        <v>48</v>
      </c>
      <c r="J78" s="1204"/>
      <c r="K78" s="1970"/>
      <c r="L78" s="200"/>
      <c r="M78" s="1154">
        <f t="shared" si="37"/>
        <v>48</v>
      </c>
      <c r="N78" s="1204"/>
      <c r="O78" s="1970"/>
      <c r="P78" s="1204"/>
      <c r="Q78" s="1662">
        <f t="shared" si="38"/>
        <v>48</v>
      </c>
      <c r="R78" s="1204"/>
      <c r="S78" s="1970"/>
      <c r="T78" s="1204"/>
      <c r="U78" s="1662">
        <f t="shared" si="39"/>
        <v>48</v>
      </c>
      <c r="V78" s="1204"/>
      <c r="W78" s="1970"/>
      <c r="X78" s="200"/>
      <c r="Y78" s="1154">
        <f t="shared" si="59"/>
        <v>0</v>
      </c>
      <c r="Z78" s="1970"/>
      <c r="AA78" s="544">
        <f t="shared" si="56"/>
        <v>48</v>
      </c>
      <c r="AB78" s="1970"/>
      <c r="AC78" s="1283"/>
      <c r="AD78" s="1970"/>
      <c r="AE78" s="1720">
        <f t="shared" si="48"/>
        <v>48</v>
      </c>
      <c r="AF78" s="1970"/>
      <c r="AG78" s="1283"/>
      <c r="AH78" s="1970"/>
      <c r="AI78" s="5511">
        <f t="shared" si="49"/>
        <v>48</v>
      </c>
      <c r="AJ78" s="1970"/>
      <c r="AK78" s="1283"/>
      <c r="AL78" s="1970"/>
      <c r="AM78" s="1154">
        <f t="shared" si="57"/>
        <v>0</v>
      </c>
      <c r="AN78" s="1970"/>
      <c r="AO78" s="1720">
        <f t="shared" si="61"/>
        <v>48</v>
      </c>
      <c r="AP78" s="1970"/>
      <c r="AQ78" s="1283">
        <v>51</v>
      </c>
      <c r="AR78" s="1970"/>
      <c r="AS78" s="1720">
        <f t="shared" si="50"/>
        <v>99</v>
      </c>
      <c r="AT78" s="1970"/>
      <c r="AU78" s="1283"/>
      <c r="AV78" s="1970"/>
      <c r="AW78" s="1720">
        <f t="shared" si="51"/>
        <v>99</v>
      </c>
      <c r="AX78" s="1970"/>
      <c r="AY78" s="1283">
        <v>21</v>
      </c>
      <c r="AZ78" s="1970"/>
      <c r="BA78" s="1154">
        <f t="shared" si="58"/>
        <v>72</v>
      </c>
      <c r="BB78" s="1970"/>
      <c r="BC78" s="544">
        <f t="shared" si="60"/>
        <v>72</v>
      </c>
      <c r="BD78" s="1970"/>
      <c r="BE78" s="376">
        <f>+AW78+AY78</f>
        <v>120</v>
      </c>
      <c r="BF78" s="26"/>
      <c r="BG78" s="26"/>
      <c r="BP78" s="26"/>
      <c r="BQ78" s="26"/>
    </row>
    <row r="79" spans="2:69" ht="15.6" customHeight="1" x14ac:dyDescent="0.25">
      <c r="B79" s="8" t="s">
        <v>1293</v>
      </c>
      <c r="C79" s="159" t="s">
        <v>354</v>
      </c>
      <c r="D79" s="597"/>
      <c r="E79" s="1204"/>
      <c r="F79" s="1204"/>
      <c r="G79" s="1970"/>
      <c r="H79" s="1662"/>
      <c r="I79" s="1665">
        <f t="shared" si="36"/>
        <v>0</v>
      </c>
      <c r="J79" s="1204"/>
      <c r="K79" s="1970"/>
      <c r="L79" s="200"/>
      <c r="M79" s="1154">
        <f t="shared" si="37"/>
        <v>0</v>
      </c>
      <c r="N79" s="1204"/>
      <c r="O79" s="1970">
        <v>70</v>
      </c>
      <c r="P79" s="1204"/>
      <c r="Q79" s="1662">
        <f t="shared" si="38"/>
        <v>70</v>
      </c>
      <c r="R79" s="1204"/>
      <c r="S79" s="1970"/>
      <c r="T79" s="1204"/>
      <c r="U79" s="1662">
        <f t="shared" si="39"/>
        <v>70</v>
      </c>
      <c r="V79" s="1204"/>
      <c r="W79" s="1970">
        <v>152</v>
      </c>
      <c r="X79" s="200"/>
      <c r="Y79" s="1154">
        <f t="shared" si="59"/>
        <v>222</v>
      </c>
      <c r="Z79" s="1970"/>
      <c r="AA79" s="544">
        <f t="shared" si="56"/>
        <v>222</v>
      </c>
      <c r="AB79" s="1970"/>
      <c r="AC79" s="1283"/>
      <c r="AD79" s="1970"/>
      <c r="AE79" s="1720">
        <f t="shared" si="48"/>
        <v>222</v>
      </c>
      <c r="AF79" s="1970"/>
      <c r="AG79" s="1283"/>
      <c r="AH79" s="1970"/>
      <c r="AI79" s="5511">
        <f t="shared" si="49"/>
        <v>222</v>
      </c>
      <c r="AJ79" s="1970"/>
      <c r="AK79" s="1283"/>
      <c r="AL79" s="1970"/>
      <c r="AM79" s="1154">
        <f t="shared" si="57"/>
        <v>0</v>
      </c>
      <c r="AN79" s="1970"/>
      <c r="AO79" s="1720">
        <f t="shared" si="61"/>
        <v>222</v>
      </c>
      <c r="AP79" s="1970"/>
      <c r="AQ79" s="1283"/>
      <c r="AR79" s="1970"/>
      <c r="AS79" s="1720">
        <f t="shared" si="50"/>
        <v>222</v>
      </c>
      <c r="AT79" s="1970"/>
      <c r="AU79" s="1283"/>
      <c r="AV79" s="1970"/>
      <c r="AW79" s="1720">
        <f t="shared" si="51"/>
        <v>222</v>
      </c>
      <c r="AX79" s="1970"/>
      <c r="AY79" s="1283"/>
      <c r="AZ79" s="1970"/>
      <c r="BA79" s="1154">
        <f t="shared" si="58"/>
        <v>0</v>
      </c>
      <c r="BB79" s="1970"/>
      <c r="BC79" s="544">
        <f t="shared" si="60"/>
        <v>0</v>
      </c>
      <c r="BD79" s="1970"/>
      <c r="BE79" s="376">
        <f t="shared" ref="BE79:BE91" si="62">+AW79+AY79</f>
        <v>222</v>
      </c>
      <c r="BF79" s="26"/>
      <c r="BG79" s="26"/>
      <c r="BP79" s="26"/>
      <c r="BQ79" s="26"/>
    </row>
    <row r="80" spans="2:69" ht="15.6" customHeight="1" x14ac:dyDescent="0.25">
      <c r="B80" s="8" t="s">
        <v>1488</v>
      </c>
      <c r="C80" s="159" t="s">
        <v>354</v>
      </c>
      <c r="D80" s="597"/>
      <c r="E80" s="1204"/>
      <c r="F80" s="1204"/>
      <c r="G80" s="1970"/>
      <c r="H80" s="1662"/>
      <c r="I80" s="1665">
        <f t="shared" si="36"/>
        <v>0</v>
      </c>
      <c r="J80" s="1204"/>
      <c r="K80" s="1970"/>
      <c r="L80" s="200"/>
      <c r="M80" s="1154">
        <f t="shared" si="37"/>
        <v>0</v>
      </c>
      <c r="N80" s="1204"/>
      <c r="O80" s="1970"/>
      <c r="P80" s="1204"/>
      <c r="Q80" s="1662">
        <f t="shared" si="38"/>
        <v>0</v>
      </c>
      <c r="R80" s="1204"/>
      <c r="S80" s="1970"/>
      <c r="T80" s="1204"/>
      <c r="U80" s="1662">
        <f t="shared" si="39"/>
        <v>0</v>
      </c>
      <c r="V80" s="1204"/>
      <c r="W80" s="1970"/>
      <c r="X80" s="200"/>
      <c r="Y80" s="1154">
        <f t="shared" si="59"/>
        <v>0</v>
      </c>
      <c r="Z80" s="1970"/>
      <c r="AA80" s="544">
        <f t="shared" si="56"/>
        <v>0</v>
      </c>
      <c r="AB80" s="1970"/>
      <c r="AC80" s="1283"/>
      <c r="AD80" s="1970"/>
      <c r="AE80" s="1720">
        <f t="shared" si="48"/>
        <v>0</v>
      </c>
      <c r="AF80" s="1970"/>
      <c r="AG80" s="1283"/>
      <c r="AH80" s="1970"/>
      <c r="AI80" s="5511">
        <f t="shared" si="49"/>
        <v>0</v>
      </c>
      <c r="AJ80" s="1970"/>
      <c r="AK80" s="1283">
        <v>395</v>
      </c>
      <c r="AL80" s="1970"/>
      <c r="AM80" s="1154">
        <f t="shared" si="57"/>
        <v>395</v>
      </c>
      <c r="AN80" s="1970"/>
      <c r="AO80" s="1720">
        <f t="shared" si="61"/>
        <v>395</v>
      </c>
      <c r="AP80" s="1970"/>
      <c r="AQ80" s="1283">
        <v>520</v>
      </c>
      <c r="AR80" s="1970"/>
      <c r="AS80" s="1720">
        <f t="shared" si="50"/>
        <v>915</v>
      </c>
      <c r="AT80" s="1970"/>
      <c r="AU80" s="1283"/>
      <c r="AV80" s="1970"/>
      <c r="AW80" s="1720">
        <f t="shared" si="51"/>
        <v>915</v>
      </c>
      <c r="AX80" s="1970"/>
      <c r="AY80" s="1283">
        <v>136</v>
      </c>
      <c r="AZ80" s="1970"/>
      <c r="BA80" s="1154">
        <f t="shared" si="58"/>
        <v>656</v>
      </c>
      <c r="BB80" s="1970"/>
      <c r="BC80" s="544">
        <f t="shared" si="60"/>
        <v>1051</v>
      </c>
      <c r="BD80" s="1970"/>
      <c r="BE80" s="376">
        <f t="shared" si="62"/>
        <v>1051</v>
      </c>
      <c r="BF80" s="26"/>
      <c r="BG80" s="26"/>
      <c r="BP80" s="26"/>
      <c r="BQ80" s="26"/>
    </row>
    <row r="81" spans="1:69" ht="15.6" customHeight="1" x14ac:dyDescent="0.25">
      <c r="B81" s="8" t="s">
        <v>1487</v>
      </c>
      <c r="C81" s="159" t="s">
        <v>354</v>
      </c>
      <c r="D81" s="597"/>
      <c r="E81" s="1204"/>
      <c r="F81" s="1204"/>
      <c r="G81" s="1970">
        <v>140</v>
      </c>
      <c r="H81" s="1662"/>
      <c r="I81" s="1665">
        <f t="shared" si="36"/>
        <v>140</v>
      </c>
      <c r="J81" s="1204"/>
      <c r="K81" s="1970"/>
      <c r="L81" s="200"/>
      <c r="M81" s="1154">
        <f t="shared" si="37"/>
        <v>140</v>
      </c>
      <c r="N81" s="1204"/>
      <c r="O81" s="1970"/>
      <c r="P81" s="1204"/>
      <c r="Q81" s="1662">
        <f t="shared" si="38"/>
        <v>140</v>
      </c>
      <c r="R81" s="1204"/>
      <c r="S81" s="1970"/>
      <c r="T81" s="1204"/>
      <c r="U81" s="1662">
        <f t="shared" si="39"/>
        <v>140</v>
      </c>
      <c r="V81" s="1204"/>
      <c r="W81" s="1970"/>
      <c r="X81" s="200"/>
      <c r="Y81" s="1154">
        <f t="shared" si="59"/>
        <v>0</v>
      </c>
      <c r="Z81" s="1970"/>
      <c r="AA81" s="544">
        <f t="shared" si="56"/>
        <v>140</v>
      </c>
      <c r="AB81" s="1970"/>
      <c r="AC81" s="1283"/>
      <c r="AD81" s="1970"/>
      <c r="AE81" s="1720">
        <f t="shared" si="48"/>
        <v>140</v>
      </c>
      <c r="AF81" s="1970"/>
      <c r="AG81" s="1283"/>
      <c r="AH81" s="1970"/>
      <c r="AI81" s="5511">
        <f t="shared" si="49"/>
        <v>140</v>
      </c>
      <c r="AJ81" s="1970"/>
      <c r="AK81" s="1283">
        <v>200</v>
      </c>
      <c r="AL81" s="1970"/>
      <c r="AM81" s="1154">
        <f t="shared" ref="AM81:AM138" si="63">+AC81+AG81+AK81</f>
        <v>200</v>
      </c>
      <c r="AN81" s="1970"/>
      <c r="AO81" s="1720">
        <f t="shared" si="61"/>
        <v>340</v>
      </c>
      <c r="AP81" s="1970"/>
      <c r="AQ81" s="1283"/>
      <c r="AR81" s="1970"/>
      <c r="AS81" s="1720">
        <f t="shared" si="50"/>
        <v>340</v>
      </c>
      <c r="AT81" s="1970"/>
      <c r="AU81" s="1283"/>
      <c r="AV81" s="1970"/>
      <c r="AW81" s="1720">
        <f t="shared" si="51"/>
        <v>340</v>
      </c>
      <c r="AX81" s="1970"/>
      <c r="AY81" s="1283"/>
      <c r="AZ81" s="1970"/>
      <c r="BA81" s="1154">
        <f t="shared" si="58"/>
        <v>0</v>
      </c>
      <c r="BB81" s="1970"/>
      <c r="BC81" s="544">
        <f t="shared" si="60"/>
        <v>200</v>
      </c>
      <c r="BD81" s="1970"/>
      <c r="BE81" s="376">
        <f t="shared" si="62"/>
        <v>340</v>
      </c>
      <c r="BF81" s="26"/>
      <c r="BG81" s="26"/>
      <c r="BP81" s="26"/>
      <c r="BQ81" s="26"/>
    </row>
    <row r="82" spans="1:69" ht="15.6" customHeight="1" x14ac:dyDescent="0.25">
      <c r="B82" s="8" t="s">
        <v>1486</v>
      </c>
      <c r="C82" s="159" t="s">
        <v>354</v>
      </c>
      <c r="D82" s="597"/>
      <c r="E82" s="1204"/>
      <c r="F82" s="1204"/>
      <c r="G82" s="1970"/>
      <c r="H82" s="1662"/>
      <c r="I82" s="1665">
        <f t="shared" si="36"/>
        <v>0</v>
      </c>
      <c r="J82" s="1204"/>
      <c r="K82" s="1970"/>
      <c r="L82" s="200"/>
      <c r="M82" s="1154">
        <f t="shared" si="37"/>
        <v>0</v>
      </c>
      <c r="N82" s="1204"/>
      <c r="O82" s="1970">
        <v>130</v>
      </c>
      <c r="P82" s="1204"/>
      <c r="Q82" s="1662">
        <f t="shared" si="38"/>
        <v>130</v>
      </c>
      <c r="R82" s="1204"/>
      <c r="S82" s="1970"/>
      <c r="T82" s="1204"/>
      <c r="U82" s="1662">
        <f t="shared" si="39"/>
        <v>130</v>
      </c>
      <c r="V82" s="1204"/>
      <c r="W82" s="1970"/>
      <c r="X82" s="200"/>
      <c r="Y82" s="1154">
        <f t="shared" si="59"/>
        <v>130</v>
      </c>
      <c r="Z82" s="1970"/>
      <c r="AA82" s="544">
        <f t="shared" si="56"/>
        <v>130</v>
      </c>
      <c r="AB82" s="1970"/>
      <c r="AC82" s="1283"/>
      <c r="AD82" s="1970"/>
      <c r="AE82" s="1720">
        <f t="shared" si="48"/>
        <v>130</v>
      </c>
      <c r="AF82" s="1970"/>
      <c r="AG82" s="1283"/>
      <c r="AH82" s="1970"/>
      <c r="AI82" s="5511">
        <f t="shared" si="49"/>
        <v>130</v>
      </c>
      <c r="AJ82" s="1970"/>
      <c r="AK82" s="1283"/>
      <c r="AL82" s="1970"/>
      <c r="AM82" s="1154">
        <f t="shared" si="63"/>
        <v>0</v>
      </c>
      <c r="AN82" s="1970"/>
      <c r="AO82" s="1720">
        <f t="shared" si="61"/>
        <v>130</v>
      </c>
      <c r="AP82" s="1970"/>
      <c r="AQ82" s="1283">
        <v>120</v>
      </c>
      <c r="AR82" s="1970"/>
      <c r="AS82" s="1720">
        <f t="shared" si="50"/>
        <v>250</v>
      </c>
      <c r="AT82" s="1970"/>
      <c r="AU82" s="1283"/>
      <c r="AV82" s="1970"/>
      <c r="AW82" s="1720">
        <f t="shared" si="51"/>
        <v>250</v>
      </c>
      <c r="AX82" s="1970"/>
      <c r="AY82" s="1283"/>
      <c r="AZ82" s="1970"/>
      <c r="BA82" s="1154">
        <f t="shared" si="58"/>
        <v>120</v>
      </c>
      <c r="BB82" s="1970"/>
      <c r="BC82" s="544">
        <f t="shared" si="60"/>
        <v>120</v>
      </c>
      <c r="BD82" s="1970"/>
      <c r="BE82" s="376">
        <f t="shared" si="62"/>
        <v>250</v>
      </c>
      <c r="BF82" s="26"/>
      <c r="BG82" s="26"/>
      <c r="BP82" s="26"/>
      <c r="BQ82" s="26"/>
    </row>
    <row r="83" spans="1:69" ht="15.6" customHeight="1" x14ac:dyDescent="0.25">
      <c r="B83" s="8" t="s">
        <v>2020</v>
      </c>
      <c r="C83" s="159" t="s">
        <v>354</v>
      </c>
      <c r="D83" s="597"/>
      <c r="E83" s="1204"/>
      <c r="F83" s="1204"/>
      <c r="G83" s="1970"/>
      <c r="H83" s="1662"/>
      <c r="I83" s="1665">
        <f t="shared" si="36"/>
        <v>0</v>
      </c>
      <c r="J83" s="1204"/>
      <c r="K83" s="1970"/>
      <c r="L83" s="200"/>
      <c r="M83" s="1154">
        <f t="shared" si="37"/>
        <v>0</v>
      </c>
      <c r="N83" s="1204"/>
      <c r="O83" s="1970"/>
      <c r="P83" s="1204"/>
      <c r="Q83" s="1662">
        <f t="shared" si="38"/>
        <v>0</v>
      </c>
      <c r="R83" s="1204"/>
      <c r="S83" s="1970"/>
      <c r="T83" s="1204"/>
      <c r="U83" s="1662">
        <f t="shared" si="39"/>
        <v>0</v>
      </c>
      <c r="V83" s="1204"/>
      <c r="W83" s="1970"/>
      <c r="X83" s="200"/>
      <c r="Y83" s="1154">
        <f t="shared" si="59"/>
        <v>0</v>
      </c>
      <c r="Z83" s="1970"/>
      <c r="AA83" s="544">
        <f t="shared" si="56"/>
        <v>0</v>
      </c>
      <c r="AB83" s="1970"/>
      <c r="AC83" s="1283"/>
      <c r="AD83" s="1970"/>
      <c r="AE83" s="1720">
        <f t="shared" si="48"/>
        <v>0</v>
      </c>
      <c r="AF83" s="1970"/>
      <c r="AG83" s="1283">
        <v>1</v>
      </c>
      <c r="AH83" s="1970"/>
      <c r="AI83" s="5511">
        <f t="shared" si="49"/>
        <v>1</v>
      </c>
      <c r="AJ83" s="1970"/>
      <c r="AK83" s="1283"/>
      <c r="AL83" s="1970"/>
      <c r="AM83" s="1154">
        <f t="shared" si="63"/>
        <v>1</v>
      </c>
      <c r="AN83" s="1970"/>
      <c r="AO83" s="1720">
        <f t="shared" si="61"/>
        <v>1</v>
      </c>
      <c r="AP83" s="1970"/>
      <c r="AQ83" s="1283"/>
      <c r="AR83" s="1970"/>
      <c r="AS83" s="1720">
        <f t="shared" si="50"/>
        <v>1</v>
      </c>
      <c r="AT83" s="1970"/>
      <c r="AU83" s="1283">
        <v>1</v>
      </c>
      <c r="AV83" s="1970"/>
      <c r="AW83" s="1720">
        <f t="shared" si="51"/>
        <v>2</v>
      </c>
      <c r="AX83" s="1970"/>
      <c r="AY83" s="1283">
        <v>1</v>
      </c>
      <c r="AZ83" s="1970"/>
      <c r="BA83" s="1154">
        <f t="shared" si="58"/>
        <v>2</v>
      </c>
      <c r="BB83" s="1970"/>
      <c r="BC83" s="544">
        <f t="shared" si="60"/>
        <v>3</v>
      </c>
      <c r="BD83" s="1970"/>
      <c r="BE83" s="376">
        <f t="shared" si="62"/>
        <v>3</v>
      </c>
      <c r="BF83" s="26"/>
      <c r="BG83" s="26"/>
      <c r="BP83" s="26"/>
      <c r="BQ83" s="26"/>
    </row>
    <row r="84" spans="1:69" x14ac:dyDescent="0.25">
      <c r="B84" s="8" t="s">
        <v>1132</v>
      </c>
      <c r="C84" s="159" t="s">
        <v>354</v>
      </c>
      <c r="D84" s="597"/>
      <c r="E84" s="1970">
        <v>339</v>
      </c>
      <c r="F84" s="1204"/>
      <c r="G84" s="1970"/>
      <c r="H84" s="1662"/>
      <c r="I84" s="1665">
        <f t="shared" si="36"/>
        <v>339</v>
      </c>
      <c r="J84" s="1204"/>
      <c r="K84" s="1970"/>
      <c r="L84" s="200"/>
      <c r="M84" s="1154">
        <f t="shared" si="37"/>
        <v>339</v>
      </c>
      <c r="N84" s="1204"/>
      <c r="O84" s="1970"/>
      <c r="P84" s="1204"/>
      <c r="Q84" s="1662">
        <f t="shared" si="38"/>
        <v>339</v>
      </c>
      <c r="R84" s="1204"/>
      <c r="S84" s="1970"/>
      <c r="T84" s="1204"/>
      <c r="U84" s="1662">
        <f t="shared" si="39"/>
        <v>339</v>
      </c>
      <c r="V84" s="1204"/>
      <c r="W84" s="1970"/>
      <c r="X84" s="200"/>
      <c r="Y84" s="1154">
        <f t="shared" si="59"/>
        <v>0</v>
      </c>
      <c r="Z84" s="1970"/>
      <c r="AA84" s="544">
        <f t="shared" si="56"/>
        <v>339</v>
      </c>
      <c r="AB84" s="1970"/>
      <c r="AC84" s="1283"/>
      <c r="AD84" s="1970"/>
      <c r="AE84" s="1720">
        <f t="shared" si="48"/>
        <v>339</v>
      </c>
      <c r="AF84" s="1970"/>
      <c r="AG84" s="1283">
        <v>427</v>
      </c>
      <c r="AH84" s="1970"/>
      <c r="AI84" s="5511">
        <f t="shared" si="49"/>
        <v>766</v>
      </c>
      <c r="AJ84" s="1970"/>
      <c r="AK84" s="1283">
        <v>178</v>
      </c>
      <c r="AL84" s="1970"/>
      <c r="AM84" s="1154">
        <f t="shared" si="63"/>
        <v>605</v>
      </c>
      <c r="AN84" s="1970"/>
      <c r="AO84" s="1720">
        <f t="shared" si="61"/>
        <v>944</v>
      </c>
      <c r="AP84" s="1970"/>
      <c r="AQ84" s="1283">
        <v>185</v>
      </c>
      <c r="AR84" s="1970"/>
      <c r="AS84" s="1720">
        <f t="shared" si="50"/>
        <v>1129</v>
      </c>
      <c r="AT84" s="1970"/>
      <c r="AU84" s="1283"/>
      <c r="AV84" s="1970"/>
      <c r="AW84" s="1720">
        <f t="shared" si="51"/>
        <v>1129</v>
      </c>
      <c r="AX84" s="1970"/>
      <c r="AY84" s="1283"/>
      <c r="AZ84" s="1970"/>
      <c r="BA84" s="1154">
        <f t="shared" si="58"/>
        <v>185</v>
      </c>
      <c r="BB84" s="1970"/>
      <c r="BC84" s="544">
        <f t="shared" si="60"/>
        <v>790</v>
      </c>
      <c r="BD84" s="1970"/>
      <c r="BE84" s="376">
        <f t="shared" si="62"/>
        <v>1129</v>
      </c>
      <c r="BF84" s="26"/>
      <c r="BG84" s="26"/>
      <c r="BP84" s="26"/>
      <c r="BQ84" s="26"/>
    </row>
    <row r="85" spans="1:69" s="2868" customFormat="1" x14ac:dyDescent="0.25">
      <c r="B85" s="8" t="s">
        <v>1947</v>
      </c>
      <c r="C85" s="2878" t="s">
        <v>354</v>
      </c>
      <c r="D85" s="2879"/>
      <c r="E85" s="2860">
        <v>1788.99</v>
      </c>
      <c r="F85" s="2860"/>
      <c r="G85" s="2860">
        <v>3476.7399999999993</v>
      </c>
      <c r="H85" s="2880"/>
      <c r="I85" s="1665">
        <f t="shared" si="36"/>
        <v>5265.73</v>
      </c>
      <c r="J85" s="2860"/>
      <c r="K85" s="2860"/>
      <c r="L85" s="2881"/>
      <c r="M85" s="1154">
        <f t="shared" si="37"/>
        <v>5265.73</v>
      </c>
      <c r="N85" s="2860"/>
      <c r="O85" s="2860">
        <v>1129.71</v>
      </c>
      <c r="P85" s="2860"/>
      <c r="Q85" s="1662">
        <f t="shared" si="38"/>
        <v>6395.44</v>
      </c>
      <c r="R85" s="2860"/>
      <c r="S85" s="2860">
        <v>3869.02</v>
      </c>
      <c r="T85" s="2860"/>
      <c r="U85" s="1662">
        <f t="shared" si="39"/>
        <v>10264.459999999999</v>
      </c>
      <c r="V85" s="2860"/>
      <c r="W85" s="2860">
        <v>1632.27</v>
      </c>
      <c r="X85" s="2881"/>
      <c r="Y85" s="2886">
        <f t="shared" si="59"/>
        <v>6631</v>
      </c>
      <c r="Z85" s="2860"/>
      <c r="AA85" s="544">
        <f t="shared" si="56"/>
        <v>11896.73</v>
      </c>
      <c r="AB85" s="2860"/>
      <c r="AC85" s="5471">
        <v>1364.84</v>
      </c>
      <c r="AD85" s="2860"/>
      <c r="AE85" s="1720">
        <f t="shared" si="48"/>
        <v>13261.57</v>
      </c>
      <c r="AF85" s="2860"/>
      <c r="AG85" s="5471">
        <v>2002.66</v>
      </c>
      <c r="AH85" s="2860"/>
      <c r="AI85" s="5511">
        <f t="shared" si="49"/>
        <v>15264.23</v>
      </c>
      <c r="AJ85" s="2860"/>
      <c r="AK85" s="5471"/>
      <c r="AL85" s="2860"/>
      <c r="AM85" s="2886">
        <f t="shared" si="63"/>
        <v>3367.5</v>
      </c>
      <c r="AN85" s="2860"/>
      <c r="AO85" s="1720">
        <f t="shared" si="61"/>
        <v>15264.23</v>
      </c>
      <c r="AP85" s="2860"/>
      <c r="AQ85" s="5471">
        <v>1339.24</v>
      </c>
      <c r="AR85" s="2860"/>
      <c r="AS85" s="1720">
        <f t="shared" si="50"/>
        <v>16603.47</v>
      </c>
      <c r="AT85" s="1970"/>
      <c r="AU85" s="5471"/>
      <c r="AV85" s="1970"/>
      <c r="AW85" s="1720">
        <f t="shared" si="51"/>
        <v>16603.47</v>
      </c>
      <c r="AX85" s="1970"/>
      <c r="AY85" s="5471">
        <v>1869.27</v>
      </c>
      <c r="AZ85" s="2860"/>
      <c r="BA85" s="2886">
        <f t="shared" si="58"/>
        <v>3208.51</v>
      </c>
      <c r="BB85" s="2860"/>
      <c r="BC85" s="544">
        <f t="shared" si="60"/>
        <v>6576.01</v>
      </c>
      <c r="BD85" s="1970"/>
      <c r="BE85" s="376">
        <f t="shared" si="62"/>
        <v>18472.740000000002</v>
      </c>
      <c r="BF85" s="26"/>
      <c r="BG85" s="26"/>
      <c r="BP85" s="26"/>
      <c r="BQ85" s="26"/>
    </row>
    <row r="86" spans="1:69" s="2635" customFormat="1" x14ac:dyDescent="0.25">
      <c r="B86" s="8" t="s">
        <v>2292</v>
      </c>
      <c r="C86" s="159" t="s">
        <v>354</v>
      </c>
      <c r="D86" s="597"/>
      <c r="E86" s="1970">
        <v>4.8499999999999996</v>
      </c>
      <c r="F86" s="1970"/>
      <c r="G86" s="1970">
        <v>23.849999999999998</v>
      </c>
      <c r="H86" s="1662"/>
      <c r="I86" s="1665">
        <f t="shared" si="36"/>
        <v>28.699999999999996</v>
      </c>
      <c r="J86" s="1970"/>
      <c r="K86" s="1970"/>
      <c r="L86" s="200"/>
      <c r="M86" s="1154">
        <f t="shared" si="37"/>
        <v>28.699999999999996</v>
      </c>
      <c r="N86" s="1970"/>
      <c r="O86" s="1970"/>
      <c r="P86" s="1970"/>
      <c r="Q86" s="1662">
        <f t="shared" si="38"/>
        <v>28.699999999999996</v>
      </c>
      <c r="R86" s="1970"/>
      <c r="S86" s="1970"/>
      <c r="T86" s="1970"/>
      <c r="U86" s="1662">
        <f t="shared" si="39"/>
        <v>28.699999999999996</v>
      </c>
      <c r="V86" s="1970"/>
      <c r="W86" s="1970">
        <v>26</v>
      </c>
      <c r="X86" s="200"/>
      <c r="Y86" s="1154">
        <f t="shared" si="59"/>
        <v>26</v>
      </c>
      <c r="Z86" s="1970"/>
      <c r="AA86" s="544">
        <f t="shared" si="56"/>
        <v>54.699999999999996</v>
      </c>
      <c r="AB86" s="1970"/>
      <c r="AC86" s="1283"/>
      <c r="AD86" s="1970"/>
      <c r="AE86" s="1720">
        <f t="shared" si="48"/>
        <v>54.699999999999996</v>
      </c>
      <c r="AF86" s="1970"/>
      <c r="AG86" s="1283"/>
      <c r="AH86" s="1970"/>
      <c r="AI86" s="5511">
        <f t="shared" si="49"/>
        <v>54.699999999999996</v>
      </c>
      <c r="AJ86" s="1970"/>
      <c r="AK86" s="1283">
        <v>78</v>
      </c>
      <c r="AL86" s="1970"/>
      <c r="AM86" s="1154">
        <f t="shared" si="63"/>
        <v>78</v>
      </c>
      <c r="AN86" s="1970"/>
      <c r="AO86" s="1720">
        <f t="shared" si="61"/>
        <v>132.69999999999999</v>
      </c>
      <c r="AP86" s="1970"/>
      <c r="AQ86" s="1283"/>
      <c r="AR86" s="1970"/>
      <c r="AS86" s="1720">
        <f t="shared" si="50"/>
        <v>132.69999999999999</v>
      </c>
      <c r="AT86" s="1970"/>
      <c r="AU86" s="1283"/>
      <c r="AV86" s="1970"/>
      <c r="AW86" s="1720">
        <f t="shared" si="51"/>
        <v>132.69999999999999</v>
      </c>
      <c r="AX86" s="1970"/>
      <c r="AY86" s="1283"/>
      <c r="AZ86" s="1970"/>
      <c r="BA86" s="1154">
        <f t="shared" si="58"/>
        <v>0</v>
      </c>
      <c r="BB86" s="1970"/>
      <c r="BC86" s="544">
        <f t="shared" si="60"/>
        <v>78</v>
      </c>
      <c r="BD86" s="1970"/>
      <c r="BE86" s="376">
        <f t="shared" si="62"/>
        <v>132.69999999999999</v>
      </c>
      <c r="BF86" s="26"/>
      <c r="BG86" s="26"/>
      <c r="BP86" s="26"/>
      <c r="BQ86" s="26"/>
    </row>
    <row r="87" spans="1:69" x14ac:dyDescent="0.25">
      <c r="B87" s="8" t="s">
        <v>1445</v>
      </c>
      <c r="C87" s="159" t="s">
        <v>354</v>
      </c>
      <c r="D87" s="597"/>
      <c r="E87" s="1204"/>
      <c r="F87" s="1204"/>
      <c r="G87" s="1970"/>
      <c r="H87" s="1662"/>
      <c r="I87" s="1665">
        <f t="shared" ref="I87:I91" si="64">+E87+G87</f>
        <v>0</v>
      </c>
      <c r="J87" s="1204"/>
      <c r="K87" s="1970"/>
      <c r="L87" s="200"/>
      <c r="M87" s="1154">
        <f t="shared" si="37"/>
        <v>0</v>
      </c>
      <c r="N87" s="1204"/>
      <c r="O87" s="1970"/>
      <c r="P87" s="1204"/>
      <c r="Q87" s="1662">
        <f t="shared" si="38"/>
        <v>0</v>
      </c>
      <c r="R87" s="1204"/>
      <c r="S87" s="1970"/>
      <c r="T87" s="1204"/>
      <c r="U87" s="1662">
        <f t="shared" si="39"/>
        <v>0</v>
      </c>
      <c r="V87" s="1204"/>
      <c r="W87" s="1970"/>
      <c r="X87" s="200"/>
      <c r="Y87" s="1154">
        <f t="shared" si="59"/>
        <v>0</v>
      </c>
      <c r="Z87" s="1970"/>
      <c r="AA87" s="544">
        <f t="shared" si="56"/>
        <v>0</v>
      </c>
      <c r="AB87" s="1970"/>
      <c r="AC87" s="1283"/>
      <c r="AD87" s="1970"/>
      <c r="AE87" s="1720">
        <f t="shared" si="48"/>
        <v>0</v>
      </c>
      <c r="AF87" s="1970"/>
      <c r="AG87" s="1283">
        <v>6.73</v>
      </c>
      <c r="AH87" s="1970"/>
      <c r="AI87" s="5511">
        <f t="shared" si="49"/>
        <v>6.73</v>
      </c>
      <c r="AJ87" s="1970"/>
      <c r="AK87" s="1283"/>
      <c r="AL87" s="1970"/>
      <c r="AM87" s="1154">
        <f t="shared" si="63"/>
        <v>6.73</v>
      </c>
      <c r="AN87" s="1970"/>
      <c r="AO87" s="1720">
        <f t="shared" si="61"/>
        <v>6.73</v>
      </c>
      <c r="AP87" s="1970"/>
      <c r="AQ87" s="1283"/>
      <c r="AR87" s="1970"/>
      <c r="AS87" s="1720">
        <f t="shared" si="50"/>
        <v>6.73</v>
      </c>
      <c r="AT87" s="1970"/>
      <c r="AU87" s="1283"/>
      <c r="AV87" s="1970"/>
      <c r="AW87" s="1720">
        <f t="shared" si="51"/>
        <v>6.73</v>
      </c>
      <c r="AX87" s="1970"/>
      <c r="AY87" s="1283"/>
      <c r="AZ87" s="1970"/>
      <c r="BA87" s="1154">
        <f t="shared" si="58"/>
        <v>0</v>
      </c>
      <c r="BB87" s="1970"/>
      <c r="BC87" s="544">
        <f t="shared" si="60"/>
        <v>6.73</v>
      </c>
      <c r="BD87" s="1970"/>
      <c r="BE87" s="376">
        <f t="shared" si="62"/>
        <v>6.73</v>
      </c>
      <c r="BF87" s="26"/>
      <c r="BG87" s="26"/>
      <c r="BP87" s="26"/>
      <c r="BQ87" s="26"/>
    </row>
    <row r="88" spans="1:69" x14ac:dyDescent="0.25">
      <c r="B88" s="8" t="s">
        <v>2037</v>
      </c>
      <c r="C88" s="159" t="s">
        <v>354</v>
      </c>
      <c r="D88" s="597"/>
      <c r="E88" s="1204"/>
      <c r="F88" s="1204"/>
      <c r="G88" s="1970"/>
      <c r="H88" s="1662"/>
      <c r="I88" s="1665">
        <f t="shared" si="64"/>
        <v>0</v>
      </c>
      <c r="J88" s="1204"/>
      <c r="K88" s="1970"/>
      <c r="L88" s="200"/>
      <c r="M88" s="1154">
        <f t="shared" si="37"/>
        <v>0</v>
      </c>
      <c r="N88" s="1204"/>
      <c r="O88" s="1970"/>
      <c r="P88" s="1204"/>
      <c r="Q88" s="1662">
        <f t="shared" si="38"/>
        <v>0</v>
      </c>
      <c r="R88" s="1204"/>
      <c r="S88" s="1970"/>
      <c r="T88" s="1204"/>
      <c r="U88" s="1662">
        <f t="shared" si="39"/>
        <v>0</v>
      </c>
      <c r="V88" s="1204"/>
      <c r="W88" s="1970"/>
      <c r="X88" s="200"/>
      <c r="Y88" s="1154">
        <f t="shared" si="59"/>
        <v>0</v>
      </c>
      <c r="Z88" s="1970"/>
      <c r="AA88" s="544">
        <f t="shared" si="56"/>
        <v>0</v>
      </c>
      <c r="AB88" s="1970"/>
      <c r="AC88" s="1283"/>
      <c r="AD88" s="1970"/>
      <c r="AE88" s="1720">
        <f t="shared" si="48"/>
        <v>0</v>
      </c>
      <c r="AF88" s="1970"/>
      <c r="AG88" s="1283"/>
      <c r="AH88" s="1970"/>
      <c r="AI88" s="5511">
        <f t="shared" si="49"/>
        <v>0</v>
      </c>
      <c r="AJ88" s="1970"/>
      <c r="AK88" s="1283">
        <v>160</v>
      </c>
      <c r="AL88" s="1970"/>
      <c r="AM88" s="1154">
        <f t="shared" si="63"/>
        <v>160</v>
      </c>
      <c r="AN88" s="1970"/>
      <c r="AO88" s="1720">
        <f t="shared" si="61"/>
        <v>160</v>
      </c>
      <c r="AP88" s="1970"/>
      <c r="AQ88" s="1283"/>
      <c r="AR88" s="1970"/>
      <c r="AS88" s="1720">
        <f t="shared" si="50"/>
        <v>160</v>
      </c>
      <c r="AT88" s="1970"/>
      <c r="AU88" s="1283"/>
      <c r="AV88" s="1970"/>
      <c r="AW88" s="1720">
        <f t="shared" si="51"/>
        <v>160</v>
      </c>
      <c r="AX88" s="1970"/>
      <c r="AY88" s="1283"/>
      <c r="AZ88" s="1970"/>
      <c r="BA88" s="1154">
        <f t="shared" si="58"/>
        <v>0</v>
      </c>
      <c r="BB88" s="1970"/>
      <c r="BC88" s="544">
        <f t="shared" si="60"/>
        <v>160</v>
      </c>
      <c r="BD88" s="1970"/>
      <c r="BE88" s="376">
        <f t="shared" si="62"/>
        <v>160</v>
      </c>
      <c r="BF88" s="26"/>
      <c r="BG88" s="26"/>
      <c r="BP88" s="26"/>
      <c r="BQ88" s="26"/>
    </row>
    <row r="89" spans="1:69" ht="18" customHeight="1" x14ac:dyDescent="0.25">
      <c r="B89" s="8" t="s">
        <v>2021</v>
      </c>
      <c r="C89" s="159" t="s">
        <v>354</v>
      </c>
      <c r="D89" s="597"/>
      <c r="E89" s="1204"/>
      <c r="F89" s="1204"/>
      <c r="G89" s="1970"/>
      <c r="H89" s="1662"/>
      <c r="I89" s="1665">
        <f t="shared" si="64"/>
        <v>0</v>
      </c>
      <c r="J89" s="1204"/>
      <c r="K89" s="1970"/>
      <c r="L89" s="200"/>
      <c r="M89" s="1154">
        <f t="shared" si="37"/>
        <v>0</v>
      </c>
      <c r="N89" s="1204"/>
      <c r="O89" s="1970"/>
      <c r="P89" s="1204"/>
      <c r="Q89" s="1662">
        <f t="shared" si="38"/>
        <v>0</v>
      </c>
      <c r="R89" s="1204"/>
      <c r="S89" s="1970"/>
      <c r="T89" s="1204"/>
      <c r="U89" s="1662">
        <f t="shared" si="39"/>
        <v>0</v>
      </c>
      <c r="V89" s="1204"/>
      <c r="W89" s="1970"/>
      <c r="X89" s="200"/>
      <c r="Y89" s="1154">
        <f t="shared" si="59"/>
        <v>0</v>
      </c>
      <c r="Z89" s="1970"/>
      <c r="AA89" s="544">
        <f t="shared" si="56"/>
        <v>0</v>
      </c>
      <c r="AB89" s="1970"/>
      <c r="AC89" s="1283"/>
      <c r="AD89" s="1970"/>
      <c r="AE89" s="1720">
        <f t="shared" si="48"/>
        <v>0</v>
      </c>
      <c r="AF89" s="1970"/>
      <c r="AG89" s="1283">
        <v>59.66</v>
      </c>
      <c r="AH89" s="1970"/>
      <c r="AI89" s="5511">
        <f t="shared" si="49"/>
        <v>59.66</v>
      </c>
      <c r="AJ89" s="1970"/>
      <c r="AK89" s="1283"/>
      <c r="AL89" s="1970"/>
      <c r="AM89" s="1154">
        <f t="shared" si="63"/>
        <v>59.66</v>
      </c>
      <c r="AN89" s="1970"/>
      <c r="AO89" s="1720">
        <f t="shared" si="61"/>
        <v>59.66</v>
      </c>
      <c r="AP89" s="1970"/>
      <c r="AQ89" s="1283"/>
      <c r="AR89" s="1970"/>
      <c r="AS89" s="1720">
        <f t="shared" si="50"/>
        <v>59.66</v>
      </c>
      <c r="AT89" s="1970"/>
      <c r="AU89" s="1283"/>
      <c r="AV89" s="1970"/>
      <c r="AW89" s="1720">
        <f t="shared" si="51"/>
        <v>59.66</v>
      </c>
      <c r="AX89" s="1970"/>
      <c r="AY89" s="1283"/>
      <c r="AZ89" s="1970"/>
      <c r="BA89" s="1154">
        <f t="shared" si="58"/>
        <v>0</v>
      </c>
      <c r="BB89" s="1970"/>
      <c r="BC89" s="544">
        <f t="shared" si="60"/>
        <v>59.66</v>
      </c>
      <c r="BD89" s="1970"/>
      <c r="BE89" s="376">
        <f t="shared" si="62"/>
        <v>59.66</v>
      </c>
      <c r="BF89" s="26"/>
      <c r="BG89" s="26"/>
      <c r="BP89" s="26"/>
      <c r="BQ89" s="26"/>
    </row>
    <row r="90" spans="1:69" x14ac:dyDescent="0.25">
      <c r="B90" s="8" t="s">
        <v>1446</v>
      </c>
      <c r="C90" s="159" t="s">
        <v>354</v>
      </c>
      <c r="D90" s="597"/>
      <c r="E90" s="1970">
        <v>18.77</v>
      </c>
      <c r="F90" s="1204"/>
      <c r="G90" s="1970"/>
      <c r="H90" s="1662"/>
      <c r="I90" s="1665">
        <f t="shared" si="64"/>
        <v>18.77</v>
      </c>
      <c r="J90" s="1204"/>
      <c r="K90" s="1970">
        <v>9.91</v>
      </c>
      <c r="L90" s="200"/>
      <c r="M90" s="1154">
        <f t="shared" si="37"/>
        <v>28.68</v>
      </c>
      <c r="N90" s="1204"/>
      <c r="O90" s="1970"/>
      <c r="P90" s="1204"/>
      <c r="Q90" s="1662">
        <f t="shared" ref="Q90:Q116" si="65">+M90+O90</f>
        <v>28.68</v>
      </c>
      <c r="R90" s="1204"/>
      <c r="S90" s="1970">
        <v>29.39</v>
      </c>
      <c r="T90" s="1204"/>
      <c r="U90" s="1662">
        <f t="shared" ref="U90:U116" si="66">+Q90+S90</f>
        <v>58.07</v>
      </c>
      <c r="V90" s="1204"/>
      <c r="W90" s="1970"/>
      <c r="X90" s="200"/>
      <c r="Y90" s="1154">
        <f t="shared" si="59"/>
        <v>29.39</v>
      </c>
      <c r="Z90" s="1970"/>
      <c r="AA90" s="544">
        <f t="shared" si="56"/>
        <v>58.07</v>
      </c>
      <c r="AB90" s="1970"/>
      <c r="AC90" s="1283">
        <v>9.82</v>
      </c>
      <c r="AD90" s="1970"/>
      <c r="AE90" s="1720">
        <f t="shared" si="48"/>
        <v>67.89</v>
      </c>
      <c r="AF90" s="1970"/>
      <c r="AG90" s="1283">
        <v>19.89</v>
      </c>
      <c r="AH90" s="1970"/>
      <c r="AI90" s="5511">
        <f t="shared" si="49"/>
        <v>87.78</v>
      </c>
      <c r="AJ90" s="1970"/>
      <c r="AK90" s="1283"/>
      <c r="AL90" s="1970"/>
      <c r="AM90" s="1154">
        <f t="shared" si="63"/>
        <v>29.71</v>
      </c>
      <c r="AN90" s="1970"/>
      <c r="AO90" s="1720">
        <f t="shared" si="61"/>
        <v>87.78</v>
      </c>
      <c r="AP90" s="1970"/>
      <c r="AQ90" s="1283"/>
      <c r="AR90" s="1970"/>
      <c r="AS90" s="1720">
        <f t="shared" si="50"/>
        <v>87.78</v>
      </c>
      <c r="AT90" s="1970"/>
      <c r="AU90" s="1283"/>
      <c r="AV90" s="1970"/>
      <c r="AW90" s="1720">
        <f t="shared" si="51"/>
        <v>87.78</v>
      </c>
      <c r="AX90" s="1970"/>
      <c r="AY90" s="1283"/>
      <c r="AZ90" s="1970"/>
      <c r="BA90" s="1154">
        <f t="shared" si="58"/>
        <v>0</v>
      </c>
      <c r="BB90" s="1970"/>
      <c r="BC90" s="544">
        <f t="shared" si="60"/>
        <v>29.71</v>
      </c>
      <c r="BD90" s="1970"/>
      <c r="BE90" s="376">
        <f t="shared" si="62"/>
        <v>87.78</v>
      </c>
      <c r="BF90" s="26"/>
      <c r="BG90" s="26"/>
      <c r="BP90" s="26"/>
      <c r="BQ90" s="26"/>
    </row>
    <row r="91" spans="1:69" s="2821" customFormat="1" x14ac:dyDescent="0.25">
      <c r="B91" s="8" t="s">
        <v>1707</v>
      </c>
      <c r="C91" s="159" t="s">
        <v>354</v>
      </c>
      <c r="D91" s="597"/>
      <c r="E91" s="1970"/>
      <c r="F91" s="1970"/>
      <c r="G91" s="1970"/>
      <c r="H91" s="1662"/>
      <c r="I91" s="1665">
        <f t="shared" si="64"/>
        <v>0</v>
      </c>
      <c r="J91" s="1970"/>
      <c r="K91" s="1970"/>
      <c r="L91" s="200"/>
      <c r="M91" s="1154">
        <f t="shared" si="37"/>
        <v>0</v>
      </c>
      <c r="N91" s="1970"/>
      <c r="O91" s="1970"/>
      <c r="P91" s="1970"/>
      <c r="Q91" s="1662">
        <f t="shared" si="65"/>
        <v>0</v>
      </c>
      <c r="R91" s="1970"/>
      <c r="S91" s="1970"/>
      <c r="T91" s="1970"/>
      <c r="U91" s="1662">
        <f t="shared" si="66"/>
        <v>0</v>
      </c>
      <c r="V91" s="1970"/>
      <c r="W91" s="1970">
        <v>28.8</v>
      </c>
      <c r="X91" s="200"/>
      <c r="Y91" s="1154">
        <f t="shared" si="59"/>
        <v>28.8</v>
      </c>
      <c r="Z91" s="1970"/>
      <c r="AA91" s="544">
        <f t="shared" si="56"/>
        <v>28.8</v>
      </c>
      <c r="AB91" s="1970"/>
      <c r="AC91" s="1283">
        <v>13.88</v>
      </c>
      <c r="AD91" s="1970"/>
      <c r="AE91" s="1720">
        <f t="shared" si="48"/>
        <v>42.68</v>
      </c>
      <c r="AF91" s="1970"/>
      <c r="AG91" s="1283">
        <v>6.1</v>
      </c>
      <c r="AH91" s="1970"/>
      <c r="AI91" s="5511">
        <f t="shared" si="49"/>
        <v>48.78</v>
      </c>
      <c r="AJ91" s="1970"/>
      <c r="AK91" s="1283"/>
      <c r="AL91" s="1970"/>
      <c r="AM91" s="1154">
        <f t="shared" si="63"/>
        <v>19.98</v>
      </c>
      <c r="AN91" s="1970"/>
      <c r="AO91" s="1720">
        <f t="shared" si="61"/>
        <v>48.78</v>
      </c>
      <c r="AP91" s="1970"/>
      <c r="AQ91" s="1283"/>
      <c r="AR91" s="1970"/>
      <c r="AS91" s="1720">
        <f t="shared" si="50"/>
        <v>48.78</v>
      </c>
      <c r="AT91" s="1970"/>
      <c r="AU91" s="1283"/>
      <c r="AV91" s="1970"/>
      <c r="AW91" s="1720">
        <f t="shared" si="51"/>
        <v>48.78</v>
      </c>
      <c r="AX91" s="1970"/>
      <c r="AY91" s="1283"/>
      <c r="AZ91" s="1970"/>
      <c r="BA91" s="1154">
        <f t="shared" si="58"/>
        <v>0</v>
      </c>
      <c r="BB91" s="1970"/>
      <c r="BC91" s="544">
        <f t="shared" si="60"/>
        <v>19.98</v>
      </c>
      <c r="BD91" s="1970"/>
      <c r="BE91" s="376">
        <f t="shared" si="62"/>
        <v>48.78</v>
      </c>
      <c r="BF91" s="26"/>
      <c r="BG91" s="26"/>
      <c r="BP91" s="26"/>
      <c r="BQ91" s="26"/>
    </row>
    <row r="92" spans="1:69" x14ac:dyDescent="0.25">
      <c r="B92" s="8" t="s">
        <v>2319</v>
      </c>
      <c r="C92" s="159" t="s">
        <v>354</v>
      </c>
      <c r="D92" s="597"/>
      <c r="E92" s="597"/>
      <c r="F92" s="597"/>
      <c r="G92" s="597">
        <v>60.040000000000006</v>
      </c>
      <c r="H92" s="1664"/>
      <c r="I92" s="1662">
        <f t="shared" ref="I92:I116" si="67">+E92+G92</f>
        <v>60.040000000000006</v>
      </c>
      <c r="J92" s="597"/>
      <c r="K92" s="597">
        <v>81.11</v>
      </c>
      <c r="L92" s="200"/>
      <c r="M92" s="1154">
        <f t="shared" si="37"/>
        <v>141.15</v>
      </c>
      <c r="N92" s="597"/>
      <c r="O92" s="597">
        <v>16.29</v>
      </c>
      <c r="P92" s="597"/>
      <c r="Q92" s="1662">
        <f t="shared" si="65"/>
        <v>157.44</v>
      </c>
      <c r="R92" s="597"/>
      <c r="S92" s="597">
        <v>41.78</v>
      </c>
      <c r="T92" s="597"/>
      <c r="U92" s="1662">
        <f t="shared" si="66"/>
        <v>199.22</v>
      </c>
      <c r="V92" s="597"/>
      <c r="W92" s="597">
        <v>29.8</v>
      </c>
      <c r="X92" s="200"/>
      <c r="Y92" s="1154">
        <f t="shared" si="59"/>
        <v>87.87</v>
      </c>
      <c r="Z92" s="597"/>
      <c r="AA92" s="522">
        <f t="shared" si="56"/>
        <v>229.02</v>
      </c>
      <c r="AB92" s="597"/>
      <c r="AC92" s="5472">
        <v>74.52</v>
      </c>
      <c r="AD92" s="597"/>
      <c r="AE92" s="1720">
        <f t="shared" si="48"/>
        <v>303.54000000000002</v>
      </c>
      <c r="AF92" s="597"/>
      <c r="AG92" s="5472"/>
      <c r="AH92" s="597"/>
      <c r="AI92" s="5511">
        <f t="shared" si="49"/>
        <v>303.54000000000002</v>
      </c>
      <c r="AJ92" s="597"/>
      <c r="AK92" s="5472">
        <v>6.9</v>
      </c>
      <c r="AL92" s="597"/>
      <c r="AM92" s="1154">
        <f t="shared" si="63"/>
        <v>81.42</v>
      </c>
      <c r="AN92" s="597"/>
      <c r="AO92" s="1720">
        <f t="shared" si="61"/>
        <v>310.44</v>
      </c>
      <c r="AP92" s="597"/>
      <c r="AQ92" s="5472"/>
      <c r="AR92" s="597"/>
      <c r="AS92" s="1720">
        <f t="shared" si="50"/>
        <v>310.44</v>
      </c>
      <c r="AT92" s="597"/>
      <c r="AU92" s="5472"/>
      <c r="AV92" s="597"/>
      <c r="AW92" s="1720">
        <f t="shared" si="51"/>
        <v>310.44</v>
      </c>
      <c r="AX92" s="597"/>
      <c r="AY92" s="5472">
        <v>21.93</v>
      </c>
      <c r="AZ92" s="597"/>
      <c r="BA92" s="1154">
        <f t="shared" si="58"/>
        <v>21.93</v>
      </c>
      <c r="BB92" s="597"/>
      <c r="BC92" s="522">
        <f t="shared" si="60"/>
        <v>103.35</v>
      </c>
      <c r="BD92" s="597"/>
      <c r="BE92" s="256">
        <f>+AW92+AY92</f>
        <v>332.37</v>
      </c>
      <c r="BF92" s="26"/>
      <c r="BG92" s="26"/>
      <c r="BP92" s="26"/>
      <c r="BQ92" s="26"/>
    </row>
    <row r="93" spans="1:69" s="5172" customFormat="1" x14ac:dyDescent="0.25">
      <c r="B93" s="8" t="s">
        <v>1271</v>
      </c>
      <c r="C93" s="5428" t="s">
        <v>354</v>
      </c>
      <c r="D93" s="5442"/>
      <c r="E93" s="5442"/>
      <c r="F93" s="5442"/>
      <c r="G93" s="5442"/>
      <c r="H93" s="5443"/>
      <c r="I93" s="1662">
        <f t="shared" si="67"/>
        <v>0</v>
      </c>
      <c r="J93" s="5442"/>
      <c r="K93" s="5442"/>
      <c r="L93" s="5452"/>
      <c r="M93" s="5445"/>
      <c r="N93" s="5442"/>
      <c r="O93" s="5442"/>
      <c r="P93" s="5442"/>
      <c r="Q93" s="5451"/>
      <c r="R93" s="5442"/>
      <c r="S93" s="5442"/>
      <c r="T93" s="5442"/>
      <c r="U93" s="5451"/>
      <c r="V93" s="5442"/>
      <c r="W93" s="5442"/>
      <c r="X93" s="5452"/>
      <c r="Y93" s="5445"/>
      <c r="Z93" s="5442"/>
      <c r="AA93" s="5446"/>
      <c r="AB93" s="5442"/>
      <c r="AC93" s="5476">
        <v>96.699999999999989</v>
      </c>
      <c r="AD93" s="5442"/>
      <c r="AE93" s="1720">
        <f t="shared" si="48"/>
        <v>96.699999999999989</v>
      </c>
      <c r="AF93" s="5442"/>
      <c r="AG93" s="5476">
        <v>210.91999999999996</v>
      </c>
      <c r="AH93" s="5442"/>
      <c r="AI93" s="5511">
        <f t="shared" si="49"/>
        <v>307.61999999999995</v>
      </c>
      <c r="AJ93" s="5442"/>
      <c r="AK93" s="5476"/>
      <c r="AL93" s="5442"/>
      <c r="AM93" s="1154">
        <f t="shared" si="63"/>
        <v>307.61999999999995</v>
      </c>
      <c r="AN93" s="5442"/>
      <c r="AO93" s="1720">
        <f t="shared" si="61"/>
        <v>307.61999999999995</v>
      </c>
      <c r="AP93" s="5442"/>
      <c r="AQ93" s="5476"/>
      <c r="AR93" s="5442"/>
      <c r="AS93" s="1720">
        <f t="shared" si="50"/>
        <v>307.61999999999995</v>
      </c>
      <c r="AT93" s="5442"/>
      <c r="AU93" s="5476"/>
      <c r="AV93" s="5442"/>
      <c r="AW93" s="1720">
        <f t="shared" si="51"/>
        <v>307.61999999999995</v>
      </c>
      <c r="AX93" s="5442"/>
      <c r="AY93" s="5476"/>
      <c r="AZ93" s="5442"/>
      <c r="BA93" s="1154">
        <f t="shared" ref="BA93:BA94" si="68">+AQ93+AU93+AY93</f>
        <v>0</v>
      </c>
      <c r="BB93" s="597"/>
      <c r="BC93" s="522">
        <f t="shared" ref="BC93:BC94" si="69">BA93+AM93</f>
        <v>307.61999999999995</v>
      </c>
      <c r="BD93" s="5442"/>
      <c r="BE93" s="256">
        <f t="shared" ref="BE93:BE94" si="70">+AW93+AY93</f>
        <v>307.61999999999995</v>
      </c>
      <c r="BF93" s="26"/>
      <c r="BG93" s="26"/>
      <c r="BP93" s="26"/>
      <c r="BQ93" s="26"/>
    </row>
    <row r="94" spans="1:69" x14ac:dyDescent="0.25">
      <c r="A94" s="1792"/>
      <c r="B94" s="8" t="s">
        <v>1946</v>
      </c>
      <c r="C94" s="159" t="s">
        <v>354</v>
      </c>
      <c r="D94" s="597"/>
      <c r="E94" s="597"/>
      <c r="F94" s="597"/>
      <c r="G94" s="597"/>
      <c r="H94" s="1664"/>
      <c r="I94" s="1662">
        <f t="shared" si="67"/>
        <v>0</v>
      </c>
      <c r="J94" s="597"/>
      <c r="K94" s="597"/>
      <c r="L94" s="200"/>
      <c r="M94" s="1154">
        <f t="shared" si="37"/>
        <v>0</v>
      </c>
      <c r="N94" s="597"/>
      <c r="O94" s="597">
        <v>1</v>
      </c>
      <c r="P94" s="597"/>
      <c r="Q94" s="1662">
        <f t="shared" si="65"/>
        <v>1</v>
      </c>
      <c r="R94" s="597"/>
      <c r="S94" s="597"/>
      <c r="T94" s="597"/>
      <c r="U94" s="1662">
        <f t="shared" si="66"/>
        <v>1</v>
      </c>
      <c r="V94" s="597"/>
      <c r="W94" s="597"/>
      <c r="X94" s="200"/>
      <c r="Y94" s="1154">
        <f t="shared" si="59"/>
        <v>1</v>
      </c>
      <c r="Z94" s="597"/>
      <c r="AA94" s="522">
        <f t="shared" si="56"/>
        <v>1</v>
      </c>
      <c r="AB94" s="597"/>
      <c r="AC94" s="5472"/>
      <c r="AD94" s="597"/>
      <c r="AE94" s="1720">
        <f t="shared" si="48"/>
        <v>1</v>
      </c>
      <c r="AF94" s="597"/>
      <c r="AG94" s="5472"/>
      <c r="AH94" s="597"/>
      <c r="AI94" s="5511">
        <f t="shared" si="49"/>
        <v>1</v>
      </c>
      <c r="AJ94" s="597"/>
      <c r="AK94" s="5472"/>
      <c r="AL94" s="597"/>
      <c r="AM94" s="1154">
        <f t="shared" si="63"/>
        <v>0</v>
      </c>
      <c r="AN94" s="597"/>
      <c r="AO94" s="1720">
        <f t="shared" si="61"/>
        <v>1</v>
      </c>
      <c r="AP94" s="597"/>
      <c r="AQ94" s="5472"/>
      <c r="AR94" s="597"/>
      <c r="AS94" s="1720">
        <f t="shared" si="50"/>
        <v>1</v>
      </c>
      <c r="AT94" s="597"/>
      <c r="AU94" s="5472"/>
      <c r="AV94" s="597"/>
      <c r="AW94" s="1720">
        <f t="shared" si="51"/>
        <v>1</v>
      </c>
      <c r="AX94" s="597"/>
      <c r="AY94" s="5472"/>
      <c r="AZ94" s="597"/>
      <c r="BA94" s="1154">
        <f t="shared" si="68"/>
        <v>0</v>
      </c>
      <c r="BB94" s="597"/>
      <c r="BC94" s="522">
        <f t="shared" si="69"/>
        <v>0</v>
      </c>
      <c r="BD94" s="597"/>
      <c r="BE94" s="256">
        <f t="shared" si="70"/>
        <v>1</v>
      </c>
      <c r="BF94" s="26"/>
      <c r="BG94" s="26"/>
      <c r="BP94" s="26"/>
      <c r="BQ94" s="26"/>
    </row>
    <row r="95" spans="1:69" x14ac:dyDescent="0.25">
      <c r="B95" s="8" t="s">
        <v>1872</v>
      </c>
      <c r="C95" s="159" t="s">
        <v>354</v>
      </c>
      <c r="D95" s="597"/>
      <c r="E95" s="1970">
        <v>53</v>
      </c>
      <c r="F95" s="1204"/>
      <c r="G95" s="1970">
        <v>3</v>
      </c>
      <c r="H95" s="1662"/>
      <c r="I95" s="1662">
        <f t="shared" si="67"/>
        <v>56</v>
      </c>
      <c r="J95" s="1204"/>
      <c r="K95" s="1970">
        <v>6</v>
      </c>
      <c r="L95" s="200"/>
      <c r="M95" s="1154">
        <f t="shared" si="37"/>
        <v>62</v>
      </c>
      <c r="N95" s="1204"/>
      <c r="O95" s="1970">
        <v>168</v>
      </c>
      <c r="P95" s="1204"/>
      <c r="Q95" s="1662">
        <f t="shared" si="65"/>
        <v>230</v>
      </c>
      <c r="R95" s="1204"/>
      <c r="S95" s="1970">
        <v>130</v>
      </c>
      <c r="T95" s="1204"/>
      <c r="U95" s="1662">
        <f t="shared" si="66"/>
        <v>360</v>
      </c>
      <c r="V95" s="1204"/>
      <c r="W95" s="1970">
        <v>159</v>
      </c>
      <c r="X95" s="200"/>
      <c r="Y95" s="1154">
        <f t="shared" si="59"/>
        <v>457</v>
      </c>
      <c r="Z95" s="1970"/>
      <c r="AA95" s="544">
        <f t="shared" si="56"/>
        <v>519</v>
      </c>
      <c r="AB95" s="1970"/>
      <c r="AC95" s="1283">
        <v>81</v>
      </c>
      <c r="AD95" s="1970"/>
      <c r="AE95" s="1720">
        <f t="shared" si="48"/>
        <v>600</v>
      </c>
      <c r="AF95" s="1970"/>
      <c r="AG95" s="1283">
        <v>147</v>
      </c>
      <c r="AH95" s="1970"/>
      <c r="AI95" s="5511">
        <f t="shared" si="49"/>
        <v>747</v>
      </c>
      <c r="AJ95" s="1970"/>
      <c r="AK95" s="1283">
        <v>124</v>
      </c>
      <c r="AL95" s="1970"/>
      <c r="AM95" s="1154">
        <f t="shared" si="63"/>
        <v>352</v>
      </c>
      <c r="AN95" s="1970"/>
      <c r="AO95" s="1720">
        <f t="shared" si="61"/>
        <v>871</v>
      </c>
      <c r="AP95" s="1970"/>
      <c r="AQ95" s="1283"/>
      <c r="AR95" s="1970"/>
      <c r="AS95" s="1720">
        <f t="shared" si="50"/>
        <v>871</v>
      </c>
      <c r="AT95" s="1970"/>
      <c r="AU95" s="1283"/>
      <c r="AV95" s="1970"/>
      <c r="AW95" s="1720">
        <f t="shared" si="51"/>
        <v>871</v>
      </c>
      <c r="AX95" s="1970"/>
      <c r="AY95" s="1283">
        <v>79</v>
      </c>
      <c r="AZ95" s="1970"/>
      <c r="BA95" s="1154">
        <f t="shared" si="58"/>
        <v>79</v>
      </c>
      <c r="BB95" s="1970"/>
      <c r="BC95" s="544">
        <f t="shared" si="60"/>
        <v>431</v>
      </c>
      <c r="BD95" s="1970"/>
      <c r="BE95" s="376">
        <f t="shared" ref="BE95:BE107" si="71">+AW95+AY95</f>
        <v>950</v>
      </c>
      <c r="BF95" s="26"/>
      <c r="BG95" s="26"/>
      <c r="BP95" s="26"/>
      <c r="BQ95" s="26"/>
    </row>
    <row r="96" spans="1:69" x14ac:dyDescent="0.25">
      <c r="B96" s="8" t="s">
        <v>1121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4"/>
      <c r="I96" s="1662">
        <f t="shared" si="67"/>
        <v>43.03</v>
      </c>
      <c r="J96" s="597"/>
      <c r="K96" s="597">
        <v>9.15</v>
      </c>
      <c r="L96" s="200"/>
      <c r="M96" s="1154">
        <f t="shared" si="37"/>
        <v>52.18</v>
      </c>
      <c r="N96" s="597"/>
      <c r="O96" s="597"/>
      <c r="P96" s="597"/>
      <c r="Q96" s="1662">
        <f t="shared" si="65"/>
        <v>52.18</v>
      </c>
      <c r="R96" s="597"/>
      <c r="S96" s="597"/>
      <c r="T96" s="597"/>
      <c r="U96" s="1662">
        <f t="shared" si="66"/>
        <v>52.18</v>
      </c>
      <c r="V96" s="597"/>
      <c r="W96" s="597">
        <v>12.41</v>
      </c>
      <c r="X96" s="200"/>
      <c r="Y96" s="1154">
        <f t="shared" si="59"/>
        <v>12.41</v>
      </c>
      <c r="Z96" s="597"/>
      <c r="AA96" s="522">
        <f t="shared" si="56"/>
        <v>64.59</v>
      </c>
      <c r="AB96" s="597"/>
      <c r="AC96" s="5472">
        <v>16.959999999999997</v>
      </c>
      <c r="AD96" s="597"/>
      <c r="AE96" s="1720">
        <f t="shared" si="48"/>
        <v>81.55</v>
      </c>
      <c r="AF96" s="597"/>
      <c r="AG96" s="5472"/>
      <c r="AH96" s="597"/>
      <c r="AI96" s="5511">
        <f t="shared" si="49"/>
        <v>81.55</v>
      </c>
      <c r="AJ96" s="597"/>
      <c r="AK96" s="5472"/>
      <c r="AL96" s="597"/>
      <c r="AM96" s="1154">
        <f t="shared" si="63"/>
        <v>16.959999999999997</v>
      </c>
      <c r="AN96" s="597"/>
      <c r="AO96" s="1720">
        <f t="shared" si="61"/>
        <v>81.55</v>
      </c>
      <c r="AP96" s="597"/>
      <c r="AQ96" s="5472"/>
      <c r="AR96" s="597"/>
      <c r="AS96" s="1720">
        <f t="shared" si="50"/>
        <v>81.55</v>
      </c>
      <c r="AT96" s="597"/>
      <c r="AU96" s="5472"/>
      <c r="AV96" s="597"/>
      <c r="AW96" s="1720">
        <f t="shared" si="51"/>
        <v>81.55</v>
      </c>
      <c r="AX96" s="597"/>
      <c r="AY96" s="5472">
        <v>20.98</v>
      </c>
      <c r="AZ96" s="597"/>
      <c r="BA96" s="1154">
        <f t="shared" si="58"/>
        <v>20.98</v>
      </c>
      <c r="BB96" s="597"/>
      <c r="BC96" s="522">
        <f t="shared" si="60"/>
        <v>37.94</v>
      </c>
      <c r="BD96" s="597"/>
      <c r="BE96" s="256">
        <f t="shared" si="71"/>
        <v>102.53</v>
      </c>
      <c r="BF96" s="26"/>
      <c r="BG96" s="26"/>
      <c r="BP96" s="26"/>
      <c r="BQ96" s="26"/>
    </row>
    <row r="97" spans="1:69" ht="15.75" customHeight="1" x14ac:dyDescent="0.25">
      <c r="A97" s="149"/>
      <c r="B97" s="8" t="s">
        <v>666</v>
      </c>
      <c r="C97" s="159" t="s">
        <v>354</v>
      </c>
      <c r="D97" s="597"/>
      <c r="E97" s="1970">
        <v>887.99</v>
      </c>
      <c r="F97" s="1204"/>
      <c r="G97" s="1970"/>
      <c r="H97" s="1662"/>
      <c r="I97" s="1662">
        <f t="shared" si="67"/>
        <v>887.99</v>
      </c>
      <c r="J97" s="1204"/>
      <c r="K97" s="1970"/>
      <c r="L97" s="200"/>
      <c r="M97" s="1154">
        <f t="shared" si="37"/>
        <v>887.99</v>
      </c>
      <c r="N97" s="1204"/>
      <c r="O97" s="1970"/>
      <c r="P97" s="1204"/>
      <c r="Q97" s="1662">
        <f t="shared" si="65"/>
        <v>887.99</v>
      </c>
      <c r="R97" s="1204"/>
      <c r="S97" s="1970"/>
      <c r="T97" s="1204"/>
      <c r="U97" s="1662">
        <f t="shared" si="66"/>
        <v>887.99</v>
      </c>
      <c r="V97" s="1204"/>
      <c r="W97" s="1970"/>
      <c r="X97" s="200"/>
      <c r="Y97" s="1154">
        <f t="shared" si="59"/>
        <v>0</v>
      </c>
      <c r="Z97" s="1970"/>
      <c r="AA97" s="544">
        <f t="shared" si="56"/>
        <v>887.99</v>
      </c>
      <c r="AB97" s="1970"/>
      <c r="AC97" s="1283"/>
      <c r="AD97" s="1970"/>
      <c r="AE97" s="1720">
        <f t="shared" si="48"/>
        <v>887.99</v>
      </c>
      <c r="AF97" s="1970"/>
      <c r="AG97" s="1283">
        <v>151.28</v>
      </c>
      <c r="AH97" s="1970"/>
      <c r="AI97" s="5511">
        <f t="shared" si="49"/>
        <v>1039.27</v>
      </c>
      <c r="AJ97" s="1970"/>
      <c r="AK97" s="1283">
        <v>684.88</v>
      </c>
      <c r="AL97" s="1970"/>
      <c r="AM97" s="1154">
        <f t="shared" si="63"/>
        <v>836.16</v>
      </c>
      <c r="AN97" s="1970"/>
      <c r="AO97" s="1720">
        <f t="shared" si="61"/>
        <v>1724.15</v>
      </c>
      <c r="AP97" s="1970"/>
      <c r="AQ97" s="1283">
        <v>856.92</v>
      </c>
      <c r="AR97" s="1970"/>
      <c r="AS97" s="1720">
        <f t="shared" si="50"/>
        <v>2581.0700000000002</v>
      </c>
      <c r="AT97" s="1970"/>
      <c r="AU97" s="1283">
        <v>619.79</v>
      </c>
      <c r="AV97" s="1970"/>
      <c r="AW97" s="1720">
        <f t="shared" si="51"/>
        <v>3200.86</v>
      </c>
      <c r="AX97" s="1970"/>
      <c r="AY97" s="1283">
        <v>840.94</v>
      </c>
      <c r="AZ97" s="1970"/>
      <c r="BA97" s="1154">
        <f t="shared" si="58"/>
        <v>2317.65</v>
      </c>
      <c r="BB97" s="1970"/>
      <c r="BC97" s="544">
        <f t="shared" si="60"/>
        <v>3153.81</v>
      </c>
      <c r="BD97" s="1970"/>
      <c r="BE97" s="376">
        <f t="shared" si="71"/>
        <v>4041.8</v>
      </c>
      <c r="BF97" s="26"/>
      <c r="BG97" s="26"/>
      <c r="BP97" s="26"/>
      <c r="BQ97" s="26"/>
    </row>
    <row r="98" spans="1:69" s="2256" customFormat="1" ht="15.75" hidden="1" customHeight="1" x14ac:dyDescent="0.25">
      <c r="A98" s="149"/>
      <c r="B98" s="8" t="s">
        <v>1896</v>
      </c>
      <c r="C98" s="159" t="s">
        <v>354</v>
      </c>
      <c r="D98" s="597"/>
      <c r="E98" s="1970"/>
      <c r="F98" s="1970"/>
      <c r="G98" s="1970"/>
      <c r="H98" s="1662"/>
      <c r="I98" s="1662">
        <f t="shared" ref="I98:I101" si="72">+E98+G98</f>
        <v>0</v>
      </c>
      <c r="J98" s="1970"/>
      <c r="K98" s="1970"/>
      <c r="L98" s="200"/>
      <c r="M98" s="1154">
        <f t="shared" si="37"/>
        <v>0</v>
      </c>
      <c r="N98" s="1970"/>
      <c r="O98" s="1970"/>
      <c r="P98" s="1970"/>
      <c r="Q98" s="1662">
        <f t="shared" si="65"/>
        <v>0</v>
      </c>
      <c r="R98" s="1970"/>
      <c r="S98" s="1970"/>
      <c r="T98" s="1970"/>
      <c r="U98" s="1662">
        <f t="shared" si="66"/>
        <v>0</v>
      </c>
      <c r="V98" s="1970"/>
      <c r="W98" s="1970"/>
      <c r="X98" s="200"/>
      <c r="Y98" s="1154">
        <f t="shared" si="59"/>
        <v>0</v>
      </c>
      <c r="Z98" s="1970"/>
      <c r="AA98" s="544">
        <f t="shared" si="56"/>
        <v>0</v>
      </c>
      <c r="AB98" s="1970"/>
      <c r="AC98" s="1283"/>
      <c r="AD98" s="1970"/>
      <c r="AE98" s="1720">
        <f t="shared" si="48"/>
        <v>0</v>
      </c>
      <c r="AF98" s="1970"/>
      <c r="AG98" s="1283"/>
      <c r="AH98" s="1970"/>
      <c r="AI98" s="2399">
        <f t="shared" ref="AI98:AI107" si="73">+AE98+AG98</f>
        <v>0</v>
      </c>
      <c r="AJ98" s="1970"/>
      <c r="AK98" s="1283"/>
      <c r="AL98" s="1970"/>
      <c r="AM98" s="1154">
        <f t="shared" si="63"/>
        <v>0</v>
      </c>
      <c r="AN98" s="1970"/>
      <c r="AO98" s="1720">
        <f t="shared" si="61"/>
        <v>0</v>
      </c>
      <c r="AP98" s="1970"/>
      <c r="AQ98" s="1283"/>
      <c r="AR98" s="1970"/>
      <c r="AS98" s="1720">
        <f t="shared" si="50"/>
        <v>0</v>
      </c>
      <c r="AT98" s="1970"/>
      <c r="AU98" s="1283"/>
      <c r="AV98" s="1970"/>
      <c r="AW98" s="1720">
        <f t="shared" si="51"/>
        <v>0</v>
      </c>
      <c r="AX98" s="1970"/>
      <c r="AY98" s="1283"/>
      <c r="AZ98" s="1970"/>
      <c r="BA98" s="1154">
        <f t="shared" si="58"/>
        <v>0</v>
      </c>
      <c r="BB98" s="1970"/>
      <c r="BC98" s="544">
        <f t="shared" si="60"/>
        <v>0</v>
      </c>
      <c r="BD98" s="1970"/>
      <c r="BE98" s="376">
        <f t="shared" si="71"/>
        <v>0</v>
      </c>
      <c r="BF98" s="26"/>
      <c r="BG98" s="26"/>
      <c r="BP98" s="26"/>
      <c r="BQ98" s="26"/>
    </row>
    <row r="99" spans="1:69" s="2256" customFormat="1" ht="15.75" hidden="1" customHeight="1" x14ac:dyDescent="0.25">
      <c r="A99" s="149"/>
      <c r="B99" s="8" t="s">
        <v>1871</v>
      </c>
      <c r="C99" s="159" t="s">
        <v>354</v>
      </c>
      <c r="D99" s="597"/>
      <c r="E99" s="1970"/>
      <c r="F99" s="1970"/>
      <c r="G99" s="1970"/>
      <c r="H99" s="1662"/>
      <c r="I99" s="1662">
        <f t="shared" si="72"/>
        <v>0</v>
      </c>
      <c r="J99" s="1970"/>
      <c r="K99" s="1970"/>
      <c r="L99" s="200"/>
      <c r="M99" s="1154">
        <f t="shared" si="37"/>
        <v>0</v>
      </c>
      <c r="N99" s="1970"/>
      <c r="O99" s="1970"/>
      <c r="P99" s="1970"/>
      <c r="Q99" s="1662">
        <f t="shared" si="65"/>
        <v>0</v>
      </c>
      <c r="R99" s="1970"/>
      <c r="S99" s="1970"/>
      <c r="T99" s="1970"/>
      <c r="U99" s="1662">
        <f t="shared" si="66"/>
        <v>0</v>
      </c>
      <c r="V99" s="1970"/>
      <c r="W99" s="1970"/>
      <c r="X99" s="200"/>
      <c r="Y99" s="1154">
        <f t="shared" si="59"/>
        <v>0</v>
      </c>
      <c r="Z99" s="1970"/>
      <c r="AA99" s="544">
        <f t="shared" si="56"/>
        <v>0</v>
      </c>
      <c r="AB99" s="1970"/>
      <c r="AC99" s="1283"/>
      <c r="AD99" s="1970"/>
      <c r="AE99" s="1720">
        <f t="shared" si="48"/>
        <v>0</v>
      </c>
      <c r="AF99" s="1970"/>
      <c r="AG99" s="1283">
        <v>28.54</v>
      </c>
      <c r="AH99" s="1970"/>
      <c r="AI99" s="2399">
        <f t="shared" si="73"/>
        <v>28.54</v>
      </c>
      <c r="AJ99" s="1970"/>
      <c r="AK99" s="1283"/>
      <c r="AL99" s="1970"/>
      <c r="AM99" s="1154">
        <f t="shared" si="63"/>
        <v>28.54</v>
      </c>
      <c r="AN99" s="1970"/>
      <c r="AO99" s="1720">
        <f t="shared" si="61"/>
        <v>28.54</v>
      </c>
      <c r="AP99" s="1970"/>
      <c r="AQ99" s="1283"/>
      <c r="AR99" s="1970"/>
      <c r="AS99" s="2399">
        <f t="shared" ref="AS99:AS107" si="74">+AO99+AQ99</f>
        <v>28.54</v>
      </c>
      <c r="AT99" s="1970"/>
      <c r="AU99" s="1283"/>
      <c r="AV99" s="1970"/>
      <c r="AW99" s="6170">
        <f t="shared" si="51"/>
        <v>28.54</v>
      </c>
      <c r="AX99" s="1970"/>
      <c r="AY99" s="1283"/>
      <c r="AZ99" s="1970"/>
      <c r="BA99" s="1154">
        <f t="shared" si="58"/>
        <v>0</v>
      </c>
      <c r="BB99" s="1970"/>
      <c r="BC99" s="544">
        <f t="shared" si="60"/>
        <v>28.54</v>
      </c>
      <c r="BD99" s="1970"/>
      <c r="BE99" s="376">
        <f t="shared" si="71"/>
        <v>28.54</v>
      </c>
      <c r="BF99" s="26"/>
      <c r="BG99" s="26"/>
      <c r="BP99" s="26"/>
      <c r="BQ99" s="26"/>
    </row>
    <row r="100" spans="1:69" s="2682" customFormat="1" ht="15.75" hidden="1" customHeight="1" x14ac:dyDescent="0.25">
      <c r="A100" s="149"/>
      <c r="B100" s="8" t="s">
        <v>2022</v>
      </c>
      <c r="C100" s="159" t="s">
        <v>354</v>
      </c>
      <c r="D100" s="597"/>
      <c r="E100" s="1970"/>
      <c r="F100" s="1970"/>
      <c r="G100" s="1970"/>
      <c r="H100" s="1662"/>
      <c r="I100" s="1662">
        <f t="shared" si="72"/>
        <v>0</v>
      </c>
      <c r="J100" s="1970"/>
      <c r="K100" s="1970"/>
      <c r="L100" s="200"/>
      <c r="M100" s="1154">
        <f t="shared" si="37"/>
        <v>0</v>
      </c>
      <c r="N100" s="1970"/>
      <c r="O100" s="1970"/>
      <c r="P100" s="1970"/>
      <c r="Q100" s="1662">
        <f t="shared" si="65"/>
        <v>0</v>
      </c>
      <c r="R100" s="1970"/>
      <c r="S100" s="1970"/>
      <c r="T100" s="1970"/>
      <c r="U100" s="1662">
        <f t="shared" si="66"/>
        <v>0</v>
      </c>
      <c r="V100" s="1970"/>
      <c r="W100" s="1970"/>
      <c r="X100" s="200"/>
      <c r="Y100" s="1154">
        <f t="shared" si="59"/>
        <v>0</v>
      </c>
      <c r="Z100" s="1970"/>
      <c r="AA100" s="544">
        <f t="shared" si="56"/>
        <v>0</v>
      </c>
      <c r="AB100" s="1970"/>
      <c r="AC100" s="1283"/>
      <c r="AD100" s="1970"/>
      <c r="AE100" s="1720">
        <f t="shared" si="48"/>
        <v>0</v>
      </c>
      <c r="AF100" s="1970"/>
      <c r="AG100" s="1283">
        <v>329.96</v>
      </c>
      <c r="AH100" s="1970"/>
      <c r="AI100" s="2399">
        <f t="shared" si="73"/>
        <v>329.96</v>
      </c>
      <c r="AJ100" s="1970"/>
      <c r="AK100" s="1283">
        <v>39.549999999999997</v>
      </c>
      <c r="AL100" s="1970"/>
      <c r="AM100" s="1154">
        <f t="shared" si="63"/>
        <v>369.51</v>
      </c>
      <c r="AN100" s="1970"/>
      <c r="AO100" s="1720">
        <f t="shared" si="61"/>
        <v>369.51</v>
      </c>
      <c r="AP100" s="1970"/>
      <c r="AQ100" s="1283"/>
      <c r="AR100" s="1970"/>
      <c r="AS100" s="2399">
        <f t="shared" si="74"/>
        <v>369.51</v>
      </c>
      <c r="AT100" s="1970"/>
      <c r="AU100" s="1283"/>
      <c r="AV100" s="1970"/>
      <c r="AW100" s="6170">
        <f t="shared" si="51"/>
        <v>369.51</v>
      </c>
      <c r="AX100" s="1970"/>
      <c r="AY100" s="1283"/>
      <c r="AZ100" s="1970"/>
      <c r="BA100" s="1154">
        <f t="shared" si="58"/>
        <v>0</v>
      </c>
      <c r="BB100" s="1970"/>
      <c r="BC100" s="544">
        <f t="shared" si="60"/>
        <v>369.51</v>
      </c>
      <c r="BD100" s="1970"/>
      <c r="BE100" s="376">
        <f t="shared" si="71"/>
        <v>369.51</v>
      </c>
      <c r="BF100" s="26"/>
      <c r="BG100" s="26"/>
      <c r="BP100" s="26"/>
      <c r="BQ100" s="26"/>
    </row>
    <row r="101" spans="1:69" ht="15.75" hidden="1" customHeight="1" x14ac:dyDescent="0.25">
      <c r="A101" s="149"/>
      <c r="B101" s="8" t="s">
        <v>2139</v>
      </c>
      <c r="C101" s="159" t="s">
        <v>354</v>
      </c>
      <c r="D101" s="597"/>
      <c r="E101" s="1970"/>
      <c r="F101" s="1970"/>
      <c r="G101" s="1970"/>
      <c r="H101" s="1662"/>
      <c r="I101" s="1662">
        <f t="shared" si="72"/>
        <v>0</v>
      </c>
      <c r="J101" s="1970"/>
      <c r="K101" s="1970"/>
      <c r="L101" s="200"/>
      <c r="M101" s="1154">
        <f t="shared" si="37"/>
        <v>0</v>
      </c>
      <c r="N101" s="1970"/>
      <c r="O101" s="1970"/>
      <c r="P101" s="1970"/>
      <c r="Q101" s="1662">
        <f t="shared" si="65"/>
        <v>0</v>
      </c>
      <c r="R101" s="1970"/>
      <c r="S101" s="1970"/>
      <c r="T101" s="1970"/>
      <c r="U101" s="1662">
        <f t="shared" si="66"/>
        <v>0</v>
      </c>
      <c r="V101" s="1970"/>
      <c r="W101" s="1970"/>
      <c r="X101" s="200"/>
      <c r="Y101" s="1154">
        <f t="shared" si="59"/>
        <v>0</v>
      </c>
      <c r="Z101" s="1970"/>
      <c r="AA101" s="544">
        <f t="shared" si="56"/>
        <v>0</v>
      </c>
      <c r="AB101" s="1970"/>
      <c r="AC101" s="1283"/>
      <c r="AD101" s="1970"/>
      <c r="AE101" s="1720">
        <f t="shared" si="48"/>
        <v>0</v>
      </c>
      <c r="AF101" s="1970"/>
      <c r="AG101" s="1283"/>
      <c r="AH101" s="1970"/>
      <c r="AI101" s="2399">
        <f t="shared" si="73"/>
        <v>0</v>
      </c>
      <c r="AJ101" s="1970"/>
      <c r="AK101" s="1283"/>
      <c r="AL101" s="1970"/>
      <c r="AM101" s="1154">
        <f t="shared" si="63"/>
        <v>0</v>
      </c>
      <c r="AN101" s="1970"/>
      <c r="AO101" s="2399">
        <f t="shared" ref="AO101:AO142" si="75">AI101+AK101</f>
        <v>0</v>
      </c>
      <c r="AP101" s="1970"/>
      <c r="AQ101" s="1283">
        <v>110</v>
      </c>
      <c r="AR101" s="1970"/>
      <c r="AS101" s="2399">
        <f t="shared" si="74"/>
        <v>110</v>
      </c>
      <c r="AT101" s="1970"/>
      <c r="AU101" s="1283"/>
      <c r="AV101" s="1970"/>
      <c r="AW101" s="6170">
        <f t="shared" si="51"/>
        <v>110</v>
      </c>
      <c r="AX101" s="1970"/>
      <c r="AY101" s="1283"/>
      <c r="AZ101" s="1970"/>
      <c r="BA101" s="1154">
        <f t="shared" si="58"/>
        <v>110</v>
      </c>
      <c r="BB101" s="1970"/>
      <c r="BC101" s="544">
        <f t="shared" si="60"/>
        <v>110</v>
      </c>
      <c r="BD101" s="1970"/>
      <c r="BE101" s="376">
        <f t="shared" si="71"/>
        <v>110</v>
      </c>
      <c r="BF101" s="26"/>
      <c r="BG101" s="26"/>
      <c r="BP101" s="26"/>
      <c r="BQ101" s="26"/>
    </row>
    <row r="102" spans="1:69" x14ac:dyDescent="0.25">
      <c r="A102" s="149"/>
      <c r="B102" s="744" t="s">
        <v>995</v>
      </c>
      <c r="C102" s="205" t="s">
        <v>354</v>
      </c>
      <c r="D102" s="1360"/>
      <c r="E102" s="1360">
        <f>+E103+E104</f>
        <v>3593.88</v>
      </c>
      <c r="F102" s="1360"/>
      <c r="G102" s="1360">
        <f>+G103+G104</f>
        <v>2497.5899999999997</v>
      </c>
      <c r="H102" s="1663"/>
      <c r="I102" s="1663">
        <f t="shared" si="67"/>
        <v>6091.4699999999993</v>
      </c>
      <c r="J102" s="1360"/>
      <c r="K102" s="1360">
        <f>+K103+K104</f>
        <v>598.73000000000013</v>
      </c>
      <c r="L102" s="1360"/>
      <c r="M102" s="2394">
        <f t="shared" si="37"/>
        <v>6690.2</v>
      </c>
      <c r="N102" s="1360"/>
      <c r="O102" s="1360">
        <f>+O103+O104</f>
        <v>2594.6000000000004</v>
      </c>
      <c r="P102" s="1360"/>
      <c r="Q102" s="1663">
        <f t="shared" si="65"/>
        <v>9284.7999999999993</v>
      </c>
      <c r="R102" s="1360"/>
      <c r="S102" s="1360">
        <f>+S103+S104</f>
        <v>499.34</v>
      </c>
      <c r="T102" s="1360"/>
      <c r="U102" s="1663">
        <f t="shared" si="66"/>
        <v>9784.14</v>
      </c>
      <c r="V102" s="1360"/>
      <c r="W102" s="1360">
        <f>+W103+W104</f>
        <v>0</v>
      </c>
      <c r="X102" s="1360"/>
      <c r="Y102" s="2394">
        <f t="shared" si="59"/>
        <v>3093.9400000000005</v>
      </c>
      <c r="Z102" s="1360"/>
      <c r="AA102" s="522">
        <f t="shared" si="56"/>
        <v>9784.14</v>
      </c>
      <c r="AB102" s="1360"/>
      <c r="AC102" s="5466">
        <f>+AC103+AC104</f>
        <v>748.03</v>
      </c>
      <c r="AD102" s="1360"/>
      <c r="AE102" s="1360">
        <f t="shared" ref="AE102:AE104" si="76">+AA102+AC102</f>
        <v>10532.17</v>
      </c>
      <c r="AF102" s="1360"/>
      <c r="AG102" s="5466">
        <f>+AG103+AG104</f>
        <v>298.96999999999997</v>
      </c>
      <c r="AH102" s="1360"/>
      <c r="AI102" s="1360">
        <f t="shared" si="73"/>
        <v>10831.14</v>
      </c>
      <c r="AJ102" s="1360"/>
      <c r="AK102" s="5466">
        <f>+AK103+AK104</f>
        <v>499.24</v>
      </c>
      <c r="AL102" s="1360"/>
      <c r="AM102" s="2394">
        <f t="shared" si="63"/>
        <v>1546.24</v>
      </c>
      <c r="AN102" s="1360"/>
      <c r="AO102" s="1360">
        <f t="shared" si="75"/>
        <v>11330.38</v>
      </c>
      <c r="AP102" s="1360"/>
      <c r="AQ102" s="5466">
        <f>+AQ103+AQ104</f>
        <v>1595.84</v>
      </c>
      <c r="AR102" s="1360"/>
      <c r="AS102" s="1360">
        <f t="shared" si="74"/>
        <v>12926.22</v>
      </c>
      <c r="AT102" s="1360"/>
      <c r="AU102" s="5466">
        <f>+AU103+AU104</f>
        <v>249.07</v>
      </c>
      <c r="AV102" s="1360"/>
      <c r="AW102" s="1360">
        <f t="shared" si="51"/>
        <v>13175.289999999999</v>
      </c>
      <c r="AX102" s="1360"/>
      <c r="AY102" s="5466">
        <f>+AY103+AY104</f>
        <v>1297.1300000000001</v>
      </c>
      <c r="AZ102" s="1360"/>
      <c r="BA102" s="2394">
        <f t="shared" si="58"/>
        <v>3142.04</v>
      </c>
      <c r="BB102" s="1360"/>
      <c r="BC102" s="522">
        <f t="shared" si="60"/>
        <v>4688.28</v>
      </c>
      <c r="BD102" s="1360"/>
      <c r="BE102" s="1360">
        <f t="shared" si="71"/>
        <v>14472.419999999998</v>
      </c>
      <c r="BF102" s="26"/>
      <c r="BG102" s="26"/>
      <c r="BP102" s="26"/>
      <c r="BQ102" s="26"/>
    </row>
    <row r="103" spans="1:69" ht="20.25" hidden="1" x14ac:dyDescent="0.25">
      <c r="A103" s="149"/>
      <c r="B103" s="745" t="s">
        <v>22</v>
      </c>
      <c r="C103" s="205" t="s">
        <v>354</v>
      </c>
      <c r="D103" s="596"/>
      <c r="E103" s="1204"/>
      <c r="F103" s="1204"/>
      <c r="G103" s="1970"/>
      <c r="H103" s="1662"/>
      <c r="I103" s="1662">
        <f t="shared" si="67"/>
        <v>0</v>
      </c>
      <c r="J103" s="1204"/>
      <c r="K103" s="1970"/>
      <c r="L103" s="200"/>
      <c r="M103" s="2394">
        <f t="shared" si="37"/>
        <v>0</v>
      </c>
      <c r="N103" s="1204"/>
      <c r="O103" s="1970"/>
      <c r="P103" s="1204"/>
      <c r="Q103" s="1662">
        <f t="shared" si="65"/>
        <v>0</v>
      </c>
      <c r="R103" s="1204"/>
      <c r="S103" s="1970"/>
      <c r="T103" s="1204"/>
      <c r="U103" s="1662">
        <f t="shared" si="66"/>
        <v>0</v>
      </c>
      <c r="V103" s="1204"/>
      <c r="W103" s="1970"/>
      <c r="X103" s="200"/>
      <c r="Y103" s="2394">
        <f t="shared" si="59"/>
        <v>0</v>
      </c>
      <c r="Z103" s="1970"/>
      <c r="AA103" s="544">
        <f t="shared" si="56"/>
        <v>0</v>
      </c>
      <c r="AB103" s="1970"/>
      <c r="AC103" s="1283"/>
      <c r="AD103" s="1970"/>
      <c r="AE103" s="2399">
        <f t="shared" si="76"/>
        <v>0</v>
      </c>
      <c r="AF103" s="1970"/>
      <c r="AG103" s="1283"/>
      <c r="AH103" s="1970"/>
      <c r="AI103" s="2399">
        <f t="shared" si="73"/>
        <v>0</v>
      </c>
      <c r="AJ103" s="1970"/>
      <c r="AK103" s="1283"/>
      <c r="AL103" s="1970"/>
      <c r="AM103" s="2394">
        <f t="shared" si="63"/>
        <v>0</v>
      </c>
      <c r="AN103" s="1970"/>
      <c r="AO103" s="2399">
        <f t="shared" si="75"/>
        <v>0</v>
      </c>
      <c r="AP103" s="1970"/>
      <c r="AQ103" s="1283"/>
      <c r="AR103" s="1970"/>
      <c r="AS103" s="2399">
        <f t="shared" si="74"/>
        <v>0</v>
      </c>
      <c r="AT103" s="1970"/>
      <c r="AU103" s="1283"/>
      <c r="AV103" s="1970"/>
      <c r="AW103" s="6170">
        <f t="shared" si="51"/>
        <v>0</v>
      </c>
      <c r="AX103" s="1970"/>
      <c r="AY103" s="1283"/>
      <c r="AZ103" s="1970"/>
      <c r="BA103" s="2394">
        <f t="shared" si="58"/>
        <v>0</v>
      </c>
      <c r="BB103" s="1970"/>
      <c r="BC103" s="544">
        <f t="shared" si="60"/>
        <v>0</v>
      </c>
      <c r="BD103" s="1970"/>
      <c r="BE103" s="376">
        <f t="shared" si="71"/>
        <v>0</v>
      </c>
      <c r="BF103" s="26"/>
      <c r="BG103" s="26"/>
      <c r="BP103" s="26"/>
      <c r="BQ103" s="26"/>
    </row>
    <row r="104" spans="1:69" ht="21" thickBot="1" x14ac:dyDescent="0.3">
      <c r="B104" s="3898" t="s">
        <v>23</v>
      </c>
      <c r="C104" s="3896" t="s">
        <v>354</v>
      </c>
      <c r="D104" s="3607"/>
      <c r="E104" s="7052">
        <v>3593.88</v>
      </c>
      <c r="F104" s="3477"/>
      <c r="G104" s="7155">
        <v>2497.5899999999997</v>
      </c>
      <c r="H104" s="3884"/>
      <c r="I104" s="3884">
        <f t="shared" si="67"/>
        <v>6091.4699999999993</v>
      </c>
      <c r="J104" s="1204"/>
      <c r="K104" s="3477">
        <v>598.73000000000013</v>
      </c>
      <c r="L104" s="200"/>
      <c r="M104" s="2394">
        <f t="shared" si="37"/>
        <v>6690.2</v>
      </c>
      <c r="N104" s="1204"/>
      <c r="O104" s="3477">
        <v>2594.6000000000004</v>
      </c>
      <c r="P104" s="1204"/>
      <c r="Q104" s="3884">
        <f t="shared" si="65"/>
        <v>9284.7999999999993</v>
      </c>
      <c r="R104" s="1204"/>
      <c r="S104" s="3477">
        <v>499.34</v>
      </c>
      <c r="T104" s="1204"/>
      <c r="U104" s="3884">
        <f t="shared" si="66"/>
        <v>9784.14</v>
      </c>
      <c r="V104" s="1204"/>
      <c r="W104" s="3477"/>
      <c r="X104" s="200"/>
      <c r="Y104" s="2394">
        <f t="shared" si="59"/>
        <v>3093.9400000000005</v>
      </c>
      <c r="Z104" s="1970"/>
      <c r="AA104" s="544">
        <f t="shared" si="56"/>
        <v>9784.14</v>
      </c>
      <c r="AB104" s="1970"/>
      <c r="AC104" s="3517">
        <v>748.03</v>
      </c>
      <c r="AD104" s="1970"/>
      <c r="AE104" s="2399">
        <f t="shared" si="76"/>
        <v>10532.17</v>
      </c>
      <c r="AF104" s="1970"/>
      <c r="AG104" s="3517">
        <v>298.96999999999997</v>
      </c>
      <c r="AH104" s="1970"/>
      <c r="AI104" s="2399">
        <f t="shared" si="73"/>
        <v>10831.14</v>
      </c>
      <c r="AJ104" s="1970"/>
      <c r="AK104" s="3517">
        <v>499.24</v>
      </c>
      <c r="AL104" s="1970"/>
      <c r="AM104" s="2394">
        <f t="shared" si="63"/>
        <v>1546.24</v>
      </c>
      <c r="AN104" s="1970"/>
      <c r="AO104" s="2399">
        <f t="shared" si="75"/>
        <v>11330.38</v>
      </c>
      <c r="AP104" s="1970"/>
      <c r="AQ104" s="3517">
        <v>1595.84</v>
      </c>
      <c r="AR104" s="1970"/>
      <c r="AS104" s="2399">
        <f t="shared" si="74"/>
        <v>12926.22</v>
      </c>
      <c r="AT104" s="1970"/>
      <c r="AU104" s="3517">
        <v>249.07</v>
      </c>
      <c r="AV104" s="1970"/>
      <c r="AW104" s="6170">
        <f t="shared" si="51"/>
        <v>13175.289999999999</v>
      </c>
      <c r="AX104" s="1970"/>
      <c r="AY104" s="3517">
        <v>1297.1300000000001</v>
      </c>
      <c r="AZ104" s="1970"/>
      <c r="BA104" s="2394">
        <f t="shared" si="58"/>
        <v>3142.04</v>
      </c>
      <c r="BB104" s="1970"/>
      <c r="BC104" s="544">
        <f t="shared" si="60"/>
        <v>4688.28</v>
      </c>
      <c r="BD104" s="1970"/>
      <c r="BE104" s="376">
        <f t="shared" si="71"/>
        <v>14472.419999999998</v>
      </c>
      <c r="BF104" s="26"/>
      <c r="BG104" s="26"/>
      <c r="BP104" s="26"/>
      <c r="BQ104" s="26"/>
    </row>
    <row r="105" spans="1:69" ht="20.25" customHeight="1" thickBot="1" x14ac:dyDescent="0.3">
      <c r="A105" s="149"/>
      <c r="B105" s="3899" t="s">
        <v>797</v>
      </c>
      <c r="C105" s="3900"/>
      <c r="D105" s="3901"/>
      <c r="E105" s="3902"/>
      <c r="F105" s="3902"/>
      <c r="G105" s="3902"/>
      <c r="H105" s="3903"/>
      <c r="I105" s="3904"/>
      <c r="J105" s="3798"/>
      <c r="K105" s="3902"/>
      <c r="L105" s="1140"/>
      <c r="M105" s="2394"/>
      <c r="N105" s="1137"/>
      <c r="O105" s="3902"/>
      <c r="P105" s="1137"/>
      <c r="Q105" s="3904"/>
      <c r="R105" s="1137"/>
      <c r="S105" s="3902"/>
      <c r="T105" s="1137"/>
      <c r="U105" s="3904"/>
      <c r="V105" s="1137"/>
      <c r="W105" s="3902"/>
      <c r="X105" s="1140"/>
      <c r="Y105" s="2394"/>
      <c r="Z105" s="2400"/>
      <c r="AA105" s="544"/>
      <c r="AB105" s="2400"/>
      <c r="AC105" s="5477"/>
      <c r="AD105" s="2400"/>
      <c r="AE105" s="2399"/>
      <c r="AF105" s="2400"/>
      <c r="AG105" s="5477"/>
      <c r="AH105" s="2400"/>
      <c r="AI105" s="2399"/>
      <c r="AJ105" s="2400"/>
      <c r="AK105" s="5477"/>
      <c r="AL105" s="2400"/>
      <c r="AM105" s="2394"/>
      <c r="AN105" s="2400"/>
      <c r="AO105" s="2399"/>
      <c r="AP105" s="2400"/>
      <c r="AQ105" s="5477"/>
      <c r="AR105" s="2400"/>
      <c r="AS105" s="2399"/>
      <c r="AT105" s="2400"/>
      <c r="AU105" s="5477"/>
      <c r="AV105" s="2400"/>
      <c r="AW105" s="6170"/>
      <c r="AX105" s="2400"/>
      <c r="AY105" s="5477"/>
      <c r="AZ105" s="2400"/>
      <c r="BA105" s="2394"/>
      <c r="BB105" s="2400"/>
      <c r="BC105" s="544"/>
      <c r="BD105" s="2400"/>
      <c r="BE105" s="376"/>
      <c r="BF105" s="26"/>
      <c r="BG105" s="26"/>
      <c r="BP105" s="26"/>
      <c r="BQ105" s="26"/>
    </row>
    <row r="106" spans="1:69" ht="16.5" thickBot="1" x14ac:dyDescent="0.3">
      <c r="B106" s="3897" t="s">
        <v>798</v>
      </c>
      <c r="C106" s="789" t="s">
        <v>354</v>
      </c>
      <c r="D106" s="3888"/>
      <c r="E106" s="3588">
        <v>40.363</v>
      </c>
      <c r="F106" s="3588"/>
      <c r="G106" s="3588">
        <v>40.770000000000003</v>
      </c>
      <c r="H106" s="3889"/>
      <c r="I106" s="3895">
        <f t="shared" si="67"/>
        <v>81.13300000000001</v>
      </c>
      <c r="J106" s="1698"/>
      <c r="K106" s="3588">
        <v>45</v>
      </c>
      <c r="L106" s="200"/>
      <c r="M106" s="2394">
        <f t="shared" si="37"/>
        <v>126.13300000000001</v>
      </c>
      <c r="N106" s="1204"/>
      <c r="O106" s="3588">
        <v>37.729999999999997</v>
      </c>
      <c r="P106" s="1204"/>
      <c r="Q106" s="3895">
        <f t="shared" si="65"/>
        <v>163.863</v>
      </c>
      <c r="R106" s="1204"/>
      <c r="S106" s="3588">
        <v>50.48</v>
      </c>
      <c r="T106" s="1204"/>
      <c r="U106" s="3895">
        <f t="shared" si="66"/>
        <v>214.34299999999999</v>
      </c>
      <c r="V106" s="1204"/>
      <c r="W106" s="3588">
        <v>39.923999999999999</v>
      </c>
      <c r="X106" s="200"/>
      <c r="Y106" s="2394">
        <f t="shared" si="59"/>
        <v>128.13399999999999</v>
      </c>
      <c r="Z106" s="1970"/>
      <c r="AA106" s="544">
        <f t="shared" si="56"/>
        <v>254.267</v>
      </c>
      <c r="AB106" s="1970"/>
      <c r="AC106" s="5478">
        <v>38.283000000000001</v>
      </c>
      <c r="AD106" s="1970"/>
      <c r="AE106" s="2399">
        <f t="shared" ref="AE106:AE107" si="77">+AA106+AC106</f>
        <v>292.55</v>
      </c>
      <c r="AF106" s="1970"/>
      <c r="AG106" s="5478">
        <v>55.51</v>
      </c>
      <c r="AH106" s="1970"/>
      <c r="AI106" s="2399">
        <f t="shared" si="73"/>
        <v>348.06</v>
      </c>
      <c r="AJ106" s="1970"/>
      <c r="AK106" s="5478">
        <v>50.47</v>
      </c>
      <c r="AL106" s="1970"/>
      <c r="AM106" s="2394">
        <f t="shared" si="63"/>
        <v>144.26300000000001</v>
      </c>
      <c r="AN106" s="1970"/>
      <c r="AO106" s="2399">
        <f t="shared" si="75"/>
        <v>398.53</v>
      </c>
      <c r="AP106" s="1970"/>
      <c r="AQ106" s="5478">
        <v>66.34</v>
      </c>
      <c r="AR106" s="1970"/>
      <c r="AS106" s="2399">
        <f t="shared" si="74"/>
        <v>464.87</v>
      </c>
      <c r="AT106" s="1970"/>
      <c r="AU106" s="5478">
        <v>66.430000000000007</v>
      </c>
      <c r="AV106" s="1970"/>
      <c r="AW106" s="6170">
        <f t="shared" si="51"/>
        <v>531.29999999999995</v>
      </c>
      <c r="AX106" s="1970"/>
      <c r="AY106" s="5478">
        <v>48.01</v>
      </c>
      <c r="AZ106" s="1970"/>
      <c r="BA106" s="2394">
        <f t="shared" si="58"/>
        <v>180.78</v>
      </c>
      <c r="BB106" s="1970"/>
      <c r="BC106" s="544">
        <f t="shared" si="60"/>
        <v>325.04300000000001</v>
      </c>
      <c r="BD106" s="1970"/>
      <c r="BE106" s="376">
        <f t="shared" si="71"/>
        <v>579.30999999999995</v>
      </c>
      <c r="BF106" s="26"/>
      <c r="BG106" s="26"/>
      <c r="BP106" s="26"/>
      <c r="BQ106" s="26"/>
    </row>
    <row r="107" spans="1:69" ht="16.5" thickBot="1" x14ac:dyDescent="0.3">
      <c r="A107" s="149"/>
      <c r="B107" s="3894" t="s">
        <v>1285</v>
      </c>
      <c r="C107" s="789" t="s">
        <v>354</v>
      </c>
      <c r="D107" s="3888"/>
      <c r="E107" s="3588"/>
      <c r="F107" s="3588"/>
      <c r="G107" s="3588"/>
      <c r="H107" s="3889"/>
      <c r="I107" s="3895">
        <f>+E107+G107</f>
        <v>0</v>
      </c>
      <c r="J107" s="1698"/>
      <c r="K107" s="3588">
        <v>28859.160000000011</v>
      </c>
      <c r="L107" s="200"/>
      <c r="M107" s="2394">
        <f t="shared" si="37"/>
        <v>28859.160000000011</v>
      </c>
      <c r="N107" s="1204"/>
      <c r="O107" s="3588">
        <v>23299.129999999997</v>
      </c>
      <c r="P107" s="1204"/>
      <c r="Q107" s="3895">
        <f>+M107+O107</f>
        <v>52158.290000000008</v>
      </c>
      <c r="R107" s="1204"/>
      <c r="S107" s="3588">
        <v>23126.94</v>
      </c>
      <c r="T107" s="1204"/>
      <c r="U107" s="3895">
        <f>+Q107+S107</f>
        <v>75285.23000000001</v>
      </c>
      <c r="V107" s="1204"/>
      <c r="W107" s="3588"/>
      <c r="X107" s="200"/>
      <c r="Y107" s="2394">
        <f t="shared" si="59"/>
        <v>46426.069999999992</v>
      </c>
      <c r="Z107" s="1970"/>
      <c r="AA107" s="544">
        <f t="shared" si="56"/>
        <v>75285.23000000001</v>
      </c>
      <c r="AB107" s="1970"/>
      <c r="AC107" s="5478"/>
      <c r="AD107" s="1970"/>
      <c r="AE107" s="2399">
        <f t="shared" si="77"/>
        <v>75285.23000000001</v>
      </c>
      <c r="AF107" s="1970"/>
      <c r="AG107" s="5478"/>
      <c r="AH107" s="1970"/>
      <c r="AI107" s="2399">
        <f t="shared" si="73"/>
        <v>75285.23000000001</v>
      </c>
      <c r="AJ107" s="1970"/>
      <c r="AK107" s="5478"/>
      <c r="AL107" s="1970"/>
      <c r="AM107" s="2394">
        <f t="shared" si="63"/>
        <v>0</v>
      </c>
      <c r="AN107" s="1970"/>
      <c r="AO107" s="2399">
        <f t="shared" si="75"/>
        <v>75285.23000000001</v>
      </c>
      <c r="AP107" s="1970"/>
      <c r="AQ107" s="5478"/>
      <c r="AR107" s="1970"/>
      <c r="AS107" s="2399">
        <f t="shared" si="74"/>
        <v>75285.23000000001</v>
      </c>
      <c r="AT107" s="1970"/>
      <c r="AU107" s="5478"/>
      <c r="AV107" s="1970"/>
      <c r="AW107" s="6170">
        <f t="shared" si="51"/>
        <v>75285.23000000001</v>
      </c>
      <c r="AX107" s="1970"/>
      <c r="AY107" s="5478"/>
      <c r="AZ107" s="1970"/>
      <c r="BA107" s="2394">
        <f t="shared" si="58"/>
        <v>0</v>
      </c>
      <c r="BB107" s="1970"/>
      <c r="BC107" s="544">
        <f t="shared" si="60"/>
        <v>0</v>
      </c>
      <c r="BD107" s="1970"/>
      <c r="BE107" s="376">
        <f t="shared" si="71"/>
        <v>75285.23000000001</v>
      </c>
      <c r="BF107" s="26"/>
      <c r="BG107" s="26"/>
      <c r="BP107" s="26"/>
      <c r="BQ107" s="26"/>
    </row>
    <row r="108" spans="1:69" x14ac:dyDescent="0.25">
      <c r="A108" s="149"/>
      <c r="B108" s="3890" t="s">
        <v>926</v>
      </c>
      <c r="C108" s="235"/>
      <c r="D108" s="3891"/>
      <c r="E108" s="3892">
        <f>+E109+E110+E112+E111</f>
        <v>7712.23</v>
      </c>
      <c r="F108" s="3892"/>
      <c r="G108" s="3892">
        <f>+G109+G110+G112+G111</f>
        <v>9134.2500000000018</v>
      </c>
      <c r="H108" s="3893"/>
      <c r="I108" s="3893">
        <f t="shared" ref="I108" si="78">+I109+I110+I112+I111</f>
        <v>16846.480000000003</v>
      </c>
      <c r="J108" s="1360"/>
      <c r="K108" s="3892">
        <f>+K109+K110+K112+K111</f>
        <v>4999.8999999999978</v>
      </c>
      <c r="L108" s="1360"/>
      <c r="M108" s="2394">
        <f t="shared" si="37"/>
        <v>21846.38</v>
      </c>
      <c r="N108" s="1360"/>
      <c r="O108" s="3892">
        <f>+O109+O110+O112+O111</f>
        <v>7498.8700000000026</v>
      </c>
      <c r="P108" s="1360"/>
      <c r="Q108" s="3893">
        <f t="shared" ref="Q108" si="79">+Q109+Q110+Q112+Q111</f>
        <v>29345.25</v>
      </c>
      <c r="R108" s="1360"/>
      <c r="S108" s="3892">
        <f>+S109+S110+S112+S111</f>
        <v>0</v>
      </c>
      <c r="T108" s="1360">
        <f t="shared" ref="T108:U108" si="80">+T109+T110+T112+T111</f>
        <v>0</v>
      </c>
      <c r="U108" s="3893">
        <f t="shared" si="80"/>
        <v>29345.25</v>
      </c>
      <c r="V108" s="1360">
        <f t="shared" ref="V108" si="81">+V109+V110+V112+V111</f>
        <v>0</v>
      </c>
      <c r="W108" s="3892">
        <f>+W109+W110+W112+W111</f>
        <v>4998.6899999999996</v>
      </c>
      <c r="X108" s="1360"/>
      <c r="Y108" s="2394">
        <f t="shared" si="59"/>
        <v>12497.560000000001</v>
      </c>
      <c r="Z108" s="1360"/>
      <c r="AA108" s="522">
        <f t="shared" si="56"/>
        <v>34343.94</v>
      </c>
      <c r="AB108" s="1360"/>
      <c r="AC108" s="5465">
        <f>+AC109+AC110+AC112+AC111</f>
        <v>2499.8999999999996</v>
      </c>
      <c r="AD108" s="1360">
        <f t="shared" ref="AD108:AE108" si="82">+AD109+AD110+AD112+AD111</f>
        <v>0</v>
      </c>
      <c r="AE108" s="1360">
        <f t="shared" si="82"/>
        <v>36843.840000000004</v>
      </c>
      <c r="AF108" s="1360"/>
      <c r="AG108" s="5465">
        <f>+AG109+AG110+AG112+AG111</f>
        <v>5478.9699999999993</v>
      </c>
      <c r="AH108" s="1360">
        <f t="shared" ref="AH108:AJ108" si="83">+AH109+AH110+AH112+AH111</f>
        <v>0</v>
      </c>
      <c r="AI108" s="1360">
        <f t="shared" si="83"/>
        <v>42322.81</v>
      </c>
      <c r="AJ108" s="1360">
        <f t="shared" si="83"/>
        <v>0</v>
      </c>
      <c r="AK108" s="5465">
        <f>+AK109+AK110+AK112+AK111</f>
        <v>7517.2000000000007</v>
      </c>
      <c r="AL108" s="1360"/>
      <c r="AM108" s="2394">
        <f t="shared" si="63"/>
        <v>15496.07</v>
      </c>
      <c r="AN108" s="1360">
        <f t="shared" ref="AN108" si="84">+AN109+AN110+AN112+AN111</f>
        <v>0</v>
      </c>
      <c r="AO108" s="1360">
        <f t="shared" si="75"/>
        <v>49840.009999999995</v>
      </c>
      <c r="AP108" s="1360"/>
      <c r="AQ108" s="5465">
        <f>+AQ109+AQ110+AQ112+AQ111</f>
        <v>10498.07</v>
      </c>
      <c r="AR108" s="1360">
        <f t="shared" ref="AR108:AS108" si="85">+AR109+AR110+AR112+AR111</f>
        <v>0</v>
      </c>
      <c r="AS108" s="1360">
        <f t="shared" si="85"/>
        <v>60338.080000000009</v>
      </c>
      <c r="AT108" s="1360"/>
      <c r="AU108" s="5465">
        <f>+AU109+AU110+AU112+AU111</f>
        <v>7998.24</v>
      </c>
      <c r="AV108" s="1360">
        <f t="shared" ref="AV108:AW108" si="86">+AV109+AV110+AV112+AV111</f>
        <v>0</v>
      </c>
      <c r="AW108" s="1360">
        <f t="shared" si="86"/>
        <v>68336.320000000007</v>
      </c>
      <c r="AX108" s="1360"/>
      <c r="AY108" s="5465">
        <f>+AY109+AY110+AY112+AY111</f>
        <v>7705.11</v>
      </c>
      <c r="AZ108" s="1360"/>
      <c r="BA108" s="2394">
        <f t="shared" si="58"/>
        <v>26201.42</v>
      </c>
      <c r="BB108" s="1360"/>
      <c r="BC108" s="522">
        <f t="shared" si="60"/>
        <v>41697.49</v>
      </c>
      <c r="BD108" s="1360">
        <f t="shared" ref="BD108:BE108" si="87">+BD109+BD110+BD112+BD111</f>
        <v>0</v>
      </c>
      <c r="BE108" s="1360">
        <f t="shared" si="87"/>
        <v>76041.430000000022</v>
      </c>
      <c r="BF108" s="26"/>
      <c r="BG108" s="26"/>
      <c r="BP108" s="26"/>
      <c r="BQ108" s="26"/>
    </row>
    <row r="109" spans="1:69" x14ac:dyDescent="0.25">
      <c r="B109" s="8" t="s">
        <v>954</v>
      </c>
      <c r="C109" s="159" t="s">
        <v>354</v>
      </c>
      <c r="D109" s="597"/>
      <c r="E109" s="7051">
        <v>6176.57</v>
      </c>
      <c r="F109" s="1137"/>
      <c r="G109" s="7150">
        <v>6134.4500000000007</v>
      </c>
      <c r="H109" s="1662"/>
      <c r="I109" s="1662">
        <f t="shared" si="67"/>
        <v>12311.02</v>
      </c>
      <c r="J109" s="1137"/>
      <c r="K109" s="4562">
        <v>4999.8999999999978</v>
      </c>
      <c r="L109" s="1140"/>
      <c r="M109" s="2394">
        <f t="shared" ref="M109:M116" si="88">+E109+G109+K109</f>
        <v>17310.919999999998</v>
      </c>
      <c r="N109" s="1137"/>
      <c r="O109" s="4778">
        <v>4999.6400000000012</v>
      </c>
      <c r="P109" s="1137"/>
      <c r="Q109" s="1662">
        <f t="shared" si="65"/>
        <v>22310.559999999998</v>
      </c>
      <c r="R109" s="1137"/>
      <c r="S109" s="4889"/>
      <c r="T109" s="1137"/>
      <c r="U109" s="1662">
        <f t="shared" si="66"/>
        <v>22310.559999999998</v>
      </c>
      <c r="V109" s="1137"/>
      <c r="W109" s="5098">
        <v>4998.6899999999996</v>
      </c>
      <c r="X109" s="1140"/>
      <c r="Y109" s="2394">
        <f t="shared" si="59"/>
        <v>9998.3300000000017</v>
      </c>
      <c r="Z109" s="2400"/>
      <c r="AA109" s="544">
        <f t="shared" si="56"/>
        <v>27309.25</v>
      </c>
      <c r="AB109" s="2400"/>
      <c r="AC109" s="151">
        <v>2499.8999999999996</v>
      </c>
      <c r="AD109" s="2400"/>
      <c r="AE109" s="2399">
        <f t="shared" ref="AE109:AE112" si="89">+AA109+AC109</f>
        <v>29809.15</v>
      </c>
      <c r="AF109" s="2400"/>
      <c r="AG109" s="151">
        <v>2499.2099999999991</v>
      </c>
      <c r="AH109" s="2400"/>
      <c r="AI109" s="2399">
        <f t="shared" ref="AI109:AI112" si="90">+AE109+AG109</f>
        <v>32308.36</v>
      </c>
      <c r="AJ109" s="2400"/>
      <c r="AK109" s="151">
        <v>4997.33</v>
      </c>
      <c r="AL109" s="2400"/>
      <c r="AM109" s="2394">
        <f t="shared" si="63"/>
        <v>9996.4399999999987</v>
      </c>
      <c r="AN109" s="2400"/>
      <c r="AO109" s="2399">
        <f t="shared" si="75"/>
        <v>37305.69</v>
      </c>
      <c r="AP109" s="2400"/>
      <c r="AQ109" s="151">
        <v>7499.3</v>
      </c>
      <c r="AR109" s="2400"/>
      <c r="AS109" s="6131">
        <f t="shared" ref="AS109:AS112" si="91">+AO109+AQ109</f>
        <v>44804.990000000005</v>
      </c>
      <c r="AT109" s="2400"/>
      <c r="AU109" s="151">
        <v>4999.6899999999996</v>
      </c>
      <c r="AV109" s="2400"/>
      <c r="AW109" s="6170">
        <f t="shared" ref="AW109:AW112" si="92">+AS109+AU109</f>
        <v>49804.680000000008</v>
      </c>
      <c r="AX109" s="2400"/>
      <c r="AY109" s="151">
        <v>4242.38</v>
      </c>
      <c r="AZ109" s="2400"/>
      <c r="BA109" s="2394">
        <f t="shared" si="58"/>
        <v>16741.37</v>
      </c>
      <c r="BB109" s="2400"/>
      <c r="BC109" s="544">
        <f t="shared" si="60"/>
        <v>26737.809999999998</v>
      </c>
      <c r="BD109" s="2400"/>
      <c r="BE109" s="376">
        <f t="shared" ref="BE109:BE112" si="93">+AW109+AY109</f>
        <v>54047.060000000005</v>
      </c>
      <c r="BF109" s="26"/>
      <c r="BG109" s="26"/>
      <c r="BP109" s="26"/>
      <c r="BQ109" s="26"/>
    </row>
    <row r="110" spans="1:69" x14ac:dyDescent="0.25">
      <c r="A110" s="149"/>
      <c r="B110" s="8" t="s">
        <v>1280</v>
      </c>
      <c r="C110" s="159" t="s">
        <v>354</v>
      </c>
      <c r="D110" s="597"/>
      <c r="E110" s="1137"/>
      <c r="F110" s="1137"/>
      <c r="G110" s="7150">
        <v>2999.8000000000011</v>
      </c>
      <c r="H110" s="1662"/>
      <c r="I110" s="1662">
        <f t="shared" si="67"/>
        <v>2999.8000000000011</v>
      </c>
      <c r="J110" s="1137"/>
      <c r="K110" s="4562"/>
      <c r="L110" s="1140"/>
      <c r="M110" s="2394">
        <f t="shared" si="88"/>
        <v>2999.8000000000011</v>
      </c>
      <c r="N110" s="1137"/>
      <c r="O110" s="4778"/>
      <c r="P110" s="1137"/>
      <c r="Q110" s="1662">
        <f t="shared" si="65"/>
        <v>2999.8000000000011</v>
      </c>
      <c r="R110" s="1137"/>
      <c r="S110" s="4889"/>
      <c r="T110" s="1137"/>
      <c r="U110" s="1662">
        <f t="shared" si="66"/>
        <v>2999.8000000000011</v>
      </c>
      <c r="V110" s="1137"/>
      <c r="W110" s="5026"/>
      <c r="X110" s="1140"/>
      <c r="Y110" s="2394">
        <f t="shared" si="59"/>
        <v>0</v>
      </c>
      <c r="Z110" s="2400"/>
      <c r="AA110" s="544">
        <f t="shared" si="56"/>
        <v>2999.8000000000011</v>
      </c>
      <c r="AB110" s="2400"/>
      <c r="AC110" s="151"/>
      <c r="AD110" s="2400"/>
      <c r="AE110" s="2399">
        <f t="shared" si="89"/>
        <v>2999.8000000000011</v>
      </c>
      <c r="AF110" s="2400"/>
      <c r="AG110" s="151">
        <v>2979.7599999999998</v>
      </c>
      <c r="AH110" s="2400"/>
      <c r="AI110" s="2399">
        <f t="shared" si="90"/>
        <v>5979.5600000000013</v>
      </c>
      <c r="AJ110" s="2400"/>
      <c r="AK110" s="151">
        <v>19.97</v>
      </c>
      <c r="AL110" s="2400"/>
      <c r="AM110" s="2394">
        <f t="shared" si="63"/>
        <v>2999.7299999999996</v>
      </c>
      <c r="AN110" s="2400"/>
      <c r="AO110" s="2399">
        <f t="shared" si="75"/>
        <v>5999.5300000000016</v>
      </c>
      <c r="AP110" s="2400"/>
      <c r="AQ110" s="151">
        <v>2998.77</v>
      </c>
      <c r="AR110" s="2400"/>
      <c r="AS110" s="6131">
        <f t="shared" si="91"/>
        <v>8998.3000000000011</v>
      </c>
      <c r="AT110" s="2400"/>
      <c r="AU110" s="151"/>
      <c r="AV110" s="2400"/>
      <c r="AW110" s="6170">
        <f t="shared" si="92"/>
        <v>8998.3000000000011</v>
      </c>
      <c r="AX110" s="2400"/>
      <c r="AY110" s="151">
        <v>2498.5300000000002</v>
      </c>
      <c r="AZ110" s="2400"/>
      <c r="BA110" s="2394">
        <f t="shared" si="58"/>
        <v>5497.3</v>
      </c>
      <c r="BB110" s="2400"/>
      <c r="BC110" s="544">
        <f t="shared" si="60"/>
        <v>8497.0299999999988</v>
      </c>
      <c r="BD110" s="2400"/>
      <c r="BE110" s="376">
        <f t="shared" si="93"/>
        <v>11496.830000000002</v>
      </c>
      <c r="BF110" s="26"/>
      <c r="BG110" s="26"/>
      <c r="BP110" s="26"/>
      <c r="BQ110" s="26"/>
    </row>
    <row r="111" spans="1:69" x14ac:dyDescent="0.25">
      <c r="A111" s="149"/>
      <c r="B111" s="8" t="s">
        <v>1377</v>
      </c>
      <c r="C111" s="159" t="s">
        <v>354</v>
      </c>
      <c r="D111" s="597"/>
      <c r="E111" s="7051">
        <v>1535.66</v>
      </c>
      <c r="F111" s="1137"/>
      <c r="G111" s="7150"/>
      <c r="H111" s="1662"/>
      <c r="I111" s="1662">
        <f t="shared" si="67"/>
        <v>1535.66</v>
      </c>
      <c r="J111" s="1137"/>
      <c r="K111" s="4562"/>
      <c r="L111" s="1140"/>
      <c r="M111" s="2394">
        <f t="shared" si="88"/>
        <v>1535.66</v>
      </c>
      <c r="N111" s="1137"/>
      <c r="O111" s="4778">
        <v>2499.2300000000009</v>
      </c>
      <c r="P111" s="1137"/>
      <c r="Q111" s="1662">
        <f t="shared" si="65"/>
        <v>4034.8900000000012</v>
      </c>
      <c r="R111" s="1137"/>
      <c r="S111" s="4889"/>
      <c r="T111" s="1137"/>
      <c r="U111" s="1662">
        <f t="shared" si="66"/>
        <v>4034.8900000000012</v>
      </c>
      <c r="V111" s="1137"/>
      <c r="W111" s="5026"/>
      <c r="X111" s="1140"/>
      <c r="Y111" s="2394">
        <f t="shared" si="59"/>
        <v>2499.2300000000009</v>
      </c>
      <c r="Z111" s="2400"/>
      <c r="AA111" s="544">
        <f t="shared" si="56"/>
        <v>4034.8900000000012</v>
      </c>
      <c r="AB111" s="2400"/>
      <c r="AC111" s="151"/>
      <c r="AD111" s="2400"/>
      <c r="AE111" s="2399">
        <f t="shared" si="89"/>
        <v>4034.8900000000012</v>
      </c>
      <c r="AF111" s="2400"/>
      <c r="AG111" s="151"/>
      <c r="AH111" s="2400"/>
      <c r="AI111" s="2399">
        <f t="shared" si="90"/>
        <v>4034.8900000000012</v>
      </c>
      <c r="AJ111" s="2400"/>
      <c r="AK111" s="151">
        <v>2499.9</v>
      </c>
      <c r="AL111" s="2400"/>
      <c r="AM111" s="2394">
        <f t="shared" si="63"/>
        <v>2499.9</v>
      </c>
      <c r="AN111" s="2400"/>
      <c r="AO111" s="2399">
        <f t="shared" si="75"/>
        <v>6534.7900000000009</v>
      </c>
      <c r="AP111" s="2400"/>
      <c r="AQ111" s="151"/>
      <c r="AR111" s="2400"/>
      <c r="AS111" s="2399">
        <f t="shared" si="91"/>
        <v>6534.7900000000009</v>
      </c>
      <c r="AT111" s="2400"/>
      <c r="AU111" s="151">
        <v>2998.55</v>
      </c>
      <c r="AV111" s="2400"/>
      <c r="AW111" s="6170">
        <f t="shared" si="92"/>
        <v>9533.34</v>
      </c>
      <c r="AX111" s="2400"/>
      <c r="AY111" s="151">
        <v>964.2</v>
      </c>
      <c r="AZ111" s="2400"/>
      <c r="BA111" s="2394">
        <f t="shared" si="58"/>
        <v>3962.75</v>
      </c>
      <c r="BB111" s="2400"/>
      <c r="BC111" s="544">
        <f t="shared" si="60"/>
        <v>6462.65</v>
      </c>
      <c r="BD111" s="2400"/>
      <c r="BE111" s="376">
        <f t="shared" si="93"/>
        <v>10497.54</v>
      </c>
      <c r="BF111" s="26"/>
      <c r="BG111" s="26"/>
      <c r="BP111" s="26"/>
      <c r="BQ111" s="26"/>
    </row>
    <row r="112" spans="1:69" hidden="1" x14ac:dyDescent="0.25">
      <c r="A112" s="149"/>
      <c r="B112" s="8" t="s">
        <v>1294</v>
      </c>
      <c r="C112" s="159" t="s">
        <v>354</v>
      </c>
      <c r="D112" s="597"/>
      <c r="E112" s="457"/>
      <c r="F112" s="457"/>
      <c r="G112" s="1971"/>
      <c r="H112" s="1666"/>
      <c r="I112" s="1666">
        <f t="shared" si="67"/>
        <v>0</v>
      </c>
      <c r="J112" s="457"/>
      <c r="K112" s="1971"/>
      <c r="L112" s="1140"/>
      <c r="M112" s="2394">
        <f t="shared" si="88"/>
        <v>0</v>
      </c>
      <c r="N112" s="457"/>
      <c r="O112" s="1971"/>
      <c r="P112" s="457"/>
      <c r="Q112" s="1666">
        <f t="shared" si="65"/>
        <v>0</v>
      </c>
      <c r="R112" s="457"/>
      <c r="S112" s="1971"/>
      <c r="T112" s="457"/>
      <c r="U112" s="1666">
        <f t="shared" si="66"/>
        <v>0</v>
      </c>
      <c r="V112" s="457"/>
      <c r="W112" s="1971"/>
      <c r="X112" s="1140"/>
      <c r="Y112" s="2394">
        <f t="shared" si="59"/>
        <v>0</v>
      </c>
      <c r="Z112" s="1971"/>
      <c r="AA112" s="544">
        <f t="shared" si="56"/>
        <v>0</v>
      </c>
      <c r="AB112" s="1971"/>
      <c r="AC112" s="5479"/>
      <c r="AD112" s="1971"/>
      <c r="AE112" s="376">
        <f t="shared" si="89"/>
        <v>0</v>
      </c>
      <c r="AF112" s="1971"/>
      <c r="AG112" s="5479"/>
      <c r="AH112" s="1971"/>
      <c r="AI112" s="376">
        <f t="shared" si="90"/>
        <v>0</v>
      </c>
      <c r="AJ112" s="1971"/>
      <c r="AK112" s="5479"/>
      <c r="AL112" s="1971"/>
      <c r="AM112" s="2394">
        <f t="shared" si="63"/>
        <v>0</v>
      </c>
      <c r="AN112" s="1971"/>
      <c r="AO112" s="376">
        <f t="shared" si="75"/>
        <v>0</v>
      </c>
      <c r="AP112" s="1971"/>
      <c r="AQ112" s="5479"/>
      <c r="AR112" s="1971"/>
      <c r="AS112" s="376">
        <f t="shared" si="91"/>
        <v>0</v>
      </c>
      <c r="AT112" s="1971"/>
      <c r="AU112" s="5479"/>
      <c r="AV112" s="1971"/>
      <c r="AW112" s="6171">
        <f t="shared" si="92"/>
        <v>0</v>
      </c>
      <c r="AX112" s="1971"/>
      <c r="AY112" s="5479"/>
      <c r="AZ112" s="1971"/>
      <c r="BA112" s="2394">
        <f t="shared" si="58"/>
        <v>0</v>
      </c>
      <c r="BB112" s="1971"/>
      <c r="BC112" s="544">
        <f t="shared" si="60"/>
        <v>0</v>
      </c>
      <c r="BD112" s="1971"/>
      <c r="BE112" s="376">
        <f t="shared" si="93"/>
        <v>0</v>
      </c>
      <c r="BF112" s="26"/>
      <c r="BG112" s="26"/>
      <c r="BP112" s="26"/>
      <c r="BQ112" s="26"/>
    </row>
    <row r="113" spans="1:69" x14ac:dyDescent="0.25">
      <c r="A113" s="149"/>
      <c r="B113" s="744" t="s">
        <v>796</v>
      </c>
      <c r="C113" s="159" t="s">
        <v>354</v>
      </c>
      <c r="D113" s="597"/>
      <c r="E113" s="1360">
        <v>11652.96</v>
      </c>
      <c r="F113" s="1204"/>
      <c r="G113" s="1360">
        <v>9682.7800000000043</v>
      </c>
      <c r="H113" s="1662"/>
      <c r="I113" s="1663">
        <f>+E113+G113</f>
        <v>21335.740000000005</v>
      </c>
      <c r="J113" s="1204"/>
      <c r="K113" s="1360">
        <v>11007.460000000008</v>
      </c>
      <c r="L113" s="200"/>
      <c r="M113" s="2394">
        <f t="shared" si="88"/>
        <v>32343.200000000012</v>
      </c>
      <c r="N113" s="1204"/>
      <c r="O113" s="1360">
        <v>11463.319999999996</v>
      </c>
      <c r="P113" s="1204"/>
      <c r="Q113" s="1663">
        <f>+M113+O113</f>
        <v>43806.520000000004</v>
      </c>
      <c r="R113" s="1204"/>
      <c r="S113" s="1360">
        <v>13526.68</v>
      </c>
      <c r="T113" s="1204"/>
      <c r="U113" s="1663">
        <f>+Q113+S113</f>
        <v>57333.200000000004</v>
      </c>
      <c r="V113" s="1204"/>
      <c r="W113" s="1360">
        <v>18313.89</v>
      </c>
      <c r="X113" s="200"/>
      <c r="Y113" s="2394">
        <f t="shared" si="59"/>
        <v>43303.89</v>
      </c>
      <c r="Z113" s="1970"/>
      <c r="AA113" s="522">
        <f t="shared" si="56"/>
        <v>75647.090000000011</v>
      </c>
      <c r="AB113" s="1970"/>
      <c r="AC113" s="5466">
        <v>5560.0000000000009</v>
      </c>
      <c r="AD113" s="1970"/>
      <c r="AE113" s="1360">
        <f>+AA113+AC113</f>
        <v>81207.090000000011</v>
      </c>
      <c r="AF113" s="1970"/>
      <c r="AG113" s="5466">
        <v>3077.3100000000004</v>
      </c>
      <c r="AH113" s="1970"/>
      <c r="AI113" s="1360">
        <f>+AE113+AG113</f>
        <v>84284.400000000009</v>
      </c>
      <c r="AJ113" s="1970"/>
      <c r="AK113" s="5466">
        <v>8040.71</v>
      </c>
      <c r="AL113" s="1970"/>
      <c r="AM113" s="2394">
        <f t="shared" si="63"/>
        <v>16678.02</v>
      </c>
      <c r="AN113" s="1970"/>
      <c r="AO113" s="1360">
        <f t="shared" si="75"/>
        <v>92325.110000000015</v>
      </c>
      <c r="AP113" s="1970"/>
      <c r="AQ113" s="5466">
        <v>16569.02</v>
      </c>
      <c r="AR113" s="1970"/>
      <c r="AS113" s="1360">
        <f>+AO113+AQ113</f>
        <v>108894.13000000002</v>
      </c>
      <c r="AT113" s="1970"/>
      <c r="AU113" s="5466">
        <v>9070.67</v>
      </c>
      <c r="AV113" s="1970"/>
      <c r="AW113" s="1360">
        <f>+AS113+AU113</f>
        <v>117964.80000000002</v>
      </c>
      <c r="AX113" s="1970"/>
      <c r="AY113" s="5466">
        <v>5679.02</v>
      </c>
      <c r="AZ113" s="1970"/>
      <c r="BA113" s="2394">
        <f t="shared" si="58"/>
        <v>31318.710000000003</v>
      </c>
      <c r="BB113" s="1970"/>
      <c r="BC113" s="522">
        <f t="shared" si="60"/>
        <v>47996.73</v>
      </c>
      <c r="BD113" s="1970"/>
      <c r="BE113" s="1360">
        <f>+AW113+AY113</f>
        <v>123643.82000000002</v>
      </c>
      <c r="BF113" s="26"/>
      <c r="BG113" s="26"/>
      <c r="BP113" s="26"/>
      <c r="BQ113" s="26"/>
    </row>
    <row r="114" spans="1:69" x14ac:dyDescent="0.25">
      <c r="A114" s="149"/>
      <c r="B114" s="744" t="s">
        <v>695</v>
      </c>
      <c r="C114" s="449"/>
      <c r="D114" s="1360"/>
      <c r="E114" s="1360">
        <f>+E115+E116</f>
        <v>82850.87</v>
      </c>
      <c r="F114" s="1360"/>
      <c r="G114" s="1360">
        <f>+G115+G116</f>
        <v>83444.700000000012</v>
      </c>
      <c r="H114" s="1663"/>
      <c r="I114" s="1663">
        <f t="shared" si="67"/>
        <v>166295.57</v>
      </c>
      <c r="J114" s="1360"/>
      <c r="K114" s="1360">
        <f>+K115+K116</f>
        <v>57226.849999999991</v>
      </c>
      <c r="L114" s="1360"/>
      <c r="M114" s="2394">
        <f t="shared" si="88"/>
        <v>223522.41999999998</v>
      </c>
      <c r="N114" s="1360"/>
      <c r="O114" s="1360">
        <f>+O115+O116</f>
        <v>90725.34</v>
      </c>
      <c r="P114" s="1360"/>
      <c r="Q114" s="1663">
        <f t="shared" si="65"/>
        <v>314247.76</v>
      </c>
      <c r="R114" s="1360"/>
      <c r="S114" s="1360">
        <f>+S115+S116</f>
        <v>81579.289999999994</v>
      </c>
      <c r="T114" s="1360"/>
      <c r="U114" s="1663">
        <f t="shared" si="66"/>
        <v>395827.05</v>
      </c>
      <c r="V114" s="1360"/>
      <c r="W114" s="1360">
        <f>+W115+W116</f>
        <v>95862.34</v>
      </c>
      <c r="X114" s="1360"/>
      <c r="Y114" s="2394">
        <f t="shared" si="59"/>
        <v>268166.96999999997</v>
      </c>
      <c r="Z114" s="1360"/>
      <c r="AA114" s="522">
        <f t="shared" si="56"/>
        <v>491689.38999999996</v>
      </c>
      <c r="AB114" s="1360"/>
      <c r="AC114" s="5466">
        <f>+AC115+AC116</f>
        <v>69744.739999999991</v>
      </c>
      <c r="AD114" s="1360"/>
      <c r="AE114" s="1360">
        <f t="shared" ref="AE114:AE116" si="94">+AA114+AC114</f>
        <v>561434.12999999989</v>
      </c>
      <c r="AF114" s="1360"/>
      <c r="AG114" s="5466">
        <f>+AG115+AG116</f>
        <v>27303.190000000002</v>
      </c>
      <c r="AH114" s="1360"/>
      <c r="AI114" s="1360">
        <f t="shared" ref="AI114:AI116" si="95">+AE114+AG114</f>
        <v>588737.31999999983</v>
      </c>
      <c r="AJ114" s="1360"/>
      <c r="AK114" s="5466">
        <f>+AK115+AK116</f>
        <v>61000.69</v>
      </c>
      <c r="AL114" s="1360"/>
      <c r="AM114" s="2394">
        <f t="shared" si="63"/>
        <v>158048.62</v>
      </c>
      <c r="AN114" s="1360"/>
      <c r="AO114" s="1360">
        <f t="shared" si="75"/>
        <v>649738.00999999978</v>
      </c>
      <c r="AP114" s="1360"/>
      <c r="AQ114" s="5466">
        <f>+AQ115+AQ116</f>
        <v>97525.18</v>
      </c>
      <c r="AR114" s="1360"/>
      <c r="AS114" s="1360">
        <f t="shared" ref="AS114:AS116" si="96">+AO114+AQ114</f>
        <v>747263.18999999971</v>
      </c>
      <c r="AT114" s="1360"/>
      <c r="AU114" s="5466">
        <f>+AU115+AU116</f>
        <v>85055.29</v>
      </c>
      <c r="AV114" s="1360"/>
      <c r="AW114" s="1360">
        <f t="shared" ref="AW114:AW116" si="97">+AS114+AU114</f>
        <v>832318.47999999975</v>
      </c>
      <c r="AX114" s="1360"/>
      <c r="AY114" s="5466">
        <f>+AY115+AY116</f>
        <v>72764.600000000006</v>
      </c>
      <c r="AZ114" s="1360"/>
      <c r="BA114" s="2394">
        <f t="shared" si="58"/>
        <v>255345.06999999998</v>
      </c>
      <c r="BB114" s="1360"/>
      <c r="BC114" s="522">
        <f t="shared" si="60"/>
        <v>413393.68999999994</v>
      </c>
      <c r="BD114" s="1360"/>
      <c r="BE114" s="1360">
        <f t="shared" ref="BE114:BE116" si="98">+AW114+AY114</f>
        <v>905083.07999999973</v>
      </c>
      <c r="BF114" s="26"/>
      <c r="BG114" s="26"/>
      <c r="BP114" s="26"/>
      <c r="BQ114" s="26"/>
    </row>
    <row r="115" spans="1:69" ht="20.25" x14ac:dyDescent="0.25">
      <c r="A115" s="149"/>
      <c r="B115" s="745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4"/>
      <c r="I115" s="1664">
        <f t="shared" si="67"/>
        <v>136336.01</v>
      </c>
      <c r="J115" s="596"/>
      <c r="K115" s="596">
        <v>57226.849999999991</v>
      </c>
      <c r="L115" s="1140"/>
      <c r="M115" s="2394">
        <f t="shared" si="88"/>
        <v>193562.86</v>
      </c>
      <c r="N115" s="596"/>
      <c r="O115" s="596">
        <v>90725.34</v>
      </c>
      <c r="P115" s="596"/>
      <c r="Q115" s="1664">
        <f t="shared" si="65"/>
        <v>284288.19999999995</v>
      </c>
      <c r="R115" s="596"/>
      <c r="S115" s="596">
        <v>81579.289999999994</v>
      </c>
      <c r="T115" s="596"/>
      <c r="U115" s="1664">
        <f t="shared" si="66"/>
        <v>365867.48999999993</v>
      </c>
      <c r="V115" s="596"/>
      <c r="W115" s="596">
        <v>95862.34</v>
      </c>
      <c r="X115" s="1140"/>
      <c r="Y115" s="2394">
        <f t="shared" si="59"/>
        <v>268166.96999999997</v>
      </c>
      <c r="Z115" s="596"/>
      <c r="AA115" s="522">
        <f t="shared" si="56"/>
        <v>461729.82999999996</v>
      </c>
      <c r="AB115" s="596"/>
      <c r="AC115" s="1525">
        <v>69744.739999999991</v>
      </c>
      <c r="AD115" s="596"/>
      <c r="AE115" s="2608">
        <f t="shared" si="94"/>
        <v>531474.56999999995</v>
      </c>
      <c r="AF115" s="596"/>
      <c r="AG115" s="1525">
        <v>27303.190000000002</v>
      </c>
      <c r="AH115" s="596"/>
      <c r="AI115" s="2608">
        <f t="shared" si="95"/>
        <v>558777.76</v>
      </c>
      <c r="AJ115" s="596"/>
      <c r="AK115" s="1525">
        <v>61000.69</v>
      </c>
      <c r="AL115" s="596"/>
      <c r="AM115" s="2394">
        <f t="shared" si="63"/>
        <v>158048.62</v>
      </c>
      <c r="AN115" s="596"/>
      <c r="AO115" s="2608">
        <f t="shared" si="75"/>
        <v>619778.44999999995</v>
      </c>
      <c r="AP115" s="596"/>
      <c r="AQ115" s="1525">
        <v>97525.18</v>
      </c>
      <c r="AR115" s="596"/>
      <c r="AS115" s="2608">
        <f t="shared" si="96"/>
        <v>717303.62999999989</v>
      </c>
      <c r="AT115" s="596"/>
      <c r="AU115" s="1525">
        <v>85055.29</v>
      </c>
      <c r="AV115" s="596"/>
      <c r="AW115" s="2608">
        <f t="shared" si="97"/>
        <v>802358.91999999993</v>
      </c>
      <c r="AX115" s="596"/>
      <c r="AY115" s="1525">
        <v>72764.600000000006</v>
      </c>
      <c r="AZ115" s="596"/>
      <c r="BA115" s="2394">
        <f t="shared" si="58"/>
        <v>255345.06999999998</v>
      </c>
      <c r="BB115" s="596"/>
      <c r="BC115" s="522">
        <f t="shared" si="60"/>
        <v>413393.68999999994</v>
      </c>
      <c r="BD115" s="596"/>
      <c r="BE115" s="256">
        <f t="shared" si="98"/>
        <v>875123.5199999999</v>
      </c>
      <c r="BF115" s="26"/>
      <c r="BG115" s="26"/>
      <c r="BP115" s="26"/>
      <c r="BQ115" s="26"/>
    </row>
    <row r="116" spans="1:69" ht="21" thickBot="1" x14ac:dyDescent="0.3">
      <c r="B116" s="745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4"/>
      <c r="I116" s="1664">
        <f t="shared" si="67"/>
        <v>29959.560000000005</v>
      </c>
      <c r="J116" s="596"/>
      <c r="K116" s="596"/>
      <c r="L116" s="1140"/>
      <c r="M116" s="2394">
        <f t="shared" si="88"/>
        <v>29959.560000000005</v>
      </c>
      <c r="N116" s="596"/>
      <c r="O116" s="596"/>
      <c r="P116" s="596"/>
      <c r="Q116" s="1664">
        <f t="shared" si="65"/>
        <v>29959.560000000005</v>
      </c>
      <c r="R116" s="596"/>
      <c r="S116" s="596"/>
      <c r="T116" s="596"/>
      <c r="U116" s="1664">
        <f t="shared" si="66"/>
        <v>29959.560000000005</v>
      </c>
      <c r="V116" s="596"/>
      <c r="W116" s="596"/>
      <c r="X116" s="1140"/>
      <c r="Y116" s="2394">
        <f t="shared" si="59"/>
        <v>0</v>
      </c>
      <c r="Z116" s="596"/>
      <c r="AA116" s="522">
        <f t="shared" si="56"/>
        <v>29959.560000000005</v>
      </c>
      <c r="AB116" s="596"/>
      <c r="AC116" s="1525"/>
      <c r="AD116" s="596"/>
      <c r="AE116" s="2608">
        <f t="shared" si="94"/>
        <v>29959.560000000005</v>
      </c>
      <c r="AF116" s="596"/>
      <c r="AG116" s="1525"/>
      <c r="AH116" s="596"/>
      <c r="AI116" s="2608">
        <f t="shared" si="95"/>
        <v>29959.560000000005</v>
      </c>
      <c r="AJ116" s="596"/>
      <c r="AK116" s="1525"/>
      <c r="AL116" s="596"/>
      <c r="AM116" s="2394">
        <f t="shared" si="63"/>
        <v>0</v>
      </c>
      <c r="AN116" s="596"/>
      <c r="AO116" s="2608">
        <f t="shared" si="75"/>
        <v>29959.560000000005</v>
      </c>
      <c r="AP116" s="596"/>
      <c r="AQ116" s="1525">
        <v>0</v>
      </c>
      <c r="AR116" s="596"/>
      <c r="AS116" s="2608">
        <f t="shared" si="96"/>
        <v>29959.560000000005</v>
      </c>
      <c r="AT116" s="596"/>
      <c r="AU116" s="1525">
        <v>0</v>
      </c>
      <c r="AV116" s="596"/>
      <c r="AW116" s="2608">
        <f t="shared" si="97"/>
        <v>29959.560000000005</v>
      </c>
      <c r="AX116" s="596"/>
      <c r="AY116" s="1525">
        <v>0</v>
      </c>
      <c r="AZ116" s="596"/>
      <c r="BA116" s="2394">
        <f t="shared" si="58"/>
        <v>0</v>
      </c>
      <c r="BB116" s="596"/>
      <c r="BC116" s="522">
        <f t="shared" si="60"/>
        <v>0</v>
      </c>
      <c r="BD116" s="596"/>
      <c r="BE116" s="256">
        <f t="shared" si="98"/>
        <v>29959.560000000005</v>
      </c>
      <c r="BF116" s="26"/>
      <c r="BG116" s="26"/>
      <c r="BP116" s="26"/>
      <c r="BQ116" s="26"/>
    </row>
    <row r="117" spans="1:69" ht="21" thickBot="1" x14ac:dyDescent="0.3">
      <c r="A117" s="149"/>
      <c r="B117" s="7452" t="s">
        <v>1680</v>
      </c>
      <c r="C117" s="7453"/>
      <c r="D117" s="1361"/>
      <c r="E117" s="1361">
        <f t="shared" ref="E117:F117" si="99">+E23+E33+E34+E48+E53+E58+E65+E104+E107+E108+E113+E116</f>
        <v>40974.449999999997</v>
      </c>
      <c r="F117" s="1361">
        <f t="shared" si="99"/>
        <v>0</v>
      </c>
      <c r="G117" s="1361">
        <f t="shared" ref="G117" si="100">+G23+G33+G34+G48+G53+G58+G65+G104+G107+G108+G113+G116</f>
        <v>57075.820000000014</v>
      </c>
      <c r="H117" s="1361">
        <f t="shared" ref="H117:I117" si="101">+H23+H33+H34+H48+H53+H58+H65+H104+H107+H108+H113+H116</f>
        <v>0</v>
      </c>
      <c r="I117" s="1361">
        <f t="shared" si="101"/>
        <v>98050.270000000019</v>
      </c>
      <c r="J117" s="1361">
        <f t="shared" ref="J117:X117" si="102">+J23+J33+J34+J48+J53+J58+J65+J104+J106+J107+J108+J113+J116</f>
        <v>0</v>
      </c>
      <c r="K117" s="1361">
        <f>+K23+K33+K34+K48+K53+K58+K65+K104+K107+K108+K113+K116</f>
        <v>58625.390000000014</v>
      </c>
      <c r="L117" s="1361">
        <f t="shared" si="102"/>
        <v>0</v>
      </c>
      <c r="M117" s="1361">
        <f>+M23+M33+M34+M48+M53+M58+M65+M104+M107+M108+M113+M116</f>
        <v>156675.66000000003</v>
      </c>
      <c r="N117" s="1361">
        <f t="shared" si="102"/>
        <v>0</v>
      </c>
      <c r="O117" s="1361">
        <f>+O23+O33+O34+O48+O53+O58+O65+O104+O107+O108+O113+O116</f>
        <v>63384.109999999986</v>
      </c>
      <c r="P117" s="1361">
        <f t="shared" si="102"/>
        <v>0</v>
      </c>
      <c r="Q117" s="1361">
        <f t="shared" ref="Q117" si="103">+Q23+Q33+Q34+Q48+Q53+Q58+Q65+Q104+Q107+Q108+Q113+Q116</f>
        <v>220059.77000000002</v>
      </c>
      <c r="R117" s="1361">
        <f t="shared" si="102"/>
        <v>0</v>
      </c>
      <c r="S117" s="1361">
        <f>+S23+S33+S34+S48+S53+S58+S65+S104+S107+S108+S113+S116</f>
        <v>51189.5</v>
      </c>
      <c r="T117" s="1361">
        <f t="shared" si="102"/>
        <v>0</v>
      </c>
      <c r="U117" s="1361">
        <f t="shared" ref="U117" si="104">+U23+U33+U34+U48+U53+U58+U65+U104+U107+U108+U113+U116</f>
        <v>271249.27</v>
      </c>
      <c r="V117" s="1361">
        <f t="shared" si="102"/>
        <v>0</v>
      </c>
      <c r="W117" s="1361">
        <f>+W23+W33+W34+W48+W53+W58+W65+W104+W107+W108+W113+W116</f>
        <v>38529.81</v>
      </c>
      <c r="X117" s="1361">
        <f t="shared" si="102"/>
        <v>0</v>
      </c>
      <c r="Y117" s="1361">
        <f t="shared" si="59"/>
        <v>153103.41999999998</v>
      </c>
      <c r="Z117" s="1361">
        <f>+Z23+Z33+Z34+Z48+Z53+Z58+Z65+Z104+Z106+Z107+Z108+Z113+Z116</f>
        <v>0</v>
      </c>
      <c r="AA117" s="3081">
        <f t="shared" si="56"/>
        <v>309779.08</v>
      </c>
      <c r="AB117" s="1361">
        <f t="shared" ref="AB117:AL117" si="105">+AB23+AB33+AB34+AB48+AB53+AB58+AB65+AB104+AB106+AB107+AB108+AB113+AB116</f>
        <v>0</v>
      </c>
      <c r="AC117" s="5480">
        <f>+AC23+AC33+AC34+AC48+AC53+AC58+AC65+AC104+AC107+AC108+AC113+AC116</f>
        <v>18121.12</v>
      </c>
      <c r="AD117" s="1361">
        <f t="shared" si="105"/>
        <v>0</v>
      </c>
      <c r="AE117" s="1361">
        <f>+AE23+AE33+AE34+AE48+AE53+AE58+AE65+AE104+AE107+AE108+AE113+AE116</f>
        <v>327900.2</v>
      </c>
      <c r="AF117" s="1361">
        <f t="shared" si="105"/>
        <v>0</v>
      </c>
      <c r="AG117" s="5480">
        <f>+AG23+AG33+AG34+AG48+AG53+AG58+AG65+AG104+AG107+AG108+AG113+AG116</f>
        <v>20952.62</v>
      </c>
      <c r="AH117" s="1361">
        <f t="shared" si="105"/>
        <v>0</v>
      </c>
      <c r="AI117" s="1361">
        <f>+AI23+AI33+AI34+AI48+AI53+AI58+AI65+AI104+AI107+AI108+AI113+AI116</f>
        <v>348852.82</v>
      </c>
      <c r="AJ117" s="1361">
        <f t="shared" si="105"/>
        <v>0</v>
      </c>
      <c r="AK117" s="5480">
        <f>+AK23+AK33+AK34+AK48+AK53+AK58+AK65+AK104+AK107+AK108+AK113+AK116</f>
        <v>24977.800000000003</v>
      </c>
      <c r="AL117" s="1361">
        <f t="shared" si="105"/>
        <v>0</v>
      </c>
      <c r="AM117" s="1361">
        <f>+AM23+AM33+AM34+AM48+AM53+AM58+AM65+AM104+AM107+AM108+AM113+AM116</f>
        <v>64051.540000000008</v>
      </c>
      <c r="AN117" s="1361">
        <f t="shared" ref="AN117:AZ117" si="106">+AN23+AN33+AN34+AN48+AN53+AN58+AN65+AN104+AN106+AN107+AN108+AN113+AN116</f>
        <v>0</v>
      </c>
      <c r="AO117" s="1361">
        <f>+AO23+AO33+AO34+AO48+AO53+AO58+AO65+AO104+AO107+AO108+AO113+AO116</f>
        <v>373830.62000000005</v>
      </c>
      <c r="AP117" s="1361">
        <f t="shared" si="106"/>
        <v>0</v>
      </c>
      <c r="AQ117" s="5480">
        <f>+AQ23+AQ33+AQ34+AQ48+AQ53+AQ58+AQ65+AQ104+AQ107+AQ108+AQ113+AQ116</f>
        <v>38722.94</v>
      </c>
      <c r="AR117" s="1361">
        <f t="shared" si="106"/>
        <v>0</v>
      </c>
      <c r="AS117" s="1361">
        <f>+AS23+AS33+AS34+AS48+AS53+AS58+AS65+AS104+AS107+AS108+AS113+AS116</f>
        <v>412553.56</v>
      </c>
      <c r="AT117" s="1361">
        <f t="shared" si="106"/>
        <v>0</v>
      </c>
      <c r="AU117" s="5480">
        <f>+AU23+AU33+AU34+AU48+AU53+AU58+AU65+AU104+AU107+AU108+AU113+AU116</f>
        <v>28592.42</v>
      </c>
      <c r="AV117" s="1361">
        <f t="shared" si="106"/>
        <v>0</v>
      </c>
      <c r="AW117" s="1361">
        <f>+AW23+AW33+AW34+AW48+AW53+AW58+AW65+AW104+AW107+AW108+AW113+AW116</f>
        <v>441145.98000000004</v>
      </c>
      <c r="AX117" s="1361">
        <f t="shared" si="106"/>
        <v>0</v>
      </c>
      <c r="AY117" s="5480">
        <f>+AY23+AY33+AY34+AY48+AY53+AY58+AY65+AY104+AY107+AY108+AY113+AY116</f>
        <v>28464.910000000003</v>
      </c>
      <c r="AZ117" s="1361">
        <f t="shared" si="106"/>
        <v>0</v>
      </c>
      <c r="BA117" s="1361">
        <f t="shared" ref="BA117:BE117" si="107">+BA23+BA33+BA34+BA48+BA53+BA58+BA65+BA104+BA107+BA108+BA113+BA116</f>
        <v>95780.27</v>
      </c>
      <c r="BB117" s="1361">
        <f t="shared" si="107"/>
        <v>0</v>
      </c>
      <c r="BC117" s="1361">
        <f t="shared" si="107"/>
        <v>159831.81</v>
      </c>
      <c r="BD117" s="1361">
        <f t="shared" si="107"/>
        <v>0</v>
      </c>
      <c r="BE117" s="1361">
        <f t="shared" si="107"/>
        <v>469610.89</v>
      </c>
      <c r="BF117" s="26"/>
      <c r="BG117" s="26"/>
      <c r="BP117" s="26"/>
      <c r="BQ117" s="26"/>
    </row>
    <row r="118" spans="1:69" s="3122" customFormat="1" ht="21" thickBot="1" x14ac:dyDescent="0.3">
      <c r="A118" s="149"/>
      <c r="B118" s="3147"/>
      <c r="C118" s="3148"/>
      <c r="D118" s="3149"/>
      <c r="E118" s="1767"/>
      <c r="F118" s="1767"/>
      <c r="G118" s="1767"/>
      <c r="H118" s="1767"/>
      <c r="I118" s="1767"/>
      <c r="J118" s="1767"/>
      <c r="K118" s="1767"/>
      <c r="L118" s="1767"/>
      <c r="M118" s="1767"/>
      <c r="N118" s="1767"/>
      <c r="O118" s="1767"/>
      <c r="P118" s="1767"/>
      <c r="Q118" s="1767"/>
      <c r="R118" s="1767"/>
      <c r="S118" s="1767"/>
      <c r="T118" s="1767"/>
      <c r="U118" s="1767"/>
      <c r="V118" s="1767"/>
      <c r="W118" s="1767"/>
      <c r="X118" s="1767"/>
      <c r="Y118" s="1767"/>
      <c r="Z118" s="1767"/>
      <c r="AA118" s="3150"/>
      <c r="AB118" s="1767"/>
      <c r="AC118" s="5481"/>
      <c r="AD118" s="1767"/>
      <c r="AE118" s="1767"/>
      <c r="AF118" s="1767"/>
      <c r="AG118" s="5481"/>
      <c r="AH118" s="1767"/>
      <c r="AI118" s="1767"/>
      <c r="AJ118" s="1767"/>
      <c r="AK118" s="5481"/>
      <c r="AL118" s="1767"/>
      <c r="AM118" s="1767"/>
      <c r="AN118" s="1767"/>
      <c r="AO118" s="1767"/>
      <c r="AP118" s="1767"/>
      <c r="AQ118" s="5481"/>
      <c r="AR118" s="1767"/>
      <c r="AS118" s="1767"/>
      <c r="AT118" s="1767"/>
      <c r="AU118" s="5481"/>
      <c r="AV118" s="1767"/>
      <c r="AW118" s="1767"/>
      <c r="AX118" s="1767"/>
      <c r="AY118" s="5481"/>
      <c r="AZ118" s="1767"/>
      <c r="BA118" s="1767"/>
      <c r="BB118" s="1767"/>
      <c r="BC118" s="3150"/>
      <c r="BD118" s="1767"/>
      <c r="BE118" s="1767"/>
      <c r="BF118" s="26"/>
      <c r="BG118" s="26"/>
      <c r="BP118" s="26"/>
      <c r="BQ118" s="26"/>
    </row>
    <row r="119" spans="1:69" ht="25.5" x14ac:dyDescent="0.25">
      <c r="B119" s="3344" t="s">
        <v>1088</v>
      </c>
      <c r="C119" s="3151"/>
      <c r="D119" s="3152"/>
      <c r="E119" s="3153"/>
      <c r="F119" s="3154"/>
      <c r="G119" s="3153"/>
      <c r="H119" s="3153"/>
      <c r="I119" s="3153"/>
      <c r="J119" s="3153"/>
      <c r="K119" s="3153"/>
      <c r="L119" s="3154"/>
      <c r="M119" s="3155"/>
      <c r="N119" s="3154"/>
      <c r="O119" s="3153"/>
      <c r="P119" s="3153"/>
      <c r="Q119" s="3153"/>
      <c r="R119" s="3153"/>
      <c r="S119" s="3153"/>
      <c r="T119" s="3153"/>
      <c r="U119" s="3153"/>
      <c r="V119" s="3153"/>
      <c r="W119" s="3153"/>
      <c r="X119" s="3154"/>
      <c r="Y119" s="3155"/>
      <c r="Z119" s="3154"/>
      <c r="AA119" s="3156"/>
      <c r="AB119" s="3154"/>
      <c r="AC119" s="2597"/>
      <c r="AD119" s="3153"/>
      <c r="AE119" s="3153"/>
      <c r="AF119" s="3153"/>
      <c r="AG119" s="2597"/>
      <c r="AH119" s="3153"/>
      <c r="AI119" s="3153"/>
      <c r="AJ119" s="3153"/>
      <c r="AK119" s="2597"/>
      <c r="AL119" s="3154"/>
      <c r="AM119" s="3155"/>
      <c r="AN119" s="3154"/>
      <c r="AO119" s="3154"/>
      <c r="AP119" s="3154"/>
      <c r="AQ119" s="2597"/>
      <c r="AR119" s="3153"/>
      <c r="AS119" s="3153"/>
      <c r="AT119" s="3153"/>
      <c r="AU119" s="2597"/>
      <c r="AV119" s="3154"/>
      <c r="AW119" s="3153"/>
      <c r="AX119" s="3153"/>
      <c r="AY119" s="2597"/>
      <c r="AZ119" s="3154"/>
      <c r="BA119" s="3155"/>
      <c r="BB119" s="3154"/>
      <c r="BC119" s="3156"/>
      <c r="BD119" s="3154"/>
      <c r="BE119" s="3157"/>
      <c r="BF119" s="26"/>
      <c r="BG119" s="26"/>
      <c r="BP119" s="26"/>
      <c r="BQ119" s="26"/>
    </row>
    <row r="120" spans="1:69" hidden="1" x14ac:dyDescent="0.25">
      <c r="B120" s="744" t="s">
        <v>1084</v>
      </c>
      <c r="C120" s="3142" t="s">
        <v>354</v>
      </c>
      <c r="D120" s="3158"/>
      <c r="E120" s="3158">
        <f>+E121+E122+E123</f>
        <v>0</v>
      </c>
      <c r="F120" s="3158"/>
      <c r="G120" s="3158">
        <f>+G121+G122+G123</f>
        <v>0</v>
      </c>
      <c r="H120" s="3159"/>
      <c r="I120" s="3159">
        <f t="shared" ref="I120:I176" si="108">+E120+G120</f>
        <v>0</v>
      </c>
      <c r="J120" s="3158"/>
      <c r="K120" s="3158">
        <f>+K121+K122+K123</f>
        <v>0</v>
      </c>
      <c r="L120" s="3158"/>
      <c r="M120" s="3160">
        <f t="shared" ref="M120:M133" si="109">+E120+G120+K120</f>
        <v>0</v>
      </c>
      <c r="N120" s="3158"/>
      <c r="O120" s="3158">
        <f>+O121+O122+O123</f>
        <v>38.75</v>
      </c>
      <c r="P120" s="3158"/>
      <c r="Q120" s="3159">
        <f t="shared" ref="Q120:Q185" si="110">+M120+O120</f>
        <v>38.75</v>
      </c>
      <c r="R120" s="3158"/>
      <c r="S120" s="3158">
        <f>+S121+S122+S123</f>
        <v>0</v>
      </c>
      <c r="T120" s="3158"/>
      <c r="U120" s="3159">
        <f t="shared" ref="U120:U185" si="111">+Q120+S120</f>
        <v>38.75</v>
      </c>
      <c r="V120" s="3158"/>
      <c r="W120" s="3158">
        <f>+W121+W122+W123</f>
        <v>0</v>
      </c>
      <c r="X120" s="3158"/>
      <c r="Y120" s="3160">
        <f t="shared" si="59"/>
        <v>38.75</v>
      </c>
      <c r="Z120" s="3158"/>
      <c r="AA120" s="3146">
        <f t="shared" si="56"/>
        <v>38.75</v>
      </c>
      <c r="AB120" s="3158"/>
      <c r="AC120" s="5482">
        <f>+AC121+AC122+AC123</f>
        <v>0</v>
      </c>
      <c r="AD120" s="3158"/>
      <c r="AE120" s="3158">
        <f t="shared" ref="AE120:AE133" si="112">+AA120+AC120</f>
        <v>38.75</v>
      </c>
      <c r="AF120" s="3158"/>
      <c r="AG120" s="5482">
        <f>+AG121+AG122+AG123</f>
        <v>0</v>
      </c>
      <c r="AH120" s="3158"/>
      <c r="AI120" s="3158">
        <f t="shared" ref="AI120:AI133" si="113">+AE120+AG120</f>
        <v>38.75</v>
      </c>
      <c r="AJ120" s="3158"/>
      <c r="AK120" s="5482">
        <f>+AK121+AK122+AK123</f>
        <v>0</v>
      </c>
      <c r="AL120" s="3158"/>
      <c r="AM120" s="3160">
        <f t="shared" si="63"/>
        <v>0</v>
      </c>
      <c r="AN120" s="3158"/>
      <c r="AO120" s="3158">
        <f t="shared" si="75"/>
        <v>38.75</v>
      </c>
      <c r="AP120" s="3158"/>
      <c r="AQ120" s="5482">
        <f>+AQ121+AQ122+AQ123</f>
        <v>0</v>
      </c>
      <c r="AR120" s="3158"/>
      <c r="AS120" s="3158">
        <f t="shared" ref="AS120:AS123" si="114">+AO120+AQ120</f>
        <v>38.75</v>
      </c>
      <c r="AT120" s="3158"/>
      <c r="AU120" s="5482">
        <f>+AU121+AU122+AU123</f>
        <v>9.41</v>
      </c>
      <c r="AV120" s="3158"/>
      <c r="AW120" s="3158">
        <f t="shared" ref="AW120:AW123" si="115">+AS120+AU120</f>
        <v>48.16</v>
      </c>
      <c r="AX120" s="3158"/>
      <c r="AY120" s="5482">
        <f>+AY121+AY122+AY123</f>
        <v>4.21</v>
      </c>
      <c r="AZ120" s="3158"/>
      <c r="BA120" s="3160">
        <f t="shared" si="58"/>
        <v>13.620000000000001</v>
      </c>
      <c r="BB120" s="3158"/>
      <c r="BC120" s="3146">
        <f t="shared" si="60"/>
        <v>13.620000000000001</v>
      </c>
      <c r="BD120" s="3158"/>
      <c r="BE120" s="2708">
        <f t="shared" ref="BE120:BE123" si="116">+AW120+AY120</f>
        <v>52.37</v>
      </c>
      <c r="BF120" s="26"/>
      <c r="BG120" s="26"/>
      <c r="BP120" s="26"/>
      <c r="BQ120" s="26"/>
    </row>
    <row r="121" spans="1:69" hidden="1" x14ac:dyDescent="0.25">
      <c r="B121" s="742" t="s">
        <v>1085</v>
      </c>
      <c r="C121" s="3142" t="s">
        <v>354</v>
      </c>
      <c r="D121" s="3161"/>
      <c r="E121" s="3161"/>
      <c r="F121" s="3161"/>
      <c r="G121" s="3161"/>
      <c r="H121" s="3162"/>
      <c r="I121" s="3162">
        <f t="shared" si="108"/>
        <v>0</v>
      </c>
      <c r="J121" s="3161"/>
      <c r="K121" s="3161"/>
      <c r="L121" s="3161"/>
      <c r="M121" s="3163">
        <f t="shared" si="109"/>
        <v>0</v>
      </c>
      <c r="N121" s="3161"/>
      <c r="O121" s="3161">
        <v>9.18</v>
      </c>
      <c r="P121" s="3161"/>
      <c r="Q121" s="3162">
        <f t="shared" si="110"/>
        <v>9.18</v>
      </c>
      <c r="R121" s="3161"/>
      <c r="S121" s="3161"/>
      <c r="T121" s="3161"/>
      <c r="U121" s="3162">
        <f t="shared" si="111"/>
        <v>9.18</v>
      </c>
      <c r="V121" s="3161"/>
      <c r="W121" s="3161"/>
      <c r="X121" s="3161"/>
      <c r="Y121" s="3163">
        <f t="shared" si="59"/>
        <v>9.18</v>
      </c>
      <c r="Z121" s="3161"/>
      <c r="AA121" s="3146">
        <f t="shared" si="56"/>
        <v>9.18</v>
      </c>
      <c r="AB121" s="3161"/>
      <c r="AC121" s="3397"/>
      <c r="AD121" s="3161"/>
      <c r="AE121" s="3145">
        <f t="shared" si="112"/>
        <v>9.18</v>
      </c>
      <c r="AF121" s="3161"/>
      <c r="AG121" s="3397"/>
      <c r="AH121" s="3161"/>
      <c r="AI121" s="3145">
        <f t="shared" si="113"/>
        <v>9.18</v>
      </c>
      <c r="AJ121" s="3161"/>
      <c r="AK121" s="3397"/>
      <c r="AL121" s="3161"/>
      <c r="AM121" s="3163">
        <f t="shared" si="63"/>
        <v>0</v>
      </c>
      <c r="AN121" s="3161"/>
      <c r="AO121" s="3145">
        <f t="shared" si="75"/>
        <v>9.18</v>
      </c>
      <c r="AP121" s="3161"/>
      <c r="AQ121" s="3397"/>
      <c r="AR121" s="3161"/>
      <c r="AS121" s="3145">
        <f t="shared" si="114"/>
        <v>9.18</v>
      </c>
      <c r="AT121" s="3161"/>
      <c r="AU121" s="3397"/>
      <c r="AV121" s="3161"/>
      <c r="AW121" s="6183">
        <f t="shared" si="115"/>
        <v>9.18</v>
      </c>
      <c r="AX121" s="3161"/>
      <c r="AY121" s="3397">
        <v>4.21</v>
      </c>
      <c r="AZ121" s="3161"/>
      <c r="BA121" s="3163">
        <f t="shared" si="58"/>
        <v>4.21</v>
      </c>
      <c r="BB121" s="3161"/>
      <c r="BC121" s="3146">
        <f t="shared" si="60"/>
        <v>4.21</v>
      </c>
      <c r="BD121" s="3161"/>
      <c r="BE121" s="182">
        <f t="shared" si="116"/>
        <v>13.39</v>
      </c>
      <c r="BF121" s="26"/>
      <c r="BG121" s="26"/>
      <c r="BP121" s="26"/>
      <c r="BQ121" s="26"/>
    </row>
    <row r="122" spans="1:69" hidden="1" x14ac:dyDescent="0.25">
      <c r="B122" s="742" t="s">
        <v>1086</v>
      </c>
      <c r="C122" s="3142" t="s">
        <v>354</v>
      </c>
      <c r="D122" s="3161"/>
      <c r="E122" s="3161"/>
      <c r="F122" s="3161"/>
      <c r="G122" s="3161"/>
      <c r="H122" s="3162"/>
      <c r="I122" s="3162">
        <f t="shared" si="108"/>
        <v>0</v>
      </c>
      <c r="J122" s="3161"/>
      <c r="K122" s="3161"/>
      <c r="L122" s="3161"/>
      <c r="M122" s="3163">
        <f t="shared" si="109"/>
        <v>0</v>
      </c>
      <c r="N122" s="3161"/>
      <c r="O122" s="3161"/>
      <c r="P122" s="3161"/>
      <c r="Q122" s="3162">
        <f t="shared" si="110"/>
        <v>0</v>
      </c>
      <c r="R122" s="3161"/>
      <c r="S122" s="3161"/>
      <c r="T122" s="3161"/>
      <c r="U122" s="3162">
        <f t="shared" si="111"/>
        <v>0</v>
      </c>
      <c r="V122" s="3161"/>
      <c r="W122" s="3161"/>
      <c r="X122" s="3161"/>
      <c r="Y122" s="3163">
        <f t="shared" si="59"/>
        <v>0</v>
      </c>
      <c r="Z122" s="3161"/>
      <c r="AA122" s="3146">
        <f t="shared" si="56"/>
        <v>0</v>
      </c>
      <c r="AB122" s="3161"/>
      <c r="AC122" s="3397"/>
      <c r="AD122" s="3161"/>
      <c r="AE122" s="3145">
        <f t="shared" si="112"/>
        <v>0</v>
      </c>
      <c r="AF122" s="3161"/>
      <c r="AG122" s="3397"/>
      <c r="AH122" s="3161"/>
      <c r="AI122" s="3145">
        <f t="shared" si="113"/>
        <v>0</v>
      </c>
      <c r="AJ122" s="3161"/>
      <c r="AK122" s="3397"/>
      <c r="AL122" s="3161"/>
      <c r="AM122" s="3163">
        <f t="shared" si="63"/>
        <v>0</v>
      </c>
      <c r="AN122" s="3161"/>
      <c r="AO122" s="3145">
        <f t="shared" si="75"/>
        <v>0</v>
      </c>
      <c r="AP122" s="3161"/>
      <c r="AQ122" s="3397"/>
      <c r="AR122" s="3161"/>
      <c r="AS122" s="3145">
        <f t="shared" si="114"/>
        <v>0</v>
      </c>
      <c r="AT122" s="3161"/>
      <c r="AU122" s="3397">
        <v>9.41</v>
      </c>
      <c r="AV122" s="3161"/>
      <c r="AW122" s="6183">
        <f t="shared" si="115"/>
        <v>9.41</v>
      </c>
      <c r="AX122" s="3161"/>
      <c r="AY122" s="3397"/>
      <c r="AZ122" s="3161"/>
      <c r="BA122" s="3163">
        <f t="shared" si="58"/>
        <v>9.41</v>
      </c>
      <c r="BB122" s="3161"/>
      <c r="BC122" s="3146">
        <f t="shared" si="60"/>
        <v>9.41</v>
      </c>
      <c r="BD122" s="3161"/>
      <c r="BE122" s="182">
        <f t="shared" si="116"/>
        <v>9.41</v>
      </c>
      <c r="BF122" s="26"/>
      <c r="BG122" s="26"/>
      <c r="BP122" s="26"/>
      <c r="BQ122" s="26"/>
    </row>
    <row r="123" spans="1:69" hidden="1" x14ac:dyDescent="0.25">
      <c r="B123" s="742" t="s">
        <v>1128</v>
      </c>
      <c r="C123" s="3142" t="s">
        <v>354</v>
      </c>
      <c r="D123" s="3161"/>
      <c r="E123" s="3161"/>
      <c r="F123" s="3161"/>
      <c r="G123" s="3161"/>
      <c r="H123" s="3162"/>
      <c r="I123" s="3162">
        <f t="shared" si="108"/>
        <v>0</v>
      </c>
      <c r="J123" s="3161"/>
      <c r="K123" s="3161"/>
      <c r="L123" s="3161"/>
      <c r="M123" s="3163">
        <f t="shared" si="109"/>
        <v>0</v>
      </c>
      <c r="N123" s="3161"/>
      <c r="O123" s="3161">
        <v>29.57</v>
      </c>
      <c r="P123" s="3161"/>
      <c r="Q123" s="3162">
        <f t="shared" si="110"/>
        <v>29.57</v>
      </c>
      <c r="R123" s="3161"/>
      <c r="S123" s="3161"/>
      <c r="T123" s="3161"/>
      <c r="U123" s="3162">
        <f t="shared" si="111"/>
        <v>29.57</v>
      </c>
      <c r="V123" s="3161"/>
      <c r="W123" s="3161"/>
      <c r="X123" s="3161"/>
      <c r="Y123" s="3163">
        <f t="shared" si="59"/>
        <v>29.57</v>
      </c>
      <c r="Z123" s="3161"/>
      <c r="AA123" s="3146">
        <f t="shared" si="56"/>
        <v>29.57</v>
      </c>
      <c r="AB123" s="3161"/>
      <c r="AC123" s="3397"/>
      <c r="AD123" s="3161"/>
      <c r="AE123" s="3145">
        <f t="shared" si="112"/>
        <v>29.57</v>
      </c>
      <c r="AF123" s="3161"/>
      <c r="AG123" s="3397"/>
      <c r="AH123" s="3161"/>
      <c r="AI123" s="3145">
        <f t="shared" si="113"/>
        <v>29.57</v>
      </c>
      <c r="AJ123" s="3161"/>
      <c r="AK123" s="3397"/>
      <c r="AL123" s="3161"/>
      <c r="AM123" s="3163">
        <f t="shared" si="63"/>
        <v>0</v>
      </c>
      <c r="AN123" s="3161"/>
      <c r="AO123" s="3145">
        <f t="shared" si="75"/>
        <v>29.57</v>
      </c>
      <c r="AP123" s="3161"/>
      <c r="AQ123" s="3397"/>
      <c r="AR123" s="3161"/>
      <c r="AS123" s="3145">
        <f t="shared" si="114"/>
        <v>29.57</v>
      </c>
      <c r="AT123" s="3161"/>
      <c r="AU123" s="3397"/>
      <c r="AV123" s="3161"/>
      <c r="AW123" s="6183">
        <f t="shared" si="115"/>
        <v>29.57</v>
      </c>
      <c r="AX123" s="3161"/>
      <c r="AY123" s="3397"/>
      <c r="AZ123" s="3161"/>
      <c r="BA123" s="3163">
        <f t="shared" si="58"/>
        <v>0</v>
      </c>
      <c r="BB123" s="3161"/>
      <c r="BC123" s="3146">
        <f t="shared" si="60"/>
        <v>0</v>
      </c>
      <c r="BD123" s="3161"/>
      <c r="BE123" s="182">
        <f t="shared" si="116"/>
        <v>29.57</v>
      </c>
      <c r="BF123" s="26"/>
      <c r="BG123" s="26"/>
      <c r="BP123" s="26"/>
      <c r="BQ123" s="26"/>
    </row>
    <row r="124" spans="1:69" hidden="1" x14ac:dyDescent="0.25">
      <c r="B124" s="744" t="s">
        <v>1152</v>
      </c>
      <c r="C124" s="3142"/>
      <c r="D124" s="3161"/>
      <c r="E124" s="3158">
        <f>+E125+E126</f>
        <v>0</v>
      </c>
      <c r="F124" s="3158">
        <f t="shared" ref="F124:AI124" si="117">+F125+F126</f>
        <v>0</v>
      </c>
      <c r="G124" s="3158">
        <f>+G125+G126</f>
        <v>0</v>
      </c>
      <c r="H124" s="3158">
        <f t="shared" si="117"/>
        <v>0</v>
      </c>
      <c r="I124" s="3158">
        <f t="shared" si="117"/>
        <v>0</v>
      </c>
      <c r="J124" s="3158">
        <f t="shared" si="117"/>
        <v>0</v>
      </c>
      <c r="K124" s="3158">
        <f>+K125+K126</f>
        <v>0</v>
      </c>
      <c r="L124" s="3158">
        <f t="shared" si="117"/>
        <v>0</v>
      </c>
      <c r="M124" s="3158">
        <f t="shared" si="117"/>
        <v>0</v>
      </c>
      <c r="N124" s="3158">
        <f t="shared" si="117"/>
        <v>0</v>
      </c>
      <c r="O124" s="3158">
        <f>+O125+O126</f>
        <v>0</v>
      </c>
      <c r="P124" s="3158">
        <f t="shared" si="117"/>
        <v>0</v>
      </c>
      <c r="Q124" s="3158">
        <f t="shared" ref="Q124" si="118">+Q125+Q126</f>
        <v>0</v>
      </c>
      <c r="R124" s="3158">
        <f t="shared" si="117"/>
        <v>0</v>
      </c>
      <c r="S124" s="3158">
        <f>+S125+S126</f>
        <v>0</v>
      </c>
      <c r="T124" s="3158">
        <f t="shared" si="117"/>
        <v>0</v>
      </c>
      <c r="U124" s="3158">
        <f t="shared" si="117"/>
        <v>0</v>
      </c>
      <c r="V124" s="3158">
        <f t="shared" si="117"/>
        <v>0</v>
      </c>
      <c r="W124" s="3158">
        <f>+W125+W126</f>
        <v>0</v>
      </c>
      <c r="X124" s="3158">
        <f t="shared" si="117"/>
        <v>0</v>
      </c>
      <c r="Y124" s="3158">
        <f t="shared" si="59"/>
        <v>0</v>
      </c>
      <c r="Z124" s="3158">
        <f t="shared" si="117"/>
        <v>0</v>
      </c>
      <c r="AA124" s="3146">
        <f t="shared" si="56"/>
        <v>0</v>
      </c>
      <c r="AB124" s="3158">
        <f t="shared" si="117"/>
        <v>0</v>
      </c>
      <c r="AC124" s="5482">
        <f>+AC125+AC126</f>
        <v>0</v>
      </c>
      <c r="AD124" s="3158">
        <f t="shared" si="117"/>
        <v>0</v>
      </c>
      <c r="AE124" s="3158">
        <f t="shared" si="117"/>
        <v>0</v>
      </c>
      <c r="AF124" s="3158">
        <f t="shared" si="117"/>
        <v>0</v>
      </c>
      <c r="AG124" s="5482">
        <f>+AG125+AG126</f>
        <v>0</v>
      </c>
      <c r="AH124" s="3158">
        <f t="shared" si="117"/>
        <v>0</v>
      </c>
      <c r="AI124" s="3158">
        <f t="shared" si="117"/>
        <v>0</v>
      </c>
      <c r="AJ124" s="3158">
        <f t="shared" ref="AJ124:AN124" si="119">+AJ125+AJ126</f>
        <v>0</v>
      </c>
      <c r="AK124" s="5482">
        <f>+AK125+AK126</f>
        <v>0</v>
      </c>
      <c r="AL124" s="3158">
        <f t="shared" si="119"/>
        <v>0</v>
      </c>
      <c r="AM124" s="3158">
        <f t="shared" si="63"/>
        <v>0</v>
      </c>
      <c r="AN124" s="3158">
        <f t="shared" si="119"/>
        <v>0</v>
      </c>
      <c r="AO124" s="3158">
        <f t="shared" si="75"/>
        <v>0</v>
      </c>
      <c r="AP124" s="3158">
        <f t="shared" ref="AP124:AS124" si="120">+AP125+AP126</f>
        <v>0</v>
      </c>
      <c r="AQ124" s="5482">
        <f>+AQ125+AQ126</f>
        <v>0</v>
      </c>
      <c r="AR124" s="3158">
        <f t="shared" si="120"/>
        <v>0</v>
      </c>
      <c r="AS124" s="3158">
        <f t="shared" si="120"/>
        <v>0</v>
      </c>
      <c r="AT124" s="3158">
        <f t="shared" ref="AT124:AW124" si="121">+AT125+AT126</f>
        <v>0</v>
      </c>
      <c r="AU124" s="5482">
        <f>+AU125+AU126</f>
        <v>0</v>
      </c>
      <c r="AV124" s="3158">
        <f t="shared" si="121"/>
        <v>0</v>
      </c>
      <c r="AW124" s="3158">
        <f t="shared" si="121"/>
        <v>0</v>
      </c>
      <c r="AX124" s="3158">
        <f t="shared" ref="AX124:BE124" si="122">+AX125+AX126</f>
        <v>0</v>
      </c>
      <c r="AY124" s="5482">
        <f>+AY125+AY126</f>
        <v>0</v>
      </c>
      <c r="AZ124" s="3158">
        <f t="shared" si="122"/>
        <v>0</v>
      </c>
      <c r="BA124" s="3158">
        <f t="shared" si="58"/>
        <v>0</v>
      </c>
      <c r="BB124" s="3158">
        <f t="shared" si="122"/>
        <v>0</v>
      </c>
      <c r="BC124" s="3146">
        <f t="shared" si="60"/>
        <v>0</v>
      </c>
      <c r="BD124" s="3158">
        <f t="shared" si="122"/>
        <v>0</v>
      </c>
      <c r="BE124" s="2708">
        <f t="shared" si="122"/>
        <v>0</v>
      </c>
      <c r="BF124" s="26"/>
      <c r="BG124" s="26"/>
      <c r="BP124" s="26"/>
      <c r="BQ124" s="26"/>
    </row>
    <row r="125" spans="1:69" hidden="1" x14ac:dyDescent="0.25">
      <c r="B125" s="742" t="s">
        <v>1396</v>
      </c>
      <c r="C125" s="3142" t="s">
        <v>354</v>
      </c>
      <c r="D125" s="3161"/>
      <c r="E125" s="3161"/>
      <c r="F125" s="3161"/>
      <c r="G125" s="3161"/>
      <c r="H125" s="3162"/>
      <c r="I125" s="3162">
        <f t="shared" si="108"/>
        <v>0</v>
      </c>
      <c r="J125" s="3161"/>
      <c r="K125" s="3161"/>
      <c r="L125" s="3161"/>
      <c r="M125" s="3163">
        <f t="shared" si="109"/>
        <v>0</v>
      </c>
      <c r="N125" s="3161"/>
      <c r="O125" s="3161"/>
      <c r="P125" s="3161"/>
      <c r="Q125" s="3162">
        <f t="shared" si="110"/>
        <v>0</v>
      </c>
      <c r="R125" s="3161"/>
      <c r="S125" s="3161"/>
      <c r="T125" s="3161"/>
      <c r="U125" s="3162">
        <f t="shared" si="111"/>
        <v>0</v>
      </c>
      <c r="V125" s="3161"/>
      <c r="W125" s="3161"/>
      <c r="X125" s="3161"/>
      <c r="Y125" s="3163">
        <f t="shared" si="59"/>
        <v>0</v>
      </c>
      <c r="Z125" s="3161"/>
      <c r="AA125" s="3146">
        <f t="shared" si="56"/>
        <v>0</v>
      </c>
      <c r="AB125" s="3161"/>
      <c r="AC125" s="3397"/>
      <c r="AD125" s="3161"/>
      <c r="AE125" s="3145">
        <f t="shared" si="112"/>
        <v>0</v>
      </c>
      <c r="AF125" s="3161"/>
      <c r="AG125" s="3397"/>
      <c r="AH125" s="3161"/>
      <c r="AI125" s="3145">
        <f t="shared" si="113"/>
        <v>0</v>
      </c>
      <c r="AJ125" s="3161"/>
      <c r="AK125" s="3397"/>
      <c r="AL125" s="3161"/>
      <c r="AM125" s="3163">
        <f t="shared" si="63"/>
        <v>0</v>
      </c>
      <c r="AN125" s="3161"/>
      <c r="AO125" s="3145">
        <f t="shared" si="75"/>
        <v>0</v>
      </c>
      <c r="AP125" s="3161"/>
      <c r="AQ125" s="3397"/>
      <c r="AR125" s="3161"/>
      <c r="AS125" s="3145">
        <f t="shared" ref="AS125:AS126" si="123">+AO125+AQ125</f>
        <v>0</v>
      </c>
      <c r="AT125" s="3161"/>
      <c r="AU125" s="3397"/>
      <c r="AV125" s="3161"/>
      <c r="AW125" s="6183">
        <f t="shared" ref="AW125:AW126" si="124">+AS125+AU125</f>
        <v>0</v>
      </c>
      <c r="AX125" s="3161"/>
      <c r="AY125" s="3397"/>
      <c r="AZ125" s="3161"/>
      <c r="BA125" s="3163">
        <f t="shared" si="58"/>
        <v>0</v>
      </c>
      <c r="BB125" s="3161"/>
      <c r="BC125" s="3146">
        <f t="shared" si="60"/>
        <v>0</v>
      </c>
      <c r="BD125" s="3161"/>
      <c r="BE125" s="182">
        <f t="shared" ref="BE125:BE126" si="125">+AW125+AY125</f>
        <v>0</v>
      </c>
      <c r="BF125" s="26"/>
      <c r="BG125" s="26"/>
      <c r="BP125" s="26"/>
      <c r="BQ125" s="26"/>
    </row>
    <row r="126" spans="1:69" hidden="1" x14ac:dyDescent="0.25">
      <c r="B126" s="742" t="s">
        <v>1286</v>
      </c>
      <c r="C126" s="3142" t="s">
        <v>354</v>
      </c>
      <c r="D126" s="3161"/>
      <c r="E126" s="3161"/>
      <c r="F126" s="3161"/>
      <c r="G126" s="3161"/>
      <c r="H126" s="3162"/>
      <c r="I126" s="3162">
        <f t="shared" si="108"/>
        <v>0</v>
      </c>
      <c r="J126" s="3161"/>
      <c r="K126" s="3161"/>
      <c r="L126" s="3161"/>
      <c r="M126" s="3163">
        <f t="shared" si="109"/>
        <v>0</v>
      </c>
      <c r="N126" s="3161"/>
      <c r="O126" s="3161"/>
      <c r="P126" s="3161"/>
      <c r="Q126" s="3162">
        <f t="shared" si="110"/>
        <v>0</v>
      </c>
      <c r="R126" s="3161"/>
      <c r="S126" s="3161"/>
      <c r="T126" s="3161"/>
      <c r="U126" s="3162">
        <f t="shared" si="111"/>
        <v>0</v>
      </c>
      <c r="V126" s="3161"/>
      <c r="W126" s="3161"/>
      <c r="X126" s="3161"/>
      <c r="Y126" s="3163">
        <f t="shared" si="59"/>
        <v>0</v>
      </c>
      <c r="Z126" s="3161"/>
      <c r="AA126" s="3146">
        <f t="shared" si="56"/>
        <v>0</v>
      </c>
      <c r="AB126" s="3161"/>
      <c r="AC126" s="3397"/>
      <c r="AD126" s="3161"/>
      <c r="AE126" s="3145">
        <f t="shared" si="112"/>
        <v>0</v>
      </c>
      <c r="AF126" s="3161"/>
      <c r="AG126" s="3397"/>
      <c r="AH126" s="3161"/>
      <c r="AI126" s="3145">
        <f t="shared" si="113"/>
        <v>0</v>
      </c>
      <c r="AJ126" s="3161"/>
      <c r="AK126" s="3397"/>
      <c r="AL126" s="3161"/>
      <c r="AM126" s="3163">
        <f t="shared" si="63"/>
        <v>0</v>
      </c>
      <c r="AN126" s="3161"/>
      <c r="AO126" s="3145">
        <f t="shared" si="75"/>
        <v>0</v>
      </c>
      <c r="AP126" s="3161"/>
      <c r="AQ126" s="3397"/>
      <c r="AR126" s="3161"/>
      <c r="AS126" s="3145">
        <f t="shared" si="123"/>
        <v>0</v>
      </c>
      <c r="AT126" s="3161"/>
      <c r="AU126" s="3397"/>
      <c r="AV126" s="3161"/>
      <c r="AW126" s="6183">
        <f t="shared" si="124"/>
        <v>0</v>
      </c>
      <c r="AX126" s="3161"/>
      <c r="AY126" s="3397"/>
      <c r="AZ126" s="3161"/>
      <c r="BA126" s="3163">
        <f t="shared" si="58"/>
        <v>0</v>
      </c>
      <c r="BB126" s="3161"/>
      <c r="BC126" s="3146">
        <f t="shared" si="60"/>
        <v>0</v>
      </c>
      <c r="BD126" s="3161"/>
      <c r="BE126" s="182">
        <f t="shared" si="125"/>
        <v>0</v>
      </c>
      <c r="BF126" s="26"/>
      <c r="BG126" s="26"/>
      <c r="BP126" s="26"/>
      <c r="BQ126" s="26"/>
    </row>
    <row r="127" spans="1:69" x14ac:dyDescent="0.25">
      <c r="B127" s="744" t="s">
        <v>955</v>
      </c>
      <c r="C127" s="3142" t="s">
        <v>354</v>
      </c>
      <c r="D127" s="3158"/>
      <c r="E127" s="3158">
        <f>+E128</f>
        <v>10.34</v>
      </c>
      <c r="F127" s="3158">
        <f t="shared" ref="F127:BE129" si="126">+F128</f>
        <v>0</v>
      </c>
      <c r="G127" s="3158">
        <f>+G128</f>
        <v>0</v>
      </c>
      <c r="H127" s="3158">
        <f t="shared" si="126"/>
        <v>0</v>
      </c>
      <c r="I127" s="3158">
        <f t="shared" si="126"/>
        <v>10.34</v>
      </c>
      <c r="J127" s="3158">
        <f t="shared" si="126"/>
        <v>0</v>
      </c>
      <c r="K127" s="3158">
        <f>+K128</f>
        <v>0</v>
      </c>
      <c r="L127" s="3158">
        <f t="shared" si="126"/>
        <v>0</v>
      </c>
      <c r="M127" s="3158">
        <f t="shared" si="126"/>
        <v>10.34</v>
      </c>
      <c r="N127" s="3158">
        <f t="shared" si="126"/>
        <v>0</v>
      </c>
      <c r="O127" s="3158">
        <f>+O128</f>
        <v>0</v>
      </c>
      <c r="P127" s="3158">
        <f t="shared" si="126"/>
        <v>0</v>
      </c>
      <c r="Q127" s="3158">
        <f t="shared" si="126"/>
        <v>10.34</v>
      </c>
      <c r="R127" s="3158">
        <f t="shared" si="126"/>
        <v>0</v>
      </c>
      <c r="S127" s="3158">
        <f>+S128</f>
        <v>0</v>
      </c>
      <c r="T127" s="3158">
        <f t="shared" si="126"/>
        <v>0</v>
      </c>
      <c r="U127" s="3158">
        <f t="shared" si="126"/>
        <v>10.34</v>
      </c>
      <c r="V127" s="3158">
        <f t="shared" si="126"/>
        <v>0</v>
      </c>
      <c r="W127" s="3158">
        <f>+W128</f>
        <v>0</v>
      </c>
      <c r="X127" s="3158">
        <f t="shared" si="126"/>
        <v>0</v>
      </c>
      <c r="Y127" s="3158">
        <f t="shared" si="59"/>
        <v>0</v>
      </c>
      <c r="Z127" s="3158">
        <f t="shared" si="126"/>
        <v>0</v>
      </c>
      <c r="AA127" s="3146">
        <f t="shared" si="56"/>
        <v>10.34</v>
      </c>
      <c r="AB127" s="3158">
        <f t="shared" si="126"/>
        <v>0</v>
      </c>
      <c r="AC127" s="5482">
        <f>+AC128</f>
        <v>0</v>
      </c>
      <c r="AD127" s="3158">
        <f t="shared" si="126"/>
        <v>0</v>
      </c>
      <c r="AE127" s="3158">
        <f t="shared" si="126"/>
        <v>10.34</v>
      </c>
      <c r="AF127" s="3158">
        <f t="shared" si="126"/>
        <v>0</v>
      </c>
      <c r="AG127" s="5482">
        <f>+AG128</f>
        <v>0</v>
      </c>
      <c r="AH127" s="3158">
        <f t="shared" si="126"/>
        <v>0</v>
      </c>
      <c r="AI127" s="3158">
        <f t="shared" si="126"/>
        <v>10.34</v>
      </c>
      <c r="AJ127" s="3158">
        <f t="shared" si="126"/>
        <v>0</v>
      </c>
      <c r="AK127" s="5482">
        <f>+AK128</f>
        <v>0</v>
      </c>
      <c r="AL127" s="3158">
        <f t="shared" si="126"/>
        <v>0</v>
      </c>
      <c r="AM127" s="3158">
        <f t="shared" si="63"/>
        <v>0</v>
      </c>
      <c r="AN127" s="3158">
        <f t="shared" si="126"/>
        <v>0</v>
      </c>
      <c r="AO127" s="3158">
        <f t="shared" si="75"/>
        <v>10.34</v>
      </c>
      <c r="AP127" s="3158">
        <f t="shared" si="126"/>
        <v>0</v>
      </c>
      <c r="AQ127" s="5482">
        <f>+AQ128</f>
        <v>0</v>
      </c>
      <c r="AR127" s="3158">
        <f t="shared" si="126"/>
        <v>0</v>
      </c>
      <c r="AS127" s="3158">
        <f t="shared" si="126"/>
        <v>10.34</v>
      </c>
      <c r="AT127" s="3158">
        <f t="shared" si="126"/>
        <v>0</v>
      </c>
      <c r="AU127" s="5482">
        <f>+AU128</f>
        <v>29.08</v>
      </c>
      <c r="AV127" s="3158">
        <f t="shared" si="126"/>
        <v>0</v>
      </c>
      <c r="AW127" s="3158">
        <f t="shared" si="126"/>
        <v>39.42</v>
      </c>
      <c r="AX127" s="3158">
        <f t="shared" si="126"/>
        <v>0</v>
      </c>
      <c r="AY127" s="5482">
        <f>+AY128</f>
        <v>0</v>
      </c>
      <c r="AZ127" s="3158">
        <f t="shared" si="126"/>
        <v>0</v>
      </c>
      <c r="BA127" s="3158">
        <f t="shared" si="58"/>
        <v>29.08</v>
      </c>
      <c r="BB127" s="3158">
        <f t="shared" si="126"/>
        <v>0</v>
      </c>
      <c r="BC127" s="3146">
        <f t="shared" si="60"/>
        <v>29.08</v>
      </c>
      <c r="BD127" s="3158">
        <f t="shared" si="126"/>
        <v>0</v>
      </c>
      <c r="BE127" s="2708">
        <f t="shared" si="126"/>
        <v>39.42</v>
      </c>
      <c r="BF127" s="26"/>
      <c r="BG127" s="26"/>
      <c r="BP127" s="26"/>
      <c r="BQ127" s="26"/>
    </row>
    <row r="128" spans="1:69" x14ac:dyDescent="0.25">
      <c r="B128" s="8" t="s">
        <v>881</v>
      </c>
      <c r="C128" s="3142" t="s">
        <v>354</v>
      </c>
      <c r="D128" s="3161"/>
      <c r="E128" s="3161">
        <v>10.34</v>
      </c>
      <c r="F128" s="3161"/>
      <c r="G128" s="3161"/>
      <c r="H128" s="3162"/>
      <c r="I128" s="3162">
        <f t="shared" si="108"/>
        <v>10.34</v>
      </c>
      <c r="J128" s="3161"/>
      <c r="K128" s="3161"/>
      <c r="L128" s="3161"/>
      <c r="M128" s="3163">
        <f t="shared" si="109"/>
        <v>10.34</v>
      </c>
      <c r="N128" s="3161"/>
      <c r="O128" s="3161"/>
      <c r="P128" s="3161"/>
      <c r="Q128" s="3162">
        <f t="shared" si="110"/>
        <v>10.34</v>
      </c>
      <c r="R128" s="3161"/>
      <c r="S128" s="3161"/>
      <c r="T128" s="3161"/>
      <c r="U128" s="3162">
        <f t="shared" si="111"/>
        <v>10.34</v>
      </c>
      <c r="V128" s="3161"/>
      <c r="W128" s="3161"/>
      <c r="X128" s="3161"/>
      <c r="Y128" s="3163">
        <f t="shared" si="59"/>
        <v>0</v>
      </c>
      <c r="Z128" s="3161"/>
      <c r="AA128" s="3146">
        <f t="shared" si="56"/>
        <v>10.34</v>
      </c>
      <c r="AB128" s="3161"/>
      <c r="AC128" s="3397"/>
      <c r="AD128" s="3161"/>
      <c r="AE128" s="3145">
        <f t="shared" si="112"/>
        <v>10.34</v>
      </c>
      <c r="AF128" s="3161"/>
      <c r="AG128" s="3397"/>
      <c r="AH128" s="3161"/>
      <c r="AI128" s="3145">
        <f t="shared" si="113"/>
        <v>10.34</v>
      </c>
      <c r="AJ128" s="3161"/>
      <c r="AK128" s="3397"/>
      <c r="AL128" s="3161"/>
      <c r="AM128" s="3163">
        <f t="shared" si="63"/>
        <v>0</v>
      </c>
      <c r="AN128" s="3161"/>
      <c r="AO128" s="3145">
        <f t="shared" si="75"/>
        <v>10.34</v>
      </c>
      <c r="AP128" s="3161"/>
      <c r="AQ128" s="3397"/>
      <c r="AR128" s="3161"/>
      <c r="AS128" s="3145">
        <f t="shared" ref="AS128" si="127">+AO128+AQ128</f>
        <v>10.34</v>
      </c>
      <c r="AT128" s="3161"/>
      <c r="AU128" s="3397">
        <v>29.08</v>
      </c>
      <c r="AV128" s="3161"/>
      <c r="AW128" s="6183">
        <f t="shared" ref="AW128" si="128">+AS128+AU128</f>
        <v>39.42</v>
      </c>
      <c r="AX128" s="3161"/>
      <c r="AY128" s="3397"/>
      <c r="AZ128" s="3161"/>
      <c r="BA128" s="3163">
        <f t="shared" si="58"/>
        <v>29.08</v>
      </c>
      <c r="BB128" s="3161"/>
      <c r="BC128" s="3146">
        <f t="shared" si="60"/>
        <v>29.08</v>
      </c>
      <c r="BD128" s="3161"/>
      <c r="BE128" s="182">
        <f t="shared" ref="BE128" si="129">+AW128+AY128</f>
        <v>39.42</v>
      </c>
      <c r="BF128" s="26"/>
      <c r="BG128" s="26"/>
      <c r="BP128" s="26"/>
      <c r="BQ128" s="26"/>
    </row>
    <row r="129" spans="1:69" s="5172" customFormat="1" x14ac:dyDescent="0.25">
      <c r="B129" s="744" t="s">
        <v>673</v>
      </c>
      <c r="C129" s="7225" t="s">
        <v>354</v>
      </c>
      <c r="D129" s="3158"/>
      <c r="E129" s="3158">
        <f>+E130</f>
        <v>0</v>
      </c>
      <c r="F129" s="3158">
        <f t="shared" si="126"/>
        <v>0</v>
      </c>
      <c r="G129" s="3158">
        <f>+G130</f>
        <v>21.759999999999998</v>
      </c>
      <c r="H129" s="3158"/>
      <c r="I129" s="3158">
        <f t="shared" si="108"/>
        <v>21.759999999999998</v>
      </c>
      <c r="J129" s="3158"/>
      <c r="K129" s="3158"/>
      <c r="L129" s="3158"/>
      <c r="M129" s="3158"/>
      <c r="N129" s="3158"/>
      <c r="O129" s="3158"/>
      <c r="P129" s="3158"/>
      <c r="Q129" s="3158"/>
      <c r="R129" s="3158"/>
      <c r="S129" s="3158"/>
      <c r="T129" s="3158"/>
      <c r="U129" s="3158"/>
      <c r="V129" s="3158"/>
      <c r="W129" s="3158"/>
      <c r="X129" s="3158"/>
      <c r="Y129" s="3158"/>
      <c r="Z129" s="3158"/>
      <c r="AA129" s="3146"/>
      <c r="AB129" s="3158"/>
      <c r="AC129" s="5482"/>
      <c r="AD129" s="3158"/>
      <c r="AE129" s="3158"/>
      <c r="AF129" s="3158"/>
      <c r="AG129" s="5482"/>
      <c r="AH129" s="3158"/>
      <c r="AI129" s="3158"/>
      <c r="AJ129" s="3158"/>
      <c r="AK129" s="5482"/>
      <c r="AL129" s="3158"/>
      <c r="AM129" s="3158"/>
      <c r="AN129" s="3158"/>
      <c r="AO129" s="3158"/>
      <c r="AP129" s="3158"/>
      <c r="AQ129" s="5482"/>
      <c r="AR129" s="3158"/>
      <c r="AS129" s="3158"/>
      <c r="AT129" s="3158"/>
      <c r="AU129" s="5482"/>
      <c r="AV129" s="3158"/>
      <c r="AW129" s="3158"/>
      <c r="AX129" s="3158"/>
      <c r="AY129" s="5482"/>
      <c r="AZ129" s="3158"/>
      <c r="BA129" s="3158"/>
      <c r="BB129" s="3158"/>
      <c r="BC129" s="3146"/>
      <c r="BD129" s="3158"/>
      <c r="BE129" s="2708"/>
      <c r="BF129" s="26"/>
      <c r="BG129" s="26"/>
      <c r="BP129" s="26"/>
      <c r="BQ129" s="26"/>
    </row>
    <row r="130" spans="1:69" s="5172" customFormat="1" x14ac:dyDescent="0.25">
      <c r="B130" s="6530" t="s">
        <v>2320</v>
      </c>
      <c r="C130" s="7256" t="s">
        <v>354</v>
      </c>
      <c r="D130" s="7257"/>
      <c r="E130" s="7257"/>
      <c r="F130" s="7257"/>
      <c r="G130" s="7257">
        <v>21.759999999999998</v>
      </c>
      <c r="H130" s="7258"/>
      <c r="I130" s="3162">
        <f t="shared" si="108"/>
        <v>21.759999999999998</v>
      </c>
      <c r="J130" s="7257"/>
      <c r="K130" s="7257"/>
      <c r="L130" s="7257"/>
      <c r="M130" s="7259"/>
      <c r="N130" s="7257"/>
      <c r="O130" s="7257"/>
      <c r="P130" s="7257"/>
      <c r="Q130" s="7258"/>
      <c r="R130" s="7257"/>
      <c r="S130" s="7257"/>
      <c r="T130" s="7257"/>
      <c r="U130" s="7258"/>
      <c r="V130" s="7257"/>
      <c r="W130" s="7257"/>
      <c r="X130" s="7257"/>
      <c r="Y130" s="7259"/>
      <c r="Z130" s="7257"/>
      <c r="AA130" s="7260"/>
      <c r="AB130" s="7257"/>
      <c r="AC130" s="7261"/>
      <c r="AD130" s="7257"/>
      <c r="AE130" s="7262"/>
      <c r="AF130" s="7257"/>
      <c r="AG130" s="7261"/>
      <c r="AH130" s="7257"/>
      <c r="AI130" s="7262"/>
      <c r="AJ130" s="7257"/>
      <c r="AK130" s="7261"/>
      <c r="AL130" s="7257"/>
      <c r="AM130" s="7259"/>
      <c r="AN130" s="7257"/>
      <c r="AO130" s="7262"/>
      <c r="AP130" s="7257"/>
      <c r="AQ130" s="7261"/>
      <c r="AR130" s="7257"/>
      <c r="AS130" s="7262"/>
      <c r="AT130" s="7257"/>
      <c r="AU130" s="7261"/>
      <c r="AV130" s="7257"/>
      <c r="AW130" s="7262"/>
      <c r="AX130" s="7257"/>
      <c r="AY130" s="7261"/>
      <c r="AZ130" s="7257"/>
      <c r="BA130" s="7259"/>
      <c r="BB130" s="7257"/>
      <c r="BC130" s="7260"/>
      <c r="BD130" s="7257"/>
      <c r="BE130" s="7263"/>
      <c r="BF130" s="26"/>
      <c r="BG130" s="26"/>
      <c r="BP130" s="26"/>
      <c r="BQ130" s="26"/>
    </row>
    <row r="131" spans="1:69" x14ac:dyDescent="0.25">
      <c r="B131" s="744" t="s">
        <v>1337</v>
      </c>
      <c r="C131" s="3142" t="s">
        <v>354</v>
      </c>
      <c r="D131" s="3161"/>
      <c r="E131" s="3158">
        <f>+E132</f>
        <v>0</v>
      </c>
      <c r="F131" s="3158">
        <f t="shared" ref="F131:BE131" si="130">+F132</f>
        <v>0</v>
      </c>
      <c r="G131" s="3158">
        <f>+G132</f>
        <v>0</v>
      </c>
      <c r="H131" s="3158">
        <f t="shared" si="130"/>
        <v>0</v>
      </c>
      <c r="I131" s="3158">
        <f t="shared" si="130"/>
        <v>0</v>
      </c>
      <c r="J131" s="3158">
        <f t="shared" si="130"/>
        <v>0</v>
      </c>
      <c r="K131" s="3158">
        <f>+K132</f>
        <v>0</v>
      </c>
      <c r="L131" s="3158">
        <f t="shared" si="130"/>
        <v>0</v>
      </c>
      <c r="M131" s="3158">
        <f t="shared" si="130"/>
        <v>0</v>
      </c>
      <c r="N131" s="3158">
        <f t="shared" si="130"/>
        <v>0</v>
      </c>
      <c r="O131" s="3158">
        <f>+O132</f>
        <v>0</v>
      </c>
      <c r="P131" s="3158">
        <f t="shared" si="130"/>
        <v>0</v>
      </c>
      <c r="Q131" s="3158">
        <f t="shared" si="130"/>
        <v>0</v>
      </c>
      <c r="R131" s="3158">
        <f t="shared" si="130"/>
        <v>0</v>
      </c>
      <c r="S131" s="3158">
        <f>+S132</f>
        <v>0</v>
      </c>
      <c r="T131" s="3158">
        <f t="shared" si="130"/>
        <v>0</v>
      </c>
      <c r="U131" s="3158">
        <f t="shared" si="130"/>
        <v>0</v>
      </c>
      <c r="V131" s="3158">
        <f t="shared" si="130"/>
        <v>0</v>
      </c>
      <c r="W131" s="3158">
        <f>+W132</f>
        <v>0</v>
      </c>
      <c r="X131" s="3158">
        <f t="shared" si="130"/>
        <v>0</v>
      </c>
      <c r="Y131" s="3158">
        <f t="shared" si="59"/>
        <v>0</v>
      </c>
      <c r="Z131" s="3158">
        <f t="shared" si="130"/>
        <v>0</v>
      </c>
      <c r="AA131" s="3146">
        <f t="shared" si="56"/>
        <v>0</v>
      </c>
      <c r="AB131" s="3158">
        <f t="shared" si="130"/>
        <v>0</v>
      </c>
      <c r="AC131" s="5482">
        <f>+AC132</f>
        <v>0</v>
      </c>
      <c r="AD131" s="3158">
        <f t="shared" si="130"/>
        <v>0</v>
      </c>
      <c r="AE131" s="3158">
        <f t="shared" si="130"/>
        <v>0</v>
      </c>
      <c r="AF131" s="3158">
        <f t="shared" si="130"/>
        <v>0</v>
      </c>
      <c r="AG131" s="5482">
        <f>+AG132</f>
        <v>0</v>
      </c>
      <c r="AH131" s="3158">
        <f t="shared" si="130"/>
        <v>0</v>
      </c>
      <c r="AI131" s="3158">
        <f t="shared" si="130"/>
        <v>0</v>
      </c>
      <c r="AJ131" s="3158">
        <f t="shared" si="130"/>
        <v>0</v>
      </c>
      <c r="AK131" s="5482">
        <f>+AK132</f>
        <v>0</v>
      </c>
      <c r="AL131" s="3158">
        <f t="shared" si="130"/>
        <v>0</v>
      </c>
      <c r="AM131" s="3158">
        <f t="shared" si="63"/>
        <v>0</v>
      </c>
      <c r="AN131" s="3158">
        <f t="shared" si="130"/>
        <v>0</v>
      </c>
      <c r="AO131" s="3158">
        <f t="shared" si="75"/>
        <v>0</v>
      </c>
      <c r="AP131" s="3158">
        <f t="shared" si="130"/>
        <v>0</v>
      </c>
      <c r="AQ131" s="5482">
        <f>+AQ132</f>
        <v>0</v>
      </c>
      <c r="AR131" s="3158">
        <f t="shared" si="130"/>
        <v>0</v>
      </c>
      <c r="AS131" s="3158">
        <f t="shared" si="130"/>
        <v>0</v>
      </c>
      <c r="AT131" s="3158">
        <f t="shared" si="130"/>
        <v>0</v>
      </c>
      <c r="AU131" s="5482">
        <f>+AU132</f>
        <v>0</v>
      </c>
      <c r="AV131" s="3158">
        <f t="shared" si="130"/>
        <v>0</v>
      </c>
      <c r="AW131" s="3158">
        <f t="shared" si="130"/>
        <v>0</v>
      </c>
      <c r="AX131" s="3158">
        <f t="shared" si="130"/>
        <v>0</v>
      </c>
      <c r="AY131" s="5482">
        <f>+AY132</f>
        <v>299.3</v>
      </c>
      <c r="AZ131" s="3158">
        <f t="shared" si="130"/>
        <v>0</v>
      </c>
      <c r="BA131" s="3158">
        <f t="shared" si="58"/>
        <v>299.3</v>
      </c>
      <c r="BB131" s="3158">
        <f t="shared" si="130"/>
        <v>0</v>
      </c>
      <c r="BC131" s="3146">
        <f t="shared" si="60"/>
        <v>299.3</v>
      </c>
      <c r="BD131" s="3158">
        <f t="shared" si="130"/>
        <v>0</v>
      </c>
      <c r="BE131" s="2708">
        <f t="shared" si="130"/>
        <v>299.3</v>
      </c>
      <c r="BF131" s="26"/>
      <c r="BG131" s="26"/>
      <c r="BP131" s="26"/>
      <c r="BQ131" s="26"/>
    </row>
    <row r="132" spans="1:69" x14ac:dyDescent="0.25">
      <c r="B132" s="8" t="s">
        <v>1338</v>
      </c>
      <c r="C132" s="3142" t="s">
        <v>354</v>
      </c>
      <c r="D132" s="3161"/>
      <c r="E132" s="3161"/>
      <c r="F132" s="3161"/>
      <c r="G132" s="3161"/>
      <c r="H132" s="3162"/>
      <c r="I132" s="3162">
        <f t="shared" si="108"/>
        <v>0</v>
      </c>
      <c r="J132" s="3161"/>
      <c r="K132" s="3161"/>
      <c r="L132" s="3161"/>
      <c r="M132" s="3163">
        <f t="shared" si="109"/>
        <v>0</v>
      </c>
      <c r="N132" s="3161"/>
      <c r="O132" s="3161"/>
      <c r="P132" s="3161"/>
      <c r="Q132" s="3162">
        <f t="shared" si="110"/>
        <v>0</v>
      </c>
      <c r="R132" s="3161"/>
      <c r="S132" s="3161"/>
      <c r="T132" s="3161"/>
      <c r="U132" s="3162">
        <f t="shared" si="111"/>
        <v>0</v>
      </c>
      <c r="V132" s="3161"/>
      <c r="W132" s="3161"/>
      <c r="X132" s="3161"/>
      <c r="Y132" s="3163">
        <f t="shared" si="59"/>
        <v>0</v>
      </c>
      <c r="Z132" s="3161"/>
      <c r="AA132" s="3146">
        <f t="shared" si="56"/>
        <v>0</v>
      </c>
      <c r="AB132" s="3161"/>
      <c r="AC132" s="3397"/>
      <c r="AD132" s="3161"/>
      <c r="AE132" s="3145">
        <f t="shared" si="112"/>
        <v>0</v>
      </c>
      <c r="AF132" s="3161"/>
      <c r="AG132" s="3397"/>
      <c r="AH132" s="3161"/>
      <c r="AI132" s="3145">
        <f t="shared" si="113"/>
        <v>0</v>
      </c>
      <c r="AJ132" s="3161"/>
      <c r="AK132" s="3397"/>
      <c r="AL132" s="3161"/>
      <c r="AM132" s="3163">
        <f t="shared" si="63"/>
        <v>0</v>
      </c>
      <c r="AN132" s="3161"/>
      <c r="AO132" s="3145">
        <f t="shared" si="75"/>
        <v>0</v>
      </c>
      <c r="AP132" s="3161"/>
      <c r="AQ132" s="3397"/>
      <c r="AR132" s="3161"/>
      <c r="AS132" s="3145">
        <f t="shared" ref="AS132:AS133" si="131">+AO132+AQ132</f>
        <v>0</v>
      </c>
      <c r="AT132" s="3161"/>
      <c r="AU132" s="3397"/>
      <c r="AV132" s="3161"/>
      <c r="AW132" s="6183">
        <f t="shared" ref="AW132:AW133" si="132">+AS132+AU132</f>
        <v>0</v>
      </c>
      <c r="AX132" s="3161"/>
      <c r="AY132" s="3397">
        <v>299.3</v>
      </c>
      <c r="AZ132" s="3161"/>
      <c r="BA132" s="3163">
        <f t="shared" si="58"/>
        <v>299.3</v>
      </c>
      <c r="BB132" s="3161"/>
      <c r="BC132" s="3146">
        <f t="shared" si="60"/>
        <v>299.3</v>
      </c>
      <c r="BD132" s="3161"/>
      <c r="BE132" s="182">
        <f t="shared" ref="BE132:BE133" si="133">+AW132+AY132</f>
        <v>299.3</v>
      </c>
      <c r="BF132" s="26"/>
      <c r="BG132" s="26"/>
      <c r="BP132" s="26"/>
      <c r="BQ132" s="26"/>
    </row>
    <row r="133" spans="1:69" ht="16.5" thickBot="1" x14ac:dyDescent="0.3">
      <c r="A133" s="149"/>
      <c r="B133" s="744" t="s">
        <v>1087</v>
      </c>
      <c r="C133" s="3142" t="s">
        <v>354</v>
      </c>
      <c r="D133" s="3161"/>
      <c r="E133" s="3164"/>
      <c r="F133" s="3164"/>
      <c r="G133" s="3164">
        <v>8.7800000000000011</v>
      </c>
      <c r="H133" s="3164"/>
      <c r="I133" s="3164">
        <f t="shared" si="108"/>
        <v>8.7800000000000011</v>
      </c>
      <c r="J133" s="3164"/>
      <c r="K133" s="3164"/>
      <c r="L133" s="3164"/>
      <c r="M133" s="3165">
        <f t="shared" si="109"/>
        <v>8.7800000000000011</v>
      </c>
      <c r="N133" s="3164"/>
      <c r="O133" s="3164"/>
      <c r="P133" s="3164"/>
      <c r="Q133" s="3164">
        <f t="shared" si="110"/>
        <v>8.7800000000000011</v>
      </c>
      <c r="R133" s="3164"/>
      <c r="S133" s="3164"/>
      <c r="T133" s="3164"/>
      <c r="U133" s="3164">
        <f t="shared" si="111"/>
        <v>8.7800000000000011</v>
      </c>
      <c r="V133" s="3164"/>
      <c r="W133" s="3164"/>
      <c r="X133" s="3164"/>
      <c r="Y133" s="3165">
        <f t="shared" si="59"/>
        <v>0</v>
      </c>
      <c r="Z133" s="3164"/>
      <c r="AA133" s="3166">
        <f t="shared" si="56"/>
        <v>8.7800000000000011</v>
      </c>
      <c r="AB133" s="3164"/>
      <c r="AC133" s="5483">
        <v>46</v>
      </c>
      <c r="AD133" s="3164"/>
      <c r="AE133" s="3164">
        <f t="shared" si="112"/>
        <v>54.78</v>
      </c>
      <c r="AF133" s="3164"/>
      <c r="AG133" s="5483"/>
      <c r="AH133" s="3164"/>
      <c r="AI133" s="3164">
        <f t="shared" si="113"/>
        <v>54.78</v>
      </c>
      <c r="AJ133" s="3164"/>
      <c r="AK133" s="5483"/>
      <c r="AL133" s="3164"/>
      <c r="AM133" s="3165">
        <f t="shared" si="63"/>
        <v>46</v>
      </c>
      <c r="AN133" s="3164"/>
      <c r="AO133" s="3164">
        <f t="shared" si="75"/>
        <v>54.78</v>
      </c>
      <c r="AP133" s="3164"/>
      <c r="AQ133" s="5483"/>
      <c r="AR133" s="3164"/>
      <c r="AS133" s="3164">
        <f t="shared" si="131"/>
        <v>54.78</v>
      </c>
      <c r="AT133" s="3164"/>
      <c r="AU133" s="5483">
        <v>40.24</v>
      </c>
      <c r="AV133" s="3164"/>
      <c r="AW133" s="3164">
        <f t="shared" si="132"/>
        <v>95.02000000000001</v>
      </c>
      <c r="AX133" s="3164"/>
      <c r="AY133" s="5483"/>
      <c r="AZ133" s="3164"/>
      <c r="BA133" s="3165">
        <f t="shared" si="58"/>
        <v>40.24</v>
      </c>
      <c r="BB133" s="3164"/>
      <c r="BC133" s="3166">
        <f t="shared" si="60"/>
        <v>86.240000000000009</v>
      </c>
      <c r="BD133" s="3164"/>
      <c r="BE133" s="3167">
        <f t="shared" si="133"/>
        <v>95.02000000000001</v>
      </c>
      <c r="BF133" s="26"/>
      <c r="BG133" s="26"/>
      <c r="BP133" s="26"/>
      <c r="BQ133" s="26"/>
    </row>
    <row r="134" spans="1:69" ht="26.25" thickBot="1" x14ac:dyDescent="0.3">
      <c r="A134" s="149"/>
      <c r="B134" s="7450" t="s">
        <v>1090</v>
      </c>
      <c r="C134" s="7451"/>
      <c r="D134" s="1361"/>
      <c r="E134" s="1361">
        <f>+E120+E124+E127+E131+E133+E129</f>
        <v>10.34</v>
      </c>
      <c r="F134" s="1361">
        <f t="shared" ref="F134:H134" si="134">+F120+F124+F127+F131+F133</f>
        <v>0</v>
      </c>
      <c r="G134" s="1361">
        <f>+G120+G124+G127+G131+G133+G129</f>
        <v>30.54</v>
      </c>
      <c r="H134" s="1361">
        <f t="shared" si="134"/>
        <v>0</v>
      </c>
      <c r="I134" s="1361">
        <f t="shared" ref="I134:BE134" si="135">+I120+I124+I127+I131+I133+I129</f>
        <v>40.879999999999995</v>
      </c>
      <c r="J134" s="1361">
        <f t="shared" si="135"/>
        <v>0</v>
      </c>
      <c r="K134" s="1361">
        <f t="shared" si="135"/>
        <v>0</v>
      </c>
      <c r="L134" s="1361">
        <f t="shared" si="135"/>
        <v>0</v>
      </c>
      <c r="M134" s="1361">
        <f t="shared" si="135"/>
        <v>19.12</v>
      </c>
      <c r="N134" s="1361">
        <f t="shared" si="135"/>
        <v>0</v>
      </c>
      <c r="O134" s="1361">
        <f t="shared" si="135"/>
        <v>38.75</v>
      </c>
      <c r="P134" s="1361">
        <f t="shared" si="135"/>
        <v>0</v>
      </c>
      <c r="Q134" s="1361">
        <f t="shared" si="135"/>
        <v>57.870000000000005</v>
      </c>
      <c r="R134" s="1361">
        <f t="shared" si="135"/>
        <v>0</v>
      </c>
      <c r="S134" s="1361">
        <f t="shared" si="135"/>
        <v>0</v>
      </c>
      <c r="T134" s="1361">
        <f t="shared" si="135"/>
        <v>0</v>
      </c>
      <c r="U134" s="1361">
        <f t="shared" si="135"/>
        <v>57.870000000000005</v>
      </c>
      <c r="V134" s="1361">
        <f t="shared" si="135"/>
        <v>0</v>
      </c>
      <c r="W134" s="1361">
        <f t="shared" si="135"/>
        <v>0</v>
      </c>
      <c r="X134" s="1361">
        <f t="shared" si="135"/>
        <v>0</v>
      </c>
      <c r="Y134" s="1361">
        <f t="shared" si="135"/>
        <v>38.75</v>
      </c>
      <c r="Z134" s="1361">
        <f t="shared" si="135"/>
        <v>0</v>
      </c>
      <c r="AA134" s="1361">
        <f t="shared" si="135"/>
        <v>57.870000000000005</v>
      </c>
      <c r="AB134" s="1361">
        <f t="shared" si="135"/>
        <v>0</v>
      </c>
      <c r="AC134" s="1361">
        <f t="shared" si="135"/>
        <v>46</v>
      </c>
      <c r="AD134" s="1361">
        <f t="shared" si="135"/>
        <v>0</v>
      </c>
      <c r="AE134" s="1361">
        <f t="shared" si="135"/>
        <v>103.87</v>
      </c>
      <c r="AF134" s="1361">
        <f t="shared" si="135"/>
        <v>0</v>
      </c>
      <c r="AG134" s="1361">
        <f t="shared" si="135"/>
        <v>0</v>
      </c>
      <c r="AH134" s="1361">
        <f t="shared" si="135"/>
        <v>0</v>
      </c>
      <c r="AI134" s="1361">
        <f t="shared" si="135"/>
        <v>103.87</v>
      </c>
      <c r="AJ134" s="1361">
        <f t="shared" si="135"/>
        <v>0</v>
      </c>
      <c r="AK134" s="1361">
        <f t="shared" si="135"/>
        <v>0</v>
      </c>
      <c r="AL134" s="1361">
        <f t="shared" si="135"/>
        <v>0</v>
      </c>
      <c r="AM134" s="1361">
        <f t="shared" si="135"/>
        <v>46</v>
      </c>
      <c r="AN134" s="1361">
        <f t="shared" si="135"/>
        <v>0</v>
      </c>
      <c r="AO134" s="1361">
        <f t="shared" si="135"/>
        <v>103.87</v>
      </c>
      <c r="AP134" s="1361">
        <f t="shared" si="135"/>
        <v>0</v>
      </c>
      <c r="AQ134" s="1361">
        <f t="shared" si="135"/>
        <v>0</v>
      </c>
      <c r="AR134" s="1361">
        <f t="shared" si="135"/>
        <v>0</v>
      </c>
      <c r="AS134" s="1361">
        <f t="shared" si="135"/>
        <v>103.87</v>
      </c>
      <c r="AT134" s="1361">
        <f t="shared" si="135"/>
        <v>0</v>
      </c>
      <c r="AU134" s="1361">
        <f t="shared" si="135"/>
        <v>78.72999999999999</v>
      </c>
      <c r="AV134" s="1361">
        <f t="shared" si="135"/>
        <v>0</v>
      </c>
      <c r="AW134" s="1361">
        <f t="shared" si="135"/>
        <v>182.60000000000002</v>
      </c>
      <c r="AX134" s="1361">
        <f t="shared" si="135"/>
        <v>0</v>
      </c>
      <c r="AY134" s="1361">
        <f t="shared" si="135"/>
        <v>303.51</v>
      </c>
      <c r="AZ134" s="1361">
        <f t="shared" si="135"/>
        <v>0</v>
      </c>
      <c r="BA134" s="1361">
        <f t="shared" si="135"/>
        <v>382.24</v>
      </c>
      <c r="BB134" s="1361">
        <f t="shared" si="135"/>
        <v>0</v>
      </c>
      <c r="BC134" s="1361">
        <f t="shared" si="135"/>
        <v>428.24</v>
      </c>
      <c r="BD134" s="1361">
        <f t="shared" si="135"/>
        <v>0</v>
      </c>
      <c r="BE134" s="1361">
        <f t="shared" si="135"/>
        <v>486.11</v>
      </c>
      <c r="BF134" s="26"/>
      <c r="BG134" s="26"/>
      <c r="BP134" s="26"/>
      <c r="BQ134" s="26"/>
    </row>
    <row r="135" spans="1:69" thickBot="1" x14ac:dyDescent="0.3">
      <c r="A135" s="149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4590"/>
      <c r="AD135" s="26"/>
      <c r="AE135" s="26"/>
      <c r="AF135" s="26"/>
      <c r="AG135" s="4590"/>
      <c r="AH135" s="26"/>
      <c r="AI135" s="26"/>
      <c r="AJ135" s="26"/>
      <c r="AK135" s="4590"/>
      <c r="AL135" s="26"/>
      <c r="AM135" s="26"/>
      <c r="AN135" s="26"/>
      <c r="AO135" s="26"/>
      <c r="AP135" s="26"/>
      <c r="AQ135" s="4590"/>
      <c r="AR135" s="26"/>
      <c r="AS135" s="26"/>
      <c r="AT135" s="26"/>
      <c r="AU135" s="4590"/>
      <c r="AV135" s="26"/>
      <c r="AW135" s="26"/>
      <c r="AX135" s="26"/>
      <c r="AY135" s="4590"/>
      <c r="AZ135" s="26"/>
      <c r="BA135" s="26"/>
      <c r="BB135" s="26"/>
      <c r="BC135" s="26"/>
      <c r="BD135" s="26"/>
      <c r="BE135" s="26"/>
      <c r="BF135" s="26"/>
      <c r="BG135" s="26"/>
      <c r="BP135" s="26"/>
      <c r="BQ135" s="26"/>
    </row>
    <row r="136" spans="1:69" ht="25.5" x14ac:dyDescent="0.25">
      <c r="B136" s="7448" t="s">
        <v>1113</v>
      </c>
      <c r="C136" s="7449"/>
      <c r="D136" s="3913"/>
      <c r="E136" s="1120"/>
      <c r="F136" s="3913"/>
      <c r="G136" s="1120"/>
      <c r="H136" s="3914"/>
      <c r="I136" s="3915"/>
      <c r="J136" s="1737"/>
      <c r="K136" s="1120"/>
      <c r="L136" s="596"/>
      <c r="N136" s="596"/>
      <c r="O136" s="1120"/>
      <c r="P136" s="596"/>
      <c r="Q136" s="3915"/>
      <c r="R136" s="596"/>
      <c r="S136" s="1120"/>
      <c r="T136" s="5172"/>
      <c r="U136" s="3915"/>
      <c r="V136" s="596"/>
      <c r="W136" s="1120"/>
      <c r="X136" s="596"/>
      <c r="Z136" s="33"/>
      <c r="AA136" s="33"/>
      <c r="AB136" s="596"/>
      <c r="AC136" s="5484"/>
      <c r="AD136" s="5172"/>
      <c r="AE136" s="5172"/>
      <c r="AF136" s="596"/>
      <c r="AG136" s="5484"/>
      <c r="AH136" s="5172"/>
      <c r="AI136" s="5172"/>
      <c r="AJ136" s="596"/>
      <c r="AK136" s="5484"/>
      <c r="AL136" s="596"/>
      <c r="AM136" s="152"/>
      <c r="AN136" s="5172"/>
      <c r="AO136" s="5172"/>
      <c r="AP136" s="596"/>
      <c r="AQ136" s="5484"/>
      <c r="AR136" s="5172"/>
      <c r="AS136" s="5172"/>
      <c r="AT136" s="596"/>
      <c r="AU136" s="5484"/>
      <c r="AV136" s="5172"/>
      <c r="AW136" s="5172"/>
      <c r="AX136" s="33"/>
      <c r="AY136" s="5484"/>
      <c r="AZ136" s="33"/>
      <c r="BA136" s="152"/>
      <c r="BB136" s="33"/>
      <c r="BC136" s="33"/>
      <c r="BD136" s="33"/>
      <c r="BE136" s="33"/>
      <c r="BF136" s="26"/>
      <c r="BG136" s="26"/>
      <c r="BP136" s="26"/>
      <c r="BQ136" s="26"/>
    </row>
    <row r="137" spans="1:69" ht="22.5" x14ac:dyDescent="0.25">
      <c r="B137" s="1122" t="s">
        <v>691</v>
      </c>
      <c r="C137" s="370"/>
      <c r="D137" s="3822"/>
      <c r="E137" s="3315"/>
      <c r="F137" s="3315"/>
      <c r="G137" s="3315"/>
      <c r="H137" s="3916"/>
      <c r="I137" s="3917"/>
      <c r="J137" s="3905"/>
      <c r="K137" s="3315"/>
      <c r="L137" s="403"/>
      <c r="M137" s="2410"/>
      <c r="N137" s="403"/>
      <c r="O137" s="3315"/>
      <c r="P137" s="403"/>
      <c r="Q137" s="3917"/>
      <c r="R137" s="403"/>
      <c r="S137" s="3315"/>
      <c r="T137" s="596"/>
      <c r="U137" s="3917"/>
      <c r="V137" s="403"/>
      <c r="W137" s="3315"/>
      <c r="X137" s="403"/>
      <c r="Y137" s="2410"/>
      <c r="Z137" s="403"/>
      <c r="AA137" s="522"/>
      <c r="AB137" s="403"/>
      <c r="AC137" s="5485"/>
      <c r="AD137" s="596"/>
      <c r="AE137" s="596"/>
      <c r="AF137" s="403"/>
      <c r="AG137" s="5485"/>
      <c r="AH137" s="596"/>
      <c r="AI137" s="596"/>
      <c r="AJ137" s="403"/>
      <c r="AK137" s="5485"/>
      <c r="AL137" s="403"/>
      <c r="AM137" s="2410"/>
      <c r="AN137" s="596"/>
      <c r="AO137" s="596"/>
      <c r="AP137" s="403"/>
      <c r="AQ137" s="5485"/>
      <c r="AR137" s="596"/>
      <c r="AS137" s="596"/>
      <c r="AT137" s="403"/>
      <c r="AU137" s="5485"/>
      <c r="AV137" s="596"/>
      <c r="AW137" s="596"/>
      <c r="AX137" s="403"/>
      <c r="AY137" s="5485"/>
      <c r="AZ137" s="403"/>
      <c r="BA137" s="2410">
        <f t="shared" si="58"/>
        <v>0</v>
      </c>
      <c r="BB137" s="403"/>
      <c r="BC137" s="522"/>
      <c r="BD137" s="596"/>
      <c r="BE137" s="1140"/>
      <c r="BF137" s="26"/>
      <c r="BG137" s="26"/>
      <c r="BP137" s="26"/>
      <c r="BQ137" s="26"/>
    </row>
    <row r="138" spans="1:69" ht="18.75" hidden="1" customHeight="1" x14ac:dyDescent="0.25">
      <c r="B138" s="1772" t="s">
        <v>1314</v>
      </c>
      <c r="C138" s="6515" t="s">
        <v>354</v>
      </c>
      <c r="D138" s="3918"/>
      <c r="E138" s="3161"/>
      <c r="F138" s="3161"/>
      <c r="G138" s="3161"/>
      <c r="H138" s="3162"/>
      <c r="I138" s="3919">
        <f t="shared" si="108"/>
        <v>0</v>
      </c>
      <c r="J138" s="3906"/>
      <c r="K138" s="3161"/>
      <c r="L138" s="597"/>
      <c r="M138" s="1154">
        <f t="shared" ref="M138:M185" si="136">+E138+G138+K138</f>
        <v>0</v>
      </c>
      <c r="N138" s="597"/>
      <c r="O138" s="3161"/>
      <c r="P138" s="597"/>
      <c r="Q138" s="3919">
        <f t="shared" si="110"/>
        <v>0</v>
      </c>
      <c r="R138" s="597"/>
      <c r="S138" s="3161"/>
      <c r="T138" s="403"/>
      <c r="U138" s="3919">
        <f t="shared" si="111"/>
        <v>0</v>
      </c>
      <c r="V138" s="597"/>
      <c r="W138" s="3161"/>
      <c r="X138" s="597"/>
      <c r="Y138" s="1154">
        <f t="shared" si="59"/>
        <v>0</v>
      </c>
      <c r="Z138" s="597"/>
      <c r="AA138" s="522">
        <f t="shared" si="56"/>
        <v>0</v>
      </c>
      <c r="AB138" s="597"/>
      <c r="AC138" s="3397"/>
      <c r="AD138" s="403"/>
      <c r="AE138" s="2608">
        <f t="shared" ref="AE138:AE174" si="137">+AA138+AC138</f>
        <v>0</v>
      </c>
      <c r="AF138" s="597"/>
      <c r="AG138" s="3397"/>
      <c r="AH138" s="403"/>
      <c r="AI138" s="2608">
        <f t="shared" ref="AI138:AI165" si="138">+AE138+AG138</f>
        <v>0</v>
      </c>
      <c r="AJ138" s="597"/>
      <c r="AK138" s="3397"/>
      <c r="AL138" s="597"/>
      <c r="AM138" s="1154">
        <f t="shared" si="63"/>
        <v>0</v>
      </c>
      <c r="AN138" s="403"/>
      <c r="AO138" s="2608">
        <f t="shared" si="75"/>
        <v>0</v>
      </c>
      <c r="AP138" s="597"/>
      <c r="AQ138" s="3397"/>
      <c r="AR138" s="403"/>
      <c r="AS138" s="2608">
        <f t="shared" ref="AS138:AS176" si="139">+AO138+AQ138</f>
        <v>0</v>
      </c>
      <c r="AT138" s="597"/>
      <c r="AU138" s="3397"/>
      <c r="AV138" s="403"/>
      <c r="AW138" s="2608">
        <f t="shared" ref="AW138:AW185" si="140">+AS138+AU138</f>
        <v>0</v>
      </c>
      <c r="AX138" s="597"/>
      <c r="AY138" s="3397"/>
      <c r="AZ138" s="597"/>
      <c r="BA138" s="1154">
        <f t="shared" si="58"/>
        <v>0</v>
      </c>
      <c r="BB138" s="597"/>
      <c r="BC138" s="522">
        <f t="shared" si="60"/>
        <v>0</v>
      </c>
      <c r="BD138" s="403"/>
      <c r="BE138" s="256">
        <f t="shared" ref="BE138:BE162" si="141">+AW138+AY138</f>
        <v>0</v>
      </c>
      <c r="BF138" s="26"/>
      <c r="BG138" s="26"/>
      <c r="BP138" s="26"/>
      <c r="BQ138" s="26"/>
    </row>
    <row r="139" spans="1:69" ht="15.75" hidden="1" customHeight="1" x14ac:dyDescent="0.25">
      <c r="B139" s="1772" t="s">
        <v>1397</v>
      </c>
      <c r="C139" s="6515" t="s">
        <v>354</v>
      </c>
      <c r="D139" s="3918"/>
      <c r="E139" s="3161"/>
      <c r="F139" s="3161"/>
      <c r="G139" s="3161"/>
      <c r="H139" s="3162"/>
      <c r="I139" s="3919">
        <f t="shared" si="108"/>
        <v>0</v>
      </c>
      <c r="J139" s="3906"/>
      <c r="K139" s="3161"/>
      <c r="L139" s="597"/>
      <c r="M139" s="1154">
        <f t="shared" si="136"/>
        <v>0</v>
      </c>
      <c r="N139" s="597"/>
      <c r="O139" s="3161"/>
      <c r="P139" s="597"/>
      <c r="Q139" s="3919">
        <f t="shared" si="110"/>
        <v>0</v>
      </c>
      <c r="R139" s="597"/>
      <c r="S139" s="3161"/>
      <c r="T139" s="597"/>
      <c r="U139" s="3919">
        <f t="shared" si="111"/>
        <v>0</v>
      </c>
      <c r="V139" s="597"/>
      <c r="W139" s="3161"/>
      <c r="X139" s="597"/>
      <c r="Y139" s="1154">
        <f t="shared" ref="Y139:Y200" si="142">+O139+S139+W139</f>
        <v>0</v>
      </c>
      <c r="Z139" s="597"/>
      <c r="AA139" s="522">
        <f t="shared" ref="AA139:AA201" si="143">M139+Y139</f>
        <v>0</v>
      </c>
      <c r="AB139" s="597"/>
      <c r="AC139" s="3397"/>
      <c r="AD139" s="597"/>
      <c r="AE139" s="2608">
        <f t="shared" si="137"/>
        <v>0</v>
      </c>
      <c r="AF139" s="597"/>
      <c r="AG139" s="3397"/>
      <c r="AH139" s="597"/>
      <c r="AI139" s="2608">
        <f t="shared" si="138"/>
        <v>0</v>
      </c>
      <c r="AJ139" s="597"/>
      <c r="AK139" s="3397"/>
      <c r="AL139" s="597"/>
      <c r="AM139" s="1154">
        <f t="shared" ref="AM139:AM200" si="144">+AC139+AG139+AK139</f>
        <v>0</v>
      </c>
      <c r="AN139" s="597"/>
      <c r="AO139" s="2608">
        <f t="shared" si="75"/>
        <v>0</v>
      </c>
      <c r="AP139" s="597"/>
      <c r="AQ139" s="3397"/>
      <c r="AR139" s="597"/>
      <c r="AS139" s="2608">
        <f t="shared" si="139"/>
        <v>0</v>
      </c>
      <c r="AT139" s="597"/>
      <c r="AU139" s="3397"/>
      <c r="AV139" s="597"/>
      <c r="AW139" s="2608">
        <f t="shared" si="140"/>
        <v>0</v>
      </c>
      <c r="AX139" s="597"/>
      <c r="AY139" s="3397"/>
      <c r="AZ139" s="597"/>
      <c r="BA139" s="1154">
        <f t="shared" ref="BA139:BA200" si="145">+AQ139+AU139+AY139</f>
        <v>0</v>
      </c>
      <c r="BB139" s="597"/>
      <c r="BC139" s="522">
        <f t="shared" si="60"/>
        <v>0</v>
      </c>
      <c r="BD139" s="597"/>
      <c r="BE139" s="256">
        <f t="shared" si="141"/>
        <v>0</v>
      </c>
      <c r="BF139" s="26"/>
      <c r="BG139" s="26"/>
      <c r="BP139" s="26"/>
      <c r="BQ139" s="26"/>
    </row>
    <row r="140" spans="1:69" ht="15.75" hidden="1" customHeight="1" x14ac:dyDescent="0.25">
      <c r="B140" s="1772" t="s">
        <v>1448</v>
      </c>
      <c r="C140" s="6515" t="s">
        <v>354</v>
      </c>
      <c r="D140" s="3918"/>
      <c r="E140" s="3161"/>
      <c r="F140" s="3161"/>
      <c r="G140" s="3161"/>
      <c r="H140" s="3162"/>
      <c r="I140" s="3919">
        <f t="shared" si="108"/>
        <v>0</v>
      </c>
      <c r="J140" s="3906"/>
      <c r="K140" s="3161"/>
      <c r="L140" s="597"/>
      <c r="M140" s="1154">
        <f t="shared" si="136"/>
        <v>0</v>
      </c>
      <c r="N140" s="597"/>
      <c r="O140" s="3161"/>
      <c r="P140" s="597"/>
      <c r="Q140" s="3919">
        <f t="shared" si="110"/>
        <v>0</v>
      </c>
      <c r="R140" s="597"/>
      <c r="S140" s="3161"/>
      <c r="T140" s="597"/>
      <c r="U140" s="3919">
        <f t="shared" si="111"/>
        <v>0</v>
      </c>
      <c r="V140" s="597"/>
      <c r="W140" s="3161"/>
      <c r="X140" s="597"/>
      <c r="Y140" s="1154">
        <f t="shared" si="142"/>
        <v>0</v>
      </c>
      <c r="Z140" s="597"/>
      <c r="AA140" s="522">
        <f t="shared" si="143"/>
        <v>0</v>
      </c>
      <c r="AB140" s="597"/>
      <c r="AC140" s="3397"/>
      <c r="AD140" s="597"/>
      <c r="AE140" s="2608">
        <f t="shared" si="137"/>
        <v>0</v>
      </c>
      <c r="AF140" s="597"/>
      <c r="AG140" s="3397"/>
      <c r="AH140" s="597"/>
      <c r="AI140" s="2608">
        <f t="shared" si="138"/>
        <v>0</v>
      </c>
      <c r="AJ140" s="597"/>
      <c r="AK140" s="3397"/>
      <c r="AL140" s="597"/>
      <c r="AM140" s="1154">
        <f t="shared" si="144"/>
        <v>0</v>
      </c>
      <c r="AN140" s="597"/>
      <c r="AO140" s="2608">
        <f t="shared" si="75"/>
        <v>0</v>
      </c>
      <c r="AP140" s="597"/>
      <c r="AQ140" s="3397"/>
      <c r="AR140" s="597"/>
      <c r="AS140" s="2608">
        <f t="shared" si="139"/>
        <v>0</v>
      </c>
      <c r="AT140" s="597"/>
      <c r="AU140" s="3397"/>
      <c r="AV140" s="597"/>
      <c r="AW140" s="2608">
        <f t="shared" si="140"/>
        <v>0</v>
      </c>
      <c r="AX140" s="597"/>
      <c r="AY140" s="3397"/>
      <c r="AZ140" s="597"/>
      <c r="BA140" s="1154">
        <f t="shared" si="145"/>
        <v>0</v>
      </c>
      <c r="BB140" s="597"/>
      <c r="BC140" s="522">
        <f t="shared" ref="BC140:BC200" si="146">BA140+AM140</f>
        <v>0</v>
      </c>
      <c r="BD140" s="597"/>
      <c r="BE140" s="256">
        <f t="shared" si="141"/>
        <v>0</v>
      </c>
      <c r="BF140" s="26"/>
      <c r="BG140" s="26"/>
      <c r="BP140" s="26"/>
      <c r="BQ140" s="26"/>
    </row>
    <row r="141" spans="1:69" hidden="1" x14ac:dyDescent="0.25">
      <c r="B141" s="1772" t="s">
        <v>1449</v>
      </c>
      <c r="C141" s="6515" t="s">
        <v>354</v>
      </c>
      <c r="D141" s="3918"/>
      <c r="E141" s="3161"/>
      <c r="F141" s="3161"/>
      <c r="G141" s="3161"/>
      <c r="H141" s="3162"/>
      <c r="I141" s="3919">
        <f t="shared" si="108"/>
        <v>0</v>
      </c>
      <c r="J141" s="3906"/>
      <c r="K141" s="3161"/>
      <c r="L141" s="597"/>
      <c r="M141" s="1154">
        <f t="shared" si="136"/>
        <v>0</v>
      </c>
      <c r="N141" s="597"/>
      <c r="O141" s="3161"/>
      <c r="P141" s="597"/>
      <c r="Q141" s="3919">
        <f t="shared" si="110"/>
        <v>0</v>
      </c>
      <c r="R141" s="597"/>
      <c r="S141" s="3161"/>
      <c r="T141" s="597"/>
      <c r="U141" s="3919">
        <f t="shared" si="111"/>
        <v>0</v>
      </c>
      <c r="V141" s="597"/>
      <c r="W141" s="3161"/>
      <c r="X141" s="597"/>
      <c r="Y141" s="1154">
        <f t="shared" si="142"/>
        <v>0</v>
      </c>
      <c r="Z141" s="597"/>
      <c r="AA141" s="522">
        <f t="shared" si="143"/>
        <v>0</v>
      </c>
      <c r="AB141" s="597"/>
      <c r="AC141" s="3397"/>
      <c r="AD141" s="597"/>
      <c r="AE141" s="2608">
        <f t="shared" si="137"/>
        <v>0</v>
      </c>
      <c r="AF141" s="597"/>
      <c r="AG141" s="3397">
        <v>49.54</v>
      </c>
      <c r="AH141" s="597"/>
      <c r="AI141" s="2608">
        <f t="shared" si="138"/>
        <v>49.54</v>
      </c>
      <c r="AJ141" s="597"/>
      <c r="AK141" s="3397">
        <v>48.63</v>
      </c>
      <c r="AL141" s="597"/>
      <c r="AM141" s="1154">
        <f t="shared" si="144"/>
        <v>98.17</v>
      </c>
      <c r="AN141" s="597"/>
      <c r="AO141" s="2608">
        <f t="shared" si="75"/>
        <v>98.17</v>
      </c>
      <c r="AP141" s="597"/>
      <c r="AQ141" s="3397"/>
      <c r="AR141" s="597"/>
      <c r="AS141" s="2608">
        <f t="shared" si="139"/>
        <v>98.17</v>
      </c>
      <c r="AT141" s="597"/>
      <c r="AU141" s="3397"/>
      <c r="AV141" s="597"/>
      <c r="AW141" s="2608">
        <f t="shared" si="140"/>
        <v>98.17</v>
      </c>
      <c r="AX141" s="597"/>
      <c r="AY141" s="3397"/>
      <c r="AZ141" s="597"/>
      <c r="BA141" s="1154">
        <f t="shared" si="145"/>
        <v>0</v>
      </c>
      <c r="BB141" s="597"/>
      <c r="BC141" s="522">
        <f t="shared" si="146"/>
        <v>98.17</v>
      </c>
      <c r="BD141" s="597"/>
      <c r="BE141" s="256">
        <f t="shared" si="141"/>
        <v>98.17</v>
      </c>
      <c r="BF141" s="26"/>
      <c r="BG141" s="26"/>
      <c r="BP141" s="26"/>
      <c r="BQ141" s="26"/>
    </row>
    <row r="142" spans="1:69" ht="15.75" hidden="1" customHeight="1" x14ac:dyDescent="0.25">
      <c r="B142" s="1772" t="s">
        <v>1450</v>
      </c>
      <c r="C142" s="6515" t="s">
        <v>354</v>
      </c>
      <c r="D142" s="3918"/>
      <c r="E142" s="3161"/>
      <c r="F142" s="3161"/>
      <c r="G142" s="3161"/>
      <c r="H142" s="3162"/>
      <c r="I142" s="3919">
        <f t="shared" si="108"/>
        <v>0</v>
      </c>
      <c r="J142" s="3906"/>
      <c r="K142" s="3161"/>
      <c r="L142" s="597"/>
      <c r="M142" s="1154">
        <f t="shared" si="136"/>
        <v>0</v>
      </c>
      <c r="N142" s="597"/>
      <c r="O142" s="3161"/>
      <c r="P142" s="597"/>
      <c r="Q142" s="3919">
        <f t="shared" si="110"/>
        <v>0</v>
      </c>
      <c r="R142" s="597"/>
      <c r="S142" s="3161"/>
      <c r="T142" s="597"/>
      <c r="U142" s="3919">
        <f t="shared" si="111"/>
        <v>0</v>
      </c>
      <c r="V142" s="597"/>
      <c r="W142" s="3161"/>
      <c r="X142" s="597"/>
      <c r="Y142" s="1154">
        <f t="shared" ref="Y142:Y152" si="147">+O142+S142+W142</f>
        <v>0</v>
      </c>
      <c r="Z142" s="597"/>
      <c r="AA142" s="522">
        <f t="shared" ref="AA142:AA152" si="148">M142+Y142</f>
        <v>0</v>
      </c>
      <c r="AB142" s="597"/>
      <c r="AC142" s="3397"/>
      <c r="AD142" s="597"/>
      <c r="AE142" s="2608">
        <f t="shared" si="137"/>
        <v>0</v>
      </c>
      <c r="AF142" s="597"/>
      <c r="AG142" s="3397"/>
      <c r="AH142" s="597"/>
      <c r="AI142" s="2608">
        <f t="shared" si="138"/>
        <v>0</v>
      </c>
      <c r="AJ142" s="597"/>
      <c r="AK142" s="3397"/>
      <c r="AL142" s="597"/>
      <c r="AM142" s="1154">
        <f t="shared" si="144"/>
        <v>0</v>
      </c>
      <c r="AN142" s="597"/>
      <c r="AO142" s="2608">
        <f t="shared" si="75"/>
        <v>0</v>
      </c>
      <c r="AP142" s="597"/>
      <c r="AQ142" s="3397"/>
      <c r="AR142" s="597"/>
      <c r="AS142" s="2608">
        <f t="shared" si="139"/>
        <v>0</v>
      </c>
      <c r="AT142" s="597"/>
      <c r="AU142" s="3397"/>
      <c r="AV142" s="597"/>
      <c r="AW142" s="2608">
        <f t="shared" si="140"/>
        <v>0</v>
      </c>
      <c r="AX142" s="597"/>
      <c r="AY142" s="3397"/>
      <c r="AZ142" s="597"/>
      <c r="BA142" s="1154">
        <f t="shared" si="145"/>
        <v>0</v>
      </c>
      <c r="BB142" s="597"/>
      <c r="BC142" s="522">
        <f t="shared" si="146"/>
        <v>0</v>
      </c>
      <c r="BD142" s="597"/>
      <c r="BE142" s="256">
        <f t="shared" si="141"/>
        <v>0</v>
      </c>
      <c r="BF142" s="26"/>
      <c r="BG142" s="26"/>
      <c r="BP142" s="26"/>
      <c r="BQ142" s="26"/>
    </row>
    <row r="143" spans="1:69" ht="15.75" hidden="1" customHeight="1" x14ac:dyDescent="0.25">
      <c r="B143" s="1772" t="s">
        <v>1490</v>
      </c>
      <c r="C143" s="6515" t="s">
        <v>354</v>
      </c>
      <c r="D143" s="3918"/>
      <c r="E143" s="3161"/>
      <c r="F143" s="3161"/>
      <c r="G143" s="3161"/>
      <c r="H143" s="3162"/>
      <c r="I143" s="3919">
        <f t="shared" si="108"/>
        <v>0</v>
      </c>
      <c r="J143" s="3906"/>
      <c r="K143" s="3161"/>
      <c r="L143" s="597"/>
      <c r="M143" s="1154">
        <f t="shared" si="136"/>
        <v>0</v>
      </c>
      <c r="N143" s="597"/>
      <c r="O143" s="3161"/>
      <c r="P143" s="597"/>
      <c r="Q143" s="3919">
        <f t="shared" si="110"/>
        <v>0</v>
      </c>
      <c r="R143" s="597"/>
      <c r="S143" s="3161"/>
      <c r="T143" s="597"/>
      <c r="U143" s="3919">
        <f t="shared" si="111"/>
        <v>0</v>
      </c>
      <c r="V143" s="597"/>
      <c r="W143" s="3161"/>
      <c r="X143" s="597"/>
      <c r="Y143" s="1154">
        <f t="shared" si="147"/>
        <v>0</v>
      </c>
      <c r="Z143" s="597"/>
      <c r="AA143" s="522">
        <f t="shared" si="148"/>
        <v>0</v>
      </c>
      <c r="AB143" s="597"/>
      <c r="AC143" s="3397"/>
      <c r="AD143" s="597"/>
      <c r="AE143" s="2608">
        <f t="shared" si="137"/>
        <v>0</v>
      </c>
      <c r="AF143" s="597"/>
      <c r="AG143" s="3397"/>
      <c r="AH143" s="597"/>
      <c r="AI143" s="2608">
        <f t="shared" si="138"/>
        <v>0</v>
      </c>
      <c r="AJ143" s="597"/>
      <c r="AK143" s="3397"/>
      <c r="AL143" s="597"/>
      <c r="AM143" s="1154">
        <f t="shared" ref="AM143:AM175" si="149">+AC143+AG143+AK143</f>
        <v>0</v>
      </c>
      <c r="AN143" s="597"/>
      <c r="AO143" s="2608">
        <f t="shared" ref="AO143:AO175" si="150">AI143+AK143</f>
        <v>0</v>
      </c>
      <c r="AP143" s="597"/>
      <c r="AQ143" s="3397"/>
      <c r="AR143" s="597"/>
      <c r="AS143" s="2608">
        <f t="shared" si="139"/>
        <v>0</v>
      </c>
      <c r="AT143" s="597"/>
      <c r="AU143" s="3397"/>
      <c r="AV143" s="597"/>
      <c r="AW143" s="2608">
        <f t="shared" si="140"/>
        <v>0</v>
      </c>
      <c r="AX143" s="597"/>
      <c r="AY143" s="3397"/>
      <c r="AZ143" s="597"/>
      <c r="BA143" s="1154">
        <f t="shared" si="145"/>
        <v>0</v>
      </c>
      <c r="BB143" s="597"/>
      <c r="BC143" s="522">
        <f t="shared" si="146"/>
        <v>0</v>
      </c>
      <c r="BD143" s="597"/>
      <c r="BE143" s="256">
        <f t="shared" si="141"/>
        <v>0</v>
      </c>
      <c r="BF143" s="26"/>
      <c r="BG143" s="26"/>
      <c r="BP143" s="26"/>
      <c r="BQ143" s="26"/>
    </row>
    <row r="144" spans="1:69" ht="15.75" hidden="1" customHeight="1" x14ac:dyDescent="0.25">
      <c r="B144" s="1772" t="s">
        <v>1492</v>
      </c>
      <c r="C144" s="6515" t="s">
        <v>354</v>
      </c>
      <c r="D144" s="3918"/>
      <c r="E144" s="3161"/>
      <c r="F144" s="3161"/>
      <c r="G144" s="3161"/>
      <c r="H144" s="3162"/>
      <c r="I144" s="3919">
        <f t="shared" si="108"/>
        <v>0</v>
      </c>
      <c r="J144" s="3906"/>
      <c r="K144" s="3161"/>
      <c r="L144" s="597"/>
      <c r="M144" s="1154">
        <f t="shared" si="136"/>
        <v>0</v>
      </c>
      <c r="N144" s="597"/>
      <c r="O144" s="3161"/>
      <c r="P144" s="597"/>
      <c r="Q144" s="3919">
        <f t="shared" si="110"/>
        <v>0</v>
      </c>
      <c r="R144" s="597"/>
      <c r="S144" s="3161"/>
      <c r="T144" s="597"/>
      <c r="U144" s="3919">
        <f t="shared" si="111"/>
        <v>0</v>
      </c>
      <c r="V144" s="597"/>
      <c r="W144" s="3161"/>
      <c r="X144" s="597"/>
      <c r="Y144" s="1154">
        <f t="shared" si="147"/>
        <v>0</v>
      </c>
      <c r="Z144" s="597"/>
      <c r="AA144" s="522">
        <f t="shared" si="148"/>
        <v>0</v>
      </c>
      <c r="AB144" s="597"/>
      <c r="AC144" s="3397"/>
      <c r="AD144" s="597"/>
      <c r="AE144" s="2608">
        <f t="shared" si="137"/>
        <v>0</v>
      </c>
      <c r="AF144" s="597"/>
      <c r="AG144" s="3397"/>
      <c r="AH144" s="597"/>
      <c r="AI144" s="2608">
        <f t="shared" si="138"/>
        <v>0</v>
      </c>
      <c r="AJ144" s="597"/>
      <c r="AK144" s="3397"/>
      <c r="AL144" s="597"/>
      <c r="AM144" s="1154">
        <f t="shared" si="149"/>
        <v>0</v>
      </c>
      <c r="AN144" s="597"/>
      <c r="AO144" s="2608">
        <f t="shared" si="150"/>
        <v>0</v>
      </c>
      <c r="AP144" s="597"/>
      <c r="AQ144" s="3397"/>
      <c r="AR144" s="597"/>
      <c r="AS144" s="2608">
        <f t="shared" si="139"/>
        <v>0</v>
      </c>
      <c r="AT144" s="597"/>
      <c r="AU144" s="3397"/>
      <c r="AV144" s="597"/>
      <c r="AW144" s="2608">
        <f t="shared" si="140"/>
        <v>0</v>
      </c>
      <c r="AX144" s="597"/>
      <c r="AY144" s="3397"/>
      <c r="AZ144" s="597"/>
      <c r="BA144" s="1154">
        <f t="shared" si="145"/>
        <v>0</v>
      </c>
      <c r="BB144" s="597"/>
      <c r="BC144" s="522">
        <f t="shared" si="146"/>
        <v>0</v>
      </c>
      <c r="BD144" s="597"/>
      <c r="BE144" s="256">
        <f t="shared" si="141"/>
        <v>0</v>
      </c>
      <c r="BF144" s="26"/>
      <c r="BG144" s="26"/>
      <c r="BP144" s="26"/>
      <c r="BQ144" s="26"/>
    </row>
    <row r="145" spans="2:69" ht="15.75" hidden="1" customHeight="1" x14ac:dyDescent="0.25">
      <c r="B145" s="1772" t="s">
        <v>1540</v>
      </c>
      <c r="C145" s="6515" t="s">
        <v>354</v>
      </c>
      <c r="D145" s="3918"/>
      <c r="E145" s="3161"/>
      <c r="F145" s="3161"/>
      <c r="G145" s="3161"/>
      <c r="H145" s="3162"/>
      <c r="I145" s="3919">
        <f t="shared" si="108"/>
        <v>0</v>
      </c>
      <c r="J145" s="3906"/>
      <c r="K145" s="3161"/>
      <c r="L145" s="597"/>
      <c r="M145" s="1154">
        <f t="shared" si="136"/>
        <v>0</v>
      </c>
      <c r="N145" s="597"/>
      <c r="O145" s="3161"/>
      <c r="P145" s="597"/>
      <c r="Q145" s="3919">
        <f t="shared" si="110"/>
        <v>0</v>
      </c>
      <c r="R145" s="597"/>
      <c r="S145" s="3161"/>
      <c r="T145" s="597"/>
      <c r="U145" s="3919">
        <f t="shared" si="111"/>
        <v>0</v>
      </c>
      <c r="V145" s="597"/>
      <c r="W145" s="3161"/>
      <c r="X145" s="597"/>
      <c r="Y145" s="1154">
        <f t="shared" si="147"/>
        <v>0</v>
      </c>
      <c r="Z145" s="597"/>
      <c r="AA145" s="522">
        <f t="shared" si="148"/>
        <v>0</v>
      </c>
      <c r="AB145" s="597"/>
      <c r="AC145" s="3397"/>
      <c r="AD145" s="597"/>
      <c r="AE145" s="2608">
        <f t="shared" si="137"/>
        <v>0</v>
      </c>
      <c r="AF145" s="597"/>
      <c r="AG145" s="3397"/>
      <c r="AH145" s="597"/>
      <c r="AI145" s="2608">
        <f t="shared" si="138"/>
        <v>0</v>
      </c>
      <c r="AJ145" s="597"/>
      <c r="AK145" s="3397"/>
      <c r="AL145" s="597"/>
      <c r="AM145" s="1154">
        <f t="shared" si="149"/>
        <v>0</v>
      </c>
      <c r="AN145" s="597"/>
      <c r="AO145" s="2608">
        <f t="shared" si="150"/>
        <v>0</v>
      </c>
      <c r="AP145" s="597"/>
      <c r="AQ145" s="3397"/>
      <c r="AR145" s="597"/>
      <c r="AS145" s="2608">
        <f t="shared" si="139"/>
        <v>0</v>
      </c>
      <c r="AT145" s="597"/>
      <c r="AU145" s="3397"/>
      <c r="AV145" s="597"/>
      <c r="AW145" s="2608">
        <f t="shared" si="140"/>
        <v>0</v>
      </c>
      <c r="AX145" s="597"/>
      <c r="AY145" s="3397"/>
      <c r="AZ145" s="597"/>
      <c r="BA145" s="1154">
        <f t="shared" si="145"/>
        <v>0</v>
      </c>
      <c r="BB145" s="597"/>
      <c r="BC145" s="522">
        <f t="shared" si="146"/>
        <v>0</v>
      </c>
      <c r="BD145" s="597"/>
      <c r="BE145" s="256">
        <f t="shared" si="141"/>
        <v>0</v>
      </c>
      <c r="BF145" s="26"/>
      <c r="BG145" s="26"/>
      <c r="BP145" s="26"/>
      <c r="BQ145" s="26"/>
    </row>
    <row r="146" spans="2:69" s="2757" customFormat="1" ht="15.75" hidden="1" customHeight="1" x14ac:dyDescent="0.25">
      <c r="B146" s="1772" t="s">
        <v>1692</v>
      </c>
      <c r="C146" s="6515" t="s">
        <v>354</v>
      </c>
      <c r="D146" s="3918"/>
      <c r="E146" s="3161"/>
      <c r="F146" s="3161"/>
      <c r="G146" s="3161"/>
      <c r="H146" s="3162"/>
      <c r="I146" s="3919">
        <f t="shared" si="108"/>
        <v>0</v>
      </c>
      <c r="J146" s="3906"/>
      <c r="K146" s="3161"/>
      <c r="L146" s="597"/>
      <c r="M146" s="1154">
        <f t="shared" si="136"/>
        <v>0</v>
      </c>
      <c r="N146" s="597"/>
      <c r="O146" s="3161"/>
      <c r="P146" s="597"/>
      <c r="Q146" s="3919">
        <f t="shared" si="110"/>
        <v>0</v>
      </c>
      <c r="R146" s="597"/>
      <c r="S146" s="3161"/>
      <c r="T146" s="597"/>
      <c r="U146" s="3919">
        <f t="shared" si="111"/>
        <v>0</v>
      </c>
      <c r="V146" s="597"/>
      <c r="W146" s="3161"/>
      <c r="X146" s="597"/>
      <c r="Y146" s="1154">
        <f t="shared" si="147"/>
        <v>0</v>
      </c>
      <c r="Z146" s="597"/>
      <c r="AA146" s="522">
        <f t="shared" si="148"/>
        <v>0</v>
      </c>
      <c r="AB146" s="597"/>
      <c r="AC146" s="3397"/>
      <c r="AD146" s="597"/>
      <c r="AE146" s="2608"/>
      <c r="AF146" s="597"/>
      <c r="AG146" s="3397"/>
      <c r="AH146" s="597"/>
      <c r="AI146" s="2608">
        <f t="shared" si="138"/>
        <v>0</v>
      </c>
      <c r="AJ146" s="597"/>
      <c r="AK146" s="3397"/>
      <c r="AL146" s="597"/>
      <c r="AM146" s="1154">
        <f t="shared" si="149"/>
        <v>0</v>
      </c>
      <c r="AN146" s="597"/>
      <c r="AO146" s="2608">
        <f t="shared" si="150"/>
        <v>0</v>
      </c>
      <c r="AP146" s="597"/>
      <c r="AQ146" s="3397"/>
      <c r="AR146" s="597"/>
      <c r="AS146" s="2608">
        <f t="shared" si="139"/>
        <v>0</v>
      </c>
      <c r="AT146" s="597"/>
      <c r="AU146" s="3397"/>
      <c r="AV146" s="597"/>
      <c r="AW146" s="2608">
        <f t="shared" si="140"/>
        <v>0</v>
      </c>
      <c r="AX146" s="597"/>
      <c r="AY146" s="3397"/>
      <c r="AZ146" s="597"/>
      <c r="BA146" s="1154">
        <f t="shared" si="145"/>
        <v>0</v>
      </c>
      <c r="BB146" s="597"/>
      <c r="BC146" s="522">
        <f t="shared" si="146"/>
        <v>0</v>
      </c>
      <c r="BD146" s="597"/>
      <c r="BE146" s="256">
        <f t="shared" si="141"/>
        <v>0</v>
      </c>
      <c r="BF146" s="26"/>
      <c r="BG146" s="26"/>
      <c r="BP146" s="26"/>
      <c r="BQ146" s="26"/>
    </row>
    <row r="147" spans="2:69" ht="15.75" hidden="1" customHeight="1" x14ac:dyDescent="0.25">
      <c r="B147" s="1772" t="s">
        <v>1452</v>
      </c>
      <c r="C147" s="6515" t="s">
        <v>354</v>
      </c>
      <c r="D147" s="3918"/>
      <c r="E147" s="3161"/>
      <c r="F147" s="3161"/>
      <c r="G147" s="3161"/>
      <c r="H147" s="3162"/>
      <c r="I147" s="3919">
        <f t="shared" si="108"/>
        <v>0</v>
      </c>
      <c r="J147" s="3906"/>
      <c r="K147" s="3161"/>
      <c r="L147" s="597"/>
      <c r="M147" s="1154">
        <f t="shared" si="136"/>
        <v>0</v>
      </c>
      <c r="N147" s="597"/>
      <c r="O147" s="3161"/>
      <c r="P147" s="597"/>
      <c r="Q147" s="3919">
        <f t="shared" si="110"/>
        <v>0</v>
      </c>
      <c r="R147" s="597"/>
      <c r="S147" s="3161"/>
      <c r="T147" s="597"/>
      <c r="U147" s="3919">
        <f t="shared" si="111"/>
        <v>0</v>
      </c>
      <c r="V147" s="597"/>
      <c r="W147" s="3161"/>
      <c r="X147" s="597"/>
      <c r="Y147" s="1154">
        <f t="shared" si="147"/>
        <v>0</v>
      </c>
      <c r="Z147" s="597"/>
      <c r="AA147" s="522">
        <f t="shared" si="148"/>
        <v>0</v>
      </c>
      <c r="AB147" s="597"/>
      <c r="AC147" s="3397"/>
      <c r="AD147" s="597"/>
      <c r="AE147" s="2608">
        <f t="shared" si="137"/>
        <v>0</v>
      </c>
      <c r="AF147" s="597"/>
      <c r="AG147" s="3397"/>
      <c r="AH147" s="597"/>
      <c r="AI147" s="2608">
        <f t="shared" si="138"/>
        <v>0</v>
      </c>
      <c r="AJ147" s="597"/>
      <c r="AK147" s="3397"/>
      <c r="AL147" s="597"/>
      <c r="AM147" s="1154">
        <f t="shared" si="149"/>
        <v>0</v>
      </c>
      <c r="AN147" s="597"/>
      <c r="AO147" s="2608">
        <f t="shared" si="150"/>
        <v>0</v>
      </c>
      <c r="AP147" s="597"/>
      <c r="AQ147" s="3397"/>
      <c r="AR147" s="597"/>
      <c r="AS147" s="2608">
        <f t="shared" si="139"/>
        <v>0</v>
      </c>
      <c r="AT147" s="597"/>
      <c r="AU147" s="3397"/>
      <c r="AV147" s="597"/>
      <c r="AW147" s="2608">
        <f t="shared" si="140"/>
        <v>0</v>
      </c>
      <c r="AX147" s="597"/>
      <c r="AY147" s="3397"/>
      <c r="AZ147" s="597"/>
      <c r="BA147" s="1154">
        <f t="shared" si="145"/>
        <v>0</v>
      </c>
      <c r="BB147" s="597"/>
      <c r="BC147" s="522">
        <f t="shared" si="146"/>
        <v>0</v>
      </c>
      <c r="BD147" s="597"/>
      <c r="BE147" s="256">
        <f t="shared" si="141"/>
        <v>0</v>
      </c>
      <c r="BF147" s="26"/>
      <c r="BG147" s="26"/>
      <c r="BP147" s="26"/>
      <c r="BQ147" s="26"/>
    </row>
    <row r="148" spans="2:69" hidden="1" x14ac:dyDescent="0.25">
      <c r="B148" s="1772" t="s">
        <v>1951</v>
      </c>
      <c r="C148" s="6515" t="s">
        <v>354</v>
      </c>
      <c r="D148" s="3918"/>
      <c r="E148" s="3161"/>
      <c r="F148" s="3161"/>
      <c r="G148" s="3161"/>
      <c r="H148" s="3162"/>
      <c r="I148" s="3919">
        <f t="shared" si="108"/>
        <v>0</v>
      </c>
      <c r="J148" s="3906"/>
      <c r="K148" s="3161"/>
      <c r="L148" s="597"/>
      <c r="M148" s="1154">
        <f t="shared" si="136"/>
        <v>0</v>
      </c>
      <c r="N148" s="597"/>
      <c r="O148" s="3161">
        <v>550</v>
      </c>
      <c r="P148" s="597"/>
      <c r="Q148" s="3919">
        <f t="shared" si="110"/>
        <v>550</v>
      </c>
      <c r="R148" s="597"/>
      <c r="S148" s="3161"/>
      <c r="T148" s="597"/>
      <c r="U148" s="3919">
        <f t="shared" si="111"/>
        <v>550</v>
      </c>
      <c r="V148" s="597"/>
      <c r="W148" s="3161"/>
      <c r="X148" s="597"/>
      <c r="Y148" s="1154">
        <f t="shared" si="147"/>
        <v>550</v>
      </c>
      <c r="Z148" s="597"/>
      <c r="AA148" s="522">
        <f t="shared" si="148"/>
        <v>550</v>
      </c>
      <c r="AB148" s="597"/>
      <c r="AC148" s="3397"/>
      <c r="AD148" s="597"/>
      <c r="AE148" s="2608">
        <f t="shared" si="137"/>
        <v>550</v>
      </c>
      <c r="AF148" s="597"/>
      <c r="AG148" s="3397"/>
      <c r="AH148" s="597"/>
      <c r="AI148" s="2608">
        <f t="shared" si="138"/>
        <v>550</v>
      </c>
      <c r="AJ148" s="597"/>
      <c r="AK148" s="3397"/>
      <c r="AL148" s="597"/>
      <c r="AM148" s="1154">
        <f t="shared" si="149"/>
        <v>0</v>
      </c>
      <c r="AN148" s="597"/>
      <c r="AO148" s="2608">
        <f t="shared" si="150"/>
        <v>550</v>
      </c>
      <c r="AP148" s="597"/>
      <c r="AQ148" s="3397"/>
      <c r="AR148" s="597"/>
      <c r="AS148" s="2608">
        <f t="shared" si="139"/>
        <v>550</v>
      </c>
      <c r="AT148" s="597"/>
      <c r="AU148" s="3397"/>
      <c r="AV148" s="597"/>
      <c r="AW148" s="2608">
        <f t="shared" si="140"/>
        <v>550</v>
      </c>
      <c r="AX148" s="597"/>
      <c r="AY148" s="3397"/>
      <c r="AZ148" s="597"/>
      <c r="BA148" s="1154">
        <f t="shared" si="145"/>
        <v>0</v>
      </c>
      <c r="BB148" s="597"/>
      <c r="BC148" s="522">
        <f t="shared" si="146"/>
        <v>0</v>
      </c>
      <c r="BD148" s="597"/>
      <c r="BE148" s="256">
        <f t="shared" si="141"/>
        <v>550</v>
      </c>
      <c r="BF148" s="26"/>
      <c r="BG148" s="26"/>
      <c r="BP148" s="26"/>
      <c r="BQ148" s="26"/>
    </row>
    <row r="149" spans="2:69" hidden="1" x14ac:dyDescent="0.25">
      <c r="B149" s="1772" t="s">
        <v>1950</v>
      </c>
      <c r="C149" s="6515" t="s">
        <v>354</v>
      </c>
      <c r="D149" s="3918"/>
      <c r="E149" s="3161"/>
      <c r="F149" s="3161"/>
      <c r="G149" s="3161"/>
      <c r="H149" s="3162"/>
      <c r="I149" s="3919">
        <f t="shared" si="108"/>
        <v>0</v>
      </c>
      <c r="J149" s="3906"/>
      <c r="K149" s="3161"/>
      <c r="L149" s="597"/>
      <c r="M149" s="1154">
        <f t="shared" si="136"/>
        <v>0</v>
      </c>
      <c r="N149" s="597"/>
      <c r="O149" s="3161">
        <v>550</v>
      </c>
      <c r="P149" s="597"/>
      <c r="Q149" s="3919">
        <f t="shared" si="110"/>
        <v>550</v>
      </c>
      <c r="R149" s="597"/>
      <c r="S149" s="3161"/>
      <c r="T149" s="597"/>
      <c r="U149" s="3919">
        <f t="shared" si="111"/>
        <v>550</v>
      </c>
      <c r="V149" s="597"/>
      <c r="W149" s="3161"/>
      <c r="X149" s="597"/>
      <c r="Y149" s="1154">
        <f t="shared" si="147"/>
        <v>550</v>
      </c>
      <c r="Z149" s="597"/>
      <c r="AA149" s="522">
        <f t="shared" si="148"/>
        <v>550</v>
      </c>
      <c r="AB149" s="597"/>
      <c r="AC149" s="3397"/>
      <c r="AD149" s="597"/>
      <c r="AE149" s="2608">
        <f t="shared" si="137"/>
        <v>550</v>
      </c>
      <c r="AF149" s="597"/>
      <c r="AG149" s="3397"/>
      <c r="AH149" s="597"/>
      <c r="AI149" s="2608">
        <f t="shared" si="138"/>
        <v>550</v>
      </c>
      <c r="AJ149" s="597"/>
      <c r="AK149" s="3397"/>
      <c r="AL149" s="597"/>
      <c r="AM149" s="1154">
        <f t="shared" si="149"/>
        <v>0</v>
      </c>
      <c r="AN149" s="597"/>
      <c r="AO149" s="2608">
        <f t="shared" si="150"/>
        <v>550</v>
      </c>
      <c r="AP149" s="597"/>
      <c r="AQ149" s="3397"/>
      <c r="AR149" s="597"/>
      <c r="AS149" s="2608">
        <f t="shared" si="139"/>
        <v>550</v>
      </c>
      <c r="AT149" s="597"/>
      <c r="AU149" s="3397"/>
      <c r="AV149" s="597"/>
      <c r="AW149" s="2608">
        <f t="shared" si="140"/>
        <v>550</v>
      </c>
      <c r="AX149" s="597"/>
      <c r="AY149" s="3397"/>
      <c r="AZ149" s="597"/>
      <c r="BA149" s="1154">
        <f t="shared" si="145"/>
        <v>0</v>
      </c>
      <c r="BB149" s="597"/>
      <c r="BC149" s="522">
        <f t="shared" si="146"/>
        <v>0</v>
      </c>
      <c r="BD149" s="597"/>
      <c r="BE149" s="256">
        <f t="shared" si="141"/>
        <v>550</v>
      </c>
      <c r="BF149" s="26"/>
      <c r="BG149" s="26"/>
      <c r="BP149" s="26"/>
      <c r="BQ149" s="26"/>
    </row>
    <row r="150" spans="2:69" hidden="1" x14ac:dyDescent="0.25">
      <c r="B150" s="1772" t="s">
        <v>1948</v>
      </c>
      <c r="C150" s="6515" t="s">
        <v>354</v>
      </c>
      <c r="D150" s="3918"/>
      <c r="E150" s="3161"/>
      <c r="F150" s="3161"/>
      <c r="G150" s="3161"/>
      <c r="H150" s="3162"/>
      <c r="I150" s="3919">
        <f t="shared" si="108"/>
        <v>0</v>
      </c>
      <c r="J150" s="3906"/>
      <c r="K150" s="3161"/>
      <c r="L150" s="597"/>
      <c r="M150" s="1154">
        <f t="shared" si="136"/>
        <v>0</v>
      </c>
      <c r="N150" s="597"/>
      <c r="O150" s="3161">
        <v>9.75</v>
      </c>
      <c r="P150" s="597"/>
      <c r="Q150" s="3919">
        <f t="shared" si="110"/>
        <v>9.75</v>
      </c>
      <c r="R150" s="597"/>
      <c r="S150" s="3161">
        <v>1.81</v>
      </c>
      <c r="T150" s="597"/>
      <c r="U150" s="3919">
        <f t="shared" si="111"/>
        <v>11.56</v>
      </c>
      <c r="V150" s="597"/>
      <c r="W150" s="3161">
        <v>9.77</v>
      </c>
      <c r="X150" s="597"/>
      <c r="Y150" s="1154">
        <f t="shared" si="147"/>
        <v>21.33</v>
      </c>
      <c r="Z150" s="597"/>
      <c r="AA150" s="522">
        <f t="shared" si="148"/>
        <v>21.33</v>
      </c>
      <c r="AB150" s="597"/>
      <c r="AC150" s="3397">
        <v>1.81</v>
      </c>
      <c r="AD150" s="597"/>
      <c r="AE150" s="2608">
        <f t="shared" si="137"/>
        <v>23.139999999999997</v>
      </c>
      <c r="AF150" s="597"/>
      <c r="AG150" s="3397"/>
      <c r="AH150" s="597"/>
      <c r="AI150" s="2608">
        <f t="shared" si="138"/>
        <v>23.139999999999997</v>
      </c>
      <c r="AJ150" s="597"/>
      <c r="AK150" s="3397"/>
      <c r="AL150" s="597"/>
      <c r="AM150" s="1154">
        <f t="shared" si="149"/>
        <v>1.81</v>
      </c>
      <c r="AN150" s="597"/>
      <c r="AO150" s="2608">
        <f t="shared" si="150"/>
        <v>23.139999999999997</v>
      </c>
      <c r="AP150" s="597"/>
      <c r="AQ150" s="3397"/>
      <c r="AR150" s="597"/>
      <c r="AS150" s="2608">
        <f t="shared" si="139"/>
        <v>23.139999999999997</v>
      </c>
      <c r="AT150" s="597"/>
      <c r="AU150" s="3397"/>
      <c r="AV150" s="597"/>
      <c r="AW150" s="2608">
        <f t="shared" si="140"/>
        <v>23.139999999999997</v>
      </c>
      <c r="AX150" s="597"/>
      <c r="AY150" s="3397"/>
      <c r="AZ150" s="597"/>
      <c r="BA150" s="1154">
        <f t="shared" si="145"/>
        <v>0</v>
      </c>
      <c r="BB150" s="597"/>
      <c r="BC150" s="522">
        <f t="shared" si="146"/>
        <v>1.81</v>
      </c>
      <c r="BD150" s="597"/>
      <c r="BE150" s="256">
        <f t="shared" si="141"/>
        <v>23.139999999999997</v>
      </c>
      <c r="BF150" s="26"/>
      <c r="BG150" s="26"/>
      <c r="BP150" s="26"/>
      <c r="BQ150" s="26"/>
    </row>
    <row r="151" spans="2:69" ht="15.75" hidden="1" customHeight="1" x14ac:dyDescent="0.25">
      <c r="B151" s="1772" t="s">
        <v>1453</v>
      </c>
      <c r="C151" s="6515" t="s">
        <v>354</v>
      </c>
      <c r="D151" s="3918"/>
      <c r="E151" s="3161"/>
      <c r="F151" s="3161"/>
      <c r="G151" s="3161"/>
      <c r="H151" s="3162"/>
      <c r="I151" s="3919">
        <f t="shared" si="108"/>
        <v>0</v>
      </c>
      <c r="J151" s="3906"/>
      <c r="K151" s="3161"/>
      <c r="L151" s="597"/>
      <c r="M151" s="1154">
        <f t="shared" si="136"/>
        <v>0</v>
      </c>
      <c r="N151" s="597"/>
      <c r="O151" s="3161"/>
      <c r="P151" s="597"/>
      <c r="Q151" s="3919">
        <f t="shared" si="110"/>
        <v>0</v>
      </c>
      <c r="R151" s="597"/>
      <c r="S151" s="3161"/>
      <c r="T151" s="597"/>
      <c r="U151" s="3919">
        <f t="shared" si="111"/>
        <v>0</v>
      </c>
      <c r="V151" s="597"/>
      <c r="W151" s="3161"/>
      <c r="X151" s="597"/>
      <c r="Y151" s="1154">
        <f t="shared" si="147"/>
        <v>0</v>
      </c>
      <c r="Z151" s="597"/>
      <c r="AA151" s="522">
        <f t="shared" si="148"/>
        <v>0</v>
      </c>
      <c r="AB151" s="597"/>
      <c r="AC151" s="3397"/>
      <c r="AD151" s="597"/>
      <c r="AE151" s="2608">
        <f t="shared" si="137"/>
        <v>0</v>
      </c>
      <c r="AF151" s="597"/>
      <c r="AG151" s="3397"/>
      <c r="AH151" s="597"/>
      <c r="AI151" s="2608">
        <f t="shared" si="138"/>
        <v>0</v>
      </c>
      <c r="AJ151" s="597"/>
      <c r="AK151" s="3397"/>
      <c r="AL151" s="597"/>
      <c r="AM151" s="1154">
        <f t="shared" si="149"/>
        <v>0</v>
      </c>
      <c r="AN151" s="597"/>
      <c r="AO151" s="2608">
        <f t="shared" si="150"/>
        <v>0</v>
      </c>
      <c r="AP151" s="597"/>
      <c r="AQ151" s="3397"/>
      <c r="AR151" s="597"/>
      <c r="AS151" s="2608">
        <f t="shared" si="139"/>
        <v>0</v>
      </c>
      <c r="AT151" s="597"/>
      <c r="AU151" s="3397"/>
      <c r="AV151" s="597"/>
      <c r="AW151" s="2608">
        <f t="shared" si="140"/>
        <v>0</v>
      </c>
      <c r="AX151" s="597"/>
      <c r="AY151" s="3397"/>
      <c r="AZ151" s="597"/>
      <c r="BA151" s="1154">
        <f t="shared" ref="BA151:BA160" si="151">+AQ151+AU151+AY151</f>
        <v>0</v>
      </c>
      <c r="BB151" s="597"/>
      <c r="BC151" s="522">
        <f t="shared" ref="BC151:BC160" si="152">BA151+AM151</f>
        <v>0</v>
      </c>
      <c r="BD151" s="597"/>
      <c r="BE151" s="256">
        <f t="shared" si="141"/>
        <v>0</v>
      </c>
      <c r="BF151" s="26"/>
      <c r="BG151" s="26"/>
      <c r="BP151" s="26"/>
      <c r="BQ151" s="26"/>
    </row>
    <row r="152" spans="2:69" s="5172" customFormat="1" hidden="1" x14ac:dyDescent="0.25">
      <c r="B152" s="1772" t="s">
        <v>2015</v>
      </c>
      <c r="C152" s="6515" t="s">
        <v>354</v>
      </c>
      <c r="D152" s="5441"/>
      <c r="E152" s="5442"/>
      <c r="F152" s="5442"/>
      <c r="G152" s="5442"/>
      <c r="H152" s="5443"/>
      <c r="I152" s="3919"/>
      <c r="J152" s="5444"/>
      <c r="K152" s="5442"/>
      <c r="L152" s="5442"/>
      <c r="M152" s="1154">
        <f t="shared" si="136"/>
        <v>0</v>
      </c>
      <c r="N152" s="5442"/>
      <c r="O152" s="5442"/>
      <c r="P152" s="5442"/>
      <c r="Q152" s="3919"/>
      <c r="R152" s="5442"/>
      <c r="S152" s="5442"/>
      <c r="T152" s="5442"/>
      <c r="U152" s="3919"/>
      <c r="V152" s="5442"/>
      <c r="W152" s="5442"/>
      <c r="X152" s="5442"/>
      <c r="Y152" s="1154">
        <f t="shared" si="147"/>
        <v>0</v>
      </c>
      <c r="Z152" s="597"/>
      <c r="AA152" s="522">
        <f t="shared" si="148"/>
        <v>0</v>
      </c>
      <c r="AB152" s="5442"/>
      <c r="AC152" s="5476">
        <v>49.39</v>
      </c>
      <c r="AD152" s="5442"/>
      <c r="AE152" s="2608">
        <f t="shared" si="137"/>
        <v>49.39</v>
      </c>
      <c r="AF152" s="5442"/>
      <c r="AG152" s="5476"/>
      <c r="AH152" s="5442"/>
      <c r="AI152" s="2608">
        <f t="shared" si="138"/>
        <v>49.39</v>
      </c>
      <c r="AJ152" s="5442"/>
      <c r="AK152" s="5476"/>
      <c r="AL152" s="5442"/>
      <c r="AM152" s="1154">
        <f t="shared" si="149"/>
        <v>49.39</v>
      </c>
      <c r="AN152" s="597"/>
      <c r="AO152" s="2608">
        <f t="shared" si="150"/>
        <v>49.39</v>
      </c>
      <c r="AP152" s="5442"/>
      <c r="AQ152" s="5476"/>
      <c r="AR152" s="5442"/>
      <c r="AS152" s="2608">
        <f t="shared" si="139"/>
        <v>49.39</v>
      </c>
      <c r="AT152" s="5442"/>
      <c r="AU152" s="5476"/>
      <c r="AV152" s="5442"/>
      <c r="AW152" s="2608">
        <f t="shared" si="140"/>
        <v>49.39</v>
      </c>
      <c r="AX152" s="5442"/>
      <c r="AY152" s="5476"/>
      <c r="AZ152" s="5442"/>
      <c r="BA152" s="1154">
        <f t="shared" si="151"/>
        <v>0</v>
      </c>
      <c r="BB152" s="597"/>
      <c r="BC152" s="522">
        <f t="shared" si="152"/>
        <v>49.39</v>
      </c>
      <c r="BD152" s="5442"/>
      <c r="BE152" s="256">
        <f t="shared" si="141"/>
        <v>49.39</v>
      </c>
      <c r="BF152" s="26"/>
      <c r="BG152" s="26"/>
      <c r="BP152" s="26"/>
      <c r="BQ152" s="26"/>
    </row>
    <row r="153" spans="2:69" s="4712" customFormat="1" hidden="1" x14ac:dyDescent="0.25">
      <c r="B153" s="1772" t="s">
        <v>1969</v>
      </c>
      <c r="C153" s="6515" t="s">
        <v>354</v>
      </c>
      <c r="D153" s="3918"/>
      <c r="E153" s="3161"/>
      <c r="F153" s="3161"/>
      <c r="G153" s="3161"/>
      <c r="H153" s="3162"/>
      <c r="I153" s="3919"/>
      <c r="J153" s="3906"/>
      <c r="K153" s="3161"/>
      <c r="L153" s="3161"/>
      <c r="M153" s="1154">
        <f t="shared" si="136"/>
        <v>0</v>
      </c>
      <c r="N153" s="3161"/>
      <c r="O153" s="3161"/>
      <c r="P153" s="3161"/>
      <c r="Q153" s="3919"/>
      <c r="R153" s="3161"/>
      <c r="S153" s="3161">
        <v>60</v>
      </c>
      <c r="T153" s="3161"/>
      <c r="U153" s="3919">
        <f t="shared" si="111"/>
        <v>60</v>
      </c>
      <c r="V153" s="3161"/>
      <c r="W153" s="3161"/>
      <c r="X153" s="3161"/>
      <c r="Y153" s="1154">
        <f t="shared" si="142"/>
        <v>60</v>
      </c>
      <c r="Z153" s="3161"/>
      <c r="AA153" s="522">
        <f t="shared" si="143"/>
        <v>60</v>
      </c>
      <c r="AB153" s="3161"/>
      <c r="AC153" s="3397"/>
      <c r="AD153" s="3161"/>
      <c r="AE153" s="2608">
        <f t="shared" si="137"/>
        <v>60</v>
      </c>
      <c r="AF153" s="3161"/>
      <c r="AG153" s="3397"/>
      <c r="AH153" s="3161"/>
      <c r="AI153" s="2608">
        <f t="shared" si="138"/>
        <v>60</v>
      </c>
      <c r="AJ153" s="3161"/>
      <c r="AK153" s="3397"/>
      <c r="AL153" s="3161"/>
      <c r="AM153" s="1154">
        <f t="shared" si="149"/>
        <v>0</v>
      </c>
      <c r="AN153" s="597"/>
      <c r="AO153" s="2608">
        <f t="shared" si="150"/>
        <v>60</v>
      </c>
      <c r="AP153" s="3161"/>
      <c r="AQ153" s="3397"/>
      <c r="AR153" s="3161"/>
      <c r="AS153" s="2608">
        <f t="shared" si="139"/>
        <v>60</v>
      </c>
      <c r="AT153" s="3161"/>
      <c r="AU153" s="3397"/>
      <c r="AV153" s="3161"/>
      <c r="AW153" s="2608">
        <f t="shared" si="140"/>
        <v>60</v>
      </c>
      <c r="AX153" s="3161"/>
      <c r="AY153" s="3397"/>
      <c r="AZ153" s="3161"/>
      <c r="BA153" s="1154">
        <f t="shared" si="151"/>
        <v>0</v>
      </c>
      <c r="BB153" s="597"/>
      <c r="BC153" s="522">
        <f t="shared" si="152"/>
        <v>0</v>
      </c>
      <c r="BD153" s="3161"/>
      <c r="BE153" s="256">
        <f t="shared" si="141"/>
        <v>60</v>
      </c>
      <c r="BF153" s="26"/>
      <c r="BG153" s="26"/>
      <c r="BP153" s="26"/>
      <c r="BQ153" s="26"/>
    </row>
    <row r="154" spans="2:69" s="4712" customFormat="1" hidden="1" x14ac:dyDescent="0.25">
      <c r="B154" s="1772" t="s">
        <v>1970</v>
      </c>
      <c r="C154" s="6515" t="s">
        <v>354</v>
      </c>
      <c r="D154" s="3918"/>
      <c r="E154" s="3161"/>
      <c r="F154" s="3161"/>
      <c r="G154" s="3161"/>
      <c r="H154" s="3162"/>
      <c r="I154" s="3919"/>
      <c r="J154" s="3906"/>
      <c r="K154" s="3161"/>
      <c r="L154" s="3161"/>
      <c r="M154" s="1154">
        <f t="shared" si="136"/>
        <v>0</v>
      </c>
      <c r="N154" s="3161"/>
      <c r="O154" s="3161"/>
      <c r="P154" s="3161"/>
      <c r="Q154" s="3919"/>
      <c r="R154" s="3161"/>
      <c r="S154" s="3161">
        <v>275.33300000000003</v>
      </c>
      <c r="T154" s="3161"/>
      <c r="U154" s="3919">
        <f t="shared" si="111"/>
        <v>275.33300000000003</v>
      </c>
      <c r="V154" s="3161"/>
      <c r="W154" s="3161"/>
      <c r="X154" s="3161"/>
      <c r="Y154" s="1154">
        <f t="shared" si="142"/>
        <v>275.33300000000003</v>
      </c>
      <c r="Z154" s="3161"/>
      <c r="AA154" s="522">
        <f t="shared" si="143"/>
        <v>275.33300000000003</v>
      </c>
      <c r="AB154" s="3161"/>
      <c r="AC154" s="3397"/>
      <c r="AD154" s="3161"/>
      <c r="AE154" s="2608">
        <f t="shared" si="137"/>
        <v>275.33300000000003</v>
      </c>
      <c r="AF154" s="3161"/>
      <c r="AG154" s="3397"/>
      <c r="AH154" s="3161"/>
      <c r="AI154" s="2608">
        <f t="shared" si="138"/>
        <v>275.33300000000003</v>
      </c>
      <c r="AJ154" s="3161"/>
      <c r="AK154" s="3397"/>
      <c r="AL154" s="3161"/>
      <c r="AM154" s="1154">
        <f t="shared" si="149"/>
        <v>0</v>
      </c>
      <c r="AN154" s="597"/>
      <c r="AO154" s="2608">
        <f t="shared" si="150"/>
        <v>275.33300000000003</v>
      </c>
      <c r="AP154" s="3161"/>
      <c r="AQ154" s="3397"/>
      <c r="AR154" s="3161"/>
      <c r="AS154" s="2608">
        <f t="shared" si="139"/>
        <v>275.33300000000003</v>
      </c>
      <c r="AT154" s="3161"/>
      <c r="AU154" s="3397"/>
      <c r="AV154" s="3161"/>
      <c r="AW154" s="2608">
        <f t="shared" si="140"/>
        <v>275.33300000000003</v>
      </c>
      <c r="AX154" s="3161"/>
      <c r="AY154" s="3397"/>
      <c r="AZ154" s="3161"/>
      <c r="BA154" s="1154">
        <f t="shared" si="151"/>
        <v>0</v>
      </c>
      <c r="BB154" s="597"/>
      <c r="BC154" s="522">
        <f t="shared" si="152"/>
        <v>0</v>
      </c>
      <c r="BD154" s="3161"/>
      <c r="BE154" s="256">
        <f t="shared" si="141"/>
        <v>275.33300000000003</v>
      </c>
      <c r="BF154" s="26"/>
      <c r="BG154" s="26"/>
      <c r="BP154" s="26"/>
      <c r="BQ154" s="26"/>
    </row>
    <row r="155" spans="2:69" s="4712" customFormat="1" hidden="1" x14ac:dyDescent="0.25">
      <c r="B155" s="1772" t="s">
        <v>1971</v>
      </c>
      <c r="C155" s="6515" t="s">
        <v>354</v>
      </c>
      <c r="D155" s="3918"/>
      <c r="E155" s="3161"/>
      <c r="F155" s="3161"/>
      <c r="G155" s="3161"/>
      <c r="H155" s="3162"/>
      <c r="I155" s="3919"/>
      <c r="J155" s="3906"/>
      <c r="K155" s="3161"/>
      <c r="L155" s="3161"/>
      <c r="M155" s="1154">
        <f t="shared" si="136"/>
        <v>0</v>
      </c>
      <c r="N155" s="3161"/>
      <c r="O155" s="3161"/>
      <c r="P155" s="3161"/>
      <c r="Q155" s="3919"/>
      <c r="R155" s="3161"/>
      <c r="S155" s="3161">
        <v>50</v>
      </c>
      <c r="T155" s="3161"/>
      <c r="U155" s="3919">
        <f t="shared" si="111"/>
        <v>50</v>
      </c>
      <c r="V155" s="3161"/>
      <c r="W155" s="3161"/>
      <c r="X155" s="3161"/>
      <c r="Y155" s="1154">
        <f t="shared" si="142"/>
        <v>50</v>
      </c>
      <c r="Z155" s="3161"/>
      <c r="AA155" s="522">
        <f t="shared" si="143"/>
        <v>50</v>
      </c>
      <c r="AB155" s="3161"/>
      <c r="AC155" s="3397"/>
      <c r="AD155" s="3161"/>
      <c r="AE155" s="2608">
        <f t="shared" si="137"/>
        <v>50</v>
      </c>
      <c r="AF155" s="3161"/>
      <c r="AG155" s="3397"/>
      <c r="AH155" s="3161"/>
      <c r="AI155" s="2608">
        <f t="shared" si="138"/>
        <v>50</v>
      </c>
      <c r="AJ155" s="3161"/>
      <c r="AK155" s="3397"/>
      <c r="AL155" s="3161"/>
      <c r="AM155" s="1154">
        <f t="shared" si="149"/>
        <v>0</v>
      </c>
      <c r="AN155" s="597"/>
      <c r="AO155" s="2608">
        <f t="shared" si="150"/>
        <v>50</v>
      </c>
      <c r="AP155" s="3161"/>
      <c r="AQ155" s="3397"/>
      <c r="AR155" s="3161"/>
      <c r="AS155" s="2608">
        <f t="shared" si="139"/>
        <v>50</v>
      </c>
      <c r="AT155" s="3161"/>
      <c r="AU155" s="3397"/>
      <c r="AV155" s="3161"/>
      <c r="AW155" s="2608">
        <f t="shared" si="140"/>
        <v>50</v>
      </c>
      <c r="AX155" s="3161"/>
      <c r="AY155" s="3397"/>
      <c r="AZ155" s="3161"/>
      <c r="BA155" s="1154">
        <f t="shared" si="151"/>
        <v>0</v>
      </c>
      <c r="BB155" s="597"/>
      <c r="BC155" s="522">
        <f t="shared" si="152"/>
        <v>0</v>
      </c>
      <c r="BD155" s="3161"/>
      <c r="BE155" s="256">
        <f t="shared" si="141"/>
        <v>50</v>
      </c>
      <c r="BF155" s="26"/>
      <c r="BG155" s="26"/>
      <c r="BP155" s="26"/>
      <c r="BQ155" s="26"/>
    </row>
    <row r="156" spans="2:69" s="4712" customFormat="1" hidden="1" x14ac:dyDescent="0.25">
      <c r="B156" s="1772" t="s">
        <v>1972</v>
      </c>
      <c r="C156" s="6515" t="s">
        <v>354</v>
      </c>
      <c r="D156" s="3918"/>
      <c r="E156" s="3161"/>
      <c r="F156" s="3161"/>
      <c r="G156" s="3161"/>
      <c r="H156" s="3162"/>
      <c r="I156" s="3919"/>
      <c r="J156" s="3906"/>
      <c r="K156" s="3161"/>
      <c r="L156" s="3161"/>
      <c r="M156" s="1154">
        <f t="shared" si="136"/>
        <v>0</v>
      </c>
      <c r="N156" s="3161"/>
      <c r="O156" s="3161"/>
      <c r="P156" s="3161"/>
      <c r="Q156" s="3919"/>
      <c r="R156" s="3161"/>
      <c r="S156" s="3161">
        <v>2</v>
      </c>
      <c r="T156" s="3161"/>
      <c r="U156" s="3919">
        <f t="shared" si="111"/>
        <v>2</v>
      </c>
      <c r="V156" s="3161"/>
      <c r="W156" s="3161"/>
      <c r="X156" s="3161"/>
      <c r="Y156" s="1154">
        <f t="shared" si="142"/>
        <v>2</v>
      </c>
      <c r="Z156" s="3161"/>
      <c r="AA156" s="522">
        <f t="shared" si="143"/>
        <v>2</v>
      </c>
      <c r="AB156" s="3161"/>
      <c r="AC156" s="3397"/>
      <c r="AD156" s="3161"/>
      <c r="AE156" s="2608">
        <f t="shared" si="137"/>
        <v>2</v>
      </c>
      <c r="AF156" s="3161"/>
      <c r="AG156" s="3397"/>
      <c r="AH156" s="3161"/>
      <c r="AI156" s="2608">
        <f t="shared" si="138"/>
        <v>2</v>
      </c>
      <c r="AJ156" s="3161"/>
      <c r="AK156" s="3397"/>
      <c r="AL156" s="3161"/>
      <c r="AM156" s="1154">
        <f t="shared" si="149"/>
        <v>0</v>
      </c>
      <c r="AN156" s="597"/>
      <c r="AO156" s="2608">
        <f t="shared" si="150"/>
        <v>2</v>
      </c>
      <c r="AP156" s="3161"/>
      <c r="AQ156" s="3397"/>
      <c r="AR156" s="3161"/>
      <c r="AS156" s="2608">
        <f t="shared" si="139"/>
        <v>2</v>
      </c>
      <c r="AT156" s="3161"/>
      <c r="AU156" s="3397"/>
      <c r="AV156" s="3161"/>
      <c r="AW156" s="2608">
        <f t="shared" si="140"/>
        <v>2</v>
      </c>
      <c r="AX156" s="3161"/>
      <c r="AY156" s="3397"/>
      <c r="AZ156" s="3161"/>
      <c r="BA156" s="1154">
        <f t="shared" si="151"/>
        <v>0</v>
      </c>
      <c r="BB156" s="597"/>
      <c r="BC156" s="522">
        <f t="shared" si="152"/>
        <v>0</v>
      </c>
      <c r="BD156" s="3161"/>
      <c r="BE156" s="256">
        <f t="shared" si="141"/>
        <v>2</v>
      </c>
      <c r="BF156" s="26"/>
      <c r="BG156" s="26"/>
      <c r="BP156" s="26"/>
      <c r="BQ156" s="26"/>
    </row>
    <row r="157" spans="2:69" s="4712" customFormat="1" hidden="1" x14ac:dyDescent="0.25">
      <c r="B157" s="1772" t="s">
        <v>1540</v>
      </c>
      <c r="C157" s="6515" t="s">
        <v>354</v>
      </c>
      <c r="D157" s="3918"/>
      <c r="E157" s="3161"/>
      <c r="F157" s="3161"/>
      <c r="G157" s="3161"/>
      <c r="H157" s="3162"/>
      <c r="I157" s="3919"/>
      <c r="J157" s="3906"/>
      <c r="K157" s="3161"/>
      <c r="L157" s="3161"/>
      <c r="M157" s="1154">
        <f t="shared" si="136"/>
        <v>0</v>
      </c>
      <c r="N157" s="3161"/>
      <c r="O157" s="3161"/>
      <c r="P157" s="3161"/>
      <c r="Q157" s="3919"/>
      <c r="R157" s="3161"/>
      <c r="S157" s="3161">
        <v>34</v>
      </c>
      <c r="T157" s="3161"/>
      <c r="U157" s="3919">
        <f t="shared" si="111"/>
        <v>34</v>
      </c>
      <c r="V157" s="3161"/>
      <c r="W157" s="3161"/>
      <c r="X157" s="3161"/>
      <c r="Y157" s="1154">
        <f t="shared" si="142"/>
        <v>34</v>
      </c>
      <c r="Z157" s="3161"/>
      <c r="AA157" s="522">
        <f t="shared" si="143"/>
        <v>34</v>
      </c>
      <c r="AB157" s="3161"/>
      <c r="AC157" s="3397"/>
      <c r="AD157" s="3161"/>
      <c r="AE157" s="2608">
        <f t="shared" si="137"/>
        <v>34</v>
      </c>
      <c r="AF157" s="3161"/>
      <c r="AG157" s="3397"/>
      <c r="AH157" s="3161"/>
      <c r="AI157" s="2608">
        <f t="shared" si="138"/>
        <v>34</v>
      </c>
      <c r="AJ157" s="3161"/>
      <c r="AK157" s="3397"/>
      <c r="AL157" s="3161"/>
      <c r="AM157" s="1154">
        <f t="shared" si="149"/>
        <v>0</v>
      </c>
      <c r="AN157" s="597"/>
      <c r="AO157" s="2608">
        <f t="shared" si="150"/>
        <v>34</v>
      </c>
      <c r="AP157" s="3161"/>
      <c r="AQ157" s="3397"/>
      <c r="AR157" s="3161"/>
      <c r="AS157" s="2608">
        <f t="shared" si="139"/>
        <v>34</v>
      </c>
      <c r="AT157" s="3161"/>
      <c r="AU157" s="3397"/>
      <c r="AV157" s="3161"/>
      <c r="AW157" s="2608">
        <f t="shared" si="140"/>
        <v>34</v>
      </c>
      <c r="AX157" s="3161"/>
      <c r="AY157" s="3397"/>
      <c r="AZ157" s="3161"/>
      <c r="BA157" s="1154">
        <f t="shared" si="151"/>
        <v>0</v>
      </c>
      <c r="BB157" s="597"/>
      <c r="BC157" s="522">
        <f t="shared" si="152"/>
        <v>0</v>
      </c>
      <c r="BD157" s="3161"/>
      <c r="BE157" s="256">
        <f t="shared" si="141"/>
        <v>34</v>
      </c>
      <c r="BF157" s="26"/>
      <c r="BG157" s="26"/>
      <c r="BP157" s="26"/>
      <c r="BQ157" s="26"/>
    </row>
    <row r="158" spans="2:69" s="4712" customFormat="1" hidden="1" x14ac:dyDescent="0.25">
      <c r="B158" s="1772" t="s">
        <v>1974</v>
      </c>
      <c r="C158" s="6515" t="s">
        <v>354</v>
      </c>
      <c r="D158" s="3918"/>
      <c r="E158" s="3161"/>
      <c r="F158" s="3161"/>
      <c r="G158" s="3161"/>
      <c r="H158" s="3162"/>
      <c r="I158" s="3919"/>
      <c r="J158" s="3906"/>
      <c r="K158" s="3161"/>
      <c r="L158" s="3161"/>
      <c r="M158" s="1154">
        <f t="shared" si="136"/>
        <v>0</v>
      </c>
      <c r="N158" s="3161"/>
      <c r="O158" s="3161"/>
      <c r="P158" s="3161"/>
      <c r="Q158" s="3919"/>
      <c r="R158" s="3161"/>
      <c r="S158" s="3161">
        <v>6</v>
      </c>
      <c r="T158" s="3161"/>
      <c r="U158" s="3919">
        <f t="shared" si="111"/>
        <v>6</v>
      </c>
      <c r="V158" s="3161"/>
      <c r="W158" s="3161"/>
      <c r="X158" s="3161"/>
      <c r="Y158" s="1154">
        <f t="shared" si="142"/>
        <v>6</v>
      </c>
      <c r="Z158" s="3161"/>
      <c r="AA158" s="522">
        <f t="shared" si="143"/>
        <v>6</v>
      </c>
      <c r="AB158" s="3161"/>
      <c r="AC158" s="3397"/>
      <c r="AD158" s="3161"/>
      <c r="AE158" s="2608">
        <f t="shared" si="137"/>
        <v>6</v>
      </c>
      <c r="AF158" s="3161"/>
      <c r="AG158" s="3397"/>
      <c r="AH158" s="3161"/>
      <c r="AI158" s="2608">
        <f t="shared" si="138"/>
        <v>6</v>
      </c>
      <c r="AJ158" s="3161"/>
      <c r="AK158" s="3397"/>
      <c r="AL158" s="3161"/>
      <c r="AM158" s="1154">
        <f t="shared" si="149"/>
        <v>0</v>
      </c>
      <c r="AN158" s="597"/>
      <c r="AO158" s="2608">
        <f t="shared" si="150"/>
        <v>6</v>
      </c>
      <c r="AP158" s="3161"/>
      <c r="AQ158" s="3397"/>
      <c r="AR158" s="3161"/>
      <c r="AS158" s="2608">
        <f t="shared" si="139"/>
        <v>6</v>
      </c>
      <c r="AT158" s="3161"/>
      <c r="AU158" s="3397"/>
      <c r="AV158" s="3161"/>
      <c r="AW158" s="2608">
        <f t="shared" si="140"/>
        <v>6</v>
      </c>
      <c r="AX158" s="3161"/>
      <c r="AY158" s="3397"/>
      <c r="AZ158" s="3161"/>
      <c r="BA158" s="1154">
        <f t="shared" si="151"/>
        <v>0</v>
      </c>
      <c r="BB158" s="597"/>
      <c r="BC158" s="522">
        <f t="shared" si="152"/>
        <v>0</v>
      </c>
      <c r="BD158" s="3161"/>
      <c r="BE158" s="256">
        <f t="shared" si="141"/>
        <v>6</v>
      </c>
      <c r="BF158" s="26"/>
      <c r="BG158" s="26"/>
      <c r="BP158" s="26"/>
      <c r="BQ158" s="26"/>
    </row>
    <row r="159" spans="2:69" s="4712" customFormat="1" hidden="1" x14ac:dyDescent="0.25">
      <c r="B159" s="1772" t="s">
        <v>1973</v>
      </c>
      <c r="C159" s="6515" t="s">
        <v>354</v>
      </c>
      <c r="D159" s="3918"/>
      <c r="E159" s="3161"/>
      <c r="F159" s="3161"/>
      <c r="G159" s="3161"/>
      <c r="H159" s="3162"/>
      <c r="I159" s="3919"/>
      <c r="J159" s="3906"/>
      <c r="K159" s="3161"/>
      <c r="L159" s="3161"/>
      <c r="M159" s="1154">
        <f t="shared" si="136"/>
        <v>0</v>
      </c>
      <c r="N159" s="3161"/>
      <c r="O159" s="3161"/>
      <c r="P159" s="3161"/>
      <c r="Q159" s="3919"/>
      <c r="R159" s="3161"/>
      <c r="S159" s="3161">
        <v>6</v>
      </c>
      <c r="T159" s="3161"/>
      <c r="U159" s="3919">
        <f t="shared" si="111"/>
        <v>6</v>
      </c>
      <c r="V159" s="3161"/>
      <c r="W159" s="3161"/>
      <c r="X159" s="3161"/>
      <c r="Y159" s="1154">
        <f t="shared" si="142"/>
        <v>6</v>
      </c>
      <c r="Z159" s="3161"/>
      <c r="AA159" s="522">
        <f t="shared" si="143"/>
        <v>6</v>
      </c>
      <c r="AB159" s="3161"/>
      <c r="AC159" s="3397"/>
      <c r="AD159" s="3161"/>
      <c r="AE159" s="2608">
        <f t="shared" si="137"/>
        <v>6</v>
      </c>
      <c r="AF159" s="3161"/>
      <c r="AG159" s="3397"/>
      <c r="AH159" s="3161"/>
      <c r="AI159" s="2608">
        <f t="shared" si="138"/>
        <v>6</v>
      </c>
      <c r="AJ159" s="3161"/>
      <c r="AK159" s="3397"/>
      <c r="AL159" s="3161"/>
      <c r="AM159" s="1154">
        <f t="shared" si="149"/>
        <v>0</v>
      </c>
      <c r="AN159" s="597"/>
      <c r="AO159" s="2608">
        <f t="shared" si="150"/>
        <v>6</v>
      </c>
      <c r="AP159" s="3161"/>
      <c r="AQ159" s="3397"/>
      <c r="AR159" s="3161"/>
      <c r="AS159" s="2608">
        <f t="shared" si="139"/>
        <v>6</v>
      </c>
      <c r="AT159" s="3161"/>
      <c r="AU159" s="3397"/>
      <c r="AV159" s="3161"/>
      <c r="AW159" s="2608">
        <f t="shared" si="140"/>
        <v>6</v>
      </c>
      <c r="AX159" s="3161"/>
      <c r="AY159" s="3397"/>
      <c r="AZ159" s="3161"/>
      <c r="BA159" s="1154">
        <f t="shared" si="151"/>
        <v>0</v>
      </c>
      <c r="BB159" s="597"/>
      <c r="BC159" s="522">
        <f t="shared" si="152"/>
        <v>0</v>
      </c>
      <c r="BD159" s="3161"/>
      <c r="BE159" s="256">
        <f t="shared" si="141"/>
        <v>6</v>
      </c>
      <c r="BF159" s="26"/>
      <c r="BG159" s="26"/>
      <c r="BP159" s="26"/>
      <c r="BQ159" s="26"/>
    </row>
    <row r="160" spans="2:69" s="4712" customFormat="1" hidden="1" x14ac:dyDescent="0.25">
      <c r="B160" s="1772" t="s">
        <v>1975</v>
      </c>
      <c r="C160" s="6515" t="s">
        <v>354</v>
      </c>
      <c r="D160" s="3918"/>
      <c r="E160" s="3161"/>
      <c r="F160" s="3161"/>
      <c r="G160" s="3161"/>
      <c r="H160" s="3162"/>
      <c r="I160" s="3919"/>
      <c r="J160" s="3906"/>
      <c r="K160" s="3161"/>
      <c r="L160" s="3161"/>
      <c r="M160" s="1154">
        <f t="shared" si="136"/>
        <v>0</v>
      </c>
      <c r="N160" s="3161"/>
      <c r="O160" s="3161"/>
      <c r="P160" s="3161"/>
      <c r="Q160" s="3919"/>
      <c r="R160" s="3161"/>
      <c r="S160" s="3161">
        <v>100</v>
      </c>
      <c r="T160" s="3161"/>
      <c r="U160" s="3919">
        <f t="shared" si="111"/>
        <v>100</v>
      </c>
      <c r="V160" s="3161"/>
      <c r="W160" s="3161"/>
      <c r="X160" s="3161"/>
      <c r="Y160" s="1154">
        <f t="shared" si="142"/>
        <v>100</v>
      </c>
      <c r="Z160" s="3161"/>
      <c r="AA160" s="522">
        <f t="shared" si="143"/>
        <v>100</v>
      </c>
      <c r="AB160" s="3161"/>
      <c r="AC160" s="3397"/>
      <c r="AD160" s="3161"/>
      <c r="AE160" s="2608">
        <f t="shared" si="137"/>
        <v>100</v>
      </c>
      <c r="AF160" s="3161"/>
      <c r="AG160" s="3397"/>
      <c r="AH160" s="3161"/>
      <c r="AI160" s="2608">
        <f t="shared" si="138"/>
        <v>100</v>
      </c>
      <c r="AJ160" s="3161"/>
      <c r="AK160" s="3397"/>
      <c r="AL160" s="3161"/>
      <c r="AM160" s="1154">
        <f t="shared" si="149"/>
        <v>0</v>
      </c>
      <c r="AN160" s="597"/>
      <c r="AO160" s="2608">
        <f t="shared" si="150"/>
        <v>100</v>
      </c>
      <c r="AP160" s="3161"/>
      <c r="AQ160" s="3397"/>
      <c r="AR160" s="3161"/>
      <c r="AS160" s="2608">
        <f t="shared" si="139"/>
        <v>100</v>
      </c>
      <c r="AT160" s="3161"/>
      <c r="AU160" s="3397"/>
      <c r="AV160" s="3161"/>
      <c r="AW160" s="2608">
        <f t="shared" si="140"/>
        <v>100</v>
      </c>
      <c r="AX160" s="3161"/>
      <c r="AY160" s="3397"/>
      <c r="AZ160" s="3161"/>
      <c r="BA160" s="1154">
        <f t="shared" si="151"/>
        <v>0</v>
      </c>
      <c r="BB160" s="597"/>
      <c r="BC160" s="522">
        <f t="shared" si="152"/>
        <v>0</v>
      </c>
      <c r="BD160" s="3161"/>
      <c r="BE160" s="256">
        <f t="shared" si="141"/>
        <v>100</v>
      </c>
      <c r="BF160" s="26"/>
      <c r="BG160" s="26"/>
      <c r="BP160" s="26"/>
      <c r="BQ160" s="26"/>
    </row>
    <row r="161" spans="2:69" s="2635" customFormat="1" hidden="1" x14ac:dyDescent="0.25">
      <c r="B161" s="1772" t="s">
        <v>1768</v>
      </c>
      <c r="C161" s="6515" t="s">
        <v>354</v>
      </c>
      <c r="D161" s="3918"/>
      <c r="E161" s="3161"/>
      <c r="F161" s="3161"/>
      <c r="G161" s="3161"/>
      <c r="H161" s="3162"/>
      <c r="I161" s="3919">
        <f t="shared" si="108"/>
        <v>0</v>
      </c>
      <c r="J161" s="3906"/>
      <c r="K161" s="3161"/>
      <c r="L161" s="597"/>
      <c r="M161" s="1154">
        <f t="shared" si="136"/>
        <v>0</v>
      </c>
      <c r="N161" s="597"/>
      <c r="O161" s="3161"/>
      <c r="P161" s="597"/>
      <c r="Q161" s="3919">
        <f t="shared" si="110"/>
        <v>0</v>
      </c>
      <c r="R161" s="597"/>
      <c r="S161" s="3161"/>
      <c r="T161" s="597"/>
      <c r="U161" s="3919">
        <f t="shared" si="111"/>
        <v>0</v>
      </c>
      <c r="V161" s="597"/>
      <c r="W161" s="3161">
        <v>1470</v>
      </c>
      <c r="X161" s="597"/>
      <c r="Y161" s="1154">
        <f t="shared" si="142"/>
        <v>1470</v>
      </c>
      <c r="Z161" s="597"/>
      <c r="AA161" s="522">
        <f t="shared" si="143"/>
        <v>1470</v>
      </c>
      <c r="AB161" s="597"/>
      <c r="AC161" s="3397"/>
      <c r="AD161" s="597"/>
      <c r="AE161" s="2608">
        <f t="shared" si="137"/>
        <v>1470</v>
      </c>
      <c r="AF161" s="597"/>
      <c r="AG161" s="3397"/>
      <c r="AH161" s="597"/>
      <c r="AI161" s="2608">
        <f t="shared" si="138"/>
        <v>1470</v>
      </c>
      <c r="AJ161" s="597"/>
      <c r="AK161" s="3397"/>
      <c r="AL161" s="597"/>
      <c r="AM161" s="1154">
        <f t="shared" si="149"/>
        <v>0</v>
      </c>
      <c r="AN161" s="597"/>
      <c r="AO161" s="2608">
        <f t="shared" si="150"/>
        <v>1470</v>
      </c>
      <c r="AP161" s="597"/>
      <c r="AQ161" s="3397"/>
      <c r="AR161" s="597"/>
      <c r="AS161" s="2608">
        <f t="shared" si="139"/>
        <v>1470</v>
      </c>
      <c r="AT161" s="597"/>
      <c r="AU161" s="3397"/>
      <c r="AV161" s="597"/>
      <c r="AW161" s="2608">
        <f t="shared" si="140"/>
        <v>1470</v>
      </c>
      <c r="AX161" s="597"/>
      <c r="AY161" s="3397"/>
      <c r="AZ161" s="597"/>
      <c r="BA161" s="1154">
        <f t="shared" si="145"/>
        <v>0</v>
      </c>
      <c r="BB161" s="597"/>
      <c r="BC161" s="522">
        <f t="shared" ref="BC161:BC162" si="153">BA161+AM161</f>
        <v>0</v>
      </c>
      <c r="BD161" s="597"/>
      <c r="BE161" s="256">
        <f t="shared" si="141"/>
        <v>1470</v>
      </c>
      <c r="BF161" s="26"/>
      <c r="BG161" s="26"/>
      <c r="BP161" s="26"/>
      <c r="BQ161" s="26"/>
    </row>
    <row r="162" spans="2:69" s="3078" customFormat="1" hidden="1" x14ac:dyDescent="0.25">
      <c r="B162" s="1772" t="s">
        <v>1769</v>
      </c>
      <c r="C162" s="6515" t="s">
        <v>354</v>
      </c>
      <c r="D162" s="3918"/>
      <c r="E162" s="3161"/>
      <c r="F162" s="3161"/>
      <c r="G162" s="3161"/>
      <c r="H162" s="3162"/>
      <c r="I162" s="3919">
        <f t="shared" si="108"/>
        <v>0</v>
      </c>
      <c r="J162" s="3906"/>
      <c r="K162" s="3161"/>
      <c r="L162" s="2879"/>
      <c r="M162" s="1154">
        <f t="shared" si="136"/>
        <v>0</v>
      </c>
      <c r="N162" s="2879"/>
      <c r="O162" s="3161"/>
      <c r="P162" s="2879"/>
      <c r="Q162" s="3919">
        <f t="shared" si="110"/>
        <v>0</v>
      </c>
      <c r="R162" s="2879"/>
      <c r="S162" s="3161"/>
      <c r="T162" s="2879"/>
      <c r="U162" s="3919">
        <f t="shared" si="111"/>
        <v>0</v>
      </c>
      <c r="V162" s="2879"/>
      <c r="W162" s="3161">
        <v>100</v>
      </c>
      <c r="X162" s="2879"/>
      <c r="Y162" s="2886">
        <f t="shared" si="142"/>
        <v>100</v>
      </c>
      <c r="Z162" s="597"/>
      <c r="AA162" s="522">
        <f t="shared" si="143"/>
        <v>100</v>
      </c>
      <c r="AB162" s="2879"/>
      <c r="AC162" s="3397"/>
      <c r="AD162" s="2879"/>
      <c r="AE162" s="2608">
        <f t="shared" si="137"/>
        <v>100</v>
      </c>
      <c r="AF162" s="2879"/>
      <c r="AG162" s="3397"/>
      <c r="AH162" s="2879"/>
      <c r="AI162" s="2608">
        <f t="shared" si="138"/>
        <v>100</v>
      </c>
      <c r="AJ162" s="2879"/>
      <c r="AK162" s="3397"/>
      <c r="AL162" s="2879"/>
      <c r="AM162" s="1154">
        <f t="shared" si="149"/>
        <v>0</v>
      </c>
      <c r="AN162" s="597"/>
      <c r="AO162" s="2608">
        <f t="shared" si="150"/>
        <v>100</v>
      </c>
      <c r="AP162" s="2879"/>
      <c r="AQ162" s="3397"/>
      <c r="AR162" s="2879"/>
      <c r="AS162" s="2608">
        <f t="shared" si="139"/>
        <v>100</v>
      </c>
      <c r="AT162" s="2879"/>
      <c r="AU162" s="3397"/>
      <c r="AV162" s="2879"/>
      <c r="AW162" s="2608">
        <f t="shared" si="140"/>
        <v>100</v>
      </c>
      <c r="AX162" s="2879"/>
      <c r="AY162" s="3397"/>
      <c r="AZ162" s="2879"/>
      <c r="BA162" s="2886">
        <f t="shared" si="145"/>
        <v>0</v>
      </c>
      <c r="BB162" s="597"/>
      <c r="BC162" s="522">
        <f t="shared" si="153"/>
        <v>0</v>
      </c>
      <c r="BD162" s="597"/>
      <c r="BE162" s="256">
        <f t="shared" si="141"/>
        <v>100</v>
      </c>
      <c r="BF162" s="26"/>
      <c r="BG162" s="26"/>
      <c r="BP162" s="26"/>
      <c r="BQ162" s="26"/>
    </row>
    <row r="163" spans="2:69" hidden="1" x14ac:dyDescent="0.25">
      <c r="B163" s="1772" t="s">
        <v>1770</v>
      </c>
      <c r="C163" s="6515" t="s">
        <v>354</v>
      </c>
      <c r="D163" s="3918"/>
      <c r="E163" s="3161"/>
      <c r="F163" s="3161"/>
      <c r="G163" s="3161"/>
      <c r="H163" s="3162"/>
      <c r="I163" s="3919">
        <f t="shared" si="108"/>
        <v>0</v>
      </c>
      <c r="J163" s="3906"/>
      <c r="K163" s="3161"/>
      <c r="L163" s="597"/>
      <c r="M163" s="1154">
        <f t="shared" si="136"/>
        <v>0</v>
      </c>
      <c r="N163" s="597"/>
      <c r="O163" s="3161"/>
      <c r="P163" s="597"/>
      <c r="Q163" s="3919">
        <f t="shared" si="110"/>
        <v>0</v>
      </c>
      <c r="R163" s="597"/>
      <c r="S163" s="3161"/>
      <c r="T163" s="597"/>
      <c r="U163" s="3919">
        <f t="shared" si="111"/>
        <v>0</v>
      </c>
      <c r="V163" s="597"/>
      <c r="W163" s="3161"/>
      <c r="X163" s="597"/>
      <c r="Y163" s="1154">
        <f t="shared" si="142"/>
        <v>0</v>
      </c>
      <c r="Z163" s="597"/>
      <c r="AA163" s="522">
        <f t="shared" si="143"/>
        <v>0</v>
      </c>
      <c r="AB163" s="597"/>
      <c r="AC163" s="3397"/>
      <c r="AD163" s="597"/>
      <c r="AE163" s="2608">
        <f t="shared" si="137"/>
        <v>0</v>
      </c>
      <c r="AF163" s="597"/>
      <c r="AG163" s="3397"/>
      <c r="AH163" s="597"/>
      <c r="AI163" s="2608">
        <f t="shared" si="138"/>
        <v>0</v>
      </c>
      <c r="AJ163" s="597"/>
      <c r="AK163" s="3397"/>
      <c r="AL163" s="597"/>
      <c r="AM163" s="1154">
        <f t="shared" si="149"/>
        <v>0</v>
      </c>
      <c r="AN163" s="597"/>
      <c r="AO163" s="2608">
        <f t="shared" si="150"/>
        <v>0</v>
      </c>
      <c r="AP163" s="597"/>
      <c r="AQ163" s="3397"/>
      <c r="AR163" s="597"/>
      <c r="AS163" s="2608">
        <f t="shared" si="139"/>
        <v>0</v>
      </c>
      <c r="AT163" s="597"/>
      <c r="AU163" s="3397"/>
      <c r="AV163" s="597"/>
      <c r="AW163" s="2608">
        <f t="shared" si="140"/>
        <v>0</v>
      </c>
      <c r="AX163" s="597"/>
      <c r="AY163" s="3397"/>
      <c r="AZ163" s="597"/>
      <c r="BA163" s="1154">
        <f t="shared" si="145"/>
        <v>0</v>
      </c>
      <c r="BB163" s="597"/>
      <c r="BC163" s="522">
        <f t="shared" ref="BC163" si="154">BA163+AM163</f>
        <v>0</v>
      </c>
      <c r="BD163" s="597"/>
      <c r="BE163" s="256">
        <f t="shared" ref="BE163" si="155">+AW163+AY163</f>
        <v>0</v>
      </c>
      <c r="BF163" s="26"/>
      <c r="BG163" s="26"/>
      <c r="BP163" s="26"/>
      <c r="BQ163" s="26"/>
    </row>
    <row r="164" spans="2:69" hidden="1" x14ac:dyDescent="0.25">
      <c r="B164" s="1772" t="s">
        <v>881</v>
      </c>
      <c r="C164" s="6515" t="s">
        <v>354</v>
      </c>
      <c r="D164" s="3918"/>
      <c r="E164" s="3161"/>
      <c r="F164" s="3161"/>
      <c r="G164" s="3161"/>
      <c r="H164" s="3162"/>
      <c r="I164" s="3919">
        <f t="shared" si="108"/>
        <v>0</v>
      </c>
      <c r="J164" s="3906"/>
      <c r="K164" s="3161"/>
      <c r="L164" s="597"/>
      <c r="M164" s="1154">
        <f t="shared" si="136"/>
        <v>0</v>
      </c>
      <c r="N164" s="597"/>
      <c r="O164" s="3161"/>
      <c r="P164" s="597"/>
      <c r="Q164" s="3919">
        <f t="shared" si="110"/>
        <v>0</v>
      </c>
      <c r="R164" s="597"/>
      <c r="S164" s="3161"/>
      <c r="T164" s="597"/>
      <c r="U164" s="3919">
        <f t="shared" si="111"/>
        <v>0</v>
      </c>
      <c r="V164" s="597"/>
      <c r="W164" s="3819">
        <v>0.4</v>
      </c>
      <c r="X164" s="597"/>
      <c r="Y164" s="1154">
        <f t="shared" si="142"/>
        <v>0.4</v>
      </c>
      <c r="Z164" s="597"/>
      <c r="AA164" s="818">
        <f t="shared" si="143"/>
        <v>0.4</v>
      </c>
      <c r="AB164" s="597"/>
      <c r="AC164" s="3396"/>
      <c r="AD164" s="597"/>
      <c r="AE164" s="2608">
        <f t="shared" si="137"/>
        <v>0.4</v>
      </c>
      <c r="AF164" s="597"/>
      <c r="AG164" s="3396"/>
      <c r="AH164" s="597"/>
      <c r="AI164" s="2608">
        <f t="shared" si="138"/>
        <v>0.4</v>
      </c>
      <c r="AJ164" s="597"/>
      <c r="AK164" s="3396">
        <v>38.53</v>
      </c>
      <c r="AL164" s="597"/>
      <c r="AM164" s="1154">
        <f t="shared" si="149"/>
        <v>38.53</v>
      </c>
      <c r="AN164" s="597"/>
      <c r="AO164" s="2608">
        <f t="shared" si="150"/>
        <v>38.93</v>
      </c>
      <c r="AP164" s="597"/>
      <c r="AQ164" s="3396"/>
      <c r="AR164" s="597"/>
      <c r="AS164" s="2608">
        <f t="shared" si="139"/>
        <v>38.93</v>
      </c>
      <c r="AT164" s="597"/>
      <c r="AU164" s="3396"/>
      <c r="AV164" s="597"/>
      <c r="AW164" s="2608">
        <f t="shared" si="140"/>
        <v>38.93</v>
      </c>
      <c r="AX164" s="597"/>
      <c r="AY164" s="3396"/>
      <c r="AZ164" s="597"/>
      <c r="BA164" s="1154">
        <f t="shared" si="145"/>
        <v>0</v>
      </c>
      <c r="BB164" s="597"/>
      <c r="BC164" s="522">
        <f t="shared" si="146"/>
        <v>38.53</v>
      </c>
      <c r="BD164" s="597"/>
      <c r="BE164" s="256">
        <f>+AW164+AY164</f>
        <v>38.93</v>
      </c>
      <c r="BF164" s="26"/>
      <c r="BG164" s="26"/>
      <c r="BP164" s="26"/>
      <c r="BQ164" s="26"/>
    </row>
    <row r="165" spans="2:69" hidden="1" x14ac:dyDescent="0.25">
      <c r="B165" s="1772" t="s">
        <v>1454</v>
      </c>
      <c r="C165" s="6515" t="s">
        <v>354</v>
      </c>
      <c r="D165" s="3918"/>
      <c r="E165" s="3161"/>
      <c r="F165" s="3161"/>
      <c r="G165" s="3161"/>
      <c r="H165" s="3162"/>
      <c r="I165" s="3919">
        <f t="shared" si="108"/>
        <v>0</v>
      </c>
      <c r="J165" s="3906"/>
      <c r="K165" s="3161"/>
      <c r="L165" s="597"/>
      <c r="M165" s="1154">
        <f t="shared" si="136"/>
        <v>0</v>
      </c>
      <c r="N165" s="597"/>
      <c r="O165" s="3161"/>
      <c r="P165" s="597"/>
      <c r="Q165" s="3919">
        <f t="shared" si="110"/>
        <v>0</v>
      </c>
      <c r="R165" s="597"/>
      <c r="S165" s="3161"/>
      <c r="T165" s="597"/>
      <c r="U165" s="3919">
        <f t="shared" si="111"/>
        <v>0</v>
      </c>
      <c r="V165" s="597"/>
      <c r="W165" s="3161"/>
      <c r="X165" s="597"/>
      <c r="Y165" s="1154">
        <f t="shared" si="142"/>
        <v>0</v>
      </c>
      <c r="Z165" s="597"/>
      <c r="AA165" s="522">
        <f t="shared" si="143"/>
        <v>0</v>
      </c>
      <c r="AB165" s="597"/>
      <c r="AC165" s="3397"/>
      <c r="AD165" s="597"/>
      <c r="AE165" s="2608">
        <f t="shared" si="137"/>
        <v>0</v>
      </c>
      <c r="AF165" s="597"/>
      <c r="AG165" s="3397"/>
      <c r="AH165" s="597"/>
      <c r="AI165" s="2608">
        <f t="shared" si="138"/>
        <v>0</v>
      </c>
      <c r="AJ165" s="597"/>
      <c r="AK165" s="3397"/>
      <c r="AL165" s="597"/>
      <c r="AM165" s="1154">
        <f t="shared" si="149"/>
        <v>0</v>
      </c>
      <c r="AN165" s="597"/>
      <c r="AO165" s="2608">
        <f t="shared" si="150"/>
        <v>0</v>
      </c>
      <c r="AP165" s="597"/>
      <c r="AQ165" s="3397"/>
      <c r="AR165" s="597"/>
      <c r="AS165" s="2608">
        <f t="shared" si="139"/>
        <v>0</v>
      </c>
      <c r="AT165" s="597"/>
      <c r="AU165" s="3397"/>
      <c r="AV165" s="597"/>
      <c r="AW165" s="2608">
        <f t="shared" si="140"/>
        <v>0</v>
      </c>
      <c r="AX165" s="597"/>
      <c r="AY165" s="3397"/>
      <c r="AZ165" s="597"/>
      <c r="BA165" s="1154">
        <f t="shared" si="145"/>
        <v>0</v>
      </c>
      <c r="BB165" s="597"/>
      <c r="BC165" s="522">
        <f t="shared" si="146"/>
        <v>0</v>
      </c>
      <c r="BD165" s="597"/>
      <c r="BE165" s="256">
        <f t="shared" ref="BE165:BE185" si="156">+AW165+AY165</f>
        <v>0</v>
      </c>
      <c r="BF165" s="26"/>
      <c r="BG165" s="26"/>
      <c r="BP165" s="26"/>
      <c r="BQ165" s="26"/>
    </row>
    <row r="166" spans="2:69" s="2256" customFormat="1" hidden="1" x14ac:dyDescent="0.25">
      <c r="B166" s="1772" t="s">
        <v>1949</v>
      </c>
      <c r="C166" s="6515" t="s">
        <v>354</v>
      </c>
      <c r="D166" s="3918"/>
      <c r="E166" s="3161"/>
      <c r="F166" s="3161"/>
      <c r="G166" s="3161"/>
      <c r="H166" s="3162"/>
      <c r="I166" s="3919">
        <f t="shared" si="108"/>
        <v>0</v>
      </c>
      <c r="J166" s="3906"/>
      <c r="K166" s="3161"/>
      <c r="L166" s="597"/>
      <c r="M166" s="1154">
        <f t="shared" si="136"/>
        <v>0</v>
      </c>
      <c r="N166" s="597"/>
      <c r="O166" s="3161">
        <v>39.119999999999997</v>
      </c>
      <c r="P166" s="597"/>
      <c r="Q166" s="3919">
        <f t="shared" si="110"/>
        <v>39.119999999999997</v>
      </c>
      <c r="R166" s="597"/>
      <c r="S166" s="3161"/>
      <c r="T166" s="597"/>
      <c r="U166" s="3919">
        <f t="shared" si="111"/>
        <v>39.119999999999997</v>
      </c>
      <c r="V166" s="597"/>
      <c r="W166" s="3161"/>
      <c r="X166" s="597"/>
      <c r="Y166" s="1154">
        <f t="shared" si="142"/>
        <v>39.119999999999997</v>
      </c>
      <c r="Z166" s="597"/>
      <c r="AA166" s="522">
        <f t="shared" si="143"/>
        <v>39.119999999999997</v>
      </c>
      <c r="AB166" s="597"/>
      <c r="AC166" s="3397"/>
      <c r="AD166" s="597"/>
      <c r="AE166" s="2608">
        <f t="shared" si="137"/>
        <v>39.119999999999997</v>
      </c>
      <c r="AF166" s="597"/>
      <c r="AG166" s="3397"/>
      <c r="AH166" s="597"/>
      <c r="AI166" s="2608">
        <f t="shared" ref="AI166:AI185" si="157">+AE166+AG166</f>
        <v>39.119999999999997</v>
      </c>
      <c r="AJ166" s="597"/>
      <c r="AK166" s="3397"/>
      <c r="AL166" s="597"/>
      <c r="AM166" s="1154">
        <f t="shared" si="149"/>
        <v>0</v>
      </c>
      <c r="AN166" s="597"/>
      <c r="AO166" s="2608">
        <f t="shared" si="150"/>
        <v>39.119999999999997</v>
      </c>
      <c r="AP166" s="597"/>
      <c r="AQ166" s="3397"/>
      <c r="AR166" s="597"/>
      <c r="AS166" s="2608">
        <f t="shared" si="139"/>
        <v>39.119999999999997</v>
      </c>
      <c r="AT166" s="597"/>
      <c r="AU166" s="3397"/>
      <c r="AV166" s="597"/>
      <c r="AW166" s="2608">
        <f t="shared" si="140"/>
        <v>39.119999999999997</v>
      </c>
      <c r="AX166" s="597"/>
      <c r="AY166" s="3397"/>
      <c r="AZ166" s="597"/>
      <c r="BA166" s="1154">
        <f t="shared" si="145"/>
        <v>0</v>
      </c>
      <c r="BB166" s="597"/>
      <c r="BC166" s="522">
        <f t="shared" si="146"/>
        <v>0</v>
      </c>
      <c r="BD166" s="597"/>
      <c r="BE166" s="256">
        <f t="shared" si="156"/>
        <v>39.119999999999997</v>
      </c>
      <c r="BF166" s="26"/>
      <c r="BG166" s="26"/>
      <c r="BP166" s="26"/>
      <c r="BQ166" s="26"/>
    </row>
    <row r="167" spans="2:69" hidden="1" x14ac:dyDescent="0.25">
      <c r="B167" s="1772" t="s">
        <v>1491</v>
      </c>
      <c r="C167" s="6515" t="s">
        <v>354</v>
      </c>
      <c r="D167" s="3918"/>
      <c r="E167" s="3161"/>
      <c r="F167" s="3161"/>
      <c r="G167" s="3161"/>
      <c r="H167" s="3162"/>
      <c r="I167" s="3919">
        <f t="shared" si="108"/>
        <v>0</v>
      </c>
      <c r="J167" s="3906"/>
      <c r="K167" s="3161"/>
      <c r="L167" s="597"/>
      <c r="M167" s="1154">
        <f t="shared" si="136"/>
        <v>0</v>
      </c>
      <c r="N167" s="597"/>
      <c r="O167" s="3161"/>
      <c r="P167" s="597"/>
      <c r="Q167" s="3919">
        <f t="shared" si="110"/>
        <v>0</v>
      </c>
      <c r="R167" s="597"/>
      <c r="S167" s="3161"/>
      <c r="T167" s="597"/>
      <c r="U167" s="3919">
        <f t="shared" si="111"/>
        <v>0</v>
      </c>
      <c r="V167" s="597"/>
      <c r="W167" s="3161"/>
      <c r="X167" s="597"/>
      <c r="Y167" s="1154">
        <f t="shared" si="142"/>
        <v>0</v>
      </c>
      <c r="Z167" s="597"/>
      <c r="AA167" s="522">
        <f t="shared" si="143"/>
        <v>0</v>
      </c>
      <c r="AB167" s="597"/>
      <c r="AC167" s="3397"/>
      <c r="AD167" s="597"/>
      <c r="AE167" s="2608">
        <f t="shared" si="137"/>
        <v>0</v>
      </c>
      <c r="AF167" s="597"/>
      <c r="AG167" s="3397"/>
      <c r="AH167" s="597"/>
      <c r="AI167" s="2608">
        <f t="shared" si="157"/>
        <v>0</v>
      </c>
      <c r="AJ167" s="597"/>
      <c r="AK167" s="3397"/>
      <c r="AL167" s="597"/>
      <c r="AM167" s="1154">
        <f t="shared" si="149"/>
        <v>0</v>
      </c>
      <c r="AN167" s="597"/>
      <c r="AO167" s="2608">
        <f t="shared" si="150"/>
        <v>0</v>
      </c>
      <c r="AP167" s="597"/>
      <c r="AQ167" s="3397"/>
      <c r="AR167" s="597"/>
      <c r="AS167" s="2608">
        <f t="shared" si="139"/>
        <v>0</v>
      </c>
      <c r="AT167" s="597"/>
      <c r="AU167" s="3397"/>
      <c r="AV167" s="597"/>
      <c r="AW167" s="2608">
        <f t="shared" si="140"/>
        <v>0</v>
      </c>
      <c r="AX167" s="597"/>
      <c r="AY167" s="3397"/>
      <c r="AZ167" s="597"/>
      <c r="BA167" s="1154">
        <f t="shared" si="145"/>
        <v>0</v>
      </c>
      <c r="BB167" s="597"/>
      <c r="BC167" s="522">
        <f t="shared" si="146"/>
        <v>0</v>
      </c>
      <c r="BD167" s="597"/>
      <c r="BE167" s="256">
        <f t="shared" si="156"/>
        <v>0</v>
      </c>
      <c r="BF167" s="26"/>
      <c r="BG167" s="26"/>
      <c r="BP167" s="26"/>
      <c r="BQ167" s="26"/>
    </row>
    <row r="168" spans="2:69" s="2757" customFormat="1" hidden="1" x14ac:dyDescent="0.25">
      <c r="B168" s="1772" t="s">
        <v>2158</v>
      </c>
      <c r="C168" s="6515" t="s">
        <v>354</v>
      </c>
      <c r="D168" s="3918"/>
      <c r="E168" s="3161"/>
      <c r="F168" s="3161"/>
      <c r="G168" s="3161"/>
      <c r="H168" s="3162"/>
      <c r="I168" s="3919">
        <f t="shared" si="108"/>
        <v>0</v>
      </c>
      <c r="J168" s="3906"/>
      <c r="K168" s="3161"/>
      <c r="L168" s="597"/>
      <c r="M168" s="1154">
        <f t="shared" si="136"/>
        <v>0</v>
      </c>
      <c r="N168" s="597"/>
      <c r="O168" s="3161"/>
      <c r="P168" s="597"/>
      <c r="Q168" s="3919">
        <f t="shared" si="110"/>
        <v>0</v>
      </c>
      <c r="R168" s="597"/>
      <c r="S168" s="3161"/>
      <c r="T168" s="597"/>
      <c r="U168" s="3919">
        <f t="shared" si="111"/>
        <v>0</v>
      </c>
      <c r="V168" s="597"/>
      <c r="W168" s="3161"/>
      <c r="X168" s="597"/>
      <c r="Y168" s="1154">
        <f t="shared" si="142"/>
        <v>0</v>
      </c>
      <c r="Z168" s="597"/>
      <c r="AA168" s="522">
        <f t="shared" si="143"/>
        <v>0</v>
      </c>
      <c r="AB168" s="597"/>
      <c r="AC168" s="3397"/>
      <c r="AD168" s="597"/>
      <c r="AE168" s="2608">
        <f t="shared" si="137"/>
        <v>0</v>
      </c>
      <c r="AF168" s="597"/>
      <c r="AG168" s="3397"/>
      <c r="AH168" s="597"/>
      <c r="AI168" s="2608">
        <f t="shared" si="157"/>
        <v>0</v>
      </c>
      <c r="AJ168" s="597"/>
      <c r="AK168" s="3397"/>
      <c r="AL168" s="597"/>
      <c r="AM168" s="1154">
        <f t="shared" si="149"/>
        <v>0</v>
      </c>
      <c r="AN168" s="597"/>
      <c r="AO168" s="2608">
        <f t="shared" si="150"/>
        <v>0</v>
      </c>
      <c r="AP168" s="597"/>
      <c r="AQ168" s="3397"/>
      <c r="AR168" s="597"/>
      <c r="AS168" s="2608">
        <f t="shared" si="139"/>
        <v>0</v>
      </c>
      <c r="AT168" s="597"/>
      <c r="AU168" s="3397">
        <v>1</v>
      </c>
      <c r="AV168" s="597"/>
      <c r="AW168" s="2608">
        <f t="shared" si="140"/>
        <v>1</v>
      </c>
      <c r="AX168" s="597"/>
      <c r="AY168" s="3397"/>
      <c r="AZ168" s="597"/>
      <c r="BA168" s="1154">
        <f t="shared" si="145"/>
        <v>1</v>
      </c>
      <c r="BB168" s="597"/>
      <c r="BC168" s="522">
        <f t="shared" si="146"/>
        <v>1</v>
      </c>
      <c r="BD168" s="597"/>
      <c r="BE168" s="256">
        <f t="shared" si="156"/>
        <v>1</v>
      </c>
      <c r="BF168" s="26"/>
      <c r="BG168" s="26"/>
      <c r="BP168" s="26"/>
      <c r="BQ168" s="26"/>
    </row>
    <row r="169" spans="2:69" hidden="1" x14ac:dyDescent="0.25">
      <c r="B169" s="1772" t="s">
        <v>2157</v>
      </c>
      <c r="C169" s="6515" t="s">
        <v>354</v>
      </c>
      <c r="D169" s="3918"/>
      <c r="E169" s="3161"/>
      <c r="F169" s="3161"/>
      <c r="G169" s="3161"/>
      <c r="H169" s="3162"/>
      <c r="I169" s="3919">
        <f t="shared" si="108"/>
        <v>0</v>
      </c>
      <c r="J169" s="3906"/>
      <c r="K169" s="3161"/>
      <c r="L169" s="597"/>
      <c r="M169" s="1154">
        <f t="shared" si="136"/>
        <v>0</v>
      </c>
      <c r="N169" s="597"/>
      <c r="O169" s="3161"/>
      <c r="P169" s="597"/>
      <c r="Q169" s="3919">
        <f t="shared" si="110"/>
        <v>0</v>
      </c>
      <c r="R169" s="597"/>
      <c r="S169" s="3161"/>
      <c r="T169" s="597"/>
      <c r="U169" s="3919">
        <f t="shared" si="111"/>
        <v>0</v>
      </c>
      <c r="V169" s="597"/>
      <c r="W169" s="3161"/>
      <c r="X169" s="597"/>
      <c r="Y169" s="1154">
        <f t="shared" si="142"/>
        <v>0</v>
      </c>
      <c r="Z169" s="597"/>
      <c r="AA169" s="522">
        <f t="shared" si="143"/>
        <v>0</v>
      </c>
      <c r="AB169" s="597"/>
      <c r="AC169" s="3397"/>
      <c r="AD169" s="597"/>
      <c r="AE169" s="2608">
        <f t="shared" si="137"/>
        <v>0</v>
      </c>
      <c r="AF169" s="597"/>
      <c r="AG169" s="3397"/>
      <c r="AH169" s="597"/>
      <c r="AI169" s="2608">
        <f t="shared" si="157"/>
        <v>0</v>
      </c>
      <c r="AJ169" s="597"/>
      <c r="AK169" s="3397"/>
      <c r="AL169" s="597"/>
      <c r="AM169" s="1154">
        <f t="shared" si="149"/>
        <v>0</v>
      </c>
      <c r="AN169" s="597"/>
      <c r="AO169" s="2608">
        <f t="shared" si="150"/>
        <v>0</v>
      </c>
      <c r="AP169" s="597"/>
      <c r="AQ169" s="3397"/>
      <c r="AR169" s="597"/>
      <c r="AS169" s="2608">
        <f t="shared" si="139"/>
        <v>0</v>
      </c>
      <c r="AT169" s="597"/>
      <c r="AU169" s="3397">
        <v>1</v>
      </c>
      <c r="AV169" s="597"/>
      <c r="AW169" s="2608">
        <f t="shared" si="140"/>
        <v>1</v>
      </c>
      <c r="AX169" s="597"/>
      <c r="AY169" s="3397"/>
      <c r="AZ169" s="597"/>
      <c r="BA169" s="1154">
        <f t="shared" si="145"/>
        <v>1</v>
      </c>
      <c r="BB169" s="597"/>
      <c r="BC169" s="522">
        <f t="shared" si="146"/>
        <v>1</v>
      </c>
      <c r="BD169" s="597"/>
      <c r="BE169" s="256">
        <f t="shared" si="156"/>
        <v>1</v>
      </c>
      <c r="BF169" s="26"/>
      <c r="BG169" s="26"/>
      <c r="BP169" s="26"/>
      <c r="BQ169" s="26"/>
    </row>
    <row r="170" spans="2:69" s="2757" customFormat="1" hidden="1" x14ac:dyDescent="0.25">
      <c r="B170" s="1772" t="s">
        <v>2141</v>
      </c>
      <c r="C170" s="6515" t="s">
        <v>354</v>
      </c>
      <c r="D170" s="3918"/>
      <c r="E170" s="3161">
        <v>0.41</v>
      </c>
      <c r="F170" s="3161"/>
      <c r="G170" s="3161">
        <v>0.41</v>
      </c>
      <c r="H170" s="3162"/>
      <c r="I170" s="3919">
        <f t="shared" si="108"/>
        <v>0.82</v>
      </c>
      <c r="J170" s="3906"/>
      <c r="K170" s="3161"/>
      <c r="L170" s="597"/>
      <c r="M170" s="1154">
        <f t="shared" si="136"/>
        <v>0.82</v>
      </c>
      <c r="N170" s="597"/>
      <c r="O170" s="3161"/>
      <c r="P170" s="597"/>
      <c r="Q170" s="3919">
        <f t="shared" si="110"/>
        <v>0.82</v>
      </c>
      <c r="R170" s="597"/>
      <c r="S170" s="3161"/>
      <c r="T170" s="597"/>
      <c r="U170" s="3919">
        <f t="shared" si="111"/>
        <v>0.82</v>
      </c>
      <c r="V170" s="597"/>
      <c r="W170" s="3161"/>
      <c r="X170" s="597"/>
      <c r="Y170" s="1154">
        <f t="shared" si="142"/>
        <v>0</v>
      </c>
      <c r="Z170" s="597"/>
      <c r="AA170" s="522">
        <f t="shared" si="143"/>
        <v>0.82</v>
      </c>
      <c r="AB170" s="597"/>
      <c r="AC170" s="3397"/>
      <c r="AD170" s="597"/>
      <c r="AE170" s="2608">
        <f t="shared" si="137"/>
        <v>0.82</v>
      </c>
      <c r="AF170" s="597"/>
      <c r="AG170" s="3397"/>
      <c r="AH170" s="597"/>
      <c r="AI170" s="2608">
        <f t="shared" si="157"/>
        <v>0.82</v>
      </c>
      <c r="AJ170" s="597"/>
      <c r="AK170" s="3397"/>
      <c r="AL170" s="597"/>
      <c r="AM170" s="1154">
        <f t="shared" si="149"/>
        <v>0</v>
      </c>
      <c r="AN170" s="597"/>
      <c r="AO170" s="2608">
        <f t="shared" si="150"/>
        <v>0.82</v>
      </c>
      <c r="AP170" s="597"/>
      <c r="AQ170" s="3397">
        <v>0.6</v>
      </c>
      <c r="AR170" s="597"/>
      <c r="AS170" s="2608">
        <f t="shared" si="139"/>
        <v>1.42</v>
      </c>
      <c r="AT170" s="597"/>
      <c r="AU170" s="3396">
        <v>0.39</v>
      </c>
      <c r="AV170" s="597"/>
      <c r="AW170" s="2608">
        <f t="shared" si="140"/>
        <v>1.81</v>
      </c>
      <c r="AX170" s="597"/>
      <c r="AY170" s="3396"/>
      <c r="AZ170" s="597"/>
      <c r="BA170" s="1154">
        <f t="shared" si="145"/>
        <v>0.99</v>
      </c>
      <c r="BB170" s="597"/>
      <c r="BC170" s="522">
        <f t="shared" si="146"/>
        <v>0.99</v>
      </c>
      <c r="BD170" s="597"/>
      <c r="BE170" s="256">
        <f t="shared" si="156"/>
        <v>1.81</v>
      </c>
      <c r="BF170" s="26"/>
      <c r="BG170" s="26"/>
      <c r="BP170" s="26"/>
      <c r="BQ170" s="26"/>
    </row>
    <row r="171" spans="2:69" hidden="1" x14ac:dyDescent="0.25">
      <c r="B171" s="1772" t="s">
        <v>1451</v>
      </c>
      <c r="C171" s="6515" t="s">
        <v>354</v>
      </c>
      <c r="D171" s="3918"/>
      <c r="E171" s="3161"/>
      <c r="F171" s="3161"/>
      <c r="G171" s="3161"/>
      <c r="H171" s="3162"/>
      <c r="I171" s="3919">
        <f t="shared" si="108"/>
        <v>0</v>
      </c>
      <c r="J171" s="3906"/>
      <c r="K171" s="3161"/>
      <c r="L171" s="597"/>
      <c r="M171" s="1154">
        <f t="shared" si="136"/>
        <v>0</v>
      </c>
      <c r="N171" s="597"/>
      <c r="O171" s="3161"/>
      <c r="P171" s="597"/>
      <c r="Q171" s="3919">
        <f t="shared" si="110"/>
        <v>0</v>
      </c>
      <c r="R171" s="597"/>
      <c r="S171" s="3161"/>
      <c r="T171" s="597"/>
      <c r="U171" s="3919">
        <f t="shared" si="111"/>
        <v>0</v>
      </c>
      <c r="V171" s="597"/>
      <c r="W171" s="3161"/>
      <c r="X171" s="597"/>
      <c r="Y171" s="1154">
        <f t="shared" si="142"/>
        <v>0</v>
      </c>
      <c r="Z171" s="597"/>
      <c r="AA171" s="522">
        <f t="shared" si="143"/>
        <v>0</v>
      </c>
      <c r="AB171" s="597"/>
      <c r="AC171" s="3397"/>
      <c r="AD171" s="597"/>
      <c r="AE171" s="2608">
        <f t="shared" si="137"/>
        <v>0</v>
      </c>
      <c r="AF171" s="597"/>
      <c r="AG171" s="3397">
        <v>9.4</v>
      </c>
      <c r="AH171" s="597"/>
      <c r="AI171" s="2608">
        <f t="shared" si="157"/>
        <v>9.4</v>
      </c>
      <c r="AJ171" s="597"/>
      <c r="AK171" s="3397"/>
      <c r="AL171" s="597"/>
      <c r="AM171" s="1154">
        <f t="shared" si="149"/>
        <v>9.4</v>
      </c>
      <c r="AN171" s="597"/>
      <c r="AO171" s="2608">
        <f t="shared" si="150"/>
        <v>9.4</v>
      </c>
      <c r="AP171" s="597"/>
      <c r="AQ171" s="3397"/>
      <c r="AR171" s="597"/>
      <c r="AS171" s="2608">
        <f t="shared" si="139"/>
        <v>9.4</v>
      </c>
      <c r="AT171" s="597"/>
      <c r="AU171" s="3397"/>
      <c r="AV171" s="597"/>
      <c r="AW171" s="2608">
        <f t="shared" si="140"/>
        <v>9.4</v>
      </c>
      <c r="AX171" s="597"/>
      <c r="AY171" s="3397"/>
      <c r="AZ171" s="597"/>
      <c r="BA171" s="1154">
        <f t="shared" si="145"/>
        <v>0</v>
      </c>
      <c r="BB171" s="597"/>
      <c r="BC171" s="522">
        <f t="shared" si="146"/>
        <v>9.4</v>
      </c>
      <c r="BD171" s="597"/>
      <c r="BE171" s="256">
        <f t="shared" si="156"/>
        <v>9.4</v>
      </c>
      <c r="BF171" s="26"/>
      <c r="BG171" s="26"/>
      <c r="BP171" s="26"/>
      <c r="BQ171" s="26"/>
    </row>
    <row r="172" spans="2:69" hidden="1" x14ac:dyDescent="0.25">
      <c r="B172" s="1772" t="s">
        <v>1493</v>
      </c>
      <c r="C172" s="6515" t="s">
        <v>354</v>
      </c>
      <c r="D172" s="3918"/>
      <c r="E172" s="3161"/>
      <c r="F172" s="3161"/>
      <c r="G172" s="3161"/>
      <c r="H172" s="3162"/>
      <c r="I172" s="3919">
        <f t="shared" si="108"/>
        <v>0</v>
      </c>
      <c r="J172" s="3906"/>
      <c r="K172" s="3161"/>
      <c r="L172" s="597"/>
      <c r="M172" s="1154">
        <f t="shared" si="136"/>
        <v>0</v>
      </c>
      <c r="N172" s="597"/>
      <c r="O172" s="3161"/>
      <c r="P172" s="597"/>
      <c r="Q172" s="3919">
        <f t="shared" si="110"/>
        <v>0</v>
      </c>
      <c r="R172" s="597"/>
      <c r="S172" s="3161"/>
      <c r="T172" s="597"/>
      <c r="U172" s="3919">
        <f t="shared" si="111"/>
        <v>0</v>
      </c>
      <c r="V172" s="597"/>
      <c r="W172" s="3161"/>
      <c r="X172" s="597"/>
      <c r="Y172" s="1154">
        <f t="shared" si="142"/>
        <v>0</v>
      </c>
      <c r="Z172" s="597"/>
      <c r="AA172" s="522">
        <f t="shared" si="143"/>
        <v>0</v>
      </c>
      <c r="AB172" s="597"/>
      <c r="AC172" s="3397"/>
      <c r="AD172" s="597"/>
      <c r="AE172" s="2608">
        <f t="shared" si="137"/>
        <v>0</v>
      </c>
      <c r="AF172" s="597"/>
      <c r="AG172" s="3397">
        <v>3.48</v>
      </c>
      <c r="AH172" s="597"/>
      <c r="AI172" s="2608">
        <f t="shared" si="157"/>
        <v>3.48</v>
      </c>
      <c r="AJ172" s="597"/>
      <c r="AK172" s="3397"/>
      <c r="AL172" s="597"/>
      <c r="AM172" s="1154">
        <f t="shared" si="149"/>
        <v>3.48</v>
      </c>
      <c r="AN172" s="597"/>
      <c r="AO172" s="2608">
        <f t="shared" si="150"/>
        <v>3.48</v>
      </c>
      <c r="AP172" s="597"/>
      <c r="AQ172" s="3397"/>
      <c r="AR172" s="597"/>
      <c r="AS172" s="2608">
        <f t="shared" si="139"/>
        <v>3.48</v>
      </c>
      <c r="AT172" s="597"/>
      <c r="AU172" s="3397"/>
      <c r="AV172" s="597"/>
      <c r="AW172" s="2608">
        <f t="shared" si="140"/>
        <v>3.48</v>
      </c>
      <c r="AX172" s="597"/>
      <c r="AY172" s="3397"/>
      <c r="AZ172" s="597"/>
      <c r="BA172" s="1154">
        <f t="shared" si="145"/>
        <v>0</v>
      </c>
      <c r="BB172" s="597"/>
      <c r="BC172" s="522">
        <f t="shared" si="146"/>
        <v>3.48</v>
      </c>
      <c r="BD172" s="597"/>
      <c r="BE172" s="256">
        <f t="shared" si="156"/>
        <v>3.48</v>
      </c>
      <c r="BF172" s="26"/>
      <c r="BG172" s="26"/>
      <c r="BP172" s="26"/>
      <c r="BQ172" s="26"/>
    </row>
    <row r="173" spans="2:69" hidden="1" x14ac:dyDescent="0.25">
      <c r="B173" s="1772" t="s">
        <v>1767</v>
      </c>
      <c r="C173" s="6515" t="s">
        <v>354</v>
      </c>
      <c r="D173" s="3918"/>
      <c r="E173" s="3161"/>
      <c r="F173" s="3161"/>
      <c r="G173" s="3161"/>
      <c r="H173" s="3162"/>
      <c r="I173" s="3919">
        <f t="shared" si="108"/>
        <v>0</v>
      </c>
      <c r="J173" s="3906"/>
      <c r="K173" s="3161"/>
      <c r="L173" s="597"/>
      <c r="M173" s="1154">
        <f t="shared" si="136"/>
        <v>0</v>
      </c>
      <c r="N173" s="597"/>
      <c r="O173" s="3161"/>
      <c r="P173" s="597"/>
      <c r="Q173" s="3919">
        <f t="shared" si="110"/>
        <v>0</v>
      </c>
      <c r="R173" s="597"/>
      <c r="S173" s="3161"/>
      <c r="T173" s="597"/>
      <c r="U173" s="3919">
        <f t="shared" si="111"/>
        <v>0</v>
      </c>
      <c r="V173" s="597"/>
      <c r="W173" s="3161"/>
      <c r="X173" s="597"/>
      <c r="Y173" s="1154">
        <f t="shared" si="142"/>
        <v>0</v>
      </c>
      <c r="Z173" s="597"/>
      <c r="AA173" s="522">
        <f t="shared" si="143"/>
        <v>0</v>
      </c>
      <c r="AB173" s="597"/>
      <c r="AC173" s="3397"/>
      <c r="AD173" s="597"/>
      <c r="AE173" s="2608">
        <f t="shared" si="137"/>
        <v>0</v>
      </c>
      <c r="AF173" s="597"/>
      <c r="AG173" s="3397"/>
      <c r="AH173" s="597"/>
      <c r="AI173" s="2608">
        <f t="shared" si="157"/>
        <v>0</v>
      </c>
      <c r="AJ173" s="597"/>
      <c r="AK173" s="3397"/>
      <c r="AL173" s="597"/>
      <c r="AM173" s="1154">
        <f t="shared" si="149"/>
        <v>0</v>
      </c>
      <c r="AN173" s="597"/>
      <c r="AO173" s="2608">
        <f t="shared" si="150"/>
        <v>0</v>
      </c>
      <c r="AP173" s="597"/>
      <c r="AQ173" s="3397"/>
      <c r="AR173" s="597"/>
      <c r="AS173" s="2608">
        <f t="shared" si="139"/>
        <v>0</v>
      </c>
      <c r="AT173" s="597"/>
      <c r="AU173" s="3397"/>
      <c r="AV173" s="597"/>
      <c r="AW173" s="2608">
        <f t="shared" si="140"/>
        <v>0</v>
      </c>
      <c r="AX173" s="597"/>
      <c r="AY173" s="3397"/>
      <c r="AZ173" s="597"/>
      <c r="BA173" s="1154">
        <f t="shared" si="145"/>
        <v>0</v>
      </c>
      <c r="BB173" s="597"/>
      <c r="BC173" s="522">
        <f t="shared" si="146"/>
        <v>0</v>
      </c>
      <c r="BD173" s="597"/>
      <c r="BE173" s="256">
        <f t="shared" si="156"/>
        <v>0</v>
      </c>
      <c r="BF173" s="26"/>
      <c r="BG173" s="26"/>
      <c r="BP173" s="26"/>
      <c r="BQ173" s="26"/>
    </row>
    <row r="174" spans="2:69" s="2682" customFormat="1" hidden="1" x14ac:dyDescent="0.25">
      <c r="B174" s="1772" t="s">
        <v>1994</v>
      </c>
      <c r="C174" s="6515" t="s">
        <v>354</v>
      </c>
      <c r="D174" s="3918"/>
      <c r="E174" s="3161"/>
      <c r="F174" s="3161"/>
      <c r="G174" s="3161"/>
      <c r="H174" s="3162"/>
      <c r="I174" s="3919">
        <f t="shared" si="108"/>
        <v>0</v>
      </c>
      <c r="J174" s="3906"/>
      <c r="K174" s="3161"/>
      <c r="L174" s="597"/>
      <c r="M174" s="1154">
        <f t="shared" si="136"/>
        <v>0</v>
      </c>
      <c r="N174" s="597"/>
      <c r="O174" s="3161"/>
      <c r="P174" s="597"/>
      <c r="Q174" s="3919">
        <f t="shared" si="110"/>
        <v>0</v>
      </c>
      <c r="R174" s="597"/>
      <c r="S174" s="3161"/>
      <c r="T174" s="597"/>
      <c r="U174" s="3919">
        <f t="shared" si="111"/>
        <v>0</v>
      </c>
      <c r="V174" s="597"/>
      <c r="W174" s="3161">
        <v>50</v>
      </c>
      <c r="X174" s="597"/>
      <c r="Y174" s="1154">
        <f t="shared" si="142"/>
        <v>50</v>
      </c>
      <c r="Z174" s="597"/>
      <c r="AA174" s="522">
        <f t="shared" si="143"/>
        <v>50</v>
      </c>
      <c r="AB174" s="597"/>
      <c r="AC174" s="3397"/>
      <c r="AD174" s="597"/>
      <c r="AE174" s="2608">
        <f t="shared" si="137"/>
        <v>50</v>
      </c>
      <c r="AF174" s="597"/>
      <c r="AG174" s="3397"/>
      <c r="AH174" s="597"/>
      <c r="AI174" s="2608">
        <f t="shared" si="157"/>
        <v>50</v>
      </c>
      <c r="AJ174" s="597"/>
      <c r="AK174" s="3397"/>
      <c r="AL174" s="597"/>
      <c r="AM174" s="1154">
        <f t="shared" si="149"/>
        <v>0</v>
      </c>
      <c r="AN174" s="597"/>
      <c r="AO174" s="2608">
        <f t="shared" si="150"/>
        <v>50</v>
      </c>
      <c r="AP174" s="597"/>
      <c r="AQ174" s="3397"/>
      <c r="AR174" s="597"/>
      <c r="AS174" s="2608">
        <f t="shared" si="139"/>
        <v>50</v>
      </c>
      <c r="AT174" s="597"/>
      <c r="AU174" s="3397"/>
      <c r="AV174" s="597"/>
      <c r="AW174" s="2608">
        <f t="shared" si="140"/>
        <v>50</v>
      </c>
      <c r="AX174" s="597"/>
      <c r="AY174" s="3397"/>
      <c r="AZ174" s="597"/>
      <c r="BA174" s="1154">
        <f t="shared" si="145"/>
        <v>0</v>
      </c>
      <c r="BB174" s="597"/>
      <c r="BC174" s="522">
        <f t="shared" si="146"/>
        <v>0</v>
      </c>
      <c r="BD174" s="597"/>
      <c r="BE174" s="256">
        <f t="shared" si="156"/>
        <v>50</v>
      </c>
      <c r="BF174" s="26"/>
      <c r="BG174" s="26"/>
      <c r="BP174" s="26"/>
      <c r="BQ174" s="26"/>
    </row>
    <row r="175" spans="2:69" s="2256" customFormat="1" hidden="1" x14ac:dyDescent="0.25">
      <c r="B175" s="1772" t="s">
        <v>1993</v>
      </c>
      <c r="C175" s="3142" t="s">
        <v>354</v>
      </c>
      <c r="D175" s="3918"/>
      <c r="E175" s="3161"/>
      <c r="F175" s="3161"/>
      <c r="G175" s="3161"/>
      <c r="H175" s="3162"/>
      <c r="I175" s="3919">
        <f t="shared" si="108"/>
        <v>0</v>
      </c>
      <c r="J175" s="3906"/>
      <c r="K175" s="3161"/>
      <c r="L175" s="597"/>
      <c r="M175" s="1154">
        <f t="shared" si="136"/>
        <v>0</v>
      </c>
      <c r="N175" s="597"/>
      <c r="O175" s="3161"/>
      <c r="P175" s="597"/>
      <c r="Q175" s="3919">
        <f t="shared" si="110"/>
        <v>0</v>
      </c>
      <c r="R175" s="597"/>
      <c r="S175" s="3161"/>
      <c r="T175" s="597"/>
      <c r="U175" s="3919">
        <f t="shared" si="111"/>
        <v>0</v>
      </c>
      <c r="V175" s="597"/>
      <c r="W175" s="3161">
        <v>99.76</v>
      </c>
      <c r="X175" s="597"/>
      <c r="Y175" s="1154">
        <f t="shared" si="142"/>
        <v>99.76</v>
      </c>
      <c r="Z175" s="597"/>
      <c r="AA175" s="522">
        <f t="shared" si="143"/>
        <v>99.76</v>
      </c>
      <c r="AB175" s="597"/>
      <c r="AC175" s="3397"/>
      <c r="AD175" s="597"/>
      <c r="AE175" s="2608">
        <f t="shared" ref="AE175" si="158">+AA175+AC175</f>
        <v>99.76</v>
      </c>
      <c r="AF175" s="597"/>
      <c r="AG175" s="3397"/>
      <c r="AH175" s="597"/>
      <c r="AI175" s="2608">
        <f t="shared" si="157"/>
        <v>99.76</v>
      </c>
      <c r="AJ175" s="597"/>
      <c r="AK175" s="3397"/>
      <c r="AL175" s="597"/>
      <c r="AM175" s="1154">
        <f t="shared" si="149"/>
        <v>0</v>
      </c>
      <c r="AN175" s="597"/>
      <c r="AO175" s="2608">
        <f t="shared" si="150"/>
        <v>99.76</v>
      </c>
      <c r="AP175" s="597"/>
      <c r="AQ175" s="3397"/>
      <c r="AR175" s="597"/>
      <c r="AS175" s="2608">
        <f t="shared" si="139"/>
        <v>99.76</v>
      </c>
      <c r="AT175" s="597"/>
      <c r="AU175" s="3397"/>
      <c r="AV175" s="597"/>
      <c r="AW175" s="2608">
        <f t="shared" si="140"/>
        <v>99.76</v>
      </c>
      <c r="AX175" s="597"/>
      <c r="AY175" s="3397"/>
      <c r="AZ175" s="597"/>
      <c r="BA175" s="1154">
        <f t="shared" si="145"/>
        <v>0</v>
      </c>
      <c r="BB175" s="597"/>
      <c r="BC175" s="522">
        <f t="shared" si="146"/>
        <v>0</v>
      </c>
      <c r="BD175" s="597"/>
      <c r="BE175" s="256">
        <f t="shared" si="156"/>
        <v>99.76</v>
      </c>
      <c r="BF175" s="26"/>
      <c r="BG175" s="26"/>
      <c r="BP175" s="26"/>
      <c r="BQ175" s="26"/>
    </row>
    <row r="176" spans="2:69" hidden="1" x14ac:dyDescent="0.25">
      <c r="B176" s="1772" t="s">
        <v>1271</v>
      </c>
      <c r="C176" s="3142" t="s">
        <v>354</v>
      </c>
      <c r="D176" s="3918"/>
      <c r="E176" s="3161"/>
      <c r="F176" s="3161"/>
      <c r="G176" s="3161"/>
      <c r="H176" s="3162"/>
      <c r="I176" s="3919">
        <f t="shared" si="108"/>
        <v>0</v>
      </c>
      <c r="J176" s="3906"/>
      <c r="K176" s="3161"/>
      <c r="L176" s="597"/>
      <c r="M176" s="1154">
        <f t="shared" si="136"/>
        <v>0</v>
      </c>
      <c r="N176" s="597"/>
      <c r="O176" s="3161"/>
      <c r="P176" s="597"/>
      <c r="Q176" s="3919">
        <f t="shared" si="110"/>
        <v>0</v>
      </c>
      <c r="R176" s="1360"/>
      <c r="S176" s="3161"/>
      <c r="T176" s="597"/>
      <c r="U176" s="3919">
        <f t="shared" si="111"/>
        <v>0</v>
      </c>
      <c r="V176" s="1360"/>
      <c r="W176" s="3161"/>
      <c r="X176" s="597"/>
      <c r="Y176" s="1154">
        <f t="shared" si="142"/>
        <v>0</v>
      </c>
      <c r="Z176" s="597"/>
      <c r="AA176" s="522">
        <f t="shared" si="143"/>
        <v>0</v>
      </c>
      <c r="AB176" s="1360"/>
      <c r="AC176" s="3397"/>
      <c r="AD176" s="597"/>
      <c r="AE176" s="2608">
        <f t="shared" ref="AE176:AE185" si="159">+AA176+AC176</f>
        <v>0</v>
      </c>
      <c r="AF176" s="1360"/>
      <c r="AG176" s="3397">
        <v>1.86</v>
      </c>
      <c r="AH176" s="597"/>
      <c r="AI176" s="2608">
        <f t="shared" si="157"/>
        <v>1.86</v>
      </c>
      <c r="AJ176" s="1360"/>
      <c r="AK176" s="3397"/>
      <c r="AL176" s="1360"/>
      <c r="AM176" s="1154">
        <f t="shared" si="144"/>
        <v>1.86</v>
      </c>
      <c r="AN176" s="597"/>
      <c r="AO176" s="2608">
        <f t="shared" ref="AO176:AO200" si="160">AI176+AK176</f>
        <v>1.86</v>
      </c>
      <c r="AP176" s="1360"/>
      <c r="AQ176" s="3397"/>
      <c r="AR176" s="597"/>
      <c r="AS176" s="2608">
        <f t="shared" si="139"/>
        <v>1.86</v>
      </c>
      <c r="AT176" s="1360"/>
      <c r="AU176" s="3397"/>
      <c r="AV176" s="597"/>
      <c r="AW176" s="2608">
        <f t="shared" si="140"/>
        <v>1.86</v>
      </c>
      <c r="AX176" s="1360"/>
      <c r="AY176" s="3397"/>
      <c r="AZ176" s="1360"/>
      <c r="BA176" s="1154">
        <f t="shared" si="145"/>
        <v>0</v>
      </c>
      <c r="BB176" s="597"/>
      <c r="BC176" s="522">
        <f t="shared" si="146"/>
        <v>1.86</v>
      </c>
      <c r="BD176" s="597"/>
      <c r="BE176" s="256">
        <f t="shared" si="156"/>
        <v>1.86</v>
      </c>
      <c r="BF176" s="26"/>
      <c r="BG176" s="26"/>
      <c r="BP176" s="26"/>
      <c r="BQ176" s="26"/>
    </row>
    <row r="177" spans="1:69" x14ac:dyDescent="0.25">
      <c r="B177" s="3920" t="s">
        <v>1089</v>
      </c>
      <c r="C177" s="3799" t="s">
        <v>354</v>
      </c>
      <c r="D177" s="3158"/>
      <c r="E177" s="3158">
        <f>+E178+E179</f>
        <v>1998.23</v>
      </c>
      <c r="F177" s="3158"/>
      <c r="G177" s="3158">
        <f>+G178+G179</f>
        <v>2363.3899999999994</v>
      </c>
      <c r="H177" s="3159"/>
      <c r="I177" s="3921">
        <f t="shared" ref="I177:I185" si="161">+E177+G177</f>
        <v>4361.619999999999</v>
      </c>
      <c r="J177" s="3907"/>
      <c r="K177" s="3158">
        <f>+K178+K179</f>
        <v>1493.0900000000004</v>
      </c>
      <c r="L177" s="1360"/>
      <c r="M177" s="2394">
        <f t="shared" si="136"/>
        <v>5854.7099999999991</v>
      </c>
      <c r="N177" s="1360"/>
      <c r="O177" s="3158">
        <f>+O178+O179</f>
        <v>1496.2700000000004</v>
      </c>
      <c r="P177" s="1360"/>
      <c r="Q177" s="3921">
        <f t="shared" si="110"/>
        <v>7350.98</v>
      </c>
      <c r="R177" s="597"/>
      <c r="S177" s="3158">
        <f>+S178+S179</f>
        <v>1498.77</v>
      </c>
      <c r="T177" s="1360"/>
      <c r="U177" s="3921">
        <f t="shared" si="111"/>
        <v>8849.75</v>
      </c>
      <c r="V177" s="597"/>
      <c r="W177" s="3158">
        <f>+W178+W179</f>
        <v>1497.7</v>
      </c>
      <c r="X177" s="1360"/>
      <c r="Y177" s="2394">
        <f t="shared" si="142"/>
        <v>4492.7400000000007</v>
      </c>
      <c r="Z177" s="200"/>
      <c r="AA177" s="522">
        <f t="shared" si="143"/>
        <v>10347.450000000001</v>
      </c>
      <c r="AB177" s="597"/>
      <c r="AC177" s="5482">
        <f>+AC178+AC179</f>
        <v>1994.6800000000003</v>
      </c>
      <c r="AD177" s="1360"/>
      <c r="AE177" s="1360">
        <f t="shared" si="159"/>
        <v>12342.130000000001</v>
      </c>
      <c r="AF177" s="597"/>
      <c r="AG177" s="5482">
        <f>+AG178+AG179</f>
        <v>1207.0099999999998</v>
      </c>
      <c r="AH177" s="1360"/>
      <c r="AI177" s="1360">
        <f t="shared" si="157"/>
        <v>13549.140000000001</v>
      </c>
      <c r="AJ177" s="597"/>
      <c r="AK177" s="5482">
        <f>+AK178+AK179</f>
        <v>1496.83</v>
      </c>
      <c r="AL177" s="597"/>
      <c r="AM177" s="2394">
        <f t="shared" si="144"/>
        <v>4698.5200000000004</v>
      </c>
      <c r="AN177" s="1360"/>
      <c r="AO177" s="1360">
        <f t="shared" si="160"/>
        <v>15045.970000000001</v>
      </c>
      <c r="AP177" s="597"/>
      <c r="AQ177" s="5482">
        <f>+AQ178+AQ179</f>
        <v>1495.11</v>
      </c>
      <c r="AR177" s="1360"/>
      <c r="AS177" s="1360">
        <f t="shared" ref="AS177:AS185" si="162">+AO177+AQ177</f>
        <v>16541.080000000002</v>
      </c>
      <c r="AT177" s="597"/>
      <c r="AU177" s="5482">
        <f>+AU178+AU179</f>
        <v>1848.39</v>
      </c>
      <c r="AV177" s="1360"/>
      <c r="AW177" s="1360">
        <f t="shared" si="140"/>
        <v>18389.47</v>
      </c>
      <c r="AX177" s="597"/>
      <c r="AY177" s="5482">
        <f>+AY178+AY179</f>
        <v>1994.25</v>
      </c>
      <c r="AZ177" s="597"/>
      <c r="BA177" s="2394">
        <f t="shared" si="145"/>
        <v>5337.75</v>
      </c>
      <c r="BB177" s="200"/>
      <c r="BC177" s="522">
        <f t="shared" si="146"/>
        <v>10036.27</v>
      </c>
      <c r="BD177" s="1360"/>
      <c r="BE177" s="1360">
        <f t="shared" si="156"/>
        <v>20383.72</v>
      </c>
      <c r="BF177" s="26"/>
      <c r="BG177" s="26"/>
      <c r="BP177" s="26"/>
      <c r="BQ177" s="26"/>
    </row>
    <row r="178" spans="1:69" x14ac:dyDescent="0.25">
      <c r="B178" s="1909" t="s">
        <v>1114</v>
      </c>
      <c r="C178" s="3142" t="s">
        <v>354</v>
      </c>
      <c r="D178" s="1311"/>
      <c r="E178" s="3161">
        <v>1998.23</v>
      </c>
      <c r="F178" s="3161"/>
      <c r="G178" s="3161">
        <v>2316.2999999999993</v>
      </c>
      <c r="H178" s="3162"/>
      <c r="I178" s="3919">
        <f t="shared" si="161"/>
        <v>4314.5299999999988</v>
      </c>
      <c r="J178" s="3906"/>
      <c r="K178" s="3161">
        <v>1493.0900000000004</v>
      </c>
      <c r="L178" s="597"/>
      <c r="M178" s="1154">
        <f t="shared" si="136"/>
        <v>5807.619999999999</v>
      </c>
      <c r="N178" s="597"/>
      <c r="O178" s="3161">
        <v>1496.2700000000004</v>
      </c>
      <c r="P178" s="597"/>
      <c r="Q178" s="3919">
        <f t="shared" si="110"/>
        <v>7303.8899999999994</v>
      </c>
      <c r="R178" s="1140"/>
      <c r="S178" s="3161">
        <v>1498.77</v>
      </c>
      <c r="T178" s="597"/>
      <c r="U178" s="3919">
        <f t="shared" si="111"/>
        <v>8802.66</v>
      </c>
      <c r="V178" s="1140"/>
      <c r="W178" s="3161">
        <v>1497.7</v>
      </c>
      <c r="X178" s="597"/>
      <c r="Y178" s="1154">
        <f t="shared" si="142"/>
        <v>4492.7400000000007</v>
      </c>
      <c r="Z178" s="597"/>
      <c r="AA178" s="522">
        <f t="shared" si="143"/>
        <v>10300.36</v>
      </c>
      <c r="AB178" s="1140"/>
      <c r="AC178" s="3397">
        <v>1994.6800000000003</v>
      </c>
      <c r="AD178" s="597"/>
      <c r="AE178" s="2608">
        <f t="shared" si="159"/>
        <v>12295.04</v>
      </c>
      <c r="AF178" s="1140"/>
      <c r="AG178" s="3397">
        <v>909.7399999999999</v>
      </c>
      <c r="AH178" s="597"/>
      <c r="AI178" s="2608">
        <f t="shared" si="157"/>
        <v>13204.78</v>
      </c>
      <c r="AJ178" s="1140"/>
      <c r="AK178" s="3397">
        <v>1496.83</v>
      </c>
      <c r="AL178" s="1140"/>
      <c r="AM178" s="1154">
        <f t="shared" si="144"/>
        <v>4401.25</v>
      </c>
      <c r="AN178" s="597"/>
      <c r="AO178" s="2608">
        <f t="shared" si="160"/>
        <v>14701.61</v>
      </c>
      <c r="AP178" s="1140"/>
      <c r="AQ178" s="3397">
        <v>1495.11</v>
      </c>
      <c r="AR178" s="597"/>
      <c r="AS178" s="2608">
        <f t="shared" si="162"/>
        <v>16196.720000000001</v>
      </c>
      <c r="AT178" s="1140"/>
      <c r="AU178" s="3397">
        <v>1848.39</v>
      </c>
      <c r="AV178" s="597"/>
      <c r="AW178" s="2608">
        <f t="shared" si="140"/>
        <v>18045.11</v>
      </c>
      <c r="AX178" s="1140"/>
      <c r="AY178" s="3397">
        <v>1994.25</v>
      </c>
      <c r="AZ178" s="1140"/>
      <c r="BA178" s="1154">
        <f t="shared" si="145"/>
        <v>5337.75</v>
      </c>
      <c r="BB178" s="597"/>
      <c r="BC178" s="522">
        <f t="shared" si="146"/>
        <v>9739</v>
      </c>
      <c r="BD178" s="597"/>
      <c r="BE178" s="256">
        <f t="shared" si="156"/>
        <v>20039.36</v>
      </c>
      <c r="BF178" s="26"/>
      <c r="BG178" s="26"/>
      <c r="BP178" s="26"/>
      <c r="BQ178" s="26"/>
    </row>
    <row r="179" spans="1:69" ht="16.5" thickBot="1" x14ac:dyDescent="0.3">
      <c r="B179" s="1909" t="s">
        <v>1115</v>
      </c>
      <c r="C179" s="3142" t="s">
        <v>354</v>
      </c>
      <c r="D179" s="1311"/>
      <c r="E179" s="3567"/>
      <c r="F179" s="3567"/>
      <c r="G179" s="3567">
        <v>47.09</v>
      </c>
      <c r="H179" s="3159"/>
      <c r="I179" s="3921">
        <f t="shared" si="161"/>
        <v>47.09</v>
      </c>
      <c r="J179" s="2020"/>
      <c r="K179" s="3567"/>
      <c r="L179" s="1140"/>
      <c r="M179" s="1154">
        <f t="shared" si="136"/>
        <v>47.09</v>
      </c>
      <c r="N179" s="1140"/>
      <c r="O179" s="3567"/>
      <c r="P179" s="1140"/>
      <c r="Q179" s="3921">
        <f t="shared" si="110"/>
        <v>47.09</v>
      </c>
      <c r="R179" s="351"/>
      <c r="S179" s="3567"/>
      <c r="T179" s="1140"/>
      <c r="U179" s="3921">
        <f t="shared" si="111"/>
        <v>47.09</v>
      </c>
      <c r="V179" s="351"/>
      <c r="W179" s="3567"/>
      <c r="X179" s="1140"/>
      <c r="Y179" s="1154">
        <f t="shared" si="142"/>
        <v>0</v>
      </c>
      <c r="Z179" s="597"/>
      <c r="AA179" s="522">
        <f t="shared" si="143"/>
        <v>47.09</v>
      </c>
      <c r="AB179" s="351"/>
      <c r="AC179" s="3254"/>
      <c r="AD179" s="1140"/>
      <c r="AE179" s="2608">
        <f t="shared" si="159"/>
        <v>47.09</v>
      </c>
      <c r="AF179" s="351"/>
      <c r="AG179" s="3254">
        <v>297.27</v>
      </c>
      <c r="AH179" s="1140"/>
      <c r="AI179" s="2608">
        <f t="shared" si="157"/>
        <v>344.36</v>
      </c>
      <c r="AJ179" s="351"/>
      <c r="AK179" s="3254"/>
      <c r="AL179" s="351"/>
      <c r="AM179" s="1154">
        <f t="shared" si="144"/>
        <v>297.27</v>
      </c>
      <c r="AN179" s="1140"/>
      <c r="AO179" s="2608">
        <f t="shared" si="160"/>
        <v>344.36</v>
      </c>
      <c r="AP179" s="351"/>
      <c r="AQ179" s="3254"/>
      <c r="AR179" s="1140"/>
      <c r="AS179" s="2608">
        <f t="shared" si="162"/>
        <v>344.36</v>
      </c>
      <c r="AT179" s="351"/>
      <c r="AU179" s="3254"/>
      <c r="AV179" s="1140"/>
      <c r="AW179" s="2608">
        <f t="shared" si="140"/>
        <v>344.36</v>
      </c>
      <c r="AX179" s="351"/>
      <c r="AY179" s="3254"/>
      <c r="AZ179" s="351"/>
      <c r="BA179" s="1154">
        <f t="shared" si="145"/>
        <v>0</v>
      </c>
      <c r="BB179" s="597"/>
      <c r="BC179" s="522">
        <f t="shared" si="146"/>
        <v>297.27</v>
      </c>
      <c r="BD179" s="1140"/>
      <c r="BE179" s="256">
        <f t="shared" si="156"/>
        <v>344.36</v>
      </c>
      <c r="BF179" s="26"/>
      <c r="BG179" s="26"/>
      <c r="BP179" s="26"/>
      <c r="BQ179" s="26"/>
    </row>
    <row r="180" spans="1:69" ht="16.5" hidden="1" thickBot="1" x14ac:dyDescent="0.3">
      <c r="B180" s="3922" t="s">
        <v>1572</v>
      </c>
      <c r="C180" s="3142" t="s">
        <v>354</v>
      </c>
      <c r="D180" s="1311"/>
      <c r="E180" s="3567"/>
      <c r="F180" s="3567"/>
      <c r="G180" s="3567"/>
      <c r="H180" s="3159"/>
      <c r="I180" s="3923">
        <f t="shared" si="161"/>
        <v>0</v>
      </c>
      <c r="J180" s="2020"/>
      <c r="K180" s="3567"/>
      <c r="L180" s="1140"/>
      <c r="M180" s="1154">
        <f t="shared" si="136"/>
        <v>0</v>
      </c>
      <c r="N180" s="1140"/>
      <c r="O180" s="3567"/>
      <c r="P180" s="1140"/>
      <c r="Q180" s="3923">
        <f t="shared" si="110"/>
        <v>0</v>
      </c>
      <c r="R180" s="351"/>
      <c r="S180" s="3567"/>
      <c r="T180" s="1140"/>
      <c r="U180" s="3923">
        <f t="shared" si="111"/>
        <v>0</v>
      </c>
      <c r="V180" s="351"/>
      <c r="W180" s="3567"/>
      <c r="X180" s="1140"/>
      <c r="Y180" s="1154">
        <f t="shared" si="142"/>
        <v>0</v>
      </c>
      <c r="Z180" s="597"/>
      <c r="AA180" s="522">
        <f t="shared" si="143"/>
        <v>0</v>
      </c>
      <c r="AB180" s="351"/>
      <c r="AC180" s="3254"/>
      <c r="AD180" s="1140"/>
      <c r="AE180" s="2608">
        <f t="shared" si="159"/>
        <v>0</v>
      </c>
      <c r="AF180" s="351"/>
      <c r="AG180" s="3254"/>
      <c r="AH180" s="1140"/>
      <c r="AI180" s="2608">
        <f t="shared" si="157"/>
        <v>0</v>
      </c>
      <c r="AJ180" s="351"/>
      <c r="AK180" s="3254"/>
      <c r="AL180" s="351"/>
      <c r="AM180" s="1154">
        <f t="shared" si="144"/>
        <v>0</v>
      </c>
      <c r="AN180" s="1140"/>
      <c r="AO180" s="2608">
        <f t="shared" si="160"/>
        <v>0</v>
      </c>
      <c r="AP180" s="351"/>
      <c r="AQ180" s="3254"/>
      <c r="AR180" s="1140"/>
      <c r="AS180" s="2608">
        <f t="shared" si="162"/>
        <v>0</v>
      </c>
      <c r="AT180" s="351"/>
      <c r="AU180" s="3254"/>
      <c r="AV180" s="1140"/>
      <c r="AW180" s="2608">
        <f t="shared" si="140"/>
        <v>0</v>
      </c>
      <c r="AX180" s="351"/>
      <c r="AY180" s="3254"/>
      <c r="AZ180" s="351"/>
      <c r="BA180" s="1154">
        <f t="shared" si="145"/>
        <v>0</v>
      </c>
      <c r="BB180" s="597"/>
      <c r="BC180" s="522">
        <f t="shared" si="146"/>
        <v>0</v>
      </c>
      <c r="BD180" s="1140"/>
      <c r="BE180" s="256">
        <f t="shared" si="156"/>
        <v>0</v>
      </c>
      <c r="BF180" s="26"/>
      <c r="BG180" s="26"/>
      <c r="BP180" s="26"/>
      <c r="BQ180" s="26"/>
    </row>
    <row r="181" spans="1:69" ht="16.5" hidden="1" thickBot="1" x14ac:dyDescent="0.3">
      <c r="A181" s="1792"/>
      <c r="B181" s="1772" t="s">
        <v>1355</v>
      </c>
      <c r="C181" s="3142" t="s">
        <v>354</v>
      </c>
      <c r="D181" s="1311"/>
      <c r="E181" s="3353"/>
      <c r="F181" s="3353"/>
      <c r="G181" s="3353"/>
      <c r="H181" s="3924"/>
      <c r="I181" s="3923">
        <f t="shared" si="161"/>
        <v>0</v>
      </c>
      <c r="J181" s="3908"/>
      <c r="K181" s="3353"/>
      <c r="L181" s="351"/>
      <c r="M181" s="1154">
        <f t="shared" si="136"/>
        <v>0</v>
      </c>
      <c r="N181" s="351"/>
      <c r="O181" s="3353"/>
      <c r="P181" s="351"/>
      <c r="Q181" s="3923">
        <f t="shared" si="110"/>
        <v>0</v>
      </c>
      <c r="R181" s="1137"/>
      <c r="S181" s="3353"/>
      <c r="T181" s="351"/>
      <c r="U181" s="3923">
        <f t="shared" si="111"/>
        <v>0</v>
      </c>
      <c r="V181" s="1137"/>
      <c r="W181" s="3353"/>
      <c r="X181" s="351"/>
      <c r="Y181" s="1154">
        <f t="shared" si="142"/>
        <v>0</v>
      </c>
      <c r="Z181" s="597"/>
      <c r="AA181" s="522">
        <f t="shared" si="143"/>
        <v>0</v>
      </c>
      <c r="AB181" s="2400"/>
      <c r="AC181" s="3402"/>
      <c r="AD181" s="351"/>
      <c r="AE181" s="2608">
        <f t="shared" si="159"/>
        <v>0</v>
      </c>
      <c r="AF181" s="2400"/>
      <c r="AG181" s="3402"/>
      <c r="AH181" s="351"/>
      <c r="AI181" s="2608">
        <f t="shared" si="157"/>
        <v>0</v>
      </c>
      <c r="AJ181" s="2400"/>
      <c r="AK181" s="3402"/>
      <c r="AL181" s="2400"/>
      <c r="AM181" s="1154">
        <f t="shared" si="144"/>
        <v>0</v>
      </c>
      <c r="AN181" s="351"/>
      <c r="AO181" s="2608">
        <f t="shared" si="160"/>
        <v>0</v>
      </c>
      <c r="AP181" s="2400"/>
      <c r="AQ181" s="3402"/>
      <c r="AR181" s="351"/>
      <c r="AS181" s="2608">
        <f t="shared" si="162"/>
        <v>0</v>
      </c>
      <c r="AT181" s="2400"/>
      <c r="AU181" s="3402"/>
      <c r="AV181" s="351"/>
      <c r="AW181" s="2608">
        <f t="shared" si="140"/>
        <v>0</v>
      </c>
      <c r="AX181" s="2400"/>
      <c r="AY181" s="3402"/>
      <c r="AZ181" s="2400"/>
      <c r="BA181" s="1154">
        <f t="shared" si="145"/>
        <v>0</v>
      </c>
      <c r="BB181" s="597"/>
      <c r="BC181" s="522">
        <f t="shared" si="146"/>
        <v>0</v>
      </c>
      <c r="BD181" s="351"/>
      <c r="BE181" s="256">
        <f t="shared" si="156"/>
        <v>0</v>
      </c>
      <c r="BF181" s="26"/>
      <c r="BG181" s="26"/>
      <c r="BP181" s="26"/>
      <c r="BQ181" s="26"/>
    </row>
    <row r="182" spans="1:69" s="3078" customFormat="1" ht="16.5" hidden="1" thickBot="1" x14ac:dyDescent="0.3">
      <c r="B182" s="1772" t="s">
        <v>1630</v>
      </c>
      <c r="C182" s="3142" t="s">
        <v>354</v>
      </c>
      <c r="D182" s="1311"/>
      <c r="E182" s="3353"/>
      <c r="F182" s="3353"/>
      <c r="G182" s="3353"/>
      <c r="H182" s="3924"/>
      <c r="I182" s="3923">
        <f t="shared" si="161"/>
        <v>0</v>
      </c>
      <c r="J182" s="3908"/>
      <c r="K182" s="3353"/>
      <c r="L182" s="3063"/>
      <c r="M182" s="1154">
        <f t="shared" si="136"/>
        <v>0</v>
      </c>
      <c r="N182" s="3063"/>
      <c r="O182" s="3353"/>
      <c r="P182" s="3063"/>
      <c r="Q182" s="3923">
        <f t="shared" si="110"/>
        <v>0</v>
      </c>
      <c r="R182" s="2866"/>
      <c r="S182" s="3353"/>
      <c r="T182" s="3063"/>
      <c r="U182" s="3923">
        <f t="shared" si="111"/>
        <v>0</v>
      </c>
      <c r="V182" s="2866"/>
      <c r="W182" s="3353"/>
      <c r="X182" s="3063"/>
      <c r="Y182" s="2886">
        <f t="shared" si="142"/>
        <v>0</v>
      </c>
      <c r="Z182" s="597"/>
      <c r="AA182" s="522">
        <f t="shared" si="143"/>
        <v>0</v>
      </c>
      <c r="AB182" s="2866"/>
      <c r="AC182" s="3402"/>
      <c r="AD182" s="3063"/>
      <c r="AE182" s="2885"/>
      <c r="AF182" s="2866"/>
      <c r="AG182" s="3402"/>
      <c r="AH182" s="3063"/>
      <c r="AI182" s="2885"/>
      <c r="AJ182" s="2866"/>
      <c r="AK182" s="3402"/>
      <c r="AL182" s="2866"/>
      <c r="AM182" s="2886">
        <f t="shared" si="144"/>
        <v>0</v>
      </c>
      <c r="AN182" s="3063"/>
      <c r="AO182" s="2608">
        <f t="shared" si="160"/>
        <v>0</v>
      </c>
      <c r="AP182" s="2866"/>
      <c r="AQ182" s="3402"/>
      <c r="AR182" s="3063"/>
      <c r="AS182" s="2608">
        <f t="shared" si="162"/>
        <v>0</v>
      </c>
      <c r="AT182" s="2866"/>
      <c r="AU182" s="3402"/>
      <c r="AV182" s="3063"/>
      <c r="AW182" s="2608">
        <f t="shared" si="140"/>
        <v>0</v>
      </c>
      <c r="AX182" s="2866"/>
      <c r="AY182" s="3402"/>
      <c r="AZ182" s="2866"/>
      <c r="BA182" s="2886">
        <f t="shared" si="145"/>
        <v>0</v>
      </c>
      <c r="BB182" s="597"/>
      <c r="BC182" s="522">
        <f t="shared" ref="BC182" si="163">BA182+AM182</f>
        <v>0</v>
      </c>
      <c r="BD182" s="351"/>
      <c r="BE182" s="256">
        <f t="shared" ref="BE182" si="164">+AW182+AY182</f>
        <v>0</v>
      </c>
      <c r="BF182" s="26"/>
      <c r="BG182" s="26"/>
      <c r="BP182" s="26"/>
      <c r="BQ182" s="26"/>
    </row>
    <row r="183" spans="1:69" ht="16.5" hidden="1" thickBot="1" x14ac:dyDescent="0.3">
      <c r="B183" s="1772" t="s">
        <v>1917</v>
      </c>
      <c r="C183" s="3142" t="s">
        <v>354</v>
      </c>
      <c r="D183" s="1311"/>
      <c r="E183" s="3202"/>
      <c r="F183" s="3202"/>
      <c r="G183" s="7153"/>
      <c r="H183" s="3925"/>
      <c r="I183" s="3923">
        <f t="shared" si="161"/>
        <v>0</v>
      </c>
      <c r="J183" s="3798"/>
      <c r="K183" s="4563">
        <v>6</v>
      </c>
      <c r="L183" s="1137"/>
      <c r="M183" s="1154">
        <f t="shared" si="136"/>
        <v>6</v>
      </c>
      <c r="N183" s="1137"/>
      <c r="O183" s="4790"/>
      <c r="P183" s="1137"/>
      <c r="Q183" s="3923">
        <f t="shared" si="110"/>
        <v>6</v>
      </c>
      <c r="R183" s="1137"/>
      <c r="S183" s="4901"/>
      <c r="T183" s="1137"/>
      <c r="U183" s="3923">
        <f t="shared" si="111"/>
        <v>6</v>
      </c>
      <c r="V183" s="1137"/>
      <c r="W183" s="5031"/>
      <c r="X183" s="2400"/>
      <c r="Y183" s="1154">
        <f t="shared" si="142"/>
        <v>0</v>
      </c>
      <c r="Z183" s="597"/>
      <c r="AA183" s="522">
        <f t="shared" si="143"/>
        <v>6</v>
      </c>
      <c r="AB183" s="2400"/>
      <c r="AC183" s="3265"/>
      <c r="AD183" s="2400"/>
      <c r="AE183" s="2608">
        <f t="shared" si="159"/>
        <v>6</v>
      </c>
      <c r="AF183" s="2400"/>
      <c r="AG183" s="3265"/>
      <c r="AH183" s="2400"/>
      <c r="AI183" s="2608">
        <f t="shared" si="157"/>
        <v>6</v>
      </c>
      <c r="AJ183" s="2400"/>
      <c r="AK183" s="3265"/>
      <c r="AL183" s="2400"/>
      <c r="AM183" s="1154">
        <f t="shared" si="144"/>
        <v>0</v>
      </c>
      <c r="AN183" s="2400"/>
      <c r="AO183" s="2608">
        <f t="shared" si="160"/>
        <v>6</v>
      </c>
      <c r="AP183" s="2400"/>
      <c r="AQ183" s="3265"/>
      <c r="AR183" s="2400"/>
      <c r="AS183" s="2608">
        <f t="shared" si="162"/>
        <v>6</v>
      </c>
      <c r="AT183" s="2400"/>
      <c r="AU183" s="3265"/>
      <c r="AV183" s="2400"/>
      <c r="AW183" s="2608">
        <f t="shared" si="140"/>
        <v>6</v>
      </c>
      <c r="AX183" s="2400"/>
      <c r="AY183" s="3265"/>
      <c r="AZ183" s="2400"/>
      <c r="BA183" s="1154">
        <f t="shared" si="145"/>
        <v>0</v>
      </c>
      <c r="BB183" s="597"/>
      <c r="BC183" s="522">
        <f t="shared" si="146"/>
        <v>0</v>
      </c>
      <c r="BD183" s="2400"/>
      <c r="BE183" s="256">
        <f t="shared" si="156"/>
        <v>6</v>
      </c>
      <c r="BF183" s="26"/>
      <c r="BG183" s="26"/>
      <c r="BP183" s="26"/>
      <c r="BQ183" s="26"/>
    </row>
    <row r="184" spans="1:69" ht="16.5" hidden="1" thickBot="1" x14ac:dyDescent="0.3">
      <c r="B184" s="1772" t="s">
        <v>1916</v>
      </c>
      <c r="C184" s="3142" t="s">
        <v>354</v>
      </c>
      <c r="D184" s="1311"/>
      <c r="E184" s="3202"/>
      <c r="F184" s="3202"/>
      <c r="G184" s="7153"/>
      <c r="H184" s="3925"/>
      <c r="I184" s="3926">
        <f t="shared" si="161"/>
        <v>0</v>
      </c>
      <c r="J184" s="3798"/>
      <c r="K184" s="4563">
        <v>46.76</v>
      </c>
      <c r="L184" s="1137"/>
      <c r="M184" s="1154">
        <f t="shared" si="136"/>
        <v>46.76</v>
      </c>
      <c r="N184" s="1137"/>
      <c r="O184" s="4790"/>
      <c r="P184" s="1137"/>
      <c r="Q184" s="3926">
        <f t="shared" si="110"/>
        <v>46.76</v>
      </c>
      <c r="R184" s="1658"/>
      <c r="S184" s="4901"/>
      <c r="T184" s="1137"/>
      <c r="U184" s="3926">
        <f t="shared" si="111"/>
        <v>46.76</v>
      </c>
      <c r="V184" s="1658"/>
      <c r="W184" s="5031"/>
      <c r="X184" s="2400"/>
      <c r="Y184" s="1154">
        <f t="shared" si="142"/>
        <v>0</v>
      </c>
      <c r="Z184" s="597"/>
      <c r="AA184" s="522">
        <f t="shared" si="143"/>
        <v>46.76</v>
      </c>
      <c r="AB184" s="1658"/>
      <c r="AC184" s="3265"/>
      <c r="AD184" s="2400"/>
      <c r="AE184" s="2608">
        <f t="shared" si="159"/>
        <v>46.76</v>
      </c>
      <c r="AF184" s="1658"/>
      <c r="AG184" s="3265"/>
      <c r="AH184" s="2400"/>
      <c r="AI184" s="2608">
        <f t="shared" si="157"/>
        <v>46.76</v>
      </c>
      <c r="AJ184" s="1658"/>
      <c r="AK184" s="3265"/>
      <c r="AL184" s="1658"/>
      <c r="AM184" s="1154">
        <f t="shared" si="144"/>
        <v>0</v>
      </c>
      <c r="AN184" s="2400"/>
      <c r="AO184" s="2608">
        <f t="shared" si="160"/>
        <v>46.76</v>
      </c>
      <c r="AP184" s="1658"/>
      <c r="AQ184" s="3265"/>
      <c r="AR184" s="2400"/>
      <c r="AS184" s="2608">
        <f t="shared" si="162"/>
        <v>46.76</v>
      </c>
      <c r="AT184" s="1658"/>
      <c r="AU184" s="3265"/>
      <c r="AV184" s="2400"/>
      <c r="AW184" s="2608">
        <f t="shared" si="140"/>
        <v>46.76</v>
      </c>
      <c r="AX184" s="1658"/>
      <c r="AY184" s="3265"/>
      <c r="AZ184" s="1658"/>
      <c r="BA184" s="1154">
        <f t="shared" si="145"/>
        <v>0</v>
      </c>
      <c r="BB184" s="597"/>
      <c r="BC184" s="522">
        <f t="shared" si="146"/>
        <v>0</v>
      </c>
      <c r="BD184" s="2400"/>
      <c r="BE184" s="256">
        <f t="shared" si="156"/>
        <v>46.76</v>
      </c>
      <c r="BF184" s="26"/>
      <c r="BG184" s="26"/>
      <c r="BP184" s="26"/>
      <c r="BQ184" s="26"/>
    </row>
    <row r="185" spans="1:69" ht="21" thickBot="1" x14ac:dyDescent="0.3">
      <c r="A185" s="149"/>
      <c r="B185" s="1793" t="s">
        <v>1116</v>
      </c>
      <c r="C185" s="3691" t="s">
        <v>354</v>
      </c>
      <c r="D185" s="3927"/>
      <c r="E185" s="1658">
        <v>119.56</v>
      </c>
      <c r="F185" s="1658"/>
      <c r="G185" s="1658">
        <v>155.13999999999999</v>
      </c>
      <c r="H185" s="1667"/>
      <c r="I185" s="1667">
        <f t="shared" si="161"/>
        <v>274.7</v>
      </c>
      <c r="J185" s="3909"/>
      <c r="K185" s="1658">
        <v>159.66</v>
      </c>
      <c r="L185" s="1658"/>
      <c r="M185" s="2394">
        <f t="shared" si="136"/>
        <v>434.36</v>
      </c>
      <c r="N185" s="1658"/>
      <c r="O185" s="1658">
        <v>133.92000000000002</v>
      </c>
      <c r="P185" s="1658"/>
      <c r="Q185" s="1667">
        <f t="shared" si="110"/>
        <v>568.28</v>
      </c>
      <c r="R185" s="1361"/>
      <c r="S185" s="1658">
        <v>145.93</v>
      </c>
      <c r="T185" s="1658"/>
      <c r="U185" s="1667">
        <f t="shared" si="111"/>
        <v>714.21</v>
      </c>
      <c r="V185" s="1361"/>
      <c r="W185" s="1658">
        <v>181.42</v>
      </c>
      <c r="X185" s="1658"/>
      <c r="Y185" s="2394">
        <f t="shared" si="142"/>
        <v>461.27</v>
      </c>
      <c r="Z185" s="597"/>
      <c r="AA185" s="3082">
        <f t="shared" si="143"/>
        <v>895.63</v>
      </c>
      <c r="AB185" s="1361"/>
      <c r="AC185" s="5486">
        <v>147.20999999999998</v>
      </c>
      <c r="AD185" s="1658"/>
      <c r="AE185" s="1721">
        <f t="shared" si="159"/>
        <v>1042.8399999999999</v>
      </c>
      <c r="AF185" s="1361"/>
      <c r="AG185" s="5486">
        <v>145.66000000000003</v>
      </c>
      <c r="AH185" s="1658"/>
      <c r="AI185" s="1721">
        <f t="shared" si="157"/>
        <v>1188.5</v>
      </c>
      <c r="AJ185" s="1361"/>
      <c r="AK185" s="5486">
        <v>121.57</v>
      </c>
      <c r="AL185" s="1361"/>
      <c r="AM185" s="2394">
        <f t="shared" si="144"/>
        <v>414.44</v>
      </c>
      <c r="AN185" s="1658"/>
      <c r="AO185" s="1721">
        <f t="shared" si="160"/>
        <v>1310.07</v>
      </c>
      <c r="AP185" s="1361"/>
      <c r="AQ185" s="5486">
        <v>109.7</v>
      </c>
      <c r="AR185" s="1658"/>
      <c r="AS185" s="1721">
        <f t="shared" si="162"/>
        <v>1419.77</v>
      </c>
      <c r="AT185" s="1361"/>
      <c r="AU185" s="5486">
        <v>119.38</v>
      </c>
      <c r="AV185" s="1658"/>
      <c r="AW185" s="1721">
        <f t="shared" si="140"/>
        <v>1539.15</v>
      </c>
      <c r="AX185" s="1361"/>
      <c r="AY185" s="5486">
        <v>107.59</v>
      </c>
      <c r="AZ185" s="1361"/>
      <c r="BA185" s="2394">
        <f t="shared" si="145"/>
        <v>336.66999999999996</v>
      </c>
      <c r="BB185" s="597"/>
      <c r="BC185" s="3082">
        <f t="shared" si="146"/>
        <v>751.1099999999999</v>
      </c>
      <c r="BD185" s="1658"/>
      <c r="BE185" s="1721">
        <f t="shared" si="156"/>
        <v>1646.74</v>
      </c>
      <c r="BF185" s="26"/>
      <c r="BG185" s="26"/>
      <c r="BP185" s="26"/>
      <c r="BQ185" s="26"/>
    </row>
    <row r="186" spans="1:69" ht="26.25" thickBot="1" x14ac:dyDescent="0.35">
      <c r="A186" s="531"/>
      <c r="B186" s="2697" t="s">
        <v>1253</v>
      </c>
      <c r="C186" s="2698" t="s">
        <v>354</v>
      </c>
      <c r="D186" s="2699"/>
      <c r="E186" s="2700">
        <f>+SUM(E138:E185)-E177</f>
        <v>2118.2000000000003</v>
      </c>
      <c r="F186" s="2700">
        <f t="shared" ref="F186:Z186" si="165">+SUM(F138:F185)-F177</f>
        <v>0</v>
      </c>
      <c r="G186" s="2700">
        <f>+SUM(G138:G185)-G177</f>
        <v>2518.9399999999996</v>
      </c>
      <c r="H186" s="2700">
        <f t="shared" si="165"/>
        <v>0</v>
      </c>
      <c r="I186" s="2700">
        <f t="shared" si="165"/>
        <v>4637.1399999999994</v>
      </c>
      <c r="J186" s="3910">
        <f t="shared" si="165"/>
        <v>0</v>
      </c>
      <c r="K186" s="2700">
        <f>+SUM(K138:K185)-K177</f>
        <v>1705.5100000000004</v>
      </c>
      <c r="L186" s="2700">
        <f t="shared" si="165"/>
        <v>0</v>
      </c>
      <c r="M186" s="2701">
        <f t="shared" si="165"/>
        <v>6342.65</v>
      </c>
      <c r="N186" s="2700">
        <f t="shared" si="165"/>
        <v>0</v>
      </c>
      <c r="O186" s="2700">
        <f>+SUM(O138:O185)-O177</f>
        <v>2779.0600000000004</v>
      </c>
      <c r="P186" s="2700">
        <f t="shared" si="165"/>
        <v>0</v>
      </c>
      <c r="Q186" s="2700">
        <f t="shared" ref="Q186" si="166">+SUM(Q138:Q185)-Q177</f>
        <v>9121.7099999999991</v>
      </c>
      <c r="R186" s="2700">
        <f t="shared" si="165"/>
        <v>0</v>
      </c>
      <c r="S186" s="2700">
        <f>+SUM(S138:S185)-S177</f>
        <v>2179.8429999999998</v>
      </c>
      <c r="T186" s="2700">
        <f t="shared" si="165"/>
        <v>0</v>
      </c>
      <c r="U186" s="2700">
        <f t="shared" ref="U186" si="167">+SUM(U138:U185)-U177</f>
        <v>11301.553</v>
      </c>
      <c r="V186" s="2700">
        <f t="shared" si="165"/>
        <v>0</v>
      </c>
      <c r="W186" s="2700">
        <f>+SUM(W138:W185)-W177</f>
        <v>3409.05</v>
      </c>
      <c r="X186" s="2700">
        <f t="shared" si="165"/>
        <v>0</v>
      </c>
      <c r="Y186" s="2701">
        <f t="shared" si="142"/>
        <v>8367.9530000000013</v>
      </c>
      <c r="Z186" s="2700">
        <f t="shared" si="165"/>
        <v>0</v>
      </c>
      <c r="AA186" s="3083">
        <f t="shared" si="143"/>
        <v>14710.603000000001</v>
      </c>
      <c r="AB186" s="2700">
        <f t="shared" ref="AB186:AE186" si="168">+SUM(AB138:AB185)-AB177</f>
        <v>0</v>
      </c>
      <c r="AC186" s="5487">
        <f>+SUM(AC138:AC185)-AC177</f>
        <v>2193.09</v>
      </c>
      <c r="AD186" s="2700">
        <f t="shared" si="168"/>
        <v>0</v>
      </c>
      <c r="AE186" s="2700">
        <f t="shared" si="168"/>
        <v>16903.692999999999</v>
      </c>
      <c r="AF186" s="2700">
        <f t="shared" ref="AF186:AI186" si="169">+SUM(AF138:AF185)-AF177</f>
        <v>0</v>
      </c>
      <c r="AG186" s="5487">
        <f>+SUM(AG138:AG185)-AG177</f>
        <v>1416.9499999999998</v>
      </c>
      <c r="AH186" s="2700">
        <f t="shared" si="169"/>
        <v>0</v>
      </c>
      <c r="AI186" s="2700">
        <f t="shared" si="169"/>
        <v>18320.642999999996</v>
      </c>
      <c r="AJ186" s="2700">
        <f t="shared" ref="AJ186:AL186" si="170">+SUM(AJ138:AJ185)-AJ177</f>
        <v>0</v>
      </c>
      <c r="AK186" s="5487">
        <f>+SUM(AK138:AK185)-AK177</f>
        <v>1705.56</v>
      </c>
      <c r="AL186" s="2700">
        <f t="shared" si="170"/>
        <v>0</v>
      </c>
      <c r="AM186" s="2701">
        <f t="shared" si="144"/>
        <v>5315.6</v>
      </c>
      <c r="AN186" s="2700">
        <f t="shared" ref="AN186" si="171">+SUM(AN138:AN185)-AN177</f>
        <v>0</v>
      </c>
      <c r="AO186" s="2700">
        <f t="shared" si="160"/>
        <v>20026.202999999998</v>
      </c>
      <c r="AP186" s="2700">
        <f t="shared" ref="AP186:AS186" si="172">+SUM(AP138:AP185)-AP177</f>
        <v>0</v>
      </c>
      <c r="AQ186" s="5487">
        <f>+SUM(AQ138:AQ185)-AQ177</f>
        <v>1605.4099999999996</v>
      </c>
      <c r="AR186" s="2700">
        <f t="shared" si="172"/>
        <v>0</v>
      </c>
      <c r="AS186" s="2700">
        <f t="shared" si="172"/>
        <v>21631.612999999998</v>
      </c>
      <c r="AT186" s="2700">
        <f t="shared" ref="AT186:AW186" si="173">+SUM(AT138:AT185)-AT177</f>
        <v>0</v>
      </c>
      <c r="AU186" s="5487">
        <f>+SUM(AU138:AU185)-AU177</f>
        <v>1970.16</v>
      </c>
      <c r="AV186" s="2700">
        <f t="shared" si="173"/>
        <v>0</v>
      </c>
      <c r="AW186" s="2700">
        <f t="shared" si="173"/>
        <v>23601.773000000001</v>
      </c>
      <c r="AX186" s="2700">
        <f t="shared" ref="AX186:BE186" si="174">+SUM(AX138:AX185)-AX177</f>
        <v>0</v>
      </c>
      <c r="AY186" s="5487">
        <f>+SUM(AY138:AY185)-AY177</f>
        <v>2101.84</v>
      </c>
      <c r="AZ186" s="2700">
        <f t="shared" si="174"/>
        <v>0</v>
      </c>
      <c r="BA186" s="2701">
        <f t="shared" si="145"/>
        <v>5677.41</v>
      </c>
      <c r="BB186" s="2700">
        <f>+SUM(BB138:BB185)-BB177</f>
        <v>0</v>
      </c>
      <c r="BC186" s="3083">
        <f t="shared" si="146"/>
        <v>10993.01</v>
      </c>
      <c r="BD186" s="2700">
        <f t="shared" si="174"/>
        <v>0</v>
      </c>
      <c r="BE186" s="2700">
        <f t="shared" si="174"/>
        <v>25703.612999999998</v>
      </c>
      <c r="BF186" s="26"/>
      <c r="BG186" s="26"/>
      <c r="BP186" s="26"/>
      <c r="BQ186" s="26"/>
    </row>
    <row r="187" spans="1:69" ht="22.5" x14ac:dyDescent="0.25">
      <c r="B187" s="2702" t="s">
        <v>690</v>
      </c>
      <c r="C187" s="204"/>
      <c r="D187" s="2703"/>
      <c r="E187" s="1717"/>
      <c r="F187" s="1717"/>
      <c r="G187" s="1717"/>
      <c r="H187" s="2704"/>
      <c r="I187" s="3928"/>
      <c r="J187" s="3911"/>
      <c r="K187" s="1717"/>
      <c r="L187" s="1717"/>
      <c r="M187" s="2705"/>
      <c r="N187" s="1717"/>
      <c r="O187" s="1717"/>
      <c r="P187" s="1717"/>
      <c r="Q187" s="3928"/>
      <c r="R187" s="2706"/>
      <c r="S187" s="1717"/>
      <c r="T187" s="1717"/>
      <c r="U187" s="3928"/>
      <c r="V187" s="2706"/>
      <c r="W187" s="1717"/>
      <c r="X187" s="1717"/>
      <c r="Y187" s="2705"/>
      <c r="Z187" s="3000"/>
      <c r="AA187" s="3000"/>
      <c r="AB187" s="2706"/>
      <c r="AC187" s="4304"/>
      <c r="AD187" s="1717"/>
      <c r="AE187" s="1717"/>
      <c r="AF187" s="2706"/>
      <c r="AG187" s="4304"/>
      <c r="AH187" s="1717"/>
      <c r="AI187" s="2707"/>
      <c r="AJ187" s="2706"/>
      <c r="AK187" s="4304"/>
      <c r="AL187" s="1717"/>
      <c r="AM187" s="2705"/>
      <c r="AN187" s="1717"/>
      <c r="AO187" s="2707"/>
      <c r="AP187" s="2706"/>
      <c r="AQ187" s="4304"/>
      <c r="AR187" s="1717"/>
      <c r="AS187" s="2707"/>
      <c r="AT187" s="2706"/>
      <c r="AU187" s="4304"/>
      <c r="AV187" s="1717"/>
      <c r="AW187" s="2707"/>
      <c r="AX187" s="3000"/>
      <c r="AY187" s="4304"/>
      <c r="AZ187" s="3000"/>
      <c r="BA187" s="2705"/>
      <c r="BB187" s="3000"/>
      <c r="BC187" s="3000"/>
      <c r="BD187" s="3000"/>
      <c r="BE187" s="3000"/>
      <c r="BF187" s="26"/>
      <c r="BG187" s="26"/>
      <c r="BP187" s="26"/>
      <c r="BQ187" s="26"/>
    </row>
    <row r="188" spans="1:69" ht="18.75" x14ac:dyDescent="0.25">
      <c r="B188" s="530" t="s">
        <v>60</v>
      </c>
      <c r="C188" s="3929" t="s">
        <v>354</v>
      </c>
      <c r="D188" s="3158"/>
      <c r="E188" s="3158">
        <f>SUM(E189:E190)</f>
        <v>9995.39</v>
      </c>
      <c r="F188" s="3158"/>
      <c r="G188" s="3158">
        <f>SUM(G189:G190)</f>
        <v>0</v>
      </c>
      <c r="H188" s="3159"/>
      <c r="I188" s="3921">
        <f t="shared" ref="I188:I200" si="175">+E188+G188</f>
        <v>9995.39</v>
      </c>
      <c r="J188" s="3907"/>
      <c r="K188" s="3158">
        <f>SUM(K189:K190)</f>
        <v>0</v>
      </c>
      <c r="L188" s="1360"/>
      <c r="M188" s="802">
        <f t="shared" ref="M188:M200" si="176">+E188+G188+K188</f>
        <v>9995.39</v>
      </c>
      <c r="N188" s="1360"/>
      <c r="O188" s="3158">
        <f>SUM(O189:O190)</f>
        <v>0</v>
      </c>
      <c r="P188" s="1360"/>
      <c r="Q188" s="3921">
        <f t="shared" ref="Q188:Q200" si="177">+M188+O188</f>
        <v>9995.39</v>
      </c>
      <c r="R188" s="596"/>
      <c r="S188" s="3158">
        <f>SUM(S189:S190)</f>
        <v>0</v>
      </c>
      <c r="T188" s="1360"/>
      <c r="U188" s="3921">
        <f t="shared" ref="U188:U200" si="178">+Q188+S188</f>
        <v>9995.39</v>
      </c>
      <c r="V188" s="596"/>
      <c r="W188" s="3158">
        <f>SUM(W189:W190)</f>
        <v>0</v>
      </c>
      <c r="X188" s="1360"/>
      <c r="Y188" s="802">
        <f t="shared" si="142"/>
        <v>0</v>
      </c>
      <c r="Z188" s="596"/>
      <c r="AA188" s="3084">
        <f t="shared" si="143"/>
        <v>9995.39</v>
      </c>
      <c r="AB188" s="596"/>
      <c r="AC188" s="5482">
        <f>SUM(AC189:AC191)</f>
        <v>3813.04</v>
      </c>
      <c r="AD188" s="1360"/>
      <c r="AE188" s="1360">
        <f t="shared" ref="AE188:AE194" si="179">+AA188+AC188</f>
        <v>13808.43</v>
      </c>
      <c r="AF188" s="596"/>
      <c r="AG188" s="5482">
        <f>SUM(AG189:AG191)</f>
        <v>14664.37</v>
      </c>
      <c r="AH188" s="1360"/>
      <c r="AI188" s="2708">
        <f t="shared" ref="AI188:AI199" si="180">+AE188+AG188</f>
        <v>28472.800000000003</v>
      </c>
      <c r="AJ188" s="596"/>
      <c r="AK188" s="5482">
        <f>SUM(AK189:AK191)</f>
        <v>3755.96</v>
      </c>
      <c r="AL188" s="596"/>
      <c r="AM188" s="802">
        <f t="shared" si="144"/>
        <v>22233.37</v>
      </c>
      <c r="AN188" s="1360"/>
      <c r="AO188" s="2708">
        <f t="shared" si="160"/>
        <v>32228.760000000002</v>
      </c>
      <c r="AP188" s="596"/>
      <c r="AQ188" s="5482">
        <f>SUM(AQ189:AQ191)</f>
        <v>6597.14</v>
      </c>
      <c r="AR188" s="1360"/>
      <c r="AS188" s="2708">
        <f t="shared" ref="AS188:AS200" si="181">+AO188+AQ188</f>
        <v>38825.9</v>
      </c>
      <c r="AT188" s="596"/>
      <c r="AU188" s="5482">
        <f>SUM(AU189:AU191)</f>
        <v>0</v>
      </c>
      <c r="AV188" s="1360"/>
      <c r="AW188" s="2708">
        <f t="shared" ref="AW188:AW200" si="182">+AS188+AU188</f>
        <v>38825.9</v>
      </c>
      <c r="AX188" s="596"/>
      <c r="AY188" s="5482">
        <f>SUM(AY189:AY191)</f>
        <v>6887.73</v>
      </c>
      <c r="AZ188" s="596"/>
      <c r="BA188" s="802">
        <f t="shared" si="145"/>
        <v>13484.869999999999</v>
      </c>
      <c r="BB188" s="596"/>
      <c r="BC188" s="3084">
        <f t="shared" si="146"/>
        <v>35718.239999999998</v>
      </c>
      <c r="BD188" s="1360"/>
      <c r="BE188" s="2708">
        <f t="shared" ref="BE188:BE200" si="183">+AW188+AY188</f>
        <v>45713.630000000005</v>
      </c>
      <c r="BF188" s="26"/>
      <c r="BG188" s="26"/>
      <c r="BP188" s="26"/>
      <c r="BQ188" s="26"/>
    </row>
    <row r="189" spans="1:69" hidden="1" x14ac:dyDescent="0.25">
      <c r="B189" s="8" t="s">
        <v>956</v>
      </c>
      <c r="C189" s="3142" t="s">
        <v>354</v>
      </c>
      <c r="D189" s="3229"/>
      <c r="E189" s="3229"/>
      <c r="F189" s="3229"/>
      <c r="G189" s="3229"/>
      <c r="H189" s="3162"/>
      <c r="I189" s="3919">
        <f t="shared" si="175"/>
        <v>0</v>
      </c>
      <c r="J189" s="1737"/>
      <c r="K189" s="3229"/>
      <c r="L189" s="596"/>
      <c r="M189" s="802">
        <f t="shared" si="176"/>
        <v>0</v>
      </c>
      <c r="N189" s="596"/>
      <c r="O189" s="3229"/>
      <c r="P189" s="596"/>
      <c r="Q189" s="3919">
        <f t="shared" si="177"/>
        <v>0</v>
      </c>
      <c r="R189" s="596"/>
      <c r="S189" s="3229"/>
      <c r="T189" s="596"/>
      <c r="U189" s="3919">
        <f t="shared" si="178"/>
        <v>0</v>
      </c>
      <c r="V189" s="596"/>
      <c r="W189" s="3229"/>
      <c r="X189" s="596"/>
      <c r="Y189" s="802">
        <f t="shared" si="142"/>
        <v>0</v>
      </c>
      <c r="Z189" s="596"/>
      <c r="AA189" s="3084">
        <f t="shared" si="143"/>
        <v>0</v>
      </c>
      <c r="AB189" s="596"/>
      <c r="AC189" s="3398"/>
      <c r="AD189" s="596"/>
      <c r="AE189" s="2608">
        <f t="shared" si="179"/>
        <v>0</v>
      </c>
      <c r="AF189" s="596"/>
      <c r="AG189" s="3398"/>
      <c r="AH189" s="596"/>
      <c r="AI189" s="1184">
        <f t="shared" si="180"/>
        <v>0</v>
      </c>
      <c r="AJ189" s="596"/>
      <c r="AK189" s="3398"/>
      <c r="AL189" s="596"/>
      <c r="AM189" s="802">
        <f t="shared" si="144"/>
        <v>0</v>
      </c>
      <c r="AN189" s="596"/>
      <c r="AO189" s="1184">
        <f t="shared" si="160"/>
        <v>0</v>
      </c>
      <c r="AP189" s="596"/>
      <c r="AQ189" s="3398"/>
      <c r="AR189" s="596"/>
      <c r="AS189" s="1184">
        <f t="shared" si="181"/>
        <v>0</v>
      </c>
      <c r="AT189" s="596"/>
      <c r="AU189" s="3398"/>
      <c r="AV189" s="596"/>
      <c r="AW189" s="1184">
        <f t="shared" si="182"/>
        <v>0</v>
      </c>
      <c r="AX189" s="596"/>
      <c r="AY189" s="3398"/>
      <c r="AZ189" s="596"/>
      <c r="BA189" s="802">
        <f t="shared" si="145"/>
        <v>0</v>
      </c>
      <c r="BB189" s="596"/>
      <c r="BC189" s="3084">
        <f t="shared" si="146"/>
        <v>0</v>
      </c>
      <c r="BD189" s="596"/>
      <c r="BE189" s="182">
        <f t="shared" si="183"/>
        <v>0</v>
      </c>
      <c r="BF189" s="26"/>
      <c r="BG189" s="26"/>
      <c r="BP189" s="26"/>
      <c r="BQ189" s="26"/>
    </row>
    <row r="190" spans="1:69" x14ac:dyDescent="0.25">
      <c r="B190" s="8" t="s">
        <v>844</v>
      </c>
      <c r="C190" s="3142" t="s">
        <v>354</v>
      </c>
      <c r="D190" s="3229"/>
      <c r="E190" s="3229">
        <v>9995.39</v>
      </c>
      <c r="F190" s="3229"/>
      <c r="G190" s="3229"/>
      <c r="H190" s="3162"/>
      <c r="I190" s="3919">
        <f t="shared" si="175"/>
        <v>9995.39</v>
      </c>
      <c r="J190" s="1737"/>
      <c r="K190" s="3229"/>
      <c r="L190" s="596"/>
      <c r="M190" s="802">
        <f t="shared" si="176"/>
        <v>9995.39</v>
      </c>
      <c r="N190" s="596"/>
      <c r="O190" s="3229"/>
      <c r="P190" s="596"/>
      <c r="Q190" s="3919">
        <f t="shared" si="177"/>
        <v>9995.39</v>
      </c>
      <c r="R190" s="596"/>
      <c r="S190" s="3229"/>
      <c r="T190" s="596"/>
      <c r="U190" s="3919">
        <f t="shared" si="178"/>
        <v>9995.39</v>
      </c>
      <c r="V190" s="596"/>
      <c r="W190" s="3229"/>
      <c r="X190" s="596"/>
      <c r="Y190" s="802">
        <f t="shared" si="142"/>
        <v>0</v>
      </c>
      <c r="Z190" s="596"/>
      <c r="AA190" s="3084">
        <f t="shared" si="143"/>
        <v>9995.39</v>
      </c>
      <c r="AB190" s="596"/>
      <c r="AC190" s="3398">
        <v>0</v>
      </c>
      <c r="AD190" s="596"/>
      <c r="AE190" s="2608">
        <f t="shared" si="179"/>
        <v>9995.39</v>
      </c>
      <c r="AF190" s="596"/>
      <c r="AG190" s="3398">
        <v>11564.93</v>
      </c>
      <c r="AH190" s="596"/>
      <c r="AI190" s="182">
        <f t="shared" si="180"/>
        <v>21560.32</v>
      </c>
      <c r="AJ190" s="596"/>
      <c r="AK190" s="3398">
        <v>3755.96</v>
      </c>
      <c r="AL190" s="596"/>
      <c r="AM190" s="802">
        <f t="shared" si="144"/>
        <v>15320.89</v>
      </c>
      <c r="AN190" s="596"/>
      <c r="AO190" s="1184">
        <f t="shared" si="160"/>
        <v>25316.28</v>
      </c>
      <c r="AP190" s="596"/>
      <c r="AQ190" s="3398">
        <v>6597.14</v>
      </c>
      <c r="AR190" s="596"/>
      <c r="AS190" s="1184">
        <f t="shared" si="181"/>
        <v>31913.42</v>
      </c>
      <c r="AT190" s="596"/>
      <c r="AU190" s="3398"/>
      <c r="AV190" s="596"/>
      <c r="AW190" s="1184">
        <f t="shared" si="182"/>
        <v>31913.42</v>
      </c>
      <c r="AX190" s="596"/>
      <c r="AY190" s="3398">
        <v>6887.73</v>
      </c>
      <c r="AZ190" s="596"/>
      <c r="BA190" s="802">
        <f t="shared" si="145"/>
        <v>13484.869999999999</v>
      </c>
      <c r="BB190" s="596"/>
      <c r="BC190" s="3084">
        <f t="shared" si="146"/>
        <v>28805.759999999998</v>
      </c>
      <c r="BD190" s="596"/>
      <c r="BE190" s="182">
        <f t="shared" si="183"/>
        <v>38801.149999999994</v>
      </c>
      <c r="BF190" s="26"/>
      <c r="BG190" s="26"/>
      <c r="BP190" s="26"/>
      <c r="BQ190" s="26"/>
    </row>
    <row r="191" spans="1:69" s="5172" customFormat="1" hidden="1" x14ac:dyDescent="0.25">
      <c r="B191" s="8" t="s">
        <v>845</v>
      </c>
      <c r="C191" s="5440"/>
      <c r="D191" s="5448"/>
      <c r="E191" s="5448"/>
      <c r="F191" s="5448"/>
      <c r="G191" s="5448"/>
      <c r="H191" s="5443"/>
      <c r="I191" s="3919"/>
      <c r="J191" s="5449"/>
      <c r="K191" s="5448"/>
      <c r="L191" s="5448"/>
      <c r="M191" s="5450"/>
      <c r="N191" s="5448"/>
      <c r="O191" s="5448"/>
      <c r="P191" s="5448"/>
      <c r="Q191" s="3919"/>
      <c r="R191" s="5448"/>
      <c r="S191" s="5448"/>
      <c r="T191" s="5448"/>
      <c r="U191" s="3919"/>
      <c r="V191" s="5448"/>
      <c r="W191" s="5448"/>
      <c r="X191" s="5448"/>
      <c r="Y191" s="5450"/>
      <c r="Z191" s="5448"/>
      <c r="AA191" s="3084"/>
      <c r="AB191" s="5448"/>
      <c r="AC191" s="5488">
        <v>3813.04</v>
      </c>
      <c r="AD191" s="5448"/>
      <c r="AE191" s="2608">
        <f t="shared" si="179"/>
        <v>3813.04</v>
      </c>
      <c r="AF191" s="5448"/>
      <c r="AG191" s="5488">
        <v>3099.44</v>
      </c>
      <c r="AH191" s="5448"/>
      <c r="AI191" s="182">
        <f t="shared" si="180"/>
        <v>6912.48</v>
      </c>
      <c r="AJ191" s="5448"/>
      <c r="AK191" s="5488"/>
      <c r="AL191" s="5448"/>
      <c r="AM191" s="802">
        <f t="shared" ref="AM191:AM199" si="184">+AC191+AG191+AK191</f>
        <v>6912.48</v>
      </c>
      <c r="AN191" s="596"/>
      <c r="AO191" s="1184">
        <f t="shared" ref="AO191:AO199" si="185">AI191+AK191</f>
        <v>6912.48</v>
      </c>
      <c r="AP191" s="5448"/>
      <c r="AQ191" s="5488"/>
      <c r="AR191" s="5448"/>
      <c r="AS191" s="1184">
        <f t="shared" si="181"/>
        <v>6912.48</v>
      </c>
      <c r="AT191" s="5448"/>
      <c r="AU191" s="5488"/>
      <c r="AV191" s="5448"/>
      <c r="AW191" s="1184">
        <f t="shared" si="182"/>
        <v>6912.48</v>
      </c>
      <c r="AX191" s="5448"/>
      <c r="AY191" s="5488"/>
      <c r="AZ191" s="5448"/>
      <c r="BA191" s="802">
        <f t="shared" ref="BA191:BA198" si="186">+AQ191+AU191+AY191</f>
        <v>0</v>
      </c>
      <c r="BB191" s="596"/>
      <c r="BC191" s="3084">
        <f t="shared" ref="BC191:BC198" si="187">BA191+AM191</f>
        <v>6912.48</v>
      </c>
      <c r="BD191" s="5448"/>
      <c r="BE191" s="182">
        <f t="shared" si="183"/>
        <v>6912.48</v>
      </c>
      <c r="BF191" s="26"/>
      <c r="BG191" s="26"/>
      <c r="BP191" s="26"/>
      <c r="BQ191" s="26"/>
    </row>
    <row r="192" spans="1:69" s="2868" customFormat="1" x14ac:dyDescent="0.25">
      <c r="B192" s="1182" t="s">
        <v>2293</v>
      </c>
      <c r="C192" s="3142" t="s">
        <v>354</v>
      </c>
      <c r="D192" s="3229"/>
      <c r="E192" s="3229">
        <v>133.4</v>
      </c>
      <c r="F192" s="3229"/>
      <c r="G192" s="3229"/>
      <c r="H192" s="3162"/>
      <c r="I192" s="3919">
        <f t="shared" si="175"/>
        <v>133.4</v>
      </c>
      <c r="J192" s="1737"/>
      <c r="K192" s="3229"/>
      <c r="L192" s="2887"/>
      <c r="M192" s="2888"/>
      <c r="N192" s="2887"/>
      <c r="O192" s="3229"/>
      <c r="P192" s="2887"/>
      <c r="Q192" s="3919">
        <f t="shared" si="177"/>
        <v>0</v>
      </c>
      <c r="R192" s="2887"/>
      <c r="S192" s="3229"/>
      <c r="T192" s="2887"/>
      <c r="U192" s="3919">
        <f t="shared" si="178"/>
        <v>0</v>
      </c>
      <c r="V192" s="2887"/>
      <c r="W192" s="3229"/>
      <c r="X192" s="2887"/>
      <c r="Y192" s="802">
        <f t="shared" si="142"/>
        <v>0</v>
      </c>
      <c r="Z192" s="2887"/>
      <c r="AA192" s="3084">
        <f t="shared" si="143"/>
        <v>0</v>
      </c>
      <c r="AB192" s="2887"/>
      <c r="AC192" s="3398"/>
      <c r="AD192" s="2887"/>
      <c r="AE192" s="2608">
        <f t="shared" si="179"/>
        <v>0</v>
      </c>
      <c r="AF192" s="2887"/>
      <c r="AG192" s="3398"/>
      <c r="AH192" s="2887"/>
      <c r="AI192" s="182">
        <f t="shared" si="180"/>
        <v>0</v>
      </c>
      <c r="AJ192" s="2887"/>
      <c r="AK192" s="3398"/>
      <c r="AL192" s="2887"/>
      <c r="AM192" s="802">
        <f t="shared" si="184"/>
        <v>0</v>
      </c>
      <c r="AN192" s="596"/>
      <c r="AO192" s="1184">
        <f t="shared" si="185"/>
        <v>0</v>
      </c>
      <c r="AP192" s="2887"/>
      <c r="AQ192" s="3398"/>
      <c r="AR192" s="2887"/>
      <c r="AS192" s="1184">
        <f t="shared" si="181"/>
        <v>0</v>
      </c>
      <c r="AT192" s="2887"/>
      <c r="AU192" s="3398"/>
      <c r="AV192" s="2887"/>
      <c r="AW192" s="1184">
        <f t="shared" si="182"/>
        <v>0</v>
      </c>
      <c r="AX192" s="2887"/>
      <c r="AY192" s="3398">
        <v>225.98</v>
      </c>
      <c r="AZ192" s="2887"/>
      <c r="BA192" s="802">
        <f t="shared" si="186"/>
        <v>225.98</v>
      </c>
      <c r="BB192" s="596"/>
      <c r="BC192" s="3084">
        <f t="shared" si="187"/>
        <v>225.98</v>
      </c>
      <c r="BD192" s="2887"/>
      <c r="BE192" s="182">
        <f t="shared" si="183"/>
        <v>225.98</v>
      </c>
      <c r="BF192" s="26"/>
      <c r="BG192" s="26"/>
      <c r="BP192" s="26"/>
      <c r="BQ192" s="26"/>
    </row>
    <row r="193" spans="1:69" ht="18.75" hidden="1" x14ac:dyDescent="0.25">
      <c r="B193" s="1182" t="s">
        <v>1087</v>
      </c>
      <c r="C193" s="3929" t="s">
        <v>354</v>
      </c>
      <c r="D193" s="3144"/>
      <c r="E193" s="3144"/>
      <c r="F193" s="3144"/>
      <c r="G193" s="3144"/>
      <c r="H193" s="3930"/>
      <c r="I193" s="3931">
        <f t="shared" si="175"/>
        <v>0</v>
      </c>
      <c r="J193" s="741"/>
      <c r="K193" s="3144"/>
      <c r="L193" s="621"/>
      <c r="M193" s="802">
        <f t="shared" si="176"/>
        <v>0</v>
      </c>
      <c r="N193" s="621"/>
      <c r="O193" s="3144"/>
      <c r="P193" s="621"/>
      <c r="Q193" s="3931">
        <f t="shared" si="177"/>
        <v>0</v>
      </c>
      <c r="R193" s="621"/>
      <c r="S193" s="3144"/>
      <c r="T193" s="621"/>
      <c r="U193" s="3931">
        <f t="shared" si="178"/>
        <v>0</v>
      </c>
      <c r="V193" s="621"/>
      <c r="W193" s="3144"/>
      <c r="X193" s="621"/>
      <c r="Y193" s="802">
        <f t="shared" si="142"/>
        <v>0</v>
      </c>
      <c r="Z193" s="621"/>
      <c r="AA193" s="3084">
        <f t="shared" si="143"/>
        <v>0</v>
      </c>
      <c r="AB193" s="621"/>
      <c r="AC193" s="3551"/>
      <c r="AD193" s="621"/>
      <c r="AE193" s="2608">
        <f t="shared" si="179"/>
        <v>0</v>
      </c>
      <c r="AF193" s="621"/>
      <c r="AG193" s="3551">
        <v>967.46</v>
      </c>
      <c r="AH193" s="621"/>
      <c r="AI193" s="182">
        <f t="shared" si="180"/>
        <v>967.46</v>
      </c>
      <c r="AJ193" s="621"/>
      <c r="AK193" s="3551"/>
      <c r="AL193" s="621"/>
      <c r="AM193" s="802">
        <f t="shared" si="184"/>
        <v>967.46</v>
      </c>
      <c r="AN193" s="596"/>
      <c r="AO193" s="1184">
        <f t="shared" si="185"/>
        <v>967.46</v>
      </c>
      <c r="AP193" s="621"/>
      <c r="AQ193" s="3551"/>
      <c r="AR193" s="621"/>
      <c r="AS193" s="1184">
        <f t="shared" si="181"/>
        <v>967.46</v>
      </c>
      <c r="AT193" s="621"/>
      <c r="AU193" s="3551"/>
      <c r="AV193" s="621"/>
      <c r="AW193" s="1184">
        <f t="shared" si="182"/>
        <v>967.46</v>
      </c>
      <c r="AX193" s="621"/>
      <c r="AY193" s="3551"/>
      <c r="AZ193" s="621"/>
      <c r="BA193" s="802">
        <f t="shared" si="186"/>
        <v>0</v>
      </c>
      <c r="BB193" s="596"/>
      <c r="BC193" s="3084">
        <f t="shared" si="187"/>
        <v>967.46</v>
      </c>
      <c r="BD193" s="621"/>
      <c r="BE193" s="182">
        <f t="shared" si="183"/>
        <v>967.46</v>
      </c>
      <c r="BF193" s="26"/>
      <c r="BG193" s="26"/>
      <c r="BP193" s="26"/>
      <c r="BQ193" s="26"/>
    </row>
    <row r="194" spans="1:69" s="2607" customFormat="1" ht="18.75" x14ac:dyDescent="0.25">
      <c r="B194" s="1182" t="s">
        <v>2294</v>
      </c>
      <c r="C194" s="3929" t="s">
        <v>354</v>
      </c>
      <c r="D194" s="3144"/>
      <c r="E194" s="3144">
        <v>363.06</v>
      </c>
      <c r="F194" s="3144"/>
      <c r="G194" s="3144">
        <v>485.28000000000003</v>
      </c>
      <c r="H194" s="3930"/>
      <c r="I194" s="3931">
        <f>+E194+G194</f>
        <v>848.34</v>
      </c>
      <c r="J194" s="741"/>
      <c r="K194" s="3144"/>
      <c r="L194" s="621"/>
      <c r="M194" s="802">
        <f t="shared" si="176"/>
        <v>848.34</v>
      </c>
      <c r="N194" s="621"/>
      <c r="O194" s="3144"/>
      <c r="P194" s="621"/>
      <c r="Q194" s="3931">
        <f>+M194+O194</f>
        <v>848.34</v>
      </c>
      <c r="R194" s="621"/>
      <c r="S194" s="3144"/>
      <c r="T194" s="621"/>
      <c r="U194" s="3931">
        <f>+Q194+S194</f>
        <v>848.34</v>
      </c>
      <c r="V194" s="621"/>
      <c r="W194" s="3144"/>
      <c r="X194" s="621"/>
      <c r="Y194" s="802">
        <f t="shared" si="142"/>
        <v>0</v>
      </c>
      <c r="Z194" s="621"/>
      <c r="AA194" s="3084">
        <f t="shared" si="143"/>
        <v>848.34</v>
      </c>
      <c r="AB194" s="621"/>
      <c r="AC194" s="3551"/>
      <c r="AD194" s="621"/>
      <c r="AE194" s="2608">
        <f t="shared" si="179"/>
        <v>848.34</v>
      </c>
      <c r="AF194" s="621"/>
      <c r="AG194" s="3551">
        <v>59.88</v>
      </c>
      <c r="AH194" s="621"/>
      <c r="AI194" s="182">
        <f t="shared" si="180"/>
        <v>908.22</v>
      </c>
      <c r="AJ194" s="621"/>
      <c r="AK194" s="3551"/>
      <c r="AL194" s="621"/>
      <c r="AM194" s="802">
        <f t="shared" si="184"/>
        <v>59.88</v>
      </c>
      <c r="AN194" s="596"/>
      <c r="AO194" s="1184">
        <f t="shared" si="185"/>
        <v>908.22</v>
      </c>
      <c r="AP194" s="621"/>
      <c r="AQ194" s="3551"/>
      <c r="AR194" s="621"/>
      <c r="AS194" s="1184">
        <f t="shared" si="181"/>
        <v>908.22</v>
      </c>
      <c r="AT194" s="621"/>
      <c r="AU194" s="3551"/>
      <c r="AV194" s="621"/>
      <c r="AW194" s="1184">
        <f t="shared" si="182"/>
        <v>908.22</v>
      </c>
      <c r="AX194" s="621"/>
      <c r="AY194" s="3398">
        <v>941.62</v>
      </c>
      <c r="AZ194" s="621"/>
      <c r="BA194" s="802">
        <f t="shared" si="186"/>
        <v>941.62</v>
      </c>
      <c r="BB194" s="596"/>
      <c r="BC194" s="3084">
        <f t="shared" si="187"/>
        <v>1001.5</v>
      </c>
      <c r="BD194" s="621"/>
      <c r="BE194" s="182">
        <f t="shared" si="183"/>
        <v>1849.8400000000001</v>
      </c>
      <c r="BF194" s="26"/>
      <c r="BG194" s="26"/>
      <c r="BP194" s="26"/>
      <c r="BQ194" s="26"/>
    </row>
    <row r="195" spans="1:69" s="3422" customFormat="1" ht="18.75" hidden="1" x14ac:dyDescent="0.25">
      <c r="B195" s="2889" t="s">
        <v>1928</v>
      </c>
      <c r="C195" s="3423" t="s">
        <v>354</v>
      </c>
      <c r="D195" s="3424"/>
      <c r="E195" s="3424"/>
      <c r="F195" s="3424"/>
      <c r="G195" s="3424"/>
      <c r="H195" s="3425"/>
      <c r="I195" s="3931">
        <f t="shared" ref="I195:I196" si="188">+E195+G195</f>
        <v>0</v>
      </c>
      <c r="J195" s="3912"/>
      <c r="K195" s="3424"/>
      <c r="L195" s="3424"/>
      <c r="M195" s="802">
        <f t="shared" si="176"/>
        <v>0</v>
      </c>
      <c r="N195" s="3424"/>
      <c r="O195" s="3424"/>
      <c r="P195" s="3424"/>
      <c r="Q195" s="3931">
        <f t="shared" ref="Q195:Q196" si="189">+M195+O195</f>
        <v>0</v>
      </c>
      <c r="R195" s="3424"/>
      <c r="S195" s="3424"/>
      <c r="T195" s="3424"/>
      <c r="U195" s="3931">
        <f t="shared" ref="U195:U196" si="190">+Q195+S195</f>
        <v>0</v>
      </c>
      <c r="V195" s="3424"/>
      <c r="W195" s="3424"/>
      <c r="X195" s="3424"/>
      <c r="Y195" s="802">
        <f t="shared" si="142"/>
        <v>0</v>
      </c>
      <c r="Z195" s="3424"/>
      <c r="AA195" s="3084">
        <f t="shared" si="143"/>
        <v>0</v>
      </c>
      <c r="AB195" s="3424"/>
      <c r="AC195" s="5489"/>
      <c r="AD195" s="3424"/>
      <c r="AE195" s="256">
        <f t="shared" ref="AE195:AE200" si="191">+AA195+AC195</f>
        <v>0</v>
      </c>
      <c r="AF195" s="3424"/>
      <c r="AG195" s="5489"/>
      <c r="AH195" s="3424"/>
      <c r="AI195" s="182">
        <f t="shared" si="180"/>
        <v>0</v>
      </c>
      <c r="AJ195" s="3424"/>
      <c r="AK195" s="5489"/>
      <c r="AL195" s="3424"/>
      <c r="AM195" s="802">
        <f t="shared" si="184"/>
        <v>0</v>
      </c>
      <c r="AN195" s="596"/>
      <c r="AO195" s="1184">
        <f t="shared" si="185"/>
        <v>0</v>
      </c>
      <c r="AP195" s="3424"/>
      <c r="AQ195" s="5489"/>
      <c r="AR195" s="3424"/>
      <c r="AS195" s="1184">
        <f t="shared" si="181"/>
        <v>0</v>
      </c>
      <c r="AT195" s="3424"/>
      <c r="AU195" s="5489"/>
      <c r="AV195" s="3424"/>
      <c r="AW195" s="1184">
        <f t="shared" si="182"/>
        <v>0</v>
      </c>
      <c r="AX195" s="3424"/>
      <c r="AY195" s="5489"/>
      <c r="AZ195" s="3424"/>
      <c r="BA195" s="802">
        <f t="shared" si="186"/>
        <v>0</v>
      </c>
      <c r="BB195" s="596"/>
      <c r="BC195" s="3084">
        <f t="shared" si="187"/>
        <v>0</v>
      </c>
      <c r="BD195" s="3424"/>
      <c r="BE195" s="182">
        <f t="shared" si="183"/>
        <v>0</v>
      </c>
      <c r="BF195" s="26"/>
      <c r="BG195" s="26"/>
      <c r="BP195" s="26"/>
      <c r="BQ195" s="26"/>
    </row>
    <row r="196" spans="1:69" s="3422" customFormat="1" ht="18.75" hidden="1" x14ac:dyDescent="0.25">
      <c r="B196" s="2889" t="s">
        <v>1630</v>
      </c>
      <c r="C196" s="3423" t="s">
        <v>354</v>
      </c>
      <c r="D196" s="3424"/>
      <c r="E196" s="3424"/>
      <c r="F196" s="3424"/>
      <c r="G196" s="3424"/>
      <c r="H196" s="3425"/>
      <c r="I196" s="3931">
        <f t="shared" si="188"/>
        <v>0</v>
      </c>
      <c r="J196" s="3912"/>
      <c r="K196" s="3424"/>
      <c r="L196" s="3424"/>
      <c r="M196" s="802">
        <f t="shared" si="176"/>
        <v>0</v>
      </c>
      <c r="N196" s="3424"/>
      <c r="O196" s="3424"/>
      <c r="P196" s="3424"/>
      <c r="Q196" s="3931">
        <f t="shared" si="189"/>
        <v>0</v>
      </c>
      <c r="R196" s="3424"/>
      <c r="S196" s="3424"/>
      <c r="T196" s="3424"/>
      <c r="U196" s="3931">
        <f t="shared" si="190"/>
        <v>0</v>
      </c>
      <c r="V196" s="3424"/>
      <c r="W196" s="3424"/>
      <c r="X196" s="3424"/>
      <c r="Y196" s="802">
        <f t="shared" si="142"/>
        <v>0</v>
      </c>
      <c r="Z196" s="3424"/>
      <c r="AA196" s="3084">
        <f t="shared" si="143"/>
        <v>0</v>
      </c>
      <c r="AB196" s="3424"/>
      <c r="AC196" s="5489"/>
      <c r="AD196" s="3424"/>
      <c r="AE196" s="256">
        <f t="shared" si="191"/>
        <v>0</v>
      </c>
      <c r="AF196" s="3424"/>
      <c r="AG196" s="5489"/>
      <c r="AH196" s="3424"/>
      <c r="AI196" s="182">
        <f t="shared" si="180"/>
        <v>0</v>
      </c>
      <c r="AJ196" s="3424"/>
      <c r="AK196" s="5489"/>
      <c r="AL196" s="3424"/>
      <c r="AM196" s="802">
        <f t="shared" si="184"/>
        <v>0</v>
      </c>
      <c r="AN196" s="596"/>
      <c r="AO196" s="1184">
        <f t="shared" si="185"/>
        <v>0</v>
      </c>
      <c r="AP196" s="3424"/>
      <c r="AQ196" s="5489"/>
      <c r="AR196" s="3424"/>
      <c r="AS196" s="1184">
        <f t="shared" si="181"/>
        <v>0</v>
      </c>
      <c r="AT196" s="3424"/>
      <c r="AU196" s="5489"/>
      <c r="AV196" s="3424"/>
      <c r="AW196" s="1184">
        <f t="shared" si="182"/>
        <v>0</v>
      </c>
      <c r="AX196" s="3424"/>
      <c r="AY196" s="5489"/>
      <c r="AZ196" s="3424"/>
      <c r="BA196" s="802">
        <f t="shared" si="186"/>
        <v>0</v>
      </c>
      <c r="BB196" s="596"/>
      <c r="BC196" s="3084">
        <f t="shared" si="187"/>
        <v>0</v>
      </c>
      <c r="BD196" s="3424"/>
      <c r="BE196" s="182">
        <f t="shared" si="183"/>
        <v>0</v>
      </c>
      <c r="BF196" s="26"/>
      <c r="BG196" s="26"/>
      <c r="BP196" s="26"/>
      <c r="BQ196" s="26"/>
    </row>
    <row r="197" spans="1:69" s="2868" customFormat="1" ht="18.75" hidden="1" x14ac:dyDescent="0.25">
      <c r="B197" s="2889" t="s">
        <v>1085</v>
      </c>
      <c r="C197" s="3423" t="s">
        <v>354</v>
      </c>
      <c r="D197" s="3424"/>
      <c r="E197" s="3424"/>
      <c r="F197" s="3424"/>
      <c r="G197" s="3424"/>
      <c r="H197" s="3425"/>
      <c r="I197" s="3919">
        <f t="shared" si="175"/>
        <v>0</v>
      </c>
      <c r="J197" s="3912"/>
      <c r="K197" s="3424"/>
      <c r="L197" s="2890"/>
      <c r="M197" s="802">
        <f t="shared" si="176"/>
        <v>0</v>
      </c>
      <c r="N197" s="2890"/>
      <c r="O197" s="3424"/>
      <c r="P197" s="2890"/>
      <c r="Q197" s="3919">
        <f t="shared" si="177"/>
        <v>0</v>
      </c>
      <c r="R197" s="2890"/>
      <c r="S197" s="3424">
        <v>742.3</v>
      </c>
      <c r="T197" s="2890"/>
      <c r="U197" s="3919">
        <f t="shared" si="178"/>
        <v>742.3</v>
      </c>
      <c r="V197" s="2890"/>
      <c r="W197" s="3424"/>
      <c r="X197" s="2890"/>
      <c r="Y197" s="802">
        <f t="shared" si="142"/>
        <v>742.3</v>
      </c>
      <c r="Z197" s="2890"/>
      <c r="AA197" s="3084">
        <f t="shared" si="143"/>
        <v>742.3</v>
      </c>
      <c r="AB197" s="2890"/>
      <c r="AC197" s="5489"/>
      <c r="AD197" s="2890"/>
      <c r="AE197" s="256">
        <f t="shared" si="191"/>
        <v>742.3</v>
      </c>
      <c r="AF197" s="2890"/>
      <c r="AG197" s="5489">
        <v>659.04</v>
      </c>
      <c r="AH197" s="2890"/>
      <c r="AI197" s="182">
        <f t="shared" si="180"/>
        <v>1401.34</v>
      </c>
      <c r="AJ197" s="2890"/>
      <c r="AK197" s="5489"/>
      <c r="AL197" s="2890"/>
      <c r="AM197" s="802">
        <f t="shared" si="184"/>
        <v>659.04</v>
      </c>
      <c r="AN197" s="596"/>
      <c r="AO197" s="1184">
        <f t="shared" si="185"/>
        <v>1401.34</v>
      </c>
      <c r="AP197" s="2890"/>
      <c r="AQ197" s="5489">
        <v>1774.08</v>
      </c>
      <c r="AR197" s="2890"/>
      <c r="AS197" s="1184">
        <f t="shared" si="181"/>
        <v>3175.42</v>
      </c>
      <c r="AT197" s="2890"/>
      <c r="AU197" s="5489">
        <v>817.8599999999999</v>
      </c>
      <c r="AV197" s="2890"/>
      <c r="AW197" s="1184">
        <f t="shared" si="182"/>
        <v>3993.2799999999997</v>
      </c>
      <c r="AX197" s="2890"/>
      <c r="AY197" s="5489"/>
      <c r="AZ197" s="2890"/>
      <c r="BA197" s="802">
        <f t="shared" si="186"/>
        <v>2591.9399999999996</v>
      </c>
      <c r="BB197" s="596"/>
      <c r="BC197" s="3084">
        <f t="shared" si="187"/>
        <v>3250.9799999999996</v>
      </c>
      <c r="BD197" s="2890"/>
      <c r="BE197" s="182">
        <f t="shared" si="183"/>
        <v>3993.2799999999997</v>
      </c>
      <c r="BF197" s="26"/>
      <c r="BG197" s="26"/>
      <c r="BP197" s="26"/>
      <c r="BQ197" s="26"/>
    </row>
    <row r="198" spans="1:69" s="4712" customFormat="1" ht="18.75" hidden="1" x14ac:dyDescent="0.25">
      <c r="B198" s="2889" t="s">
        <v>1128</v>
      </c>
      <c r="C198" s="3423" t="s">
        <v>354</v>
      </c>
      <c r="D198" s="3424"/>
      <c r="E198" s="3424"/>
      <c r="F198" s="3424"/>
      <c r="G198" s="3424"/>
      <c r="H198" s="3425"/>
      <c r="I198" s="3919"/>
      <c r="J198" s="3912"/>
      <c r="K198" s="3424"/>
      <c r="L198" s="3424"/>
      <c r="M198" s="4625"/>
      <c r="N198" s="3424"/>
      <c r="O198" s="3424"/>
      <c r="P198" s="3424"/>
      <c r="Q198" s="3919"/>
      <c r="R198" s="3424"/>
      <c r="S198" s="3424">
        <v>113.74</v>
      </c>
      <c r="T198" s="3424"/>
      <c r="U198" s="3919">
        <f t="shared" si="178"/>
        <v>113.74</v>
      </c>
      <c r="V198" s="3424"/>
      <c r="W198" s="3424"/>
      <c r="X198" s="3424"/>
      <c r="Y198" s="802">
        <f t="shared" si="142"/>
        <v>113.74</v>
      </c>
      <c r="Z198" s="3424"/>
      <c r="AA198" s="3084">
        <f t="shared" si="143"/>
        <v>113.74</v>
      </c>
      <c r="AB198" s="3424"/>
      <c r="AC198" s="5489"/>
      <c r="AD198" s="3424"/>
      <c r="AE198" s="256">
        <f t="shared" si="191"/>
        <v>113.74</v>
      </c>
      <c r="AF198" s="3424"/>
      <c r="AG198" s="5489">
        <v>64.02</v>
      </c>
      <c r="AH198" s="3424"/>
      <c r="AI198" s="182">
        <f t="shared" si="180"/>
        <v>177.76</v>
      </c>
      <c r="AJ198" s="3424"/>
      <c r="AK198" s="5489"/>
      <c r="AL198" s="3424"/>
      <c r="AM198" s="802">
        <f t="shared" si="184"/>
        <v>64.02</v>
      </c>
      <c r="AN198" s="596"/>
      <c r="AO198" s="1184">
        <f t="shared" si="185"/>
        <v>177.76</v>
      </c>
      <c r="AP198" s="3424"/>
      <c r="AQ198" s="5489"/>
      <c r="AR198" s="3424"/>
      <c r="AS198" s="1184">
        <f t="shared" si="181"/>
        <v>177.76</v>
      </c>
      <c r="AT198" s="3424"/>
      <c r="AU198" s="5489"/>
      <c r="AV198" s="3424"/>
      <c r="AW198" s="1184">
        <f t="shared" si="182"/>
        <v>177.76</v>
      </c>
      <c r="AX198" s="3424"/>
      <c r="AY198" s="5489"/>
      <c r="AZ198" s="3424"/>
      <c r="BA198" s="802">
        <f t="shared" si="186"/>
        <v>0</v>
      </c>
      <c r="BB198" s="596"/>
      <c r="BC198" s="3084">
        <f t="shared" si="187"/>
        <v>64.02</v>
      </c>
      <c r="BD198" s="3424"/>
      <c r="BE198" s="182">
        <f t="shared" si="183"/>
        <v>177.76</v>
      </c>
      <c r="BF198" s="26"/>
      <c r="BG198" s="26"/>
      <c r="BP198" s="26"/>
      <c r="BQ198" s="26"/>
    </row>
    <row r="199" spans="1:69" s="2868" customFormat="1" ht="18.75" hidden="1" x14ac:dyDescent="0.25">
      <c r="B199" s="2889" t="s">
        <v>1086</v>
      </c>
      <c r="C199" s="3423" t="s">
        <v>354</v>
      </c>
      <c r="D199" s="3424"/>
      <c r="E199" s="3424"/>
      <c r="F199" s="3424"/>
      <c r="G199" s="3424"/>
      <c r="H199" s="3425"/>
      <c r="I199" s="3919">
        <f t="shared" si="175"/>
        <v>0</v>
      </c>
      <c r="J199" s="3912"/>
      <c r="K199" s="3424"/>
      <c r="L199" s="2890"/>
      <c r="M199" s="802">
        <f t="shared" si="176"/>
        <v>0</v>
      </c>
      <c r="N199" s="2890"/>
      <c r="O199" s="3424"/>
      <c r="P199" s="2890"/>
      <c r="Q199" s="3919">
        <f t="shared" si="177"/>
        <v>0</v>
      </c>
      <c r="R199" s="2890"/>
      <c r="S199" s="3424">
        <v>124.2</v>
      </c>
      <c r="T199" s="2890"/>
      <c r="U199" s="3919">
        <f t="shared" si="178"/>
        <v>124.2</v>
      </c>
      <c r="V199" s="2890"/>
      <c r="W199" s="3424"/>
      <c r="X199" s="2890"/>
      <c r="Y199" s="802">
        <f t="shared" si="142"/>
        <v>124.2</v>
      </c>
      <c r="Z199" s="2890"/>
      <c r="AA199" s="3084">
        <f t="shared" si="143"/>
        <v>124.2</v>
      </c>
      <c r="AB199" s="2890"/>
      <c r="AC199" s="5489"/>
      <c r="AD199" s="2890"/>
      <c r="AE199" s="256">
        <f t="shared" si="191"/>
        <v>124.2</v>
      </c>
      <c r="AF199" s="2890"/>
      <c r="AG199" s="5489">
        <v>126.32</v>
      </c>
      <c r="AH199" s="2890"/>
      <c r="AI199" s="182">
        <f t="shared" si="180"/>
        <v>250.51999999999998</v>
      </c>
      <c r="AJ199" s="2890"/>
      <c r="AK199" s="5489"/>
      <c r="AL199" s="2890"/>
      <c r="AM199" s="802">
        <f t="shared" si="184"/>
        <v>126.32</v>
      </c>
      <c r="AN199" s="596"/>
      <c r="AO199" s="1184">
        <f t="shared" si="185"/>
        <v>250.51999999999998</v>
      </c>
      <c r="AP199" s="2890"/>
      <c r="AQ199" s="5489"/>
      <c r="AR199" s="2890"/>
      <c r="AS199" s="1184">
        <f t="shared" si="181"/>
        <v>250.51999999999998</v>
      </c>
      <c r="AT199" s="2890"/>
      <c r="AU199" s="5489"/>
      <c r="AV199" s="2890"/>
      <c r="AW199" s="1184">
        <f t="shared" si="182"/>
        <v>250.51999999999998</v>
      </c>
      <c r="AX199" s="2890"/>
      <c r="AY199" s="5489"/>
      <c r="AZ199" s="2890"/>
      <c r="BA199" s="889">
        <f t="shared" si="145"/>
        <v>0</v>
      </c>
      <c r="BB199" s="2890"/>
      <c r="BC199" s="3084">
        <f t="shared" si="146"/>
        <v>126.32</v>
      </c>
      <c r="BD199" s="2890"/>
      <c r="BE199" s="182">
        <f t="shared" si="183"/>
        <v>250.51999999999998</v>
      </c>
      <c r="BF199" s="26"/>
      <c r="BG199" s="26"/>
      <c r="BP199" s="26"/>
      <c r="BQ199" s="26"/>
    </row>
    <row r="200" spans="1:69" s="2757" customFormat="1" ht="19.5" hidden="1" thickBot="1" x14ac:dyDescent="0.3">
      <c r="B200" s="3800" t="s">
        <v>1691</v>
      </c>
      <c r="C200" s="2586" t="s">
        <v>354</v>
      </c>
      <c r="D200" s="2587"/>
      <c r="E200" s="2587"/>
      <c r="F200" s="2587"/>
      <c r="G200" s="2587"/>
      <c r="H200" s="2709"/>
      <c r="I200" s="3932">
        <f t="shared" si="175"/>
        <v>0</v>
      </c>
      <c r="J200" s="3736"/>
      <c r="K200" s="2587"/>
      <c r="L200" s="2587"/>
      <c r="M200" s="802">
        <f t="shared" si="176"/>
        <v>0</v>
      </c>
      <c r="N200" s="2587"/>
      <c r="O200" s="2587"/>
      <c r="P200" s="2587"/>
      <c r="Q200" s="3932">
        <f t="shared" si="177"/>
        <v>0</v>
      </c>
      <c r="R200" s="2587"/>
      <c r="S200" s="2587"/>
      <c r="T200" s="2587"/>
      <c r="U200" s="3932">
        <f t="shared" si="178"/>
        <v>0</v>
      </c>
      <c r="V200" s="2587"/>
      <c r="W200" s="2587"/>
      <c r="X200" s="2587"/>
      <c r="Y200" s="2418">
        <f t="shared" si="142"/>
        <v>0</v>
      </c>
      <c r="Z200" s="2587"/>
      <c r="AA200" s="3084">
        <f t="shared" si="143"/>
        <v>0</v>
      </c>
      <c r="AB200" s="2587"/>
      <c r="AC200" s="3523"/>
      <c r="AD200" s="2587"/>
      <c r="AE200" s="256">
        <f t="shared" si="191"/>
        <v>0</v>
      </c>
      <c r="AF200" s="2587"/>
      <c r="AG200" s="3523"/>
      <c r="AH200" s="2587"/>
      <c r="AI200" s="182">
        <f>+AE200+AG200</f>
        <v>0</v>
      </c>
      <c r="AJ200" s="2587"/>
      <c r="AK200" s="3523"/>
      <c r="AL200" s="2587"/>
      <c r="AM200" s="2418">
        <f t="shared" si="144"/>
        <v>0</v>
      </c>
      <c r="AN200" s="2587"/>
      <c r="AO200" s="182">
        <f t="shared" si="160"/>
        <v>0</v>
      </c>
      <c r="AP200" s="2587"/>
      <c r="AQ200" s="3523"/>
      <c r="AR200" s="2587"/>
      <c r="AS200" s="1184">
        <f t="shared" si="181"/>
        <v>0</v>
      </c>
      <c r="AT200" s="2587"/>
      <c r="AU200" s="3523"/>
      <c r="AV200" s="2587"/>
      <c r="AW200" s="1184">
        <f t="shared" si="182"/>
        <v>0</v>
      </c>
      <c r="AX200" s="2587"/>
      <c r="AY200" s="3523"/>
      <c r="AZ200" s="2587"/>
      <c r="BA200" s="2418">
        <f t="shared" si="145"/>
        <v>0</v>
      </c>
      <c r="BB200" s="2587"/>
      <c r="BC200" s="3084">
        <f t="shared" si="146"/>
        <v>0</v>
      </c>
      <c r="BD200" s="2587"/>
      <c r="BE200" s="182">
        <f t="shared" si="183"/>
        <v>0</v>
      </c>
      <c r="BF200" s="26"/>
      <c r="BG200" s="26"/>
      <c r="BP200" s="26"/>
      <c r="BQ200" s="26"/>
    </row>
    <row r="201" spans="1:69" ht="16.5" thickBot="1" x14ac:dyDescent="0.3">
      <c r="A201" s="149"/>
      <c r="B201" s="336"/>
      <c r="C201" s="149"/>
      <c r="D201" s="150"/>
      <c r="G201" s="5172"/>
      <c r="K201" s="3427"/>
      <c r="O201" s="4712"/>
      <c r="Q201" s="4712"/>
      <c r="S201" s="4712"/>
      <c r="U201" s="4712"/>
      <c r="W201" s="4712"/>
      <c r="X201" s="3078"/>
      <c r="Z201" s="3078"/>
      <c r="AA201" s="3078">
        <f t="shared" si="143"/>
        <v>0</v>
      </c>
      <c r="AB201" s="2613"/>
      <c r="AD201" s="2613"/>
      <c r="AE201" s="2613"/>
      <c r="AF201" s="2662"/>
      <c r="AG201" s="5513"/>
      <c r="AH201" s="2662"/>
      <c r="AI201" s="2662"/>
      <c r="AJ201" s="2719"/>
      <c r="AK201" s="5913"/>
      <c r="AL201" s="2719"/>
      <c r="AM201" s="152"/>
      <c r="AN201" s="2719"/>
      <c r="AO201" s="2719"/>
      <c r="AP201" s="2790"/>
      <c r="AQ201" s="6068"/>
      <c r="AR201" s="2790"/>
      <c r="AS201" s="2790"/>
      <c r="AT201" s="2839"/>
      <c r="AU201" s="6173"/>
      <c r="AV201" s="2839"/>
      <c r="AW201" s="5172"/>
      <c r="AX201" s="3078"/>
      <c r="AY201" s="3078"/>
      <c r="BA201" s="152"/>
      <c r="BD201" s="3078"/>
      <c r="BE201" s="33"/>
      <c r="BP201" s="26"/>
      <c r="BQ201" s="26"/>
    </row>
    <row r="202" spans="1:69" ht="25.5" customHeight="1" x14ac:dyDescent="0.25">
      <c r="A202" s="149"/>
      <c r="B202" s="7446" t="s">
        <v>1117</v>
      </c>
      <c r="C202" s="7447"/>
      <c r="D202" s="1602"/>
      <c r="E202" s="3270"/>
      <c r="F202" s="3270"/>
      <c r="G202" s="3270"/>
      <c r="H202" s="3270"/>
      <c r="I202" s="3270"/>
      <c r="J202" s="3270"/>
      <c r="K202" s="3270"/>
      <c r="L202" s="3270"/>
      <c r="M202" s="3271"/>
      <c r="N202" s="3270"/>
      <c r="O202" s="3270"/>
      <c r="P202" s="3270"/>
      <c r="Q202" s="3270"/>
      <c r="R202" s="981"/>
      <c r="S202" s="3270"/>
      <c r="T202" s="3270"/>
      <c r="U202" s="3270"/>
      <c r="V202" s="981"/>
      <c r="W202" s="3270"/>
      <c r="X202" s="3270"/>
      <c r="Y202" s="3271"/>
      <c r="Z202" s="981"/>
      <c r="AA202" s="981"/>
      <c r="AB202" s="981"/>
      <c r="AC202" s="5490"/>
      <c r="AD202" s="3270"/>
      <c r="AE202" s="3272"/>
      <c r="AF202" s="981"/>
      <c r="AG202" s="5490"/>
      <c r="AH202" s="3270"/>
      <c r="AI202" s="3272"/>
      <c r="AJ202" s="981"/>
      <c r="AK202" s="5490"/>
      <c r="AL202" s="3270"/>
      <c r="AM202" s="3271"/>
      <c r="AN202" s="3270"/>
      <c r="AO202" s="3272"/>
      <c r="AP202" s="981"/>
      <c r="AQ202" s="5490"/>
      <c r="AR202" s="3270"/>
      <c r="AS202" s="3272"/>
      <c r="AT202" s="981"/>
      <c r="AU202" s="5490"/>
      <c r="AV202" s="3270"/>
      <c r="AW202" s="3272"/>
      <c r="AX202" s="981"/>
      <c r="AY202" s="981"/>
      <c r="AZ202" s="981"/>
      <c r="BA202" s="3271"/>
      <c r="BB202" s="981"/>
      <c r="BC202" s="981"/>
      <c r="BD202" s="3270"/>
      <c r="BE202" s="3273"/>
      <c r="BP202" s="26"/>
      <c r="BQ202" s="26"/>
    </row>
    <row r="203" spans="1:69" ht="18.75" customHeight="1" x14ac:dyDescent="0.25">
      <c r="A203" s="149"/>
      <c r="B203" s="6519" t="s">
        <v>342</v>
      </c>
      <c r="C203" s="6520" t="s">
        <v>354</v>
      </c>
      <c r="D203" s="6521"/>
      <c r="E203" s="6522">
        <f>E204+E205+E206</f>
        <v>0</v>
      </c>
      <c r="F203" s="6522">
        <v>0</v>
      </c>
      <c r="G203" s="6522">
        <f>G204+G205+G206</f>
        <v>2078.5</v>
      </c>
      <c r="H203" s="6523"/>
      <c r="I203" s="3931">
        <f t="shared" ref="I203:I240" si="192">+E203+G203</f>
        <v>2078.5</v>
      </c>
      <c r="J203" s="6522"/>
      <c r="K203" s="6522">
        <v>2138.1999999999998</v>
      </c>
      <c r="L203" s="6522"/>
      <c r="M203" s="6524">
        <v>24392.2</v>
      </c>
      <c r="N203" s="6522"/>
      <c r="O203" s="6522">
        <v>2504</v>
      </c>
      <c r="P203" s="6522"/>
      <c r="Q203" s="6523">
        <v>26896.2</v>
      </c>
      <c r="R203" s="6525"/>
      <c r="S203" s="6522">
        <v>4733.1000000000004</v>
      </c>
      <c r="T203" s="6522"/>
      <c r="U203" s="6523">
        <v>31629.300000000003</v>
      </c>
      <c r="V203" s="6525"/>
      <c r="W203" s="6522">
        <v>9295.5499999999993</v>
      </c>
      <c r="X203" s="6522"/>
      <c r="Y203" s="6524">
        <v>16532.650000000001</v>
      </c>
      <c r="Z203" s="6526"/>
      <c r="AA203" s="6527">
        <v>40924.850000000006</v>
      </c>
      <c r="AB203" s="6525"/>
      <c r="AC203" s="6528">
        <v>9182.4</v>
      </c>
      <c r="AD203" s="6522"/>
      <c r="AE203" s="6529">
        <v>50107.250000000007</v>
      </c>
      <c r="AF203" s="6525"/>
      <c r="AG203" s="6528">
        <v>73</v>
      </c>
      <c r="AH203" s="6522"/>
      <c r="AI203" s="6529">
        <v>50180.250000000007</v>
      </c>
      <c r="AJ203" s="6525"/>
      <c r="AK203" s="6528">
        <v>2135</v>
      </c>
      <c r="AL203" s="6526"/>
      <c r="AM203" s="6524">
        <v>11390.4</v>
      </c>
      <c r="AN203" s="6522"/>
      <c r="AO203" s="6529">
        <v>52315.250000000007</v>
      </c>
      <c r="AP203" s="6525"/>
      <c r="AQ203" s="6528">
        <v>2282</v>
      </c>
      <c r="AR203" s="6522"/>
      <c r="AS203" s="6529">
        <v>54597.250000000007</v>
      </c>
      <c r="AT203" s="6525"/>
      <c r="AU203" s="6528">
        <v>0</v>
      </c>
      <c r="AV203" s="6522"/>
      <c r="AW203" s="6529">
        <v>54597.250000000007</v>
      </c>
      <c r="AX203" s="6525"/>
      <c r="AY203" s="6522">
        <v>2541</v>
      </c>
      <c r="AZ203" s="6526"/>
      <c r="BA203" s="6524">
        <v>4823</v>
      </c>
      <c r="BB203" s="6526"/>
      <c r="BC203" s="6527">
        <v>16213.4</v>
      </c>
      <c r="BD203" s="6522"/>
      <c r="BE203" s="6529">
        <v>57138.250000000007</v>
      </c>
      <c r="BP203" s="26"/>
      <c r="BQ203" s="26"/>
    </row>
    <row r="204" spans="1:69" ht="15.75" customHeight="1" x14ac:dyDescent="0.25">
      <c r="A204" s="149"/>
      <c r="B204" s="6530" t="s">
        <v>845</v>
      </c>
      <c r="C204" s="6531" t="s">
        <v>354</v>
      </c>
      <c r="D204" s="6531"/>
      <c r="E204" s="6526"/>
      <c r="F204" s="6526"/>
      <c r="G204" s="6526">
        <v>2078.5</v>
      </c>
      <c r="H204" s="6532"/>
      <c r="I204" s="3931">
        <f t="shared" si="192"/>
        <v>2078.5</v>
      </c>
      <c r="J204" s="6526"/>
      <c r="K204" s="6526"/>
      <c r="L204" s="6526"/>
      <c r="M204" s="6524">
        <v>22254</v>
      </c>
      <c r="N204" s="6526"/>
      <c r="O204" s="6526">
        <v>2504</v>
      </c>
      <c r="P204" s="6526"/>
      <c r="Q204" s="6532">
        <v>24758</v>
      </c>
      <c r="R204" s="6525"/>
      <c r="S204" s="6526">
        <v>4692.1000000000004</v>
      </c>
      <c r="T204" s="6526"/>
      <c r="U204" s="6532">
        <v>29450.1</v>
      </c>
      <c r="V204" s="6525"/>
      <c r="W204" s="6526">
        <v>6823</v>
      </c>
      <c r="X204" s="6526"/>
      <c r="Y204" s="6524">
        <v>14019.1</v>
      </c>
      <c r="Z204" s="6526"/>
      <c r="AA204" s="6533">
        <v>36273.1</v>
      </c>
      <c r="AB204" s="6525"/>
      <c r="AC204" s="6534">
        <v>4379</v>
      </c>
      <c r="AD204" s="6526"/>
      <c r="AE204" s="6535">
        <v>40652.1</v>
      </c>
      <c r="AF204" s="6525"/>
      <c r="AG204" s="6534">
        <v>73</v>
      </c>
      <c r="AH204" s="6526"/>
      <c r="AI204" s="6535">
        <v>40725.1</v>
      </c>
      <c r="AJ204" s="6525"/>
      <c r="AK204" s="6534">
        <v>2135</v>
      </c>
      <c r="AL204" s="6526"/>
      <c r="AM204" s="6524">
        <v>6587</v>
      </c>
      <c r="AN204" s="6526"/>
      <c r="AO204" s="6535">
        <v>42860.1</v>
      </c>
      <c r="AP204" s="6525"/>
      <c r="AQ204" s="6534">
        <v>2164</v>
      </c>
      <c r="AR204" s="6526"/>
      <c r="AS204" s="6535">
        <v>45024.1</v>
      </c>
      <c r="AT204" s="6525"/>
      <c r="AU204" s="6534"/>
      <c r="AV204" s="6526"/>
      <c r="AW204" s="6535">
        <v>45024.1</v>
      </c>
      <c r="AX204" s="6525"/>
      <c r="AY204" s="6526">
        <v>2365</v>
      </c>
      <c r="AZ204" s="6526"/>
      <c r="BA204" s="6524">
        <v>4529</v>
      </c>
      <c r="BB204" s="6526"/>
      <c r="BC204" s="6533">
        <v>11116</v>
      </c>
      <c r="BD204" s="6526"/>
      <c r="BE204" s="6536">
        <v>47389.1</v>
      </c>
      <c r="BP204" s="26"/>
      <c r="BQ204" s="26"/>
    </row>
    <row r="205" spans="1:69" ht="15.75" customHeight="1" x14ac:dyDescent="0.25">
      <c r="A205" s="149"/>
      <c r="B205" s="6530" t="s">
        <v>844</v>
      </c>
      <c r="C205" s="6531" t="s">
        <v>354</v>
      </c>
      <c r="D205" s="6531"/>
      <c r="E205" s="6526"/>
      <c r="F205" s="6526"/>
      <c r="G205" s="6526"/>
      <c r="H205" s="6532"/>
      <c r="I205" s="3931">
        <f t="shared" si="192"/>
        <v>0</v>
      </c>
      <c r="J205" s="6526"/>
      <c r="K205" s="6526">
        <v>2138.1999999999998</v>
      </c>
      <c r="L205" s="6526"/>
      <c r="M205" s="6524">
        <v>2138.1999999999998</v>
      </c>
      <c r="N205" s="6526"/>
      <c r="O205" s="6526"/>
      <c r="P205" s="6526"/>
      <c r="Q205" s="6532">
        <v>2138.1999999999998</v>
      </c>
      <c r="R205" s="6525"/>
      <c r="S205" s="6526"/>
      <c r="T205" s="6526"/>
      <c r="U205" s="6532">
        <v>2138.1999999999998</v>
      </c>
      <c r="V205" s="6525"/>
      <c r="W205" s="6526">
        <v>2472.5500000000002</v>
      </c>
      <c r="X205" s="6526"/>
      <c r="Y205" s="6524">
        <v>2472.5500000000002</v>
      </c>
      <c r="Z205" s="6526"/>
      <c r="AA205" s="6533">
        <v>4610.75</v>
      </c>
      <c r="AB205" s="6525"/>
      <c r="AC205" s="6534">
        <v>4803.3999999999996</v>
      </c>
      <c r="AD205" s="6526"/>
      <c r="AE205" s="6535">
        <v>9414.15</v>
      </c>
      <c r="AF205" s="6525"/>
      <c r="AG205" s="6534"/>
      <c r="AH205" s="6526"/>
      <c r="AI205" s="6535">
        <v>9414.15</v>
      </c>
      <c r="AJ205" s="6525"/>
      <c r="AK205" s="6534"/>
      <c r="AL205" s="6526"/>
      <c r="AM205" s="6524">
        <v>4803.3999999999996</v>
      </c>
      <c r="AN205" s="6526"/>
      <c r="AO205" s="6535">
        <v>9414.15</v>
      </c>
      <c r="AP205" s="6525"/>
      <c r="AQ205" s="6534">
        <v>118</v>
      </c>
      <c r="AR205" s="6526"/>
      <c r="AS205" s="6535">
        <v>9532.15</v>
      </c>
      <c r="AT205" s="6525"/>
      <c r="AU205" s="6534"/>
      <c r="AV205" s="6526"/>
      <c r="AW205" s="6535">
        <v>9532.15</v>
      </c>
      <c r="AX205" s="6525"/>
      <c r="AY205" s="6526">
        <v>176</v>
      </c>
      <c r="AZ205" s="6526"/>
      <c r="BA205" s="6524">
        <v>294</v>
      </c>
      <c r="BB205" s="6526"/>
      <c r="BC205" s="6533">
        <v>5097.3999999999996</v>
      </c>
      <c r="BD205" s="6526"/>
      <c r="BE205" s="6536">
        <v>9708.15</v>
      </c>
      <c r="BP205" s="26"/>
      <c r="BQ205" s="26"/>
    </row>
    <row r="206" spans="1:69" ht="15.75" customHeight="1" x14ac:dyDescent="0.25">
      <c r="A206" s="149"/>
      <c r="B206" s="6530" t="s">
        <v>956</v>
      </c>
      <c r="C206" s="6531" t="s">
        <v>354</v>
      </c>
      <c r="D206" s="6531"/>
      <c r="E206" s="6526"/>
      <c r="F206" s="6526"/>
      <c r="G206" s="6526"/>
      <c r="H206" s="6526"/>
      <c r="I206" s="3931">
        <f t="shared" si="192"/>
        <v>0</v>
      </c>
      <c r="J206" s="6526"/>
      <c r="K206" s="6526"/>
      <c r="L206" s="6526"/>
      <c r="M206" s="6524">
        <v>0</v>
      </c>
      <c r="N206" s="6526"/>
      <c r="O206" s="6526"/>
      <c r="P206" s="6526"/>
      <c r="Q206" s="6532">
        <v>0</v>
      </c>
      <c r="R206" s="6525"/>
      <c r="S206" s="6526">
        <v>41</v>
      </c>
      <c r="T206" s="6526"/>
      <c r="U206" s="6532">
        <v>41</v>
      </c>
      <c r="V206" s="6525"/>
      <c r="W206" s="6526"/>
      <c r="X206" s="6526"/>
      <c r="Y206" s="6524">
        <v>41</v>
      </c>
      <c r="Z206" s="6526"/>
      <c r="AA206" s="6533">
        <v>41</v>
      </c>
      <c r="AB206" s="6525"/>
      <c r="AC206" s="6534"/>
      <c r="AD206" s="6526"/>
      <c r="AE206" s="6535">
        <v>41</v>
      </c>
      <c r="AF206" s="6525"/>
      <c r="AG206" s="6534"/>
      <c r="AH206" s="6526"/>
      <c r="AI206" s="6535">
        <v>41</v>
      </c>
      <c r="AJ206" s="6525"/>
      <c r="AK206" s="6534"/>
      <c r="AL206" s="6526"/>
      <c r="AM206" s="6524">
        <v>0</v>
      </c>
      <c r="AN206" s="6526"/>
      <c r="AO206" s="6535">
        <v>41</v>
      </c>
      <c r="AP206" s="6525"/>
      <c r="AQ206" s="6534"/>
      <c r="AR206" s="6526"/>
      <c r="AS206" s="6535">
        <v>41</v>
      </c>
      <c r="AT206" s="6525"/>
      <c r="AU206" s="6534"/>
      <c r="AV206" s="6526"/>
      <c r="AW206" s="6535">
        <v>41</v>
      </c>
      <c r="AX206" s="6525"/>
      <c r="AY206" s="6526"/>
      <c r="AZ206" s="6526"/>
      <c r="BA206" s="6524">
        <v>0</v>
      </c>
      <c r="BB206" s="6526"/>
      <c r="BC206" s="6533">
        <v>0</v>
      </c>
      <c r="BD206" s="6526"/>
      <c r="BE206" s="6536">
        <v>41</v>
      </c>
      <c r="BP206" s="26"/>
      <c r="BQ206" s="26"/>
    </row>
    <row r="207" spans="1:69" s="3427" customFormat="1" ht="15.75" customHeight="1" x14ac:dyDescent="0.25">
      <c r="A207" s="149"/>
      <c r="B207" s="6530"/>
      <c r="C207" s="6531"/>
      <c r="D207" s="6531"/>
      <c r="E207" s="6526"/>
      <c r="F207" s="6526"/>
      <c r="G207" s="6526"/>
      <c r="H207" s="6526"/>
      <c r="I207" s="3931">
        <f t="shared" si="192"/>
        <v>0</v>
      </c>
      <c r="J207" s="6526"/>
      <c r="K207" s="6526"/>
      <c r="L207" s="6526"/>
      <c r="M207" s="6524"/>
      <c r="N207" s="6526"/>
      <c r="O207" s="6526"/>
      <c r="P207" s="6526"/>
      <c r="Q207" s="6532">
        <v>0</v>
      </c>
      <c r="R207" s="6525"/>
      <c r="S207" s="6526"/>
      <c r="T207" s="6526"/>
      <c r="U207" s="6532">
        <v>0</v>
      </c>
      <c r="V207" s="6525"/>
      <c r="W207" s="6526"/>
      <c r="X207" s="6526"/>
      <c r="Y207" s="6524">
        <v>0</v>
      </c>
      <c r="Z207" s="6526"/>
      <c r="AA207" s="6533">
        <v>0</v>
      </c>
      <c r="AB207" s="6525"/>
      <c r="AC207" s="6534"/>
      <c r="AD207" s="6526"/>
      <c r="AE207" s="6535">
        <v>0</v>
      </c>
      <c r="AF207" s="6525"/>
      <c r="AG207" s="6534"/>
      <c r="AH207" s="6526"/>
      <c r="AI207" s="6535">
        <v>0</v>
      </c>
      <c r="AJ207" s="6525"/>
      <c r="AK207" s="6534"/>
      <c r="AL207" s="6526"/>
      <c r="AM207" s="6524">
        <v>0</v>
      </c>
      <c r="AN207" s="6526"/>
      <c r="AO207" s="6535">
        <v>0</v>
      </c>
      <c r="AP207" s="6525"/>
      <c r="AQ207" s="6534"/>
      <c r="AR207" s="6526"/>
      <c r="AS207" s="6535">
        <v>0</v>
      </c>
      <c r="AT207" s="6525"/>
      <c r="AU207" s="6534"/>
      <c r="AV207" s="6526"/>
      <c r="AW207" s="6535">
        <v>0</v>
      </c>
      <c r="AX207" s="6525"/>
      <c r="AY207" s="6526"/>
      <c r="AZ207" s="6526"/>
      <c r="BA207" s="6524">
        <v>0</v>
      </c>
      <c r="BB207" s="6526"/>
      <c r="BC207" s="6533">
        <v>0</v>
      </c>
      <c r="BD207" s="6526"/>
      <c r="BE207" s="6536">
        <v>0</v>
      </c>
      <c r="BP207" s="26"/>
      <c r="BQ207" s="26"/>
    </row>
    <row r="208" spans="1:69" s="3427" customFormat="1" ht="18.75" hidden="1" customHeight="1" x14ac:dyDescent="0.25">
      <c r="A208" s="149"/>
      <c r="B208" s="6519" t="s">
        <v>26</v>
      </c>
      <c r="C208" s="6531"/>
      <c r="D208" s="6531"/>
      <c r="E208" s="6522">
        <v>0</v>
      </c>
      <c r="F208" s="6526"/>
      <c r="G208" s="6522">
        <v>0</v>
      </c>
      <c r="H208" s="6526"/>
      <c r="I208" s="3931">
        <f t="shared" si="192"/>
        <v>0</v>
      </c>
      <c r="J208" s="6526"/>
      <c r="K208" s="6522">
        <v>0</v>
      </c>
      <c r="L208" s="6526"/>
      <c r="M208" s="6524">
        <v>2404.65</v>
      </c>
      <c r="N208" s="6526"/>
      <c r="O208" s="6522">
        <v>0</v>
      </c>
      <c r="P208" s="6526"/>
      <c r="Q208" s="6532">
        <v>2404.65</v>
      </c>
      <c r="R208" s="6525"/>
      <c r="S208" s="6522">
        <v>3660.3799999999997</v>
      </c>
      <c r="T208" s="6526"/>
      <c r="U208" s="6532">
        <v>6065.03</v>
      </c>
      <c r="V208" s="6525"/>
      <c r="W208" s="6522">
        <v>0</v>
      </c>
      <c r="X208" s="6526"/>
      <c r="Y208" s="6524">
        <v>3660.3799999999997</v>
      </c>
      <c r="Z208" s="6526"/>
      <c r="AA208" s="6533">
        <v>6065.03</v>
      </c>
      <c r="AB208" s="6525"/>
      <c r="AC208" s="6528">
        <v>0</v>
      </c>
      <c r="AD208" s="6526"/>
      <c r="AE208" s="6535">
        <v>6065.03</v>
      </c>
      <c r="AF208" s="6525"/>
      <c r="AG208" s="6528">
        <v>0</v>
      </c>
      <c r="AH208" s="6526"/>
      <c r="AI208" s="6535">
        <v>6065.03</v>
      </c>
      <c r="AJ208" s="6525"/>
      <c r="AK208" s="6528">
        <v>0</v>
      </c>
      <c r="AL208" s="6526"/>
      <c r="AM208" s="6524">
        <v>0</v>
      </c>
      <c r="AN208" s="6526"/>
      <c r="AO208" s="6535">
        <v>6065.03</v>
      </c>
      <c r="AP208" s="6525"/>
      <c r="AQ208" s="6528">
        <v>0</v>
      </c>
      <c r="AR208" s="6526"/>
      <c r="AS208" s="6535">
        <v>6065.03</v>
      </c>
      <c r="AT208" s="6525"/>
      <c r="AU208" s="6528">
        <v>0</v>
      </c>
      <c r="AV208" s="6526"/>
      <c r="AW208" s="6535">
        <v>6065.03</v>
      </c>
      <c r="AX208" s="6525"/>
      <c r="AY208" s="6526"/>
      <c r="AZ208" s="6526"/>
      <c r="BA208" s="6524">
        <v>0</v>
      </c>
      <c r="BB208" s="6526"/>
      <c r="BC208" s="6533">
        <v>0</v>
      </c>
      <c r="BD208" s="6526"/>
      <c r="BE208" s="6536">
        <v>6065.03</v>
      </c>
      <c r="BP208" s="26"/>
      <c r="BQ208" s="26"/>
    </row>
    <row r="209" spans="1:69" s="3427" customFormat="1" ht="15.75" hidden="1" customHeight="1" x14ac:dyDescent="0.25">
      <c r="A209" s="149"/>
      <c r="B209" s="6530" t="s">
        <v>845</v>
      </c>
      <c r="C209" s="6531" t="s">
        <v>354</v>
      </c>
      <c r="D209" s="6531"/>
      <c r="E209" s="6526"/>
      <c r="F209" s="6526"/>
      <c r="G209" s="6526"/>
      <c r="H209" s="6526"/>
      <c r="I209" s="3931">
        <f t="shared" si="192"/>
        <v>0</v>
      </c>
      <c r="J209" s="6526"/>
      <c r="K209" s="6526"/>
      <c r="L209" s="6526"/>
      <c r="M209" s="6524">
        <v>0</v>
      </c>
      <c r="N209" s="6526"/>
      <c r="O209" s="6526"/>
      <c r="P209" s="6526"/>
      <c r="Q209" s="6532">
        <v>0</v>
      </c>
      <c r="R209" s="6525"/>
      <c r="S209" s="6526">
        <v>343.68</v>
      </c>
      <c r="T209" s="6526"/>
      <c r="U209" s="6532">
        <v>343.68</v>
      </c>
      <c r="V209" s="6525"/>
      <c r="W209" s="6526"/>
      <c r="X209" s="6526"/>
      <c r="Y209" s="6524">
        <v>343.68</v>
      </c>
      <c r="Z209" s="6526"/>
      <c r="AA209" s="6533">
        <v>343.68</v>
      </c>
      <c r="AB209" s="6525"/>
      <c r="AC209" s="6534"/>
      <c r="AD209" s="6526"/>
      <c r="AE209" s="6535">
        <v>343.68</v>
      </c>
      <c r="AF209" s="6525"/>
      <c r="AG209" s="6534"/>
      <c r="AH209" s="6526"/>
      <c r="AI209" s="6535">
        <v>343.68</v>
      </c>
      <c r="AJ209" s="6525"/>
      <c r="AK209" s="6534"/>
      <c r="AL209" s="6526"/>
      <c r="AM209" s="6524">
        <v>0</v>
      </c>
      <c r="AN209" s="6526"/>
      <c r="AO209" s="6535">
        <v>343.68</v>
      </c>
      <c r="AP209" s="6525"/>
      <c r="AQ209" s="6534"/>
      <c r="AR209" s="6526"/>
      <c r="AS209" s="6535">
        <v>343.68</v>
      </c>
      <c r="AT209" s="6525"/>
      <c r="AU209" s="6534"/>
      <c r="AV209" s="6526"/>
      <c r="AW209" s="6535">
        <v>343.68</v>
      </c>
      <c r="AX209" s="6525"/>
      <c r="AY209" s="6526"/>
      <c r="AZ209" s="6526"/>
      <c r="BA209" s="6524">
        <v>0</v>
      </c>
      <c r="BB209" s="6526"/>
      <c r="BC209" s="6533">
        <v>0</v>
      </c>
      <c r="BD209" s="6526"/>
      <c r="BE209" s="6536">
        <v>343.68</v>
      </c>
      <c r="BP209" s="26"/>
      <c r="BQ209" s="26"/>
    </row>
    <row r="210" spans="1:69" s="3427" customFormat="1" ht="15.75" hidden="1" customHeight="1" x14ac:dyDescent="0.25">
      <c r="A210" s="149"/>
      <c r="B210" s="6530" t="s">
        <v>844</v>
      </c>
      <c r="C210" s="6531" t="s">
        <v>354</v>
      </c>
      <c r="D210" s="6531"/>
      <c r="E210" s="6526"/>
      <c r="F210" s="6526"/>
      <c r="G210" s="6526"/>
      <c r="H210" s="6526"/>
      <c r="I210" s="3931">
        <f t="shared" si="192"/>
        <v>0</v>
      </c>
      <c r="J210" s="6526"/>
      <c r="K210" s="6526"/>
      <c r="L210" s="6526"/>
      <c r="M210" s="6524">
        <v>2404.65</v>
      </c>
      <c r="N210" s="6526"/>
      <c r="O210" s="6526"/>
      <c r="P210" s="6526"/>
      <c r="Q210" s="6532">
        <v>2404.65</v>
      </c>
      <c r="R210" s="6525"/>
      <c r="S210" s="6526">
        <v>3316.7</v>
      </c>
      <c r="T210" s="6526"/>
      <c r="U210" s="6532">
        <v>5721.35</v>
      </c>
      <c r="V210" s="6525"/>
      <c r="W210" s="6526"/>
      <c r="X210" s="6526"/>
      <c r="Y210" s="6524">
        <v>3316.7</v>
      </c>
      <c r="Z210" s="6526"/>
      <c r="AA210" s="6533">
        <v>5721.35</v>
      </c>
      <c r="AB210" s="6525"/>
      <c r="AC210" s="6534"/>
      <c r="AD210" s="6526"/>
      <c r="AE210" s="6535">
        <v>5721.35</v>
      </c>
      <c r="AF210" s="6525"/>
      <c r="AG210" s="6534"/>
      <c r="AH210" s="6526"/>
      <c r="AI210" s="6535">
        <v>5721.35</v>
      </c>
      <c r="AJ210" s="6525"/>
      <c r="AK210" s="6534"/>
      <c r="AL210" s="6526"/>
      <c r="AM210" s="6524">
        <v>0</v>
      </c>
      <c r="AN210" s="6526"/>
      <c r="AO210" s="6535">
        <v>5721.35</v>
      </c>
      <c r="AP210" s="6525"/>
      <c r="AQ210" s="6534"/>
      <c r="AR210" s="6526"/>
      <c r="AS210" s="6535">
        <v>5721.35</v>
      </c>
      <c r="AT210" s="6525"/>
      <c r="AU210" s="6534"/>
      <c r="AV210" s="6526"/>
      <c r="AW210" s="6535">
        <v>5721.35</v>
      </c>
      <c r="AX210" s="6525"/>
      <c r="AY210" s="6526"/>
      <c r="AZ210" s="6526"/>
      <c r="BA210" s="6524">
        <v>0</v>
      </c>
      <c r="BB210" s="6526"/>
      <c r="BC210" s="6533">
        <v>0</v>
      </c>
      <c r="BD210" s="6526"/>
      <c r="BE210" s="6536">
        <v>5721.35</v>
      </c>
      <c r="BP210" s="26"/>
      <c r="BQ210" s="26"/>
    </row>
    <row r="211" spans="1:69" s="3427" customFormat="1" ht="15.75" hidden="1" customHeight="1" x14ac:dyDescent="0.25">
      <c r="A211" s="149"/>
      <c r="B211" s="6530"/>
      <c r="C211" s="6531"/>
      <c r="D211" s="6531"/>
      <c r="E211" s="6526"/>
      <c r="F211" s="6526"/>
      <c r="G211" s="6526"/>
      <c r="H211" s="6526"/>
      <c r="I211" s="3931">
        <f t="shared" si="192"/>
        <v>0</v>
      </c>
      <c r="J211" s="6526"/>
      <c r="K211" s="6526"/>
      <c r="L211" s="6526"/>
      <c r="M211" s="6524"/>
      <c r="N211" s="6526"/>
      <c r="O211" s="6526"/>
      <c r="P211" s="6526"/>
      <c r="Q211" s="6532">
        <v>0</v>
      </c>
      <c r="R211" s="6525"/>
      <c r="S211" s="6526"/>
      <c r="T211" s="6526"/>
      <c r="U211" s="6532">
        <v>0</v>
      </c>
      <c r="V211" s="6525"/>
      <c r="W211" s="6526"/>
      <c r="X211" s="6526"/>
      <c r="Y211" s="6524">
        <v>0</v>
      </c>
      <c r="Z211" s="6526"/>
      <c r="AA211" s="6533">
        <v>0</v>
      </c>
      <c r="AB211" s="6525"/>
      <c r="AC211" s="6534"/>
      <c r="AD211" s="6526"/>
      <c r="AE211" s="6535">
        <v>0</v>
      </c>
      <c r="AF211" s="6525"/>
      <c r="AG211" s="6534"/>
      <c r="AH211" s="6526"/>
      <c r="AI211" s="6535">
        <v>0</v>
      </c>
      <c r="AJ211" s="6525"/>
      <c r="AK211" s="6534"/>
      <c r="AL211" s="6526"/>
      <c r="AM211" s="6524">
        <v>0</v>
      </c>
      <c r="AN211" s="6526"/>
      <c r="AO211" s="6535">
        <v>0</v>
      </c>
      <c r="AP211" s="6525"/>
      <c r="AQ211" s="6534"/>
      <c r="AR211" s="6526"/>
      <c r="AS211" s="6535">
        <v>0</v>
      </c>
      <c r="AT211" s="6525"/>
      <c r="AU211" s="6534"/>
      <c r="AV211" s="6526"/>
      <c r="AW211" s="6535">
        <v>0</v>
      </c>
      <c r="AX211" s="6525"/>
      <c r="AY211" s="6526"/>
      <c r="AZ211" s="6526"/>
      <c r="BA211" s="6524">
        <v>0</v>
      </c>
      <c r="BB211" s="6526"/>
      <c r="BC211" s="6533">
        <v>0</v>
      </c>
      <c r="BD211" s="6526"/>
      <c r="BE211" s="6536">
        <v>0</v>
      </c>
      <c r="BP211" s="26"/>
      <c r="BQ211" s="26"/>
    </row>
    <row r="212" spans="1:69" ht="15.75" hidden="1" customHeight="1" x14ac:dyDescent="0.25">
      <c r="A212" s="149"/>
      <c r="B212" s="6519" t="s">
        <v>1378</v>
      </c>
      <c r="C212" s="6520"/>
      <c r="D212" s="6521"/>
      <c r="E212" s="6522">
        <v>0</v>
      </c>
      <c r="F212" s="6522">
        <v>0</v>
      </c>
      <c r="G212" s="6522">
        <v>0</v>
      </c>
      <c r="H212" s="6523">
        <v>0</v>
      </c>
      <c r="I212" s="3931">
        <f t="shared" si="192"/>
        <v>0</v>
      </c>
      <c r="J212" s="6522">
        <v>0</v>
      </c>
      <c r="K212" s="6522">
        <v>0</v>
      </c>
      <c r="L212" s="6522"/>
      <c r="M212" s="6524">
        <v>0</v>
      </c>
      <c r="N212" s="6522"/>
      <c r="O212" s="6522">
        <v>0</v>
      </c>
      <c r="P212" s="6522">
        <v>0</v>
      </c>
      <c r="Q212" s="6532">
        <v>0</v>
      </c>
      <c r="R212" s="6525">
        <v>0</v>
      </c>
      <c r="S212" s="6522">
        <v>0</v>
      </c>
      <c r="T212" s="6522">
        <v>0</v>
      </c>
      <c r="U212" s="6532">
        <v>0</v>
      </c>
      <c r="V212" s="6525">
        <v>0</v>
      </c>
      <c r="W212" s="6522">
        <v>0</v>
      </c>
      <c r="X212" s="6522"/>
      <c r="Y212" s="6524">
        <v>0</v>
      </c>
      <c r="Z212" s="6526"/>
      <c r="AA212" s="6527">
        <v>0</v>
      </c>
      <c r="AB212" s="6525"/>
      <c r="AC212" s="6528">
        <v>0</v>
      </c>
      <c r="AD212" s="6522">
        <v>0</v>
      </c>
      <c r="AE212" s="6529">
        <v>0</v>
      </c>
      <c r="AF212" s="6525">
        <v>0</v>
      </c>
      <c r="AG212" s="6528">
        <v>0</v>
      </c>
      <c r="AH212" s="6522">
        <v>0</v>
      </c>
      <c r="AI212" s="6529">
        <v>0</v>
      </c>
      <c r="AJ212" s="6525">
        <v>0</v>
      </c>
      <c r="AK212" s="6528">
        <v>0</v>
      </c>
      <c r="AL212" s="6526"/>
      <c r="AM212" s="6524">
        <v>0</v>
      </c>
      <c r="AN212" s="6526"/>
      <c r="AO212" s="6535">
        <v>0</v>
      </c>
      <c r="AP212" s="6525"/>
      <c r="AQ212" s="6528">
        <v>0</v>
      </c>
      <c r="AR212" s="6522"/>
      <c r="AS212" s="6529">
        <v>0</v>
      </c>
      <c r="AT212" s="6525"/>
      <c r="AU212" s="6528">
        <v>0</v>
      </c>
      <c r="AV212" s="6522"/>
      <c r="AW212" s="6529">
        <v>0</v>
      </c>
      <c r="AX212" s="6525"/>
      <c r="AY212" s="6522">
        <v>0</v>
      </c>
      <c r="AZ212" s="6526"/>
      <c r="BA212" s="6524">
        <v>0</v>
      </c>
      <c r="BB212" s="6526"/>
      <c r="BC212" s="6527">
        <v>0</v>
      </c>
      <c r="BD212" s="6522"/>
      <c r="BE212" s="6529">
        <v>0</v>
      </c>
      <c r="BP212" s="26"/>
      <c r="BQ212" s="26"/>
    </row>
    <row r="213" spans="1:69" ht="15.75" hidden="1" customHeight="1" x14ac:dyDescent="0.25">
      <c r="A213" s="149"/>
      <c r="B213" s="6530" t="s">
        <v>1711</v>
      </c>
      <c r="C213" s="6531" t="s">
        <v>354</v>
      </c>
      <c r="D213" s="6531"/>
      <c r="E213" s="6526"/>
      <c r="F213" s="6526"/>
      <c r="G213" s="6526"/>
      <c r="H213" s="6526"/>
      <c r="I213" s="3931">
        <f t="shared" si="192"/>
        <v>0</v>
      </c>
      <c r="J213" s="6526"/>
      <c r="K213" s="6526"/>
      <c r="L213" s="6526"/>
      <c r="M213" s="6524">
        <v>0</v>
      </c>
      <c r="N213" s="6526"/>
      <c r="O213" s="6526"/>
      <c r="P213" s="6526"/>
      <c r="Q213" s="6532">
        <v>0</v>
      </c>
      <c r="R213" s="6525"/>
      <c r="S213" s="6526"/>
      <c r="T213" s="6526"/>
      <c r="U213" s="6532">
        <v>0</v>
      </c>
      <c r="V213" s="6525"/>
      <c r="W213" s="6526"/>
      <c r="X213" s="6526"/>
      <c r="Y213" s="6524">
        <v>0</v>
      </c>
      <c r="Z213" s="6526"/>
      <c r="AA213" s="6533">
        <v>0</v>
      </c>
      <c r="AB213" s="6525"/>
      <c r="AC213" s="6534"/>
      <c r="AD213" s="6526"/>
      <c r="AE213" s="6535">
        <v>0</v>
      </c>
      <c r="AF213" s="6525"/>
      <c r="AG213" s="6534"/>
      <c r="AH213" s="6526"/>
      <c r="AI213" s="6535">
        <v>0</v>
      </c>
      <c r="AJ213" s="6525"/>
      <c r="AK213" s="6534"/>
      <c r="AL213" s="6526"/>
      <c r="AM213" s="6524">
        <v>0</v>
      </c>
      <c r="AN213" s="6526"/>
      <c r="AO213" s="6535">
        <v>0</v>
      </c>
      <c r="AP213" s="6525"/>
      <c r="AQ213" s="6534"/>
      <c r="AR213" s="6526"/>
      <c r="AS213" s="6535">
        <v>0</v>
      </c>
      <c r="AT213" s="6525"/>
      <c r="AU213" s="6534"/>
      <c r="AV213" s="6526"/>
      <c r="AW213" s="6535">
        <v>0</v>
      </c>
      <c r="AX213" s="6525"/>
      <c r="AY213" s="6526"/>
      <c r="AZ213" s="6526"/>
      <c r="BA213" s="6524">
        <v>0</v>
      </c>
      <c r="BB213" s="6526"/>
      <c r="BC213" s="6533">
        <v>0</v>
      </c>
      <c r="BD213" s="6526"/>
      <c r="BE213" s="6536">
        <v>0</v>
      </c>
      <c r="BP213" s="26"/>
      <c r="BQ213" s="26"/>
    </row>
    <row r="214" spans="1:69" ht="15.75" hidden="1" customHeight="1" x14ac:dyDescent="0.25">
      <c r="A214" s="149"/>
      <c r="B214" s="6519" t="s">
        <v>1712</v>
      </c>
      <c r="C214" s="6520"/>
      <c r="D214" s="6521"/>
      <c r="E214" s="6522">
        <v>0</v>
      </c>
      <c r="F214" s="6522">
        <v>0</v>
      </c>
      <c r="G214" s="6522">
        <v>0</v>
      </c>
      <c r="H214" s="6523">
        <v>0</v>
      </c>
      <c r="I214" s="3931">
        <f t="shared" si="192"/>
        <v>0</v>
      </c>
      <c r="J214" s="6522">
        <v>0</v>
      </c>
      <c r="K214" s="6522">
        <v>0</v>
      </c>
      <c r="L214" s="6522"/>
      <c r="M214" s="6524">
        <v>0</v>
      </c>
      <c r="N214" s="6522"/>
      <c r="O214" s="6522">
        <v>0</v>
      </c>
      <c r="P214" s="6522">
        <v>0</v>
      </c>
      <c r="Q214" s="6532">
        <v>0</v>
      </c>
      <c r="R214" s="6525">
        <v>0</v>
      </c>
      <c r="S214" s="6522">
        <v>0</v>
      </c>
      <c r="T214" s="6522">
        <v>0</v>
      </c>
      <c r="U214" s="6532">
        <v>0</v>
      </c>
      <c r="V214" s="6525">
        <v>0</v>
      </c>
      <c r="W214" s="6522">
        <v>0</v>
      </c>
      <c r="X214" s="6522"/>
      <c r="Y214" s="6524">
        <v>0</v>
      </c>
      <c r="Z214" s="6526"/>
      <c r="AA214" s="6527">
        <v>0</v>
      </c>
      <c r="AB214" s="6525"/>
      <c r="AC214" s="6528">
        <v>0</v>
      </c>
      <c r="AD214" s="6522">
        <v>0</v>
      </c>
      <c r="AE214" s="6529">
        <v>0</v>
      </c>
      <c r="AF214" s="6525">
        <v>0</v>
      </c>
      <c r="AG214" s="6528">
        <v>0</v>
      </c>
      <c r="AH214" s="6522">
        <v>0</v>
      </c>
      <c r="AI214" s="6529">
        <v>0</v>
      </c>
      <c r="AJ214" s="6525">
        <v>0</v>
      </c>
      <c r="AK214" s="6528">
        <v>0</v>
      </c>
      <c r="AL214" s="6526"/>
      <c r="AM214" s="6524">
        <v>0</v>
      </c>
      <c r="AN214" s="6526"/>
      <c r="AO214" s="6535">
        <v>0</v>
      </c>
      <c r="AP214" s="6525"/>
      <c r="AQ214" s="6528">
        <v>0</v>
      </c>
      <c r="AR214" s="6522"/>
      <c r="AS214" s="6529">
        <v>0</v>
      </c>
      <c r="AT214" s="6525"/>
      <c r="AU214" s="6528">
        <v>0</v>
      </c>
      <c r="AV214" s="6522"/>
      <c r="AW214" s="6529">
        <v>0</v>
      </c>
      <c r="AX214" s="6525"/>
      <c r="AY214" s="6522">
        <v>0</v>
      </c>
      <c r="AZ214" s="6526"/>
      <c r="BA214" s="6524">
        <v>0</v>
      </c>
      <c r="BB214" s="6526"/>
      <c r="BC214" s="6527">
        <v>0</v>
      </c>
      <c r="BD214" s="6522"/>
      <c r="BE214" s="6529">
        <v>0</v>
      </c>
      <c r="BP214" s="26"/>
      <c r="BQ214" s="26"/>
    </row>
    <row r="215" spans="1:69" ht="15.75" hidden="1" customHeight="1" x14ac:dyDescent="0.25">
      <c r="A215" s="149"/>
      <c r="B215" s="6530" t="s">
        <v>956</v>
      </c>
      <c r="C215" s="6531" t="s">
        <v>354</v>
      </c>
      <c r="D215" s="6531"/>
      <c r="E215" s="6526"/>
      <c r="F215" s="6526"/>
      <c r="G215" s="6526"/>
      <c r="H215" s="6526"/>
      <c r="I215" s="3931">
        <f t="shared" si="192"/>
        <v>0</v>
      </c>
      <c r="J215" s="6526"/>
      <c r="K215" s="6526"/>
      <c r="L215" s="6526"/>
      <c r="M215" s="6524">
        <v>0</v>
      </c>
      <c r="N215" s="6526"/>
      <c r="O215" s="6526"/>
      <c r="P215" s="6526"/>
      <c r="Q215" s="6532">
        <v>0</v>
      </c>
      <c r="R215" s="6525"/>
      <c r="S215" s="6526"/>
      <c r="T215" s="6526"/>
      <c r="U215" s="6532">
        <v>0</v>
      </c>
      <c r="V215" s="6525"/>
      <c r="W215" s="6526"/>
      <c r="X215" s="6526"/>
      <c r="Y215" s="6524">
        <v>0</v>
      </c>
      <c r="Z215" s="6526"/>
      <c r="AA215" s="6533">
        <v>0</v>
      </c>
      <c r="AB215" s="6525"/>
      <c r="AC215" s="6534"/>
      <c r="AD215" s="6526"/>
      <c r="AE215" s="6535">
        <v>0</v>
      </c>
      <c r="AF215" s="6525"/>
      <c r="AG215" s="6534"/>
      <c r="AH215" s="6526"/>
      <c r="AI215" s="6535">
        <v>0</v>
      </c>
      <c r="AJ215" s="6525"/>
      <c r="AK215" s="6534"/>
      <c r="AL215" s="6526"/>
      <c r="AM215" s="6524">
        <v>0</v>
      </c>
      <c r="AN215" s="6526"/>
      <c r="AO215" s="6535">
        <v>0</v>
      </c>
      <c r="AP215" s="6525"/>
      <c r="AQ215" s="6534"/>
      <c r="AR215" s="6526"/>
      <c r="AS215" s="6535">
        <v>0</v>
      </c>
      <c r="AT215" s="6525"/>
      <c r="AU215" s="6534"/>
      <c r="AV215" s="6526"/>
      <c r="AW215" s="6535">
        <v>0</v>
      </c>
      <c r="AX215" s="6525"/>
      <c r="AY215" s="6526"/>
      <c r="AZ215" s="6526"/>
      <c r="BA215" s="6524">
        <v>0</v>
      </c>
      <c r="BB215" s="6526"/>
      <c r="BC215" s="6533">
        <v>0</v>
      </c>
      <c r="BD215" s="6526"/>
      <c r="BE215" s="6536">
        <v>0</v>
      </c>
      <c r="BP215" s="26"/>
      <c r="BQ215" s="26"/>
    </row>
    <row r="216" spans="1:69" s="3207" customFormat="1" ht="15.75" hidden="1" customHeight="1" x14ac:dyDescent="0.25">
      <c r="A216" s="149"/>
      <c r="B216" s="6530" t="s">
        <v>844</v>
      </c>
      <c r="C216" s="6531"/>
      <c r="D216" s="6531"/>
      <c r="E216" s="6526"/>
      <c r="F216" s="6526"/>
      <c r="G216" s="6526"/>
      <c r="H216" s="6526"/>
      <c r="I216" s="3931">
        <f t="shared" si="192"/>
        <v>0</v>
      </c>
      <c r="J216" s="6526"/>
      <c r="K216" s="6526"/>
      <c r="L216" s="6526"/>
      <c r="M216" s="6524">
        <v>0</v>
      </c>
      <c r="N216" s="6526"/>
      <c r="O216" s="6526"/>
      <c r="P216" s="6526"/>
      <c r="Q216" s="6532">
        <v>0</v>
      </c>
      <c r="R216" s="6525"/>
      <c r="S216" s="6526"/>
      <c r="T216" s="6526"/>
      <c r="U216" s="6532">
        <v>0</v>
      </c>
      <c r="V216" s="6525"/>
      <c r="W216" s="6526"/>
      <c r="X216" s="6526"/>
      <c r="Y216" s="6524">
        <v>0</v>
      </c>
      <c r="Z216" s="6526"/>
      <c r="AA216" s="6533">
        <v>0</v>
      </c>
      <c r="AB216" s="6525"/>
      <c r="AC216" s="6534"/>
      <c r="AD216" s="6526"/>
      <c r="AE216" s="6535"/>
      <c r="AF216" s="6525"/>
      <c r="AG216" s="6534"/>
      <c r="AH216" s="6526"/>
      <c r="AI216" s="6535"/>
      <c r="AJ216" s="6525"/>
      <c r="AK216" s="6534"/>
      <c r="AL216" s="6526"/>
      <c r="AM216" s="6524">
        <v>0</v>
      </c>
      <c r="AN216" s="6526"/>
      <c r="AO216" s="6535">
        <v>0</v>
      </c>
      <c r="AP216" s="6525"/>
      <c r="AQ216" s="6534"/>
      <c r="AR216" s="6526"/>
      <c r="AS216" s="6535">
        <v>0</v>
      </c>
      <c r="AT216" s="6525"/>
      <c r="AU216" s="6534"/>
      <c r="AV216" s="6526"/>
      <c r="AW216" s="6535">
        <v>0</v>
      </c>
      <c r="AX216" s="6525"/>
      <c r="AY216" s="6526"/>
      <c r="AZ216" s="6526"/>
      <c r="BA216" s="6524">
        <v>0</v>
      </c>
      <c r="BB216" s="6526"/>
      <c r="BC216" s="6533">
        <v>0</v>
      </c>
      <c r="BD216" s="6526"/>
      <c r="BE216" s="6536">
        <v>0</v>
      </c>
      <c r="BP216" s="26"/>
      <c r="BQ216" s="26"/>
    </row>
    <row r="217" spans="1:69" s="3207" customFormat="1" ht="15.75" hidden="1" customHeight="1" x14ac:dyDescent="0.25">
      <c r="A217" s="149"/>
      <c r="B217" s="6530" t="s">
        <v>1711</v>
      </c>
      <c r="C217" s="6531"/>
      <c r="D217" s="6531"/>
      <c r="E217" s="6526"/>
      <c r="F217" s="6526"/>
      <c r="G217" s="6526"/>
      <c r="H217" s="6526"/>
      <c r="I217" s="3931">
        <f t="shared" si="192"/>
        <v>0</v>
      </c>
      <c r="J217" s="6526"/>
      <c r="K217" s="6526"/>
      <c r="L217" s="6526"/>
      <c r="M217" s="6524">
        <v>0</v>
      </c>
      <c r="N217" s="6526"/>
      <c r="O217" s="6526"/>
      <c r="P217" s="6526"/>
      <c r="Q217" s="6532">
        <v>0</v>
      </c>
      <c r="R217" s="6525"/>
      <c r="S217" s="6526"/>
      <c r="T217" s="6526"/>
      <c r="U217" s="6532">
        <v>0</v>
      </c>
      <c r="V217" s="6525"/>
      <c r="W217" s="6526"/>
      <c r="X217" s="6526"/>
      <c r="Y217" s="6524">
        <v>0</v>
      </c>
      <c r="Z217" s="6526"/>
      <c r="AA217" s="6533">
        <v>0</v>
      </c>
      <c r="AB217" s="6525"/>
      <c r="AC217" s="6534"/>
      <c r="AD217" s="6526"/>
      <c r="AE217" s="6535"/>
      <c r="AF217" s="6525"/>
      <c r="AG217" s="6534"/>
      <c r="AH217" s="6526"/>
      <c r="AI217" s="6535"/>
      <c r="AJ217" s="6525"/>
      <c r="AK217" s="6534"/>
      <c r="AL217" s="6526"/>
      <c r="AM217" s="6524">
        <v>0</v>
      </c>
      <c r="AN217" s="6526"/>
      <c r="AO217" s="6535">
        <v>0</v>
      </c>
      <c r="AP217" s="6525"/>
      <c r="AQ217" s="6534"/>
      <c r="AR217" s="6526"/>
      <c r="AS217" s="6535">
        <v>0</v>
      </c>
      <c r="AT217" s="6525"/>
      <c r="AU217" s="6534"/>
      <c r="AV217" s="6526"/>
      <c r="AW217" s="6535">
        <v>0</v>
      </c>
      <c r="AX217" s="6525"/>
      <c r="AY217" s="6526"/>
      <c r="AZ217" s="6526"/>
      <c r="BA217" s="6524">
        <v>0</v>
      </c>
      <c r="BB217" s="6526"/>
      <c r="BC217" s="6533">
        <v>0</v>
      </c>
      <c r="BD217" s="6526"/>
      <c r="BE217" s="6536">
        <v>0</v>
      </c>
      <c r="BP217" s="26"/>
      <c r="BQ217" s="26"/>
    </row>
    <row r="218" spans="1:69" s="2830" customFormat="1" ht="15.75" hidden="1" customHeight="1" x14ac:dyDescent="0.25">
      <c r="A218" s="149"/>
      <c r="B218" s="6530" t="s">
        <v>1643</v>
      </c>
      <c r="C218" s="6531"/>
      <c r="D218" s="6531"/>
      <c r="E218" s="6526"/>
      <c r="F218" s="6526"/>
      <c r="G218" s="6526"/>
      <c r="H218" s="6526"/>
      <c r="I218" s="3931">
        <f t="shared" si="192"/>
        <v>0</v>
      </c>
      <c r="J218" s="6526"/>
      <c r="K218" s="6526"/>
      <c r="L218" s="6526"/>
      <c r="M218" s="6524">
        <v>0</v>
      </c>
      <c r="N218" s="6526"/>
      <c r="O218" s="6526"/>
      <c r="P218" s="6526"/>
      <c r="Q218" s="6532">
        <v>0</v>
      </c>
      <c r="R218" s="6525"/>
      <c r="S218" s="6526"/>
      <c r="T218" s="6526"/>
      <c r="U218" s="6532">
        <v>0</v>
      </c>
      <c r="V218" s="6525"/>
      <c r="W218" s="6526"/>
      <c r="X218" s="6526"/>
      <c r="Y218" s="6524">
        <v>0</v>
      </c>
      <c r="Z218" s="6526"/>
      <c r="AA218" s="6533">
        <v>0</v>
      </c>
      <c r="AB218" s="6525"/>
      <c r="AC218" s="6534"/>
      <c r="AD218" s="6526"/>
      <c r="AE218" s="6535">
        <v>0</v>
      </c>
      <c r="AF218" s="6525"/>
      <c r="AG218" s="6534"/>
      <c r="AH218" s="6526"/>
      <c r="AI218" s="6535">
        <v>0</v>
      </c>
      <c r="AJ218" s="6525"/>
      <c r="AK218" s="6534"/>
      <c r="AL218" s="6526"/>
      <c r="AM218" s="6524">
        <v>0</v>
      </c>
      <c r="AN218" s="6526"/>
      <c r="AO218" s="6535">
        <v>0</v>
      </c>
      <c r="AP218" s="6525"/>
      <c r="AQ218" s="6534"/>
      <c r="AR218" s="6526"/>
      <c r="AS218" s="6535">
        <v>0</v>
      </c>
      <c r="AT218" s="6525"/>
      <c r="AU218" s="6534"/>
      <c r="AV218" s="6526"/>
      <c r="AW218" s="6535">
        <v>0</v>
      </c>
      <c r="AX218" s="6525"/>
      <c r="AY218" s="6526"/>
      <c r="AZ218" s="6526"/>
      <c r="BA218" s="6524">
        <v>0</v>
      </c>
      <c r="BB218" s="6526"/>
      <c r="BC218" s="6533">
        <v>0</v>
      </c>
      <c r="BD218" s="6526"/>
      <c r="BE218" s="6536">
        <v>0</v>
      </c>
      <c r="BP218" s="26"/>
      <c r="BQ218" s="26"/>
    </row>
    <row r="219" spans="1:69" ht="15.75" hidden="1" customHeight="1" x14ac:dyDescent="0.25">
      <c r="A219" s="149"/>
      <c r="B219" s="6519" t="s">
        <v>1710</v>
      </c>
      <c r="C219" s="6520"/>
      <c r="D219" s="6521"/>
      <c r="E219" s="6522">
        <v>0</v>
      </c>
      <c r="F219" s="6522">
        <v>0</v>
      </c>
      <c r="G219" s="6522">
        <v>0</v>
      </c>
      <c r="H219" s="6523">
        <v>0</v>
      </c>
      <c r="I219" s="3931">
        <f t="shared" si="192"/>
        <v>0</v>
      </c>
      <c r="J219" s="6522">
        <v>0</v>
      </c>
      <c r="K219" s="6522">
        <v>0</v>
      </c>
      <c r="L219" s="6522"/>
      <c r="M219" s="6524">
        <v>0</v>
      </c>
      <c r="N219" s="6522"/>
      <c r="O219" s="6522">
        <v>0</v>
      </c>
      <c r="P219" s="6522">
        <v>0</v>
      </c>
      <c r="Q219" s="6532">
        <v>0</v>
      </c>
      <c r="R219" s="6525">
        <v>0</v>
      </c>
      <c r="S219" s="6522">
        <v>0</v>
      </c>
      <c r="T219" s="6522">
        <v>0</v>
      </c>
      <c r="U219" s="6532">
        <v>0</v>
      </c>
      <c r="V219" s="6525">
        <v>0</v>
      </c>
      <c r="W219" s="6522">
        <v>0</v>
      </c>
      <c r="X219" s="6522"/>
      <c r="Y219" s="6524">
        <v>0</v>
      </c>
      <c r="Z219" s="6526"/>
      <c r="AA219" s="6527">
        <v>0</v>
      </c>
      <c r="AB219" s="6525"/>
      <c r="AC219" s="6528">
        <v>0</v>
      </c>
      <c r="AD219" s="6522">
        <v>0</v>
      </c>
      <c r="AE219" s="6529">
        <v>0</v>
      </c>
      <c r="AF219" s="6525">
        <v>0</v>
      </c>
      <c r="AG219" s="6528">
        <v>0</v>
      </c>
      <c r="AH219" s="6522">
        <v>0</v>
      </c>
      <c r="AI219" s="6529">
        <v>0</v>
      </c>
      <c r="AJ219" s="6525">
        <v>0</v>
      </c>
      <c r="AK219" s="6528">
        <v>0</v>
      </c>
      <c r="AL219" s="6526"/>
      <c r="AM219" s="6524">
        <v>0</v>
      </c>
      <c r="AN219" s="6526"/>
      <c r="AO219" s="6535">
        <v>0</v>
      </c>
      <c r="AP219" s="6525"/>
      <c r="AQ219" s="6528">
        <v>0</v>
      </c>
      <c r="AR219" s="6522"/>
      <c r="AS219" s="6529">
        <v>0</v>
      </c>
      <c r="AT219" s="6525"/>
      <c r="AU219" s="6528">
        <v>0</v>
      </c>
      <c r="AV219" s="6522"/>
      <c r="AW219" s="6529">
        <v>0</v>
      </c>
      <c r="AX219" s="6525"/>
      <c r="AY219" s="6522">
        <v>0</v>
      </c>
      <c r="AZ219" s="6526"/>
      <c r="BA219" s="6524">
        <v>0</v>
      </c>
      <c r="BB219" s="6526"/>
      <c r="BC219" s="6527">
        <v>0</v>
      </c>
      <c r="BD219" s="6522"/>
      <c r="BE219" s="6529">
        <v>0</v>
      </c>
      <c r="BP219" s="26"/>
      <c r="BQ219" s="26"/>
    </row>
    <row r="220" spans="1:69" ht="15.75" hidden="1" customHeight="1" x14ac:dyDescent="0.25">
      <c r="A220" s="149"/>
      <c r="B220" s="6530" t="s">
        <v>1711</v>
      </c>
      <c r="C220" s="6531" t="s">
        <v>354</v>
      </c>
      <c r="D220" s="6531"/>
      <c r="E220" s="6526"/>
      <c r="F220" s="6526"/>
      <c r="G220" s="6526"/>
      <c r="H220" s="6526"/>
      <c r="I220" s="3931">
        <f t="shared" si="192"/>
        <v>0</v>
      </c>
      <c r="J220" s="6526"/>
      <c r="K220" s="6526"/>
      <c r="L220" s="6526"/>
      <c r="M220" s="6524">
        <v>0</v>
      </c>
      <c r="N220" s="6526"/>
      <c r="O220" s="6526"/>
      <c r="P220" s="6526"/>
      <c r="Q220" s="6532">
        <v>0</v>
      </c>
      <c r="R220" s="6525"/>
      <c r="S220" s="6526"/>
      <c r="T220" s="6526"/>
      <c r="U220" s="6532">
        <v>0</v>
      </c>
      <c r="V220" s="6525"/>
      <c r="W220" s="6526"/>
      <c r="X220" s="6526"/>
      <c r="Y220" s="6524">
        <v>0</v>
      </c>
      <c r="Z220" s="6526"/>
      <c r="AA220" s="6533">
        <v>0</v>
      </c>
      <c r="AB220" s="6525"/>
      <c r="AC220" s="6534"/>
      <c r="AD220" s="6526"/>
      <c r="AE220" s="6535">
        <v>0</v>
      </c>
      <c r="AF220" s="6525"/>
      <c r="AG220" s="6534"/>
      <c r="AH220" s="6526"/>
      <c r="AI220" s="6535">
        <v>0</v>
      </c>
      <c r="AJ220" s="6525"/>
      <c r="AK220" s="6534"/>
      <c r="AL220" s="6526"/>
      <c r="AM220" s="6524">
        <v>0</v>
      </c>
      <c r="AN220" s="6526"/>
      <c r="AO220" s="6535">
        <v>0</v>
      </c>
      <c r="AP220" s="6525"/>
      <c r="AQ220" s="6534"/>
      <c r="AR220" s="6526"/>
      <c r="AS220" s="6535">
        <v>0</v>
      </c>
      <c r="AT220" s="6525"/>
      <c r="AU220" s="6534"/>
      <c r="AV220" s="6526"/>
      <c r="AW220" s="6535">
        <v>0</v>
      </c>
      <c r="AX220" s="6525"/>
      <c r="AY220" s="6526"/>
      <c r="AZ220" s="6526"/>
      <c r="BA220" s="6524">
        <v>0</v>
      </c>
      <c r="BB220" s="6526"/>
      <c r="BC220" s="6533">
        <v>0</v>
      </c>
      <c r="BD220" s="6526"/>
      <c r="BE220" s="6536">
        <v>0</v>
      </c>
      <c r="BP220" s="26"/>
      <c r="BQ220" s="26"/>
    </row>
    <row r="221" spans="1:69" ht="18.75" hidden="1" customHeight="1" x14ac:dyDescent="0.25">
      <c r="B221" s="6519" t="s">
        <v>1264</v>
      </c>
      <c r="C221" s="6537"/>
      <c r="D221" s="6538"/>
      <c r="E221" s="6526"/>
      <c r="F221" s="6526"/>
      <c r="G221" s="6526"/>
      <c r="H221" s="6526"/>
      <c r="I221" s="3931">
        <f t="shared" si="192"/>
        <v>0</v>
      </c>
      <c r="J221" s="6526"/>
      <c r="K221" s="6526"/>
      <c r="L221" s="6526"/>
      <c r="M221" s="6524">
        <v>0</v>
      </c>
      <c r="N221" s="6526"/>
      <c r="O221" s="6526"/>
      <c r="P221" s="6526"/>
      <c r="Q221" s="6532">
        <v>0</v>
      </c>
      <c r="R221" s="6525"/>
      <c r="S221" s="6526"/>
      <c r="T221" s="6526"/>
      <c r="U221" s="6532">
        <v>0</v>
      </c>
      <c r="V221" s="6525"/>
      <c r="W221" s="6526"/>
      <c r="X221" s="6526"/>
      <c r="Y221" s="6524">
        <v>0</v>
      </c>
      <c r="Z221" s="6526"/>
      <c r="AA221" s="6533">
        <v>0</v>
      </c>
      <c r="AB221" s="6525"/>
      <c r="AC221" s="6534"/>
      <c r="AD221" s="6526"/>
      <c r="AE221" s="6535">
        <v>0</v>
      </c>
      <c r="AF221" s="6525"/>
      <c r="AG221" s="6534"/>
      <c r="AH221" s="6526"/>
      <c r="AI221" s="6535">
        <v>0</v>
      </c>
      <c r="AJ221" s="6525"/>
      <c r="AK221" s="6534"/>
      <c r="AL221" s="6526"/>
      <c r="AM221" s="6524">
        <v>0</v>
      </c>
      <c r="AN221" s="6526"/>
      <c r="AO221" s="6535">
        <v>0</v>
      </c>
      <c r="AP221" s="6525"/>
      <c r="AQ221" s="6534"/>
      <c r="AR221" s="6526"/>
      <c r="AS221" s="6535">
        <v>0</v>
      </c>
      <c r="AT221" s="6525"/>
      <c r="AU221" s="6534"/>
      <c r="AV221" s="6526"/>
      <c r="AW221" s="6535">
        <v>0</v>
      </c>
      <c r="AX221" s="6525"/>
      <c r="AY221" s="6526"/>
      <c r="AZ221" s="6526"/>
      <c r="BA221" s="6524">
        <v>0</v>
      </c>
      <c r="BB221" s="6526"/>
      <c r="BC221" s="6533">
        <v>0</v>
      </c>
      <c r="BD221" s="6526"/>
      <c r="BE221" s="6536">
        <v>0</v>
      </c>
      <c r="BP221" s="26"/>
      <c r="BQ221" s="26"/>
    </row>
    <row r="222" spans="1:69" ht="15.75" hidden="1" customHeight="1" x14ac:dyDescent="0.25">
      <c r="B222" s="6530" t="s">
        <v>1118</v>
      </c>
      <c r="C222" s="6531" t="s">
        <v>354</v>
      </c>
      <c r="D222" s="6531"/>
      <c r="E222" s="6526">
        <v>0</v>
      </c>
      <c r="F222" s="6526"/>
      <c r="G222" s="6526">
        <v>0</v>
      </c>
      <c r="H222" s="6526"/>
      <c r="I222" s="3931">
        <f t="shared" si="192"/>
        <v>0</v>
      </c>
      <c r="J222" s="6526"/>
      <c r="K222" s="6526">
        <v>0</v>
      </c>
      <c r="L222" s="6526"/>
      <c r="M222" s="6524">
        <v>0</v>
      </c>
      <c r="N222" s="6526"/>
      <c r="O222" s="6526">
        <v>0</v>
      </c>
      <c r="P222" s="6526"/>
      <c r="Q222" s="6532">
        <v>0</v>
      </c>
      <c r="R222" s="6525"/>
      <c r="S222" s="6526">
        <v>0</v>
      </c>
      <c r="T222" s="6526"/>
      <c r="U222" s="6532">
        <v>0</v>
      </c>
      <c r="V222" s="6525"/>
      <c r="W222" s="6526">
        <v>0</v>
      </c>
      <c r="X222" s="6526"/>
      <c r="Y222" s="6524">
        <v>0</v>
      </c>
      <c r="Z222" s="6526"/>
      <c r="AA222" s="6533">
        <v>0</v>
      </c>
      <c r="AB222" s="6525"/>
      <c r="AC222" s="6534">
        <v>0</v>
      </c>
      <c r="AD222" s="6526"/>
      <c r="AE222" s="6535">
        <v>0</v>
      </c>
      <c r="AF222" s="6525"/>
      <c r="AG222" s="6534">
        <v>0</v>
      </c>
      <c r="AH222" s="6526"/>
      <c r="AI222" s="6535">
        <v>0</v>
      </c>
      <c r="AJ222" s="6525"/>
      <c r="AK222" s="6534">
        <v>0</v>
      </c>
      <c r="AL222" s="6526"/>
      <c r="AM222" s="6524">
        <v>0</v>
      </c>
      <c r="AN222" s="6526"/>
      <c r="AO222" s="6535">
        <v>0</v>
      </c>
      <c r="AP222" s="6525"/>
      <c r="AQ222" s="6534">
        <v>0</v>
      </c>
      <c r="AR222" s="6526"/>
      <c r="AS222" s="6535">
        <v>0</v>
      </c>
      <c r="AT222" s="6525"/>
      <c r="AU222" s="6534">
        <v>0</v>
      </c>
      <c r="AV222" s="6526"/>
      <c r="AW222" s="6535">
        <v>0</v>
      </c>
      <c r="AX222" s="6525"/>
      <c r="AY222" s="6526"/>
      <c r="AZ222" s="6526"/>
      <c r="BA222" s="6524">
        <v>0</v>
      </c>
      <c r="BB222" s="6526"/>
      <c r="BC222" s="6533">
        <v>0</v>
      </c>
      <c r="BD222" s="6526"/>
      <c r="BE222" s="6536">
        <v>0</v>
      </c>
      <c r="BP222" s="26"/>
      <c r="BQ222" s="26"/>
    </row>
    <row r="223" spans="1:69" ht="18.75" hidden="1" customHeight="1" x14ac:dyDescent="0.25">
      <c r="B223" s="6519" t="s">
        <v>1279</v>
      </c>
      <c r="C223" s="6520"/>
      <c r="D223" s="6521"/>
      <c r="E223" s="6522">
        <v>0</v>
      </c>
      <c r="F223" s="6522">
        <v>0</v>
      </c>
      <c r="G223" s="6522">
        <v>0</v>
      </c>
      <c r="H223" s="6523">
        <v>0</v>
      </c>
      <c r="I223" s="3931">
        <f t="shared" si="192"/>
        <v>0</v>
      </c>
      <c r="J223" s="6522">
        <v>0</v>
      </c>
      <c r="K223" s="6522">
        <v>0</v>
      </c>
      <c r="L223" s="6522"/>
      <c r="M223" s="6524">
        <v>0</v>
      </c>
      <c r="N223" s="6522"/>
      <c r="O223" s="6522">
        <v>0</v>
      </c>
      <c r="P223" s="6522">
        <v>0</v>
      </c>
      <c r="Q223" s="6532">
        <v>0</v>
      </c>
      <c r="R223" s="6525">
        <v>0</v>
      </c>
      <c r="S223" s="6522">
        <v>0</v>
      </c>
      <c r="T223" s="6522">
        <v>0</v>
      </c>
      <c r="U223" s="6532">
        <v>0</v>
      </c>
      <c r="V223" s="6525">
        <v>0</v>
      </c>
      <c r="W223" s="6522">
        <v>0</v>
      </c>
      <c r="X223" s="6522"/>
      <c r="Y223" s="6524">
        <v>0</v>
      </c>
      <c r="Z223" s="6526"/>
      <c r="AA223" s="6527">
        <v>0</v>
      </c>
      <c r="AB223" s="6525"/>
      <c r="AC223" s="6528">
        <v>0</v>
      </c>
      <c r="AD223" s="6522">
        <v>0</v>
      </c>
      <c r="AE223" s="6529">
        <v>0</v>
      </c>
      <c r="AF223" s="6525">
        <v>0</v>
      </c>
      <c r="AG223" s="6528">
        <v>0</v>
      </c>
      <c r="AH223" s="6522">
        <v>0</v>
      </c>
      <c r="AI223" s="6529">
        <v>0</v>
      </c>
      <c r="AJ223" s="6525">
        <v>0</v>
      </c>
      <c r="AK223" s="6528">
        <v>0</v>
      </c>
      <c r="AL223" s="6526"/>
      <c r="AM223" s="6524">
        <v>0</v>
      </c>
      <c r="AN223" s="6526"/>
      <c r="AO223" s="6535">
        <v>0</v>
      </c>
      <c r="AP223" s="6525"/>
      <c r="AQ223" s="6528">
        <v>0</v>
      </c>
      <c r="AR223" s="6522"/>
      <c r="AS223" s="6529">
        <v>0</v>
      </c>
      <c r="AT223" s="6525"/>
      <c r="AU223" s="6528">
        <v>0</v>
      </c>
      <c r="AV223" s="6522"/>
      <c r="AW223" s="6529">
        <v>0</v>
      </c>
      <c r="AX223" s="6525"/>
      <c r="AY223" s="6522">
        <v>0</v>
      </c>
      <c r="AZ223" s="6526"/>
      <c r="BA223" s="6524">
        <v>0</v>
      </c>
      <c r="BB223" s="6526"/>
      <c r="BC223" s="6527">
        <v>0</v>
      </c>
      <c r="BD223" s="6522"/>
      <c r="BE223" s="6529">
        <v>0</v>
      </c>
      <c r="BP223" s="26"/>
      <c r="BQ223" s="26"/>
    </row>
    <row r="224" spans="1:69" ht="18.75" hidden="1" customHeight="1" x14ac:dyDescent="0.25">
      <c r="B224" s="6530" t="s">
        <v>845</v>
      </c>
      <c r="C224" s="6531" t="s">
        <v>354</v>
      </c>
      <c r="D224" s="6531"/>
      <c r="E224" s="6526"/>
      <c r="F224" s="6526">
        <v>0</v>
      </c>
      <c r="G224" s="6526"/>
      <c r="H224" s="6526">
        <v>0</v>
      </c>
      <c r="I224" s="3931">
        <f t="shared" si="192"/>
        <v>0</v>
      </c>
      <c r="J224" s="6526">
        <v>0</v>
      </c>
      <c r="K224" s="6526"/>
      <c r="L224" s="6526"/>
      <c r="M224" s="6524">
        <v>0</v>
      </c>
      <c r="N224" s="6526"/>
      <c r="O224" s="6526"/>
      <c r="P224" s="6526"/>
      <c r="Q224" s="6532">
        <v>0</v>
      </c>
      <c r="R224" s="6539"/>
      <c r="S224" s="6526"/>
      <c r="T224" s="6526"/>
      <c r="U224" s="6532">
        <v>0</v>
      </c>
      <c r="V224" s="6539"/>
      <c r="W224" s="6526"/>
      <c r="X224" s="6526"/>
      <c r="Y224" s="6524">
        <v>0</v>
      </c>
      <c r="Z224" s="6526"/>
      <c r="AA224" s="6533">
        <v>0</v>
      </c>
      <c r="AB224" s="6539"/>
      <c r="AC224" s="6534"/>
      <c r="AD224" s="6526"/>
      <c r="AE224" s="6535">
        <v>0</v>
      </c>
      <c r="AF224" s="6539"/>
      <c r="AG224" s="6534"/>
      <c r="AH224" s="6526"/>
      <c r="AI224" s="6535">
        <v>0</v>
      </c>
      <c r="AJ224" s="6539"/>
      <c r="AK224" s="6534"/>
      <c r="AL224" s="6522"/>
      <c r="AM224" s="6524">
        <v>0</v>
      </c>
      <c r="AN224" s="6526"/>
      <c r="AO224" s="6535">
        <v>0</v>
      </c>
      <c r="AP224" s="6539"/>
      <c r="AQ224" s="6534"/>
      <c r="AR224" s="6526"/>
      <c r="AS224" s="6535">
        <v>0</v>
      </c>
      <c r="AT224" s="6539"/>
      <c r="AU224" s="6534"/>
      <c r="AV224" s="6526"/>
      <c r="AW224" s="6535">
        <v>0</v>
      </c>
      <c r="AX224" s="6539"/>
      <c r="AY224" s="6526"/>
      <c r="AZ224" s="6522"/>
      <c r="BA224" s="6524">
        <v>0</v>
      </c>
      <c r="BB224" s="6526"/>
      <c r="BC224" s="6533">
        <v>0</v>
      </c>
      <c r="BD224" s="6526"/>
      <c r="BE224" s="6536">
        <v>0</v>
      </c>
      <c r="BP224" s="26"/>
      <c r="BQ224" s="26"/>
    </row>
    <row r="225" spans="2:69" ht="18.75" hidden="1" customHeight="1" x14ac:dyDescent="0.25">
      <c r="B225" s="6519" t="s">
        <v>1206</v>
      </c>
      <c r="C225" s="6520" t="s">
        <v>354</v>
      </c>
      <c r="D225" s="6521"/>
      <c r="E225" s="6522">
        <v>0</v>
      </c>
      <c r="F225" s="6522"/>
      <c r="G225" s="6522">
        <v>0</v>
      </c>
      <c r="H225" s="6523"/>
      <c r="I225" s="3931">
        <f t="shared" si="192"/>
        <v>0</v>
      </c>
      <c r="J225" s="6522"/>
      <c r="K225" s="6522">
        <v>0</v>
      </c>
      <c r="L225" s="6522"/>
      <c r="M225" s="6524">
        <v>0</v>
      </c>
      <c r="N225" s="6522"/>
      <c r="O225" s="6522">
        <v>0</v>
      </c>
      <c r="P225" s="6522"/>
      <c r="Q225" s="6532">
        <v>0</v>
      </c>
      <c r="R225" s="6525"/>
      <c r="S225" s="6522">
        <v>0</v>
      </c>
      <c r="T225" s="6522"/>
      <c r="U225" s="6532">
        <v>0</v>
      </c>
      <c r="V225" s="6525"/>
      <c r="W225" s="6522">
        <v>0</v>
      </c>
      <c r="X225" s="6522"/>
      <c r="Y225" s="6524">
        <v>0</v>
      </c>
      <c r="Z225" s="6526"/>
      <c r="AA225" s="6527">
        <v>0</v>
      </c>
      <c r="AB225" s="6525"/>
      <c r="AC225" s="6528">
        <v>0</v>
      </c>
      <c r="AD225" s="6522"/>
      <c r="AE225" s="6529">
        <v>0</v>
      </c>
      <c r="AF225" s="6525"/>
      <c r="AG225" s="6528">
        <v>0</v>
      </c>
      <c r="AH225" s="6522"/>
      <c r="AI225" s="6529">
        <v>0</v>
      </c>
      <c r="AJ225" s="6525"/>
      <c r="AK225" s="6528">
        <v>0</v>
      </c>
      <c r="AL225" s="6526"/>
      <c r="AM225" s="6524">
        <v>0</v>
      </c>
      <c r="AN225" s="6526"/>
      <c r="AO225" s="6535">
        <v>0</v>
      </c>
      <c r="AP225" s="6525"/>
      <c r="AQ225" s="6528">
        <v>0</v>
      </c>
      <c r="AR225" s="6522"/>
      <c r="AS225" s="6529">
        <v>0</v>
      </c>
      <c r="AT225" s="6525"/>
      <c r="AU225" s="6528">
        <v>0</v>
      </c>
      <c r="AV225" s="6522"/>
      <c r="AW225" s="6529">
        <v>0</v>
      </c>
      <c r="AX225" s="6525"/>
      <c r="AY225" s="6522"/>
      <c r="AZ225" s="6526"/>
      <c r="BA225" s="6524">
        <v>0</v>
      </c>
      <c r="BB225" s="6526"/>
      <c r="BC225" s="6527">
        <v>0</v>
      </c>
      <c r="BD225" s="6522"/>
      <c r="BE225" s="6529">
        <v>0</v>
      </c>
      <c r="BP225" s="26"/>
      <c r="BQ225" s="26"/>
    </row>
    <row r="226" spans="2:69" ht="15.75" hidden="1" customHeight="1" x14ac:dyDescent="0.25">
      <c r="B226" s="6530" t="s">
        <v>844</v>
      </c>
      <c r="C226" s="6531" t="s">
        <v>354</v>
      </c>
      <c r="D226" s="6538"/>
      <c r="E226" s="6526"/>
      <c r="F226" s="6526"/>
      <c r="G226" s="6526"/>
      <c r="H226" s="6526"/>
      <c r="I226" s="3931">
        <f t="shared" si="192"/>
        <v>0</v>
      </c>
      <c r="J226" s="6526"/>
      <c r="K226" s="6526"/>
      <c r="L226" s="6526"/>
      <c r="M226" s="6524">
        <v>0</v>
      </c>
      <c r="N226" s="6526"/>
      <c r="O226" s="6526"/>
      <c r="P226" s="6526"/>
      <c r="Q226" s="6532">
        <v>0</v>
      </c>
      <c r="R226" s="6525"/>
      <c r="S226" s="6526"/>
      <c r="T226" s="6526"/>
      <c r="U226" s="6532">
        <v>0</v>
      </c>
      <c r="V226" s="6525"/>
      <c r="W226" s="6526"/>
      <c r="X226" s="6526"/>
      <c r="Y226" s="6524">
        <v>0</v>
      </c>
      <c r="Z226" s="6526"/>
      <c r="AA226" s="6533">
        <v>0</v>
      </c>
      <c r="AB226" s="6525"/>
      <c r="AC226" s="6534"/>
      <c r="AD226" s="6526"/>
      <c r="AE226" s="6535">
        <v>0</v>
      </c>
      <c r="AF226" s="6525"/>
      <c r="AG226" s="6534"/>
      <c r="AH226" s="6526"/>
      <c r="AI226" s="6535">
        <v>0</v>
      </c>
      <c r="AJ226" s="6525"/>
      <c r="AK226" s="6534"/>
      <c r="AL226" s="6526"/>
      <c r="AM226" s="6524">
        <v>0</v>
      </c>
      <c r="AN226" s="6526"/>
      <c r="AO226" s="6535">
        <v>0</v>
      </c>
      <c r="AP226" s="6525"/>
      <c r="AQ226" s="6534"/>
      <c r="AR226" s="6526"/>
      <c r="AS226" s="6535">
        <v>0</v>
      </c>
      <c r="AT226" s="6525"/>
      <c r="AU226" s="6534"/>
      <c r="AV226" s="6526"/>
      <c r="AW226" s="6535">
        <v>0</v>
      </c>
      <c r="AX226" s="6525"/>
      <c r="AY226" s="6526"/>
      <c r="AZ226" s="6526"/>
      <c r="BA226" s="6524">
        <v>0</v>
      </c>
      <c r="BB226" s="6526"/>
      <c r="BC226" s="6533">
        <v>0</v>
      </c>
      <c r="BD226" s="6526"/>
      <c r="BE226" s="6536">
        <v>0</v>
      </c>
      <c r="BP226" s="26"/>
      <c r="BQ226" s="26"/>
    </row>
    <row r="227" spans="2:69" ht="15.75" hidden="1" customHeight="1" x14ac:dyDescent="0.25">
      <c r="B227" s="6530" t="s">
        <v>956</v>
      </c>
      <c r="C227" s="6531" t="s">
        <v>354</v>
      </c>
      <c r="D227" s="6531"/>
      <c r="E227" s="6526"/>
      <c r="F227" s="6526"/>
      <c r="G227" s="6526"/>
      <c r="H227" s="6526"/>
      <c r="I227" s="3931">
        <f t="shared" si="192"/>
        <v>0</v>
      </c>
      <c r="J227" s="6526"/>
      <c r="K227" s="6526"/>
      <c r="L227" s="6526"/>
      <c r="M227" s="6524">
        <v>0</v>
      </c>
      <c r="N227" s="6526"/>
      <c r="O227" s="6526"/>
      <c r="P227" s="6526"/>
      <c r="Q227" s="6532">
        <v>0</v>
      </c>
      <c r="R227" s="6525"/>
      <c r="S227" s="6526"/>
      <c r="T227" s="6526"/>
      <c r="U227" s="6532">
        <v>0</v>
      </c>
      <c r="V227" s="6525"/>
      <c r="W227" s="6526"/>
      <c r="X227" s="6526"/>
      <c r="Y227" s="6524">
        <v>0</v>
      </c>
      <c r="Z227" s="6526"/>
      <c r="AA227" s="6533">
        <v>0</v>
      </c>
      <c r="AB227" s="6525"/>
      <c r="AC227" s="6534"/>
      <c r="AD227" s="6526"/>
      <c r="AE227" s="6535">
        <v>0</v>
      </c>
      <c r="AF227" s="6525"/>
      <c r="AG227" s="6534"/>
      <c r="AH227" s="6526"/>
      <c r="AI227" s="6535">
        <v>0</v>
      </c>
      <c r="AJ227" s="6525"/>
      <c r="AK227" s="6534"/>
      <c r="AL227" s="6526"/>
      <c r="AM227" s="6524">
        <v>0</v>
      </c>
      <c r="AN227" s="6526"/>
      <c r="AO227" s="6535">
        <v>0</v>
      </c>
      <c r="AP227" s="6525"/>
      <c r="AQ227" s="6534"/>
      <c r="AR227" s="6526"/>
      <c r="AS227" s="6535">
        <v>0</v>
      </c>
      <c r="AT227" s="6525"/>
      <c r="AU227" s="6534"/>
      <c r="AV227" s="6526"/>
      <c r="AW227" s="6535">
        <v>0</v>
      </c>
      <c r="AX227" s="6525"/>
      <c r="AY227" s="6526"/>
      <c r="AZ227" s="6526"/>
      <c r="BA227" s="6524">
        <v>0</v>
      </c>
      <c r="BB227" s="6526"/>
      <c r="BC227" s="6533">
        <v>0</v>
      </c>
      <c r="BD227" s="6526"/>
      <c r="BE227" s="6536">
        <v>0</v>
      </c>
      <c r="BP227" s="26"/>
      <c r="BQ227" s="26"/>
    </row>
    <row r="228" spans="2:69" ht="18.75" hidden="1" customHeight="1" x14ac:dyDescent="0.25">
      <c r="B228" s="6519" t="s">
        <v>2165</v>
      </c>
      <c r="C228" s="6520"/>
      <c r="D228" s="6521"/>
      <c r="E228" s="6522">
        <v>0</v>
      </c>
      <c r="F228" s="6522">
        <v>0</v>
      </c>
      <c r="G228" s="6522">
        <v>0</v>
      </c>
      <c r="H228" s="6523">
        <v>0</v>
      </c>
      <c r="I228" s="3931">
        <f t="shared" si="192"/>
        <v>0</v>
      </c>
      <c r="J228" s="6522">
        <v>0</v>
      </c>
      <c r="K228" s="6522">
        <v>648.85</v>
      </c>
      <c r="L228" s="6522"/>
      <c r="M228" s="6524">
        <v>648.85</v>
      </c>
      <c r="N228" s="6522"/>
      <c r="O228" s="6522">
        <v>0</v>
      </c>
      <c r="P228" s="6522">
        <v>0</v>
      </c>
      <c r="Q228" s="6532">
        <v>648.85</v>
      </c>
      <c r="R228" s="6525">
        <v>0</v>
      </c>
      <c r="S228" s="6522">
        <v>0</v>
      </c>
      <c r="T228" s="6522">
        <v>0</v>
      </c>
      <c r="U228" s="6532">
        <v>648.85</v>
      </c>
      <c r="V228" s="6525">
        <v>0</v>
      </c>
      <c r="W228" s="6522">
        <v>0</v>
      </c>
      <c r="X228" s="6522"/>
      <c r="Y228" s="6524">
        <v>0</v>
      </c>
      <c r="Z228" s="6526"/>
      <c r="AA228" s="6527">
        <v>648.85</v>
      </c>
      <c r="AB228" s="6525"/>
      <c r="AC228" s="6528">
        <v>0</v>
      </c>
      <c r="AD228" s="6522">
        <v>0</v>
      </c>
      <c r="AE228" s="6529">
        <v>648.85</v>
      </c>
      <c r="AF228" s="6525">
        <v>0</v>
      </c>
      <c r="AG228" s="6528">
        <v>0</v>
      </c>
      <c r="AH228" s="6522">
        <v>0</v>
      </c>
      <c r="AI228" s="6529">
        <v>648.85</v>
      </c>
      <c r="AJ228" s="6525">
        <v>0</v>
      </c>
      <c r="AK228" s="6528">
        <v>0</v>
      </c>
      <c r="AL228" s="6526"/>
      <c r="AM228" s="6524">
        <v>0</v>
      </c>
      <c r="AN228" s="6526"/>
      <c r="AO228" s="6535">
        <v>648.85</v>
      </c>
      <c r="AP228" s="6525"/>
      <c r="AQ228" s="6528">
        <v>0</v>
      </c>
      <c r="AR228" s="6522"/>
      <c r="AS228" s="6529">
        <v>648.85</v>
      </c>
      <c r="AT228" s="6525"/>
      <c r="AU228" s="6528">
        <v>0</v>
      </c>
      <c r="AV228" s="6522"/>
      <c r="AW228" s="6529">
        <v>648.85</v>
      </c>
      <c r="AX228" s="6525"/>
      <c r="AY228" s="6522">
        <v>0</v>
      </c>
      <c r="AZ228" s="6526"/>
      <c r="BA228" s="6524">
        <v>0</v>
      </c>
      <c r="BB228" s="6526"/>
      <c r="BC228" s="6527">
        <v>0</v>
      </c>
      <c r="BD228" s="6522"/>
      <c r="BE228" s="6529">
        <v>648.85</v>
      </c>
      <c r="BP228" s="26"/>
      <c r="BQ228" s="26"/>
    </row>
    <row r="229" spans="2:69" ht="15.75" hidden="1" customHeight="1" x14ac:dyDescent="0.25">
      <c r="B229" s="6530" t="s">
        <v>956</v>
      </c>
      <c r="C229" s="6531" t="s">
        <v>354</v>
      </c>
      <c r="D229" s="6540"/>
      <c r="E229" s="6526"/>
      <c r="F229" s="6526"/>
      <c r="G229" s="6526"/>
      <c r="H229" s="6526"/>
      <c r="I229" s="3931">
        <f t="shared" si="192"/>
        <v>0</v>
      </c>
      <c r="J229" s="6526"/>
      <c r="K229" s="6526">
        <v>648.85</v>
      </c>
      <c r="L229" s="6526"/>
      <c r="M229" s="6524">
        <v>648.85</v>
      </c>
      <c r="N229" s="6526"/>
      <c r="O229" s="6526"/>
      <c r="P229" s="6526"/>
      <c r="Q229" s="6532">
        <v>648.85</v>
      </c>
      <c r="R229" s="6541"/>
      <c r="S229" s="6526"/>
      <c r="T229" s="6526"/>
      <c r="U229" s="6532">
        <v>648.85</v>
      </c>
      <c r="V229" s="6541"/>
      <c r="W229" s="6526"/>
      <c r="X229" s="6526"/>
      <c r="Y229" s="6524">
        <v>0</v>
      </c>
      <c r="Z229" s="6526"/>
      <c r="AA229" s="6533">
        <v>648.85</v>
      </c>
      <c r="AB229" s="6541"/>
      <c r="AC229" s="6534"/>
      <c r="AD229" s="6526"/>
      <c r="AE229" s="6535">
        <v>648.85</v>
      </c>
      <c r="AF229" s="6541"/>
      <c r="AG229" s="6534"/>
      <c r="AH229" s="6526"/>
      <c r="AI229" s="6535">
        <v>648.85</v>
      </c>
      <c r="AJ229" s="6541"/>
      <c r="AK229" s="6534"/>
      <c r="AL229" s="6542"/>
      <c r="AM229" s="6524">
        <v>0</v>
      </c>
      <c r="AN229" s="6526"/>
      <c r="AO229" s="6535">
        <v>648.85</v>
      </c>
      <c r="AP229" s="6541"/>
      <c r="AQ229" s="6534"/>
      <c r="AR229" s="6526"/>
      <c r="AS229" s="6535">
        <v>648.85</v>
      </c>
      <c r="AT229" s="6541"/>
      <c r="AU229" s="6534"/>
      <c r="AV229" s="6526"/>
      <c r="AW229" s="6535">
        <v>648.85</v>
      </c>
      <c r="AX229" s="6541"/>
      <c r="AY229" s="6526"/>
      <c r="AZ229" s="6542"/>
      <c r="BA229" s="6524">
        <v>0</v>
      </c>
      <c r="BB229" s="6526"/>
      <c r="BC229" s="6533">
        <v>0</v>
      </c>
      <c r="BD229" s="6526"/>
      <c r="BE229" s="6536">
        <v>648.85</v>
      </c>
      <c r="BP229" s="26"/>
      <c r="BQ229" s="26"/>
    </row>
    <row r="230" spans="2:69" ht="18.75" hidden="1" customHeight="1" x14ac:dyDescent="0.25">
      <c r="B230" s="6519" t="s">
        <v>1708</v>
      </c>
      <c r="C230" s="6520"/>
      <c r="D230" s="6521"/>
      <c r="E230" s="6522">
        <v>0</v>
      </c>
      <c r="F230" s="6522">
        <v>0</v>
      </c>
      <c r="G230" s="6522">
        <v>0</v>
      </c>
      <c r="H230" s="6523">
        <v>0</v>
      </c>
      <c r="I230" s="3931">
        <f t="shared" si="192"/>
        <v>0</v>
      </c>
      <c r="J230" s="6522">
        <v>0</v>
      </c>
      <c r="K230" s="6522">
        <v>0</v>
      </c>
      <c r="L230" s="6522"/>
      <c r="M230" s="6524">
        <v>2520.1999999999998</v>
      </c>
      <c r="N230" s="6522"/>
      <c r="O230" s="6522">
        <v>0</v>
      </c>
      <c r="P230" s="6522">
        <v>0</v>
      </c>
      <c r="Q230" s="6532">
        <v>2520.1999999999998</v>
      </c>
      <c r="R230" s="6525">
        <v>0</v>
      </c>
      <c r="S230" s="6522">
        <v>0</v>
      </c>
      <c r="T230" s="6522">
        <v>0</v>
      </c>
      <c r="U230" s="6532">
        <v>2520.1999999999998</v>
      </c>
      <c r="V230" s="6525">
        <v>0</v>
      </c>
      <c r="W230" s="6522">
        <v>0</v>
      </c>
      <c r="X230" s="6522"/>
      <c r="Y230" s="6524">
        <v>0</v>
      </c>
      <c r="Z230" s="6526"/>
      <c r="AA230" s="6527">
        <v>2520.1999999999998</v>
      </c>
      <c r="AB230" s="6525"/>
      <c r="AC230" s="6528">
        <v>0</v>
      </c>
      <c r="AD230" s="6522">
        <v>0</v>
      </c>
      <c r="AE230" s="6529">
        <v>2520.1999999999998</v>
      </c>
      <c r="AF230" s="6525">
        <v>0</v>
      </c>
      <c r="AG230" s="6528">
        <v>0</v>
      </c>
      <c r="AH230" s="6522">
        <v>0</v>
      </c>
      <c r="AI230" s="6529">
        <v>2520.1999999999998</v>
      </c>
      <c r="AJ230" s="6525">
        <v>0</v>
      </c>
      <c r="AK230" s="6528">
        <v>0</v>
      </c>
      <c r="AL230" s="6526"/>
      <c r="AM230" s="6524">
        <v>0</v>
      </c>
      <c r="AN230" s="6526"/>
      <c r="AO230" s="6535">
        <v>2520.1999999999998</v>
      </c>
      <c r="AP230" s="6525"/>
      <c r="AQ230" s="6528">
        <v>0</v>
      </c>
      <c r="AR230" s="6522"/>
      <c r="AS230" s="6529">
        <v>2520.1999999999998</v>
      </c>
      <c r="AT230" s="6525"/>
      <c r="AU230" s="6528">
        <v>0</v>
      </c>
      <c r="AV230" s="6522"/>
      <c r="AW230" s="6529">
        <v>2520.1999999999998</v>
      </c>
      <c r="AX230" s="6525"/>
      <c r="AY230" s="6522">
        <v>0</v>
      </c>
      <c r="AZ230" s="6526"/>
      <c r="BA230" s="6524">
        <v>0</v>
      </c>
      <c r="BB230" s="6526"/>
      <c r="BC230" s="6527">
        <v>0</v>
      </c>
      <c r="BD230" s="6522"/>
      <c r="BE230" s="6529">
        <v>2520.1999999999998</v>
      </c>
      <c r="BP230" s="26"/>
      <c r="BQ230" s="26"/>
    </row>
    <row r="231" spans="2:69" ht="15.75" hidden="1" customHeight="1" x14ac:dyDescent="0.25">
      <c r="B231" s="6530" t="s">
        <v>2164</v>
      </c>
      <c r="C231" s="6531" t="s">
        <v>354</v>
      </c>
      <c r="D231" s="6531"/>
      <c r="E231" s="6526"/>
      <c r="F231" s="6526"/>
      <c r="G231" s="6526"/>
      <c r="H231" s="6526"/>
      <c r="I231" s="3931">
        <f t="shared" si="192"/>
        <v>0</v>
      </c>
      <c r="J231" s="6526"/>
      <c r="K231" s="6526"/>
      <c r="L231" s="6526"/>
      <c r="M231" s="6524">
        <v>2520.1999999999998</v>
      </c>
      <c r="N231" s="6526"/>
      <c r="O231" s="6526"/>
      <c r="P231" s="6526"/>
      <c r="Q231" s="6532">
        <v>2520.1999999999998</v>
      </c>
      <c r="R231" s="6525"/>
      <c r="S231" s="6526"/>
      <c r="T231" s="6526"/>
      <c r="U231" s="6532">
        <v>2520.1999999999998</v>
      </c>
      <c r="V231" s="6525"/>
      <c r="W231" s="6526"/>
      <c r="X231" s="6526"/>
      <c r="Y231" s="6524">
        <v>0</v>
      </c>
      <c r="Z231" s="6526"/>
      <c r="AA231" s="6533">
        <v>2520.1999999999998</v>
      </c>
      <c r="AB231" s="6525"/>
      <c r="AC231" s="6534"/>
      <c r="AD231" s="6526"/>
      <c r="AE231" s="6535">
        <v>2520.1999999999998</v>
      </c>
      <c r="AF231" s="6525"/>
      <c r="AG231" s="6534"/>
      <c r="AH231" s="6526"/>
      <c r="AI231" s="6535">
        <v>2520.1999999999998</v>
      </c>
      <c r="AJ231" s="6525"/>
      <c r="AK231" s="6534"/>
      <c r="AL231" s="6526"/>
      <c r="AM231" s="6524">
        <v>0</v>
      </c>
      <c r="AN231" s="6526"/>
      <c r="AO231" s="6535">
        <v>2520.1999999999998</v>
      </c>
      <c r="AP231" s="6525"/>
      <c r="AQ231" s="6534"/>
      <c r="AR231" s="6526"/>
      <c r="AS231" s="6535">
        <v>2520.1999999999998</v>
      </c>
      <c r="AT231" s="6525"/>
      <c r="AU231" s="6534"/>
      <c r="AV231" s="6526"/>
      <c r="AW231" s="6535">
        <v>2520.1999999999998</v>
      </c>
      <c r="AX231" s="6525"/>
      <c r="AY231" s="6526"/>
      <c r="AZ231" s="6526"/>
      <c r="BA231" s="6524">
        <v>0</v>
      </c>
      <c r="BB231" s="6526"/>
      <c r="BC231" s="6533">
        <v>0</v>
      </c>
      <c r="BD231" s="6526"/>
      <c r="BE231" s="6536">
        <v>2520.1999999999998</v>
      </c>
      <c r="BP231" s="26"/>
      <c r="BQ231" s="26"/>
    </row>
    <row r="232" spans="2:69" ht="18.75" hidden="1" customHeight="1" x14ac:dyDescent="0.25">
      <c r="B232" s="6519" t="s">
        <v>1304</v>
      </c>
      <c r="C232" s="6520"/>
      <c r="D232" s="6521"/>
      <c r="E232" s="6522">
        <v>0</v>
      </c>
      <c r="F232" s="6522">
        <v>0</v>
      </c>
      <c r="G232" s="6522">
        <v>0</v>
      </c>
      <c r="H232" s="6523">
        <v>0</v>
      </c>
      <c r="I232" s="3931">
        <f t="shared" si="192"/>
        <v>0</v>
      </c>
      <c r="J232" s="6522">
        <v>0</v>
      </c>
      <c r="K232" s="6522">
        <v>3860.7</v>
      </c>
      <c r="L232" s="6522"/>
      <c r="M232" s="6524">
        <v>7847.84</v>
      </c>
      <c r="N232" s="6522"/>
      <c r="O232" s="6522">
        <v>3971.7</v>
      </c>
      <c r="P232" s="6522">
        <v>0</v>
      </c>
      <c r="Q232" s="6523">
        <v>11819.54</v>
      </c>
      <c r="R232" s="6525">
        <v>0</v>
      </c>
      <c r="S232" s="6522">
        <v>3828.7</v>
      </c>
      <c r="T232" s="6522">
        <v>0</v>
      </c>
      <c r="U232" s="6523">
        <v>15648.240000000002</v>
      </c>
      <c r="V232" s="6525">
        <v>0</v>
      </c>
      <c r="W232" s="6522">
        <v>0</v>
      </c>
      <c r="X232" s="6522"/>
      <c r="Y232" s="6524">
        <v>7800.4</v>
      </c>
      <c r="Z232" s="6526"/>
      <c r="AA232" s="6527">
        <v>15648.24</v>
      </c>
      <c r="AB232" s="6525"/>
      <c r="AC232" s="6528">
        <v>7862.7000000000007</v>
      </c>
      <c r="AD232" s="6522">
        <v>0</v>
      </c>
      <c r="AE232" s="6529">
        <v>23510.940000000002</v>
      </c>
      <c r="AF232" s="6525">
        <v>0</v>
      </c>
      <c r="AG232" s="6528">
        <v>0</v>
      </c>
      <c r="AH232" s="6522">
        <v>0</v>
      </c>
      <c r="AI232" s="6529">
        <v>23510.940000000002</v>
      </c>
      <c r="AJ232" s="6525">
        <v>0</v>
      </c>
      <c r="AK232" s="6528">
        <v>0</v>
      </c>
      <c r="AL232" s="6526"/>
      <c r="AM232" s="6524">
        <v>7862.7000000000007</v>
      </c>
      <c r="AN232" s="6522"/>
      <c r="AO232" s="6529">
        <v>23510.940000000002</v>
      </c>
      <c r="AP232" s="6525"/>
      <c r="AQ232" s="6528">
        <v>0</v>
      </c>
      <c r="AR232" s="6522"/>
      <c r="AS232" s="6529">
        <v>23510.940000000002</v>
      </c>
      <c r="AT232" s="6525"/>
      <c r="AU232" s="6528">
        <v>3773.6</v>
      </c>
      <c r="AV232" s="6522"/>
      <c r="AW232" s="6529">
        <v>27284.54</v>
      </c>
      <c r="AX232" s="6525"/>
      <c r="AY232" s="6522">
        <v>0</v>
      </c>
      <c r="AZ232" s="6526"/>
      <c r="BA232" s="6524">
        <v>3773.6</v>
      </c>
      <c r="BB232" s="6526"/>
      <c r="BC232" s="6527">
        <v>11636.300000000001</v>
      </c>
      <c r="BD232" s="6522"/>
      <c r="BE232" s="6529">
        <v>27284.54</v>
      </c>
      <c r="BP232" s="26"/>
      <c r="BQ232" s="26"/>
    </row>
    <row r="233" spans="2:69" ht="18.75" hidden="1" customHeight="1" x14ac:dyDescent="0.25">
      <c r="B233" s="6530" t="s">
        <v>956</v>
      </c>
      <c r="C233" s="6531" t="s">
        <v>354</v>
      </c>
      <c r="D233" s="6531"/>
      <c r="E233" s="6526"/>
      <c r="F233" s="6526"/>
      <c r="G233" s="6526"/>
      <c r="H233" s="6526"/>
      <c r="I233" s="3931">
        <f t="shared" si="192"/>
        <v>0</v>
      </c>
      <c r="J233" s="6526"/>
      <c r="K233" s="6526">
        <v>3860.7</v>
      </c>
      <c r="L233" s="6526"/>
      <c r="M233" s="6524">
        <v>7847.84</v>
      </c>
      <c r="N233" s="6526"/>
      <c r="O233" s="6526">
        <v>3971.7</v>
      </c>
      <c r="P233" s="6526"/>
      <c r="Q233" s="6526">
        <v>11819.54</v>
      </c>
      <c r="R233" s="6539"/>
      <c r="S233" s="6526">
        <v>3828.7</v>
      </c>
      <c r="T233" s="6526"/>
      <c r="U233" s="6526">
        <v>15648.240000000002</v>
      </c>
      <c r="V233" s="6539"/>
      <c r="W233" s="6526"/>
      <c r="X233" s="6526"/>
      <c r="Y233" s="6524">
        <v>7800.4</v>
      </c>
      <c r="Z233" s="6526"/>
      <c r="AA233" s="6533">
        <v>15648.24</v>
      </c>
      <c r="AB233" s="6539"/>
      <c r="AC233" s="6534">
        <v>7862.7000000000007</v>
      </c>
      <c r="AD233" s="6526"/>
      <c r="AE233" s="6535">
        <v>23510.940000000002</v>
      </c>
      <c r="AF233" s="6539"/>
      <c r="AG233" s="6534"/>
      <c r="AH233" s="6526"/>
      <c r="AI233" s="6535">
        <v>23510.940000000002</v>
      </c>
      <c r="AJ233" s="6539"/>
      <c r="AK233" s="6534"/>
      <c r="AL233" s="6522"/>
      <c r="AM233" s="6524">
        <v>7862.7000000000007</v>
      </c>
      <c r="AN233" s="6526"/>
      <c r="AO233" s="6535">
        <v>23510.940000000002</v>
      </c>
      <c r="AP233" s="6539"/>
      <c r="AQ233" s="6534"/>
      <c r="AR233" s="6526"/>
      <c r="AS233" s="6535">
        <v>23510.940000000002</v>
      </c>
      <c r="AT233" s="6539"/>
      <c r="AU233" s="6534">
        <v>3773.6</v>
      </c>
      <c r="AV233" s="6526"/>
      <c r="AW233" s="6535">
        <v>27284.54</v>
      </c>
      <c r="AX233" s="6539"/>
      <c r="AY233" s="6526"/>
      <c r="AZ233" s="6522"/>
      <c r="BA233" s="6524">
        <v>3773.6</v>
      </c>
      <c r="BB233" s="6526"/>
      <c r="BC233" s="6533">
        <v>11636.300000000001</v>
      </c>
      <c r="BD233" s="6526"/>
      <c r="BE233" s="6536">
        <v>27284.54</v>
      </c>
      <c r="BP233" s="26"/>
      <c r="BQ233" s="26"/>
    </row>
    <row r="234" spans="2:69" ht="18.75" customHeight="1" x14ac:dyDescent="0.25">
      <c r="B234" s="6519" t="s">
        <v>1288</v>
      </c>
      <c r="C234" s="7126"/>
      <c r="D234" s="6521"/>
      <c r="E234" s="6522">
        <f>E236</f>
        <v>4150.7</v>
      </c>
      <c r="F234" s="6522"/>
      <c r="G234" s="6522">
        <f>G236</f>
        <v>0</v>
      </c>
      <c r="H234" s="6523"/>
      <c r="I234" s="3931">
        <f t="shared" si="192"/>
        <v>4150.7</v>
      </c>
      <c r="J234" s="6522"/>
      <c r="K234" s="6522">
        <v>0</v>
      </c>
      <c r="L234" s="6522"/>
      <c r="M234" s="6524">
        <v>8143.83</v>
      </c>
      <c r="N234" s="6522"/>
      <c r="O234" s="6522">
        <v>0</v>
      </c>
      <c r="P234" s="6522"/>
      <c r="Q234" s="6523">
        <v>8143.83</v>
      </c>
      <c r="R234" s="6525"/>
      <c r="S234" s="6522">
        <v>4027.8</v>
      </c>
      <c r="T234" s="6522"/>
      <c r="U234" s="6523">
        <v>12171.630000000001</v>
      </c>
      <c r="V234" s="6525"/>
      <c r="W234" s="6522">
        <v>4051.17</v>
      </c>
      <c r="X234" s="6522"/>
      <c r="Y234" s="6524">
        <v>8078.97</v>
      </c>
      <c r="Z234" s="6526"/>
      <c r="AA234" s="6527">
        <v>16222.8</v>
      </c>
      <c r="AB234" s="6525"/>
      <c r="AC234" s="6528">
        <v>0</v>
      </c>
      <c r="AD234" s="6522"/>
      <c r="AE234" s="6529">
        <v>16222.8</v>
      </c>
      <c r="AF234" s="6525"/>
      <c r="AG234" s="6528">
        <v>0</v>
      </c>
      <c r="AH234" s="6522"/>
      <c r="AI234" s="6529">
        <v>16222.8</v>
      </c>
      <c r="AJ234" s="6525"/>
      <c r="AK234" s="6528">
        <v>0</v>
      </c>
      <c r="AL234" s="6526"/>
      <c r="AM234" s="6524">
        <v>0</v>
      </c>
      <c r="AN234" s="6522"/>
      <c r="AO234" s="6529">
        <v>16222.8</v>
      </c>
      <c r="AP234" s="6525"/>
      <c r="AQ234" s="6528">
        <v>4041.3</v>
      </c>
      <c r="AR234" s="6522"/>
      <c r="AS234" s="6529">
        <v>20264.099999999999</v>
      </c>
      <c r="AT234" s="6525"/>
      <c r="AU234" s="6528">
        <v>4044.1</v>
      </c>
      <c r="AV234" s="6522"/>
      <c r="AW234" s="6529">
        <v>24308.199999999997</v>
      </c>
      <c r="AX234" s="6525"/>
      <c r="AY234" s="6522">
        <v>4135</v>
      </c>
      <c r="AZ234" s="6526"/>
      <c r="BA234" s="6524">
        <v>12220.4</v>
      </c>
      <c r="BB234" s="6526"/>
      <c r="BC234" s="6527">
        <v>12220.4</v>
      </c>
      <c r="BD234" s="6522"/>
      <c r="BE234" s="6529">
        <v>28443.199999999997</v>
      </c>
      <c r="BP234" s="26"/>
      <c r="BQ234" s="26"/>
    </row>
    <row r="235" spans="2:69" ht="15.75" customHeight="1" x14ac:dyDescent="0.25">
      <c r="B235" s="6530" t="s">
        <v>956</v>
      </c>
      <c r="C235" s="6531" t="s">
        <v>354</v>
      </c>
      <c r="D235" s="6537"/>
      <c r="E235" s="6526"/>
      <c r="F235" s="6526"/>
      <c r="G235" s="6526"/>
      <c r="H235" s="6526"/>
      <c r="I235" s="3931">
        <f t="shared" si="192"/>
        <v>0</v>
      </c>
      <c r="J235" s="6526"/>
      <c r="K235" s="6526"/>
      <c r="L235" s="6526"/>
      <c r="M235" s="6543">
        <v>0</v>
      </c>
      <c r="N235" s="6526"/>
      <c r="O235" s="6526"/>
      <c r="P235" s="6526"/>
      <c r="Q235" s="6526">
        <v>0</v>
      </c>
      <c r="R235" s="6525"/>
      <c r="S235" s="6526"/>
      <c r="T235" s="6526"/>
      <c r="U235" s="6526">
        <v>0</v>
      </c>
      <c r="V235" s="6525"/>
      <c r="W235" s="6526"/>
      <c r="X235" s="6526"/>
      <c r="Y235" s="6543">
        <v>0</v>
      </c>
      <c r="Z235" s="6526"/>
      <c r="AA235" s="6533">
        <v>0</v>
      </c>
      <c r="AB235" s="6525"/>
      <c r="AC235" s="6534"/>
      <c r="AD235" s="6526"/>
      <c r="AE235" s="6535">
        <v>0</v>
      </c>
      <c r="AF235" s="6525"/>
      <c r="AG235" s="6534"/>
      <c r="AH235" s="6526"/>
      <c r="AI235" s="6535">
        <v>0</v>
      </c>
      <c r="AJ235" s="6525"/>
      <c r="AK235" s="6534"/>
      <c r="AL235" s="6526"/>
      <c r="AM235" s="6543">
        <v>0</v>
      </c>
      <c r="AN235" s="6526"/>
      <c r="AO235" s="6535">
        <v>0</v>
      </c>
      <c r="AP235" s="6525"/>
      <c r="AQ235" s="6534"/>
      <c r="AR235" s="6526"/>
      <c r="AS235" s="6535">
        <v>0</v>
      </c>
      <c r="AT235" s="6525"/>
      <c r="AU235" s="6534"/>
      <c r="AV235" s="6526"/>
      <c r="AW235" s="6535">
        <v>0</v>
      </c>
      <c r="AX235" s="6525"/>
      <c r="AY235" s="6526"/>
      <c r="AZ235" s="6526"/>
      <c r="BA235" s="6543">
        <v>0</v>
      </c>
      <c r="BB235" s="6526"/>
      <c r="BC235" s="6533">
        <v>0</v>
      </c>
      <c r="BD235" s="6526"/>
      <c r="BE235" s="6536">
        <v>0</v>
      </c>
      <c r="BP235" s="26"/>
      <c r="BQ235" s="26"/>
    </row>
    <row r="236" spans="2:69" ht="15.75" customHeight="1" x14ac:dyDescent="0.25">
      <c r="B236" s="6530" t="s">
        <v>1936</v>
      </c>
      <c r="C236" s="6531" t="s">
        <v>354</v>
      </c>
      <c r="D236" s="6531"/>
      <c r="E236" s="6526">
        <v>4150.7</v>
      </c>
      <c r="F236" s="6526"/>
      <c r="G236" s="6526"/>
      <c r="H236" s="6526"/>
      <c r="I236" s="3931">
        <f t="shared" si="192"/>
        <v>4150.7</v>
      </c>
      <c r="J236" s="6526"/>
      <c r="K236" s="6526"/>
      <c r="L236" s="6526"/>
      <c r="M236" s="6524">
        <v>8143.83</v>
      </c>
      <c r="N236" s="6526"/>
      <c r="O236" s="6526"/>
      <c r="P236" s="6526"/>
      <c r="Q236" s="6526">
        <v>8143.83</v>
      </c>
      <c r="R236" s="6525"/>
      <c r="S236" s="6526">
        <v>4027.8</v>
      </c>
      <c r="T236" s="6526"/>
      <c r="U236" s="6526">
        <v>12171.630000000001</v>
      </c>
      <c r="V236" s="6525"/>
      <c r="W236" s="6526">
        <v>4051.17</v>
      </c>
      <c r="X236" s="6526"/>
      <c r="Y236" s="6524">
        <v>8078.97</v>
      </c>
      <c r="Z236" s="6526"/>
      <c r="AA236" s="6533">
        <v>16222.8</v>
      </c>
      <c r="AB236" s="6525"/>
      <c r="AC236" s="6534"/>
      <c r="AD236" s="6526"/>
      <c r="AE236" s="6535">
        <v>16222.8</v>
      </c>
      <c r="AF236" s="6525"/>
      <c r="AG236" s="6534"/>
      <c r="AH236" s="6526"/>
      <c r="AI236" s="6535">
        <v>16222.8</v>
      </c>
      <c r="AJ236" s="2079"/>
      <c r="AK236" s="6534"/>
      <c r="AL236" s="1837"/>
      <c r="AM236" s="6524">
        <v>0</v>
      </c>
      <c r="AN236" s="6526"/>
      <c r="AO236" s="6535">
        <v>16222.8</v>
      </c>
      <c r="AP236" s="6525"/>
      <c r="AQ236" s="6534">
        <v>4041.3</v>
      </c>
      <c r="AR236" s="6526"/>
      <c r="AS236" s="6535">
        <v>20264.099999999999</v>
      </c>
      <c r="AT236" s="6525"/>
      <c r="AU236" s="6534">
        <v>4044.1</v>
      </c>
      <c r="AV236" s="6526"/>
      <c r="AW236" s="6535">
        <v>24308.199999999997</v>
      </c>
      <c r="AX236" s="6525"/>
      <c r="AY236" s="6526">
        <v>4135</v>
      </c>
      <c r="AZ236" s="1837"/>
      <c r="BA236" s="6524">
        <v>12220.4</v>
      </c>
      <c r="BB236" s="6526"/>
      <c r="BC236" s="6533">
        <v>12220.4</v>
      </c>
      <c r="BD236" s="6526"/>
      <c r="BE236" s="6536">
        <v>28443.199999999997</v>
      </c>
      <c r="BP236" s="26"/>
      <c r="BQ236" s="26"/>
    </row>
    <row r="237" spans="2:69" ht="18.75" hidden="1" customHeight="1" x14ac:dyDescent="0.25">
      <c r="B237" s="6519" t="s">
        <v>1331</v>
      </c>
      <c r="C237" s="6520"/>
      <c r="D237" s="6521"/>
      <c r="E237" s="6522"/>
      <c r="F237" s="6522"/>
      <c r="G237" s="6522"/>
      <c r="H237" s="6522"/>
      <c r="I237" s="3931">
        <f t="shared" si="192"/>
        <v>0</v>
      </c>
      <c r="J237" s="6522"/>
      <c r="K237" s="6522"/>
      <c r="L237" s="6522"/>
      <c r="M237" s="6524">
        <v>0</v>
      </c>
      <c r="N237" s="6522"/>
      <c r="O237" s="6522"/>
      <c r="P237" s="6522"/>
      <c r="Q237" s="6522">
        <v>0</v>
      </c>
      <c r="R237" s="6525"/>
      <c r="S237" s="6522"/>
      <c r="T237" s="6522"/>
      <c r="U237" s="6522">
        <v>0</v>
      </c>
      <c r="V237" s="6525"/>
      <c r="W237" s="6522"/>
      <c r="X237" s="6522"/>
      <c r="Y237" s="6524">
        <v>0</v>
      </c>
      <c r="Z237" s="6526">
        <v>0</v>
      </c>
      <c r="AA237" s="6527">
        <v>0</v>
      </c>
      <c r="AB237" s="6525"/>
      <c r="AC237" s="6528"/>
      <c r="AD237" s="6522"/>
      <c r="AE237" s="6544"/>
      <c r="AF237" s="6525"/>
      <c r="AG237" s="6522"/>
      <c r="AH237" s="6522"/>
      <c r="AI237" s="6544"/>
      <c r="AJ237" s="6525"/>
      <c r="AK237" s="6522"/>
      <c r="AL237" s="6526"/>
      <c r="AM237" s="6524">
        <v>0</v>
      </c>
      <c r="AN237" s="6522"/>
      <c r="AO237" s="6544"/>
      <c r="AP237" s="6525"/>
      <c r="AQ237" s="6522"/>
      <c r="AR237" s="6522"/>
      <c r="AS237" s="6544"/>
      <c r="AT237" s="6525"/>
      <c r="AU237" s="6522"/>
      <c r="AV237" s="6522"/>
      <c r="AW237" s="6544"/>
      <c r="AX237" s="6525"/>
      <c r="AY237" s="6522"/>
      <c r="AZ237" s="6526"/>
      <c r="BA237" s="6524">
        <v>0</v>
      </c>
      <c r="BB237" s="6526">
        <v>0</v>
      </c>
      <c r="BC237" s="6527">
        <v>0</v>
      </c>
      <c r="BD237" s="6522"/>
      <c r="BE237" s="6544"/>
    </row>
    <row r="238" spans="2:69" ht="15.75" hidden="1" customHeight="1" x14ac:dyDescent="0.25">
      <c r="B238" s="6530" t="s">
        <v>845</v>
      </c>
      <c r="C238" s="6531" t="s">
        <v>354</v>
      </c>
      <c r="D238" s="6531"/>
      <c r="E238" s="6526">
        <v>0</v>
      </c>
      <c r="F238" s="6526"/>
      <c r="G238" s="6526">
        <v>0</v>
      </c>
      <c r="H238" s="6526"/>
      <c r="I238" s="3931">
        <f t="shared" si="192"/>
        <v>0</v>
      </c>
      <c r="J238" s="6526"/>
      <c r="K238" s="6526">
        <v>0</v>
      </c>
      <c r="L238" s="6526"/>
      <c r="M238" s="6524">
        <v>0</v>
      </c>
      <c r="N238" s="6526"/>
      <c r="O238" s="6526">
        <v>0</v>
      </c>
      <c r="P238" s="6526"/>
      <c r="Q238" s="6526">
        <v>0</v>
      </c>
      <c r="R238" s="6526"/>
      <c r="S238" s="6526">
        <v>0</v>
      </c>
      <c r="T238" s="6526"/>
      <c r="U238" s="6526">
        <v>0</v>
      </c>
      <c r="V238" s="6526"/>
      <c r="W238" s="6526"/>
      <c r="X238" s="6526"/>
      <c r="Y238" s="6524">
        <v>0</v>
      </c>
      <c r="Z238" s="6542"/>
      <c r="AA238" s="3085">
        <v>0</v>
      </c>
      <c r="AB238" s="1837"/>
      <c r="AC238" s="6534"/>
      <c r="AD238" s="6526"/>
      <c r="AE238" s="6526"/>
      <c r="AF238" s="6526"/>
      <c r="AG238" s="6526"/>
      <c r="AH238" s="6526"/>
      <c r="AI238" s="6526"/>
      <c r="AJ238" s="6526"/>
      <c r="AK238" s="6526"/>
      <c r="AL238" s="6526"/>
      <c r="AM238" s="6524">
        <v>0</v>
      </c>
      <c r="AN238" s="6526"/>
      <c r="AO238" s="6526"/>
      <c r="AP238" s="6526"/>
      <c r="AQ238" s="6526"/>
      <c r="AR238" s="6526"/>
      <c r="AS238" s="1838"/>
      <c r="AT238" s="6526"/>
      <c r="AU238" s="6526"/>
      <c r="AV238" s="6526"/>
      <c r="AW238" s="3001"/>
      <c r="AX238" s="6526"/>
      <c r="AY238" s="6526"/>
      <c r="AZ238" s="6526"/>
      <c r="BA238" s="6524">
        <v>0</v>
      </c>
      <c r="BB238" s="6542"/>
      <c r="BC238" s="3085">
        <v>0</v>
      </c>
      <c r="BD238" s="6526"/>
      <c r="BE238" s="3001"/>
    </row>
    <row r="239" spans="2:69" ht="18.75" hidden="1" x14ac:dyDescent="0.25">
      <c r="B239" s="6519" t="s">
        <v>1517</v>
      </c>
      <c r="C239" s="6520" t="s">
        <v>354</v>
      </c>
      <c r="D239" s="6521"/>
      <c r="E239" s="6522">
        <v>0</v>
      </c>
      <c r="F239" s="6522"/>
      <c r="G239" s="6522">
        <v>0</v>
      </c>
      <c r="H239" s="6523"/>
      <c r="I239" s="3931">
        <f t="shared" si="192"/>
        <v>0</v>
      </c>
      <c r="J239" s="6522"/>
      <c r="K239" s="6522">
        <v>0</v>
      </c>
      <c r="L239" s="6522"/>
      <c r="M239" s="6524">
        <v>0</v>
      </c>
      <c r="N239" s="6522"/>
      <c r="O239" s="6522">
        <v>0</v>
      </c>
      <c r="P239" s="6522"/>
      <c r="Q239" s="6523">
        <v>0</v>
      </c>
      <c r="R239" s="6525"/>
      <c r="S239" s="6522">
        <v>0</v>
      </c>
      <c r="T239" s="6522"/>
      <c r="U239" s="6523">
        <v>0</v>
      </c>
      <c r="V239" s="6525"/>
      <c r="W239" s="6522">
        <v>0</v>
      </c>
      <c r="X239" s="6522"/>
      <c r="Y239" s="6524">
        <v>0</v>
      </c>
      <c r="Z239" s="6526"/>
      <c r="AA239" s="6527">
        <v>0</v>
      </c>
      <c r="AB239" s="6525"/>
      <c r="AC239" s="6528">
        <v>0</v>
      </c>
      <c r="AD239" s="6522"/>
      <c r="AE239" s="6529">
        <v>0</v>
      </c>
      <c r="AF239" s="6525"/>
      <c r="AG239" s="6522">
        <v>0</v>
      </c>
      <c r="AH239" s="6522"/>
      <c r="AI239" s="6529">
        <v>0</v>
      </c>
      <c r="AJ239" s="6525"/>
      <c r="AK239" s="6522">
        <v>0</v>
      </c>
      <c r="AL239" s="6526"/>
      <c r="AM239" s="6524">
        <v>0</v>
      </c>
      <c r="AN239" s="6522"/>
      <c r="AO239" s="6529">
        <v>0</v>
      </c>
      <c r="AP239" s="6525"/>
      <c r="AQ239" s="6522">
        <v>0</v>
      </c>
      <c r="AR239" s="6522"/>
      <c r="AS239" s="6529">
        <v>0</v>
      </c>
      <c r="AT239" s="6525"/>
      <c r="AU239" s="6522">
        <v>0</v>
      </c>
      <c r="AV239" s="6522"/>
      <c r="AW239" s="6529">
        <v>0</v>
      </c>
      <c r="AX239" s="6525"/>
      <c r="AY239" s="6522">
        <v>0</v>
      </c>
      <c r="AZ239" s="6526"/>
      <c r="BA239" s="6524">
        <v>0</v>
      </c>
      <c r="BB239" s="6526"/>
      <c r="BC239" s="6527">
        <v>0</v>
      </c>
      <c r="BD239" s="6522"/>
      <c r="BE239" s="6529">
        <v>0</v>
      </c>
    </row>
    <row r="240" spans="2:69" ht="19.5" hidden="1" thickBot="1" x14ac:dyDescent="0.3">
      <c r="B240" s="6545" t="s">
        <v>956</v>
      </c>
      <c r="C240" s="6546" t="s">
        <v>354</v>
      </c>
      <c r="D240" s="6546"/>
      <c r="E240" s="6547">
        <v>0</v>
      </c>
      <c r="F240" s="6547"/>
      <c r="G240" s="6547">
        <v>0</v>
      </c>
      <c r="H240" s="6547"/>
      <c r="I240" s="3931">
        <f t="shared" si="192"/>
        <v>0</v>
      </c>
      <c r="J240" s="6547"/>
      <c r="K240" s="6547">
        <v>0</v>
      </c>
      <c r="L240" s="6547"/>
      <c r="M240" s="6548">
        <v>0</v>
      </c>
      <c r="N240" s="6547"/>
      <c r="O240" s="6547">
        <v>0</v>
      </c>
      <c r="P240" s="6547"/>
      <c r="Q240" s="6547">
        <v>0</v>
      </c>
      <c r="R240" s="6547"/>
      <c r="S240" s="6547">
        <v>0</v>
      </c>
      <c r="T240" s="6547"/>
      <c r="U240" s="6547">
        <v>0</v>
      </c>
      <c r="V240" s="6547"/>
      <c r="W240" s="6547"/>
      <c r="X240" s="6547"/>
      <c r="Y240" s="6548">
        <v>0</v>
      </c>
      <c r="Z240" s="6526"/>
      <c r="AA240" s="6533">
        <v>0</v>
      </c>
      <c r="AB240" s="2831"/>
      <c r="AC240" s="6549"/>
      <c r="AD240" s="6547"/>
      <c r="AE240" s="6535">
        <v>0</v>
      </c>
      <c r="AF240" s="6547"/>
      <c r="AG240" s="6547"/>
      <c r="AH240" s="6547"/>
      <c r="AI240" s="6535">
        <v>0</v>
      </c>
      <c r="AJ240" s="6547"/>
      <c r="AK240" s="6547"/>
      <c r="AL240" s="6547"/>
      <c r="AM240" s="6548">
        <v>0</v>
      </c>
      <c r="AN240" s="6522"/>
      <c r="AO240" s="6535">
        <v>0</v>
      </c>
      <c r="AP240" s="6547"/>
      <c r="AQ240" s="6547"/>
      <c r="AR240" s="6547"/>
      <c r="AS240" s="6535">
        <v>0</v>
      </c>
      <c r="AT240" s="6547"/>
      <c r="AU240" s="6547"/>
      <c r="AV240" s="6547"/>
      <c r="AW240" s="6536">
        <v>0</v>
      </c>
      <c r="AX240" s="6547"/>
      <c r="AY240" s="6547"/>
      <c r="AZ240" s="6547"/>
      <c r="BA240" s="6548">
        <v>0</v>
      </c>
      <c r="BB240" s="6526"/>
      <c r="BC240" s="6533">
        <v>0</v>
      </c>
      <c r="BD240" s="6547"/>
      <c r="BE240" s="6536">
        <v>0</v>
      </c>
    </row>
    <row r="241" spans="5:57" x14ac:dyDescent="0.25">
      <c r="G241" s="5172"/>
      <c r="K241" s="3427"/>
      <c r="O241" s="4712"/>
      <c r="Q241" s="4712"/>
      <c r="S241" s="4712"/>
      <c r="U241" s="4712"/>
      <c r="AF241" s="2662"/>
      <c r="AG241" s="2662"/>
      <c r="AH241" s="2662"/>
      <c r="AI241" s="2662"/>
      <c r="AJ241" s="26"/>
      <c r="AP241" s="2790"/>
      <c r="AQ241" s="2790"/>
      <c r="AR241" s="2790"/>
      <c r="AS241" s="2790"/>
    </row>
    <row r="242" spans="5:57" ht="15" x14ac:dyDescent="0.25"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4590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Y242" s="26"/>
      <c r="BA242" s="26"/>
      <c r="BC242" s="26"/>
      <c r="BE242" s="26"/>
    </row>
    <row r="243" spans="5:57" x14ac:dyDescent="0.25">
      <c r="G243" s="5172"/>
      <c r="AP243" s="2790"/>
      <c r="AQ243" s="2790"/>
      <c r="AR243" s="2790"/>
      <c r="AS243" s="2790"/>
      <c r="AU243" s="1222"/>
    </row>
    <row r="244" spans="5:57" x14ac:dyDescent="0.25">
      <c r="G244" s="5172"/>
    </row>
    <row r="245" spans="5:57" x14ac:dyDescent="0.25">
      <c r="G245" s="5172"/>
    </row>
    <row r="246" spans="5:57" x14ac:dyDescent="0.25">
      <c r="G246" s="5172"/>
    </row>
    <row r="247" spans="5:57" x14ac:dyDescent="0.25">
      <c r="G247" s="5172"/>
    </row>
    <row r="248" spans="5:57" x14ac:dyDescent="0.25">
      <c r="G248" s="5172"/>
    </row>
    <row r="249" spans="5:57" x14ac:dyDescent="0.25">
      <c r="G249" s="5172"/>
    </row>
    <row r="250" spans="5:57" x14ac:dyDescent="0.25">
      <c r="G250" s="5172"/>
    </row>
    <row r="251" spans="5:57" x14ac:dyDescent="0.25">
      <c r="G251" s="5172"/>
    </row>
    <row r="252" spans="5:57" x14ac:dyDescent="0.25">
      <c r="G252" s="5172"/>
    </row>
    <row r="253" spans="5:57" x14ac:dyDescent="0.25">
      <c r="G253" s="5172"/>
    </row>
    <row r="254" spans="5:57" x14ac:dyDescent="0.25">
      <c r="G254" s="5172"/>
    </row>
    <row r="255" spans="5:57" x14ac:dyDescent="0.25">
      <c r="G255" s="5172"/>
    </row>
    <row r="256" spans="5:57" x14ac:dyDescent="0.25">
      <c r="G256" s="5172"/>
    </row>
    <row r="257" spans="7:7" x14ac:dyDescent="0.25">
      <c r="G257" s="5172"/>
    </row>
    <row r="258" spans="7:7" x14ac:dyDescent="0.25">
      <c r="G258" s="5172"/>
    </row>
    <row r="259" spans="7:7" x14ac:dyDescent="0.25">
      <c r="G259" s="5172"/>
    </row>
    <row r="260" spans="7:7" x14ac:dyDescent="0.25">
      <c r="G260" s="5172"/>
    </row>
    <row r="261" spans="7:7" x14ac:dyDescent="0.25">
      <c r="G261" s="5172"/>
    </row>
    <row r="262" spans="7:7" x14ac:dyDescent="0.25">
      <c r="G262" s="5172"/>
    </row>
  </sheetData>
  <mergeCells count="34">
    <mergeCell ref="AL3:AM3"/>
    <mergeCell ref="AN3:AO3"/>
    <mergeCell ref="B202:C202"/>
    <mergeCell ref="B136:C136"/>
    <mergeCell ref="B134:C134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6:B101 B66:B72">
    <cfRule type="duplicateValues" dxfId="58" priority="2"/>
  </conditionalFormatting>
  <conditionalFormatting sqref="B74:B75">
    <cfRule type="duplicateValues" dxfId="57" priority="1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J25"/>
  <sheetViews>
    <sheetView workbookViewId="0">
      <pane xSplit="4" ySplit="2" topLeftCell="F3" activePane="bottomRight" state="frozen"/>
      <selection pane="topRight" activeCell="E1" sqref="E1"/>
      <selection pane="bottomLeft" activeCell="A2" sqref="A2"/>
      <selection pane="bottomRight" activeCell="BH17" sqref="BH17"/>
    </sheetView>
  </sheetViews>
  <sheetFormatPr defaultRowHeight="18.75" x14ac:dyDescent="0.3"/>
  <cols>
    <col min="1" max="1" width="9.140625" style="4"/>
    <col min="2" max="2" width="41.7109375" style="4331" bestFit="1" customWidth="1"/>
    <col min="3" max="3" width="16.140625" style="4331" bestFit="1" customWidth="1"/>
    <col min="4" max="4" width="12.140625" style="4332" customWidth="1"/>
    <col min="5" max="5" width="14.85546875" style="4331" customWidth="1"/>
    <col min="6" max="6" width="12.7109375" style="4331" customWidth="1"/>
    <col min="7" max="7" width="12.85546875" style="4331" customWidth="1"/>
    <col min="8" max="8" width="12.5703125" style="4331" customWidth="1"/>
    <col min="9" max="9" width="10.5703125" style="4331" customWidth="1"/>
    <col min="10" max="10" width="11.28515625" style="4331" customWidth="1"/>
    <col min="11" max="11" width="9.85546875" style="4331" hidden="1" customWidth="1"/>
    <col min="12" max="12" width="10.42578125" style="4331" hidden="1" customWidth="1"/>
    <col min="13" max="14" width="9" style="4331" hidden="1" customWidth="1"/>
    <col min="15" max="15" width="7.7109375" style="4" hidden="1" customWidth="1"/>
    <col min="16" max="17" width="9" style="4" hidden="1" customWidth="1"/>
    <col min="18" max="18" width="10.42578125" style="4" hidden="1" customWidth="1"/>
    <col min="19" max="21" width="9" style="4" hidden="1" customWidth="1"/>
    <col min="22" max="22" width="10.28515625" style="4" hidden="1" customWidth="1"/>
    <col min="23" max="24" width="9" style="4" hidden="1" customWidth="1"/>
    <col min="25" max="26" width="9.85546875" style="4" hidden="1" customWidth="1"/>
    <col min="27" max="28" width="10.28515625" style="4" hidden="1" customWidth="1"/>
    <col min="29" max="30" width="10" style="4" hidden="1" customWidth="1"/>
    <col min="31" max="32" width="11.28515625" style="4" hidden="1" customWidth="1"/>
    <col min="33" max="34" width="9.85546875" style="4" hidden="1" customWidth="1"/>
    <col min="35" max="36" width="11.28515625" style="4" hidden="1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16384" width="9.140625" style="4"/>
  </cols>
  <sheetData>
    <row r="2" spans="2:62" x14ac:dyDescent="0.3">
      <c r="B2" s="7466" t="s">
        <v>1001</v>
      </c>
      <c r="C2" s="7466"/>
      <c r="D2" s="7466"/>
      <c r="E2" s="7466"/>
      <c r="F2" s="7466"/>
      <c r="G2" s="7466"/>
      <c r="H2" s="7466"/>
      <c r="I2" s="7466"/>
      <c r="J2" s="7466"/>
      <c r="K2" s="7466"/>
      <c r="L2" s="7466"/>
      <c r="M2" s="7466"/>
      <c r="N2" s="7466"/>
      <c r="O2" s="7466"/>
      <c r="P2" s="7466"/>
      <c r="Q2" s="7466"/>
      <c r="R2" s="7466"/>
      <c r="S2" s="7466"/>
      <c r="T2" s="7466"/>
      <c r="U2" s="7466"/>
      <c r="V2" s="7466"/>
    </row>
    <row r="3" spans="2:62" ht="19.5" thickBot="1" x14ac:dyDescent="0.35"/>
    <row r="4" spans="2:62" ht="19.5" thickBot="1" x14ac:dyDescent="0.3">
      <c r="B4" s="7467" t="s">
        <v>171</v>
      </c>
      <c r="C4" s="7469" t="s">
        <v>172</v>
      </c>
      <c r="D4" s="7459" t="s">
        <v>2257</v>
      </c>
      <c r="E4" s="7399" t="s">
        <v>2254</v>
      </c>
      <c r="F4" s="7454"/>
      <c r="G4" s="7399" t="s">
        <v>2306</v>
      </c>
      <c r="H4" s="7454"/>
      <c r="I4" s="7471" t="s">
        <v>14</v>
      </c>
      <c r="J4" s="7472"/>
      <c r="K4" s="7399" t="s">
        <v>1908</v>
      </c>
      <c r="L4" s="7399"/>
      <c r="M4" s="7457" t="s">
        <v>641</v>
      </c>
      <c r="N4" s="7458"/>
      <c r="O4" s="7399" t="s">
        <v>1938</v>
      </c>
      <c r="P4" s="7454"/>
      <c r="Q4" s="7473" t="s">
        <v>651</v>
      </c>
      <c r="R4" s="7456"/>
      <c r="S4" s="7399" t="s">
        <v>1961</v>
      </c>
      <c r="T4" s="7454"/>
      <c r="U4" s="7455" t="s">
        <v>836</v>
      </c>
      <c r="V4" s="7456"/>
      <c r="W4" s="7399" t="s">
        <v>1983</v>
      </c>
      <c r="X4" s="7399"/>
      <c r="Y4" s="7457" t="s">
        <v>660</v>
      </c>
      <c r="Z4" s="7458"/>
      <c r="AA4" s="7464" t="s">
        <v>657</v>
      </c>
      <c r="AB4" s="7465"/>
      <c r="AC4" s="7399" t="s">
        <v>2002</v>
      </c>
      <c r="AD4" s="7454"/>
      <c r="AE4" s="7455" t="s">
        <v>1102</v>
      </c>
      <c r="AF4" s="7456"/>
      <c r="AG4" s="7399" t="s">
        <v>2018</v>
      </c>
      <c r="AH4" s="7454"/>
      <c r="AI4" s="7455" t="s">
        <v>1666</v>
      </c>
      <c r="AJ4" s="7456"/>
      <c r="AK4" s="7399" t="s">
        <v>2033</v>
      </c>
      <c r="AL4" s="7399"/>
      <c r="AM4" s="7457" t="s">
        <v>662</v>
      </c>
      <c r="AN4" s="7458"/>
      <c r="AO4" s="7455" t="s">
        <v>1683</v>
      </c>
      <c r="AP4" s="7456"/>
      <c r="AQ4" s="7399" t="s">
        <v>2137</v>
      </c>
      <c r="AR4" s="7454"/>
      <c r="AS4" s="7455" t="s">
        <v>1705</v>
      </c>
      <c r="AT4" s="7456"/>
      <c r="AU4" s="7399" t="s">
        <v>2151</v>
      </c>
      <c r="AV4" s="7454"/>
      <c r="AW4" s="7455" t="s">
        <v>1715</v>
      </c>
      <c r="AX4" s="7456"/>
      <c r="AY4" s="7399" t="s">
        <v>2163</v>
      </c>
      <c r="AZ4" s="7454"/>
      <c r="BA4" s="7457" t="s">
        <v>663</v>
      </c>
      <c r="BB4" s="7458"/>
      <c r="BC4" s="7464" t="s">
        <v>671</v>
      </c>
      <c r="BD4" s="7465"/>
      <c r="BE4" s="7455" t="s">
        <v>1765</v>
      </c>
      <c r="BF4" s="7456"/>
    </row>
    <row r="5" spans="2:62" x14ac:dyDescent="0.25">
      <c r="B5" s="7468"/>
      <c r="C5" s="7470"/>
      <c r="D5" s="7460"/>
      <c r="E5" s="582" t="s">
        <v>173</v>
      </c>
      <c r="F5" s="583" t="s">
        <v>174</v>
      </c>
      <c r="G5" s="582" t="s">
        <v>173</v>
      </c>
      <c r="H5" s="583" t="s">
        <v>174</v>
      </c>
      <c r="I5" s="1219" t="s">
        <v>173</v>
      </c>
      <c r="J5" s="1364" t="s">
        <v>174</v>
      </c>
      <c r="K5" s="582" t="s">
        <v>173</v>
      </c>
      <c r="L5" s="2572" t="s">
        <v>174</v>
      </c>
      <c r="M5" s="2573" t="s">
        <v>173</v>
      </c>
      <c r="N5" s="2574" t="s">
        <v>174</v>
      </c>
      <c r="O5" s="582" t="s">
        <v>173</v>
      </c>
      <c r="P5" s="583" t="s">
        <v>174</v>
      </c>
      <c r="Q5" s="1202" t="s">
        <v>173</v>
      </c>
      <c r="R5" s="1203" t="s">
        <v>174</v>
      </c>
      <c r="S5" s="582" t="s">
        <v>173</v>
      </c>
      <c r="T5" s="583" t="s">
        <v>174</v>
      </c>
      <c r="U5" s="1202" t="s">
        <v>173</v>
      </c>
      <c r="V5" s="1203" t="s">
        <v>174</v>
      </c>
      <c r="W5" s="582" t="s">
        <v>173</v>
      </c>
      <c r="X5" s="2572" t="s">
        <v>174</v>
      </c>
      <c r="Y5" s="2573" t="s">
        <v>173</v>
      </c>
      <c r="Z5" s="2574" t="s">
        <v>174</v>
      </c>
      <c r="AA5" s="2575" t="s">
        <v>173</v>
      </c>
      <c r="AB5" s="2576" t="s">
        <v>174</v>
      </c>
      <c r="AC5" s="582" t="s">
        <v>173</v>
      </c>
      <c r="AD5" s="583" t="s">
        <v>174</v>
      </c>
      <c r="AE5" s="1202" t="s">
        <v>173</v>
      </c>
      <c r="AF5" s="1203" t="s">
        <v>174</v>
      </c>
      <c r="AG5" s="582" t="s">
        <v>173</v>
      </c>
      <c r="AH5" s="583" t="s">
        <v>174</v>
      </c>
      <c r="AI5" s="1202" t="s">
        <v>173</v>
      </c>
      <c r="AJ5" s="1203" t="s">
        <v>174</v>
      </c>
      <c r="AK5" s="582" t="s">
        <v>173</v>
      </c>
      <c r="AL5" s="2572" t="s">
        <v>174</v>
      </c>
      <c r="AM5" s="2573" t="s">
        <v>173</v>
      </c>
      <c r="AN5" s="2574" t="s">
        <v>174</v>
      </c>
      <c r="AO5" s="1202" t="s">
        <v>173</v>
      </c>
      <c r="AP5" s="1203" t="s">
        <v>174</v>
      </c>
      <c r="AQ5" s="582" t="s">
        <v>173</v>
      </c>
      <c r="AR5" s="583" t="s">
        <v>174</v>
      </c>
      <c r="AS5" s="1202" t="s">
        <v>173</v>
      </c>
      <c r="AT5" s="1203" t="s">
        <v>174</v>
      </c>
      <c r="AU5" s="582" t="s">
        <v>173</v>
      </c>
      <c r="AV5" s="583" t="s">
        <v>174</v>
      </c>
      <c r="AW5" s="1202" t="s">
        <v>173</v>
      </c>
      <c r="AX5" s="1203" t="s">
        <v>174</v>
      </c>
      <c r="AY5" s="582" t="s">
        <v>173</v>
      </c>
      <c r="AZ5" s="583" t="s">
        <v>174</v>
      </c>
      <c r="BA5" s="2573" t="s">
        <v>173</v>
      </c>
      <c r="BB5" s="2574" t="s">
        <v>174</v>
      </c>
      <c r="BC5" s="2575" t="s">
        <v>173</v>
      </c>
      <c r="BD5" s="2576" t="s">
        <v>174</v>
      </c>
      <c r="BE5" s="1202" t="s">
        <v>173</v>
      </c>
      <c r="BF5" s="1203" t="s">
        <v>174</v>
      </c>
    </row>
    <row r="6" spans="2:62" x14ac:dyDescent="0.3">
      <c r="B6" s="1365" t="s">
        <v>957</v>
      </c>
      <c r="C6" s="4137" t="s">
        <v>66</v>
      </c>
      <c r="D6" s="7461" t="s">
        <v>2261</v>
      </c>
      <c r="E6" s="4138">
        <f>+'B-FCE'!E6</f>
        <v>252000</v>
      </c>
      <c r="F6" s="4138">
        <f>+'B-FCE'!F6</f>
        <v>226125.59999999995</v>
      </c>
      <c r="G6" s="4138">
        <f>+'B-FCE'!G6</f>
        <v>260000</v>
      </c>
      <c r="H6" s="4138">
        <f>+'B-FCE'!H6</f>
        <v>255730.90000000002</v>
      </c>
      <c r="I6" s="4134">
        <f>E6+G6</f>
        <v>512000</v>
      </c>
      <c r="J6" s="4134">
        <f>F6+H6</f>
        <v>481856.5</v>
      </c>
      <c r="K6" s="4138">
        <f>+'B-FCE'!K6</f>
        <v>149000</v>
      </c>
      <c r="L6" s="4138">
        <f>+'B-FCE'!L6</f>
        <v>167351.5</v>
      </c>
      <c r="M6" s="1134">
        <f>+'B-FCE'!M6</f>
        <v>661000</v>
      </c>
      <c r="N6" s="4334">
        <f t="shared" ref="N6:N9" si="0">F6+H6+L6</f>
        <v>649208</v>
      </c>
      <c r="O6" s="4138">
        <f>+'B-FCE'!O6</f>
        <v>74000</v>
      </c>
      <c r="P6" s="4138">
        <f>+'B-FCE'!P6</f>
        <v>250033.8</v>
      </c>
      <c r="Q6" s="4134">
        <f>M6+O6</f>
        <v>735000</v>
      </c>
      <c r="R6" s="4134">
        <f>N6+P6</f>
        <v>899241.8</v>
      </c>
      <c r="S6" s="4138">
        <f>+'B-FCE'!S6</f>
        <v>240000</v>
      </c>
      <c r="T6" s="4138">
        <f>+'B-FCE'!T6</f>
        <v>245401.9</v>
      </c>
      <c r="U6" s="4134">
        <f>Q6+S6</f>
        <v>975000</v>
      </c>
      <c r="V6" s="4134">
        <f>R6+T6</f>
        <v>1144643.7</v>
      </c>
      <c r="W6" s="4138">
        <f>+'B-FCE'!W6</f>
        <v>232000</v>
      </c>
      <c r="X6" s="4138">
        <f>+'B-FCE'!X6</f>
        <v>245769.8</v>
      </c>
      <c r="Y6" s="1134">
        <f>+'B-FCE'!Y6</f>
        <v>546000</v>
      </c>
      <c r="Z6" s="250">
        <f>+'B-FCE'!Z6</f>
        <v>741205.5</v>
      </c>
      <c r="AA6" s="1136">
        <f>+'B-FCE'!AA6</f>
        <v>1207000</v>
      </c>
      <c r="AB6" s="2577">
        <f>+'B-FCE'!AB6</f>
        <v>1390413.5</v>
      </c>
      <c r="AC6" s="4138">
        <f>+'B-FCE'!AC6</f>
        <v>250000</v>
      </c>
      <c r="AD6" s="4138">
        <f>+'B-FCE'!AD6</f>
        <v>237886.3</v>
      </c>
      <c r="AE6" s="4134">
        <f>AA6+AC6</f>
        <v>1457000</v>
      </c>
      <c r="AF6" s="4134">
        <f>AB6+AD6</f>
        <v>1628299.8</v>
      </c>
      <c r="AG6" s="4138">
        <f>+'B-FCE'!AG6</f>
        <v>242000</v>
      </c>
      <c r="AH6" s="4138">
        <f>+'B-FCE'!AH6</f>
        <v>8246.5</v>
      </c>
      <c r="AI6" s="4134">
        <f>AE6+AG6</f>
        <v>1699000</v>
      </c>
      <c r="AJ6" s="4134">
        <f>AF6+AH6</f>
        <v>1636546.3</v>
      </c>
      <c r="AK6" s="4138">
        <f>+'B-FCE'!AK6</f>
        <v>250000</v>
      </c>
      <c r="AL6" s="4138">
        <f>+'B-FCE'!AL6</f>
        <v>257290.9</v>
      </c>
      <c r="AM6" s="1134">
        <f>AC6+AG6+AK6</f>
        <v>742000</v>
      </c>
      <c r="AN6" s="1134">
        <f>AD6+AH6+AL6</f>
        <v>503423.69999999995</v>
      </c>
      <c r="AO6" s="4134">
        <f>AI6+AK6</f>
        <v>1949000</v>
      </c>
      <c r="AP6" s="4134">
        <f>AJ6+AL6</f>
        <v>1893837.2</v>
      </c>
      <c r="AQ6" s="4138">
        <f>+'B-FCE'!AQ6</f>
        <v>250000</v>
      </c>
      <c r="AR6" s="4138">
        <f>+'B-FCE'!AR6</f>
        <v>261845.40000000002</v>
      </c>
      <c r="AS6" s="4134">
        <f>AO6+AQ6</f>
        <v>2199000</v>
      </c>
      <c r="AT6" s="4134">
        <f>AP6+AR6</f>
        <v>2155682.6</v>
      </c>
      <c r="AU6" s="4138">
        <f>+'B-FCE'!AU6</f>
        <v>225000</v>
      </c>
      <c r="AV6" s="4138">
        <f>+'B-FCE'!AV6</f>
        <v>239624</v>
      </c>
      <c r="AW6" s="4134">
        <f>AS6+AU6</f>
        <v>2424000</v>
      </c>
      <c r="AX6" s="4134">
        <f>AT6+AV6</f>
        <v>2395306.6</v>
      </c>
      <c r="AY6" s="4138">
        <f>+'B-FCE'!AY6</f>
        <v>250000</v>
      </c>
      <c r="AZ6" s="4138">
        <f>+'B-FCE'!AZ6</f>
        <v>263830.00000000006</v>
      </c>
      <c r="BA6" s="4333">
        <f>AQ6+AU6+AY6</f>
        <v>725000</v>
      </c>
      <c r="BB6" s="4333">
        <f>AR6+AV6+AZ6</f>
        <v>765299.40000000014</v>
      </c>
      <c r="BC6" s="4335">
        <f>AM6+BA6</f>
        <v>1467000</v>
      </c>
      <c r="BD6" s="4336">
        <f>AN6+BB6</f>
        <v>1268723.1000000001</v>
      </c>
      <c r="BE6" s="4135">
        <f>AW6+AY6</f>
        <v>2674000</v>
      </c>
      <c r="BF6" s="4135">
        <f>AX6+AZ6</f>
        <v>2659136.6</v>
      </c>
      <c r="BG6" s="3948"/>
      <c r="BH6" s="3948"/>
      <c r="BI6" s="3948"/>
      <c r="BJ6" s="3948"/>
    </row>
    <row r="7" spans="2:62" x14ac:dyDescent="0.3">
      <c r="B7" s="1474"/>
      <c r="C7" s="949"/>
      <c r="D7" s="7462"/>
      <c r="E7" s="949"/>
      <c r="F7" s="949"/>
      <c r="G7" s="949"/>
      <c r="H7" s="949"/>
      <c r="I7" s="4337"/>
      <c r="J7" s="4337"/>
      <c r="K7" s="949"/>
      <c r="L7" s="949"/>
      <c r="M7" s="4338"/>
      <c r="N7" s="4339"/>
      <c r="O7" s="949"/>
      <c r="P7" s="949"/>
      <c r="Q7" s="4337"/>
      <c r="R7" s="4337"/>
      <c r="S7" s="949"/>
      <c r="T7" s="949"/>
      <c r="U7" s="4337"/>
      <c r="V7" s="4337"/>
      <c r="W7" s="949"/>
      <c r="X7" s="949"/>
      <c r="Y7" s="4338"/>
      <c r="Z7" s="4339"/>
      <c r="AA7" s="4340"/>
      <c r="AB7" s="4341"/>
      <c r="AC7" s="949"/>
      <c r="AD7" s="949"/>
      <c r="AE7" s="4337"/>
      <c r="AF7" s="4337"/>
      <c r="AG7" s="949"/>
      <c r="AH7" s="949"/>
      <c r="AI7" s="4337"/>
      <c r="AJ7" s="4337"/>
      <c r="AK7" s="949"/>
      <c r="AL7" s="949"/>
      <c r="AM7" s="4338"/>
      <c r="AN7" s="4339"/>
      <c r="AO7" s="950"/>
      <c r="AP7" s="950"/>
      <c r="AQ7" s="949"/>
      <c r="AR7" s="949"/>
      <c r="AS7" s="950"/>
      <c r="AT7" s="950"/>
      <c r="AU7" s="949"/>
      <c r="AV7" s="949"/>
      <c r="AW7" s="950"/>
      <c r="AX7" s="950"/>
      <c r="AY7" s="949"/>
      <c r="AZ7" s="949"/>
      <c r="BA7" s="4338"/>
      <c r="BB7" s="4339"/>
      <c r="BC7" s="4340"/>
      <c r="BD7" s="4341"/>
      <c r="BE7" s="950"/>
      <c r="BF7" s="950"/>
      <c r="BG7" s="3948"/>
      <c r="BH7" s="3948"/>
      <c r="BI7" s="3948"/>
      <c r="BJ7" s="3948"/>
    </row>
    <row r="8" spans="2:62" x14ac:dyDescent="0.3">
      <c r="B8" s="1474" t="s">
        <v>958</v>
      </c>
      <c r="C8" s="4137" t="s">
        <v>66</v>
      </c>
      <c r="D8" s="7462"/>
      <c r="E8" s="2655">
        <f>+'B-FCE'!E23</f>
        <v>89712</v>
      </c>
      <c r="F8" s="2655">
        <f>+'B-FCE'!F23</f>
        <v>78684.817500000019</v>
      </c>
      <c r="G8" s="2655">
        <f>+'B-FCE'!G23</f>
        <v>92560</v>
      </c>
      <c r="H8" s="2655">
        <f>+'B-FCE'!H23</f>
        <v>88475.2503</v>
      </c>
      <c r="I8" s="4134">
        <f t="shared" ref="I8:I12" si="1">E8+G8</f>
        <v>182272</v>
      </c>
      <c r="J8" s="4134">
        <f t="shared" ref="J8:J12" si="2">F8+H8</f>
        <v>167160.06780000002</v>
      </c>
      <c r="K8" s="2655">
        <f>+'B-FCE'!K23</f>
        <v>55428</v>
      </c>
      <c r="L8" s="2655">
        <f>+'B-FCE'!L23</f>
        <v>68233.758200000011</v>
      </c>
      <c r="M8" s="4333">
        <f>+'B-FCE'!M23</f>
        <v>237700</v>
      </c>
      <c r="N8" s="4334">
        <f t="shared" si="0"/>
        <v>235393.82600000003</v>
      </c>
      <c r="O8" s="2655">
        <f>+'B-FCE'!O23</f>
        <v>29008</v>
      </c>
      <c r="P8" s="2655">
        <f>+'B-FCE'!P23</f>
        <v>92706.741020000001</v>
      </c>
      <c r="Q8" s="4134">
        <f t="shared" ref="Q8:Q12" si="3">M8+O8</f>
        <v>266708</v>
      </c>
      <c r="R8" s="4134">
        <f t="shared" ref="R8:R12" si="4">N8+P8</f>
        <v>328100.56702000002</v>
      </c>
      <c r="S8" s="2655">
        <f>+'B-FCE'!S23</f>
        <v>87696</v>
      </c>
      <c r="T8" s="2655">
        <f>+'B-FCE'!T23</f>
        <v>92607.479009999995</v>
      </c>
      <c r="U8" s="4134">
        <f t="shared" ref="U8:U12" si="5">Q8+S8</f>
        <v>354404</v>
      </c>
      <c r="V8" s="4134">
        <f t="shared" ref="V8:V12" si="6">R8+T8</f>
        <v>420708.04603000003</v>
      </c>
      <c r="W8" s="2655">
        <f>+'B-FCE'!W23</f>
        <v>84772.800000000003</v>
      </c>
      <c r="X8" s="2655">
        <f>+'B-FCE'!X23</f>
        <v>93450.417199999996</v>
      </c>
      <c r="Y8" s="4333">
        <f>+'B-FCE'!Y23</f>
        <v>201476.8</v>
      </c>
      <c r="Z8" s="4334">
        <f>+'B-FCE'!Z23</f>
        <v>278764.63722999999</v>
      </c>
      <c r="AA8" s="4335">
        <f>+'B-FCE'!AA23</f>
        <v>439176.8</v>
      </c>
      <c r="AB8" s="4336">
        <f>+'B-FCE'!AB23</f>
        <v>514158.46322999999</v>
      </c>
      <c r="AC8" s="2655">
        <f>+'B-FCE'!AC23</f>
        <v>90600</v>
      </c>
      <c r="AD8" s="2655">
        <f>+'B-FCE'!AD23</f>
        <v>90529.182680000013</v>
      </c>
      <c r="AE8" s="4134">
        <f t="shared" ref="AE8:AE12" si="7">AA8+AC8</f>
        <v>529776.80000000005</v>
      </c>
      <c r="AF8" s="4134">
        <f t="shared" ref="AF8:AF12" si="8">AB8+AD8</f>
        <v>604687.64590999996</v>
      </c>
      <c r="AG8" s="2655">
        <f>+'B-FCE'!AG23</f>
        <v>85982.6</v>
      </c>
      <c r="AH8" s="2655">
        <f>+'B-FCE'!AH23</f>
        <v>5150.0958000000001</v>
      </c>
      <c r="AI8" s="4134">
        <f t="shared" ref="AI8:AI12" si="9">AE8+AG8</f>
        <v>615759.4</v>
      </c>
      <c r="AJ8" s="4134">
        <f t="shared" ref="AJ8:AJ12" si="10">AF8+AH8</f>
        <v>609837.74170999997</v>
      </c>
      <c r="AK8" s="2655">
        <f>+'B-FCE'!AK23</f>
        <v>88825</v>
      </c>
      <c r="AL8" s="2655">
        <f>+'B-FCE'!AL23</f>
        <v>94257.042999999991</v>
      </c>
      <c r="AM8" s="1134">
        <f t="shared" ref="AM8:AM12" si="11">AC8+AG8+AK8</f>
        <v>265407.59999999998</v>
      </c>
      <c r="AN8" s="1134">
        <f t="shared" ref="AN8:AN12" si="12">AD8+AH8+AL8</f>
        <v>189936.32147999998</v>
      </c>
      <c r="AO8" s="4134">
        <f t="shared" ref="AO8:AO12" si="13">AI8+AK8</f>
        <v>704584.4</v>
      </c>
      <c r="AP8" s="4134">
        <f t="shared" ref="AP8:AP12" si="14">AJ8+AL8</f>
        <v>704094.78470999992</v>
      </c>
      <c r="AQ8" s="2655">
        <f>+'B-FCE'!AQ23</f>
        <v>88825</v>
      </c>
      <c r="AR8" s="2655">
        <f>+'B-FCE'!AR23</f>
        <v>91127.224099999992</v>
      </c>
      <c r="AS8" s="4134">
        <f t="shared" ref="AS8:AS12" si="15">AO8+AQ8</f>
        <v>793409.4</v>
      </c>
      <c r="AT8" s="4134">
        <f t="shared" ref="AT8:AT12" si="16">AP8+AR8</f>
        <v>795222.00880999991</v>
      </c>
      <c r="AU8" s="2655">
        <f>+'B-FCE'!AU23</f>
        <v>79942.5</v>
      </c>
      <c r="AV8" s="2655">
        <f>+'B-FCE'!AV23</f>
        <v>82009.378899999996</v>
      </c>
      <c r="AW8" s="4134">
        <f t="shared" ref="AW8:AW12" si="17">AS8+AU8</f>
        <v>873351.9</v>
      </c>
      <c r="AX8" s="4134">
        <f t="shared" ref="AX8:AX12" si="18">AT8+AV8</f>
        <v>877231.38770999992</v>
      </c>
      <c r="AY8" s="2655">
        <f>+'B-FCE'!AY23</f>
        <v>88825</v>
      </c>
      <c r="AZ8" s="2655">
        <f>+'B-FCE'!AZ23</f>
        <v>89515.708799999993</v>
      </c>
      <c r="BA8" s="4333">
        <f t="shared" ref="BA8:BA11" si="19">AQ8+AU8+AY8</f>
        <v>257592.5</v>
      </c>
      <c r="BB8" s="4333">
        <f t="shared" ref="BB8:BB11" si="20">AR8+AV8+AZ8</f>
        <v>262652.31180000002</v>
      </c>
      <c r="BC8" s="4335">
        <f t="shared" ref="BC8:BC12" si="21">AM8+BA8</f>
        <v>523000.1</v>
      </c>
      <c r="BD8" s="4336">
        <f t="shared" ref="BD8:BD12" si="22">AN8+BB8</f>
        <v>452588.63328000001</v>
      </c>
      <c r="BE8" s="4135">
        <f t="shared" ref="BE8:BE12" si="23">AW8+AY8</f>
        <v>962176.9</v>
      </c>
      <c r="BF8" s="4135">
        <f t="shared" ref="BF8:BF12" si="24">AX8+AZ8</f>
        <v>966747.09650999994</v>
      </c>
      <c r="BG8" s="3948"/>
      <c r="BH8" s="3948"/>
      <c r="BI8" s="3948"/>
      <c r="BJ8" s="3948"/>
    </row>
    <row r="9" spans="2:62" x14ac:dyDescent="0.3">
      <c r="B9" s="1474" t="s">
        <v>959</v>
      </c>
      <c r="C9" s="4137" t="s">
        <v>66</v>
      </c>
      <c r="D9" s="7462"/>
      <c r="E9" s="2655">
        <f>+'B-FCE'!E24</f>
        <v>7308</v>
      </c>
      <c r="F9" s="2655">
        <f>+'B-FCE'!F24</f>
        <v>5715.1388000000006</v>
      </c>
      <c r="G9" s="2655">
        <f>+'B-FCE'!G24</f>
        <v>7540</v>
      </c>
      <c r="H9" s="2655">
        <f>+'B-FCE'!H24</f>
        <v>6699.8459999999995</v>
      </c>
      <c r="I9" s="4134">
        <f t="shared" si="1"/>
        <v>14848</v>
      </c>
      <c r="J9" s="4134">
        <f t="shared" si="2"/>
        <v>12414.9848</v>
      </c>
      <c r="K9" s="2655">
        <f>+'B-FCE'!K24</f>
        <v>5811</v>
      </c>
      <c r="L9" s="2655">
        <f>+'B-FCE'!L24</f>
        <v>7596.8565620155032</v>
      </c>
      <c r="M9" s="4333">
        <f>+'B-FCE'!M24</f>
        <v>20659</v>
      </c>
      <c r="N9" s="4334">
        <f t="shared" si="0"/>
        <v>20011.841362015504</v>
      </c>
      <c r="O9" s="2655">
        <f>+'B-FCE'!O24</f>
        <v>2664</v>
      </c>
      <c r="P9" s="2655">
        <f>+'B-FCE'!P24</f>
        <v>12751.287262015505</v>
      </c>
      <c r="Q9" s="4134">
        <f t="shared" si="3"/>
        <v>23323</v>
      </c>
      <c r="R9" s="4134">
        <f t="shared" si="4"/>
        <v>32763.128624031007</v>
      </c>
      <c r="S9" s="2655">
        <f>+'B-FCE'!S24</f>
        <v>9360</v>
      </c>
      <c r="T9" s="2655">
        <f>+'B-FCE'!T24</f>
        <v>12520.34484</v>
      </c>
      <c r="U9" s="4134">
        <f t="shared" si="5"/>
        <v>32683</v>
      </c>
      <c r="V9" s="4134">
        <f t="shared" si="6"/>
        <v>45283.473464031005</v>
      </c>
      <c r="W9" s="2655">
        <f>+'B-FCE'!W24</f>
        <v>9048</v>
      </c>
      <c r="X9" s="2655">
        <f>+'B-FCE'!X24</f>
        <v>11740.725</v>
      </c>
      <c r="Y9" s="4333">
        <f>+'B-FCE'!Y24</f>
        <v>21072</v>
      </c>
      <c r="Z9" s="4334">
        <f>+'B-FCE'!Z24</f>
        <v>37012.357102015507</v>
      </c>
      <c r="AA9" s="4335">
        <f>+'B-FCE'!AA24</f>
        <v>41731</v>
      </c>
      <c r="AB9" s="4336">
        <f>+'B-FCE'!AB24</f>
        <v>57024.198464031011</v>
      </c>
      <c r="AC9" s="2655">
        <f>+'B-FCE'!AC24</f>
        <v>9750</v>
      </c>
      <c r="AD9" s="2655">
        <f>+'B-FCE'!AD24</f>
        <v>9460.2050799999997</v>
      </c>
      <c r="AE9" s="4134">
        <f t="shared" si="7"/>
        <v>51481</v>
      </c>
      <c r="AF9" s="4134">
        <f t="shared" si="8"/>
        <v>66484.403544031011</v>
      </c>
      <c r="AG9" s="2655">
        <f>+'B-FCE'!AG24</f>
        <v>9438</v>
      </c>
      <c r="AH9" s="2655">
        <f>+'B-FCE'!AH24</f>
        <v>116.1062</v>
      </c>
      <c r="AI9" s="4134">
        <f t="shared" si="9"/>
        <v>60919</v>
      </c>
      <c r="AJ9" s="4134">
        <f t="shared" si="10"/>
        <v>66600.509744031006</v>
      </c>
      <c r="AK9" s="2655">
        <f>+'B-FCE'!AK24</f>
        <v>9750</v>
      </c>
      <c r="AL9" s="2655">
        <f>+'B-FCE'!AL24</f>
        <v>8541.23</v>
      </c>
      <c r="AM9" s="1134">
        <f t="shared" si="11"/>
        <v>28938</v>
      </c>
      <c r="AN9" s="1134">
        <f t="shared" si="12"/>
        <v>18117.541279999998</v>
      </c>
      <c r="AO9" s="4134">
        <f t="shared" si="13"/>
        <v>70669</v>
      </c>
      <c r="AP9" s="4134">
        <f t="shared" si="14"/>
        <v>75141.739744031001</v>
      </c>
      <c r="AQ9" s="2655">
        <f>+'B-FCE'!AQ24</f>
        <v>9750</v>
      </c>
      <c r="AR9" s="2655">
        <f>+'B-FCE'!AR24</f>
        <v>7963.6405999999997</v>
      </c>
      <c r="AS9" s="4134">
        <f t="shared" si="15"/>
        <v>80419</v>
      </c>
      <c r="AT9" s="4134">
        <f t="shared" si="16"/>
        <v>83105.380344031</v>
      </c>
      <c r="AU9" s="2655">
        <f>+'B-FCE'!AU24</f>
        <v>8775</v>
      </c>
      <c r="AV9" s="2655">
        <f>+'B-FCE'!AV24</f>
        <v>6990.9988999999996</v>
      </c>
      <c r="AW9" s="4134">
        <f t="shared" si="17"/>
        <v>89194</v>
      </c>
      <c r="AX9" s="4134">
        <f t="shared" si="18"/>
        <v>90096.379244031006</v>
      </c>
      <c r="AY9" s="2655">
        <f>+'B-FCE'!AY24</f>
        <v>9750</v>
      </c>
      <c r="AZ9" s="2655">
        <f>+'B-FCE'!AZ24</f>
        <v>7423.1251000000002</v>
      </c>
      <c r="BA9" s="4333">
        <f t="shared" si="19"/>
        <v>28275</v>
      </c>
      <c r="BB9" s="4333">
        <f t="shared" si="20"/>
        <v>22377.764599999999</v>
      </c>
      <c r="BC9" s="4335">
        <f t="shared" si="21"/>
        <v>57213</v>
      </c>
      <c r="BD9" s="4336">
        <f t="shared" si="22"/>
        <v>40495.30588</v>
      </c>
      <c r="BE9" s="4135">
        <f t="shared" si="23"/>
        <v>98944</v>
      </c>
      <c r="BF9" s="4135">
        <f t="shared" si="24"/>
        <v>97519.504344031011</v>
      </c>
      <c r="BG9" s="3948"/>
      <c r="BH9" s="3948"/>
      <c r="BI9" s="3948"/>
      <c r="BJ9" s="3948"/>
    </row>
    <row r="10" spans="2:62" x14ac:dyDescent="0.3">
      <c r="B10" s="1474" t="s">
        <v>960</v>
      </c>
      <c r="C10" s="4137" t="s">
        <v>66</v>
      </c>
      <c r="D10" s="7462"/>
      <c r="E10" s="2655">
        <f>+'B-FCE'!E64</f>
        <v>10780</v>
      </c>
      <c r="F10" s="2655">
        <f>+'B-FCE'!F64</f>
        <v>11944.902</v>
      </c>
      <c r="G10" s="2655">
        <f>+'B-FCE'!G64</f>
        <v>11122.222222222219</v>
      </c>
      <c r="H10" s="2655">
        <f>+'B-FCE'!H64</f>
        <v>10897.1975</v>
      </c>
      <c r="I10" s="4134">
        <f t="shared" si="1"/>
        <v>21902.222222222219</v>
      </c>
      <c r="J10" s="4134">
        <f t="shared" si="2"/>
        <v>22842.0995</v>
      </c>
      <c r="K10" s="2655">
        <f>+'B-FCE'!K64</f>
        <v>6804.3333333333285</v>
      </c>
      <c r="L10" s="2655">
        <f>+'B-FCE'!L64</f>
        <v>8166.6306367113775</v>
      </c>
      <c r="M10" s="4333">
        <f>+'B-FCE'!M64</f>
        <v>28706.555555555547</v>
      </c>
      <c r="N10" s="4334">
        <f>F10+H10+L10</f>
        <v>31008.730136711376</v>
      </c>
      <c r="O10" s="2655">
        <f>+'B-FCE'!O64</f>
        <v>3519.1111111111095</v>
      </c>
      <c r="P10" s="2655">
        <f>+'B-FCE'!P64</f>
        <v>8355.5393915837176</v>
      </c>
      <c r="Q10" s="4134">
        <f t="shared" si="3"/>
        <v>32225.666666666657</v>
      </c>
      <c r="R10" s="4134">
        <f t="shared" si="4"/>
        <v>39364.269528295095</v>
      </c>
      <c r="S10" s="2655">
        <f>+'B-FCE'!S64</f>
        <v>10784</v>
      </c>
      <c r="T10" s="2655">
        <f>+'B-FCE'!T64</f>
        <v>9352.6679999999997</v>
      </c>
      <c r="U10" s="4134">
        <f t="shared" si="5"/>
        <v>43009.666666666657</v>
      </c>
      <c r="V10" s="4134">
        <f t="shared" si="6"/>
        <v>48716.937528295093</v>
      </c>
      <c r="W10" s="2655">
        <f>+'B-FCE'!W64</f>
        <v>10424.533333333326</v>
      </c>
      <c r="X10" s="2655">
        <f>+'B-FCE'!X64</f>
        <v>10813.45</v>
      </c>
      <c r="Y10" s="4333">
        <f>+'B-FCE'!Y64</f>
        <v>24727.644444444435</v>
      </c>
      <c r="Z10" s="4334">
        <f>+'B-FCE'!Z64</f>
        <v>28521.657391583722</v>
      </c>
      <c r="AA10" s="4335">
        <f>+'B-FCE'!AA64</f>
        <v>53434.199999999983</v>
      </c>
      <c r="AB10" s="4336">
        <f>+'B-FCE'!AB64</f>
        <v>59530.387528295098</v>
      </c>
      <c r="AC10" s="2655">
        <f>+'B-FCE'!AC64</f>
        <v>11150</v>
      </c>
      <c r="AD10" s="2655">
        <f>+'B-FCE'!AD64</f>
        <v>8168.3058000000001</v>
      </c>
      <c r="AE10" s="4134">
        <f t="shared" si="7"/>
        <v>64584.199999999983</v>
      </c>
      <c r="AF10" s="4134">
        <f t="shared" si="8"/>
        <v>67698.693328295092</v>
      </c>
      <c r="AG10" s="2655">
        <f>+'B-FCE'!AG64</f>
        <v>10602.288888888885</v>
      </c>
      <c r="AH10" s="2655">
        <f>+'B-FCE'!AH64</f>
        <v>1028.3363999999999</v>
      </c>
      <c r="AI10" s="4134">
        <f t="shared" si="9"/>
        <v>75186.488888888867</v>
      </c>
      <c r="AJ10" s="4134">
        <f t="shared" si="10"/>
        <v>68727.029728295092</v>
      </c>
      <c r="AK10" s="2655">
        <f>+'B-FCE'!AK64</f>
        <v>10952.777777777781</v>
      </c>
      <c r="AL10" s="2655">
        <f>+'B-FCE'!AL64</f>
        <v>9485.5028673619199</v>
      </c>
      <c r="AM10" s="1134">
        <f t="shared" si="11"/>
        <v>32705.066666666666</v>
      </c>
      <c r="AN10" s="1134">
        <f t="shared" si="12"/>
        <v>18682.145067361918</v>
      </c>
      <c r="AO10" s="4134">
        <f t="shared" si="13"/>
        <v>86139.266666666648</v>
      </c>
      <c r="AP10" s="4134">
        <f t="shared" si="14"/>
        <v>78212.532595657016</v>
      </c>
      <c r="AQ10" s="2655">
        <f>+'B-FCE'!AQ64</f>
        <v>10952.777777777781</v>
      </c>
      <c r="AR10" s="2655">
        <f>+'B-FCE'!AR64</f>
        <v>10295.416999999999</v>
      </c>
      <c r="AS10" s="4134">
        <f t="shared" si="15"/>
        <v>97092.044444444429</v>
      </c>
      <c r="AT10" s="4134">
        <f t="shared" si="16"/>
        <v>88507.949595657017</v>
      </c>
      <c r="AU10" s="2655">
        <f>+'B-FCE'!AU64</f>
        <v>9857.5</v>
      </c>
      <c r="AV10" s="2655">
        <f>+'B-FCE'!AV64</f>
        <v>9752.2155000000002</v>
      </c>
      <c r="AW10" s="4134">
        <f t="shared" si="17"/>
        <v>106949.54444444443</v>
      </c>
      <c r="AX10" s="4134">
        <f t="shared" si="18"/>
        <v>98260.165095657023</v>
      </c>
      <c r="AY10" s="2655">
        <f>+'B-FCE'!AY64</f>
        <v>10952.777777777781</v>
      </c>
      <c r="AZ10" s="2655">
        <f>+'B-FCE'!AZ64</f>
        <v>9910.1883999999991</v>
      </c>
      <c r="BA10" s="4333">
        <f t="shared" si="19"/>
        <v>31763.055555555562</v>
      </c>
      <c r="BB10" s="4333">
        <f t="shared" si="20"/>
        <v>29957.820899999999</v>
      </c>
      <c r="BC10" s="4335">
        <f t="shared" si="21"/>
        <v>64468.122222222228</v>
      </c>
      <c r="BD10" s="4336">
        <f t="shared" si="22"/>
        <v>48639.965967361917</v>
      </c>
      <c r="BE10" s="4135">
        <f t="shared" si="23"/>
        <v>117902.32222222221</v>
      </c>
      <c r="BF10" s="4135">
        <f t="shared" si="24"/>
        <v>108170.35349565702</v>
      </c>
      <c r="BG10" s="3948"/>
      <c r="BH10" s="3948"/>
      <c r="BI10" s="3948"/>
      <c r="BJ10" s="3948"/>
    </row>
    <row r="11" spans="2:62" x14ac:dyDescent="0.3">
      <c r="B11" s="1474" t="s">
        <v>962</v>
      </c>
      <c r="C11" s="4137" t="s">
        <v>66</v>
      </c>
      <c r="D11" s="7462"/>
      <c r="E11" s="2655">
        <f>+'B-FCE'!E33</f>
        <v>0</v>
      </c>
      <c r="F11" s="2655">
        <f>+'B-FCE'!F33</f>
        <v>0</v>
      </c>
      <c r="G11" s="2655">
        <f>+'B-FCE'!G33</f>
        <v>0</v>
      </c>
      <c r="H11" s="2655">
        <f>+'B-FCE'!H33</f>
        <v>0</v>
      </c>
      <c r="I11" s="4134">
        <f t="shared" si="1"/>
        <v>0</v>
      </c>
      <c r="J11" s="4134">
        <f t="shared" si="2"/>
        <v>0</v>
      </c>
      <c r="K11" s="2655">
        <f>+'B-FCE'!K33</f>
        <v>3500</v>
      </c>
      <c r="L11" s="2655">
        <f>+'B-FCE'!L33</f>
        <v>2533</v>
      </c>
      <c r="M11" s="4333">
        <f>+'B-FCE'!M33</f>
        <v>3500</v>
      </c>
      <c r="N11" s="4334">
        <f>F11+H11+L11</f>
        <v>2533</v>
      </c>
      <c r="O11" s="2655">
        <f>+'B-FCE'!O33</f>
        <v>8500</v>
      </c>
      <c r="P11" s="2655">
        <f>+'B-FCE'!P33</f>
        <v>55</v>
      </c>
      <c r="Q11" s="4134">
        <f t="shared" si="3"/>
        <v>12000</v>
      </c>
      <c r="R11" s="4134">
        <f t="shared" si="4"/>
        <v>2588</v>
      </c>
      <c r="S11" s="2655">
        <f>+'B-FCE'!S33</f>
        <v>0</v>
      </c>
      <c r="T11" s="2655">
        <f>+'B-FCE'!T33</f>
        <v>0</v>
      </c>
      <c r="U11" s="4134">
        <f t="shared" si="5"/>
        <v>12000</v>
      </c>
      <c r="V11" s="4134">
        <f t="shared" si="6"/>
        <v>2588</v>
      </c>
      <c r="W11" s="2655">
        <f>+'B-FCE'!W33</f>
        <v>0</v>
      </c>
      <c r="X11" s="2655">
        <f>+'B-FCE'!X33</f>
        <v>1473.4774066797643</v>
      </c>
      <c r="Y11" s="4333">
        <f>+'B-FCE'!Y33</f>
        <v>8500</v>
      </c>
      <c r="Z11" s="4334">
        <f>+'B-FCE'!Z33</f>
        <v>1528.4774066797643</v>
      </c>
      <c r="AA11" s="4335">
        <f>+'B-FCE'!AA33</f>
        <v>12000</v>
      </c>
      <c r="AB11" s="4336">
        <f>+'B-FCE'!AB33</f>
        <v>4061.4774066797645</v>
      </c>
      <c r="AC11" s="2655">
        <f>+'B-FCE'!AC33</f>
        <v>0</v>
      </c>
      <c r="AD11" s="2655">
        <f>+'B-FCE'!AD33</f>
        <v>1700</v>
      </c>
      <c r="AE11" s="4134">
        <f t="shared" si="7"/>
        <v>12000</v>
      </c>
      <c r="AF11" s="4134">
        <f t="shared" si="8"/>
        <v>5761.4774066797645</v>
      </c>
      <c r="AG11" s="2655">
        <f>+'B-FCE'!AG33</f>
        <v>0</v>
      </c>
      <c r="AH11" s="2655">
        <f>+'B-FCE'!AH33</f>
        <v>3000</v>
      </c>
      <c r="AI11" s="4134">
        <f t="shared" si="9"/>
        <v>12000</v>
      </c>
      <c r="AJ11" s="4134">
        <f t="shared" si="10"/>
        <v>8761.4774066797654</v>
      </c>
      <c r="AK11" s="2655">
        <f>+'B-FCE'!AK33</f>
        <v>0</v>
      </c>
      <c r="AL11" s="2655">
        <f>+'B-FCE'!AL33</f>
        <v>3239</v>
      </c>
      <c r="AM11" s="1134">
        <f t="shared" si="11"/>
        <v>0</v>
      </c>
      <c r="AN11" s="1134">
        <f t="shared" si="12"/>
        <v>7939</v>
      </c>
      <c r="AO11" s="4134">
        <f t="shared" si="13"/>
        <v>12000</v>
      </c>
      <c r="AP11" s="4134">
        <f t="shared" si="14"/>
        <v>12000.477406679765</v>
      </c>
      <c r="AQ11" s="2655">
        <f>+'B-FCE'!AQ33</f>
        <v>0</v>
      </c>
      <c r="AR11" s="2655">
        <f>+'B-FCE'!AR33</f>
        <v>0</v>
      </c>
      <c r="AS11" s="4134">
        <f t="shared" si="15"/>
        <v>12000</v>
      </c>
      <c r="AT11" s="4134">
        <f t="shared" si="16"/>
        <v>12000.477406679765</v>
      </c>
      <c r="AU11" s="2655">
        <f>+'B-FCE'!AU33</f>
        <v>0</v>
      </c>
      <c r="AV11" s="2655">
        <f>+'B-FCE'!AV33</f>
        <v>0</v>
      </c>
      <c r="AW11" s="4134">
        <f t="shared" si="17"/>
        <v>12000</v>
      </c>
      <c r="AX11" s="4134">
        <f t="shared" si="18"/>
        <v>12000.477406679765</v>
      </c>
      <c r="AY11" s="2655">
        <f>+'B-FCE'!AY33</f>
        <v>0</v>
      </c>
      <c r="AZ11" s="2655">
        <f>+'B-FCE'!AZ33</f>
        <v>0</v>
      </c>
      <c r="BA11" s="4333">
        <f t="shared" si="19"/>
        <v>0</v>
      </c>
      <c r="BB11" s="4333">
        <f t="shared" si="20"/>
        <v>0</v>
      </c>
      <c r="BC11" s="4335">
        <f t="shared" si="21"/>
        <v>0</v>
      </c>
      <c r="BD11" s="4336">
        <f t="shared" si="22"/>
        <v>7939</v>
      </c>
      <c r="BE11" s="4135">
        <f t="shared" si="23"/>
        <v>12000</v>
      </c>
      <c r="BF11" s="4135">
        <f t="shared" si="24"/>
        <v>12000.477406679765</v>
      </c>
      <c r="BG11" s="3948"/>
      <c r="BH11" s="3948"/>
      <c r="BI11" s="3948"/>
      <c r="BJ11" s="3948"/>
    </row>
    <row r="12" spans="2:62" x14ac:dyDescent="0.3">
      <c r="B12" s="1474" t="s">
        <v>961</v>
      </c>
      <c r="C12" s="4137" t="s">
        <v>66</v>
      </c>
      <c r="D12" s="7462"/>
      <c r="E12" s="2655">
        <f t="shared" ref="E12:AB12" si="25">SUM(E8:E11)</f>
        <v>107800</v>
      </c>
      <c r="F12" s="2655">
        <f t="shared" si="25"/>
        <v>96344.858300000022</v>
      </c>
      <c r="G12" s="2655">
        <f t="shared" ref="G12:H12" si="26">SUM(G8:G11)</f>
        <v>111222.22222222222</v>
      </c>
      <c r="H12" s="2655">
        <f t="shared" si="26"/>
        <v>106072.2938</v>
      </c>
      <c r="I12" s="4134">
        <f t="shared" si="1"/>
        <v>219022.22222222222</v>
      </c>
      <c r="J12" s="4134">
        <f t="shared" si="2"/>
        <v>202417.15210000001</v>
      </c>
      <c r="K12" s="2655">
        <f t="shared" ref="K12" si="27">SUM(K8:K11)</f>
        <v>71543.333333333328</v>
      </c>
      <c r="L12" s="2655">
        <f t="shared" ref="L12" si="28">SUM(L8:L11)</f>
        <v>86530.245398726882</v>
      </c>
      <c r="M12" s="4333">
        <f t="shared" ref="M12" si="29">SUM(M8:M11)</f>
        <v>290565.55555555556</v>
      </c>
      <c r="N12" s="4334">
        <f>F12+H12+L12</f>
        <v>288947.3974987269</v>
      </c>
      <c r="O12" s="2655">
        <f t="shared" ref="O12:P12" si="30">SUM(O8:O11)</f>
        <v>43691.111111111109</v>
      </c>
      <c r="P12" s="2655">
        <f t="shared" si="30"/>
        <v>113868.56767359923</v>
      </c>
      <c r="Q12" s="4134">
        <f t="shared" si="3"/>
        <v>334256.66666666669</v>
      </c>
      <c r="R12" s="4134">
        <f t="shared" si="4"/>
        <v>402815.96517232613</v>
      </c>
      <c r="S12" s="2655">
        <f t="shared" ref="S12:T12" si="31">SUM(S8:S11)</f>
        <v>107840</v>
      </c>
      <c r="T12" s="2655">
        <f t="shared" si="31"/>
        <v>114480.49185000001</v>
      </c>
      <c r="U12" s="4134">
        <f t="shared" si="5"/>
        <v>442096.66666666669</v>
      </c>
      <c r="V12" s="4134">
        <f t="shared" si="6"/>
        <v>517296.45702232613</v>
      </c>
      <c r="W12" s="2655">
        <f t="shared" ref="W12:X12" si="32">SUM(W8:W11)</f>
        <v>104245.33333333333</v>
      </c>
      <c r="X12" s="2655">
        <f t="shared" si="32"/>
        <v>117478.06960667977</v>
      </c>
      <c r="Y12" s="4333">
        <f t="shared" ref="Y12:Z12" si="33">SUM(Y8:Y11)</f>
        <v>255776.44444444444</v>
      </c>
      <c r="Z12" s="4334">
        <f t="shared" si="33"/>
        <v>345827.12913027901</v>
      </c>
      <c r="AA12" s="4335">
        <f t="shared" si="25"/>
        <v>546342</v>
      </c>
      <c r="AB12" s="4336">
        <f t="shared" si="25"/>
        <v>634774.52662900579</v>
      </c>
      <c r="AC12" s="2655">
        <f t="shared" ref="AC12:AD12" si="34">SUM(AC8:AC11)</f>
        <v>111500</v>
      </c>
      <c r="AD12" s="2655">
        <f t="shared" si="34"/>
        <v>109857.69356000001</v>
      </c>
      <c r="AE12" s="4134">
        <f t="shared" si="7"/>
        <v>657842</v>
      </c>
      <c r="AF12" s="4134">
        <f t="shared" si="8"/>
        <v>744632.22018900583</v>
      </c>
      <c r="AG12" s="2655">
        <f t="shared" ref="AG12:AH12" si="35">SUM(AG8:AG11)</f>
        <v>106022.88888888889</v>
      </c>
      <c r="AH12" s="2655">
        <f t="shared" si="35"/>
        <v>9294.5384000000013</v>
      </c>
      <c r="AI12" s="4134">
        <f t="shared" si="9"/>
        <v>763864.88888888888</v>
      </c>
      <c r="AJ12" s="4134">
        <f t="shared" si="10"/>
        <v>753926.7585890058</v>
      </c>
      <c r="AK12" s="2655">
        <f t="shared" ref="AK12:AL12" si="36">SUM(AK8:AK11)</f>
        <v>109527.77777777778</v>
      </c>
      <c r="AL12" s="2655">
        <f t="shared" si="36"/>
        <v>115522.77586736191</v>
      </c>
      <c r="AM12" s="1134">
        <f t="shared" si="11"/>
        <v>327050.66666666663</v>
      </c>
      <c r="AN12" s="1134">
        <f t="shared" si="12"/>
        <v>234675.00782736193</v>
      </c>
      <c r="AO12" s="4134">
        <f t="shared" si="13"/>
        <v>873392.66666666663</v>
      </c>
      <c r="AP12" s="4134">
        <f t="shared" si="14"/>
        <v>869449.53445636772</v>
      </c>
      <c r="AQ12" s="2655">
        <f t="shared" ref="AQ12:AR12" si="37">SUM(AQ8:AQ11)</f>
        <v>109527.77777777778</v>
      </c>
      <c r="AR12" s="2655">
        <f t="shared" si="37"/>
        <v>109386.28169999999</v>
      </c>
      <c r="AS12" s="4134">
        <f t="shared" si="15"/>
        <v>982920.44444444438</v>
      </c>
      <c r="AT12" s="4134">
        <f t="shared" si="16"/>
        <v>978835.81615636777</v>
      </c>
      <c r="AU12" s="2655">
        <f t="shared" ref="AU12:AV12" si="38">SUM(AU8:AU11)</f>
        <v>98575</v>
      </c>
      <c r="AV12" s="2655">
        <f t="shared" si="38"/>
        <v>98752.593300000008</v>
      </c>
      <c r="AW12" s="4134">
        <f t="shared" si="17"/>
        <v>1081495.4444444445</v>
      </c>
      <c r="AX12" s="4134">
        <f t="shared" si="18"/>
        <v>1077588.4094563678</v>
      </c>
      <c r="AY12" s="2655">
        <f t="shared" ref="AY12:AZ12" si="39">SUM(AY8:AY11)</f>
        <v>109527.77777777778</v>
      </c>
      <c r="AZ12" s="2655">
        <f t="shared" si="39"/>
        <v>106849.0223</v>
      </c>
      <c r="BA12" s="4333">
        <f>AQ12+AU12+AY12</f>
        <v>317630.55555555556</v>
      </c>
      <c r="BB12" s="4333">
        <f>AR12+AV12+AZ12</f>
        <v>314987.89730000001</v>
      </c>
      <c r="BC12" s="4335">
        <f t="shared" si="21"/>
        <v>644681.22222222225</v>
      </c>
      <c r="BD12" s="4336">
        <f t="shared" si="22"/>
        <v>549662.90512736188</v>
      </c>
      <c r="BE12" s="4135">
        <f t="shared" si="23"/>
        <v>1191023.2222222222</v>
      </c>
      <c r="BF12" s="4135">
        <f t="shared" si="24"/>
        <v>1184437.4317563679</v>
      </c>
      <c r="BG12" s="3948"/>
      <c r="BH12" s="3948"/>
      <c r="BI12" s="3948"/>
      <c r="BJ12" s="3948"/>
    </row>
    <row r="13" spans="2:62" x14ac:dyDescent="0.3">
      <c r="B13" s="1474" t="s">
        <v>840</v>
      </c>
      <c r="C13" s="2654" t="s">
        <v>49</v>
      </c>
      <c r="D13" s="7462"/>
      <c r="E13" s="4342">
        <f>+'Maj Techno Summ'!E5</f>
        <v>70</v>
      </c>
      <c r="F13" s="4342">
        <f>+'Maj Techno Summ'!F5</f>
        <v>70.5</v>
      </c>
      <c r="G13" s="4342">
        <f>+'Maj Techno Summ'!G5</f>
        <v>70</v>
      </c>
      <c r="H13" s="4342">
        <f>+'Maj Techno Summ'!H5</f>
        <v>70.5</v>
      </c>
      <c r="I13" s="4343">
        <f>+'Maj Techno Summ'!I5</f>
        <v>70</v>
      </c>
      <c r="J13" s="4343">
        <f>+'Maj Techno Summ'!J5</f>
        <v>70.5</v>
      </c>
      <c r="K13" s="4342">
        <f>+'Maj Techno Summ'!K5</f>
        <v>70</v>
      </c>
      <c r="L13" s="4342">
        <f>+'Maj Techno Summ'!L5</f>
        <v>70.010000000000005</v>
      </c>
      <c r="M13" s="4344">
        <f>+'Maj Techno Summ'!M5</f>
        <v>70</v>
      </c>
      <c r="N13" s="4345">
        <f>+'Maj Techno Summ'!N5</f>
        <v>70.339125169760081</v>
      </c>
      <c r="O13" s="4342">
        <f>+'Maj Techno Summ'!O5</f>
        <v>70</v>
      </c>
      <c r="P13" s="4342">
        <f>+'Maj Techno Summ'!P5</f>
        <v>70.503373452126255</v>
      </c>
      <c r="Q13" s="4343">
        <f>+'Maj Techno Summ'!Q5</f>
        <v>70</v>
      </c>
      <c r="R13" s="4343">
        <f>+'Maj Techno Summ'!R5</f>
        <v>70.381405402459251</v>
      </c>
      <c r="S13" s="4342">
        <f>+'Maj Techno Summ'!S5</f>
        <v>70</v>
      </c>
      <c r="T13" s="4342">
        <f>+'Maj Techno Summ'!T5</f>
        <v>70.5</v>
      </c>
      <c r="U13" s="4343">
        <f>+'Maj Techno Summ'!U5</f>
        <v>70</v>
      </c>
      <c r="V13" s="4343">
        <f>+'Maj Techno Summ'!V5</f>
        <v>70.405652395792117</v>
      </c>
      <c r="W13" s="4342">
        <f>+'Maj Techno Summ'!W5</f>
        <v>70</v>
      </c>
      <c r="X13" s="4342">
        <f>+'Maj Techno Summ'!X5</f>
        <v>70.5</v>
      </c>
      <c r="Y13" s="4344">
        <f>+'Maj Techno Summ'!Y5</f>
        <v>70</v>
      </c>
      <c r="Z13" s="4345">
        <f>+'Maj Techno Summ'!Z5</f>
        <v>70.501139237471079</v>
      </c>
      <c r="AA13" s="4346">
        <f>+'Maj Techno Summ'!AA5</f>
        <v>70</v>
      </c>
      <c r="AB13" s="4347">
        <f>+'Maj Techno Summ'!AB5</f>
        <v>70.421190823403478</v>
      </c>
      <c r="AC13" s="4342">
        <f>+'Maj Techno Summ'!AC5</f>
        <v>70</v>
      </c>
      <c r="AD13" s="4342">
        <f>+'Maj Techno Summ'!AD5</f>
        <v>70.453746245081177</v>
      </c>
      <c r="AE13" s="4343">
        <f>+'Maj Techno Summ'!AE5</f>
        <v>70</v>
      </c>
      <c r="AF13" s="4343">
        <f>+'Maj Techno Summ'!AF5</f>
        <v>70.425906454233441</v>
      </c>
      <c r="AG13" s="4342">
        <f>+'Maj Techno Summ'!AG5</f>
        <v>70</v>
      </c>
      <c r="AH13" s="4342">
        <f>+'Maj Techno Summ'!AH5</f>
        <v>70.490000000000009</v>
      </c>
      <c r="AI13" s="4343">
        <f>+'Maj Techno Summ'!AI5</f>
        <v>70</v>
      </c>
      <c r="AJ13" s="4343">
        <f>+'Maj Techno Summ'!AJ5</f>
        <v>70.433513836659529</v>
      </c>
      <c r="AK13" s="4342">
        <f>+'Maj Techno Summ'!AK5</f>
        <v>70</v>
      </c>
      <c r="AL13" s="4342">
        <f>+'Maj Techno Summ'!AL5</f>
        <v>70.010000000000005</v>
      </c>
      <c r="AM13" s="4344">
        <f>+'Maj Techno Summ'!AM5</f>
        <v>70</v>
      </c>
      <c r="AN13" s="4345">
        <f>+'Maj Techno Summ'!AN5</f>
        <v>70.313108282206528</v>
      </c>
      <c r="AO13" s="4343">
        <f>+'Maj Techno Summ'!AO5</f>
        <v>70</v>
      </c>
      <c r="AP13" s="4343">
        <f>+'Maj Techno Summ'!AP5</f>
        <v>70.385289618275166</v>
      </c>
      <c r="AQ13" s="4342">
        <f>+'Maj Techno Summ'!AQ5</f>
        <v>70</v>
      </c>
      <c r="AR13" s="4342">
        <f>+'Maj Techno Summ'!AR5</f>
        <v>70.59499999999997</v>
      </c>
      <c r="AS13" s="4343">
        <f>+'Maj Techno Summ'!AS5</f>
        <v>70</v>
      </c>
      <c r="AT13" s="4343">
        <f>+'Maj Techno Summ'!AT5</f>
        <v>70.406727615777456</v>
      </c>
      <c r="AU13" s="4342">
        <f>+'Maj Techno Summ'!AU5</f>
        <v>70</v>
      </c>
      <c r="AV13" s="4342">
        <f>+'Maj Techno Summ'!AV5</f>
        <v>70.499999999999972</v>
      </c>
      <c r="AW13" s="4343">
        <f>+'Maj Techno Summ'!AW5</f>
        <v>70</v>
      </c>
      <c r="AX13" s="4343">
        <f>+'Maj Techno Summ'!AX5</f>
        <v>70.414605157731273</v>
      </c>
      <c r="AY13" s="4342">
        <f>+'Maj Techno Summ'!AY5</f>
        <v>70</v>
      </c>
      <c r="AZ13" s="4342">
        <f>+'Maj Techno Summ'!AZ5</f>
        <v>70.5</v>
      </c>
      <c r="BA13" s="4344">
        <f>+'Maj Techno Summ'!BA5</f>
        <v>70</v>
      </c>
      <c r="BB13" s="4345">
        <f>+'Maj Techno Summ'!BB5</f>
        <v>70.532713173922829</v>
      </c>
      <c r="BC13" s="4346">
        <f>+'Maj Techno Summ'!BC5</f>
        <v>70</v>
      </c>
      <c r="BD13" s="4347">
        <f>+'Maj Techno Summ'!BD5</f>
        <v>70.422663592242358</v>
      </c>
      <c r="BE13" s="4343">
        <f>+'Maj Techno Summ'!BE5</f>
        <v>70</v>
      </c>
      <c r="BF13" s="4343">
        <f>+'Maj Techno Summ'!BF5</f>
        <v>70.4219244420986</v>
      </c>
      <c r="BG13" s="3948"/>
      <c r="BH13" s="3948"/>
      <c r="BI13" s="3948"/>
      <c r="BJ13" s="3948"/>
    </row>
    <row r="14" spans="2:62" x14ac:dyDescent="0.3">
      <c r="B14" s="1474" t="s">
        <v>841</v>
      </c>
      <c r="C14" s="4137" t="s">
        <v>66</v>
      </c>
      <c r="D14" s="7462"/>
      <c r="E14" s="2655">
        <f t="shared" ref="E14:AD14" si="40">+E12*100/E13</f>
        <v>154000</v>
      </c>
      <c r="F14" s="2655">
        <f t="shared" si="40"/>
        <v>136659.37347517733</v>
      </c>
      <c r="G14" s="2655">
        <f t="shared" ref="G14:H14" si="41">+G12*100/G13</f>
        <v>158888.88888888888</v>
      </c>
      <c r="H14" s="2655">
        <f t="shared" si="41"/>
        <v>150457.15432624114</v>
      </c>
      <c r="I14" s="4134">
        <f t="shared" ref="I14:I19" si="42">E14+G14</f>
        <v>312888.88888888888</v>
      </c>
      <c r="J14" s="4134">
        <f t="shared" ref="J14:J19" si="43">F14+H14</f>
        <v>287116.52780141844</v>
      </c>
      <c r="K14" s="2655">
        <f t="shared" ref="K14" si="44">+K12*100/K13</f>
        <v>102204.76190476189</v>
      </c>
      <c r="L14" s="2655">
        <f t="shared" ref="L14" si="45">+L12*100/L13</f>
        <v>123596.97957252801</v>
      </c>
      <c r="M14" s="4333">
        <f t="shared" ref="M14" si="46">+M12*100/M13</f>
        <v>415093.65079365083</v>
      </c>
      <c r="N14" s="4334">
        <f>F14+H14+L14</f>
        <v>410713.50737394649</v>
      </c>
      <c r="O14" s="2655">
        <f t="shared" ref="O14:P14" si="47">+O12*100/O13</f>
        <v>62415.873015873018</v>
      </c>
      <c r="P14" s="2655">
        <f t="shared" si="47"/>
        <v>161507.97060926334</v>
      </c>
      <c r="Q14" s="4134">
        <f t="shared" ref="Q14:Q19" si="48">M14+O14</f>
        <v>477509.52380952385</v>
      </c>
      <c r="R14" s="4134">
        <f t="shared" ref="R14:R19" si="49">N14+P14</f>
        <v>572221.47798320977</v>
      </c>
      <c r="S14" s="2655">
        <f t="shared" ref="S14:T14" si="50">+S12*100/S13</f>
        <v>154057.14285714287</v>
      </c>
      <c r="T14" s="2655">
        <f t="shared" si="50"/>
        <v>162383.67638297874</v>
      </c>
      <c r="U14" s="4134">
        <f t="shared" ref="U14:U19" si="51">Q14+S14</f>
        <v>631566.66666666674</v>
      </c>
      <c r="V14" s="4134">
        <f t="shared" ref="V14:V19" si="52">R14+T14</f>
        <v>734605.15436618845</v>
      </c>
      <c r="W14" s="2655">
        <f t="shared" ref="W14:X14" si="53">+W12*100/W13</f>
        <v>148921.90476190473</v>
      </c>
      <c r="X14" s="2655">
        <f t="shared" si="53"/>
        <v>166635.55972578691</v>
      </c>
      <c r="Y14" s="4334">
        <f>W14+S14+O14</f>
        <v>365394.92063492059</v>
      </c>
      <c r="Z14" s="4334">
        <f>X14+T14+P14</f>
        <v>490527.20671802899</v>
      </c>
      <c r="AA14" s="4335">
        <f>Y14+M14</f>
        <v>780488.57142857136</v>
      </c>
      <c r="AB14" s="4335">
        <f>Z14+N14</f>
        <v>901240.71409197547</v>
      </c>
      <c r="AC14" s="2655">
        <f t="shared" si="40"/>
        <v>159285.71428571429</v>
      </c>
      <c r="AD14" s="2655">
        <f t="shared" si="40"/>
        <v>155928.81772084598</v>
      </c>
      <c r="AE14" s="4134">
        <f t="shared" ref="AE14:AE19" si="54">AA14+AC14</f>
        <v>939774.28571428568</v>
      </c>
      <c r="AF14" s="4134">
        <f t="shared" ref="AF14:AF19" si="55">AB14+AD14</f>
        <v>1057169.5318128215</v>
      </c>
      <c r="AG14" s="2655">
        <f t="shared" ref="AG14:AH14" si="56">+AG12*100/AG13</f>
        <v>151461.26984126985</v>
      </c>
      <c r="AH14" s="2655">
        <f t="shared" si="56"/>
        <v>13185.612711022839</v>
      </c>
      <c r="AI14" s="4134">
        <f t="shared" ref="AI14:AI19" si="57">AE14+AG14</f>
        <v>1091235.5555555555</v>
      </c>
      <c r="AJ14" s="4134">
        <f t="shared" ref="AJ14:AJ19" si="58">AF14+AH14</f>
        <v>1070355.1445238444</v>
      </c>
      <c r="AK14" s="2655">
        <f t="shared" ref="AK14:AL14" si="59">+AK12*100/AK13</f>
        <v>156468.25396825396</v>
      </c>
      <c r="AL14" s="2655">
        <f t="shared" si="59"/>
        <v>165008.9642441964</v>
      </c>
      <c r="AM14" s="1134">
        <f t="shared" ref="AM14:AM19" si="60">AC14+AG14+AK14</f>
        <v>467215.23809523811</v>
      </c>
      <c r="AN14" s="1134">
        <f t="shared" ref="AN14:AN19" si="61">AD14+AH14+AL14</f>
        <v>334123.39467606519</v>
      </c>
      <c r="AO14" s="4134">
        <f t="shared" ref="AO14:AO19" si="62">AI14+AK14</f>
        <v>1247703.8095238095</v>
      </c>
      <c r="AP14" s="4134">
        <f t="shared" ref="AP14:AP19" si="63">AJ14+AL14</f>
        <v>1235364.1087680408</v>
      </c>
      <c r="AQ14" s="2655">
        <f t="shared" ref="AQ14:AR14" si="64">+AQ12*100/AQ13</f>
        <v>156468.25396825396</v>
      </c>
      <c r="AR14" s="2655">
        <f t="shared" si="64"/>
        <v>154949.04979106176</v>
      </c>
      <c r="AS14" s="4134">
        <f t="shared" ref="AS14:AS19" si="65">AO14+AQ14</f>
        <v>1404172.0634920634</v>
      </c>
      <c r="AT14" s="4134">
        <f t="shared" ref="AT14:AT19" si="66">AP14+AR14</f>
        <v>1390313.1585591026</v>
      </c>
      <c r="AU14" s="2655">
        <f t="shared" ref="AU14:AV14" si="67">+AU12*100/AU13</f>
        <v>140821.42857142858</v>
      </c>
      <c r="AV14" s="2655">
        <f t="shared" si="67"/>
        <v>140074.60042553197</v>
      </c>
      <c r="AW14" s="4134">
        <f t="shared" ref="AW14:AW19" si="68">AS14+AU14</f>
        <v>1544993.4920634921</v>
      </c>
      <c r="AX14" s="4134">
        <f t="shared" ref="AX14:AX19" si="69">AT14+AV14</f>
        <v>1530387.7589846347</v>
      </c>
      <c r="AY14" s="2655">
        <f t="shared" ref="AY14:AZ14" si="70">+AY12*100/AY13</f>
        <v>156468.25396825396</v>
      </c>
      <c r="AZ14" s="2655">
        <f t="shared" si="70"/>
        <v>151558.89687943264</v>
      </c>
      <c r="BA14" s="4333">
        <f t="shared" ref="BA14:BA19" si="71">AQ14+AU14+AY14</f>
        <v>453757.93650793651</v>
      </c>
      <c r="BB14" s="4333">
        <f t="shared" ref="BB14:BB19" si="72">AR14+AV14+AZ14</f>
        <v>446582.54709602636</v>
      </c>
      <c r="BC14" s="4335">
        <f t="shared" ref="BC14:BC19" si="73">AM14+BA14</f>
        <v>920973.17460317467</v>
      </c>
      <c r="BD14" s="4336">
        <f t="shared" ref="BD14:BD19" si="74">AN14+BB14</f>
        <v>780705.94177209155</v>
      </c>
      <c r="BE14" s="4135">
        <f t="shared" ref="BE14:BE19" si="75">AW14+AY14</f>
        <v>1701461.746031746</v>
      </c>
      <c r="BF14" s="4135">
        <f t="shared" ref="BF14:BF19" si="76">AX14+AZ14</f>
        <v>1681946.6558640674</v>
      </c>
      <c r="BG14" s="3948"/>
      <c r="BH14" s="3948"/>
      <c r="BI14" s="3948"/>
      <c r="BJ14" s="3948"/>
    </row>
    <row r="15" spans="2:62" x14ac:dyDescent="0.3">
      <c r="B15" s="1474" t="s">
        <v>842</v>
      </c>
      <c r="C15" s="4137" t="s">
        <v>66</v>
      </c>
      <c r="D15" s="7462"/>
      <c r="E15" s="2655">
        <f>+E14*100/(100-'COKE OVENS'!E197)</f>
        <v>171022.22307645899</v>
      </c>
      <c r="F15" s="2655">
        <f>+F14*100/(100-'COKE OVENS'!F197)</f>
        <v>149644.93542456612</v>
      </c>
      <c r="G15" s="2655">
        <f>+G14*100/(100-'COKE OVENS'!G197)</f>
        <v>176451.49999952115</v>
      </c>
      <c r="H15" s="2655">
        <f>+H14*100/(100-'COKE OVENS'!H197)</f>
        <v>164806.89784335313</v>
      </c>
      <c r="I15" s="4134">
        <f t="shared" si="42"/>
        <v>347473.72307598015</v>
      </c>
      <c r="J15" s="4134">
        <f t="shared" si="43"/>
        <v>314451.83326791925</v>
      </c>
      <c r="K15" s="2655">
        <f>+K14*100/(100-'COKE OVENS'!K197)</f>
        <v>113501.85448021148</v>
      </c>
      <c r="L15" s="2655">
        <f>+L14*100/(100-'COKE OVENS'!L197)</f>
        <v>135895.08612011239</v>
      </c>
      <c r="M15" s="4333">
        <f>+M14*100/(100-'COKE OVENS'!M197)</f>
        <v>460975.57755619165</v>
      </c>
      <c r="N15" s="4334">
        <f t="shared" ref="N15:N19" si="77">F15+H15+L15</f>
        <v>450346.91938803165</v>
      </c>
      <c r="O15" s="2655">
        <f>+O14*100/(100-'COKE OVENS'!O197)</f>
        <v>69314.943885925793</v>
      </c>
      <c r="P15" s="2655">
        <f>+P14*100/(100-'COKE OVENS'!P197)</f>
        <v>179801.15630483971</v>
      </c>
      <c r="Q15" s="4134">
        <f t="shared" si="48"/>
        <v>530290.5214421174</v>
      </c>
      <c r="R15" s="4134">
        <f t="shared" si="49"/>
        <v>630148.07569287135</v>
      </c>
      <c r="S15" s="2655">
        <f>+S14*100/(100-'COKE OVENS'!S197)</f>
        <v>171085.68215737792</v>
      </c>
      <c r="T15" s="2655">
        <f>+T14*100/(100-'COKE OVENS'!T197)</f>
        <v>182182.20440962058</v>
      </c>
      <c r="U15" s="4134">
        <f t="shared" si="51"/>
        <v>701376.20359949535</v>
      </c>
      <c r="V15" s="4134">
        <f t="shared" si="52"/>
        <v>812330.28010249196</v>
      </c>
      <c r="W15" s="2655">
        <f>+W14*100/(100-'COKE OVENS'!W197)</f>
        <v>165382.82608546526</v>
      </c>
      <c r="X15" s="2655">
        <f>+X14*100/(100-'COKE OVENS'!X197)</f>
        <v>185922.71249035449</v>
      </c>
      <c r="Y15" s="4334">
        <f t="shared" ref="Y15:Y19" si="78">W15+S15+O15</f>
        <v>405783.45212876901</v>
      </c>
      <c r="Z15" s="4334">
        <f t="shared" ref="Z15:Z19" si="79">X15+T15+P15</f>
        <v>547906.07320481469</v>
      </c>
      <c r="AA15" s="4335">
        <f t="shared" ref="AA15:AA19" si="80">Y15+M15</f>
        <v>866759.02968496061</v>
      </c>
      <c r="AB15" s="4335">
        <f t="shared" ref="AB15:AB19" si="81">Z15+N15</f>
        <v>998252.99259284628</v>
      </c>
      <c r="AC15" s="2655">
        <f>+AC14*100/(100-'COKE OVENS'!AC197)</f>
        <v>176892.18806145806</v>
      </c>
      <c r="AD15" s="2655">
        <f>+AD14*100/(100-'COKE OVENS'!AD197)</f>
        <v>173797.02985576578</v>
      </c>
      <c r="AE15" s="4134">
        <f t="shared" si="54"/>
        <v>1043651.2177464187</v>
      </c>
      <c r="AF15" s="4134">
        <f t="shared" si="55"/>
        <v>1172050.0224486121</v>
      </c>
      <c r="AG15" s="2655">
        <f>+AG14*100/(100-'COKE OVENS'!AG197)</f>
        <v>168202.87713141169</v>
      </c>
      <c r="AH15" s="2655">
        <f>+AH14*100/(100-'COKE OVENS'!AH197)</f>
        <v>14647.047794225877</v>
      </c>
      <c r="AI15" s="4134">
        <f t="shared" si="57"/>
        <v>1211854.0948778302</v>
      </c>
      <c r="AJ15" s="4134">
        <f t="shared" si="58"/>
        <v>1186697.070242838</v>
      </c>
      <c r="AK15" s="2655">
        <f>+AK14*100/(100-'COKE OVENS'!AK197)</f>
        <v>173763.30282170628</v>
      </c>
      <c r="AL15" s="2655">
        <f>+AL14*100/(100-'COKE OVENS'!AL197)</f>
        <v>181693.84924677326</v>
      </c>
      <c r="AM15" s="1134">
        <f t="shared" si="60"/>
        <v>518858.36801457603</v>
      </c>
      <c r="AN15" s="1134">
        <f t="shared" si="61"/>
        <v>370137.9268967649</v>
      </c>
      <c r="AO15" s="4134">
        <f t="shared" si="62"/>
        <v>1385617.3976995365</v>
      </c>
      <c r="AP15" s="4134">
        <f t="shared" si="63"/>
        <v>1368390.9194896112</v>
      </c>
      <c r="AQ15" s="2655">
        <f>+AQ14*100/(100-'COKE OVENS'!AQ197)</f>
        <v>173763.30282170628</v>
      </c>
      <c r="AR15" s="2655">
        <f>+AR14*100/(100-'COKE OVENS'!AR197)</f>
        <v>170121.83543373039</v>
      </c>
      <c r="AS15" s="4134">
        <f t="shared" si="65"/>
        <v>1559380.7005212428</v>
      </c>
      <c r="AT15" s="4134">
        <f t="shared" si="66"/>
        <v>1538512.7549233416</v>
      </c>
      <c r="AU15" s="2655">
        <f>+AU14*100/(100-'COKE OVENS'!AU197)</f>
        <v>156386.97253953567</v>
      </c>
      <c r="AV15" s="2655">
        <f>+AV14*100/(100-'COKE OVENS'!AV197)</f>
        <v>153459.80987034552</v>
      </c>
      <c r="AW15" s="4134">
        <f t="shared" si="68"/>
        <v>1715767.6730607785</v>
      </c>
      <c r="AX15" s="4134">
        <f t="shared" si="69"/>
        <v>1691972.5647936871</v>
      </c>
      <c r="AY15" s="2655">
        <f>+AY14*100/(100-'COKE OVENS'!AY197)</f>
        <v>173763.30282170628</v>
      </c>
      <c r="AZ15" s="2655">
        <f>+AZ14*100/(100-'COKE OVENS'!AZ197)</f>
        <v>165418.29895665951</v>
      </c>
      <c r="BA15" s="4333">
        <f t="shared" si="71"/>
        <v>503913.57818294823</v>
      </c>
      <c r="BB15" s="4333">
        <f t="shared" si="72"/>
        <v>488999.94426073541</v>
      </c>
      <c r="BC15" s="4335">
        <f t="shared" si="73"/>
        <v>1022771.9461975242</v>
      </c>
      <c r="BD15" s="4336">
        <f t="shared" si="74"/>
        <v>859137.87115750031</v>
      </c>
      <c r="BE15" s="4135">
        <f t="shared" si="75"/>
        <v>1889530.9758824848</v>
      </c>
      <c r="BF15" s="4135">
        <f t="shared" si="76"/>
        <v>1857390.8637503465</v>
      </c>
      <c r="BG15" s="3948"/>
      <c r="BH15" s="3948"/>
      <c r="BI15" s="3948"/>
      <c r="BJ15" s="3948"/>
    </row>
    <row r="16" spans="2:62" x14ac:dyDescent="0.3">
      <c r="B16" s="1474" t="s">
        <v>1412</v>
      </c>
      <c r="C16" s="4137" t="s">
        <v>66</v>
      </c>
      <c r="D16" s="7462"/>
      <c r="E16" s="2655">
        <f>+E15*100/(100-'COKE OVENS'!E199)</f>
        <v>175407.40828354767</v>
      </c>
      <c r="F16" s="2655">
        <f>+F15*100/(100-'COKE OVENS'!F199)</f>
        <v>153481.98505083704</v>
      </c>
      <c r="G16" s="2655">
        <f>+G15*100/(100-'COKE OVENS'!G199)</f>
        <v>180975.89743540631</v>
      </c>
      <c r="H16" s="2655">
        <f>+H15*100/(100-'COKE OVENS'!H199)</f>
        <v>169032.71573677246</v>
      </c>
      <c r="I16" s="4134">
        <f t="shared" si="42"/>
        <v>356383.30571895395</v>
      </c>
      <c r="J16" s="4134">
        <f t="shared" si="43"/>
        <v>322514.7007876095</v>
      </c>
      <c r="K16" s="2655">
        <f>+K15*100/(100-'COKE OVENS'!K199)</f>
        <v>116412.15844124254</v>
      </c>
      <c r="L16" s="2655">
        <f>+L15*100/(100-'COKE OVENS'!L199)</f>
        <v>139379.57550780757</v>
      </c>
      <c r="M16" s="4333">
        <f>+M15*100/(100-'COKE OVENS'!M199)</f>
        <v>472795.4641601966</v>
      </c>
      <c r="N16" s="4334">
        <f t="shared" si="77"/>
        <v>461894.2762954171</v>
      </c>
      <c r="O16" s="2655">
        <f>+O15*100/(100-'COKE OVENS'!O199)</f>
        <v>71092.250139411073</v>
      </c>
      <c r="P16" s="2655">
        <f>+P15*100/(100-'COKE OVENS'!P199)</f>
        <v>184411.44236393814</v>
      </c>
      <c r="Q16" s="4134">
        <f t="shared" si="48"/>
        <v>543887.71429960767</v>
      </c>
      <c r="R16" s="4134">
        <f t="shared" si="49"/>
        <v>646305.71865935531</v>
      </c>
      <c r="S16" s="2655">
        <f>+S15*100/(100-'COKE OVENS'!S199)</f>
        <v>175472.49452038758</v>
      </c>
      <c r="T16" s="2655">
        <f>+T15*100/(100-'COKE OVENS'!T199)</f>
        <v>186853.54298422622</v>
      </c>
      <c r="U16" s="4134">
        <f t="shared" si="51"/>
        <v>719360.20881999529</v>
      </c>
      <c r="V16" s="4134">
        <f t="shared" si="52"/>
        <v>833159.26164358156</v>
      </c>
      <c r="W16" s="2655">
        <f>+W15*100/(100-'COKE OVENS'!W199)</f>
        <v>169623.41136970796</v>
      </c>
      <c r="X16" s="2655">
        <f>+X15*100/(100-'COKE OVENS'!X199)</f>
        <v>190689.9615285687</v>
      </c>
      <c r="Y16" s="4334">
        <f t="shared" si="78"/>
        <v>416188.15602950659</v>
      </c>
      <c r="Z16" s="4334">
        <f t="shared" si="79"/>
        <v>561954.9468767331</v>
      </c>
      <c r="AA16" s="4335">
        <f t="shared" si="80"/>
        <v>888983.62018970319</v>
      </c>
      <c r="AB16" s="4335">
        <f t="shared" si="81"/>
        <v>1023849.2231721502</v>
      </c>
      <c r="AC16" s="2655">
        <f>+AC15*100/(100-'COKE OVENS'!AC199)</f>
        <v>181427.88519123904</v>
      </c>
      <c r="AD16" s="2655">
        <f>+AD15*100/(100-'COKE OVENS'!AD199)</f>
        <v>178253.36395463155</v>
      </c>
      <c r="AE16" s="4134">
        <f t="shared" si="54"/>
        <v>1070411.5053809423</v>
      </c>
      <c r="AF16" s="4134">
        <f t="shared" si="55"/>
        <v>1202102.5871267817</v>
      </c>
      <c r="AG16" s="2655">
        <f>+AG15*100/(100-'COKE OVENS'!AG199)</f>
        <v>172515.77141683252</v>
      </c>
      <c r="AH16" s="2655">
        <f>+AH15*100/(100-'COKE OVENS'!AH199)</f>
        <v>15022.613122282952</v>
      </c>
      <c r="AI16" s="4134">
        <f t="shared" si="57"/>
        <v>1242927.2767977747</v>
      </c>
      <c r="AJ16" s="4134">
        <f t="shared" si="58"/>
        <v>1217125.2002490647</v>
      </c>
      <c r="AK16" s="2655">
        <f>+AK15*100/(100-'COKE OVENS'!AK199)</f>
        <v>178218.77212482694</v>
      </c>
      <c r="AL16" s="2655">
        <f>+AL15*100/(100-'COKE OVENS'!AL199)</f>
        <v>186352.66589412643</v>
      </c>
      <c r="AM16" s="1134">
        <f t="shared" si="60"/>
        <v>532162.42873289844</v>
      </c>
      <c r="AN16" s="1134">
        <f t="shared" si="61"/>
        <v>379628.64297104091</v>
      </c>
      <c r="AO16" s="4134">
        <f t="shared" si="62"/>
        <v>1421146.0489226016</v>
      </c>
      <c r="AP16" s="4134">
        <f t="shared" si="63"/>
        <v>1403477.8661431912</v>
      </c>
      <c r="AQ16" s="2655">
        <f>+AQ15*100/(100-'COKE OVENS'!AQ199)</f>
        <v>178218.77212482694</v>
      </c>
      <c r="AR16" s="2655">
        <f>+AR15*100/(100-'COKE OVENS'!AR199)</f>
        <v>174483.93377818505</v>
      </c>
      <c r="AS16" s="4134">
        <f t="shared" si="65"/>
        <v>1599364.8210474285</v>
      </c>
      <c r="AT16" s="4134">
        <f t="shared" si="66"/>
        <v>1577961.7999213762</v>
      </c>
      <c r="AU16" s="2655">
        <f>+AU15*100/(100-'COKE OVENS'!AU199)</f>
        <v>160396.89491234429</v>
      </c>
      <c r="AV16" s="2655">
        <f>+AV15*100/(100-'COKE OVENS'!AV199)</f>
        <v>157394.67679009796</v>
      </c>
      <c r="AW16" s="4134">
        <f t="shared" si="68"/>
        <v>1759761.7159597729</v>
      </c>
      <c r="AX16" s="4134">
        <f t="shared" si="69"/>
        <v>1735356.4767114741</v>
      </c>
      <c r="AY16" s="2655">
        <f>+AY15*100/(100-'COKE OVENS'!AY199)</f>
        <v>178218.77212482694</v>
      </c>
      <c r="AZ16" s="2655">
        <f>+AZ15*100/(100-'COKE OVENS'!AZ199)</f>
        <v>169659.79380170206</v>
      </c>
      <c r="BA16" s="4333">
        <f t="shared" si="71"/>
        <v>516834.4391619981</v>
      </c>
      <c r="BB16" s="4333">
        <f t="shared" si="72"/>
        <v>501538.4043699851</v>
      </c>
      <c r="BC16" s="4335">
        <f t="shared" si="73"/>
        <v>1048996.8678948965</v>
      </c>
      <c r="BD16" s="4336">
        <f t="shared" si="74"/>
        <v>881167.04734102602</v>
      </c>
      <c r="BE16" s="4135">
        <f t="shared" si="75"/>
        <v>1937980.4880845998</v>
      </c>
      <c r="BF16" s="4135">
        <f t="shared" si="76"/>
        <v>1905016.2705131762</v>
      </c>
      <c r="BG16" s="3948"/>
      <c r="BH16" s="3948"/>
      <c r="BI16" s="3948"/>
      <c r="BJ16" s="3948"/>
    </row>
    <row r="17" spans="2:62" x14ac:dyDescent="0.3">
      <c r="B17" s="1474" t="s">
        <v>963</v>
      </c>
      <c r="C17" s="4137" t="s">
        <v>66</v>
      </c>
      <c r="D17" s="7462"/>
      <c r="E17" s="4136">
        <f>+'B-FCE'!E25/((100-$C$24)/100)</f>
        <v>41978.182027858114</v>
      </c>
      <c r="F17" s="2655">
        <f>+'B-FCE'!F101</f>
        <v>37497.146483516481</v>
      </c>
      <c r="G17" s="4136">
        <f>+'B-FCE'!G25/((100-$C$24)/100)</f>
        <v>43310.822727155195</v>
      </c>
      <c r="H17" s="2655">
        <f>+'B-FCE'!H101</f>
        <v>43820.499780219783</v>
      </c>
      <c r="I17" s="4134">
        <f t="shared" si="42"/>
        <v>85289.004755013302</v>
      </c>
      <c r="J17" s="4134">
        <f t="shared" si="43"/>
        <v>81317.646263736271</v>
      </c>
      <c r="K17" s="4136">
        <f>+'B-FCE'!K25/((100-$C$24)/100)</f>
        <v>21345.572400991026</v>
      </c>
      <c r="L17" s="2655">
        <f>+'B-FCE'!L101</f>
        <v>21880.394725274724</v>
      </c>
      <c r="M17" s="4333">
        <f>+'B-FCE'!M25/((100-$C$24)/100)</f>
        <v>106634.57715600434</v>
      </c>
      <c r="N17" s="4334">
        <f t="shared" si="77"/>
        <v>103198.040989011</v>
      </c>
      <c r="O17" s="4136">
        <f>+'B-FCE'!O25/((100-$C$24)/100)</f>
        <v>9204.105096478519</v>
      </c>
      <c r="P17" s="2655">
        <f>+'B-FCE'!P101</f>
        <v>35494.888461538467</v>
      </c>
      <c r="Q17" s="4134">
        <f t="shared" si="48"/>
        <v>115838.68225248286</v>
      </c>
      <c r="R17" s="4134">
        <f t="shared" si="49"/>
        <v>138692.92945054948</v>
      </c>
      <c r="S17" s="4136">
        <f>+'B-FCE'!S25/((100-$C$24)/100)</f>
        <v>36247.827020880657</v>
      </c>
      <c r="T17" s="2655">
        <f>+'B-FCE'!T101</f>
        <v>35193.788879120882</v>
      </c>
      <c r="U17" s="4134">
        <f t="shared" si="51"/>
        <v>152086.50927336351</v>
      </c>
      <c r="V17" s="4134">
        <f t="shared" si="52"/>
        <v>173886.71832967037</v>
      </c>
      <c r="W17" s="4136">
        <f>+'B-FCE'!W25/((100-$C$24)/100)</f>
        <v>36327.785462838481</v>
      </c>
      <c r="X17" s="2655">
        <f>+'B-FCE'!X101</f>
        <v>33030.989890109893</v>
      </c>
      <c r="Y17" s="4334">
        <f t="shared" si="78"/>
        <v>81779.717580197655</v>
      </c>
      <c r="Z17" s="4334">
        <f t="shared" si="79"/>
        <v>103719.66723076924</v>
      </c>
      <c r="AA17" s="4335">
        <f t="shared" si="80"/>
        <v>188414.29473620199</v>
      </c>
      <c r="AB17" s="4335">
        <f t="shared" si="81"/>
        <v>206917.70821978024</v>
      </c>
      <c r="AC17" s="4136">
        <f>+'B-FCE'!AC25/((100-$C$24)/100)</f>
        <v>40534.487936952937</v>
      </c>
      <c r="AD17" s="2655">
        <f>+'B-FCE'!AD101</f>
        <v>32957.071098901099</v>
      </c>
      <c r="AE17" s="4134">
        <f t="shared" si="54"/>
        <v>228948.78267315493</v>
      </c>
      <c r="AF17" s="4134">
        <f t="shared" si="55"/>
        <v>239874.77931868134</v>
      </c>
      <c r="AG17" s="4136">
        <f>+'B-FCE'!AG25/((100-$C$24)/100)</f>
        <v>39237.384322970443</v>
      </c>
      <c r="AH17" s="2655">
        <f>+'B-FCE'!AH101</f>
        <v>0</v>
      </c>
      <c r="AI17" s="4134">
        <f t="shared" si="57"/>
        <v>268186.16699612536</v>
      </c>
      <c r="AJ17" s="4134">
        <f t="shared" si="58"/>
        <v>239874.77931868134</v>
      </c>
      <c r="AK17" s="4136">
        <f>+'B-FCE'!AK25/((100-$C$24)/100)</f>
        <v>40534.487936952937</v>
      </c>
      <c r="AL17" s="2655">
        <f>+'B-FCE'!AL101</f>
        <v>39289.769230769234</v>
      </c>
      <c r="AM17" s="1134">
        <f t="shared" si="60"/>
        <v>120306.36019687631</v>
      </c>
      <c r="AN17" s="1134">
        <f t="shared" si="61"/>
        <v>72246.840329670333</v>
      </c>
      <c r="AO17" s="4134">
        <f t="shared" si="62"/>
        <v>308720.65493307833</v>
      </c>
      <c r="AP17" s="4134">
        <f t="shared" si="63"/>
        <v>279164.54854945058</v>
      </c>
      <c r="AQ17" s="4136">
        <f>+'B-FCE'!AQ25/((100-$C$24)/100)</f>
        <v>40534.487936952937</v>
      </c>
      <c r="AR17" s="2655">
        <f>+'B-FCE'!AR101</f>
        <v>44202.49538461538</v>
      </c>
      <c r="AS17" s="4134">
        <f t="shared" si="65"/>
        <v>349255.1428700313</v>
      </c>
      <c r="AT17" s="4134">
        <f t="shared" si="66"/>
        <v>323367.04393406597</v>
      </c>
      <c r="AU17" s="4136">
        <f>+'B-FCE'!AU25/((100-$C$24)/100)</f>
        <v>36481.039143257643</v>
      </c>
      <c r="AV17" s="2655">
        <f>+'B-FCE'!AV101</f>
        <v>41164.667032967045</v>
      </c>
      <c r="AW17" s="4134">
        <f t="shared" si="68"/>
        <v>385736.18201328896</v>
      </c>
      <c r="AX17" s="4134">
        <f t="shared" si="69"/>
        <v>364531.710967033</v>
      </c>
      <c r="AY17" s="4136">
        <f>+'B-FCE'!AY25/((100-$C$24)/100)</f>
        <v>40534.487936952937</v>
      </c>
      <c r="AZ17" s="2655">
        <f>+'B-FCE'!AZ101</f>
        <v>45963.252857142848</v>
      </c>
      <c r="BA17" s="4333">
        <f t="shared" si="71"/>
        <v>117550.01501716352</v>
      </c>
      <c r="BB17" s="4333">
        <f t="shared" si="72"/>
        <v>131330.41527472527</v>
      </c>
      <c r="BC17" s="4335">
        <f t="shared" si="73"/>
        <v>237856.37521403981</v>
      </c>
      <c r="BD17" s="4336">
        <f t="shared" si="74"/>
        <v>203577.25560439558</v>
      </c>
      <c r="BE17" s="4135">
        <f t="shared" si="75"/>
        <v>426270.66995024192</v>
      </c>
      <c r="BF17" s="4135">
        <f t="shared" si="76"/>
        <v>410494.96382417582</v>
      </c>
      <c r="BG17" s="3948"/>
      <c r="BH17" s="3948"/>
      <c r="BI17" s="3948"/>
      <c r="BJ17" s="3948"/>
    </row>
    <row r="18" spans="2:62" x14ac:dyDescent="0.3">
      <c r="B18" s="1474" t="s">
        <v>1411</v>
      </c>
      <c r="C18" s="4137" t="s">
        <v>66</v>
      </c>
      <c r="D18" s="7462"/>
      <c r="E18" s="2655">
        <f t="shared" ref="E18:F18" si="82">+E17/((100-$C$25)/100)</f>
        <v>43054.545669598068</v>
      </c>
      <c r="F18" s="2655">
        <f t="shared" si="82"/>
        <v>38458.61177796562</v>
      </c>
      <c r="G18" s="2655">
        <f t="shared" ref="G18:H18" si="83">+G17/((100-$C$25)/100)</f>
        <v>44421.356643236097</v>
      </c>
      <c r="H18" s="2655">
        <f t="shared" si="83"/>
        <v>44944.102338686957</v>
      </c>
      <c r="I18" s="4134">
        <f t="shared" si="42"/>
        <v>87475.902312834165</v>
      </c>
      <c r="J18" s="4134">
        <f t="shared" si="43"/>
        <v>83402.714116652583</v>
      </c>
      <c r="K18" s="2655">
        <f t="shared" ref="K18" si="84">+K17/((100-$C$25)/100)</f>
        <v>21892.894770247207</v>
      </c>
      <c r="L18" s="2655">
        <f t="shared" ref="L18" si="85">+L17/((100-$C$25)/100)</f>
        <v>22441.430487461257</v>
      </c>
      <c r="M18" s="4333">
        <f t="shared" ref="M18" si="86">+M17/((100-$C$25)/100)</f>
        <v>109368.79708308137</v>
      </c>
      <c r="N18" s="4334">
        <f t="shared" si="77"/>
        <v>105844.14460411384</v>
      </c>
      <c r="O18" s="2655">
        <f t="shared" ref="O18:P18" si="87">+O17/((100-$C$25)/100)</f>
        <v>9440.1077912600194</v>
      </c>
      <c r="P18" s="2655">
        <f t="shared" si="87"/>
        <v>36405.01380670612</v>
      </c>
      <c r="Q18" s="4134">
        <f t="shared" si="48"/>
        <v>118808.90487434139</v>
      </c>
      <c r="R18" s="4134">
        <f t="shared" si="49"/>
        <v>142249.15841081995</v>
      </c>
      <c r="S18" s="2655">
        <f t="shared" ref="S18:T18" si="88">+S17/((100-$C$25)/100)</f>
        <v>37177.258482954523</v>
      </c>
      <c r="T18" s="2655">
        <f t="shared" si="88"/>
        <v>36096.193722175267</v>
      </c>
      <c r="U18" s="4134">
        <f t="shared" si="51"/>
        <v>155986.16335729591</v>
      </c>
      <c r="V18" s="4134">
        <f t="shared" si="52"/>
        <v>178345.35213299521</v>
      </c>
      <c r="W18" s="2655">
        <f t="shared" ref="W18:X18" si="89">+W17/((100-$C$25)/100)</f>
        <v>37259.267141372802</v>
      </c>
      <c r="X18" s="2655">
        <f t="shared" si="89"/>
        <v>33877.938348830663</v>
      </c>
      <c r="Y18" s="4334">
        <f t="shared" si="78"/>
        <v>83876.633415587348</v>
      </c>
      <c r="Z18" s="4334">
        <f t="shared" si="79"/>
        <v>106379.14587771206</v>
      </c>
      <c r="AA18" s="4335">
        <f t="shared" si="80"/>
        <v>193245.43049866872</v>
      </c>
      <c r="AB18" s="4335">
        <f t="shared" si="81"/>
        <v>212223.29048182588</v>
      </c>
      <c r="AC18" s="2655">
        <f t="shared" ref="AC18:AD18" si="90">+AC17/((100-$C$25)/100)</f>
        <v>41573.83378149019</v>
      </c>
      <c r="AD18" s="2655">
        <f t="shared" si="90"/>
        <v>33802.124204001128</v>
      </c>
      <c r="AE18" s="4134">
        <f t="shared" si="54"/>
        <v>234819.26428015891</v>
      </c>
      <c r="AF18" s="4134">
        <f t="shared" si="55"/>
        <v>246025.41468582701</v>
      </c>
      <c r="AG18" s="2655">
        <f t="shared" ref="AG18:AH18" si="91">+AG17/((100-$C$25)/100)</f>
        <v>40243.471100482508</v>
      </c>
      <c r="AH18" s="2655">
        <f t="shared" si="91"/>
        <v>0</v>
      </c>
      <c r="AI18" s="4134">
        <f t="shared" si="57"/>
        <v>275062.73538064142</v>
      </c>
      <c r="AJ18" s="4134">
        <f t="shared" si="58"/>
        <v>246025.41468582701</v>
      </c>
      <c r="AK18" s="2655">
        <f t="shared" ref="AK18:AL18" si="92">+AK17/((100-$C$25)/100)</f>
        <v>41573.83378149019</v>
      </c>
      <c r="AL18" s="2655">
        <f t="shared" si="92"/>
        <v>40297.199211045372</v>
      </c>
      <c r="AM18" s="1134">
        <f t="shared" si="60"/>
        <v>123391.13866346289</v>
      </c>
      <c r="AN18" s="1134">
        <f t="shared" si="61"/>
        <v>74099.3234150465</v>
      </c>
      <c r="AO18" s="4134">
        <f t="shared" si="62"/>
        <v>316636.56916213164</v>
      </c>
      <c r="AP18" s="4134">
        <f t="shared" si="63"/>
        <v>286322.61389687238</v>
      </c>
      <c r="AQ18" s="2655">
        <f t="shared" ref="AQ18:AR18" si="93">+AQ17/((100-$C$25)/100)</f>
        <v>41573.83378149019</v>
      </c>
      <c r="AR18" s="2655">
        <f t="shared" si="93"/>
        <v>45335.892702169622</v>
      </c>
      <c r="AS18" s="4134">
        <f t="shared" si="65"/>
        <v>358210.40294362186</v>
      </c>
      <c r="AT18" s="4134">
        <f t="shared" si="66"/>
        <v>331658.50659904198</v>
      </c>
      <c r="AU18" s="2655">
        <f t="shared" ref="AU18:AV18" si="94">+AU17/((100-$C$25)/100)</f>
        <v>37416.450403341172</v>
      </c>
      <c r="AV18" s="2655">
        <f t="shared" si="94"/>
        <v>42220.171315863634</v>
      </c>
      <c r="AW18" s="4134">
        <f t="shared" si="68"/>
        <v>395626.85334696301</v>
      </c>
      <c r="AX18" s="4134">
        <f t="shared" si="69"/>
        <v>373878.67791490559</v>
      </c>
      <c r="AY18" s="2655">
        <f t="shared" ref="AY18:AZ18" si="95">+AY17/((100-$C$25)/100)</f>
        <v>41573.83378149019</v>
      </c>
      <c r="AZ18" s="2655">
        <f t="shared" si="95"/>
        <v>47141.797802197798</v>
      </c>
      <c r="BA18" s="4333">
        <f t="shared" si="71"/>
        <v>120564.11796632156</v>
      </c>
      <c r="BB18" s="4333">
        <f t="shared" si="72"/>
        <v>134697.86182023105</v>
      </c>
      <c r="BC18" s="4335">
        <f t="shared" si="73"/>
        <v>243955.25662978445</v>
      </c>
      <c r="BD18" s="4336">
        <f t="shared" si="74"/>
        <v>208797.18523527755</v>
      </c>
      <c r="BE18" s="4135">
        <f t="shared" si="75"/>
        <v>437200.68712845317</v>
      </c>
      <c r="BF18" s="4135">
        <f t="shared" si="76"/>
        <v>421020.4757171034</v>
      </c>
      <c r="BG18" s="3948"/>
      <c r="BH18" s="3948"/>
      <c r="BI18" s="3948"/>
      <c r="BJ18" s="3948"/>
    </row>
    <row r="19" spans="2:62" ht="19.5" thickBot="1" x14ac:dyDescent="0.35">
      <c r="B19" s="1474" t="s">
        <v>964</v>
      </c>
      <c r="C19" s="4137" t="s">
        <v>66</v>
      </c>
      <c r="D19" s="7462"/>
      <c r="E19" s="4348">
        <f t="shared" ref="E19:AD19" si="96">+E16+E18</f>
        <v>218461.95395314574</v>
      </c>
      <c r="F19" s="4348">
        <f t="shared" si="96"/>
        <v>191940.59682880266</v>
      </c>
      <c r="G19" s="4348">
        <f t="shared" ref="G19:H19" si="97">+G16+G18</f>
        <v>225397.25407864241</v>
      </c>
      <c r="H19" s="4348">
        <f t="shared" si="97"/>
        <v>213976.81807545942</v>
      </c>
      <c r="I19" s="4134">
        <f t="shared" si="42"/>
        <v>443859.20803178812</v>
      </c>
      <c r="J19" s="4134">
        <f t="shared" si="43"/>
        <v>405917.41490426206</v>
      </c>
      <c r="K19" s="4348">
        <f t="shared" ref="K19" si="98">+K16+K18</f>
        <v>138305.05321148975</v>
      </c>
      <c r="L19" s="4348">
        <f t="shared" ref="L19" si="99">+L16+L18</f>
        <v>161821.00599526882</v>
      </c>
      <c r="M19" s="4349">
        <f t="shared" ref="M19" si="100">+M16+M18</f>
        <v>582164.26124327793</v>
      </c>
      <c r="N19" s="4334">
        <f t="shared" si="77"/>
        <v>567738.42089953087</v>
      </c>
      <c r="O19" s="4348">
        <f t="shared" ref="O19:P19" si="101">+O16+O18</f>
        <v>80532.357930671089</v>
      </c>
      <c r="P19" s="4348">
        <f t="shared" si="101"/>
        <v>220816.45617064426</v>
      </c>
      <c r="Q19" s="4134">
        <f t="shared" si="48"/>
        <v>662696.619173949</v>
      </c>
      <c r="R19" s="4134">
        <f t="shared" si="49"/>
        <v>788554.87707017513</v>
      </c>
      <c r="S19" s="4348">
        <f t="shared" ref="S19:T19" si="102">+S16+S18</f>
        <v>212649.75300334211</v>
      </c>
      <c r="T19" s="4348">
        <f t="shared" si="102"/>
        <v>222949.73670640148</v>
      </c>
      <c r="U19" s="4134">
        <f t="shared" si="51"/>
        <v>875346.37217729108</v>
      </c>
      <c r="V19" s="4134">
        <f t="shared" si="52"/>
        <v>1011504.6137765766</v>
      </c>
      <c r="W19" s="4348">
        <f t="shared" ref="W19:X19" si="103">+W16+W18</f>
        <v>206882.67851108077</v>
      </c>
      <c r="X19" s="4348">
        <f t="shared" si="103"/>
        <v>224567.89987739938</v>
      </c>
      <c r="Y19" s="4334">
        <f t="shared" si="78"/>
        <v>500064.78944509395</v>
      </c>
      <c r="Z19" s="4334">
        <f t="shared" si="79"/>
        <v>668334.09275444516</v>
      </c>
      <c r="AA19" s="4335">
        <f t="shared" si="80"/>
        <v>1082229.050688372</v>
      </c>
      <c r="AB19" s="4335">
        <f t="shared" si="81"/>
        <v>1236072.5136539759</v>
      </c>
      <c r="AC19" s="4348">
        <f t="shared" si="96"/>
        <v>223001.71897272923</v>
      </c>
      <c r="AD19" s="4348">
        <f t="shared" si="96"/>
        <v>212055.48815863268</v>
      </c>
      <c r="AE19" s="4134">
        <f t="shared" si="54"/>
        <v>1305230.7696611013</v>
      </c>
      <c r="AF19" s="4134">
        <f t="shared" si="55"/>
        <v>1448128.0018126087</v>
      </c>
      <c r="AG19" s="4348">
        <f t="shared" ref="AG19:AH19" si="104">+AG16+AG18</f>
        <v>212759.24251731503</v>
      </c>
      <c r="AH19" s="4348">
        <f t="shared" si="104"/>
        <v>15022.613122282952</v>
      </c>
      <c r="AI19" s="4134">
        <f t="shared" si="57"/>
        <v>1517990.0121784164</v>
      </c>
      <c r="AJ19" s="4134">
        <f t="shared" si="58"/>
        <v>1463150.6149348917</v>
      </c>
      <c r="AK19" s="4348">
        <f t="shared" ref="AK19:AL19" si="105">+AK16+AK18</f>
        <v>219792.60590631713</v>
      </c>
      <c r="AL19" s="4348">
        <f t="shared" si="105"/>
        <v>226649.8651051718</v>
      </c>
      <c r="AM19" s="1134">
        <f t="shared" si="60"/>
        <v>655553.56739636138</v>
      </c>
      <c r="AN19" s="1134">
        <f t="shared" si="61"/>
        <v>453727.96638608747</v>
      </c>
      <c r="AO19" s="4134">
        <f t="shared" si="62"/>
        <v>1737782.6180847334</v>
      </c>
      <c r="AP19" s="4134">
        <f t="shared" si="63"/>
        <v>1689800.4800400636</v>
      </c>
      <c r="AQ19" s="4348">
        <f t="shared" ref="AQ19:AR19" si="106">+AQ16+AQ18</f>
        <v>219792.60590631713</v>
      </c>
      <c r="AR19" s="4348">
        <f t="shared" si="106"/>
        <v>219819.82648035468</v>
      </c>
      <c r="AS19" s="4134">
        <f t="shared" si="65"/>
        <v>1957575.2239910504</v>
      </c>
      <c r="AT19" s="4134">
        <f t="shared" si="66"/>
        <v>1909620.3065204183</v>
      </c>
      <c r="AU19" s="4348">
        <f t="shared" ref="AU19:AV19" si="107">+AU16+AU18</f>
        <v>197813.34531568547</v>
      </c>
      <c r="AV19" s="4348">
        <f t="shared" si="107"/>
        <v>199614.8481059616</v>
      </c>
      <c r="AW19" s="4134">
        <f t="shared" si="68"/>
        <v>2155388.5693067359</v>
      </c>
      <c r="AX19" s="4134">
        <f t="shared" si="69"/>
        <v>2109235.1546263797</v>
      </c>
      <c r="AY19" s="4348">
        <f t="shared" ref="AY19:AZ19" si="108">+AY16+AY18</f>
        <v>219792.60590631713</v>
      </c>
      <c r="AZ19" s="4348">
        <f t="shared" si="108"/>
        <v>216801.59160389987</v>
      </c>
      <c r="BA19" s="4333">
        <f t="shared" si="71"/>
        <v>637398.55712831975</v>
      </c>
      <c r="BB19" s="4333">
        <f t="shared" si="72"/>
        <v>636236.26619021618</v>
      </c>
      <c r="BC19" s="4335">
        <f t="shared" si="73"/>
        <v>1292952.1245246811</v>
      </c>
      <c r="BD19" s="4336">
        <f t="shared" si="74"/>
        <v>1089964.2325763036</v>
      </c>
      <c r="BE19" s="4135">
        <f t="shared" si="75"/>
        <v>2375181.1752130529</v>
      </c>
      <c r="BF19" s="4135">
        <f t="shared" si="76"/>
        <v>2326036.7462302796</v>
      </c>
      <c r="BG19" s="3948"/>
      <c r="BH19" s="3948"/>
      <c r="BI19" s="3948"/>
      <c r="BJ19" s="3948"/>
    </row>
    <row r="20" spans="2:62" ht="19.5" thickBot="1" x14ac:dyDescent="0.35">
      <c r="B20" s="4350" t="s">
        <v>965</v>
      </c>
      <c r="C20" s="4351" t="s">
        <v>242</v>
      </c>
      <c r="D20" s="7463"/>
      <c r="E20" s="4352">
        <f t="shared" ref="E20:AF20" si="109">+E19*1000/E6</f>
        <v>866.91251568708628</v>
      </c>
      <c r="F20" s="4353">
        <f t="shared" si="109"/>
        <v>848.82294100624927</v>
      </c>
      <c r="G20" s="4352">
        <f t="shared" ref="G20:H20" si="110">+G19*1000/G6</f>
        <v>866.91251568708617</v>
      </c>
      <c r="H20" s="4353">
        <f t="shared" si="110"/>
        <v>836.726488959525</v>
      </c>
      <c r="I20" s="4354">
        <f t="shared" ref="I20:L20" si="111">+I19*1000/I6</f>
        <v>866.91251568708617</v>
      </c>
      <c r="J20" s="4355">
        <f t="shared" si="111"/>
        <v>842.40311151610922</v>
      </c>
      <c r="K20" s="4352">
        <f t="shared" si="111"/>
        <v>928.22183363415934</v>
      </c>
      <c r="L20" s="4353">
        <f t="shared" si="111"/>
        <v>966.95282680626599</v>
      </c>
      <c r="M20" s="4356">
        <f t="shared" ref="M20:R20" si="112">+M19*1000/M6</f>
        <v>880.73261912750058</v>
      </c>
      <c r="N20" s="4357">
        <f t="shared" si="112"/>
        <v>874.50928038399229</v>
      </c>
      <c r="O20" s="4352">
        <f t="shared" si="112"/>
        <v>1088.275107171231</v>
      </c>
      <c r="P20" s="4353">
        <f t="shared" si="112"/>
        <v>883.14642328614877</v>
      </c>
      <c r="Q20" s="4354">
        <f t="shared" si="112"/>
        <v>901.62805329788978</v>
      </c>
      <c r="R20" s="4355">
        <f t="shared" si="112"/>
        <v>876.91083429415221</v>
      </c>
      <c r="S20" s="4352">
        <f t="shared" ref="S20:V20" si="113">+S19*1000/S6</f>
        <v>886.04063751392539</v>
      </c>
      <c r="T20" s="4353">
        <f t="shared" si="113"/>
        <v>908.50860040774546</v>
      </c>
      <c r="U20" s="4354">
        <f t="shared" si="113"/>
        <v>897.79115095106772</v>
      </c>
      <c r="V20" s="4355">
        <f t="shared" si="113"/>
        <v>883.68512732527745</v>
      </c>
      <c r="W20" s="4352">
        <f t="shared" ref="W20:X20" si="114">+W19*1000/W6</f>
        <v>891.73568323741711</v>
      </c>
      <c r="X20" s="4353">
        <f t="shared" si="114"/>
        <v>913.7326875694223</v>
      </c>
      <c r="Y20" s="4356">
        <f t="shared" ref="Y20:Z20" si="115">+Y19*1000/Y6</f>
        <v>915.86957773826725</v>
      </c>
      <c r="Z20" s="4357">
        <f t="shared" si="115"/>
        <v>901.68528532835387</v>
      </c>
      <c r="AA20" s="4358">
        <f t="shared" si="109"/>
        <v>896.62721680892457</v>
      </c>
      <c r="AB20" s="4359">
        <f t="shared" si="109"/>
        <v>888.99634076767518</v>
      </c>
      <c r="AC20" s="4352">
        <f t="shared" si="109"/>
        <v>892.00687589091694</v>
      </c>
      <c r="AD20" s="4353">
        <f t="shared" si="109"/>
        <v>891.41530285112128</v>
      </c>
      <c r="AE20" s="4354">
        <f t="shared" si="109"/>
        <v>895.83443353541611</v>
      </c>
      <c r="AF20" s="4355">
        <f t="shared" si="109"/>
        <v>889.34973879663232</v>
      </c>
      <c r="AG20" s="4352">
        <f t="shared" ref="AG20:AJ20" si="116">+AG19*1000/AG6</f>
        <v>879.17042362526877</v>
      </c>
      <c r="AH20" s="4353">
        <f t="shared" si="116"/>
        <v>1821.6956432768995</v>
      </c>
      <c r="AI20" s="4354">
        <f t="shared" si="116"/>
        <v>893.46086649700783</v>
      </c>
      <c r="AJ20" s="4355">
        <f t="shared" si="116"/>
        <v>894.04779744691098</v>
      </c>
      <c r="AK20" s="4352">
        <f t="shared" ref="AK20:AL20" si="117">+AK19*1000/AK6</f>
        <v>879.17042362526843</v>
      </c>
      <c r="AL20" s="4353">
        <f t="shared" si="117"/>
        <v>880.90898319828568</v>
      </c>
      <c r="AM20" s="4356">
        <f t="shared" ref="AM20:AR20" si="118">+AM19*1000/AM6</f>
        <v>883.49537384954363</v>
      </c>
      <c r="AN20" s="4357">
        <f t="shared" si="118"/>
        <v>901.28447744134314</v>
      </c>
      <c r="AO20" s="4355">
        <f t="shared" si="118"/>
        <v>891.62781841186938</v>
      </c>
      <c r="AP20" s="4355">
        <f t="shared" si="118"/>
        <v>892.26279853414201</v>
      </c>
      <c r="AQ20" s="4352">
        <f t="shared" si="118"/>
        <v>879.17042362526843</v>
      </c>
      <c r="AR20" s="4353">
        <f t="shared" si="118"/>
        <v>839.50234176485299</v>
      </c>
      <c r="AS20" s="4355">
        <f t="shared" ref="AS20:AV20" si="119">+AS19*1000/AS6</f>
        <v>890.21156161484782</v>
      </c>
      <c r="AT20" s="4355">
        <f t="shared" si="119"/>
        <v>885.85411716939132</v>
      </c>
      <c r="AU20" s="4352">
        <f t="shared" si="119"/>
        <v>879.17042362526877</v>
      </c>
      <c r="AV20" s="4353">
        <f t="shared" si="119"/>
        <v>833.03361977916063</v>
      </c>
      <c r="AW20" s="4355">
        <f t="shared" ref="AW20:AZ20" si="120">+AW19*1000/AW6</f>
        <v>889.18670350937953</v>
      </c>
      <c r="AX20" s="4355">
        <f t="shared" si="120"/>
        <v>880.57000912800879</v>
      </c>
      <c r="AY20" s="4352">
        <f t="shared" si="120"/>
        <v>879.17042362526843</v>
      </c>
      <c r="AZ20" s="4353">
        <f t="shared" si="120"/>
        <v>821.74730547663194</v>
      </c>
      <c r="BA20" s="4356">
        <f t="shared" ref="BA20:BF20" si="121">+BA19*1000/BA6</f>
        <v>879.17042362526865</v>
      </c>
      <c r="BB20" s="4357">
        <f t="shared" si="121"/>
        <v>831.35602378652857</v>
      </c>
      <c r="BC20" s="4358">
        <f t="shared" si="121"/>
        <v>881.35795809453384</v>
      </c>
      <c r="BD20" s="4359">
        <f t="shared" si="121"/>
        <v>859.10332410303215</v>
      </c>
      <c r="BE20" s="4355">
        <f t="shared" si="121"/>
        <v>888.2502525104909</v>
      </c>
      <c r="BF20" s="4355">
        <f t="shared" si="121"/>
        <v>874.7338313610062</v>
      </c>
      <c r="BG20" s="3948"/>
      <c r="BH20" s="3948"/>
      <c r="BI20" s="3948"/>
      <c r="BJ20" s="3948"/>
    </row>
    <row r="21" spans="2:62" x14ac:dyDescent="0.3">
      <c r="M21" s="4360"/>
      <c r="Y21" s="4360"/>
      <c r="Z21" s="4331"/>
    </row>
    <row r="22" spans="2:62" x14ac:dyDescent="0.3">
      <c r="H22" s="4360"/>
      <c r="I22" s="4360"/>
      <c r="L22" s="4360"/>
    </row>
    <row r="23" spans="2:62" x14ac:dyDescent="0.3">
      <c r="I23" s="4360"/>
      <c r="J23" s="4360"/>
    </row>
    <row r="24" spans="2:62" x14ac:dyDescent="0.3">
      <c r="B24" s="4361" t="s">
        <v>1463</v>
      </c>
      <c r="C24" s="7133">
        <v>9.9532229029959769</v>
      </c>
    </row>
    <row r="25" spans="2:62" x14ac:dyDescent="0.3">
      <c r="B25" s="4361" t="s">
        <v>1464</v>
      </c>
      <c r="C25" s="4361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K530"/>
  <sheetViews>
    <sheetView topLeftCell="B1" zoomScale="95" zoomScaleNormal="95" workbookViewId="0">
      <pane xSplit="3" ySplit="12" topLeftCell="F215" activePane="bottomRight" state="frozen"/>
      <selection activeCell="B1" sqref="B1"/>
      <selection pane="topRight" activeCell="E1" sqref="E1"/>
      <selection pane="bottomLeft" activeCell="B13" sqref="B13"/>
      <selection pane="bottomRight" activeCell="BI335" sqref="BI335"/>
    </sheetView>
  </sheetViews>
  <sheetFormatPr defaultColWidth="9.140625" defaultRowHeight="15" x14ac:dyDescent="0.25"/>
  <cols>
    <col min="1" max="1" width="0.85546875" style="2254" hidden="1" customWidth="1"/>
    <col min="2" max="2" width="55.28515625" style="2254" bestFit="1" customWidth="1"/>
    <col min="3" max="3" width="38.5703125" style="2254" customWidth="1"/>
    <col min="4" max="4" width="18.85546875" style="2254" customWidth="1"/>
    <col min="5" max="5" width="7.85546875" style="2254" customWidth="1"/>
    <col min="6" max="6" width="8.42578125" style="2254" bestFit="1" customWidth="1"/>
    <col min="7" max="7" width="7.85546875" style="2254" customWidth="1"/>
    <col min="8" max="8" width="8.42578125" style="2254" bestFit="1" customWidth="1"/>
    <col min="9" max="10" width="9.85546875" style="2254" customWidth="1"/>
    <col min="11" max="14" width="7.85546875" style="2254" hidden="1" customWidth="1"/>
    <col min="15" max="26" width="9.85546875" style="2254" hidden="1" customWidth="1"/>
    <col min="27" max="28" width="11.28515625" style="2254" hidden="1" customWidth="1"/>
    <col min="29" max="30" width="7.85546875" style="2254" hidden="1" customWidth="1"/>
    <col min="31" max="32" width="11.42578125" style="2254" hidden="1" customWidth="1"/>
    <col min="33" max="33" width="7.85546875" style="2254" hidden="1" customWidth="1"/>
    <col min="34" max="34" width="6.7109375" style="2254" hidden="1" customWidth="1"/>
    <col min="35" max="36" width="9" style="2254" hidden="1" customWidth="1"/>
    <col min="37" max="37" width="7.85546875" style="2254" hidden="1" customWidth="1"/>
    <col min="38" max="38" width="8.42578125" style="2254" hidden="1" customWidth="1"/>
    <col min="39" max="39" width="7.85546875" style="2254" hidden="1" customWidth="1"/>
    <col min="40" max="40" width="8" style="2254" hidden="1" customWidth="1"/>
    <col min="41" max="42" width="9" style="2254" hidden="1" customWidth="1"/>
    <col min="43" max="44" width="10" style="2254" hidden="1" customWidth="1"/>
    <col min="45" max="46" width="11.42578125" style="2254" hidden="1" customWidth="1"/>
    <col min="47" max="48" width="10" style="2254" hidden="1" customWidth="1"/>
    <col min="49" max="50" width="11.42578125" style="2254" hidden="1" customWidth="1"/>
    <col min="51" max="54" width="10" style="2254" hidden="1" customWidth="1"/>
    <col min="55" max="58" width="11.42578125" style="2254" hidden="1" customWidth="1"/>
    <col min="59" max="62" width="9.140625" style="2254"/>
    <col min="63" max="63" width="10" style="2254" bestFit="1" customWidth="1"/>
    <col min="64" max="16384" width="9.140625" style="2254"/>
  </cols>
  <sheetData>
    <row r="1" spans="1:62" x14ac:dyDescent="0.25">
      <c r="A1" s="154"/>
      <c r="B1" s="4154" t="s">
        <v>372</v>
      </c>
      <c r="C1" s="527"/>
      <c r="G1" s="7547"/>
      <c r="H1" s="7547"/>
      <c r="S1" s="4893"/>
      <c r="T1" s="4893"/>
    </row>
    <row r="2" spans="1:62" x14ac:dyDescent="0.25">
      <c r="A2" s="154"/>
      <c r="B2" s="527"/>
      <c r="C2" s="527"/>
    </row>
    <row r="3" spans="1:62" x14ac:dyDescent="0.25">
      <c r="A3" s="93"/>
      <c r="B3" s="7544" t="s">
        <v>171</v>
      </c>
      <c r="C3" s="7512" t="s">
        <v>172</v>
      </c>
      <c r="D3" s="7512" t="s">
        <v>2255</v>
      </c>
      <c r="E3" s="7512" t="s">
        <v>2254</v>
      </c>
      <c r="F3" s="7512"/>
      <c r="G3" s="7512" t="s">
        <v>2306</v>
      </c>
      <c r="H3" s="7512"/>
      <c r="I3" s="7513" t="s">
        <v>658</v>
      </c>
      <c r="J3" s="7513"/>
      <c r="K3" s="7512" t="s">
        <v>1908</v>
      </c>
      <c r="L3" s="7512"/>
      <c r="M3" s="7541" t="s">
        <v>1473</v>
      </c>
      <c r="N3" s="7541"/>
      <c r="O3" s="7512" t="s">
        <v>1938</v>
      </c>
      <c r="P3" s="7512"/>
      <c r="Q3" s="7513" t="s">
        <v>651</v>
      </c>
      <c r="R3" s="7513"/>
      <c r="S3" s="7512" t="s">
        <v>1961</v>
      </c>
      <c r="T3" s="7512"/>
      <c r="U3" s="7513" t="s">
        <v>836</v>
      </c>
      <c r="V3" s="7513"/>
      <c r="W3" s="7512" t="s">
        <v>1984</v>
      </c>
      <c r="X3" s="7512"/>
      <c r="Y3" s="7541" t="s">
        <v>1635</v>
      </c>
      <c r="Z3" s="7541"/>
      <c r="AA3" s="7526" t="s">
        <v>512</v>
      </c>
      <c r="AB3" s="7526"/>
      <c r="AC3" s="7512" t="s">
        <v>2002</v>
      </c>
      <c r="AD3" s="7512"/>
      <c r="AE3" s="7513" t="s">
        <v>1102</v>
      </c>
      <c r="AF3" s="7513"/>
      <c r="AG3" s="7495" t="s">
        <v>2018</v>
      </c>
      <c r="AH3" s="7496"/>
      <c r="AI3" s="7497" t="s">
        <v>1666</v>
      </c>
      <c r="AJ3" s="7498"/>
      <c r="AK3" s="7512" t="s">
        <v>2033</v>
      </c>
      <c r="AL3" s="7512"/>
      <c r="AM3" s="7541" t="s">
        <v>1684</v>
      </c>
      <c r="AN3" s="7541"/>
      <c r="AO3" s="7513" t="s">
        <v>918</v>
      </c>
      <c r="AP3" s="7513"/>
      <c r="AQ3" s="7495" t="s">
        <v>2137</v>
      </c>
      <c r="AR3" s="7496"/>
      <c r="AS3" s="7497" t="s">
        <v>1705</v>
      </c>
      <c r="AT3" s="7498"/>
      <c r="AU3" s="7495" t="s">
        <v>2151</v>
      </c>
      <c r="AV3" s="7496"/>
      <c r="AW3" s="7497" t="s">
        <v>1715</v>
      </c>
      <c r="AX3" s="7498"/>
      <c r="AY3" s="7495" t="s">
        <v>2163</v>
      </c>
      <c r="AZ3" s="7496"/>
      <c r="BA3" s="7541" t="s">
        <v>1734</v>
      </c>
      <c r="BB3" s="7541"/>
      <c r="BC3" s="7526" t="s">
        <v>550</v>
      </c>
      <c r="BD3" s="7526"/>
      <c r="BE3" s="7497" t="s">
        <v>1765</v>
      </c>
      <c r="BF3" s="7498"/>
    </row>
    <row r="4" spans="1:62" x14ac:dyDescent="0.25">
      <c r="A4" s="93"/>
      <c r="B4" s="7544"/>
      <c r="C4" s="7512"/>
      <c r="D4" s="7512"/>
      <c r="E4" s="4141" t="s">
        <v>173</v>
      </c>
      <c r="F4" s="4141" t="s">
        <v>174</v>
      </c>
      <c r="G4" s="4141" t="s">
        <v>173</v>
      </c>
      <c r="H4" s="4141" t="s">
        <v>174</v>
      </c>
      <c r="I4" s="4153" t="s">
        <v>173</v>
      </c>
      <c r="J4" s="4153" t="s">
        <v>174</v>
      </c>
      <c r="K4" s="4141" t="s">
        <v>173</v>
      </c>
      <c r="L4" s="4141" t="s">
        <v>174</v>
      </c>
      <c r="M4" s="4152" t="s">
        <v>173</v>
      </c>
      <c r="N4" s="4152" t="s">
        <v>174</v>
      </c>
      <c r="O4" s="4779" t="s">
        <v>173</v>
      </c>
      <c r="P4" s="4779" t="s">
        <v>174</v>
      </c>
      <c r="Q4" s="4153" t="s">
        <v>173</v>
      </c>
      <c r="R4" s="4153" t="s">
        <v>174</v>
      </c>
      <c r="S4" s="4891" t="s">
        <v>173</v>
      </c>
      <c r="T4" s="4891" t="s">
        <v>174</v>
      </c>
      <c r="U4" s="4153" t="s">
        <v>173</v>
      </c>
      <c r="V4" s="4153" t="s">
        <v>174</v>
      </c>
      <c r="W4" s="4141" t="s">
        <v>173</v>
      </c>
      <c r="X4" s="4141" t="s">
        <v>174</v>
      </c>
      <c r="Y4" s="4152" t="s">
        <v>173</v>
      </c>
      <c r="Z4" s="4152" t="s">
        <v>174</v>
      </c>
      <c r="AA4" s="4155" t="s">
        <v>173</v>
      </c>
      <c r="AB4" s="4155" t="s">
        <v>174</v>
      </c>
      <c r="AC4" s="4141" t="s">
        <v>173</v>
      </c>
      <c r="AD4" s="4141" t="s">
        <v>174</v>
      </c>
      <c r="AE4" s="4153" t="s">
        <v>173</v>
      </c>
      <c r="AF4" s="4153" t="s">
        <v>174</v>
      </c>
      <c r="AG4" s="4141" t="s">
        <v>173</v>
      </c>
      <c r="AH4" s="4141" t="s">
        <v>174</v>
      </c>
      <c r="AI4" s="4153" t="s">
        <v>173</v>
      </c>
      <c r="AJ4" s="4153" t="s">
        <v>174</v>
      </c>
      <c r="AK4" s="4141" t="s">
        <v>173</v>
      </c>
      <c r="AL4" s="4141" t="s">
        <v>174</v>
      </c>
      <c r="AM4" s="4152" t="s">
        <v>173</v>
      </c>
      <c r="AN4" s="4152" t="s">
        <v>174</v>
      </c>
      <c r="AO4" s="4153" t="s">
        <v>173</v>
      </c>
      <c r="AP4" s="4153" t="s">
        <v>174</v>
      </c>
      <c r="AQ4" s="4141" t="s">
        <v>173</v>
      </c>
      <c r="AR4" s="4141" t="s">
        <v>174</v>
      </c>
      <c r="AS4" s="4153" t="s">
        <v>173</v>
      </c>
      <c r="AT4" s="4153" t="s">
        <v>174</v>
      </c>
      <c r="AU4" s="6194" t="s">
        <v>173</v>
      </c>
      <c r="AV4" s="6194" t="s">
        <v>174</v>
      </c>
      <c r="AW4" s="6195" t="s">
        <v>173</v>
      </c>
      <c r="AX4" s="6195" t="s">
        <v>174</v>
      </c>
      <c r="AY4" s="4141" t="s">
        <v>173</v>
      </c>
      <c r="AZ4" s="4141" t="s">
        <v>174</v>
      </c>
      <c r="BA4" s="4152" t="s">
        <v>173</v>
      </c>
      <c r="BB4" s="4152" t="s">
        <v>174</v>
      </c>
      <c r="BC4" s="4155" t="s">
        <v>173</v>
      </c>
      <c r="BD4" s="4155" t="s">
        <v>174</v>
      </c>
      <c r="BE4" s="4153" t="s">
        <v>173</v>
      </c>
      <c r="BF4" s="4153" t="s">
        <v>174</v>
      </c>
    </row>
    <row r="5" spans="1:62" x14ac:dyDescent="0.25">
      <c r="A5" s="154"/>
      <c r="B5" s="862" t="s">
        <v>317</v>
      </c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2"/>
      <c r="X5" s="862"/>
      <c r="Y5" s="862"/>
      <c r="Z5" s="862"/>
      <c r="AA5" s="862"/>
      <c r="AB5" s="862"/>
      <c r="AC5" s="862"/>
      <c r="AD5" s="862"/>
      <c r="AE5" s="862"/>
      <c r="AF5" s="862"/>
      <c r="AG5" s="862"/>
      <c r="AH5" s="862"/>
      <c r="AI5" s="862"/>
      <c r="AJ5" s="862"/>
      <c r="AK5" s="862"/>
      <c r="AL5" s="862"/>
      <c r="AM5" s="862"/>
      <c r="AN5" s="862"/>
      <c r="AO5" s="862"/>
      <c r="AP5" s="862"/>
      <c r="AQ5" s="862"/>
      <c r="AR5" s="862"/>
      <c r="AS5" s="862"/>
      <c r="AT5" s="862"/>
      <c r="AU5" s="862"/>
      <c r="AV5" s="862"/>
      <c r="AW5" s="862"/>
      <c r="AX5" s="862"/>
      <c r="AY5" s="862"/>
      <c r="AZ5" s="862"/>
      <c r="BA5" s="862"/>
      <c r="BB5" s="862"/>
      <c r="BC5" s="862"/>
      <c r="BD5" s="862"/>
      <c r="BE5" s="862"/>
      <c r="BF5" s="862"/>
    </row>
    <row r="6" spans="1:62" x14ac:dyDescent="0.25">
      <c r="A6" s="154"/>
      <c r="B6" s="4156" t="s">
        <v>114</v>
      </c>
      <c r="C6" s="4156"/>
      <c r="D6" s="4156"/>
      <c r="E6" s="4156"/>
      <c r="F6" s="4156"/>
      <c r="G6" s="4156"/>
      <c r="H6" s="4156"/>
      <c r="I6" s="4156"/>
      <c r="J6" s="4156"/>
      <c r="K6" s="4156"/>
      <c r="L6" s="4156"/>
      <c r="M6" s="4156"/>
      <c r="N6" s="4156"/>
      <c r="O6" s="4156"/>
      <c r="P6" s="4156"/>
      <c r="Q6" s="4156"/>
      <c r="R6" s="4156"/>
      <c r="S6" s="4156"/>
      <c r="T6" s="4156"/>
      <c r="U6" s="4156"/>
      <c r="V6" s="4156"/>
      <c r="W6" s="4156"/>
      <c r="X6" s="4156"/>
      <c r="Y6" s="4156"/>
      <c r="Z6" s="4156"/>
      <c r="AA6" s="4156"/>
      <c r="AB6" s="4156"/>
      <c r="AC6" s="4156"/>
      <c r="AD6" s="4156"/>
      <c r="AE6" s="4156"/>
      <c r="AF6" s="4156"/>
      <c r="AG6" s="4156"/>
      <c r="AH6" s="4156"/>
      <c r="AI6" s="4156"/>
      <c r="AJ6" s="4156"/>
      <c r="AK6" s="4156"/>
      <c r="AL6" s="4156"/>
      <c r="AM6" s="4156"/>
      <c r="AN6" s="4156"/>
      <c r="AO6" s="4156"/>
      <c r="AP6" s="4156"/>
      <c r="AQ6" s="4156"/>
      <c r="AR6" s="4156"/>
      <c r="AS6" s="4156"/>
      <c r="AT6" s="4156"/>
      <c r="AU6" s="4156"/>
      <c r="AV6" s="4156"/>
      <c r="AW6" s="4156"/>
      <c r="AX6" s="4156"/>
      <c r="AY6" s="4156"/>
      <c r="AZ6" s="4156"/>
      <c r="BA6" s="4156"/>
      <c r="BB6" s="4156"/>
      <c r="BC6" s="4156"/>
      <c r="BD6" s="4156"/>
      <c r="BE6" s="4156"/>
      <c r="BF6" s="4156"/>
    </row>
    <row r="7" spans="1:62" x14ac:dyDescent="0.25">
      <c r="A7" s="93"/>
      <c r="B7" s="1020" t="s">
        <v>75</v>
      </c>
      <c r="C7" s="159" t="s">
        <v>50</v>
      </c>
      <c r="D7" s="7492">
        <v>439000</v>
      </c>
      <c r="E7" s="7492">
        <f>'Maj Production Summ'!E30-E9-E10-E11</f>
        <v>36962.121212121208</v>
      </c>
      <c r="F7" s="1970">
        <v>23033.659999999996</v>
      </c>
      <c r="G7" s="7492">
        <f>'Maj Production Summ'!G30-G9-G10-G11</f>
        <v>44000</v>
      </c>
      <c r="H7" s="1970">
        <v>24090.429999999997</v>
      </c>
      <c r="I7" s="7511">
        <f>E7+G7</f>
        <v>80962.121212121216</v>
      </c>
      <c r="J7" s="2399">
        <f>F7+H7</f>
        <v>47124.09</v>
      </c>
      <c r="K7" s="7492">
        <f>'Maj Production Summ'!K30-K9-K10-K11</f>
        <v>29900</v>
      </c>
      <c r="L7" s="1970">
        <v>34701.909999999989</v>
      </c>
      <c r="M7" s="7292">
        <f>I7+K7</f>
        <v>110862.12121212122</v>
      </c>
      <c r="N7" s="4125">
        <f>J7+L7</f>
        <v>81825.999999999985</v>
      </c>
      <c r="O7" s="7492">
        <f>'Maj Production Summ'!O30-O9-O10-O11</f>
        <v>24900</v>
      </c>
      <c r="P7" s="1970">
        <v>34075.53</v>
      </c>
      <c r="Q7" s="7511">
        <f>M7+O7</f>
        <v>135762.12121212122</v>
      </c>
      <c r="R7" s="2399">
        <f>N7+P7</f>
        <v>115901.52999999998</v>
      </c>
      <c r="S7" s="7492">
        <f>'Maj Production Summ'!S30-S9-S10-S11</f>
        <v>40400</v>
      </c>
      <c r="T7" s="1970">
        <v>38663.840000000011</v>
      </c>
      <c r="U7" s="7511">
        <f>Q7+S7</f>
        <v>176162.12121212122</v>
      </c>
      <c r="V7" s="4890">
        <f>R7+T7</f>
        <v>154565.37</v>
      </c>
      <c r="W7" s="7492">
        <f>'Maj Production Summ'!W30-W9-W10-W11</f>
        <v>38800</v>
      </c>
      <c r="X7" s="1970">
        <v>35763.300000000003</v>
      </c>
      <c r="Y7" s="7292">
        <f>O7+S7+W7</f>
        <v>104100</v>
      </c>
      <c r="Z7" s="4125">
        <f>P7+T7+X7</f>
        <v>108502.67000000001</v>
      </c>
      <c r="AA7" s="7527">
        <f>M7+Y7</f>
        <v>214962.12121212122</v>
      </c>
      <c r="AB7" s="4157">
        <f>N7+Z7</f>
        <v>190328.66999999998</v>
      </c>
      <c r="AC7" s="7492">
        <f>'Maj Production Summ'!AC30-AC9-AC10-AC11</f>
        <v>40400</v>
      </c>
      <c r="AD7" s="1970">
        <v>36315.87000000001</v>
      </c>
      <c r="AE7" s="7511">
        <f>AA7+AC7</f>
        <v>255362.12121212122</v>
      </c>
      <c r="AF7" s="2399">
        <f>AB7+AD7</f>
        <v>226644.53999999998</v>
      </c>
      <c r="AG7" s="7492">
        <f>'Maj Production Summ'!AG30-AG9-AG10-AG11</f>
        <v>38900</v>
      </c>
      <c r="AH7" s="1970">
        <v>23772.86</v>
      </c>
      <c r="AI7" s="7493">
        <f>AE7+AG7</f>
        <v>294262.12121212122</v>
      </c>
      <c r="AJ7" s="2399">
        <f>AF7+AH7</f>
        <v>250417.39999999997</v>
      </c>
      <c r="AK7" s="7492">
        <f>'Maj Production Summ'!AK30-AK9-AK10-AK11</f>
        <v>40400</v>
      </c>
      <c r="AL7" s="1970">
        <v>32916.139999999992</v>
      </c>
      <c r="AM7" s="7292">
        <f>AC7+AG7+AK7</f>
        <v>119700</v>
      </c>
      <c r="AN7" s="4125">
        <f>AD7+AH7+AL7</f>
        <v>93004.87</v>
      </c>
      <c r="AO7" s="7511">
        <f>AI7+AK7</f>
        <v>334662.12121212122</v>
      </c>
      <c r="AP7" s="2399">
        <f>AJ7+AL7</f>
        <v>283333.53999999998</v>
      </c>
      <c r="AQ7" s="7492">
        <f>'Maj Production Summ'!AQ30-AQ9-AQ10-AQ11</f>
        <v>40300</v>
      </c>
      <c r="AR7" s="1970">
        <v>26457.329999999994</v>
      </c>
      <c r="AS7" s="7493">
        <f>AO7+AQ7</f>
        <v>374962.12121212122</v>
      </c>
      <c r="AT7" s="2399">
        <f>AP7+AR7</f>
        <v>309790.87</v>
      </c>
      <c r="AU7" s="7492">
        <f>'Maj Production Summ'!AU30-AU9-AU10-AU11</f>
        <v>35400</v>
      </c>
      <c r="AV7" s="1970">
        <v>26577.889999999992</v>
      </c>
      <c r="AW7" s="7493">
        <f>AS7+AU7</f>
        <v>410362.12121212122</v>
      </c>
      <c r="AX7" s="6193">
        <f>AT7+AV7</f>
        <v>336368.76</v>
      </c>
      <c r="AY7" s="7492">
        <f>'Maj Production Summ'!AY30-AY9-AY10-AY11</f>
        <v>40400</v>
      </c>
      <c r="AZ7" s="1970">
        <v>38260.699999999997</v>
      </c>
      <c r="BA7" s="7292">
        <f>AQ7+AU7+AY7</f>
        <v>116100</v>
      </c>
      <c r="BB7" s="4125">
        <f>AR7+AV7+AZ7</f>
        <v>91295.919999999984</v>
      </c>
      <c r="BC7" s="7527">
        <f>AM7+BA7</f>
        <v>235800</v>
      </c>
      <c r="BD7" s="4157">
        <f>AN7+BB7</f>
        <v>184300.78999999998</v>
      </c>
      <c r="BE7" s="7493">
        <f>AW7+AY7</f>
        <v>450762.12121212122</v>
      </c>
      <c r="BF7" s="2399">
        <f>AX7+AZ7</f>
        <v>374629.46</v>
      </c>
      <c r="BG7" s="4590"/>
      <c r="BH7" s="4590"/>
      <c r="BI7" s="4590"/>
      <c r="BJ7" s="4590"/>
    </row>
    <row r="8" spans="1:62" x14ac:dyDescent="0.25">
      <c r="A8" s="93"/>
      <c r="B8" s="1020" t="s">
        <v>76</v>
      </c>
      <c r="C8" s="159" t="s">
        <v>50</v>
      </c>
      <c r="D8" s="7492"/>
      <c r="E8" s="7492"/>
      <c r="F8" s="2400">
        <v>10258.599999999999</v>
      </c>
      <c r="G8" s="7492"/>
      <c r="H8" s="7166">
        <v>15162.2</v>
      </c>
      <c r="I8" s="7511"/>
      <c r="J8" s="2399">
        <f t="shared" ref="J8:J47" si="0">F8+H8</f>
        <v>25420.799999999999</v>
      </c>
      <c r="K8" s="7492"/>
      <c r="L8" s="4574">
        <v>3977.3399999999992</v>
      </c>
      <c r="M8" s="7292"/>
      <c r="N8" s="4125">
        <f t="shared" ref="N8:N11" si="1">J8+L8</f>
        <v>29398.14</v>
      </c>
      <c r="O8" s="7492"/>
      <c r="P8" s="4778">
        <v>7233.62</v>
      </c>
      <c r="Q8" s="7511"/>
      <c r="R8" s="2399">
        <f t="shared" ref="R8:R12" si="2">N8+P8</f>
        <v>36631.760000000002</v>
      </c>
      <c r="S8" s="7492"/>
      <c r="T8" s="4889">
        <v>1882.0400000000002</v>
      </c>
      <c r="U8" s="7511"/>
      <c r="V8" s="4890">
        <f t="shared" ref="V8:V12" si="3">R8+T8</f>
        <v>38513.800000000003</v>
      </c>
      <c r="W8" s="7492"/>
      <c r="X8" s="5026">
        <v>5564.7199999999993</v>
      </c>
      <c r="Y8" s="7292"/>
      <c r="Z8" s="4125">
        <f t="shared" ref="Z8:Z11" si="4">P8+T8+X8</f>
        <v>14680.38</v>
      </c>
      <c r="AA8" s="7527"/>
      <c r="AB8" s="4157">
        <f>N8+Z8</f>
        <v>44078.52</v>
      </c>
      <c r="AC8" s="7492"/>
      <c r="AD8" s="5337">
        <v>692.22</v>
      </c>
      <c r="AE8" s="7511"/>
      <c r="AF8" s="2399">
        <f t="shared" ref="AF8:AF12" si="5">AB8+AD8</f>
        <v>44770.74</v>
      </c>
      <c r="AG8" s="7492"/>
      <c r="AH8" s="5510">
        <v>6201.8600000000006</v>
      </c>
      <c r="AI8" s="7494"/>
      <c r="AJ8" s="2399">
        <f t="shared" ref="AJ8:AJ12" si="6">AF8+AH8</f>
        <v>50972.6</v>
      </c>
      <c r="AK8" s="7492"/>
      <c r="AL8" s="5911">
        <v>4378.0600000000004</v>
      </c>
      <c r="AM8" s="7292"/>
      <c r="AN8" s="4125">
        <f t="shared" ref="AN8:AN11" si="7">AD8+AH8+AL8</f>
        <v>11272.140000000001</v>
      </c>
      <c r="AO8" s="7511"/>
      <c r="AP8" s="2399">
        <f t="shared" ref="AP8:AP11" si="8">AJ8+AL8</f>
        <v>55350.659999999996</v>
      </c>
      <c r="AQ8" s="7492"/>
      <c r="AR8" s="6066">
        <v>10447.059999999998</v>
      </c>
      <c r="AS8" s="7494"/>
      <c r="AT8" s="2399">
        <f t="shared" ref="AT8:AT12" si="9">AP8+AR8</f>
        <v>65797.72</v>
      </c>
      <c r="AU8" s="7492"/>
      <c r="AV8" s="6189">
        <v>6389.4999999999991</v>
      </c>
      <c r="AW8" s="7494"/>
      <c r="AX8" s="6193">
        <f t="shared" ref="AX8:AX12" si="10">AT8+AV8</f>
        <v>72187.22</v>
      </c>
      <c r="AY8" s="7492"/>
      <c r="AZ8" s="6401">
        <v>6576.7199999999993</v>
      </c>
      <c r="BA8" s="7292"/>
      <c r="BB8" s="4125">
        <f t="shared" ref="BB8:BB11" si="11">AR8+AV8+AZ8</f>
        <v>23413.279999999999</v>
      </c>
      <c r="BC8" s="7527"/>
      <c r="BD8" s="4157">
        <f t="shared" ref="BD8:BD11" si="12">AN8+BB8</f>
        <v>34685.42</v>
      </c>
      <c r="BE8" s="7494"/>
      <c r="BF8" s="2399">
        <f t="shared" ref="BF8:BF12" si="13">AX8+AZ8</f>
        <v>78763.94</v>
      </c>
      <c r="BG8" s="4590"/>
      <c r="BH8" s="4590"/>
      <c r="BI8" s="4590"/>
      <c r="BJ8" s="4590"/>
    </row>
    <row r="9" spans="1:62" x14ac:dyDescent="0.25">
      <c r="A9" s="93"/>
      <c r="B9" s="1020" t="s">
        <v>137</v>
      </c>
      <c r="C9" s="159" t="s">
        <v>50</v>
      </c>
      <c r="D9" s="2400">
        <v>60000.000000000007</v>
      </c>
      <c r="E9" s="2400">
        <v>5454.545454545455</v>
      </c>
      <c r="F9" s="1970">
        <v>40.54</v>
      </c>
      <c r="G9" s="7166"/>
      <c r="H9" s="1970">
        <v>114.39</v>
      </c>
      <c r="I9" s="2399">
        <f>E9+G9</f>
        <v>5454.545454545455</v>
      </c>
      <c r="J9" s="2399">
        <f t="shared" si="0"/>
        <v>154.93</v>
      </c>
      <c r="K9" s="4574">
        <v>0</v>
      </c>
      <c r="L9" s="1970">
        <v>0</v>
      </c>
      <c r="M9" s="4125">
        <f>I9+K9</f>
        <v>5454.545454545455</v>
      </c>
      <c r="N9" s="4125">
        <f t="shared" si="1"/>
        <v>154.93</v>
      </c>
      <c r="O9" s="4778">
        <v>0</v>
      </c>
      <c r="P9" s="1970">
        <v>0</v>
      </c>
      <c r="Q9" s="2399">
        <f>M9+O9</f>
        <v>5454.545454545455</v>
      </c>
      <c r="R9" s="2399">
        <f t="shared" si="2"/>
        <v>154.93</v>
      </c>
      <c r="S9" s="4889">
        <v>5000</v>
      </c>
      <c r="T9" s="1970">
        <v>191.91</v>
      </c>
      <c r="U9" s="4890">
        <f>Q9+S9</f>
        <v>10454.545454545456</v>
      </c>
      <c r="V9" s="4890">
        <f t="shared" si="3"/>
        <v>346.84000000000003</v>
      </c>
      <c r="W9" s="5026">
        <v>5000</v>
      </c>
      <c r="X9" s="1970">
        <v>806.2</v>
      </c>
      <c r="Y9" s="4125">
        <f>O9+S9+W9</f>
        <v>10000</v>
      </c>
      <c r="Z9" s="4125">
        <f t="shared" si="4"/>
        <v>998.11</v>
      </c>
      <c r="AA9" s="4157">
        <f>M9+Y9</f>
        <v>15454.545454545456</v>
      </c>
      <c r="AB9" s="4157">
        <f>N9+Z9</f>
        <v>1153.04</v>
      </c>
      <c r="AC9" s="5337">
        <v>5000</v>
      </c>
      <c r="AD9" s="1970">
        <v>40.049999999999997</v>
      </c>
      <c r="AE9" s="2399">
        <f>AA9+AC9</f>
        <v>20454.545454545456</v>
      </c>
      <c r="AF9" s="2399">
        <f t="shared" si="5"/>
        <v>1193.0899999999999</v>
      </c>
      <c r="AG9" s="5510">
        <v>5000</v>
      </c>
      <c r="AH9" s="1970">
        <v>185.19</v>
      </c>
      <c r="AI9" s="2399">
        <f>AE9+AG9</f>
        <v>25454.545454545456</v>
      </c>
      <c r="AJ9" s="2399">
        <f t="shared" si="6"/>
        <v>1378.28</v>
      </c>
      <c r="AK9" s="5911">
        <v>5000</v>
      </c>
      <c r="AL9" s="1970">
        <v>95.860000000000014</v>
      </c>
      <c r="AM9" s="4125">
        <f>AC9+AG9+AK9</f>
        <v>15000</v>
      </c>
      <c r="AN9" s="4125">
        <f t="shared" si="7"/>
        <v>321.10000000000002</v>
      </c>
      <c r="AO9" s="2399">
        <f>AI9+AK9</f>
        <v>30454.545454545456</v>
      </c>
      <c r="AP9" s="2399">
        <f t="shared" si="8"/>
        <v>1474.1399999999999</v>
      </c>
      <c r="AQ9" s="6066">
        <v>5000</v>
      </c>
      <c r="AR9" s="1970">
        <v>121.22</v>
      </c>
      <c r="AS9" s="2399">
        <f>AO9+AQ9</f>
        <v>35454.545454545456</v>
      </c>
      <c r="AT9" s="2399">
        <f t="shared" si="9"/>
        <v>1595.36</v>
      </c>
      <c r="AU9" s="6189">
        <v>5000</v>
      </c>
      <c r="AV9" s="1970"/>
      <c r="AW9" s="6193">
        <f>AS9+AU9</f>
        <v>40454.545454545456</v>
      </c>
      <c r="AX9" s="6193">
        <f t="shared" si="10"/>
        <v>1595.36</v>
      </c>
      <c r="AY9" s="6401">
        <v>5000</v>
      </c>
      <c r="AZ9" s="1970">
        <v>0</v>
      </c>
      <c r="BA9" s="4125">
        <f>AQ9+AU9+AY9</f>
        <v>15000</v>
      </c>
      <c r="BB9" s="4125">
        <f t="shared" si="11"/>
        <v>121.22</v>
      </c>
      <c r="BC9" s="4157">
        <f t="shared" ref="BC9:BC11" si="14">AM9+BA9</f>
        <v>30000</v>
      </c>
      <c r="BD9" s="4157">
        <f t="shared" si="12"/>
        <v>442.32000000000005</v>
      </c>
      <c r="BE9" s="2399">
        <f>AW9+AY9</f>
        <v>45454.545454545456</v>
      </c>
      <c r="BF9" s="2399">
        <f t="shared" si="13"/>
        <v>1595.36</v>
      </c>
      <c r="BG9" s="4590"/>
      <c r="BH9" s="4590"/>
      <c r="BI9" s="4590"/>
      <c r="BJ9" s="4590"/>
    </row>
    <row r="10" spans="1:62" x14ac:dyDescent="0.25">
      <c r="A10" s="93"/>
      <c r="B10" s="1020" t="s">
        <v>77</v>
      </c>
      <c r="C10" s="159" t="s">
        <v>50</v>
      </c>
      <c r="D10" s="1970">
        <v>0</v>
      </c>
      <c r="E10" s="1970">
        <v>0</v>
      </c>
      <c r="F10" s="1970">
        <v>0</v>
      </c>
      <c r="G10" s="1970"/>
      <c r="H10" s="1970">
        <v>0</v>
      </c>
      <c r="I10" s="2399">
        <f>E10+G10</f>
        <v>0</v>
      </c>
      <c r="J10" s="2399">
        <f t="shared" si="0"/>
        <v>0</v>
      </c>
      <c r="K10" s="1970">
        <v>0</v>
      </c>
      <c r="L10" s="1970">
        <v>0</v>
      </c>
      <c r="M10" s="4125">
        <f>I10+K10</f>
        <v>0</v>
      </c>
      <c r="N10" s="4125">
        <f t="shared" si="1"/>
        <v>0</v>
      </c>
      <c r="O10" s="1970">
        <v>0</v>
      </c>
      <c r="P10" s="1970">
        <v>0</v>
      </c>
      <c r="Q10" s="2399">
        <f>M10+O10</f>
        <v>0</v>
      </c>
      <c r="R10" s="2399">
        <f t="shared" si="2"/>
        <v>0</v>
      </c>
      <c r="S10" s="1970">
        <v>0</v>
      </c>
      <c r="T10" s="1970">
        <v>0</v>
      </c>
      <c r="U10" s="4890">
        <f>Q10+S10</f>
        <v>0</v>
      </c>
      <c r="V10" s="4890">
        <f t="shared" si="3"/>
        <v>0</v>
      </c>
      <c r="W10" s="1970">
        <v>0</v>
      </c>
      <c r="X10" s="1970">
        <v>0</v>
      </c>
      <c r="Y10" s="4125">
        <f t="shared" ref="Y10:Y11" si="15">O10+S10+W10</f>
        <v>0</v>
      </c>
      <c r="Z10" s="4125">
        <f t="shared" si="4"/>
        <v>0</v>
      </c>
      <c r="AA10" s="4157">
        <f>M10+Y10</f>
        <v>0</v>
      </c>
      <c r="AB10" s="4157">
        <f>N10+Z10</f>
        <v>0</v>
      </c>
      <c r="AC10" s="1970">
        <v>0</v>
      </c>
      <c r="AD10" s="1970">
        <v>0</v>
      </c>
      <c r="AE10" s="2399">
        <f>AA10+AC10</f>
        <v>0</v>
      </c>
      <c r="AF10" s="2399">
        <f t="shared" si="5"/>
        <v>0</v>
      </c>
      <c r="AG10" s="1970">
        <v>0</v>
      </c>
      <c r="AH10" s="1970">
        <v>0</v>
      </c>
      <c r="AI10" s="2399">
        <f>AE10+AG10</f>
        <v>0</v>
      </c>
      <c r="AJ10" s="2399">
        <f t="shared" si="6"/>
        <v>0</v>
      </c>
      <c r="AK10" s="1970">
        <v>0</v>
      </c>
      <c r="AL10" s="1970">
        <v>0</v>
      </c>
      <c r="AM10" s="4125">
        <f t="shared" ref="AM10:AM11" si="16">AC10+AG10+AK10</f>
        <v>0</v>
      </c>
      <c r="AN10" s="4125">
        <f t="shared" si="7"/>
        <v>0</v>
      </c>
      <c r="AO10" s="2399">
        <f t="shared" ref="AO10:AO12" si="17">AI10+AK10</f>
        <v>0</v>
      </c>
      <c r="AP10" s="2399">
        <f t="shared" si="8"/>
        <v>0</v>
      </c>
      <c r="AQ10" s="1970">
        <v>0</v>
      </c>
      <c r="AR10" s="1970">
        <v>0</v>
      </c>
      <c r="AS10" s="2399">
        <f>AO10+AQ10</f>
        <v>0</v>
      </c>
      <c r="AT10" s="2399">
        <f t="shared" si="9"/>
        <v>0</v>
      </c>
      <c r="AU10" s="1970">
        <v>0</v>
      </c>
      <c r="AV10" s="1970">
        <v>0</v>
      </c>
      <c r="AW10" s="6193">
        <f>AS10+AU10</f>
        <v>0</v>
      </c>
      <c r="AX10" s="6193">
        <f t="shared" si="10"/>
        <v>0</v>
      </c>
      <c r="AY10" s="1970"/>
      <c r="AZ10" s="1970">
        <v>0</v>
      </c>
      <c r="BA10" s="4125">
        <f t="shared" ref="BA10:BA11" si="18">AQ10+AU10+AY10</f>
        <v>0</v>
      </c>
      <c r="BB10" s="4125">
        <f t="shared" si="11"/>
        <v>0</v>
      </c>
      <c r="BC10" s="4157">
        <f t="shared" si="14"/>
        <v>0</v>
      </c>
      <c r="BD10" s="4157">
        <f t="shared" si="12"/>
        <v>0</v>
      </c>
      <c r="BE10" s="2399">
        <f>AW10+AY10</f>
        <v>0</v>
      </c>
      <c r="BF10" s="2399">
        <f t="shared" si="13"/>
        <v>0</v>
      </c>
      <c r="BG10" s="4590"/>
      <c r="BH10" s="4590"/>
      <c r="BI10" s="4590"/>
      <c r="BJ10" s="4590"/>
    </row>
    <row r="11" spans="1:62" x14ac:dyDescent="0.25">
      <c r="A11" s="93"/>
      <c r="B11" s="1020" t="s">
        <v>1870</v>
      </c>
      <c r="C11" s="159" t="s">
        <v>50</v>
      </c>
      <c r="D11" s="4158">
        <v>1000.0000000000001</v>
      </c>
      <c r="E11" s="4158">
        <v>83.333333333333329</v>
      </c>
      <c r="F11" s="1970">
        <v>0</v>
      </c>
      <c r="G11" s="4158"/>
      <c r="H11" s="1970">
        <v>0</v>
      </c>
      <c r="I11" s="2399">
        <f t="shared" ref="I11:I12" si="19">E11+G11</f>
        <v>83.333333333333329</v>
      </c>
      <c r="J11" s="2399">
        <f t="shared" si="0"/>
        <v>0</v>
      </c>
      <c r="K11" s="4158">
        <v>100</v>
      </c>
      <c r="L11" s="1970">
        <v>0</v>
      </c>
      <c r="M11" s="4125">
        <f t="shared" ref="M11" si="20">I11+K11</f>
        <v>183.33333333333331</v>
      </c>
      <c r="N11" s="4125">
        <f t="shared" si="1"/>
        <v>0</v>
      </c>
      <c r="O11" s="4158">
        <v>100</v>
      </c>
      <c r="P11" s="1970">
        <v>0</v>
      </c>
      <c r="Q11" s="2399">
        <f t="shared" ref="Q11:Q12" si="21">M11+O11</f>
        <v>283.33333333333331</v>
      </c>
      <c r="R11" s="2399">
        <f t="shared" si="2"/>
        <v>0</v>
      </c>
      <c r="S11" s="4158">
        <v>100</v>
      </c>
      <c r="T11" s="1970">
        <v>0</v>
      </c>
      <c r="U11" s="4890">
        <f t="shared" ref="U11:U12" si="22">Q11+S11</f>
        <v>383.33333333333331</v>
      </c>
      <c r="V11" s="4890">
        <f t="shared" si="3"/>
        <v>0</v>
      </c>
      <c r="W11" s="4158">
        <v>200</v>
      </c>
      <c r="X11" s="1970">
        <v>0</v>
      </c>
      <c r="Y11" s="4125">
        <f t="shared" si="15"/>
        <v>400</v>
      </c>
      <c r="Z11" s="4125">
        <f t="shared" si="4"/>
        <v>0</v>
      </c>
      <c r="AA11" s="4157">
        <f>M11+Y11</f>
        <v>583.33333333333326</v>
      </c>
      <c r="AB11" s="4157">
        <f>N11+Z11</f>
        <v>0</v>
      </c>
      <c r="AC11" s="4158">
        <v>100</v>
      </c>
      <c r="AD11" s="1970">
        <v>0</v>
      </c>
      <c r="AE11" s="2399">
        <f t="shared" ref="AE11:AE12" si="23">AA11+AC11</f>
        <v>683.33333333333326</v>
      </c>
      <c r="AF11" s="2399">
        <f t="shared" si="5"/>
        <v>0</v>
      </c>
      <c r="AG11" s="4158">
        <v>100</v>
      </c>
      <c r="AH11" s="1970">
        <v>0</v>
      </c>
      <c r="AI11" s="2399">
        <f t="shared" ref="AI11:AI12" si="24">AE11+AG11</f>
        <v>783.33333333333326</v>
      </c>
      <c r="AJ11" s="2399">
        <f t="shared" si="6"/>
        <v>0</v>
      </c>
      <c r="AK11" s="4158">
        <v>100</v>
      </c>
      <c r="AL11" s="1970">
        <v>0</v>
      </c>
      <c r="AM11" s="4125">
        <f t="shared" si="16"/>
        <v>300</v>
      </c>
      <c r="AN11" s="4125">
        <f t="shared" si="7"/>
        <v>0</v>
      </c>
      <c r="AO11" s="2399">
        <f t="shared" si="17"/>
        <v>883.33333333333326</v>
      </c>
      <c r="AP11" s="2399">
        <f t="shared" si="8"/>
        <v>0</v>
      </c>
      <c r="AQ11" s="4158">
        <v>200</v>
      </c>
      <c r="AR11" s="1970">
        <v>0</v>
      </c>
      <c r="AS11" s="2399">
        <f t="shared" ref="AS11:AS12" si="25">AO11+AQ11</f>
        <v>1083.3333333333333</v>
      </c>
      <c r="AT11" s="2399">
        <f t="shared" si="9"/>
        <v>0</v>
      </c>
      <c r="AU11" s="4158">
        <v>100</v>
      </c>
      <c r="AV11" s="1970">
        <v>0</v>
      </c>
      <c r="AW11" s="6193">
        <f t="shared" ref="AW11:AW12" si="26">AS11+AU11</f>
        <v>1183.3333333333333</v>
      </c>
      <c r="AX11" s="6193">
        <f t="shared" si="10"/>
        <v>0</v>
      </c>
      <c r="AY11" s="4158">
        <v>100</v>
      </c>
      <c r="AZ11" s="1970">
        <v>0</v>
      </c>
      <c r="BA11" s="4125">
        <f t="shared" si="18"/>
        <v>400</v>
      </c>
      <c r="BB11" s="4125">
        <f t="shared" si="11"/>
        <v>0</v>
      </c>
      <c r="BC11" s="4157">
        <f t="shared" si="14"/>
        <v>700</v>
      </c>
      <c r="BD11" s="4157">
        <f t="shared" si="12"/>
        <v>0</v>
      </c>
      <c r="BE11" s="2399">
        <f t="shared" ref="BE11:BE12" si="27">AW11+AY11</f>
        <v>1283.3333333333333</v>
      </c>
      <c r="BF11" s="2399">
        <f t="shared" si="13"/>
        <v>0</v>
      </c>
      <c r="BG11" s="4590"/>
      <c r="BH11" s="4590"/>
      <c r="BI11" s="4590"/>
      <c r="BJ11" s="4590"/>
    </row>
    <row r="12" spans="1:62" ht="21.2" customHeight="1" x14ac:dyDescent="0.25">
      <c r="A12" s="93"/>
      <c r="B12" s="4159" t="s">
        <v>2</v>
      </c>
      <c r="C12" s="4141" t="s">
        <v>50</v>
      </c>
      <c r="D12" s="1826">
        <f>SUM(D7:D11)</f>
        <v>500000</v>
      </c>
      <c r="E12" s="1826">
        <f t="shared" ref="E12:F12" si="28">SUM(E7:E11)</f>
        <v>42500</v>
      </c>
      <c r="F12" s="1826">
        <f t="shared" si="28"/>
        <v>33332.799999999996</v>
      </c>
      <c r="G12" s="7164">
        <f t="shared" ref="G12:H12" si="29">SUM(G7:G11)</f>
        <v>44000</v>
      </c>
      <c r="H12" s="7164">
        <f t="shared" si="29"/>
        <v>39367.019999999997</v>
      </c>
      <c r="I12" s="376">
        <f t="shared" si="19"/>
        <v>86500</v>
      </c>
      <c r="J12" s="376">
        <f t="shared" si="0"/>
        <v>72699.819999999992</v>
      </c>
      <c r="K12" s="4571">
        <f t="shared" ref="K12:L12" si="30">SUM(K7:K11)</f>
        <v>30000</v>
      </c>
      <c r="L12" s="4571">
        <f t="shared" si="30"/>
        <v>38679.249999999985</v>
      </c>
      <c r="M12" s="378">
        <f>E12+G12+K12</f>
        <v>116500</v>
      </c>
      <c r="N12" s="378">
        <f>F12+H12+L12</f>
        <v>111379.06999999998</v>
      </c>
      <c r="O12" s="4775">
        <f t="shared" ref="O12:P12" si="31">SUM(O7:O11)</f>
        <v>25000</v>
      </c>
      <c r="P12" s="4775">
        <f t="shared" si="31"/>
        <v>41309.15</v>
      </c>
      <c r="Q12" s="376">
        <f t="shared" si="21"/>
        <v>141500</v>
      </c>
      <c r="R12" s="376">
        <f t="shared" si="2"/>
        <v>152688.21999999997</v>
      </c>
      <c r="S12" s="4884">
        <f t="shared" ref="S12:T12" si="32">SUM(S7:S11)</f>
        <v>45500</v>
      </c>
      <c r="T12" s="4884">
        <f t="shared" si="32"/>
        <v>40737.790000000015</v>
      </c>
      <c r="U12" s="4885">
        <f t="shared" si="22"/>
        <v>187000</v>
      </c>
      <c r="V12" s="4885">
        <f t="shared" si="3"/>
        <v>193426.00999999998</v>
      </c>
      <c r="W12" s="5023">
        <f t="shared" ref="W12:X12" si="33">SUM(W7:W11)</f>
        <v>44000</v>
      </c>
      <c r="X12" s="5023">
        <f t="shared" si="33"/>
        <v>42134.22</v>
      </c>
      <c r="Y12" s="378">
        <f>O12+S12+W12</f>
        <v>114500</v>
      </c>
      <c r="Z12" s="378">
        <f>P12+T12+X12</f>
        <v>124181.16000000002</v>
      </c>
      <c r="AA12" s="4160">
        <f>M12+Y12</f>
        <v>231000</v>
      </c>
      <c r="AB12" s="4160">
        <f>N12+Z12</f>
        <v>235560.22999999998</v>
      </c>
      <c r="AC12" s="5334">
        <f t="shared" ref="AC12:AD12" si="34">SUM(AC7:AC11)</f>
        <v>45500</v>
      </c>
      <c r="AD12" s="5334">
        <f t="shared" si="34"/>
        <v>37048.140000000014</v>
      </c>
      <c r="AE12" s="376">
        <f t="shared" si="23"/>
        <v>276500</v>
      </c>
      <c r="AF12" s="376">
        <f t="shared" si="5"/>
        <v>272608.37</v>
      </c>
      <c r="AG12" s="5507">
        <f t="shared" ref="AG12:AH12" si="35">SUM(AG7:AG11)</f>
        <v>44000</v>
      </c>
      <c r="AH12" s="5507">
        <f t="shared" si="35"/>
        <v>30159.91</v>
      </c>
      <c r="AI12" s="376">
        <f t="shared" si="24"/>
        <v>320500</v>
      </c>
      <c r="AJ12" s="376">
        <f t="shared" si="6"/>
        <v>302768.27999999997</v>
      </c>
      <c r="AK12" s="5908">
        <f t="shared" ref="AK12:AL12" si="36">SUM(AK7:AK11)</f>
        <v>45500</v>
      </c>
      <c r="AL12" s="5908">
        <f t="shared" si="36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7"/>
        <v>366000</v>
      </c>
      <c r="AP12" s="376">
        <f>AJ12+AL12</f>
        <v>340158.33999999997</v>
      </c>
      <c r="AQ12" s="6063">
        <f t="shared" ref="AQ12:AR12" si="37">SUM(AQ7:AQ11)</f>
        <v>45500</v>
      </c>
      <c r="AR12" s="6063">
        <f t="shared" si="37"/>
        <v>37025.609999999993</v>
      </c>
      <c r="AS12" s="376">
        <f t="shared" si="25"/>
        <v>411500</v>
      </c>
      <c r="AT12" s="376">
        <f t="shared" si="9"/>
        <v>377183.94999999995</v>
      </c>
      <c r="AU12" s="6185">
        <f t="shared" ref="AU12:AV12" si="38">SUM(AU7:AU11)</f>
        <v>40500</v>
      </c>
      <c r="AV12" s="6185">
        <f t="shared" si="38"/>
        <v>32967.389999999992</v>
      </c>
      <c r="AW12" s="6190">
        <f t="shared" si="26"/>
        <v>452000</v>
      </c>
      <c r="AX12" s="6190">
        <f t="shared" si="10"/>
        <v>410151.33999999997</v>
      </c>
      <c r="AY12" s="6399">
        <f t="shared" ref="AY12:AZ12" si="39">SUM(AY7:AY11)</f>
        <v>45500</v>
      </c>
      <c r="AZ12" s="6399">
        <f t="shared" si="39"/>
        <v>44837.42</v>
      </c>
      <c r="BA12" s="378">
        <f>AQ12+AU12+AY12</f>
        <v>131500</v>
      </c>
      <c r="BB12" s="378">
        <f>AR12+AV12+AZ12</f>
        <v>114830.41999999998</v>
      </c>
      <c r="BC12" s="4160">
        <f>AM12+BA12</f>
        <v>266500</v>
      </c>
      <c r="BD12" s="4160">
        <f>AN12+BB12</f>
        <v>219428.53</v>
      </c>
      <c r="BE12" s="376">
        <f t="shared" si="27"/>
        <v>497500</v>
      </c>
      <c r="BF12" s="376">
        <f t="shared" si="13"/>
        <v>454988.75999999995</v>
      </c>
      <c r="BG12" s="4590"/>
      <c r="BH12" s="4590"/>
      <c r="BI12" s="4590"/>
      <c r="BJ12" s="4590"/>
    </row>
    <row r="13" spans="1:62" x14ac:dyDescent="0.25">
      <c r="A13" s="2255"/>
      <c r="B13" s="4156" t="s">
        <v>95</v>
      </c>
      <c r="C13" s="4161"/>
      <c r="D13" s="4161"/>
      <c r="E13" s="4161"/>
      <c r="F13" s="4161"/>
      <c r="G13" s="4161"/>
      <c r="H13" s="4161"/>
      <c r="I13" s="4161"/>
      <c r="J13" s="4161"/>
      <c r="K13" s="4161"/>
      <c r="L13" s="4161"/>
      <c r="M13" s="4161"/>
      <c r="N13" s="4161"/>
      <c r="O13" s="4161"/>
      <c r="P13" s="4161"/>
      <c r="Q13" s="4161"/>
      <c r="R13" s="4161"/>
      <c r="S13" s="4161"/>
      <c r="T13" s="4161"/>
      <c r="U13" s="4161"/>
      <c r="V13" s="4161"/>
      <c r="W13" s="4161"/>
      <c r="X13" s="4161"/>
      <c r="Y13" s="4161"/>
      <c r="Z13" s="4161"/>
      <c r="AA13" s="4161"/>
      <c r="AB13" s="4161"/>
      <c r="AC13" s="4161"/>
      <c r="AD13" s="4161"/>
      <c r="AE13" s="4161"/>
      <c r="AF13" s="4161"/>
      <c r="AG13" s="4161"/>
      <c r="AH13" s="4161"/>
      <c r="AI13" s="4161"/>
      <c r="AJ13" s="4161"/>
      <c r="AK13" s="4161"/>
      <c r="AL13" s="4161"/>
      <c r="AM13" s="4161"/>
      <c r="AN13" s="4161"/>
      <c r="AO13" s="4161"/>
      <c r="AP13" s="4161"/>
      <c r="AQ13" s="4161"/>
      <c r="AR13" s="4161"/>
      <c r="AS13" s="4161"/>
      <c r="AT13" s="4161"/>
      <c r="AU13" s="4161"/>
      <c r="AV13" s="4161"/>
      <c r="AW13" s="4161"/>
      <c r="AX13" s="4161"/>
      <c r="AY13" s="4161"/>
      <c r="AZ13" s="4161"/>
      <c r="BA13" s="4161"/>
      <c r="BB13" s="4161"/>
      <c r="BC13" s="4161"/>
      <c r="BD13" s="4161"/>
      <c r="BE13" s="4161"/>
      <c r="BF13" s="4161"/>
      <c r="BG13" s="4590"/>
      <c r="BH13" s="4590"/>
      <c r="BI13" s="4590"/>
      <c r="BJ13" s="4590"/>
    </row>
    <row r="14" spans="1:62" x14ac:dyDescent="0.25">
      <c r="A14" s="93"/>
      <c r="B14" s="1020" t="s">
        <v>75</v>
      </c>
      <c r="C14" s="159" t="s">
        <v>50</v>
      </c>
      <c r="D14" s="7492">
        <v>895000</v>
      </c>
      <c r="E14" s="7492">
        <f>'Maj Production Summ'!E31-E16-E17-E18</f>
        <v>75545.454545454544</v>
      </c>
      <c r="F14" s="1970">
        <v>33652.829999999987</v>
      </c>
      <c r="G14" s="7492">
        <f>'Maj Production Summ'!G31-G16-G17-G18</f>
        <v>79000</v>
      </c>
      <c r="H14" s="1970">
        <v>32188.05999999999</v>
      </c>
      <c r="I14" s="7511">
        <f>E14+G14</f>
        <v>154545.45454545453</v>
      </c>
      <c r="J14" s="2399">
        <f t="shared" si="0"/>
        <v>65840.889999999985</v>
      </c>
      <c r="K14" s="7492">
        <f>'Maj Production Summ'!K31-K16-K17-K18</f>
        <v>48000</v>
      </c>
      <c r="L14" s="1970">
        <v>29101.510000000002</v>
      </c>
      <c r="M14" s="7292">
        <f>I14+K14</f>
        <v>202545.45454545453</v>
      </c>
      <c r="N14" s="4125">
        <f>F14+H14+L14</f>
        <v>94942.399999999994</v>
      </c>
      <c r="O14" s="7492">
        <f>'Maj Production Summ'!O31-O16-O17-O18</f>
        <v>37500</v>
      </c>
      <c r="P14" s="1970">
        <v>21891.719999999998</v>
      </c>
      <c r="Q14" s="7511">
        <f>M14+O14</f>
        <v>240045.45454545453</v>
      </c>
      <c r="R14" s="2399">
        <f t="shared" ref="R14:R19" si="40">N14+P14</f>
        <v>116834.12</v>
      </c>
      <c r="S14" s="7492">
        <f>'Maj Production Summ'!S31-S16-S17-S18</f>
        <v>79500</v>
      </c>
      <c r="T14" s="1970">
        <v>27341.88</v>
      </c>
      <c r="U14" s="7511">
        <f>Q14+S14</f>
        <v>319545.45454545453</v>
      </c>
      <c r="V14" s="4890">
        <f t="shared" ref="V14:V19" si="41">R14+T14</f>
        <v>144176</v>
      </c>
      <c r="W14" s="7492">
        <f>'Maj Production Summ'!W31-W16-W17-W18</f>
        <v>77000</v>
      </c>
      <c r="X14" s="1970">
        <v>32650.590000000004</v>
      </c>
      <c r="Y14" s="7292">
        <f t="shared" ref="Y14:Y18" si="42">O14+S14+W14</f>
        <v>194000</v>
      </c>
      <c r="Z14" s="4125">
        <f>P14+T14+X14</f>
        <v>81884.19</v>
      </c>
      <c r="AA14" s="7527">
        <f>M14+Y14</f>
        <v>396545.45454545453</v>
      </c>
      <c r="AB14" s="4157">
        <f>N14+Z14</f>
        <v>176826.59</v>
      </c>
      <c r="AC14" s="7492">
        <f>'Maj Production Summ'!AC31-AC16-AC17-AC18</f>
        <v>79500</v>
      </c>
      <c r="AD14" s="1970">
        <v>33850.5</v>
      </c>
      <c r="AE14" s="7511">
        <f>AA14+AC14</f>
        <v>476045.45454545453</v>
      </c>
      <c r="AF14" s="2399">
        <f t="shared" ref="AF14:AF19" si="43">AB14+AD14</f>
        <v>210677.09</v>
      </c>
      <c r="AG14" s="7492">
        <f>'Maj Production Summ'!AG31-AG16-AG17-AG18</f>
        <v>77000</v>
      </c>
      <c r="AH14" s="1970">
        <v>5582.77</v>
      </c>
      <c r="AI14" s="7493">
        <f>AE14+AG14</f>
        <v>553045.45454545459</v>
      </c>
      <c r="AJ14" s="2399">
        <f t="shared" ref="AJ14:AJ19" si="44">AF14+AH14</f>
        <v>216259.86</v>
      </c>
      <c r="AK14" s="7492">
        <f>'Maj Production Summ'!AK31-AK16-AK17-AK18</f>
        <v>79500</v>
      </c>
      <c r="AL14" s="1970">
        <v>31956.660000000007</v>
      </c>
      <c r="AM14" s="7292">
        <f t="shared" ref="AM14:AM18" si="45">AC14+AG14+AK14</f>
        <v>236000</v>
      </c>
      <c r="AN14" s="4125">
        <f>AD14+AH14+AL14</f>
        <v>71389.930000000008</v>
      </c>
      <c r="AO14" s="7511">
        <f>AI14+AK14</f>
        <v>632545.45454545459</v>
      </c>
      <c r="AP14" s="2399">
        <f>AJ14+AL14</f>
        <v>248216.52</v>
      </c>
      <c r="AQ14" s="7492">
        <f>'Maj Production Summ'!AQ31-AQ16-AQ17-AQ18</f>
        <v>79500</v>
      </c>
      <c r="AR14" s="1970">
        <v>37460.160000000003</v>
      </c>
      <c r="AS14" s="7493">
        <f>AO14+AQ14</f>
        <v>712045.45454545459</v>
      </c>
      <c r="AT14" s="2399">
        <f t="shared" ref="AT14:AT19" si="46">AP14+AR14</f>
        <v>285676.68</v>
      </c>
      <c r="AU14" s="7492">
        <f>'Maj Production Summ'!AU31-AU16-AU17-AU18</f>
        <v>72000</v>
      </c>
      <c r="AV14" s="1970">
        <v>30832.160000000003</v>
      </c>
      <c r="AW14" s="7493">
        <f>AS14+AU14</f>
        <v>784045.45454545459</v>
      </c>
      <c r="AX14" s="6193">
        <f t="shared" ref="AX14:AX19" si="47">AT14+AV14</f>
        <v>316508.83999999997</v>
      </c>
      <c r="AY14" s="7492">
        <f>'Maj Production Summ'!AY31-AY16-AY17-AY18</f>
        <v>79500</v>
      </c>
      <c r="AZ14" s="1970">
        <v>45659.229999999996</v>
      </c>
      <c r="BA14" s="7292">
        <f t="shared" ref="BA14:BA18" si="48">AQ14+AU14+AY14</f>
        <v>231000</v>
      </c>
      <c r="BB14" s="4125">
        <f>AR14+AV14+AZ14</f>
        <v>113951.55</v>
      </c>
      <c r="BC14" s="7527">
        <f>AM14+BA14</f>
        <v>467000</v>
      </c>
      <c r="BD14" s="4157">
        <f t="shared" ref="BD14:BD18" si="49">AN14+BB14</f>
        <v>185341.48</v>
      </c>
      <c r="BE14" s="7493">
        <f>AW14+AY14</f>
        <v>863545.45454545459</v>
      </c>
      <c r="BF14" s="2399">
        <f t="shared" ref="BF14:BF19" si="50">AX14+AZ14</f>
        <v>362168.06999999995</v>
      </c>
      <c r="BG14" s="4590"/>
      <c r="BH14" s="4590"/>
      <c r="BI14" s="4590"/>
      <c r="BJ14" s="4590"/>
    </row>
    <row r="15" spans="1:62" x14ac:dyDescent="0.25">
      <c r="A15" s="93"/>
      <c r="B15" s="1020" t="s">
        <v>76</v>
      </c>
      <c r="C15" s="159" t="s">
        <v>50</v>
      </c>
      <c r="D15" s="7492"/>
      <c r="E15" s="7492"/>
      <c r="F15" s="2400">
        <v>26358.380000000005</v>
      </c>
      <c r="G15" s="7492"/>
      <c r="H15" s="7166">
        <v>35159.839999999997</v>
      </c>
      <c r="I15" s="7511"/>
      <c r="J15" s="2399">
        <f t="shared" si="0"/>
        <v>61518.22</v>
      </c>
      <c r="K15" s="7492"/>
      <c r="L15" s="4574">
        <v>16244.7</v>
      </c>
      <c r="M15" s="7292"/>
      <c r="N15" s="4125">
        <f t="shared" ref="N15:N18" si="51">F15+H15+L15</f>
        <v>77762.92</v>
      </c>
      <c r="O15" s="7492"/>
      <c r="P15" s="4778">
        <v>47440.270000000004</v>
      </c>
      <c r="Q15" s="7511"/>
      <c r="R15" s="2399">
        <f t="shared" si="40"/>
        <v>125203.19</v>
      </c>
      <c r="S15" s="7492"/>
      <c r="T15" s="4889">
        <v>46372.01</v>
      </c>
      <c r="U15" s="7511"/>
      <c r="V15" s="4890">
        <f t="shared" si="41"/>
        <v>171575.2</v>
      </c>
      <c r="W15" s="7492"/>
      <c r="X15" s="5026">
        <v>33922.770000000004</v>
      </c>
      <c r="Y15" s="7292">
        <f t="shared" si="42"/>
        <v>0</v>
      </c>
      <c r="Z15" s="4125">
        <f t="shared" ref="Z15:Z18" si="52">P15+T15+X15</f>
        <v>127735.05</v>
      </c>
      <c r="AA15" s="7527"/>
      <c r="AB15" s="4157">
        <f t="shared" ref="AB15:AB18" si="53">N15+Z15</f>
        <v>205497.97</v>
      </c>
      <c r="AC15" s="7492"/>
      <c r="AD15" s="5337">
        <v>30225.97</v>
      </c>
      <c r="AE15" s="7511"/>
      <c r="AF15" s="2399">
        <f t="shared" si="43"/>
        <v>235723.94</v>
      </c>
      <c r="AG15" s="7492"/>
      <c r="AH15" s="5510">
        <v>5230.46</v>
      </c>
      <c r="AI15" s="7494"/>
      <c r="AJ15" s="2399">
        <f t="shared" si="44"/>
        <v>240954.4</v>
      </c>
      <c r="AK15" s="7492"/>
      <c r="AL15" s="5911">
        <v>35296.080000000009</v>
      </c>
      <c r="AM15" s="7292">
        <f t="shared" si="45"/>
        <v>0</v>
      </c>
      <c r="AN15" s="4125">
        <f t="shared" ref="AN15:AN18" si="54">AD15+AH15+AL15</f>
        <v>70752.510000000009</v>
      </c>
      <c r="AO15" s="7511"/>
      <c r="AP15" s="2399">
        <f t="shared" ref="AP15:AP19" si="55">AJ15+AL15</f>
        <v>276250.48</v>
      </c>
      <c r="AQ15" s="7492"/>
      <c r="AR15" s="6066">
        <v>33364.089999999997</v>
      </c>
      <c r="AS15" s="7494"/>
      <c r="AT15" s="2399">
        <f t="shared" si="46"/>
        <v>309614.56999999995</v>
      </c>
      <c r="AU15" s="7492"/>
      <c r="AV15" s="6189">
        <v>27384.699999999997</v>
      </c>
      <c r="AW15" s="7494"/>
      <c r="AX15" s="6193">
        <f t="shared" si="47"/>
        <v>336999.26999999996</v>
      </c>
      <c r="AY15" s="7492"/>
      <c r="AZ15" s="6401">
        <v>38549.189999999995</v>
      </c>
      <c r="BA15" s="7292">
        <f t="shared" si="48"/>
        <v>0</v>
      </c>
      <c r="BB15" s="4125">
        <f t="shared" ref="BB15:BB18" si="56">AR15+AV15+AZ15</f>
        <v>99297.979999999981</v>
      </c>
      <c r="BC15" s="7527"/>
      <c r="BD15" s="4157">
        <f t="shared" si="49"/>
        <v>170050.49</v>
      </c>
      <c r="BE15" s="7494"/>
      <c r="BF15" s="2399">
        <f t="shared" si="50"/>
        <v>375548.45999999996</v>
      </c>
      <c r="BG15" s="4590"/>
      <c r="BH15" s="4590"/>
      <c r="BI15" s="4590"/>
      <c r="BJ15" s="4590"/>
    </row>
    <row r="16" spans="1:62" x14ac:dyDescent="0.25">
      <c r="A16" s="93"/>
      <c r="B16" s="1020" t="s">
        <v>137</v>
      </c>
      <c r="C16" s="159" t="s">
        <v>50</v>
      </c>
      <c r="D16" s="2400">
        <v>5000.0000000000009</v>
      </c>
      <c r="E16" s="2400">
        <v>454.54545454545456</v>
      </c>
      <c r="F16" s="1970"/>
      <c r="G16" s="7166"/>
      <c r="H16" s="1970"/>
      <c r="I16" s="2399">
        <f t="shared" ref="I16:I19" si="57">E16+G16</f>
        <v>454.54545454545456</v>
      </c>
      <c r="J16" s="2399">
        <f t="shared" si="0"/>
        <v>0</v>
      </c>
      <c r="K16" s="4574">
        <v>0</v>
      </c>
      <c r="L16" s="1970">
        <v>0</v>
      </c>
      <c r="M16" s="4125">
        <f t="shared" ref="M16:M18" si="58">I16+K16</f>
        <v>454.54545454545456</v>
      </c>
      <c r="N16" s="4125">
        <f t="shared" si="51"/>
        <v>0</v>
      </c>
      <c r="O16" s="4778">
        <v>0</v>
      </c>
      <c r="P16" s="1970">
        <v>0</v>
      </c>
      <c r="Q16" s="2399">
        <f t="shared" ref="Q16:Q19" si="59">M16+O16</f>
        <v>454.54545454545456</v>
      </c>
      <c r="R16" s="2399">
        <f t="shared" si="40"/>
        <v>0</v>
      </c>
      <c r="S16" s="4889">
        <v>500</v>
      </c>
      <c r="T16" s="1970">
        <v>0</v>
      </c>
      <c r="U16" s="4890">
        <f t="shared" ref="U16:U19" si="60">Q16+S16</f>
        <v>954.5454545454545</v>
      </c>
      <c r="V16" s="4890">
        <f t="shared" si="41"/>
        <v>0</v>
      </c>
      <c r="W16" s="5026">
        <v>500</v>
      </c>
      <c r="X16" s="1970">
        <v>0</v>
      </c>
      <c r="Y16" s="4125">
        <f t="shared" si="42"/>
        <v>1000</v>
      </c>
      <c r="Z16" s="4125">
        <f t="shared" si="52"/>
        <v>0</v>
      </c>
      <c r="AA16" s="4157">
        <f>M16+Y16</f>
        <v>1454.5454545454545</v>
      </c>
      <c r="AB16" s="4157">
        <f t="shared" si="53"/>
        <v>0</v>
      </c>
      <c r="AC16" s="5337">
        <v>500</v>
      </c>
      <c r="AD16" s="1970">
        <v>0</v>
      </c>
      <c r="AE16" s="2399">
        <f t="shared" ref="AE16:AE19" si="61">AA16+AC16</f>
        <v>1954.5454545454545</v>
      </c>
      <c r="AF16" s="2399">
        <f t="shared" si="43"/>
        <v>0</v>
      </c>
      <c r="AG16" s="5510">
        <v>500</v>
      </c>
      <c r="AH16" s="1970">
        <v>0</v>
      </c>
      <c r="AI16" s="2399">
        <f t="shared" ref="AI16:AI19" si="62">AE16+AG16</f>
        <v>2454.5454545454545</v>
      </c>
      <c r="AJ16" s="2399">
        <f t="shared" si="44"/>
        <v>0</v>
      </c>
      <c r="AK16" s="5911">
        <v>500</v>
      </c>
      <c r="AL16" s="1970">
        <v>0</v>
      </c>
      <c r="AM16" s="4125">
        <f t="shared" si="45"/>
        <v>1500</v>
      </c>
      <c r="AN16" s="4125">
        <f t="shared" si="54"/>
        <v>0</v>
      </c>
      <c r="AO16" s="2399">
        <f>AI16+AK16</f>
        <v>2954.5454545454545</v>
      </c>
      <c r="AP16" s="2399">
        <f t="shared" si="55"/>
        <v>0</v>
      </c>
      <c r="AQ16" s="6066">
        <v>500</v>
      </c>
      <c r="AR16" s="1970">
        <v>53.43</v>
      </c>
      <c r="AS16" s="2399">
        <f t="shared" ref="AS16:AS19" si="63">AO16+AQ16</f>
        <v>3454.5454545454545</v>
      </c>
      <c r="AT16" s="2399">
        <f t="shared" si="46"/>
        <v>53.43</v>
      </c>
      <c r="AU16" s="6189">
        <v>500</v>
      </c>
      <c r="AV16" s="1970"/>
      <c r="AW16" s="6193">
        <f t="shared" ref="AW16:AW19" si="64">AS16+AU16</f>
        <v>3954.5454545454545</v>
      </c>
      <c r="AX16" s="6193">
        <f t="shared" si="47"/>
        <v>53.43</v>
      </c>
      <c r="AY16" s="6401">
        <v>500</v>
      </c>
      <c r="AZ16" s="1970">
        <v>0</v>
      </c>
      <c r="BA16" s="4125">
        <f t="shared" si="48"/>
        <v>1500</v>
      </c>
      <c r="BB16" s="4125">
        <f t="shared" si="56"/>
        <v>53.43</v>
      </c>
      <c r="BC16" s="4157">
        <f t="shared" ref="BC16:BC18" si="65">AM16+BA16</f>
        <v>3000</v>
      </c>
      <c r="BD16" s="4157">
        <f t="shared" si="49"/>
        <v>53.43</v>
      </c>
      <c r="BE16" s="2399">
        <f t="shared" ref="BE16:BE19" si="66">AW16+AY16</f>
        <v>4454.545454545454</v>
      </c>
      <c r="BF16" s="2399">
        <f t="shared" si="50"/>
        <v>53.43</v>
      </c>
      <c r="BG16" s="4590"/>
      <c r="BH16" s="4590"/>
      <c r="BI16" s="4590"/>
      <c r="BJ16" s="4590"/>
    </row>
    <row r="17" spans="1:63" x14ac:dyDescent="0.25">
      <c r="A17" s="93"/>
      <c r="B17" s="1020" t="s">
        <v>77</v>
      </c>
      <c r="C17" s="159" t="s">
        <v>50</v>
      </c>
      <c r="D17" s="1970">
        <v>0</v>
      </c>
      <c r="E17" s="1970">
        <v>0</v>
      </c>
      <c r="F17" s="1970"/>
      <c r="G17" s="1970"/>
      <c r="H17" s="1970"/>
      <c r="I17" s="2399">
        <f t="shared" si="57"/>
        <v>0</v>
      </c>
      <c r="J17" s="2399">
        <f t="shared" si="0"/>
        <v>0</v>
      </c>
      <c r="K17" s="1970">
        <v>0</v>
      </c>
      <c r="L17" s="1970">
        <v>0</v>
      </c>
      <c r="M17" s="4125">
        <f t="shared" si="58"/>
        <v>0</v>
      </c>
      <c r="N17" s="4125">
        <f t="shared" si="51"/>
        <v>0</v>
      </c>
      <c r="O17" s="1970">
        <v>0</v>
      </c>
      <c r="P17" s="1970">
        <v>0</v>
      </c>
      <c r="Q17" s="2399">
        <f t="shared" si="59"/>
        <v>0</v>
      </c>
      <c r="R17" s="2399">
        <f t="shared" si="40"/>
        <v>0</v>
      </c>
      <c r="S17" s="1970">
        <v>0</v>
      </c>
      <c r="T17" s="1970">
        <v>0</v>
      </c>
      <c r="U17" s="4890">
        <f t="shared" si="60"/>
        <v>0</v>
      </c>
      <c r="V17" s="4890">
        <f t="shared" si="41"/>
        <v>0</v>
      </c>
      <c r="W17" s="1970">
        <v>0</v>
      </c>
      <c r="X17" s="1970">
        <v>0</v>
      </c>
      <c r="Y17" s="4125">
        <f t="shared" si="42"/>
        <v>0</v>
      </c>
      <c r="Z17" s="4125">
        <f t="shared" si="52"/>
        <v>0</v>
      </c>
      <c r="AA17" s="4157">
        <f>M17+Y17</f>
        <v>0</v>
      </c>
      <c r="AB17" s="4157">
        <f t="shared" si="53"/>
        <v>0</v>
      </c>
      <c r="AC17" s="1970">
        <v>0</v>
      </c>
      <c r="AD17" s="1970">
        <v>0</v>
      </c>
      <c r="AE17" s="2399">
        <f t="shared" si="61"/>
        <v>0</v>
      </c>
      <c r="AF17" s="2399">
        <f t="shared" si="43"/>
        <v>0</v>
      </c>
      <c r="AG17" s="1970">
        <v>0</v>
      </c>
      <c r="AH17" s="1970">
        <v>0</v>
      </c>
      <c r="AI17" s="2399">
        <f t="shared" si="62"/>
        <v>0</v>
      </c>
      <c r="AJ17" s="2399">
        <f t="shared" si="44"/>
        <v>0</v>
      </c>
      <c r="AK17" s="1970">
        <v>0</v>
      </c>
      <c r="AL17" s="1970">
        <v>0</v>
      </c>
      <c r="AM17" s="4125">
        <f t="shared" si="45"/>
        <v>0</v>
      </c>
      <c r="AN17" s="4125">
        <f t="shared" si="54"/>
        <v>0</v>
      </c>
      <c r="AO17" s="2399">
        <f t="shared" ref="AO17:AO19" si="67">AI17+AK17</f>
        <v>0</v>
      </c>
      <c r="AP17" s="2399">
        <f t="shared" si="55"/>
        <v>0</v>
      </c>
      <c r="AQ17" s="1970">
        <v>0</v>
      </c>
      <c r="AR17" s="1970">
        <v>0</v>
      </c>
      <c r="AS17" s="2399">
        <f t="shared" si="63"/>
        <v>0</v>
      </c>
      <c r="AT17" s="2399">
        <f t="shared" si="46"/>
        <v>0</v>
      </c>
      <c r="AU17" s="1970">
        <v>0</v>
      </c>
      <c r="AV17" s="1970"/>
      <c r="AW17" s="6193">
        <f t="shared" si="64"/>
        <v>0</v>
      </c>
      <c r="AX17" s="6193">
        <f t="shared" si="47"/>
        <v>0</v>
      </c>
      <c r="AY17" s="1970">
        <v>0</v>
      </c>
      <c r="AZ17" s="1970">
        <v>0</v>
      </c>
      <c r="BA17" s="4125">
        <f t="shared" si="48"/>
        <v>0</v>
      </c>
      <c r="BB17" s="4125">
        <f t="shared" si="56"/>
        <v>0</v>
      </c>
      <c r="BC17" s="4157">
        <f t="shared" si="65"/>
        <v>0</v>
      </c>
      <c r="BD17" s="4157">
        <f t="shared" si="49"/>
        <v>0</v>
      </c>
      <c r="BE17" s="2399">
        <f t="shared" si="66"/>
        <v>0</v>
      </c>
      <c r="BF17" s="2399">
        <f t="shared" si="50"/>
        <v>0</v>
      </c>
      <c r="BG17" s="4590"/>
      <c r="BH17" s="4590"/>
      <c r="BI17" s="4590"/>
      <c r="BJ17" s="4590"/>
    </row>
    <row r="18" spans="1:63" x14ac:dyDescent="0.25">
      <c r="A18" s="93"/>
      <c r="B18" s="1020" t="s">
        <v>1870</v>
      </c>
      <c r="C18" s="159" t="s">
        <v>50</v>
      </c>
      <c r="D18" s="2400">
        <v>0</v>
      </c>
      <c r="E18" s="2400">
        <v>0</v>
      </c>
      <c r="F18" s="1970"/>
      <c r="G18" s="7166"/>
      <c r="H18" s="1970"/>
      <c r="I18" s="2399">
        <f t="shared" si="57"/>
        <v>0</v>
      </c>
      <c r="J18" s="2399">
        <f t="shared" si="0"/>
        <v>0</v>
      </c>
      <c r="K18" s="4574">
        <v>0</v>
      </c>
      <c r="L18" s="1970">
        <v>0</v>
      </c>
      <c r="M18" s="4125">
        <f t="shared" si="58"/>
        <v>0</v>
      </c>
      <c r="N18" s="4125">
        <f t="shared" si="51"/>
        <v>0</v>
      </c>
      <c r="O18" s="4778">
        <v>0</v>
      </c>
      <c r="P18" s="1970">
        <v>0</v>
      </c>
      <c r="Q18" s="2399">
        <f t="shared" si="59"/>
        <v>0</v>
      </c>
      <c r="R18" s="2399">
        <f t="shared" si="40"/>
        <v>0</v>
      </c>
      <c r="S18" s="4889">
        <v>0</v>
      </c>
      <c r="T18" s="1970">
        <v>0</v>
      </c>
      <c r="U18" s="4890">
        <f t="shared" si="60"/>
        <v>0</v>
      </c>
      <c r="V18" s="4890">
        <f t="shared" si="41"/>
        <v>0</v>
      </c>
      <c r="W18" s="5026">
        <v>0</v>
      </c>
      <c r="X18" s="1970">
        <v>0</v>
      </c>
      <c r="Y18" s="4125">
        <f t="shared" si="42"/>
        <v>0</v>
      </c>
      <c r="Z18" s="4125">
        <f t="shared" si="52"/>
        <v>0</v>
      </c>
      <c r="AA18" s="4157">
        <f>M18+Y18</f>
        <v>0</v>
      </c>
      <c r="AB18" s="4157">
        <f t="shared" si="53"/>
        <v>0</v>
      </c>
      <c r="AC18" s="5337"/>
      <c r="AD18" s="1970">
        <v>0</v>
      </c>
      <c r="AE18" s="2399">
        <f t="shared" si="61"/>
        <v>0</v>
      </c>
      <c r="AF18" s="2399">
        <f t="shared" si="43"/>
        <v>0</v>
      </c>
      <c r="AG18" s="5510">
        <v>0</v>
      </c>
      <c r="AH18" s="1970">
        <v>0</v>
      </c>
      <c r="AI18" s="2399">
        <f t="shared" si="62"/>
        <v>0</v>
      </c>
      <c r="AJ18" s="2399">
        <f t="shared" si="44"/>
        <v>0</v>
      </c>
      <c r="AK18" s="5911">
        <v>0</v>
      </c>
      <c r="AL18" s="1970">
        <v>0</v>
      </c>
      <c r="AM18" s="4125">
        <f t="shared" si="45"/>
        <v>0</v>
      </c>
      <c r="AN18" s="4125">
        <f t="shared" si="54"/>
        <v>0</v>
      </c>
      <c r="AO18" s="2399">
        <f t="shared" si="67"/>
        <v>0</v>
      </c>
      <c r="AP18" s="2399">
        <f t="shared" si="55"/>
        <v>0</v>
      </c>
      <c r="AQ18" s="6066">
        <v>0</v>
      </c>
      <c r="AR18" s="1970">
        <v>0</v>
      </c>
      <c r="AS18" s="2399">
        <f t="shared" si="63"/>
        <v>0</v>
      </c>
      <c r="AT18" s="2399">
        <f t="shared" si="46"/>
        <v>0</v>
      </c>
      <c r="AU18" s="6189">
        <v>0</v>
      </c>
      <c r="AV18" s="1970"/>
      <c r="AW18" s="6193">
        <f t="shared" si="64"/>
        <v>0</v>
      </c>
      <c r="AX18" s="6193">
        <f t="shared" si="47"/>
        <v>0</v>
      </c>
      <c r="AY18" s="6401">
        <v>0</v>
      </c>
      <c r="AZ18" s="1970">
        <v>0</v>
      </c>
      <c r="BA18" s="4125">
        <f t="shared" si="48"/>
        <v>0</v>
      </c>
      <c r="BB18" s="4125">
        <f t="shared" si="56"/>
        <v>0</v>
      </c>
      <c r="BC18" s="4157">
        <f t="shared" si="65"/>
        <v>0</v>
      </c>
      <c r="BD18" s="4157">
        <f t="shared" si="49"/>
        <v>0</v>
      </c>
      <c r="BE18" s="2399">
        <f t="shared" si="66"/>
        <v>0</v>
      </c>
      <c r="BF18" s="2399">
        <f t="shared" si="50"/>
        <v>0</v>
      </c>
      <c r="BG18" s="4590"/>
      <c r="BH18" s="4590"/>
      <c r="BI18" s="4590"/>
      <c r="BJ18" s="4590"/>
    </row>
    <row r="19" spans="1:63" ht="21.2" customHeight="1" x14ac:dyDescent="0.25">
      <c r="A19" s="93"/>
      <c r="B19" s="4159" t="s">
        <v>2</v>
      </c>
      <c r="C19" s="4141" t="s">
        <v>50</v>
      </c>
      <c r="D19" s="1826">
        <f>SUM(D14:D18)</f>
        <v>900000</v>
      </c>
      <c r="E19" s="1826">
        <f t="shared" ref="E19:F19" si="68">SUM(E14:E18)</f>
        <v>76000</v>
      </c>
      <c r="F19" s="1826">
        <f t="shared" si="68"/>
        <v>60011.209999999992</v>
      </c>
      <c r="G19" s="7164">
        <f t="shared" ref="G19:H19" si="69">SUM(G14:G18)</f>
        <v>79000</v>
      </c>
      <c r="H19" s="7164">
        <f t="shared" si="69"/>
        <v>67347.899999999994</v>
      </c>
      <c r="I19" s="376">
        <f t="shared" si="57"/>
        <v>155000</v>
      </c>
      <c r="J19" s="376">
        <f t="shared" si="0"/>
        <v>127359.10999999999</v>
      </c>
      <c r="K19" s="4571">
        <f t="shared" ref="K19:L19" si="70">SUM(K14:K18)</f>
        <v>48000</v>
      </c>
      <c r="L19" s="4571">
        <f t="shared" si="70"/>
        <v>45346.210000000006</v>
      </c>
      <c r="M19" s="378">
        <f>E19+G19+K19</f>
        <v>203000</v>
      </c>
      <c r="N19" s="378">
        <f>F19+H19+L19</f>
        <v>172705.32</v>
      </c>
      <c r="O19" s="4775">
        <f t="shared" ref="O19:P19" si="71">SUM(O14:O18)</f>
        <v>37500</v>
      </c>
      <c r="P19" s="4775">
        <f t="shared" si="71"/>
        <v>69331.990000000005</v>
      </c>
      <c r="Q19" s="376">
        <f t="shared" si="59"/>
        <v>240500</v>
      </c>
      <c r="R19" s="376">
        <f t="shared" si="40"/>
        <v>242037.31</v>
      </c>
      <c r="S19" s="4884">
        <f t="shared" ref="S19:T19" si="72">SUM(S14:S18)</f>
        <v>80000</v>
      </c>
      <c r="T19" s="4884">
        <f t="shared" si="72"/>
        <v>73713.89</v>
      </c>
      <c r="U19" s="4885">
        <f t="shared" si="60"/>
        <v>320500</v>
      </c>
      <c r="V19" s="4885">
        <f t="shared" si="41"/>
        <v>315751.2</v>
      </c>
      <c r="W19" s="5023">
        <f t="shared" ref="W19:X19" si="73">SUM(W14:W18)</f>
        <v>77500</v>
      </c>
      <c r="X19" s="5023">
        <f t="shared" si="73"/>
        <v>66573.360000000015</v>
      </c>
      <c r="Y19" s="378">
        <f>O19+S19+W19</f>
        <v>195000</v>
      </c>
      <c r="Z19" s="378">
        <f>P19+T19+X19</f>
        <v>209619.24000000002</v>
      </c>
      <c r="AA19" s="4160">
        <f>M19+Y19</f>
        <v>398000</v>
      </c>
      <c r="AB19" s="4160">
        <f>N19+Z19</f>
        <v>382324.56000000006</v>
      </c>
      <c r="AC19" s="5334">
        <f t="shared" ref="AC19:AD19" si="74">SUM(AC14:AC18)</f>
        <v>80000</v>
      </c>
      <c r="AD19" s="5334">
        <f t="shared" si="74"/>
        <v>64076.47</v>
      </c>
      <c r="AE19" s="376">
        <f t="shared" si="61"/>
        <v>478000</v>
      </c>
      <c r="AF19" s="376">
        <f t="shared" si="43"/>
        <v>446401.03</v>
      </c>
      <c r="AG19" s="5507">
        <f t="shared" ref="AG19:AH19" si="75">SUM(AG14:AG18)</f>
        <v>77500</v>
      </c>
      <c r="AH19" s="5507">
        <f t="shared" si="75"/>
        <v>10813.23</v>
      </c>
      <c r="AI19" s="376">
        <f t="shared" si="62"/>
        <v>555500</v>
      </c>
      <c r="AJ19" s="376">
        <f t="shared" si="44"/>
        <v>457214.26</v>
      </c>
      <c r="AK19" s="5908">
        <f t="shared" ref="AK19:AL19" si="76">SUM(AK14:AK18)</f>
        <v>80000</v>
      </c>
      <c r="AL19" s="5908">
        <f t="shared" si="76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7"/>
        <v>635500</v>
      </c>
      <c r="AP19" s="376">
        <f t="shared" si="55"/>
        <v>524467</v>
      </c>
      <c r="AQ19" s="6063">
        <f t="shared" ref="AQ19:AR19" si="77">SUM(AQ14:AQ18)</f>
        <v>80000</v>
      </c>
      <c r="AR19" s="6063">
        <f t="shared" si="77"/>
        <v>70877.679999999993</v>
      </c>
      <c r="AS19" s="376">
        <f t="shared" si="63"/>
        <v>715500</v>
      </c>
      <c r="AT19" s="376">
        <f t="shared" si="46"/>
        <v>595344.67999999993</v>
      </c>
      <c r="AU19" s="6185">
        <f t="shared" ref="AU19:AV19" si="78">SUM(AU14:AU18)</f>
        <v>72500</v>
      </c>
      <c r="AV19" s="6185">
        <f t="shared" si="78"/>
        <v>58216.86</v>
      </c>
      <c r="AW19" s="6190">
        <f t="shared" si="64"/>
        <v>788000</v>
      </c>
      <c r="AX19" s="6190">
        <f t="shared" si="47"/>
        <v>653561.53999999992</v>
      </c>
      <c r="AY19" s="6399">
        <f t="shared" ref="AY19:AZ19" si="79">SUM(AY14:AY18)</f>
        <v>80000</v>
      </c>
      <c r="AZ19" s="6399">
        <f t="shared" si="79"/>
        <v>84208.419999999984</v>
      </c>
      <c r="BA19" s="378">
        <f>AQ19+AU19+AY19</f>
        <v>232500</v>
      </c>
      <c r="BB19" s="378">
        <f>AR19+AV19+AZ19</f>
        <v>213302.95999999996</v>
      </c>
      <c r="BC19" s="4160">
        <f>AM19+BA19</f>
        <v>470000</v>
      </c>
      <c r="BD19" s="4160">
        <f>AN19+BB19</f>
        <v>355445.39999999997</v>
      </c>
      <c r="BE19" s="376">
        <f t="shared" si="66"/>
        <v>868000</v>
      </c>
      <c r="BF19" s="376">
        <f t="shared" si="50"/>
        <v>737769.96</v>
      </c>
      <c r="BG19" s="4590"/>
      <c r="BH19" s="4590"/>
      <c r="BI19" s="4590"/>
      <c r="BJ19" s="4590"/>
      <c r="BK19" s="5389"/>
    </row>
    <row r="20" spans="1:63" x14ac:dyDescent="0.25">
      <c r="A20" s="154"/>
      <c r="B20" s="4156" t="s">
        <v>115</v>
      </c>
      <c r="C20" s="4156"/>
      <c r="D20" s="4156"/>
      <c r="E20" s="4162"/>
      <c r="F20" s="4162"/>
      <c r="G20" s="4162"/>
      <c r="H20" s="4162"/>
      <c r="I20" s="4162"/>
      <c r="J20" s="4162"/>
      <c r="K20" s="4162"/>
      <c r="L20" s="4162"/>
      <c r="M20" s="4162"/>
      <c r="N20" s="4162"/>
      <c r="O20" s="4162"/>
      <c r="P20" s="4162"/>
      <c r="Q20" s="4162"/>
      <c r="R20" s="4162"/>
      <c r="S20" s="4162"/>
      <c r="T20" s="4162"/>
      <c r="U20" s="4162"/>
      <c r="V20" s="4162"/>
      <c r="W20" s="4162"/>
      <c r="X20" s="4162"/>
      <c r="Y20" s="4162"/>
      <c r="Z20" s="4162"/>
      <c r="AA20" s="4162"/>
      <c r="AB20" s="4162"/>
      <c r="AC20" s="4162"/>
      <c r="AD20" s="4162"/>
      <c r="AE20" s="4162"/>
      <c r="AF20" s="4162"/>
      <c r="AG20" s="4162"/>
      <c r="AH20" s="4162"/>
      <c r="AI20" s="4162"/>
      <c r="AJ20" s="4162"/>
      <c r="AK20" s="4162"/>
      <c r="AL20" s="4162"/>
      <c r="AM20" s="4162"/>
      <c r="AN20" s="4162"/>
      <c r="AO20" s="4162"/>
      <c r="AP20" s="4162"/>
      <c r="AQ20" s="4162"/>
      <c r="AR20" s="4162"/>
      <c r="AS20" s="4162"/>
      <c r="AT20" s="4162"/>
      <c r="AU20" s="4162"/>
      <c r="AV20" s="4162"/>
      <c r="AW20" s="4162"/>
      <c r="AX20" s="4162"/>
      <c r="AY20" s="4162"/>
      <c r="AZ20" s="4162"/>
      <c r="BA20" s="4162"/>
      <c r="BB20" s="4162"/>
      <c r="BC20" s="4162"/>
      <c r="BD20" s="4162"/>
      <c r="BE20" s="4162"/>
      <c r="BF20" s="4162"/>
      <c r="BG20" s="4590"/>
      <c r="BH20" s="4590"/>
      <c r="BI20" s="4590"/>
      <c r="BJ20" s="4590"/>
    </row>
    <row r="21" spans="1:63" x14ac:dyDescent="0.25">
      <c r="A21" s="93"/>
      <c r="B21" s="1020" t="s">
        <v>75</v>
      </c>
      <c r="C21" s="159" t="s">
        <v>50</v>
      </c>
      <c r="D21" s="7492">
        <v>747000</v>
      </c>
      <c r="E21" s="7492">
        <f>'Maj Production Summ'!E32-E23-E24-E25</f>
        <v>61727.272727272728</v>
      </c>
      <c r="F21" s="2400">
        <v>38167.229999999996</v>
      </c>
      <c r="G21" s="7492">
        <f>'Maj Production Summ'!G32-G23-G24-G25</f>
        <v>65000</v>
      </c>
      <c r="H21" s="7166">
        <v>44981.819999999985</v>
      </c>
      <c r="I21" s="7511">
        <f>E21+G21</f>
        <v>126727.27272727274</v>
      </c>
      <c r="J21" s="2399">
        <f t="shared" si="0"/>
        <v>83149.049999999988</v>
      </c>
      <c r="K21" s="7492">
        <f>'Maj Production Summ'!K32-K23-K24-K25</f>
        <v>35000</v>
      </c>
      <c r="L21" s="4574">
        <v>14348.759999999997</v>
      </c>
      <c r="M21" s="7292">
        <f>E21+G21+K21</f>
        <v>161727.27272727274</v>
      </c>
      <c r="N21" s="4125">
        <f>F21+H21+L21</f>
        <v>97497.809999999983</v>
      </c>
      <c r="O21" s="7492">
        <f>'Maj Production Summ'!O32-O23-O24-O25</f>
        <v>12500</v>
      </c>
      <c r="P21" s="4778">
        <v>33706</v>
      </c>
      <c r="Q21" s="7511">
        <f>M21+O21</f>
        <v>174227.27272727274</v>
      </c>
      <c r="R21" s="2399">
        <f t="shared" ref="R21:R26" si="80">N21+P21</f>
        <v>131203.81</v>
      </c>
      <c r="S21" s="7492">
        <f>'Maj Production Summ'!S32-S23-S24-S25</f>
        <v>48200</v>
      </c>
      <c r="T21" s="4889">
        <v>25942.830000000005</v>
      </c>
      <c r="U21" s="7511">
        <f>Q21+S21</f>
        <v>222427.27272727274</v>
      </c>
      <c r="V21" s="4890">
        <f t="shared" ref="V21:V26" si="81">R21+T21</f>
        <v>157146.64000000001</v>
      </c>
      <c r="W21" s="7492">
        <f>'Maj Production Summ'!W32-W23-W24-W25</f>
        <v>47200</v>
      </c>
      <c r="X21" s="5026">
        <v>38737.26999999999</v>
      </c>
      <c r="Y21" s="7292">
        <f>O21+S21+W21</f>
        <v>107900</v>
      </c>
      <c r="Z21" s="4125">
        <f>P21+T21+X21</f>
        <v>98386.099999999991</v>
      </c>
      <c r="AA21" s="7527">
        <f>M21+Y21</f>
        <v>269627.27272727271</v>
      </c>
      <c r="AB21" s="4157">
        <f>N21+Z21</f>
        <v>195883.90999999997</v>
      </c>
      <c r="AC21" s="7492">
        <f>'Maj Production Summ'!AC32-AC23-AC24-AC25</f>
        <v>53200</v>
      </c>
      <c r="AD21" s="5337">
        <v>35057.120000000003</v>
      </c>
      <c r="AE21" s="7511">
        <f>AA21+AC21</f>
        <v>322827.27272727271</v>
      </c>
      <c r="AF21" s="2399">
        <f t="shared" ref="AF21:AF26" si="82">AB21+AD21</f>
        <v>230941.02999999997</v>
      </c>
      <c r="AG21" s="7492">
        <f>'Maj Production Summ'!AG32-AG23-AG24-AG25</f>
        <v>51200</v>
      </c>
      <c r="AH21" s="5510">
        <v>13943.210000000001</v>
      </c>
      <c r="AI21" s="7493">
        <f>AE21+AG21</f>
        <v>374027.27272727271</v>
      </c>
      <c r="AJ21" s="2399">
        <f t="shared" ref="AJ21:AJ26" si="83">AF21+AH21</f>
        <v>244884.23999999996</v>
      </c>
      <c r="AK21" s="7492">
        <f>'Maj Production Summ'!AK32-AK23-AK24-AK25</f>
        <v>53200</v>
      </c>
      <c r="AL21" s="5911">
        <v>27250.579999999991</v>
      </c>
      <c r="AM21" s="7292">
        <f>AC21+AG21+AK21</f>
        <v>157600</v>
      </c>
      <c r="AN21" s="4125">
        <f>AD21+AH21+AL21</f>
        <v>76250.909999999989</v>
      </c>
      <c r="AO21" s="7511">
        <f>AI21+AK21</f>
        <v>427227.27272727271</v>
      </c>
      <c r="AP21" s="2399">
        <f>AJ21+AL21</f>
        <v>272134.81999999995</v>
      </c>
      <c r="AQ21" s="7492">
        <f>'Maj Production Summ'!AQ32-AQ23-AQ24-AQ25</f>
        <v>53200</v>
      </c>
      <c r="AR21" s="6066">
        <v>35993.919999999991</v>
      </c>
      <c r="AS21" s="7493">
        <f>AO21+AQ21</f>
        <v>480427.27272727271</v>
      </c>
      <c r="AT21" s="2399">
        <f t="shared" ref="AT21:AT26" si="84">AP21+AR21</f>
        <v>308128.73999999993</v>
      </c>
      <c r="AU21" s="7492">
        <f>'Maj Production Summ'!AU32-AU23-AU24-AU25</f>
        <v>47200</v>
      </c>
      <c r="AV21" s="6189">
        <v>38039.80999999999</v>
      </c>
      <c r="AW21" s="7493">
        <f>AS21+AU21</f>
        <v>527627.27272727271</v>
      </c>
      <c r="AX21" s="6193">
        <f t="shared" ref="AX21:AX26" si="85">AT21+AV21</f>
        <v>346168.54999999993</v>
      </c>
      <c r="AY21" s="7492">
        <f>'Maj Production Summ'!AY32-AY23-AY24-AY25</f>
        <v>59200</v>
      </c>
      <c r="AZ21" s="6401">
        <v>54042.509999999987</v>
      </c>
      <c r="BA21" s="7292">
        <f>AQ21+AU21+AY21</f>
        <v>159600</v>
      </c>
      <c r="BB21" s="4125">
        <f>AR21+AV21+AZ21</f>
        <v>128076.23999999996</v>
      </c>
      <c r="BC21" s="7527">
        <f>AM21+BA21</f>
        <v>317200</v>
      </c>
      <c r="BD21" s="4157">
        <f t="shared" ref="BD21:BD25" si="86">AN21+BB21</f>
        <v>204327.14999999997</v>
      </c>
      <c r="BE21" s="7493">
        <f>AW21+AY21</f>
        <v>586827.27272727271</v>
      </c>
      <c r="BF21" s="2399">
        <f t="shared" ref="BF21:BF26" si="87">AX21+AZ21</f>
        <v>400211.05999999994</v>
      </c>
      <c r="BG21" s="4590"/>
      <c r="BH21" s="4590"/>
      <c r="BI21" s="4590"/>
      <c r="BJ21" s="4590"/>
    </row>
    <row r="22" spans="1:63" x14ac:dyDescent="0.25">
      <c r="A22" s="93"/>
      <c r="B22" s="1020" t="s">
        <v>76</v>
      </c>
      <c r="C22" s="159" t="s">
        <v>50</v>
      </c>
      <c r="D22" s="7492"/>
      <c r="E22" s="7492"/>
      <c r="F22" s="2400">
        <v>5955.4700000000012</v>
      </c>
      <c r="G22" s="7492"/>
      <c r="H22" s="7166">
        <v>12734.180000000004</v>
      </c>
      <c r="I22" s="7511"/>
      <c r="J22" s="2399">
        <f t="shared" si="0"/>
        <v>18689.650000000005</v>
      </c>
      <c r="K22" s="7492"/>
      <c r="L22" s="4574">
        <v>9471.77</v>
      </c>
      <c r="M22" s="7292"/>
      <c r="N22" s="4125">
        <f t="shared" ref="N22:N25" si="88">F22+H22+L22</f>
        <v>28161.420000000006</v>
      </c>
      <c r="O22" s="7492"/>
      <c r="P22" s="4778">
        <v>12044.59</v>
      </c>
      <c r="Q22" s="7511"/>
      <c r="R22" s="2399">
        <f t="shared" si="80"/>
        <v>40206.010000000009</v>
      </c>
      <c r="S22" s="7492"/>
      <c r="T22" s="4889">
        <v>12807.859999999999</v>
      </c>
      <c r="U22" s="7511"/>
      <c r="V22" s="4890">
        <f t="shared" si="81"/>
        <v>53013.87000000001</v>
      </c>
      <c r="W22" s="7492"/>
      <c r="X22" s="5026">
        <v>4954.2700000000004</v>
      </c>
      <c r="Y22" s="7292"/>
      <c r="Z22" s="4125">
        <f>P22+T22+X22</f>
        <v>29806.719999999998</v>
      </c>
      <c r="AA22" s="7527"/>
      <c r="AB22" s="4157">
        <f t="shared" ref="AB22:AB25" si="89">N22+Z22</f>
        <v>57968.14</v>
      </c>
      <c r="AC22" s="7492"/>
      <c r="AD22" s="5337">
        <v>8090.55</v>
      </c>
      <c r="AE22" s="7511"/>
      <c r="AF22" s="2399">
        <f t="shared" si="82"/>
        <v>66058.69</v>
      </c>
      <c r="AG22" s="7492"/>
      <c r="AH22" s="5510">
        <v>1522.2100000000003</v>
      </c>
      <c r="AI22" s="7494"/>
      <c r="AJ22" s="2399">
        <f t="shared" si="83"/>
        <v>67580.900000000009</v>
      </c>
      <c r="AK22" s="7492"/>
      <c r="AL22" s="5911">
        <v>6079.9800000000005</v>
      </c>
      <c r="AM22" s="7292"/>
      <c r="AN22" s="4125">
        <f>AD22+AH22+AL22</f>
        <v>15692.740000000002</v>
      </c>
      <c r="AO22" s="7511"/>
      <c r="AP22" s="2399">
        <f t="shared" ref="AP22:AP26" si="90">AJ22+AL22</f>
        <v>73660.88</v>
      </c>
      <c r="AQ22" s="7492"/>
      <c r="AR22" s="6066">
        <v>8410.1399999999976</v>
      </c>
      <c r="AS22" s="7494"/>
      <c r="AT22" s="2399">
        <f t="shared" si="84"/>
        <v>82071.02</v>
      </c>
      <c r="AU22" s="7492"/>
      <c r="AV22" s="6189">
        <v>9299.1999999999989</v>
      </c>
      <c r="AW22" s="7494"/>
      <c r="AX22" s="6193">
        <f t="shared" si="85"/>
        <v>91370.22</v>
      </c>
      <c r="AY22" s="7492"/>
      <c r="AZ22" s="6401">
        <v>13581.380000000003</v>
      </c>
      <c r="BA22" s="7292"/>
      <c r="BB22" s="4125">
        <f>AR22+AV22+AZ22</f>
        <v>31290.720000000001</v>
      </c>
      <c r="BC22" s="7527"/>
      <c r="BD22" s="4157">
        <f t="shared" si="86"/>
        <v>46983.460000000006</v>
      </c>
      <c r="BE22" s="7494"/>
      <c r="BF22" s="2399">
        <f t="shared" si="87"/>
        <v>104951.6</v>
      </c>
      <c r="BG22" s="4590"/>
      <c r="BH22" s="4590"/>
      <c r="BI22" s="4590"/>
      <c r="BJ22" s="4590"/>
    </row>
    <row r="23" spans="1:63" x14ac:dyDescent="0.25">
      <c r="A23" s="93"/>
      <c r="B23" s="1020" t="s">
        <v>137</v>
      </c>
      <c r="C23" s="159" t="s">
        <v>50</v>
      </c>
      <c r="D23" s="2400">
        <v>3000.0000000000009</v>
      </c>
      <c r="E23" s="2400">
        <v>272.72727272727275</v>
      </c>
      <c r="F23" s="2400"/>
      <c r="G23" s="7166"/>
      <c r="H23" s="7166"/>
      <c r="I23" s="2399">
        <f t="shared" ref="I23:I26" si="91">E23+G23</f>
        <v>272.72727272727275</v>
      </c>
      <c r="J23" s="2399">
        <f t="shared" si="0"/>
        <v>0</v>
      </c>
      <c r="K23" s="4574">
        <v>0</v>
      </c>
      <c r="L23" s="4574">
        <v>39.82</v>
      </c>
      <c r="M23" s="4125">
        <f>E23+G23+K23</f>
        <v>272.72727272727275</v>
      </c>
      <c r="N23" s="4125">
        <f t="shared" si="88"/>
        <v>39.82</v>
      </c>
      <c r="O23" s="4778">
        <v>0</v>
      </c>
      <c r="P23" s="4778">
        <v>39</v>
      </c>
      <c r="Q23" s="2399">
        <f t="shared" ref="Q23:Q26" si="92">M23+O23</f>
        <v>272.72727272727275</v>
      </c>
      <c r="R23" s="2399">
        <f t="shared" si="80"/>
        <v>78.819999999999993</v>
      </c>
      <c r="S23" s="4889">
        <v>800</v>
      </c>
      <c r="T23" s="4889">
        <v>103.74</v>
      </c>
      <c r="U23" s="4890">
        <f t="shared" ref="U23:U26" si="93">Q23+S23</f>
        <v>1072.7272727272727</v>
      </c>
      <c r="V23" s="4890">
        <f t="shared" si="81"/>
        <v>182.56</v>
      </c>
      <c r="W23" s="5026">
        <v>800</v>
      </c>
      <c r="X23" s="5026">
        <v>233.41</v>
      </c>
      <c r="Y23" s="4125">
        <f>O23+S23+W23</f>
        <v>1600</v>
      </c>
      <c r="Z23" s="4125">
        <f>P23+T23+X23</f>
        <v>376.15</v>
      </c>
      <c r="AA23" s="4157">
        <f>M23+Y23</f>
        <v>1872.7272727272727</v>
      </c>
      <c r="AB23" s="4157">
        <f t="shared" si="89"/>
        <v>415.96999999999997</v>
      </c>
      <c r="AC23" s="5337">
        <v>800</v>
      </c>
      <c r="AD23" s="5337">
        <v>156.07999999999998</v>
      </c>
      <c r="AE23" s="2399">
        <f t="shared" ref="AE23:AE26" si="94">AA23+AC23</f>
        <v>2672.727272727273</v>
      </c>
      <c r="AF23" s="2399">
        <f t="shared" si="82"/>
        <v>572.04999999999995</v>
      </c>
      <c r="AG23" s="5510">
        <v>800</v>
      </c>
      <c r="AH23" s="5510">
        <v>0</v>
      </c>
      <c r="AI23" s="2399">
        <f t="shared" ref="AI23:AI26" si="95">AE23+AG23</f>
        <v>3472.727272727273</v>
      </c>
      <c r="AJ23" s="2399">
        <f t="shared" si="83"/>
        <v>572.04999999999995</v>
      </c>
      <c r="AK23" s="5911">
        <v>800</v>
      </c>
      <c r="AL23" s="5911">
        <v>132.44</v>
      </c>
      <c r="AM23" s="4125">
        <f>AC23+AG23+AK23</f>
        <v>2400</v>
      </c>
      <c r="AN23" s="4125">
        <f>AD23+AH23+AL23</f>
        <v>288.52</v>
      </c>
      <c r="AO23" s="2399">
        <f>AI23+AK23</f>
        <v>4272.727272727273</v>
      </c>
      <c r="AP23" s="2399">
        <f t="shared" si="90"/>
        <v>704.49</v>
      </c>
      <c r="AQ23" s="6066">
        <v>800</v>
      </c>
      <c r="AR23" s="6066">
        <v>252.82</v>
      </c>
      <c r="AS23" s="2399">
        <f t="shared" ref="AS23:AS26" si="96">AO23+AQ23</f>
        <v>5072.727272727273</v>
      </c>
      <c r="AT23" s="2399">
        <f t="shared" si="84"/>
        <v>957.31</v>
      </c>
      <c r="AU23" s="6189">
        <v>800</v>
      </c>
      <c r="AV23" s="6189"/>
      <c r="AW23" s="6193">
        <f t="shared" ref="AW23:AW26" si="97">AS23+AU23</f>
        <v>5872.727272727273</v>
      </c>
      <c r="AX23" s="6193">
        <f t="shared" si="85"/>
        <v>957.31</v>
      </c>
      <c r="AY23" s="6401">
        <v>800</v>
      </c>
      <c r="AZ23" s="6401">
        <v>794.61999999999989</v>
      </c>
      <c r="BA23" s="4125">
        <f>AQ23+AU23+AY23</f>
        <v>2400</v>
      </c>
      <c r="BB23" s="4125">
        <f>AR23+AV23+AZ23</f>
        <v>1047.4399999999998</v>
      </c>
      <c r="BC23" s="4157">
        <f t="shared" ref="BC23:BC25" si="98">AM23+BA23</f>
        <v>4800</v>
      </c>
      <c r="BD23" s="4157">
        <f t="shared" si="86"/>
        <v>1335.9599999999998</v>
      </c>
      <c r="BE23" s="2399">
        <f t="shared" ref="BE23:BE26" si="99">AW23+AY23</f>
        <v>6672.727272727273</v>
      </c>
      <c r="BF23" s="2399">
        <f t="shared" si="87"/>
        <v>1751.9299999999998</v>
      </c>
      <c r="BG23" s="4590"/>
      <c r="BH23" s="4590"/>
      <c r="BI23" s="4590"/>
      <c r="BJ23" s="4590"/>
    </row>
    <row r="24" spans="1:63" x14ac:dyDescent="0.25">
      <c r="A24" s="93"/>
      <c r="B24" s="1020" t="s">
        <v>77</v>
      </c>
      <c r="C24" s="159" t="s">
        <v>50</v>
      </c>
      <c r="D24" s="1970"/>
      <c r="E24" s="2400"/>
      <c r="F24" s="2400"/>
      <c r="G24" s="7166"/>
      <c r="H24" s="7166"/>
      <c r="I24" s="2399">
        <f t="shared" si="91"/>
        <v>0</v>
      </c>
      <c r="J24" s="2399">
        <f t="shared" si="0"/>
        <v>0</v>
      </c>
      <c r="K24" s="4574">
        <v>0</v>
      </c>
      <c r="L24" s="4574">
        <v>0</v>
      </c>
      <c r="M24" s="4125">
        <f t="shared" ref="M24:M25" si="100">E24+G24+K24</f>
        <v>0</v>
      </c>
      <c r="N24" s="4125">
        <f t="shared" si="88"/>
        <v>0</v>
      </c>
      <c r="O24" s="4778">
        <v>0</v>
      </c>
      <c r="P24" s="4778">
        <v>0</v>
      </c>
      <c r="Q24" s="2399">
        <f t="shared" si="92"/>
        <v>0</v>
      </c>
      <c r="R24" s="2399">
        <f t="shared" si="80"/>
        <v>0</v>
      </c>
      <c r="S24" s="4889">
        <v>0</v>
      </c>
      <c r="T24" s="4889">
        <v>0</v>
      </c>
      <c r="U24" s="4890">
        <f t="shared" si="93"/>
        <v>0</v>
      </c>
      <c r="V24" s="4890">
        <f t="shared" si="81"/>
        <v>0</v>
      </c>
      <c r="W24" s="5026">
        <v>0</v>
      </c>
      <c r="X24" s="5026">
        <v>0</v>
      </c>
      <c r="Y24" s="4125">
        <f t="shared" ref="Y24:Y25" si="101">O24+S24+W24</f>
        <v>0</v>
      </c>
      <c r="Z24" s="4125">
        <f t="shared" ref="Z24:Z25" si="102">P24+T24+X24</f>
        <v>0</v>
      </c>
      <c r="AA24" s="4157">
        <f>M24+Y24</f>
        <v>0</v>
      </c>
      <c r="AB24" s="4157">
        <f t="shared" si="89"/>
        <v>0</v>
      </c>
      <c r="AC24" s="5337">
        <v>0</v>
      </c>
      <c r="AD24" s="5337">
        <v>0</v>
      </c>
      <c r="AE24" s="2399">
        <f t="shared" si="94"/>
        <v>0</v>
      </c>
      <c r="AF24" s="2399">
        <f t="shared" si="82"/>
        <v>0</v>
      </c>
      <c r="AG24" s="5510">
        <v>0</v>
      </c>
      <c r="AH24" s="5510">
        <v>0</v>
      </c>
      <c r="AI24" s="2399">
        <f t="shared" si="95"/>
        <v>0</v>
      </c>
      <c r="AJ24" s="2399">
        <f t="shared" si="83"/>
        <v>0</v>
      </c>
      <c r="AK24" s="5911">
        <v>0</v>
      </c>
      <c r="AL24" s="5911">
        <v>0</v>
      </c>
      <c r="AM24" s="4125">
        <f t="shared" ref="AM24:AM25" si="103">AC24+AG24+AK24</f>
        <v>0</v>
      </c>
      <c r="AN24" s="4125">
        <f t="shared" ref="AN24:AN25" si="104">AD24+AH24+AL24</f>
        <v>0</v>
      </c>
      <c r="AO24" s="2399">
        <f t="shared" ref="AO24:AO26" si="105">AI24+AK24</f>
        <v>0</v>
      </c>
      <c r="AP24" s="2399">
        <f t="shared" si="90"/>
        <v>0</v>
      </c>
      <c r="AQ24" s="6066">
        <v>0</v>
      </c>
      <c r="AR24" s="6066">
        <v>0</v>
      </c>
      <c r="AS24" s="2399">
        <f t="shared" si="96"/>
        <v>0</v>
      </c>
      <c r="AT24" s="2399">
        <f t="shared" si="84"/>
        <v>0</v>
      </c>
      <c r="AU24" s="6189">
        <v>0</v>
      </c>
      <c r="AV24" s="6189"/>
      <c r="AW24" s="6193">
        <f t="shared" si="97"/>
        <v>0</v>
      </c>
      <c r="AX24" s="6193">
        <f t="shared" si="85"/>
        <v>0</v>
      </c>
      <c r="AY24" s="6401">
        <v>0</v>
      </c>
      <c r="AZ24" s="6401">
        <v>0</v>
      </c>
      <c r="BA24" s="4125">
        <f t="shared" ref="BA24:BA25" si="106">AQ24+AU24+AY24</f>
        <v>0</v>
      </c>
      <c r="BB24" s="4125">
        <f t="shared" ref="BB24:BB25" si="107">AR24+AV24+AZ24</f>
        <v>0</v>
      </c>
      <c r="BC24" s="4157">
        <f t="shared" si="98"/>
        <v>0</v>
      </c>
      <c r="BD24" s="4157">
        <f t="shared" si="86"/>
        <v>0</v>
      </c>
      <c r="BE24" s="2399">
        <f t="shared" si="99"/>
        <v>0</v>
      </c>
      <c r="BF24" s="2399">
        <f t="shared" si="87"/>
        <v>0</v>
      </c>
      <c r="BG24" s="4590"/>
      <c r="BH24" s="4590"/>
      <c r="BI24" s="4590"/>
      <c r="BJ24" s="4590"/>
    </row>
    <row r="25" spans="1:63" x14ac:dyDescent="0.25">
      <c r="A25" s="93"/>
      <c r="B25" s="1020" t="s">
        <v>1870</v>
      </c>
      <c r="C25" s="159" t="s">
        <v>50</v>
      </c>
      <c r="D25" s="2400"/>
      <c r="E25" s="2400"/>
      <c r="F25" s="2400"/>
      <c r="G25" s="7166"/>
      <c r="H25" s="7166"/>
      <c r="I25" s="2399">
        <f t="shared" si="91"/>
        <v>0</v>
      </c>
      <c r="J25" s="2399">
        <f t="shared" si="0"/>
        <v>0</v>
      </c>
      <c r="K25" s="4574">
        <v>0</v>
      </c>
      <c r="L25" s="4574">
        <v>0</v>
      </c>
      <c r="M25" s="4125">
        <f t="shared" si="100"/>
        <v>0</v>
      </c>
      <c r="N25" s="4125">
        <f t="shared" si="88"/>
        <v>0</v>
      </c>
      <c r="O25" s="4778">
        <v>0</v>
      </c>
      <c r="P25" s="4778">
        <v>0</v>
      </c>
      <c r="Q25" s="2399">
        <f t="shared" si="92"/>
        <v>0</v>
      </c>
      <c r="R25" s="2399">
        <f t="shared" si="80"/>
        <v>0</v>
      </c>
      <c r="S25" s="4889">
        <v>0</v>
      </c>
      <c r="T25" s="4889">
        <v>0</v>
      </c>
      <c r="U25" s="4890">
        <f t="shared" si="93"/>
        <v>0</v>
      </c>
      <c r="V25" s="4890">
        <f t="shared" si="81"/>
        <v>0</v>
      </c>
      <c r="W25" s="5026">
        <v>0</v>
      </c>
      <c r="X25" s="5026">
        <v>0</v>
      </c>
      <c r="Y25" s="4125">
        <f t="shared" si="101"/>
        <v>0</v>
      </c>
      <c r="Z25" s="4125">
        <f t="shared" si="102"/>
        <v>0</v>
      </c>
      <c r="AA25" s="4157">
        <f>M25+Y25</f>
        <v>0</v>
      </c>
      <c r="AB25" s="4157">
        <f t="shared" si="89"/>
        <v>0</v>
      </c>
      <c r="AC25" s="5337"/>
      <c r="AD25" s="5337">
        <v>0</v>
      </c>
      <c r="AE25" s="2399">
        <f t="shared" si="94"/>
        <v>0</v>
      </c>
      <c r="AF25" s="2399">
        <f t="shared" si="82"/>
        <v>0</v>
      </c>
      <c r="AG25" s="5510">
        <v>0</v>
      </c>
      <c r="AH25" s="5510">
        <v>0</v>
      </c>
      <c r="AI25" s="2399">
        <f t="shared" si="95"/>
        <v>0</v>
      </c>
      <c r="AJ25" s="2399">
        <f t="shared" si="83"/>
        <v>0</v>
      </c>
      <c r="AK25" s="5911">
        <v>0</v>
      </c>
      <c r="AL25" s="5911">
        <v>0</v>
      </c>
      <c r="AM25" s="4125">
        <f t="shared" si="103"/>
        <v>0</v>
      </c>
      <c r="AN25" s="4125">
        <f t="shared" si="104"/>
        <v>0</v>
      </c>
      <c r="AO25" s="2399">
        <f t="shared" si="105"/>
        <v>0</v>
      </c>
      <c r="AP25" s="2399">
        <f t="shared" si="90"/>
        <v>0</v>
      </c>
      <c r="AQ25" s="6066">
        <v>0</v>
      </c>
      <c r="AR25" s="6066">
        <v>0</v>
      </c>
      <c r="AS25" s="2399">
        <f t="shared" si="96"/>
        <v>0</v>
      </c>
      <c r="AT25" s="2399">
        <f t="shared" si="84"/>
        <v>0</v>
      </c>
      <c r="AU25" s="6189">
        <v>0</v>
      </c>
      <c r="AV25" s="6189"/>
      <c r="AW25" s="6193">
        <f t="shared" si="97"/>
        <v>0</v>
      </c>
      <c r="AX25" s="6193">
        <f t="shared" si="85"/>
        <v>0</v>
      </c>
      <c r="AY25" s="6401">
        <v>0</v>
      </c>
      <c r="AZ25" s="6401">
        <v>0</v>
      </c>
      <c r="BA25" s="4125">
        <f t="shared" si="106"/>
        <v>0</v>
      </c>
      <c r="BB25" s="4125">
        <f t="shared" si="107"/>
        <v>0</v>
      </c>
      <c r="BC25" s="4157">
        <f t="shared" si="98"/>
        <v>0</v>
      </c>
      <c r="BD25" s="4157">
        <f t="shared" si="86"/>
        <v>0</v>
      </c>
      <c r="BE25" s="2399">
        <f t="shared" si="99"/>
        <v>0</v>
      </c>
      <c r="BF25" s="2399">
        <f t="shared" si="87"/>
        <v>0</v>
      </c>
      <c r="BG25" s="4590"/>
      <c r="BH25" s="4590"/>
      <c r="BI25" s="4590"/>
      <c r="BJ25" s="4590"/>
    </row>
    <row r="26" spans="1:63" ht="21.2" customHeight="1" x14ac:dyDescent="0.25">
      <c r="A26" s="93"/>
      <c r="B26" s="4159" t="s">
        <v>2</v>
      </c>
      <c r="C26" s="4141" t="s">
        <v>50</v>
      </c>
      <c r="D26" s="1826">
        <f>SUM(D21:D25)</f>
        <v>750000</v>
      </c>
      <c r="E26" s="1971">
        <f t="shared" ref="E26:F26" si="108">SUM(E21:E25)</f>
        <v>62000</v>
      </c>
      <c r="F26" s="1971">
        <f t="shared" si="108"/>
        <v>44122.7</v>
      </c>
      <c r="G26" s="1971">
        <f t="shared" ref="G26:H26" si="109">SUM(G21:G25)</f>
        <v>65000</v>
      </c>
      <c r="H26" s="1971">
        <f t="shared" si="109"/>
        <v>57715.999999999985</v>
      </c>
      <c r="I26" s="376">
        <f t="shared" si="91"/>
        <v>127000</v>
      </c>
      <c r="J26" s="376">
        <f t="shared" si="0"/>
        <v>101838.69999999998</v>
      </c>
      <c r="K26" s="1971">
        <f t="shared" ref="K26:L26" si="110">SUM(K21:K25)</f>
        <v>35000</v>
      </c>
      <c r="L26" s="1971">
        <f t="shared" si="110"/>
        <v>23860.35</v>
      </c>
      <c r="M26" s="378">
        <f>E26+G26+K26</f>
        <v>162000</v>
      </c>
      <c r="N26" s="378">
        <f>F26+H26+L26</f>
        <v>125699.04999999999</v>
      </c>
      <c r="O26" s="1971">
        <f t="shared" ref="O26:P26" si="111">SUM(O21:O25)</f>
        <v>12500</v>
      </c>
      <c r="P26" s="1971">
        <f t="shared" si="111"/>
        <v>45789.59</v>
      </c>
      <c r="Q26" s="376">
        <f t="shared" si="92"/>
        <v>174500</v>
      </c>
      <c r="R26" s="376">
        <f t="shared" si="80"/>
        <v>171488.63999999998</v>
      </c>
      <c r="S26" s="1971">
        <f t="shared" ref="S26:T26" si="112">SUM(S21:S25)</f>
        <v>49000</v>
      </c>
      <c r="T26" s="1971">
        <f t="shared" si="112"/>
        <v>38854.43</v>
      </c>
      <c r="U26" s="4885">
        <f t="shared" si="93"/>
        <v>223500</v>
      </c>
      <c r="V26" s="4885">
        <f t="shared" si="81"/>
        <v>210343.06999999998</v>
      </c>
      <c r="W26" s="1971">
        <f t="shared" ref="W26:X26" si="113">SUM(W21:W25)</f>
        <v>48000</v>
      </c>
      <c r="X26" s="1971">
        <f t="shared" si="113"/>
        <v>43924.95</v>
      </c>
      <c r="Y26" s="378">
        <f>O26+S26+W26</f>
        <v>109500</v>
      </c>
      <c r="Z26" s="378">
        <f>P26+T26+X26</f>
        <v>128568.96999999999</v>
      </c>
      <c r="AA26" s="4160">
        <f>M26+Y26</f>
        <v>271500</v>
      </c>
      <c r="AB26" s="4160">
        <f>N26+Z26</f>
        <v>254268.01999999996</v>
      </c>
      <c r="AC26" s="1971">
        <f t="shared" ref="AC26:AD26" si="114">SUM(AC21:AC25)</f>
        <v>54000</v>
      </c>
      <c r="AD26" s="1971">
        <f t="shared" si="114"/>
        <v>43303.750000000007</v>
      </c>
      <c r="AE26" s="376">
        <f t="shared" si="94"/>
        <v>325500</v>
      </c>
      <c r="AF26" s="376">
        <f t="shared" si="82"/>
        <v>297571.76999999996</v>
      </c>
      <c r="AG26" s="1971">
        <f t="shared" ref="AG26:AH26" si="115">SUM(AG21:AG25)</f>
        <v>52000</v>
      </c>
      <c r="AH26" s="1971">
        <f t="shared" si="115"/>
        <v>15465.420000000002</v>
      </c>
      <c r="AI26" s="376">
        <f t="shared" si="95"/>
        <v>377500</v>
      </c>
      <c r="AJ26" s="376">
        <f t="shared" si="83"/>
        <v>313037.18999999994</v>
      </c>
      <c r="AK26" s="1971">
        <f t="shared" ref="AK26:AL26" si="116">SUM(AK21:AK25)</f>
        <v>54000</v>
      </c>
      <c r="AL26" s="1971">
        <f t="shared" si="116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105"/>
        <v>431500</v>
      </c>
      <c r="AP26" s="376">
        <f t="shared" si="90"/>
        <v>346500.18999999994</v>
      </c>
      <c r="AQ26" s="1971">
        <f t="shared" ref="AQ26:AR26" si="117">SUM(AQ21:AQ25)</f>
        <v>54000</v>
      </c>
      <c r="AR26" s="1971">
        <f t="shared" si="117"/>
        <v>44656.87999999999</v>
      </c>
      <c r="AS26" s="376">
        <f t="shared" si="96"/>
        <v>485500</v>
      </c>
      <c r="AT26" s="376">
        <f t="shared" si="84"/>
        <v>391157.06999999995</v>
      </c>
      <c r="AU26" s="1971">
        <f t="shared" ref="AU26:AV26" si="118">SUM(AU21:AU25)</f>
        <v>48000</v>
      </c>
      <c r="AV26" s="1971">
        <f t="shared" si="118"/>
        <v>47339.009999999987</v>
      </c>
      <c r="AW26" s="6190">
        <f t="shared" si="97"/>
        <v>533500</v>
      </c>
      <c r="AX26" s="6190">
        <f t="shared" si="85"/>
        <v>438496.07999999996</v>
      </c>
      <c r="AY26" s="1971">
        <f t="shared" ref="AY26:AZ26" si="119">SUM(AY21:AY25)</f>
        <v>60000</v>
      </c>
      <c r="AZ26" s="1971">
        <f t="shared" si="119"/>
        <v>68418.50999999998</v>
      </c>
      <c r="BA26" s="378">
        <f>AQ26+AU26+AY26</f>
        <v>162000</v>
      </c>
      <c r="BB26" s="378">
        <f>AR26+AV26+AZ26</f>
        <v>160414.39999999997</v>
      </c>
      <c r="BC26" s="4160">
        <f>AM26+BA26</f>
        <v>322000</v>
      </c>
      <c r="BD26" s="4160">
        <f>AN26+BB26</f>
        <v>252646.56999999998</v>
      </c>
      <c r="BE26" s="376">
        <f t="shared" si="99"/>
        <v>593500</v>
      </c>
      <c r="BF26" s="376">
        <f t="shared" si="87"/>
        <v>506914.58999999997</v>
      </c>
      <c r="BG26" s="4590"/>
      <c r="BH26" s="4590"/>
      <c r="BI26" s="4590"/>
      <c r="BJ26" s="4590"/>
    </row>
    <row r="27" spans="1:63" x14ac:dyDescent="0.25">
      <c r="A27" s="154"/>
      <c r="B27" s="4156" t="s">
        <v>513</v>
      </c>
      <c r="C27" s="4156"/>
      <c r="D27" s="4156"/>
      <c r="E27" s="4162"/>
      <c r="F27" s="4162"/>
      <c r="G27" s="4162"/>
      <c r="H27" s="4162"/>
      <c r="I27" s="4162"/>
      <c r="J27" s="4162"/>
      <c r="K27" s="4162"/>
      <c r="L27" s="4162"/>
      <c r="M27" s="4162"/>
      <c r="N27" s="4162"/>
      <c r="O27" s="4162"/>
      <c r="P27" s="4162"/>
      <c r="Q27" s="4162"/>
      <c r="R27" s="4162"/>
      <c r="S27" s="4162"/>
      <c r="T27" s="4162"/>
      <c r="U27" s="4162"/>
      <c r="V27" s="4162"/>
      <c r="W27" s="4162"/>
      <c r="X27" s="4162"/>
      <c r="Y27" s="4162"/>
      <c r="Z27" s="4162"/>
      <c r="AA27" s="4162"/>
      <c r="AB27" s="4162"/>
      <c r="AC27" s="4162"/>
      <c r="AD27" s="4162"/>
      <c r="AE27" s="4162"/>
      <c r="AF27" s="4162"/>
      <c r="AG27" s="4162"/>
      <c r="AH27" s="4162"/>
      <c r="AI27" s="4162"/>
      <c r="AJ27" s="4162"/>
      <c r="AK27" s="4162"/>
      <c r="AL27" s="4162"/>
      <c r="AM27" s="4162"/>
      <c r="AN27" s="4162"/>
      <c r="AO27" s="4162"/>
      <c r="AP27" s="4162"/>
      <c r="AQ27" s="4162"/>
      <c r="AR27" s="4162"/>
      <c r="AS27" s="4162"/>
      <c r="AT27" s="4162"/>
      <c r="AU27" s="4162"/>
      <c r="AV27" s="4162"/>
      <c r="AW27" s="4162"/>
      <c r="AX27" s="4162"/>
      <c r="AY27" s="4162"/>
      <c r="AZ27" s="4162"/>
      <c r="BA27" s="4162"/>
      <c r="BB27" s="4162"/>
      <c r="BC27" s="4162"/>
      <c r="BD27" s="4162"/>
      <c r="BE27" s="4162"/>
      <c r="BF27" s="4162"/>
      <c r="BG27" s="4590"/>
      <c r="BH27" s="4590"/>
      <c r="BI27" s="4590"/>
      <c r="BJ27" s="4590"/>
    </row>
    <row r="28" spans="1:63" x14ac:dyDescent="0.25">
      <c r="A28" s="93"/>
      <c r="B28" s="1020" t="s">
        <v>75</v>
      </c>
      <c r="C28" s="159" t="s">
        <v>50</v>
      </c>
      <c r="D28" s="7492">
        <f>+D35+D42</f>
        <v>485798</v>
      </c>
      <c r="E28" s="7492">
        <f>'Maj Production Summ'!E36-E30-E31-E32</f>
        <v>45136.179004967038</v>
      </c>
      <c r="F28" s="2400">
        <f t="shared" ref="F28:H33" si="120">F35+F42</f>
        <v>27026.079999999998</v>
      </c>
      <c r="G28" s="7492">
        <f>'Maj Production Summ'!G36-G30-G31-G32</f>
        <v>48499.576671657102</v>
      </c>
      <c r="H28" s="7166">
        <f t="shared" si="120"/>
        <v>37486.699999999997</v>
      </c>
      <c r="I28" s="7511">
        <f>E28+G28</f>
        <v>93635.755676624132</v>
      </c>
      <c r="J28" s="2399">
        <f t="shared" si="0"/>
        <v>64512.78</v>
      </c>
      <c r="K28" s="7492">
        <f>'Maj Production Summ'!K36-K30-K31-K32</f>
        <v>29529.067357512999</v>
      </c>
      <c r="L28" s="4574">
        <f t="shared" ref="L28:L31" si="121">L35+L42</f>
        <v>15597.630000000003</v>
      </c>
      <c r="M28" s="7292">
        <f>E28+G28+K28</f>
        <v>123164.82303413714</v>
      </c>
      <c r="N28" s="4125">
        <f t="shared" ref="N28:N29" si="122">J28+L28</f>
        <v>80110.41</v>
      </c>
      <c r="O28" s="7492">
        <f>'Maj Production Summ'!O36-O30-O31-O32</f>
        <v>6183.2297063903206</v>
      </c>
      <c r="P28" s="4778">
        <f t="shared" ref="P28:P31" si="123">P35+P42</f>
        <v>42780.710000000006</v>
      </c>
      <c r="Q28" s="7511">
        <f>M28+O28</f>
        <v>129348.05274052746</v>
      </c>
      <c r="R28" s="2399">
        <f t="shared" ref="R28:R33" si="124">N28+P28</f>
        <v>122891.12000000001</v>
      </c>
      <c r="S28" s="7492">
        <f>'Maj Production Summ'!S36-S30-S31-S32</f>
        <v>41452.1764582701</v>
      </c>
      <c r="T28" s="4889">
        <f t="shared" ref="T28:T31" si="125">T35+T42</f>
        <v>38434.29</v>
      </c>
      <c r="U28" s="7511">
        <f>Q28+S28</f>
        <v>170800.22919879755</v>
      </c>
      <c r="V28" s="4890">
        <f t="shared" ref="V28:V33" si="126">R28+T28</f>
        <v>161325.41</v>
      </c>
      <c r="W28" s="7492">
        <f>'Maj Production Summ'!W36-W30-W31-W32</f>
        <v>33980.785837651099</v>
      </c>
      <c r="X28" s="5026">
        <f t="shared" ref="X28:X31" si="127">X35+X42</f>
        <v>46246.80999999999</v>
      </c>
      <c r="Y28" s="7292">
        <f>O28+S28+W28</f>
        <v>81616.192002311524</v>
      </c>
      <c r="Z28" s="4125">
        <f t="shared" ref="Y28:Z32" si="128">P28+T28+X28</f>
        <v>127461.81</v>
      </c>
      <c r="AA28" s="7527">
        <f>M28+Y28</f>
        <v>204781.01503644866</v>
      </c>
      <c r="AB28" s="4157">
        <f>N28+Z28</f>
        <v>207572.22</v>
      </c>
      <c r="AC28" s="7492">
        <f>'Maj Production Summ'!AC36-AC30-AC31-AC32</f>
        <v>45341.093867539748</v>
      </c>
      <c r="AD28" s="5337">
        <f t="shared" ref="AD28:AD31" si="129">AD35+AD42</f>
        <v>11308.41</v>
      </c>
      <c r="AE28" s="7511">
        <f>AA28+AC28</f>
        <v>250122.10890398841</v>
      </c>
      <c r="AF28" s="2399">
        <f t="shared" ref="AF28:AF33" si="130">AB28+AD28</f>
        <v>218880.63</v>
      </c>
      <c r="AG28" s="7492">
        <f>'Maj Production Summ'!AG36-AG30-AG31-AG32</f>
        <v>47680.915573301019</v>
      </c>
      <c r="AH28" s="5510">
        <f t="shared" ref="AH28:AH31" si="131">AH35+AH42</f>
        <v>11905.300000000003</v>
      </c>
      <c r="AI28" s="7493">
        <f>AE28+AG28</f>
        <v>297803.02447728941</v>
      </c>
      <c r="AJ28" s="2399">
        <f t="shared" ref="AJ28:AJ33" si="132">AF28+AH28</f>
        <v>230785.93</v>
      </c>
      <c r="AK28" s="7492">
        <f>'Maj Production Summ'!AK36-AK30-AK31-AK32</f>
        <v>43710.062262521606</v>
      </c>
      <c r="AL28" s="5911">
        <f t="shared" ref="AL28:AL31" si="133">AL35+AL42</f>
        <v>47281.829999999994</v>
      </c>
      <c r="AM28" s="7292">
        <f>AC28+AG28+AK28</f>
        <v>136732.0717033624</v>
      </c>
      <c r="AN28" s="4125">
        <f t="shared" ref="AN28:AN32" si="134">AD28+AH28+AL28</f>
        <v>70495.539999999994</v>
      </c>
      <c r="AO28" s="7511">
        <f>AI28+AK28</f>
        <v>341513.086739811</v>
      </c>
      <c r="AP28" s="2399">
        <f>AJ28+AL28</f>
        <v>278067.76</v>
      </c>
      <c r="AQ28" s="7492">
        <f>'Maj Production Summ'!AQ36-AQ30-AQ31-AQ32</f>
        <v>45339.612262521601</v>
      </c>
      <c r="AR28" s="6066">
        <f t="shared" ref="AR28:AR31" si="135">AR35+AR42</f>
        <v>71854.17</v>
      </c>
      <c r="AS28" s="7493">
        <f>AO28+AQ28</f>
        <v>386852.69900233258</v>
      </c>
      <c r="AT28" s="2399">
        <f t="shared" ref="AT28:AT33" si="136">AP28+AR28</f>
        <v>349921.93</v>
      </c>
      <c r="AU28" s="7492">
        <f>'Maj Production Summ'!AU36-AU30-AU31-AU32</f>
        <v>44657.996091741836</v>
      </c>
      <c r="AV28" s="6189">
        <f t="shared" ref="AV28:AV31" si="137">AV35+AV42</f>
        <v>41090.730000000003</v>
      </c>
      <c r="AW28" s="7493">
        <f>AS28+AU28</f>
        <v>431510.69509407441</v>
      </c>
      <c r="AX28" s="6193">
        <f t="shared" ref="AX28:AX33" si="138">AT28+AV28</f>
        <v>391012.66</v>
      </c>
      <c r="AY28" s="7492">
        <f>'Maj Production Summ'!AY36-AY30-AY31-AY32</f>
        <v>43452.612262521594</v>
      </c>
      <c r="AZ28" s="6401">
        <f t="shared" ref="AZ28:AZ31" si="139">AZ35+AZ42</f>
        <v>51790.299999999996</v>
      </c>
      <c r="BA28" s="7292">
        <f>AQ28+AU28+AY28</f>
        <v>133450.22061678505</v>
      </c>
      <c r="BB28" s="4125">
        <f t="shared" ref="BB28:BB32" si="140">AR28+AV28+AZ28</f>
        <v>164735.19999999998</v>
      </c>
      <c r="BC28" s="7527">
        <f>AM28+BA28</f>
        <v>270182.29232014745</v>
      </c>
      <c r="BD28" s="4157">
        <f t="shared" ref="BD28:BD32" si="141">AN28+BB28</f>
        <v>235230.74</v>
      </c>
      <c r="BE28" s="7493">
        <f>AW28+AY28</f>
        <v>474963.30735659599</v>
      </c>
      <c r="BF28" s="2399">
        <f t="shared" ref="BF28:BF33" si="142">AX28+AZ28</f>
        <v>442802.95999999996</v>
      </c>
      <c r="BG28" s="4590"/>
      <c r="BH28" s="4590"/>
      <c r="BI28" s="4590"/>
      <c r="BJ28" s="4590"/>
    </row>
    <row r="29" spans="1:63" x14ac:dyDescent="0.25">
      <c r="A29" s="93"/>
      <c r="B29" s="1020" t="s">
        <v>76</v>
      </c>
      <c r="C29" s="159" t="s">
        <v>50</v>
      </c>
      <c r="D29" s="7492"/>
      <c r="E29" s="7492"/>
      <c r="F29" s="2400">
        <f t="shared" si="120"/>
        <v>5959.1999999999989</v>
      </c>
      <c r="G29" s="7492"/>
      <c r="H29" s="7166">
        <f t="shared" si="120"/>
        <v>10028.82</v>
      </c>
      <c r="I29" s="7511"/>
      <c r="J29" s="2399">
        <f t="shared" si="0"/>
        <v>15988.019999999999</v>
      </c>
      <c r="K29" s="7492"/>
      <c r="L29" s="4574">
        <f t="shared" si="121"/>
        <v>6930.880000000001</v>
      </c>
      <c r="M29" s="7292"/>
      <c r="N29" s="4125">
        <f t="shared" si="122"/>
        <v>22918.9</v>
      </c>
      <c r="O29" s="7492"/>
      <c r="P29" s="4778">
        <f t="shared" si="123"/>
        <v>12348.679999999993</v>
      </c>
      <c r="Q29" s="7511"/>
      <c r="R29" s="2399">
        <f t="shared" si="124"/>
        <v>35267.579999999994</v>
      </c>
      <c r="S29" s="7492"/>
      <c r="T29" s="4889">
        <f t="shared" si="125"/>
        <v>16863.860000000004</v>
      </c>
      <c r="U29" s="7511"/>
      <c r="V29" s="4890">
        <f t="shared" si="126"/>
        <v>52131.44</v>
      </c>
      <c r="W29" s="7492"/>
      <c r="X29" s="5026">
        <f t="shared" si="127"/>
        <v>7181.9099999999971</v>
      </c>
      <c r="Y29" s="7292"/>
      <c r="Z29" s="4125">
        <f t="shared" si="128"/>
        <v>36394.449999999997</v>
      </c>
      <c r="AA29" s="7527"/>
      <c r="AB29" s="4157">
        <f t="shared" ref="AB29:AB32" si="143">N29+Z29</f>
        <v>59313.35</v>
      </c>
      <c r="AC29" s="7492"/>
      <c r="AD29" s="5337">
        <f t="shared" si="129"/>
        <v>17096.259999999995</v>
      </c>
      <c r="AE29" s="7511"/>
      <c r="AF29" s="2399">
        <f t="shared" si="130"/>
        <v>76409.609999999986</v>
      </c>
      <c r="AG29" s="7492"/>
      <c r="AH29" s="5510">
        <f t="shared" si="131"/>
        <v>0</v>
      </c>
      <c r="AI29" s="7494"/>
      <c r="AJ29" s="2399">
        <f t="shared" si="132"/>
        <v>76409.609999999986</v>
      </c>
      <c r="AK29" s="7492"/>
      <c r="AL29" s="5911">
        <f t="shared" si="133"/>
        <v>8818.2000000000007</v>
      </c>
      <c r="AM29" s="7292"/>
      <c r="AN29" s="4125">
        <f t="shared" si="134"/>
        <v>25914.459999999995</v>
      </c>
      <c r="AO29" s="7511"/>
      <c r="AP29" s="2399">
        <f t="shared" ref="AP29:AP47" si="144">AJ29+AL29</f>
        <v>85227.809999999983</v>
      </c>
      <c r="AQ29" s="7492"/>
      <c r="AR29" s="6066">
        <f t="shared" si="135"/>
        <v>8316.82</v>
      </c>
      <c r="AS29" s="7494"/>
      <c r="AT29" s="2399">
        <f t="shared" si="136"/>
        <v>93544.629999999976</v>
      </c>
      <c r="AU29" s="7492"/>
      <c r="AV29" s="6189">
        <f t="shared" si="137"/>
        <v>8045.44</v>
      </c>
      <c r="AW29" s="7494"/>
      <c r="AX29" s="6193">
        <f t="shared" si="138"/>
        <v>101590.06999999998</v>
      </c>
      <c r="AY29" s="7492"/>
      <c r="AZ29" s="6401">
        <f t="shared" si="139"/>
        <v>9915.6600000000017</v>
      </c>
      <c r="BA29" s="7292"/>
      <c r="BB29" s="4125">
        <f t="shared" si="140"/>
        <v>26277.919999999998</v>
      </c>
      <c r="BC29" s="7527"/>
      <c r="BD29" s="4157">
        <f t="shared" si="141"/>
        <v>52192.37999999999</v>
      </c>
      <c r="BE29" s="7494"/>
      <c r="BF29" s="2399">
        <f t="shared" si="142"/>
        <v>111505.72999999998</v>
      </c>
      <c r="BG29" s="4590"/>
      <c r="BH29" s="4590"/>
      <c r="BI29" s="4590"/>
      <c r="BJ29" s="4590"/>
    </row>
    <row r="30" spans="1:63" x14ac:dyDescent="0.25">
      <c r="A30" s="117"/>
      <c r="B30" s="1020" t="s">
        <v>137</v>
      </c>
      <c r="C30" s="159" t="s">
        <v>50</v>
      </c>
      <c r="D30" s="2400">
        <f>+D37+D44</f>
        <v>15000.000000000002</v>
      </c>
      <c r="E30" s="2400">
        <v>1363.6363636363637</v>
      </c>
      <c r="F30" s="2400">
        <f t="shared" si="120"/>
        <v>4343.1200000000008</v>
      </c>
      <c r="G30" s="7166"/>
      <c r="H30" s="7166">
        <f t="shared" si="120"/>
        <v>2814.6399999999994</v>
      </c>
      <c r="I30" s="2399">
        <f t="shared" ref="I30:I33" si="145">E30+G30</f>
        <v>1363.6363636363637</v>
      </c>
      <c r="J30" s="2399">
        <f t="shared" si="0"/>
        <v>7157.76</v>
      </c>
      <c r="K30" s="4574">
        <v>0</v>
      </c>
      <c r="L30" s="4574">
        <f t="shared" si="121"/>
        <v>0</v>
      </c>
      <c r="M30" s="4125">
        <f>E30+G30+K30</f>
        <v>1363.6363636363637</v>
      </c>
      <c r="N30" s="4125">
        <f>F30+H30+L30</f>
        <v>7157.76</v>
      </c>
      <c r="O30" s="4778">
        <v>0</v>
      </c>
      <c r="P30" s="4778">
        <f t="shared" si="123"/>
        <v>0</v>
      </c>
      <c r="Q30" s="2399">
        <f t="shared" ref="Q30:Q33" si="146">M30+O30</f>
        <v>1363.6363636363637</v>
      </c>
      <c r="R30" s="2399">
        <f t="shared" si="124"/>
        <v>7157.76</v>
      </c>
      <c r="S30" s="4889">
        <v>0</v>
      </c>
      <c r="T30" s="4889">
        <f t="shared" si="125"/>
        <v>2823.7400000000007</v>
      </c>
      <c r="U30" s="4890">
        <f t="shared" ref="U30:U33" si="147">Q30+S30</f>
        <v>1363.6363636363637</v>
      </c>
      <c r="V30" s="4890">
        <f t="shared" si="126"/>
        <v>9981.5</v>
      </c>
      <c r="W30" s="5026">
        <v>0</v>
      </c>
      <c r="X30" s="5026">
        <f t="shared" si="127"/>
        <v>0</v>
      </c>
      <c r="Y30" s="4125">
        <f t="shared" si="128"/>
        <v>0</v>
      </c>
      <c r="Z30" s="4125">
        <f t="shared" si="128"/>
        <v>2823.7400000000007</v>
      </c>
      <c r="AA30" s="4157">
        <f>M30+Y30</f>
        <v>1363.6363636363637</v>
      </c>
      <c r="AB30" s="4157">
        <f t="shared" si="143"/>
        <v>9981.5</v>
      </c>
      <c r="AC30" s="5337">
        <v>0</v>
      </c>
      <c r="AD30" s="5337">
        <f t="shared" si="129"/>
        <v>2633.36</v>
      </c>
      <c r="AE30" s="2399">
        <f t="shared" ref="AE30:AE33" si="148">AA30+AC30</f>
        <v>1363.6363636363637</v>
      </c>
      <c r="AF30" s="2399">
        <f t="shared" si="130"/>
        <v>12614.86</v>
      </c>
      <c r="AG30" s="5510">
        <v>0</v>
      </c>
      <c r="AH30" s="5510">
        <f t="shared" si="131"/>
        <v>0</v>
      </c>
      <c r="AI30" s="2399">
        <f t="shared" ref="AI30:AI33" si="149">AE30+AG30</f>
        <v>1363.6363636363637</v>
      </c>
      <c r="AJ30" s="2399">
        <f t="shared" si="132"/>
        <v>12614.86</v>
      </c>
      <c r="AK30" s="5911">
        <v>0</v>
      </c>
      <c r="AL30" s="5911">
        <f t="shared" si="133"/>
        <v>0</v>
      </c>
      <c r="AM30" s="4125">
        <f t="shared" ref="AM30:AM32" si="150">AC30+AG30+AK30</f>
        <v>0</v>
      </c>
      <c r="AN30" s="4125">
        <f t="shared" si="134"/>
        <v>2633.36</v>
      </c>
      <c r="AO30" s="2399">
        <f>AI30+AK30</f>
        <v>1363.6363636363637</v>
      </c>
      <c r="AP30" s="2399">
        <f t="shared" si="144"/>
        <v>12614.86</v>
      </c>
      <c r="AQ30" s="6066">
        <v>0</v>
      </c>
      <c r="AR30" s="6066">
        <f t="shared" si="135"/>
        <v>2758.7400000000007</v>
      </c>
      <c r="AS30" s="2399">
        <f t="shared" ref="AS30:AS33" si="151">AO30+AQ30</f>
        <v>1363.6363636363637</v>
      </c>
      <c r="AT30" s="2399">
        <f t="shared" si="136"/>
        <v>15373.600000000002</v>
      </c>
      <c r="AU30" s="6189"/>
      <c r="AV30" s="6189">
        <f t="shared" si="137"/>
        <v>0</v>
      </c>
      <c r="AW30" s="6193">
        <f t="shared" ref="AW30:AW33" si="152">AS30+AU30</f>
        <v>1363.6363636363637</v>
      </c>
      <c r="AX30" s="6193">
        <f t="shared" si="138"/>
        <v>15373.600000000002</v>
      </c>
      <c r="AY30" s="6401"/>
      <c r="AZ30" s="6401">
        <f t="shared" si="139"/>
        <v>0</v>
      </c>
      <c r="BA30" s="4125">
        <f t="shared" ref="BA30:BA32" si="153">AQ30+AU30+AY30</f>
        <v>0</v>
      </c>
      <c r="BB30" s="4125">
        <f t="shared" si="140"/>
        <v>2758.7400000000007</v>
      </c>
      <c r="BC30" s="4157">
        <f t="shared" ref="BC30:BC32" si="154">AM30+BA30</f>
        <v>0</v>
      </c>
      <c r="BD30" s="4157">
        <f t="shared" si="141"/>
        <v>5392.1</v>
      </c>
      <c r="BE30" s="2399">
        <f t="shared" ref="BE30:BE33" si="155">AW30+AY30</f>
        <v>1363.6363636363637</v>
      </c>
      <c r="BF30" s="2399">
        <f t="shared" si="142"/>
        <v>15373.600000000002</v>
      </c>
      <c r="BG30" s="4590"/>
      <c r="BH30" s="4590"/>
      <c r="BI30" s="4590"/>
      <c r="BJ30" s="4590"/>
    </row>
    <row r="31" spans="1:63" x14ac:dyDescent="0.25">
      <c r="A31" s="93"/>
      <c r="B31" s="1020" t="s">
        <v>77</v>
      </c>
      <c r="C31" s="159" t="s">
        <v>50</v>
      </c>
      <c r="D31" s="1970">
        <f>+D38+D45</f>
        <v>0</v>
      </c>
      <c r="E31" s="2400">
        <v>0</v>
      </c>
      <c r="F31" s="2400">
        <f t="shared" si="120"/>
        <v>0</v>
      </c>
      <c r="G31" s="7166"/>
      <c r="H31" s="7166">
        <f t="shared" si="120"/>
        <v>299.72000000000003</v>
      </c>
      <c r="I31" s="2399">
        <f t="shared" si="145"/>
        <v>0</v>
      </c>
      <c r="J31" s="2399">
        <f t="shared" si="0"/>
        <v>299.72000000000003</v>
      </c>
      <c r="K31" s="4574">
        <v>0</v>
      </c>
      <c r="L31" s="4574">
        <f t="shared" si="121"/>
        <v>0</v>
      </c>
      <c r="M31" s="4125">
        <f t="shared" ref="M31:M32" si="156">E31+G31+K31</f>
        <v>0</v>
      </c>
      <c r="N31" s="4125">
        <f t="shared" ref="N31:N32" si="157">F31+H31+L31</f>
        <v>299.72000000000003</v>
      </c>
      <c r="O31" s="4778">
        <v>0</v>
      </c>
      <c r="P31" s="4778">
        <f t="shared" si="123"/>
        <v>0</v>
      </c>
      <c r="Q31" s="2399">
        <f t="shared" si="146"/>
        <v>0</v>
      </c>
      <c r="R31" s="2399">
        <f t="shared" si="124"/>
        <v>299.72000000000003</v>
      </c>
      <c r="S31" s="4889">
        <v>0</v>
      </c>
      <c r="T31" s="4889">
        <f t="shared" si="125"/>
        <v>0</v>
      </c>
      <c r="U31" s="4890">
        <f t="shared" si="147"/>
        <v>0</v>
      </c>
      <c r="V31" s="4890">
        <f t="shared" si="126"/>
        <v>299.72000000000003</v>
      </c>
      <c r="W31" s="5026">
        <v>0</v>
      </c>
      <c r="X31" s="5026">
        <f t="shared" si="127"/>
        <v>0</v>
      </c>
      <c r="Y31" s="4125">
        <f t="shared" si="128"/>
        <v>0</v>
      </c>
      <c r="Z31" s="4125">
        <f t="shared" si="128"/>
        <v>0</v>
      </c>
      <c r="AA31" s="4157">
        <f>M31+Y31</f>
        <v>0</v>
      </c>
      <c r="AB31" s="4157">
        <f t="shared" si="143"/>
        <v>299.72000000000003</v>
      </c>
      <c r="AC31" s="5337">
        <v>0</v>
      </c>
      <c r="AD31" s="5337">
        <f t="shared" si="129"/>
        <v>0</v>
      </c>
      <c r="AE31" s="2399">
        <f t="shared" si="148"/>
        <v>0</v>
      </c>
      <c r="AF31" s="2399">
        <f t="shared" si="130"/>
        <v>299.72000000000003</v>
      </c>
      <c r="AG31" s="5510">
        <v>0</v>
      </c>
      <c r="AH31" s="5510">
        <f t="shared" si="131"/>
        <v>0</v>
      </c>
      <c r="AI31" s="2399">
        <f t="shared" si="149"/>
        <v>0</v>
      </c>
      <c r="AJ31" s="2399">
        <f t="shared" si="132"/>
        <v>299.72000000000003</v>
      </c>
      <c r="AK31" s="5911">
        <v>0</v>
      </c>
      <c r="AL31" s="5911">
        <f t="shared" si="133"/>
        <v>0</v>
      </c>
      <c r="AM31" s="4125">
        <f t="shared" si="150"/>
        <v>0</v>
      </c>
      <c r="AN31" s="4125">
        <f t="shared" si="134"/>
        <v>0</v>
      </c>
      <c r="AO31" s="2399">
        <f t="shared" ref="AO31:AO33" si="158">AI31+AK31</f>
        <v>0</v>
      </c>
      <c r="AP31" s="2399">
        <f t="shared" si="144"/>
        <v>299.72000000000003</v>
      </c>
      <c r="AQ31" s="6066">
        <v>0</v>
      </c>
      <c r="AR31" s="6066">
        <f t="shared" si="135"/>
        <v>0</v>
      </c>
      <c r="AS31" s="2399">
        <f t="shared" si="151"/>
        <v>0</v>
      </c>
      <c r="AT31" s="2399">
        <f t="shared" si="136"/>
        <v>299.72000000000003</v>
      </c>
      <c r="AU31" s="6189"/>
      <c r="AV31" s="6189">
        <f t="shared" si="137"/>
        <v>0</v>
      </c>
      <c r="AW31" s="6193">
        <f t="shared" si="152"/>
        <v>0</v>
      </c>
      <c r="AX31" s="6193">
        <f t="shared" si="138"/>
        <v>299.72000000000003</v>
      </c>
      <c r="AY31" s="6401"/>
      <c r="AZ31" s="6401">
        <f t="shared" si="139"/>
        <v>0</v>
      </c>
      <c r="BA31" s="4125">
        <f t="shared" si="153"/>
        <v>0</v>
      </c>
      <c r="BB31" s="4125">
        <f t="shared" si="140"/>
        <v>0</v>
      </c>
      <c r="BC31" s="4157">
        <f t="shared" si="154"/>
        <v>0</v>
      </c>
      <c r="BD31" s="4157">
        <f t="shared" si="141"/>
        <v>0</v>
      </c>
      <c r="BE31" s="2399">
        <f t="shared" si="155"/>
        <v>0</v>
      </c>
      <c r="BF31" s="2399">
        <f t="shared" si="142"/>
        <v>299.72000000000003</v>
      </c>
      <c r="BG31" s="4590"/>
      <c r="BH31" s="4590"/>
      <c r="BI31" s="4590"/>
      <c r="BJ31" s="4590"/>
    </row>
    <row r="32" spans="1:63" ht="21.2" customHeight="1" x14ac:dyDescent="0.25">
      <c r="A32" s="93"/>
      <c r="B32" s="1020" t="s">
        <v>1870</v>
      </c>
      <c r="C32" s="159" t="s">
        <v>50</v>
      </c>
      <c r="D32" s="2400">
        <f>+D39+D46</f>
        <v>24000</v>
      </c>
      <c r="E32" s="2400">
        <v>2000</v>
      </c>
      <c r="F32" s="2400">
        <f>F39+F46</f>
        <v>1095.8900000000001</v>
      </c>
      <c r="G32" s="7166"/>
      <c r="H32" s="7166">
        <f>H39+H46</f>
        <v>2405.23</v>
      </c>
      <c r="I32" s="2399">
        <f t="shared" si="145"/>
        <v>2000</v>
      </c>
      <c r="J32" s="2399">
        <f t="shared" si="0"/>
        <v>3501.12</v>
      </c>
      <c r="K32" s="4574">
        <v>0</v>
      </c>
      <c r="L32" s="4574">
        <f>L39+L46</f>
        <v>4335</v>
      </c>
      <c r="M32" s="4125">
        <f t="shared" si="156"/>
        <v>2000</v>
      </c>
      <c r="N32" s="4125">
        <f t="shared" si="157"/>
        <v>7836.12</v>
      </c>
      <c r="O32" s="4778">
        <v>0</v>
      </c>
      <c r="P32" s="4778">
        <f>P39+P46</f>
        <v>2363.09</v>
      </c>
      <c r="Q32" s="2399">
        <f t="shared" si="146"/>
        <v>2000</v>
      </c>
      <c r="R32" s="2399">
        <f t="shared" si="124"/>
        <v>10199.209999999999</v>
      </c>
      <c r="S32" s="4889">
        <v>2000</v>
      </c>
      <c r="T32" s="4889">
        <f>T39+T46</f>
        <v>4615.5</v>
      </c>
      <c r="U32" s="4890">
        <f t="shared" si="147"/>
        <v>4000</v>
      </c>
      <c r="V32" s="4890">
        <f t="shared" si="126"/>
        <v>14814.71</v>
      </c>
      <c r="W32" s="5026">
        <v>2000</v>
      </c>
      <c r="X32" s="5026">
        <f>X39+X46</f>
        <v>5084.5200000000004</v>
      </c>
      <c r="Y32" s="4125">
        <f t="shared" si="128"/>
        <v>4000</v>
      </c>
      <c r="Z32" s="4125">
        <f t="shared" si="128"/>
        <v>12063.11</v>
      </c>
      <c r="AA32" s="4157">
        <f>M32+Y32</f>
        <v>6000</v>
      </c>
      <c r="AB32" s="4157">
        <f t="shared" si="143"/>
        <v>19899.23</v>
      </c>
      <c r="AC32" s="5337">
        <v>2000</v>
      </c>
      <c r="AD32" s="5337">
        <f>AD39+AD46</f>
        <v>4044.2099999999996</v>
      </c>
      <c r="AE32" s="2399">
        <f t="shared" si="148"/>
        <v>8000</v>
      </c>
      <c r="AF32" s="2399">
        <f t="shared" si="130"/>
        <v>23943.439999999999</v>
      </c>
      <c r="AG32" s="5510">
        <v>2000</v>
      </c>
      <c r="AH32" s="5510">
        <f>AH39+AH46</f>
        <v>5778.3499999999995</v>
      </c>
      <c r="AI32" s="2399">
        <f t="shared" si="149"/>
        <v>10000</v>
      </c>
      <c r="AJ32" s="2399">
        <f t="shared" si="132"/>
        <v>29721.789999999997</v>
      </c>
      <c r="AK32" s="5911">
        <v>2000</v>
      </c>
      <c r="AL32" s="5911">
        <f>AL39+AL46</f>
        <v>3912.49</v>
      </c>
      <c r="AM32" s="4125">
        <f t="shared" si="150"/>
        <v>6000</v>
      </c>
      <c r="AN32" s="4125">
        <f t="shared" si="134"/>
        <v>13735.05</v>
      </c>
      <c r="AO32" s="2399">
        <f t="shared" si="158"/>
        <v>12000</v>
      </c>
      <c r="AP32" s="2399">
        <f t="shared" si="144"/>
        <v>33634.28</v>
      </c>
      <c r="AQ32" s="6066">
        <v>2000</v>
      </c>
      <c r="AR32" s="6066">
        <f>AR39+AR46</f>
        <v>3486.44</v>
      </c>
      <c r="AS32" s="2399">
        <f t="shared" si="151"/>
        <v>14000</v>
      </c>
      <c r="AT32" s="2399">
        <f t="shared" si="136"/>
        <v>37120.720000000001</v>
      </c>
      <c r="AU32" s="6189">
        <v>2000</v>
      </c>
      <c r="AV32" s="6189">
        <f>AV39+AV46</f>
        <v>1080.8899999999999</v>
      </c>
      <c r="AW32" s="6193">
        <f t="shared" si="152"/>
        <v>16000</v>
      </c>
      <c r="AX32" s="6193">
        <f t="shared" si="138"/>
        <v>38201.61</v>
      </c>
      <c r="AY32" s="6401">
        <v>2000</v>
      </c>
      <c r="AZ32" s="6401">
        <f>AZ39+AZ46</f>
        <v>6965.79</v>
      </c>
      <c r="BA32" s="4125">
        <f t="shared" si="153"/>
        <v>6000</v>
      </c>
      <c r="BB32" s="4125">
        <f t="shared" si="140"/>
        <v>11533.119999999999</v>
      </c>
      <c r="BC32" s="4157">
        <f t="shared" si="154"/>
        <v>12000</v>
      </c>
      <c r="BD32" s="4157">
        <f t="shared" si="141"/>
        <v>25268.17</v>
      </c>
      <c r="BE32" s="2399">
        <f t="shared" si="155"/>
        <v>18000</v>
      </c>
      <c r="BF32" s="2399">
        <f t="shared" si="142"/>
        <v>45167.4</v>
      </c>
      <c r="BG32" s="4590"/>
      <c r="BH32" s="4590"/>
      <c r="BI32" s="4590"/>
      <c r="BJ32" s="4590"/>
    </row>
    <row r="33" spans="1:62" ht="21.2" customHeight="1" x14ac:dyDescent="0.25">
      <c r="A33" s="93"/>
      <c r="B33" s="4159" t="s">
        <v>2</v>
      </c>
      <c r="C33" s="4141" t="s">
        <v>50</v>
      </c>
      <c r="D33" s="1826">
        <f>SUM(D28:D32)</f>
        <v>524798</v>
      </c>
      <c r="E33" s="1971">
        <f t="shared" ref="E33:G33" si="159">SUM(E28:E32)</f>
        <v>48499.815368603398</v>
      </c>
      <c r="F33" s="1971">
        <f t="shared" si="120"/>
        <v>38424.29</v>
      </c>
      <c r="G33" s="1971">
        <f t="shared" si="159"/>
        <v>48499.576671657102</v>
      </c>
      <c r="H33" s="1971">
        <f t="shared" si="120"/>
        <v>53035.109999999993</v>
      </c>
      <c r="I33" s="376">
        <f t="shared" si="145"/>
        <v>96999.3920402605</v>
      </c>
      <c r="J33" s="376">
        <f t="shared" si="0"/>
        <v>91459.4</v>
      </c>
      <c r="K33" s="1971">
        <f t="shared" ref="K33" si="160">SUM(K28:K32)</f>
        <v>29529.067357512999</v>
      </c>
      <c r="L33" s="1971">
        <f t="shared" ref="L33" si="161">L40+L47</f>
        <v>26863.510000000002</v>
      </c>
      <c r="M33" s="378">
        <f>E33+G33+K33</f>
        <v>126528.45939777349</v>
      </c>
      <c r="N33" s="378">
        <f>F33+H33+L33</f>
        <v>118322.91</v>
      </c>
      <c r="O33" s="1971">
        <f t="shared" ref="O33" si="162">SUM(O28:O32)</f>
        <v>6183.2297063903206</v>
      </c>
      <c r="P33" s="1971">
        <f t="shared" ref="P33" si="163">P40+P47</f>
        <v>57492.479999999996</v>
      </c>
      <c r="Q33" s="376">
        <f t="shared" si="146"/>
        <v>132711.68910416382</v>
      </c>
      <c r="R33" s="376">
        <f t="shared" si="124"/>
        <v>175815.39</v>
      </c>
      <c r="S33" s="1971">
        <f t="shared" ref="S33" si="164">SUM(S28:S32)</f>
        <v>43452.1764582701</v>
      </c>
      <c r="T33" s="1971">
        <f t="shared" ref="T33" si="165">T40+T47</f>
        <v>62737.390000000007</v>
      </c>
      <c r="U33" s="4885">
        <f t="shared" si="147"/>
        <v>176163.8655624339</v>
      </c>
      <c r="V33" s="4885">
        <f t="shared" si="126"/>
        <v>238552.78000000003</v>
      </c>
      <c r="W33" s="1971">
        <f t="shared" ref="W33" si="166">SUM(W28:W32)</f>
        <v>35980.785837651099</v>
      </c>
      <c r="X33" s="1971">
        <f t="shared" ref="X33" si="167">X40+X47</f>
        <v>58513.239999999991</v>
      </c>
      <c r="Y33" s="378">
        <f>O33+S33+W33</f>
        <v>85616.192002311524</v>
      </c>
      <c r="Z33" s="378">
        <f>P33+T33+X33</f>
        <v>178743.11</v>
      </c>
      <c r="AA33" s="4160">
        <f>M33+Y33</f>
        <v>212144.65140008501</v>
      </c>
      <c r="AB33" s="4160">
        <f>N33+Z33</f>
        <v>297066.02</v>
      </c>
      <c r="AC33" s="1971">
        <f t="shared" ref="AC33" si="168">SUM(AC28:AC32)</f>
        <v>47341.093867539748</v>
      </c>
      <c r="AD33" s="1971">
        <f t="shared" ref="AD33" si="169">AD40+AD47</f>
        <v>35082.239999999991</v>
      </c>
      <c r="AE33" s="376">
        <f t="shared" si="148"/>
        <v>259485.74526762476</v>
      </c>
      <c r="AF33" s="376">
        <f t="shared" si="130"/>
        <v>332148.26</v>
      </c>
      <c r="AG33" s="1971">
        <f t="shared" ref="AG33" si="170">SUM(AG28:AG32)</f>
        <v>49680.915573301019</v>
      </c>
      <c r="AH33" s="1971">
        <f t="shared" ref="AH33" si="171">AH40+AH47</f>
        <v>17683.650000000001</v>
      </c>
      <c r="AI33" s="376">
        <f t="shared" si="149"/>
        <v>309166.66084092576</v>
      </c>
      <c r="AJ33" s="376">
        <f t="shared" si="132"/>
        <v>349831.91000000003</v>
      </c>
      <c r="AK33" s="1971">
        <f t="shared" ref="AK33" si="172">SUM(AK28:AK32)</f>
        <v>45710.062262521606</v>
      </c>
      <c r="AL33" s="1971">
        <f t="shared" ref="AL33" si="173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58"/>
        <v>354876.72310344735</v>
      </c>
      <c r="AP33" s="376">
        <f t="shared" si="144"/>
        <v>409844.43000000005</v>
      </c>
      <c r="AQ33" s="1971">
        <f t="shared" ref="AQ33" si="174">SUM(AQ28:AQ32)</f>
        <v>47339.612262521601</v>
      </c>
      <c r="AR33" s="1971">
        <f t="shared" ref="AR33" si="175">AR40+AR47</f>
        <v>86416.17</v>
      </c>
      <c r="AS33" s="376">
        <f t="shared" si="151"/>
        <v>402216.33536596893</v>
      </c>
      <c r="AT33" s="376">
        <f t="shared" si="136"/>
        <v>496260.60000000003</v>
      </c>
      <c r="AU33" s="1971">
        <f t="shared" ref="AU33" si="176">SUM(AU28:AU32)</f>
        <v>46657.996091741836</v>
      </c>
      <c r="AV33" s="1971">
        <f t="shared" ref="AV33" si="177">AV40+AV47</f>
        <v>50217.060000000005</v>
      </c>
      <c r="AW33" s="6190">
        <f t="shared" si="152"/>
        <v>448874.33145771077</v>
      </c>
      <c r="AX33" s="6190">
        <f t="shared" si="138"/>
        <v>546477.66</v>
      </c>
      <c r="AY33" s="1971">
        <f t="shared" ref="AY33" si="178">SUM(AY28:AY32)</f>
        <v>45452.612262521594</v>
      </c>
      <c r="AZ33" s="1971">
        <f t="shared" ref="AZ33" si="179">AZ40+AZ47</f>
        <v>68671.75</v>
      </c>
      <c r="BA33" s="378">
        <f>AQ33+AU33+AY33</f>
        <v>139450.22061678505</v>
      </c>
      <c r="BB33" s="378">
        <f>AR33+AV33+AZ33</f>
        <v>205304.98</v>
      </c>
      <c r="BC33" s="4160">
        <f>AM33+BA33</f>
        <v>282182.29232014745</v>
      </c>
      <c r="BD33" s="4160">
        <f>AN33+BB33</f>
        <v>318083.39</v>
      </c>
      <c r="BE33" s="376">
        <f t="shared" si="155"/>
        <v>494326.94372023235</v>
      </c>
      <c r="BF33" s="376">
        <f t="shared" si="142"/>
        <v>615149.41</v>
      </c>
      <c r="BG33" s="4590"/>
      <c r="BH33" s="4590"/>
      <c r="BI33" s="4590"/>
      <c r="BJ33" s="4590"/>
    </row>
    <row r="34" spans="1:62" x14ac:dyDescent="0.25">
      <c r="A34" s="154"/>
      <c r="B34" s="4156" t="s">
        <v>1406</v>
      </c>
      <c r="C34" s="4156"/>
      <c r="D34" s="4163"/>
      <c r="E34" s="4162"/>
      <c r="F34" s="4162"/>
      <c r="G34" s="4162"/>
      <c r="H34" s="4162"/>
      <c r="I34" s="4162"/>
      <c r="J34" s="4162"/>
      <c r="K34" s="4162"/>
      <c r="L34" s="4162"/>
      <c r="M34" s="4162"/>
      <c r="N34" s="4162"/>
      <c r="O34" s="4162"/>
      <c r="P34" s="4162"/>
      <c r="Q34" s="4162"/>
      <c r="R34" s="4162"/>
      <c r="S34" s="4162"/>
      <c r="T34" s="4162"/>
      <c r="U34" s="4162"/>
      <c r="V34" s="4162"/>
      <c r="W34" s="4162"/>
      <c r="X34" s="4162"/>
      <c r="Y34" s="4162"/>
      <c r="Z34" s="4162"/>
      <c r="AA34" s="4162"/>
      <c r="AB34" s="4162"/>
      <c r="AC34" s="4162"/>
      <c r="AD34" s="4162"/>
      <c r="AE34" s="4162"/>
      <c r="AF34" s="4162"/>
      <c r="AG34" s="4162"/>
      <c r="AH34" s="4162"/>
      <c r="AI34" s="4162"/>
      <c r="AJ34" s="4162"/>
      <c r="AK34" s="4162"/>
      <c r="AL34" s="4162"/>
      <c r="AM34" s="4162"/>
      <c r="AN34" s="4162"/>
      <c r="AO34" s="4162"/>
      <c r="AP34" s="4162"/>
      <c r="AQ34" s="4162"/>
      <c r="AR34" s="4162"/>
      <c r="AS34" s="4162"/>
      <c r="AT34" s="4162"/>
      <c r="AU34" s="4162"/>
      <c r="AV34" s="4162"/>
      <c r="AW34" s="4162"/>
      <c r="AX34" s="4162"/>
      <c r="AY34" s="4162"/>
      <c r="AZ34" s="4162"/>
      <c r="BA34" s="4162"/>
      <c r="BB34" s="4162"/>
      <c r="BC34" s="4162"/>
      <c r="BD34" s="4162"/>
      <c r="BE34" s="4162"/>
      <c r="BF34" s="4162"/>
      <c r="BG34" s="4590"/>
      <c r="BH34" s="4590"/>
      <c r="BI34" s="4590"/>
      <c r="BJ34" s="4590"/>
    </row>
    <row r="35" spans="1:62" x14ac:dyDescent="0.25">
      <c r="A35" s="93"/>
      <c r="B35" s="1020" t="s">
        <v>75</v>
      </c>
      <c r="C35" s="159" t="s">
        <v>50</v>
      </c>
      <c r="D35" s="7492">
        <v>485798</v>
      </c>
      <c r="E35" s="7492"/>
      <c r="F35" s="2400">
        <v>26899.1</v>
      </c>
      <c r="G35" s="7492"/>
      <c r="H35" s="7166">
        <v>35407.299999999996</v>
      </c>
      <c r="I35" s="7511"/>
      <c r="J35" s="2399">
        <f t="shared" si="0"/>
        <v>62306.399999999994</v>
      </c>
      <c r="K35" s="7492"/>
      <c r="L35" s="4574">
        <v>14208.530000000002</v>
      </c>
      <c r="M35" s="7292"/>
      <c r="N35" s="4125">
        <f>F35+H35+L35</f>
        <v>76514.929999999993</v>
      </c>
      <c r="O35" s="7492"/>
      <c r="P35" s="4778">
        <v>35292.69</v>
      </c>
      <c r="Q35" s="7511"/>
      <c r="R35" s="2399">
        <f t="shared" ref="R35:R40" si="180">N35+P35</f>
        <v>111807.62</v>
      </c>
      <c r="S35" s="7492"/>
      <c r="T35" s="4889">
        <v>30139.29</v>
      </c>
      <c r="U35" s="7511"/>
      <c r="V35" s="4890">
        <f t="shared" ref="V35:V40" si="181">R35+T35</f>
        <v>141946.91</v>
      </c>
      <c r="W35" s="7492"/>
      <c r="X35" s="5026">
        <v>42884.709999999992</v>
      </c>
      <c r="Y35" s="7292"/>
      <c r="Z35" s="4125">
        <f>P35+T35+X35</f>
        <v>108316.69</v>
      </c>
      <c r="AA35" s="7527"/>
      <c r="AB35" s="4157">
        <f t="shared" ref="AB35:AB40" si="182">N35+Z35</f>
        <v>184831.62</v>
      </c>
      <c r="AC35" s="7492"/>
      <c r="AD35" s="5337">
        <v>7896.41</v>
      </c>
      <c r="AE35" s="7511"/>
      <c r="AF35" s="2399">
        <f t="shared" ref="AF35:AF40" si="183">AB35+AD35</f>
        <v>192728.03</v>
      </c>
      <c r="AG35" s="7492"/>
      <c r="AH35" s="5510">
        <v>6021.4100000000017</v>
      </c>
      <c r="AI35" s="7493"/>
      <c r="AJ35" s="2399">
        <f t="shared" ref="AJ35:AJ40" si="184">AF35+AH35</f>
        <v>198749.44</v>
      </c>
      <c r="AK35" s="7492"/>
      <c r="AL35" s="5911">
        <v>42817.819999999992</v>
      </c>
      <c r="AM35" s="7292"/>
      <c r="AN35" s="4125">
        <f>AD35+AH35+AL35</f>
        <v>56735.639999999992</v>
      </c>
      <c r="AO35" s="7511"/>
      <c r="AP35" s="2399">
        <f t="shared" si="144"/>
        <v>241567.26</v>
      </c>
      <c r="AQ35" s="7492"/>
      <c r="AR35" s="6066">
        <v>61175.14</v>
      </c>
      <c r="AS35" s="7493"/>
      <c r="AT35" s="2399">
        <f t="shared" ref="AT35:AT40" si="185">AP35+AR35</f>
        <v>302742.40000000002</v>
      </c>
      <c r="AU35" s="7492"/>
      <c r="AV35" s="6189">
        <v>35169.300000000003</v>
      </c>
      <c r="AW35" s="7493"/>
      <c r="AX35" s="6193">
        <f t="shared" ref="AX35:AX40" si="186">AT35+AV35</f>
        <v>337911.7</v>
      </c>
      <c r="AY35" s="7492"/>
      <c r="AZ35" s="6401">
        <v>51034.939999999995</v>
      </c>
      <c r="BA35" s="7292"/>
      <c r="BB35" s="4125">
        <f>AR35+AV35+AZ35</f>
        <v>147379.38</v>
      </c>
      <c r="BC35" s="7527"/>
      <c r="BD35" s="4157">
        <f t="shared" ref="BD35:BD39" si="187">AN35+BB35</f>
        <v>204115.02</v>
      </c>
      <c r="BE35" s="7549">
        <v>447000</v>
      </c>
      <c r="BF35" s="2399">
        <f t="shared" ref="BF35:BF40" si="188">AX35+AZ35</f>
        <v>388946.64</v>
      </c>
      <c r="BG35" s="4590"/>
      <c r="BH35" s="4590"/>
      <c r="BI35" s="4590"/>
      <c r="BJ35" s="4590"/>
    </row>
    <row r="36" spans="1:62" x14ac:dyDescent="0.25">
      <c r="A36" s="93"/>
      <c r="B36" s="1020" t="s">
        <v>76</v>
      </c>
      <c r="C36" s="159" t="s">
        <v>50</v>
      </c>
      <c r="D36" s="7492"/>
      <c r="E36" s="7492"/>
      <c r="F36" s="2400">
        <v>5959.1999999999989</v>
      </c>
      <c r="G36" s="7492"/>
      <c r="H36" s="7166">
        <v>10028.82</v>
      </c>
      <c r="I36" s="7511"/>
      <c r="J36" s="2399">
        <f t="shared" si="0"/>
        <v>15988.019999999999</v>
      </c>
      <c r="K36" s="7492"/>
      <c r="L36" s="4574">
        <v>6930.880000000001</v>
      </c>
      <c r="M36" s="7292"/>
      <c r="N36" s="4125">
        <f t="shared" ref="N36:N39" si="189">F36+H36+L36</f>
        <v>22918.9</v>
      </c>
      <c r="O36" s="7492"/>
      <c r="P36" s="4778">
        <v>12348.679999999993</v>
      </c>
      <c r="Q36" s="7511"/>
      <c r="R36" s="2399">
        <f t="shared" si="180"/>
        <v>35267.579999999994</v>
      </c>
      <c r="S36" s="7492"/>
      <c r="T36" s="4889">
        <v>16863.860000000004</v>
      </c>
      <c r="U36" s="7511"/>
      <c r="V36" s="4890">
        <f t="shared" si="181"/>
        <v>52131.44</v>
      </c>
      <c r="W36" s="7492"/>
      <c r="X36" s="5026">
        <v>6991.5499999999975</v>
      </c>
      <c r="Y36" s="7292"/>
      <c r="Z36" s="4125">
        <f t="shared" ref="Z36:Z39" si="190">P36+T36+X36</f>
        <v>36204.089999999997</v>
      </c>
      <c r="AA36" s="7527"/>
      <c r="AB36" s="4157">
        <f t="shared" si="182"/>
        <v>59122.99</v>
      </c>
      <c r="AC36" s="7492"/>
      <c r="AD36" s="5337">
        <v>17096.259999999995</v>
      </c>
      <c r="AE36" s="7511"/>
      <c r="AF36" s="2399">
        <f t="shared" si="183"/>
        <v>76219.25</v>
      </c>
      <c r="AG36" s="7492"/>
      <c r="AH36" s="5510"/>
      <c r="AI36" s="7494"/>
      <c r="AJ36" s="2399">
        <f t="shared" si="184"/>
        <v>76219.25</v>
      </c>
      <c r="AK36" s="7492"/>
      <c r="AL36" s="5911">
        <v>8818.2000000000007</v>
      </c>
      <c r="AM36" s="7292"/>
      <c r="AN36" s="4125">
        <f t="shared" ref="AN36:AN39" si="191">AD36+AH36+AL36</f>
        <v>25914.459999999995</v>
      </c>
      <c r="AO36" s="7511"/>
      <c r="AP36" s="2399">
        <f t="shared" si="144"/>
        <v>85037.45</v>
      </c>
      <c r="AQ36" s="7492"/>
      <c r="AR36" s="6066">
        <v>8316.82</v>
      </c>
      <c r="AS36" s="7494"/>
      <c r="AT36" s="2399">
        <f t="shared" si="185"/>
        <v>93354.26999999999</v>
      </c>
      <c r="AU36" s="7492"/>
      <c r="AV36" s="6189">
        <v>8045.44</v>
      </c>
      <c r="AW36" s="7494"/>
      <c r="AX36" s="6193">
        <f t="shared" si="186"/>
        <v>101399.70999999999</v>
      </c>
      <c r="AY36" s="7492"/>
      <c r="AZ36" s="6401">
        <v>9915.6600000000017</v>
      </c>
      <c r="BA36" s="7292"/>
      <c r="BB36" s="4125">
        <f t="shared" ref="BB36:BB39" si="192">AR36+AV36+AZ36</f>
        <v>26277.919999999998</v>
      </c>
      <c r="BC36" s="7527"/>
      <c r="BD36" s="4157">
        <f t="shared" si="187"/>
        <v>52192.37999999999</v>
      </c>
      <c r="BE36" s="7494"/>
      <c r="BF36" s="2399">
        <f t="shared" si="188"/>
        <v>111315.37</v>
      </c>
      <c r="BG36" s="4590"/>
      <c r="BH36" s="4590"/>
      <c r="BI36" s="4590"/>
      <c r="BJ36" s="4590"/>
    </row>
    <row r="37" spans="1:62" x14ac:dyDescent="0.25">
      <c r="A37" s="93"/>
      <c r="B37" s="1020" t="s">
        <v>137</v>
      </c>
      <c r="C37" s="159" t="s">
        <v>50</v>
      </c>
      <c r="D37" s="2400">
        <v>15000.000000000002</v>
      </c>
      <c r="E37" s="2400"/>
      <c r="F37" s="2400">
        <v>4343.1200000000008</v>
      </c>
      <c r="G37" s="7166"/>
      <c r="H37" s="7166">
        <v>2814.6399999999994</v>
      </c>
      <c r="I37" s="2399"/>
      <c r="J37" s="2399">
        <f t="shared" si="0"/>
        <v>7157.76</v>
      </c>
      <c r="K37" s="4574"/>
      <c r="L37" s="4574">
        <v>0</v>
      </c>
      <c r="M37" s="4125"/>
      <c r="N37" s="4125">
        <f t="shared" si="189"/>
        <v>7157.76</v>
      </c>
      <c r="O37" s="4778"/>
      <c r="P37" s="4778">
        <v>0</v>
      </c>
      <c r="Q37" s="2399"/>
      <c r="R37" s="2399">
        <f t="shared" si="180"/>
        <v>7157.76</v>
      </c>
      <c r="S37" s="4889"/>
      <c r="T37" s="4889">
        <v>2823.7400000000007</v>
      </c>
      <c r="U37" s="4890"/>
      <c r="V37" s="4890">
        <f t="shared" si="181"/>
        <v>9981.5</v>
      </c>
      <c r="W37" s="5026"/>
      <c r="X37" s="5026">
        <v>0</v>
      </c>
      <c r="Y37" s="4125"/>
      <c r="Z37" s="4125">
        <f t="shared" si="190"/>
        <v>2823.7400000000007</v>
      </c>
      <c r="AA37" s="4157"/>
      <c r="AB37" s="4157">
        <f t="shared" si="182"/>
        <v>9981.5</v>
      </c>
      <c r="AC37" s="5337"/>
      <c r="AD37" s="5337">
        <v>2633.36</v>
      </c>
      <c r="AE37" s="2399"/>
      <c r="AF37" s="2399">
        <f t="shared" si="183"/>
        <v>12614.86</v>
      </c>
      <c r="AG37" s="5510"/>
      <c r="AH37" s="5510"/>
      <c r="AI37" s="2399"/>
      <c r="AJ37" s="2399">
        <f t="shared" si="184"/>
        <v>12614.86</v>
      </c>
      <c r="AK37" s="5911"/>
      <c r="AL37" s="5911">
        <v>0</v>
      </c>
      <c r="AM37" s="4125"/>
      <c r="AN37" s="4125">
        <f t="shared" si="191"/>
        <v>2633.36</v>
      </c>
      <c r="AO37" s="2399"/>
      <c r="AP37" s="2399">
        <f t="shared" si="144"/>
        <v>12614.86</v>
      </c>
      <c r="AQ37" s="6066"/>
      <c r="AR37" s="6066">
        <v>2758.7400000000007</v>
      </c>
      <c r="AS37" s="2399"/>
      <c r="AT37" s="2399">
        <f t="shared" si="185"/>
        <v>15373.600000000002</v>
      </c>
      <c r="AU37" s="6189"/>
      <c r="AV37" s="6189"/>
      <c r="AW37" s="6193"/>
      <c r="AX37" s="6193">
        <f t="shared" si="186"/>
        <v>15373.600000000002</v>
      </c>
      <c r="AY37" s="6401"/>
      <c r="AZ37" s="6401">
        <v>0</v>
      </c>
      <c r="BA37" s="4125"/>
      <c r="BB37" s="4125">
        <f t="shared" si="192"/>
        <v>2758.7400000000007</v>
      </c>
      <c r="BC37" s="4157"/>
      <c r="BD37" s="4157">
        <f t="shared" si="187"/>
        <v>5392.1</v>
      </c>
      <c r="BE37" s="2399">
        <v>0</v>
      </c>
      <c r="BF37" s="2399">
        <f t="shared" si="188"/>
        <v>15373.600000000002</v>
      </c>
      <c r="BG37" s="4590"/>
      <c r="BH37" s="4590"/>
      <c r="BI37" s="4590"/>
      <c r="BJ37" s="4590"/>
    </row>
    <row r="38" spans="1:62" x14ac:dyDescent="0.25">
      <c r="A38" s="2610"/>
      <c r="B38" s="1020" t="s">
        <v>77</v>
      </c>
      <c r="C38" s="159" t="s">
        <v>50</v>
      </c>
      <c r="D38" s="2400"/>
      <c r="E38" s="2400"/>
      <c r="F38" s="2400"/>
      <c r="G38" s="7166"/>
      <c r="H38" s="7166"/>
      <c r="I38" s="2399"/>
      <c r="J38" s="2399">
        <f t="shared" si="0"/>
        <v>0</v>
      </c>
      <c r="K38" s="4574"/>
      <c r="L38" s="4574">
        <v>0</v>
      </c>
      <c r="M38" s="4125"/>
      <c r="N38" s="4125">
        <f t="shared" si="189"/>
        <v>0</v>
      </c>
      <c r="O38" s="4778"/>
      <c r="P38" s="4778">
        <v>0</v>
      </c>
      <c r="Q38" s="2399"/>
      <c r="R38" s="2399">
        <f t="shared" si="180"/>
        <v>0</v>
      </c>
      <c r="S38" s="4889"/>
      <c r="T38" s="4889">
        <v>0</v>
      </c>
      <c r="U38" s="4890"/>
      <c r="V38" s="4890">
        <f t="shared" si="181"/>
        <v>0</v>
      </c>
      <c r="W38" s="5026"/>
      <c r="X38" s="5026">
        <v>0</v>
      </c>
      <c r="Y38" s="4125"/>
      <c r="Z38" s="4125">
        <f t="shared" si="190"/>
        <v>0</v>
      </c>
      <c r="AA38" s="4157"/>
      <c r="AB38" s="4157">
        <f t="shared" si="182"/>
        <v>0</v>
      </c>
      <c r="AC38" s="5337"/>
      <c r="AD38" s="5337">
        <v>0</v>
      </c>
      <c r="AE38" s="2399"/>
      <c r="AF38" s="2399">
        <f t="shared" si="183"/>
        <v>0</v>
      </c>
      <c r="AG38" s="5510"/>
      <c r="AH38" s="5510"/>
      <c r="AI38" s="2399"/>
      <c r="AJ38" s="2399">
        <f t="shared" si="184"/>
        <v>0</v>
      </c>
      <c r="AK38" s="5911"/>
      <c r="AL38" s="5911">
        <v>0</v>
      </c>
      <c r="AM38" s="4125"/>
      <c r="AN38" s="4125">
        <f t="shared" si="191"/>
        <v>0</v>
      </c>
      <c r="AO38" s="2399"/>
      <c r="AP38" s="2399">
        <f t="shared" si="144"/>
        <v>0</v>
      </c>
      <c r="AQ38" s="6066"/>
      <c r="AR38" s="6066">
        <v>0</v>
      </c>
      <c r="AS38" s="2399"/>
      <c r="AT38" s="2399">
        <f t="shared" si="185"/>
        <v>0</v>
      </c>
      <c r="AU38" s="6189"/>
      <c r="AV38" s="6189"/>
      <c r="AW38" s="6193"/>
      <c r="AX38" s="6193">
        <f t="shared" si="186"/>
        <v>0</v>
      </c>
      <c r="AY38" s="6401"/>
      <c r="AZ38" s="6401">
        <v>0</v>
      </c>
      <c r="BA38" s="4125"/>
      <c r="BB38" s="4125">
        <f t="shared" si="192"/>
        <v>0</v>
      </c>
      <c r="BC38" s="4157"/>
      <c r="BD38" s="4157">
        <f t="shared" si="187"/>
        <v>0</v>
      </c>
      <c r="BE38" s="2399">
        <v>0</v>
      </c>
      <c r="BF38" s="2399">
        <f t="shared" si="188"/>
        <v>0</v>
      </c>
      <c r="BG38" s="4590"/>
      <c r="BH38" s="4590"/>
      <c r="BI38" s="4590"/>
      <c r="BJ38" s="4590"/>
    </row>
    <row r="39" spans="1:62" x14ac:dyDescent="0.25">
      <c r="A39" s="93"/>
      <c r="B39" s="1020" t="s">
        <v>1870</v>
      </c>
      <c r="C39" s="159" t="s">
        <v>50</v>
      </c>
      <c r="D39" s="2400">
        <v>24000</v>
      </c>
      <c r="E39" s="2400"/>
      <c r="F39" s="2400">
        <v>1095.8900000000001</v>
      </c>
      <c r="G39" s="7166"/>
      <c r="H39" s="7166">
        <v>1764.77</v>
      </c>
      <c r="I39" s="2399"/>
      <c r="J39" s="7253">
        <f t="shared" si="0"/>
        <v>2860.66</v>
      </c>
      <c r="K39" s="4574"/>
      <c r="L39" s="4574">
        <v>2866.62</v>
      </c>
      <c r="M39" s="4125"/>
      <c r="N39" s="4125">
        <f t="shared" si="189"/>
        <v>5727.28</v>
      </c>
      <c r="O39" s="4778"/>
      <c r="P39" s="4778">
        <v>2363.09</v>
      </c>
      <c r="Q39" s="2399"/>
      <c r="R39" s="2399">
        <f t="shared" si="180"/>
        <v>8090.37</v>
      </c>
      <c r="S39" s="4889"/>
      <c r="T39" s="4889">
        <v>3766.74</v>
      </c>
      <c r="U39" s="4890"/>
      <c r="V39" s="4890">
        <f t="shared" si="181"/>
        <v>11857.11</v>
      </c>
      <c r="W39" s="5026"/>
      <c r="X39" s="5026">
        <v>4291.22</v>
      </c>
      <c r="Y39" s="4125"/>
      <c r="Z39" s="4125">
        <f t="shared" si="190"/>
        <v>10421.049999999999</v>
      </c>
      <c r="AA39" s="4157"/>
      <c r="AB39" s="4157">
        <f t="shared" si="182"/>
        <v>16148.329999999998</v>
      </c>
      <c r="AC39" s="5337"/>
      <c r="AD39" s="5337">
        <v>3411.6499999999996</v>
      </c>
      <c r="AE39" s="2399"/>
      <c r="AF39" s="2399">
        <f t="shared" si="183"/>
        <v>19559.979999999996</v>
      </c>
      <c r="AG39" s="5510"/>
      <c r="AH39" s="5510">
        <v>5141.4699999999993</v>
      </c>
      <c r="AI39" s="2399"/>
      <c r="AJ39" s="2399">
        <f t="shared" si="184"/>
        <v>24701.449999999997</v>
      </c>
      <c r="AK39" s="5911"/>
      <c r="AL39" s="5911">
        <v>3545.0299999999997</v>
      </c>
      <c r="AM39" s="4125"/>
      <c r="AN39" s="4125">
        <f t="shared" si="191"/>
        <v>12098.149999999998</v>
      </c>
      <c r="AO39" s="2399"/>
      <c r="AP39" s="2399">
        <f t="shared" si="144"/>
        <v>28246.479999999996</v>
      </c>
      <c r="AQ39" s="6066"/>
      <c r="AR39" s="6130">
        <v>3486.44</v>
      </c>
      <c r="AS39" s="2399"/>
      <c r="AT39" s="2399">
        <f t="shared" si="185"/>
        <v>31732.919999999995</v>
      </c>
      <c r="AU39" s="6189"/>
      <c r="AV39" s="6189">
        <v>1080.8899999999999</v>
      </c>
      <c r="AW39" s="6193"/>
      <c r="AX39" s="6193">
        <f t="shared" si="186"/>
        <v>32813.81</v>
      </c>
      <c r="AY39" s="6401"/>
      <c r="AZ39" s="6401">
        <v>6449.17</v>
      </c>
      <c r="BA39" s="4125"/>
      <c r="BB39" s="4125">
        <f t="shared" si="192"/>
        <v>11016.5</v>
      </c>
      <c r="BC39" s="4157"/>
      <c r="BD39" s="4157">
        <f t="shared" si="187"/>
        <v>23114.649999999998</v>
      </c>
      <c r="BE39" s="2399">
        <v>15000</v>
      </c>
      <c r="BF39" s="2399">
        <f t="shared" si="188"/>
        <v>39262.979999999996</v>
      </c>
      <c r="BG39" s="4590"/>
      <c r="BH39" s="4590"/>
      <c r="BI39" s="4590"/>
      <c r="BJ39" s="4590"/>
    </row>
    <row r="40" spans="1:62" ht="21.2" customHeight="1" x14ac:dyDescent="0.25">
      <c r="A40" s="93"/>
      <c r="B40" s="4159" t="s">
        <v>2</v>
      </c>
      <c r="C40" s="4141" t="s">
        <v>50</v>
      </c>
      <c r="D40" s="1826">
        <f>SUM(D35:D39)</f>
        <v>524798</v>
      </c>
      <c r="E40" s="1971"/>
      <c r="F40" s="1971">
        <f>SUM(F35:F39)</f>
        <v>38297.31</v>
      </c>
      <c r="G40" s="1971"/>
      <c r="H40" s="1971">
        <f>SUM(H35:H39)</f>
        <v>50015.529999999992</v>
      </c>
      <c r="I40" s="376"/>
      <c r="J40" s="376">
        <f t="shared" si="0"/>
        <v>88312.84</v>
      </c>
      <c r="K40" s="1971"/>
      <c r="L40" s="1971">
        <f>SUM(L35:L39)</f>
        <v>24006.030000000002</v>
      </c>
      <c r="M40" s="378"/>
      <c r="N40" s="378">
        <f>F40+H40+L40</f>
        <v>112318.87</v>
      </c>
      <c r="O40" s="1971"/>
      <c r="P40" s="1971">
        <f>SUM(P35:P39)</f>
        <v>50004.459999999992</v>
      </c>
      <c r="Q40" s="376"/>
      <c r="R40" s="376">
        <f t="shared" si="180"/>
        <v>162323.32999999999</v>
      </c>
      <c r="S40" s="1971"/>
      <c r="T40" s="1971">
        <f>SUM(T35:T39)</f>
        <v>53593.630000000005</v>
      </c>
      <c r="U40" s="4885"/>
      <c r="V40" s="4885">
        <f t="shared" si="181"/>
        <v>215916.96</v>
      </c>
      <c r="W40" s="1971"/>
      <c r="X40" s="1971">
        <f>SUM(X35:X39)</f>
        <v>54167.479999999989</v>
      </c>
      <c r="Y40" s="378"/>
      <c r="Z40" s="378">
        <f>P40+T40+X40</f>
        <v>157765.56999999998</v>
      </c>
      <c r="AA40" s="4160"/>
      <c r="AB40" s="4160">
        <f t="shared" si="182"/>
        <v>270084.43999999994</v>
      </c>
      <c r="AC40" s="1971"/>
      <c r="AD40" s="1971">
        <f>SUM(AD35:AD39)</f>
        <v>31037.679999999993</v>
      </c>
      <c r="AE40" s="376"/>
      <c r="AF40" s="376">
        <f t="shared" si="183"/>
        <v>301122.11999999994</v>
      </c>
      <c r="AG40" s="1971"/>
      <c r="AH40" s="1971">
        <f>SUM(AH35:AH39)</f>
        <v>11162.880000000001</v>
      </c>
      <c r="AI40" s="376"/>
      <c r="AJ40" s="376">
        <f t="shared" si="184"/>
        <v>312284.99999999994</v>
      </c>
      <c r="AK40" s="1971"/>
      <c r="AL40" s="1971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44"/>
        <v>367466.04999999993</v>
      </c>
      <c r="AQ40" s="1971"/>
      <c r="AR40" s="1971">
        <f>SUM(AR35:AR39)</f>
        <v>75737.14</v>
      </c>
      <c r="AS40" s="376"/>
      <c r="AT40" s="376">
        <f t="shared" si="185"/>
        <v>443203.18999999994</v>
      </c>
      <c r="AU40" s="1971"/>
      <c r="AV40" s="1971">
        <f>SUM(AV35:AV39)</f>
        <v>44295.630000000005</v>
      </c>
      <c r="AW40" s="6190"/>
      <c r="AX40" s="6190">
        <f t="shared" si="186"/>
        <v>487498.81999999995</v>
      </c>
      <c r="AY40" s="1971"/>
      <c r="AZ40" s="1971">
        <f>SUM(AZ35:AZ39)</f>
        <v>67399.77</v>
      </c>
      <c r="BA40" s="378"/>
      <c r="BB40" s="378">
        <f>AR40+AV40+AZ40</f>
        <v>187432.54</v>
      </c>
      <c r="BC40" s="4160"/>
      <c r="BD40" s="4160">
        <f>AN40+BB40</f>
        <v>284814.15000000002</v>
      </c>
      <c r="BE40" s="376">
        <f>SUM(BE35:BE39)</f>
        <v>462000</v>
      </c>
      <c r="BF40" s="376">
        <f t="shared" si="188"/>
        <v>554898.59</v>
      </c>
      <c r="BG40" s="4590"/>
      <c r="BH40" s="4590"/>
      <c r="BI40" s="4590"/>
      <c r="BJ40" s="4590"/>
    </row>
    <row r="41" spans="1:62" ht="21.2" customHeight="1" x14ac:dyDescent="0.25">
      <c r="A41" s="154"/>
      <c r="B41" s="4156" t="s">
        <v>1407</v>
      </c>
      <c r="C41" s="4156"/>
      <c r="D41" s="4163"/>
      <c r="E41" s="4162"/>
      <c r="F41" s="4162"/>
      <c r="G41" s="4162"/>
      <c r="H41" s="4162"/>
      <c r="I41" s="4162"/>
      <c r="J41" s="4162"/>
      <c r="K41" s="4162"/>
      <c r="L41" s="4162"/>
      <c r="M41" s="4162"/>
      <c r="N41" s="4162"/>
      <c r="O41" s="4162"/>
      <c r="P41" s="4162"/>
      <c r="Q41" s="4162"/>
      <c r="R41" s="4162"/>
      <c r="S41" s="4162"/>
      <c r="T41" s="4162"/>
      <c r="U41" s="4162"/>
      <c r="V41" s="4162"/>
      <c r="W41" s="4162"/>
      <c r="X41" s="4162"/>
      <c r="Y41" s="4162"/>
      <c r="Z41" s="4162"/>
      <c r="AA41" s="4162"/>
      <c r="AB41" s="4162"/>
      <c r="AC41" s="4162"/>
      <c r="AD41" s="4162"/>
      <c r="AE41" s="4162"/>
      <c r="AF41" s="4162"/>
      <c r="AG41" s="4162"/>
      <c r="AH41" s="4162"/>
      <c r="AI41" s="4162"/>
      <c r="AJ41" s="4162"/>
      <c r="AK41" s="4162"/>
      <c r="AL41" s="4162"/>
      <c r="AM41" s="4162"/>
      <c r="AN41" s="4162"/>
      <c r="AO41" s="4162"/>
      <c r="AP41" s="4162"/>
      <c r="AQ41" s="4162"/>
      <c r="AR41" s="4162"/>
      <c r="AS41" s="4162"/>
      <c r="AT41" s="4162"/>
      <c r="AU41" s="4162"/>
      <c r="AV41" s="4162"/>
      <c r="AW41" s="4162"/>
      <c r="AX41" s="4162"/>
      <c r="AY41" s="4162"/>
      <c r="AZ41" s="4162"/>
      <c r="BA41" s="4162"/>
      <c r="BB41" s="4162"/>
      <c r="BC41" s="4162"/>
      <c r="BD41" s="4162"/>
      <c r="BE41" s="4163"/>
      <c r="BF41" s="4162"/>
      <c r="BG41" s="4590"/>
      <c r="BH41" s="4590"/>
      <c r="BI41" s="4590"/>
      <c r="BJ41" s="4590"/>
    </row>
    <row r="42" spans="1:62" x14ac:dyDescent="0.25">
      <c r="A42" s="154"/>
      <c r="B42" s="1020" t="s">
        <v>75</v>
      </c>
      <c r="C42" s="159" t="s">
        <v>50</v>
      </c>
      <c r="D42" s="7492">
        <v>0</v>
      </c>
      <c r="E42" s="7492"/>
      <c r="F42" s="2400">
        <v>126.98</v>
      </c>
      <c r="G42" s="7492"/>
      <c r="H42" s="7166">
        <v>2079.3999999999996</v>
      </c>
      <c r="I42" s="7511"/>
      <c r="J42" s="2399">
        <f t="shared" si="0"/>
        <v>2206.3799999999997</v>
      </c>
      <c r="K42" s="7492"/>
      <c r="L42" s="4574">
        <v>1389.1</v>
      </c>
      <c r="M42" s="7292"/>
      <c r="N42" s="4125">
        <f>F42+H42+L42</f>
        <v>3595.4799999999996</v>
      </c>
      <c r="O42" s="7492"/>
      <c r="P42" s="4778">
        <v>7488.02</v>
      </c>
      <c r="Q42" s="7511"/>
      <c r="R42" s="2399">
        <f t="shared" ref="R42:R47" si="193">N42+P42</f>
        <v>11083.5</v>
      </c>
      <c r="S42" s="7492"/>
      <c r="T42" s="4889">
        <v>8295</v>
      </c>
      <c r="U42" s="7511"/>
      <c r="V42" s="4890">
        <f t="shared" ref="V42:V47" si="194">R42+T42</f>
        <v>19378.5</v>
      </c>
      <c r="W42" s="7492"/>
      <c r="X42" s="5026">
        <v>3362.1000000000004</v>
      </c>
      <c r="Y42" s="7292"/>
      <c r="Z42" s="4125">
        <f t="shared" ref="Z42:Z47" si="195">P42+T42+X42</f>
        <v>19145.120000000003</v>
      </c>
      <c r="AA42" s="7527"/>
      <c r="AB42" s="4157">
        <f t="shared" ref="AB42:AB47" si="196">N42+Z42</f>
        <v>22740.600000000002</v>
      </c>
      <c r="AC42" s="7492"/>
      <c r="AD42" s="5434">
        <v>3412</v>
      </c>
      <c r="AE42" s="7511"/>
      <c r="AF42" s="2399">
        <f t="shared" ref="AF42:AF47" si="197">AB42+AD42</f>
        <v>26152.600000000002</v>
      </c>
      <c r="AG42" s="7492"/>
      <c r="AH42" s="5510">
        <v>5883.89</v>
      </c>
      <c r="AI42" s="7493"/>
      <c r="AJ42" s="2399">
        <f t="shared" ref="AJ42:AJ47" si="198">AF42+AH42</f>
        <v>32036.49</v>
      </c>
      <c r="AK42" s="7492"/>
      <c r="AL42" s="5911">
        <v>4464.0100000000011</v>
      </c>
      <c r="AM42" s="7292"/>
      <c r="AN42" s="4125">
        <f t="shared" ref="AN42:AN47" si="199">AD42+AH42+AL42</f>
        <v>13759.900000000001</v>
      </c>
      <c r="AO42" s="7511"/>
      <c r="AP42" s="2399">
        <f t="shared" si="144"/>
        <v>36500.5</v>
      </c>
      <c r="AQ42" s="7492"/>
      <c r="AR42" s="6066">
        <v>10679.03</v>
      </c>
      <c r="AS42" s="7493"/>
      <c r="AT42" s="2399">
        <f t="shared" ref="AT42:AT47" si="200">AP42+AR42</f>
        <v>47179.53</v>
      </c>
      <c r="AU42" s="7492"/>
      <c r="AV42" s="6189">
        <v>5921.4300000000021</v>
      </c>
      <c r="AW42" s="7493"/>
      <c r="AX42" s="6193">
        <f t="shared" ref="AX42:AX47" si="201">AT42+AV42</f>
        <v>53100.959999999999</v>
      </c>
      <c r="AY42" s="7492"/>
      <c r="AZ42" s="6401">
        <v>755.36000000000013</v>
      </c>
      <c r="BA42" s="7292"/>
      <c r="BB42" s="4125">
        <f t="shared" ref="BB42:BB47" si="202">AR42+AV42+AZ42</f>
        <v>17355.820000000003</v>
      </c>
      <c r="BC42" s="7527"/>
      <c r="BD42" s="4157">
        <f t="shared" ref="BD42:BD46" si="203">AN42+BB42</f>
        <v>31115.720000000005</v>
      </c>
      <c r="BE42" s="7511">
        <v>13000</v>
      </c>
      <c r="BF42" s="2399">
        <f t="shared" ref="BF42:BF47" si="204">AX42+AZ42</f>
        <v>53856.32</v>
      </c>
      <c r="BG42" s="4590"/>
      <c r="BH42" s="4590"/>
      <c r="BI42" s="4590"/>
      <c r="BJ42" s="4590"/>
    </row>
    <row r="43" spans="1:62" x14ac:dyDescent="0.25">
      <c r="A43" s="93"/>
      <c r="B43" s="1020" t="s">
        <v>76</v>
      </c>
      <c r="C43" s="159" t="s">
        <v>50</v>
      </c>
      <c r="D43" s="7492"/>
      <c r="E43" s="7492"/>
      <c r="F43" s="2400"/>
      <c r="G43" s="7492"/>
      <c r="H43" s="7166"/>
      <c r="I43" s="7511"/>
      <c r="J43" s="2399">
        <f t="shared" si="0"/>
        <v>0</v>
      </c>
      <c r="K43" s="7492"/>
      <c r="L43" s="4574">
        <v>0</v>
      </c>
      <c r="M43" s="7292"/>
      <c r="N43" s="4125">
        <f t="shared" ref="N43:N46" si="205">F43+H43+L43</f>
        <v>0</v>
      </c>
      <c r="O43" s="7492"/>
      <c r="P43" s="4778">
        <v>0</v>
      </c>
      <c r="Q43" s="7511"/>
      <c r="R43" s="2399">
        <f t="shared" si="193"/>
        <v>0</v>
      </c>
      <c r="S43" s="7492"/>
      <c r="T43" s="4889">
        <v>0</v>
      </c>
      <c r="U43" s="7511"/>
      <c r="V43" s="4890">
        <f t="shared" si="194"/>
        <v>0</v>
      </c>
      <c r="W43" s="7492"/>
      <c r="X43" s="5026">
        <v>190.36</v>
      </c>
      <c r="Y43" s="7292"/>
      <c r="Z43" s="4125">
        <f t="shared" si="195"/>
        <v>190.36</v>
      </c>
      <c r="AA43" s="7527"/>
      <c r="AB43" s="4157">
        <f t="shared" si="196"/>
        <v>190.36</v>
      </c>
      <c r="AC43" s="7492"/>
      <c r="AD43" s="5337">
        <v>0</v>
      </c>
      <c r="AE43" s="7511"/>
      <c r="AF43" s="2399">
        <f t="shared" si="197"/>
        <v>190.36</v>
      </c>
      <c r="AG43" s="7492"/>
      <c r="AH43" s="5510"/>
      <c r="AI43" s="7494"/>
      <c r="AJ43" s="2399">
        <f t="shared" si="198"/>
        <v>190.36</v>
      </c>
      <c r="AK43" s="7492"/>
      <c r="AL43" s="5911"/>
      <c r="AM43" s="7292"/>
      <c r="AN43" s="4125">
        <f t="shared" si="199"/>
        <v>0</v>
      </c>
      <c r="AO43" s="7511"/>
      <c r="AP43" s="2399">
        <f t="shared" si="144"/>
        <v>190.36</v>
      </c>
      <c r="AQ43" s="7492"/>
      <c r="AR43" s="6066">
        <v>0</v>
      </c>
      <c r="AS43" s="7494"/>
      <c r="AT43" s="2399">
        <f t="shared" si="200"/>
        <v>190.36</v>
      </c>
      <c r="AU43" s="7492"/>
      <c r="AV43" s="6189"/>
      <c r="AW43" s="7494"/>
      <c r="AX43" s="6193">
        <f t="shared" si="201"/>
        <v>190.36</v>
      </c>
      <c r="AY43" s="7492"/>
      <c r="AZ43" s="6401">
        <v>0</v>
      </c>
      <c r="BA43" s="7292"/>
      <c r="BB43" s="4125">
        <f t="shared" si="202"/>
        <v>0</v>
      </c>
      <c r="BC43" s="7527"/>
      <c r="BD43" s="4157">
        <f t="shared" si="203"/>
        <v>0</v>
      </c>
      <c r="BE43" s="7511"/>
      <c r="BF43" s="2399">
        <f t="shared" si="204"/>
        <v>190.36</v>
      </c>
      <c r="BG43" s="4590"/>
      <c r="BH43" s="4590"/>
      <c r="BI43" s="4590"/>
      <c r="BJ43" s="4590"/>
    </row>
    <row r="44" spans="1:62" x14ac:dyDescent="0.25">
      <c r="A44" s="93"/>
      <c r="B44" s="1020" t="s">
        <v>137</v>
      </c>
      <c r="C44" s="159" t="s">
        <v>50</v>
      </c>
      <c r="D44" s="2400">
        <v>0</v>
      </c>
      <c r="E44" s="2400"/>
      <c r="F44" s="2400"/>
      <c r="G44" s="7166"/>
      <c r="H44" s="7166"/>
      <c r="I44" s="2399"/>
      <c r="J44" s="2399">
        <f t="shared" si="0"/>
        <v>0</v>
      </c>
      <c r="K44" s="4574"/>
      <c r="L44" s="4574">
        <v>0</v>
      </c>
      <c r="M44" s="4125"/>
      <c r="N44" s="4125">
        <f t="shared" si="205"/>
        <v>0</v>
      </c>
      <c r="O44" s="4778"/>
      <c r="P44" s="4778">
        <v>0</v>
      </c>
      <c r="Q44" s="2399"/>
      <c r="R44" s="2399">
        <f t="shared" si="193"/>
        <v>0</v>
      </c>
      <c r="S44" s="4889"/>
      <c r="T44" s="4889">
        <v>0</v>
      </c>
      <c r="U44" s="4890"/>
      <c r="V44" s="4890">
        <f t="shared" si="194"/>
        <v>0</v>
      </c>
      <c r="W44" s="5026"/>
      <c r="X44" s="5026">
        <v>0</v>
      </c>
      <c r="Y44" s="4125"/>
      <c r="Z44" s="4125">
        <f t="shared" si="195"/>
        <v>0</v>
      </c>
      <c r="AA44" s="4157"/>
      <c r="AB44" s="4157">
        <f t="shared" si="196"/>
        <v>0</v>
      </c>
      <c r="AC44" s="5337"/>
      <c r="AD44" s="5337">
        <v>0</v>
      </c>
      <c r="AE44" s="2399"/>
      <c r="AF44" s="2399">
        <f t="shared" si="197"/>
        <v>0</v>
      </c>
      <c r="AG44" s="5510"/>
      <c r="AH44" s="5510"/>
      <c r="AI44" s="2399"/>
      <c r="AJ44" s="2399">
        <f t="shared" si="198"/>
        <v>0</v>
      </c>
      <c r="AK44" s="5911"/>
      <c r="AL44" s="5911"/>
      <c r="AM44" s="4125"/>
      <c r="AN44" s="4125">
        <f t="shared" si="199"/>
        <v>0</v>
      </c>
      <c r="AO44" s="2399"/>
      <c r="AP44" s="2399">
        <f t="shared" si="144"/>
        <v>0</v>
      </c>
      <c r="AQ44" s="6066"/>
      <c r="AR44" s="6066">
        <v>0</v>
      </c>
      <c r="AS44" s="2399"/>
      <c r="AT44" s="2399">
        <f t="shared" si="200"/>
        <v>0</v>
      </c>
      <c r="AU44" s="6189"/>
      <c r="AV44" s="6189"/>
      <c r="AW44" s="6193"/>
      <c r="AX44" s="6193">
        <f t="shared" si="201"/>
        <v>0</v>
      </c>
      <c r="AY44" s="6401"/>
      <c r="AZ44" s="6401">
        <v>0</v>
      </c>
      <c r="BA44" s="4125"/>
      <c r="BB44" s="4125">
        <f t="shared" si="202"/>
        <v>0</v>
      </c>
      <c r="BC44" s="4157"/>
      <c r="BD44" s="4157">
        <f t="shared" si="203"/>
        <v>0</v>
      </c>
      <c r="BE44" s="2399">
        <v>0</v>
      </c>
      <c r="BF44" s="2399">
        <f t="shared" si="204"/>
        <v>0</v>
      </c>
      <c r="BG44" s="4590"/>
      <c r="BH44" s="4590"/>
      <c r="BI44" s="4590"/>
      <c r="BJ44" s="4590"/>
    </row>
    <row r="45" spans="1:62" x14ac:dyDescent="0.25">
      <c r="A45" s="93"/>
      <c r="B45" s="1020" t="s">
        <v>1644</v>
      </c>
      <c r="C45" s="159" t="s">
        <v>50</v>
      </c>
      <c r="D45" s="1970">
        <v>0</v>
      </c>
      <c r="E45" s="2400"/>
      <c r="F45" s="2400"/>
      <c r="G45" s="7166"/>
      <c r="H45" s="7166">
        <v>299.72000000000003</v>
      </c>
      <c r="I45" s="2399"/>
      <c r="J45" s="2399">
        <f t="shared" si="0"/>
        <v>299.72000000000003</v>
      </c>
      <c r="K45" s="4574"/>
      <c r="L45" s="4574">
        <v>0</v>
      </c>
      <c r="M45" s="4125"/>
      <c r="N45" s="4125">
        <f t="shared" si="205"/>
        <v>299.72000000000003</v>
      </c>
      <c r="O45" s="4778"/>
      <c r="P45" s="4778">
        <v>0</v>
      </c>
      <c r="Q45" s="2399"/>
      <c r="R45" s="2399">
        <f t="shared" si="193"/>
        <v>299.72000000000003</v>
      </c>
      <c r="S45" s="4889"/>
      <c r="T45" s="4889">
        <v>0</v>
      </c>
      <c r="U45" s="4890"/>
      <c r="V45" s="4890">
        <f t="shared" si="194"/>
        <v>299.72000000000003</v>
      </c>
      <c r="W45" s="5026"/>
      <c r="X45" s="5026">
        <v>0</v>
      </c>
      <c r="Y45" s="4125"/>
      <c r="Z45" s="4125">
        <f t="shared" si="195"/>
        <v>0</v>
      </c>
      <c r="AA45" s="4157"/>
      <c r="AB45" s="4157">
        <f t="shared" si="196"/>
        <v>299.72000000000003</v>
      </c>
      <c r="AC45" s="5337"/>
      <c r="AD45" s="5337">
        <v>0</v>
      </c>
      <c r="AE45" s="2399"/>
      <c r="AF45" s="2399">
        <f t="shared" si="197"/>
        <v>299.72000000000003</v>
      </c>
      <c r="AG45" s="5510"/>
      <c r="AH45" s="5510"/>
      <c r="AI45" s="2399"/>
      <c r="AJ45" s="2399">
        <f t="shared" si="198"/>
        <v>299.72000000000003</v>
      </c>
      <c r="AK45" s="5911"/>
      <c r="AL45" s="5911"/>
      <c r="AM45" s="4125"/>
      <c r="AN45" s="4125">
        <f t="shared" si="199"/>
        <v>0</v>
      </c>
      <c r="AO45" s="2399"/>
      <c r="AP45" s="2399">
        <f t="shared" si="144"/>
        <v>299.72000000000003</v>
      </c>
      <c r="AQ45" s="6066"/>
      <c r="AR45" s="6066">
        <v>0</v>
      </c>
      <c r="AS45" s="2399"/>
      <c r="AT45" s="2399">
        <f t="shared" si="200"/>
        <v>299.72000000000003</v>
      </c>
      <c r="AU45" s="6189"/>
      <c r="AV45" s="6189"/>
      <c r="AW45" s="6193"/>
      <c r="AX45" s="6193">
        <f t="shared" si="201"/>
        <v>299.72000000000003</v>
      </c>
      <c r="AY45" s="6401"/>
      <c r="AZ45" s="6401">
        <v>0</v>
      </c>
      <c r="BA45" s="4125"/>
      <c r="BB45" s="4125">
        <f t="shared" si="202"/>
        <v>0</v>
      </c>
      <c r="BC45" s="4157"/>
      <c r="BD45" s="4157">
        <f t="shared" si="203"/>
        <v>0</v>
      </c>
      <c r="BE45" s="2399">
        <v>0</v>
      </c>
      <c r="BF45" s="2399">
        <f t="shared" si="204"/>
        <v>299.72000000000003</v>
      </c>
      <c r="BG45" s="4590"/>
      <c r="BH45" s="4590"/>
      <c r="BI45" s="4590"/>
      <c r="BJ45" s="4590"/>
    </row>
    <row r="46" spans="1:62" ht="21.2" customHeight="1" x14ac:dyDescent="0.25">
      <c r="A46" s="93"/>
      <c r="B46" s="1020" t="s">
        <v>1900</v>
      </c>
      <c r="C46" s="159" t="s">
        <v>50</v>
      </c>
      <c r="D46" s="2400">
        <v>0</v>
      </c>
      <c r="E46" s="2400"/>
      <c r="F46" s="2400"/>
      <c r="G46" s="7166"/>
      <c r="H46" s="7166">
        <v>640.46</v>
      </c>
      <c r="I46" s="2399"/>
      <c r="J46" s="2399">
        <f t="shared" si="0"/>
        <v>640.46</v>
      </c>
      <c r="K46" s="4574"/>
      <c r="L46" s="4574">
        <v>1468.38</v>
      </c>
      <c r="M46" s="4125"/>
      <c r="N46" s="4125">
        <f t="shared" si="205"/>
        <v>2108.84</v>
      </c>
      <c r="O46" s="4778"/>
      <c r="P46" s="4778">
        <v>0</v>
      </c>
      <c r="Q46" s="2399"/>
      <c r="R46" s="2399">
        <f t="shared" si="193"/>
        <v>2108.84</v>
      </c>
      <c r="S46" s="4889"/>
      <c r="T46" s="4889">
        <v>848.76</v>
      </c>
      <c r="U46" s="4890"/>
      <c r="V46" s="4890">
        <f t="shared" si="194"/>
        <v>2957.6000000000004</v>
      </c>
      <c r="W46" s="5026"/>
      <c r="X46" s="5026">
        <v>793.3</v>
      </c>
      <c r="Y46" s="4125"/>
      <c r="Z46" s="4125">
        <f t="shared" si="195"/>
        <v>1642.06</v>
      </c>
      <c r="AA46" s="4157"/>
      <c r="AB46" s="4157">
        <f t="shared" si="196"/>
        <v>3750.9</v>
      </c>
      <c r="AC46" s="5337"/>
      <c r="AD46" s="5337">
        <v>632.55999999999995</v>
      </c>
      <c r="AE46" s="2399"/>
      <c r="AF46" s="2399">
        <f t="shared" si="197"/>
        <v>4383.46</v>
      </c>
      <c r="AG46" s="5510"/>
      <c r="AH46" s="5510">
        <v>636.88</v>
      </c>
      <c r="AI46" s="2399"/>
      <c r="AJ46" s="2399">
        <f t="shared" si="198"/>
        <v>5020.34</v>
      </c>
      <c r="AK46" s="5911"/>
      <c r="AL46" s="5911">
        <v>367.46</v>
      </c>
      <c r="AM46" s="4125"/>
      <c r="AN46" s="4125">
        <f t="shared" si="199"/>
        <v>1636.9</v>
      </c>
      <c r="AO46" s="2399"/>
      <c r="AP46" s="2399">
        <f t="shared" si="144"/>
        <v>5387.8</v>
      </c>
      <c r="AQ46" s="6066"/>
      <c r="AR46" s="6066">
        <v>0</v>
      </c>
      <c r="AS46" s="2399"/>
      <c r="AT46" s="2399">
        <f t="shared" si="200"/>
        <v>5387.8</v>
      </c>
      <c r="AU46" s="6189"/>
      <c r="AV46" s="6189"/>
      <c r="AW46" s="6193"/>
      <c r="AX46" s="6193">
        <f t="shared" si="201"/>
        <v>5387.8</v>
      </c>
      <c r="AY46" s="6401"/>
      <c r="AZ46" s="6401">
        <v>516.62</v>
      </c>
      <c r="BA46" s="4125"/>
      <c r="BB46" s="4125">
        <f t="shared" si="202"/>
        <v>516.62</v>
      </c>
      <c r="BC46" s="4157"/>
      <c r="BD46" s="4157">
        <f t="shared" si="203"/>
        <v>2153.52</v>
      </c>
      <c r="BE46" s="2399">
        <v>5000</v>
      </c>
      <c r="BF46" s="2399">
        <f t="shared" si="204"/>
        <v>5904.42</v>
      </c>
      <c r="BG46" s="4590"/>
      <c r="BH46" s="4590"/>
      <c r="BI46" s="4590"/>
      <c r="BJ46" s="4590"/>
    </row>
    <row r="47" spans="1:62" ht="21.2" customHeight="1" x14ac:dyDescent="0.25">
      <c r="A47" s="93"/>
      <c r="B47" s="4159" t="s">
        <v>2</v>
      </c>
      <c r="C47" s="4141" t="s">
        <v>50</v>
      </c>
      <c r="D47" s="1826">
        <f>SUM(D42:D46)</f>
        <v>0</v>
      </c>
      <c r="E47" s="1971"/>
      <c r="F47" s="1971">
        <f>SUM(F42:F46)</f>
        <v>126.98</v>
      </c>
      <c r="G47" s="1971"/>
      <c r="H47" s="1971">
        <f>SUM(H42:H46)</f>
        <v>3019.58</v>
      </c>
      <c r="I47" s="376"/>
      <c r="J47" s="376">
        <f t="shared" si="0"/>
        <v>3146.56</v>
      </c>
      <c r="K47" s="1971"/>
      <c r="L47" s="1971">
        <f>SUM(L42:L46)</f>
        <v>2857.48</v>
      </c>
      <c r="M47" s="378"/>
      <c r="N47" s="378">
        <f>F47+H47+L47</f>
        <v>6004.04</v>
      </c>
      <c r="O47" s="1971"/>
      <c r="P47" s="1971">
        <f>SUM(P42:P46)</f>
        <v>7488.02</v>
      </c>
      <c r="Q47" s="376"/>
      <c r="R47" s="376">
        <f t="shared" si="193"/>
        <v>13492.060000000001</v>
      </c>
      <c r="S47" s="1971"/>
      <c r="T47" s="1971">
        <f>SUM(T42:T46)</f>
        <v>9143.76</v>
      </c>
      <c r="U47" s="4885"/>
      <c r="V47" s="4885">
        <f t="shared" si="194"/>
        <v>22635.82</v>
      </c>
      <c r="W47" s="1971"/>
      <c r="X47" s="1971">
        <f>SUM(X42:X46)</f>
        <v>4345.76</v>
      </c>
      <c r="Y47" s="378"/>
      <c r="Z47" s="378">
        <f t="shared" si="195"/>
        <v>20977.54</v>
      </c>
      <c r="AA47" s="4160"/>
      <c r="AB47" s="4160">
        <f t="shared" si="196"/>
        <v>26981.58</v>
      </c>
      <c r="AC47" s="1971"/>
      <c r="AD47" s="1971">
        <f>SUM(AD42:AD46)</f>
        <v>4044.56</v>
      </c>
      <c r="AE47" s="376"/>
      <c r="AF47" s="376">
        <f t="shared" si="197"/>
        <v>31026.140000000003</v>
      </c>
      <c r="AG47" s="1971"/>
      <c r="AH47" s="1971">
        <f>SUM(AH42:AH46)</f>
        <v>6520.77</v>
      </c>
      <c r="AI47" s="376"/>
      <c r="AJ47" s="376">
        <f t="shared" si="198"/>
        <v>37546.910000000003</v>
      </c>
      <c r="AK47" s="1971"/>
      <c r="AL47" s="1971">
        <f>SUM(AL42:AL46)</f>
        <v>4831.4700000000012</v>
      </c>
      <c r="AM47" s="378"/>
      <c r="AN47" s="378">
        <f t="shared" si="199"/>
        <v>15396.800000000001</v>
      </c>
      <c r="AO47" s="376"/>
      <c r="AP47" s="376">
        <f t="shared" si="144"/>
        <v>42378.380000000005</v>
      </c>
      <c r="AQ47" s="1971"/>
      <c r="AR47" s="1971">
        <f>SUM(AR42:AR46)</f>
        <v>10679.03</v>
      </c>
      <c r="AS47" s="376"/>
      <c r="AT47" s="376">
        <f t="shared" si="200"/>
        <v>53057.41</v>
      </c>
      <c r="AU47" s="1971"/>
      <c r="AV47" s="1971">
        <f>SUM(AV42:AV46)</f>
        <v>5921.4300000000021</v>
      </c>
      <c r="AW47" s="6190"/>
      <c r="AX47" s="6190">
        <f t="shared" si="201"/>
        <v>58978.840000000004</v>
      </c>
      <c r="AY47" s="1971"/>
      <c r="AZ47" s="1971">
        <f>SUM(AZ42:AZ46)</f>
        <v>1271.98</v>
      </c>
      <c r="BA47" s="378"/>
      <c r="BB47" s="378">
        <f t="shared" si="202"/>
        <v>17872.440000000002</v>
      </c>
      <c r="BC47" s="4160"/>
      <c r="BD47" s="4160">
        <f>AN47+BB47</f>
        <v>33269.240000000005</v>
      </c>
      <c r="BE47" s="376">
        <f>SUM(BE42:BE46)</f>
        <v>18000</v>
      </c>
      <c r="BF47" s="376">
        <f t="shared" si="204"/>
        <v>60250.820000000007</v>
      </c>
      <c r="BG47" s="4590"/>
      <c r="BH47" s="4590"/>
      <c r="BI47" s="4590"/>
      <c r="BJ47" s="4590"/>
    </row>
    <row r="48" spans="1:62" x14ac:dyDescent="0.25">
      <c r="A48" s="154"/>
      <c r="B48" s="4164"/>
      <c r="C48" s="814"/>
      <c r="D48" s="1971"/>
      <c r="E48" s="1971"/>
      <c r="F48" s="1971"/>
      <c r="G48" s="1971"/>
      <c r="H48" s="1971"/>
      <c r="I48" s="1971"/>
      <c r="J48" s="1971"/>
      <c r="K48" s="1971"/>
      <c r="L48" s="1971"/>
      <c r="M48" s="1971"/>
      <c r="N48" s="1971"/>
      <c r="O48" s="1971"/>
      <c r="P48" s="1971"/>
      <c r="Q48" s="1971"/>
      <c r="R48" s="1971"/>
      <c r="S48" s="1971"/>
      <c r="T48" s="1971"/>
      <c r="U48" s="1971"/>
      <c r="V48" s="1971"/>
      <c r="W48" s="1971"/>
      <c r="X48" s="1971"/>
      <c r="Y48" s="1971"/>
      <c r="Z48" s="1971"/>
      <c r="AA48" s="1971"/>
      <c r="AB48" s="1971"/>
      <c r="AC48" s="1971"/>
      <c r="AD48" s="1971"/>
      <c r="AE48" s="1971"/>
      <c r="AF48" s="1971"/>
      <c r="AG48" s="1971"/>
      <c r="AH48" s="1971"/>
      <c r="AI48" s="1971"/>
      <c r="AJ48" s="1971"/>
      <c r="AK48" s="1971"/>
      <c r="AL48" s="1971"/>
      <c r="AM48" s="1971"/>
      <c r="AN48" s="1971"/>
      <c r="AO48" s="1971"/>
      <c r="AP48" s="1971"/>
      <c r="AQ48" s="1971"/>
      <c r="AR48" s="1971"/>
      <c r="AS48" s="1971"/>
      <c r="AT48" s="1971"/>
      <c r="AU48" s="1971"/>
      <c r="AV48" s="1971"/>
      <c r="AW48" s="1971"/>
      <c r="AX48" s="1971"/>
      <c r="AY48" s="1971"/>
      <c r="AZ48" s="1971"/>
      <c r="BA48" s="1971"/>
      <c r="BB48" s="1971"/>
      <c r="BC48" s="1971"/>
      <c r="BD48" s="1971"/>
      <c r="BE48" s="1971"/>
      <c r="BF48" s="1971"/>
      <c r="BG48" s="4590"/>
      <c r="BH48" s="4590"/>
      <c r="BI48" s="4590"/>
      <c r="BJ48" s="4590"/>
    </row>
    <row r="49" spans="1:62" x14ac:dyDescent="0.25">
      <c r="A49" s="154"/>
      <c r="B49" s="862" t="s">
        <v>117</v>
      </c>
      <c r="C49" s="862"/>
      <c r="D49" s="862"/>
      <c r="E49" s="4165"/>
      <c r="F49" s="4165"/>
      <c r="G49" s="4165"/>
      <c r="H49" s="4165"/>
      <c r="I49" s="4165"/>
      <c r="J49" s="4165"/>
      <c r="K49" s="4165"/>
      <c r="L49" s="4165"/>
      <c r="M49" s="4165"/>
      <c r="N49" s="4165"/>
      <c r="O49" s="4165"/>
      <c r="P49" s="4165"/>
      <c r="Q49" s="4165"/>
      <c r="R49" s="4165"/>
      <c r="S49" s="4165"/>
      <c r="T49" s="4165"/>
      <c r="U49" s="4165"/>
      <c r="V49" s="4165"/>
      <c r="W49" s="4165"/>
      <c r="X49" s="4165"/>
      <c r="Y49" s="4165"/>
      <c r="Z49" s="4165"/>
      <c r="AA49" s="4165"/>
      <c r="AB49" s="4165"/>
      <c r="AC49" s="4165"/>
      <c r="AD49" s="4165"/>
      <c r="AE49" s="4165"/>
      <c r="AF49" s="4165"/>
      <c r="AG49" s="4165"/>
      <c r="AH49" s="4165"/>
      <c r="AI49" s="4165"/>
      <c r="AJ49" s="4165"/>
      <c r="AK49" s="4165"/>
      <c r="AL49" s="4165"/>
      <c r="AM49" s="4165"/>
      <c r="AN49" s="4165"/>
      <c r="AO49" s="4165"/>
      <c r="AP49" s="4165"/>
      <c r="AQ49" s="4165"/>
      <c r="AR49" s="4165"/>
      <c r="AS49" s="4165"/>
      <c r="AT49" s="4165"/>
      <c r="AU49" s="4165"/>
      <c r="AV49" s="4165"/>
      <c r="AW49" s="4165"/>
      <c r="AX49" s="4165"/>
      <c r="AY49" s="4165"/>
      <c r="AZ49" s="4165"/>
      <c r="BA49" s="4165"/>
      <c r="BB49" s="4165"/>
      <c r="BC49" s="4165"/>
      <c r="BD49" s="4165"/>
      <c r="BE49" s="4165"/>
      <c r="BF49" s="4165"/>
      <c r="BG49" s="4590"/>
      <c r="BH49" s="4590"/>
      <c r="BI49" s="4590"/>
      <c r="BJ49" s="4590"/>
    </row>
    <row r="50" spans="1:62" x14ac:dyDescent="0.25">
      <c r="A50" s="93"/>
      <c r="B50" s="4159" t="s">
        <v>75</v>
      </c>
      <c r="C50" s="4141" t="s">
        <v>50</v>
      </c>
      <c r="D50" s="7492">
        <f>+D7+D14+D21+D28</f>
        <v>2566798</v>
      </c>
      <c r="E50" s="7492">
        <f>E7+E14+E21+E28</f>
        <v>219371.02748981552</v>
      </c>
      <c r="F50" s="2400">
        <f>F7+F14+F28+F21</f>
        <v>121879.79999999997</v>
      </c>
      <c r="G50" s="7492">
        <f>G7+G14+G21+G28</f>
        <v>236499.57667165709</v>
      </c>
      <c r="H50" s="7166">
        <f>H7+H14+H28+H21</f>
        <v>138747.00999999998</v>
      </c>
      <c r="I50" s="7511">
        <f>E50+G50</f>
        <v>455870.60416147264</v>
      </c>
      <c r="J50" s="2399">
        <f t="shared" ref="J50:J55" si="206">F50+H50</f>
        <v>260626.80999999994</v>
      </c>
      <c r="K50" s="7492">
        <f>K7+K14+K21+K28</f>
        <v>142429.06735751301</v>
      </c>
      <c r="L50" s="4574">
        <f>L7+L14+L28+L21</f>
        <v>93749.809999999983</v>
      </c>
      <c r="M50" s="7292">
        <f>E50+G50+K50</f>
        <v>598299.67151898565</v>
      </c>
      <c r="N50" s="4125">
        <f t="shared" ref="N50:N53" si="207">F50+H50+L50</f>
        <v>354376.61999999994</v>
      </c>
      <c r="O50" s="7492">
        <f>O7+O14+O21+O28</f>
        <v>81083.229706390324</v>
      </c>
      <c r="P50" s="4778">
        <f>P7+P14+P28+P21</f>
        <v>132453.96000000002</v>
      </c>
      <c r="Q50" s="7511">
        <f>M50+O50</f>
        <v>679382.90122537594</v>
      </c>
      <c r="R50" s="2399">
        <f t="shared" ref="R50:R55" si="208">N50+P50</f>
        <v>486830.57999999996</v>
      </c>
      <c r="S50" s="7492">
        <f>S7+S14+S21+S28</f>
        <v>209552.17645827011</v>
      </c>
      <c r="T50" s="4889">
        <f>T7+T14+T28+T21</f>
        <v>130382.84000000001</v>
      </c>
      <c r="U50" s="7511">
        <f>Q50+S50</f>
        <v>888935.077683646</v>
      </c>
      <c r="V50" s="4890">
        <f t="shared" ref="V50:V55" si="209">R50+T50</f>
        <v>617213.41999999993</v>
      </c>
      <c r="W50" s="7492">
        <f>W7+W14+W21+W28</f>
        <v>196980.78583765111</v>
      </c>
      <c r="X50" s="5026">
        <f>X7+X14+X28+X21</f>
        <v>153397.97</v>
      </c>
      <c r="Y50" s="7292">
        <f t="shared" ref="Y50:Z55" si="210">O50+S50+W50</f>
        <v>487616.19200231158</v>
      </c>
      <c r="Z50" s="4125">
        <f t="shared" ref="Z50:Z53" si="211">P50+T50+X50</f>
        <v>416234.77</v>
      </c>
      <c r="AA50" s="7527">
        <f>M50+Y50</f>
        <v>1085915.8635212972</v>
      </c>
      <c r="AB50" s="4157">
        <f>N50+Z50</f>
        <v>770611.3899999999</v>
      </c>
      <c r="AC50" s="7492">
        <f>AC7+AC14+AC21+AC28</f>
        <v>218441.09386753975</v>
      </c>
      <c r="AD50" s="5337">
        <f>AD7+AD14+AD28+AD21</f>
        <v>116531.90000000002</v>
      </c>
      <c r="AE50" s="7511">
        <f>AA50+AC50</f>
        <v>1304356.9573888369</v>
      </c>
      <c r="AF50" s="2399">
        <f t="shared" ref="AF50:AF55" si="212">AB50+AD50</f>
        <v>887143.28999999992</v>
      </c>
      <c r="AG50" s="7492">
        <f>AG7+AG14+AG21+AG28</f>
        <v>214780.91557330103</v>
      </c>
      <c r="AH50" s="5510">
        <f>AH7+AH14+AH28+AH21</f>
        <v>55204.140000000007</v>
      </c>
      <c r="AI50" s="7493">
        <f>AE50+AG50</f>
        <v>1519137.8729621379</v>
      </c>
      <c r="AJ50" s="2399">
        <f t="shared" ref="AJ50:AJ55" si="213">AF50+AH50</f>
        <v>942347.42999999993</v>
      </c>
      <c r="AK50" s="7492">
        <f>AK7+AK14+AK21+AK28</f>
        <v>216810.06226252159</v>
      </c>
      <c r="AL50" s="5911">
        <f>AL7+AL14+AL28+AL21</f>
        <v>139405.21</v>
      </c>
      <c r="AM50" s="7292">
        <f t="shared" ref="AM50:AM51" si="214">AC50+AG50+AK50</f>
        <v>650032.0717033624</v>
      </c>
      <c r="AN50" s="4125">
        <f t="shared" ref="AN50:AN53" si="215">AD50+AH50+AL50</f>
        <v>311141.25</v>
      </c>
      <c r="AO50" s="7511">
        <f>AI50+AK50</f>
        <v>1735947.9352246595</v>
      </c>
      <c r="AP50" s="2399">
        <f t="shared" ref="AP50:AP55" si="216">AJ50+AL50</f>
        <v>1081752.6399999999</v>
      </c>
      <c r="AQ50" s="7492">
        <f>AQ7+AQ14+AQ21+AQ28</f>
        <v>218339.61226252161</v>
      </c>
      <c r="AR50" s="6066">
        <f>AR7+AR14+AR28+AR21</f>
        <v>171765.58</v>
      </c>
      <c r="AS50" s="7493">
        <f>AO50+AQ50</f>
        <v>1954287.5474871811</v>
      </c>
      <c r="AT50" s="2399">
        <f t="shared" ref="AT50:AT55" si="217">AP50+AR50</f>
        <v>1253518.22</v>
      </c>
      <c r="AU50" s="7492">
        <f>AU7+AU14+AU21+AU28</f>
        <v>199257.99609174184</v>
      </c>
      <c r="AV50" s="6189">
        <f>AV7+AV14+AV28+AV21</f>
        <v>136540.59</v>
      </c>
      <c r="AW50" s="7493">
        <f>AS50+AU50</f>
        <v>2153545.5435789227</v>
      </c>
      <c r="AX50" s="6193">
        <f t="shared" ref="AX50:AX55" si="218">AT50+AV50</f>
        <v>1390058.81</v>
      </c>
      <c r="AY50" s="7492">
        <f>AY7+AY14+AY21+AY28</f>
        <v>222552.61226252158</v>
      </c>
      <c r="AZ50" s="6401">
        <f>AZ7+AZ14+AZ28+AZ21</f>
        <v>189752.73999999996</v>
      </c>
      <c r="BA50" s="7292">
        <f t="shared" ref="BA50:BA51" si="219">AQ50+AU50+AY50</f>
        <v>640150.22061678511</v>
      </c>
      <c r="BB50" s="4125">
        <f t="shared" ref="BB50:BB53" si="220">AR50+AV50+AZ50</f>
        <v>498058.90999999992</v>
      </c>
      <c r="BC50" s="7527">
        <f>AM50+BA50</f>
        <v>1290182.2923201476</v>
      </c>
      <c r="BD50" s="4157">
        <f t="shared" ref="BD50:BD54" si="221">AN50+BB50</f>
        <v>809200.15999999992</v>
      </c>
      <c r="BE50" s="7493">
        <f>AW50+AY50</f>
        <v>2376098.1558414442</v>
      </c>
      <c r="BF50" s="2399">
        <f t="shared" ref="BF50:BF55" si="222">AX50+AZ50</f>
        <v>1579811.55</v>
      </c>
      <c r="BG50" s="4590"/>
      <c r="BH50" s="4590"/>
      <c r="BI50" s="4590"/>
      <c r="BJ50" s="4590"/>
    </row>
    <row r="51" spans="1:62" x14ac:dyDescent="0.25">
      <c r="A51" s="93"/>
      <c r="B51" s="4159" t="s">
        <v>76</v>
      </c>
      <c r="C51" s="4141" t="s">
        <v>50</v>
      </c>
      <c r="D51" s="7492"/>
      <c r="E51" s="7492"/>
      <c r="F51" s="2400">
        <f>F8+F15+F29+F22</f>
        <v>48531.65</v>
      </c>
      <c r="G51" s="7492"/>
      <c r="H51" s="7166">
        <f>H8+H15+H29+H22</f>
        <v>73085.039999999994</v>
      </c>
      <c r="I51" s="7511"/>
      <c r="J51" s="2399">
        <f t="shared" si="206"/>
        <v>121616.69</v>
      </c>
      <c r="K51" s="7492"/>
      <c r="L51" s="4574">
        <f>L8+L15+L29+L22</f>
        <v>36624.69</v>
      </c>
      <c r="M51" s="7292"/>
      <c r="N51" s="4125">
        <f t="shared" si="207"/>
        <v>158241.38</v>
      </c>
      <c r="O51" s="7492"/>
      <c r="P51" s="4778">
        <f>P8+P15+P29+P22</f>
        <v>79067.16</v>
      </c>
      <c r="Q51" s="7511"/>
      <c r="R51" s="2399">
        <f t="shared" si="208"/>
        <v>237308.54</v>
      </c>
      <c r="S51" s="7492"/>
      <c r="T51" s="4889">
        <f>T8+T15+T29+T22</f>
        <v>77925.77</v>
      </c>
      <c r="U51" s="7511"/>
      <c r="V51" s="4890">
        <f t="shared" si="209"/>
        <v>315234.31</v>
      </c>
      <c r="W51" s="7492"/>
      <c r="X51" s="5026">
        <f>X8+X15+X29+X22</f>
        <v>51623.67</v>
      </c>
      <c r="Y51" s="7292">
        <f t="shared" si="210"/>
        <v>0</v>
      </c>
      <c r="Z51" s="4125">
        <f t="shared" si="211"/>
        <v>208616.59999999998</v>
      </c>
      <c r="AA51" s="7527"/>
      <c r="AB51" s="4157">
        <f t="shared" ref="AB51:AB54" si="223">N51+Z51</f>
        <v>366857.98</v>
      </c>
      <c r="AC51" s="7492"/>
      <c r="AD51" s="5337">
        <f>AD8+AD15+AD29+AD22</f>
        <v>56105</v>
      </c>
      <c r="AE51" s="7511"/>
      <c r="AF51" s="2399">
        <f t="shared" si="212"/>
        <v>422962.98</v>
      </c>
      <c r="AG51" s="7492"/>
      <c r="AH51" s="5510">
        <f>AH8+AH15+AH29+AH22</f>
        <v>12954.53</v>
      </c>
      <c r="AI51" s="7494"/>
      <c r="AJ51" s="2399">
        <f t="shared" si="213"/>
        <v>435917.51</v>
      </c>
      <c r="AK51" s="7492"/>
      <c r="AL51" s="5911">
        <f>AL8+AL15+AL29+AL22</f>
        <v>54572.320000000014</v>
      </c>
      <c r="AM51" s="7292">
        <f t="shared" si="214"/>
        <v>0</v>
      </c>
      <c r="AN51" s="4125">
        <f t="shared" si="215"/>
        <v>123631.85</v>
      </c>
      <c r="AO51" s="7511"/>
      <c r="AP51" s="2399">
        <f t="shared" si="216"/>
        <v>490489.83</v>
      </c>
      <c r="AQ51" s="7492"/>
      <c r="AR51" s="6066">
        <f>AR8+AR15+AR29+AR22</f>
        <v>60538.109999999993</v>
      </c>
      <c r="AS51" s="7494"/>
      <c r="AT51" s="2399">
        <f t="shared" si="217"/>
        <v>551027.94000000006</v>
      </c>
      <c r="AU51" s="7492"/>
      <c r="AV51" s="6189">
        <f>AV8+AV15+AV29+AV22</f>
        <v>51118.84</v>
      </c>
      <c r="AW51" s="7494"/>
      <c r="AX51" s="6193">
        <f t="shared" si="218"/>
        <v>602146.78</v>
      </c>
      <c r="AY51" s="7492"/>
      <c r="AZ51" s="6401">
        <f>AZ8+AZ15+AZ29+AZ22</f>
        <v>68622.95</v>
      </c>
      <c r="BA51" s="7292">
        <f t="shared" si="219"/>
        <v>0</v>
      </c>
      <c r="BB51" s="4125">
        <f t="shared" si="220"/>
        <v>180279.89999999997</v>
      </c>
      <c r="BC51" s="7527"/>
      <c r="BD51" s="4157">
        <f t="shared" si="221"/>
        <v>303911.75</v>
      </c>
      <c r="BE51" s="7494"/>
      <c r="BF51" s="2399">
        <f t="shared" si="222"/>
        <v>670769.73</v>
      </c>
      <c r="BG51" s="4590"/>
      <c r="BH51" s="4590"/>
      <c r="BI51" s="4590"/>
      <c r="BJ51" s="4590"/>
    </row>
    <row r="52" spans="1:62" x14ac:dyDescent="0.25">
      <c r="A52" s="93"/>
      <c r="B52" s="4159" t="s">
        <v>137</v>
      </c>
      <c r="C52" s="4141" t="s">
        <v>50</v>
      </c>
      <c r="D52" s="2400">
        <f t="shared" ref="D52:E54" si="224">+D9+D16+D23+D30</f>
        <v>83000.000000000015</v>
      </c>
      <c r="E52" s="2400">
        <f t="shared" si="224"/>
        <v>7545.4545454545469</v>
      </c>
      <c r="F52" s="2400">
        <f>F9+F16+F30+F23</f>
        <v>4383.6600000000008</v>
      </c>
      <c r="G52" s="7166">
        <f t="shared" ref="G52" si="225">+G9+G16+G23+G30</f>
        <v>0</v>
      </c>
      <c r="H52" s="7166">
        <f>H9+H16+H30+H23</f>
        <v>2929.0299999999993</v>
      </c>
      <c r="I52" s="2399">
        <f t="shared" ref="I52:I55" si="226">E52+G52</f>
        <v>7545.4545454545469</v>
      </c>
      <c r="J52" s="2399">
        <f t="shared" si="206"/>
        <v>7312.6900000000005</v>
      </c>
      <c r="K52" s="4574">
        <f t="shared" ref="K52:K54" si="227">+K9+K16+K23+K30</f>
        <v>0</v>
      </c>
      <c r="L52" s="4574">
        <f>L9+L16+L30+L23</f>
        <v>39.82</v>
      </c>
      <c r="M52" s="4125">
        <f t="shared" ref="M52:M53" si="228">E52+G52+K52</f>
        <v>7545.4545454545469</v>
      </c>
      <c r="N52" s="4125">
        <f t="shared" si="207"/>
        <v>7352.51</v>
      </c>
      <c r="O52" s="4778">
        <f t="shared" ref="O52:O54" si="229">+O9+O16+O23+O30</f>
        <v>0</v>
      </c>
      <c r="P52" s="4778">
        <f>P9+P16+P30+P23</f>
        <v>39</v>
      </c>
      <c r="Q52" s="2399">
        <f t="shared" ref="Q52:Q55" si="230">M52+O52</f>
        <v>7545.4545454545469</v>
      </c>
      <c r="R52" s="2399">
        <f t="shared" si="208"/>
        <v>7391.51</v>
      </c>
      <c r="S52" s="4889">
        <f t="shared" ref="S52:S54" si="231">+S9+S16+S23+S30</f>
        <v>6300</v>
      </c>
      <c r="T52" s="4889">
        <f>T9+T16+T30+T23</f>
        <v>3119.3900000000003</v>
      </c>
      <c r="U52" s="4890">
        <f t="shared" ref="U52:U55" si="232">Q52+S52</f>
        <v>13845.454545454548</v>
      </c>
      <c r="V52" s="4890">
        <f t="shared" si="209"/>
        <v>10510.900000000001</v>
      </c>
      <c r="W52" s="5026">
        <f t="shared" ref="W52:W54" si="233">+W9+W16+W23+W30</f>
        <v>6300</v>
      </c>
      <c r="X52" s="5026">
        <f>X9+X16+X30+X23</f>
        <v>1039.6100000000001</v>
      </c>
      <c r="Y52" s="4125">
        <f>O52+S52+W52</f>
        <v>12600</v>
      </c>
      <c r="Z52" s="4125">
        <f t="shared" si="211"/>
        <v>4198</v>
      </c>
      <c r="AA52" s="4157">
        <f>M52+Y52</f>
        <v>20145.454545454548</v>
      </c>
      <c r="AB52" s="4157">
        <f t="shared" si="223"/>
        <v>11550.51</v>
      </c>
      <c r="AC52" s="5337">
        <f t="shared" ref="AC52:AC54" si="234">+AC9+AC16+AC23+AC30</f>
        <v>6300</v>
      </c>
      <c r="AD52" s="5337">
        <f>AD9+AD16+AD30+AD23</f>
        <v>2829.4900000000002</v>
      </c>
      <c r="AE52" s="2399">
        <f t="shared" ref="AE52:AE55" si="235">AA52+AC52</f>
        <v>26445.454545454548</v>
      </c>
      <c r="AF52" s="2399">
        <f t="shared" si="212"/>
        <v>14380</v>
      </c>
      <c r="AG52" s="5510">
        <f t="shared" ref="AG52:AG54" si="236">+AG9+AG16+AG23+AG30</f>
        <v>6300</v>
      </c>
      <c r="AH52" s="5510">
        <f>AH9+AH16+AH30+AH23</f>
        <v>185.19</v>
      </c>
      <c r="AI52" s="2399">
        <f t="shared" ref="AI52:AI55" si="237">AE52+AG52</f>
        <v>32745.454545454548</v>
      </c>
      <c r="AJ52" s="2399">
        <f t="shared" si="213"/>
        <v>14565.19</v>
      </c>
      <c r="AK52" s="5911">
        <f t="shared" ref="AK52:AK54" si="238">+AK9+AK16+AK23+AK30</f>
        <v>6300</v>
      </c>
      <c r="AL52" s="5911">
        <f>AL9+AL16+AL30+AL23</f>
        <v>228.3</v>
      </c>
      <c r="AM52" s="4125">
        <f>AC52+AG52+AK52</f>
        <v>18900</v>
      </c>
      <c r="AN52" s="4125">
        <f t="shared" si="215"/>
        <v>3242.9800000000005</v>
      </c>
      <c r="AO52" s="2399">
        <f t="shared" ref="AO52:AO55" si="239">AI52+AK52</f>
        <v>39045.454545454544</v>
      </c>
      <c r="AP52" s="2399">
        <f t="shared" si="216"/>
        <v>14793.49</v>
      </c>
      <c r="AQ52" s="6066">
        <f t="shared" ref="AQ52:AQ54" si="240">+AQ9+AQ16+AQ23+AQ30</f>
        <v>6300</v>
      </c>
      <c r="AR52" s="6066">
        <f>AR9+AR16+AR30+AR23</f>
        <v>3186.2100000000009</v>
      </c>
      <c r="AS52" s="2399">
        <f t="shared" ref="AS52:AS55" si="241">AO52+AQ52</f>
        <v>45345.454545454544</v>
      </c>
      <c r="AT52" s="2399">
        <f t="shared" si="217"/>
        <v>17979.7</v>
      </c>
      <c r="AU52" s="6189">
        <f t="shared" ref="AU52:AU54" si="242">+AU9+AU16+AU23+AU30</f>
        <v>6300</v>
      </c>
      <c r="AV52" s="6189">
        <f>AV9+AV16+AV30+AV23</f>
        <v>0</v>
      </c>
      <c r="AW52" s="6193">
        <f t="shared" ref="AW52:AW55" si="243">AS52+AU52</f>
        <v>51645.454545454544</v>
      </c>
      <c r="AX52" s="6193">
        <f t="shared" si="218"/>
        <v>17979.7</v>
      </c>
      <c r="AY52" s="6401">
        <f t="shared" ref="AY52:AY54" si="244">+AY9+AY16+AY23+AY30</f>
        <v>6300</v>
      </c>
      <c r="AZ52" s="6401">
        <f>AZ9+AZ16+AZ30+AZ23</f>
        <v>794.61999999999989</v>
      </c>
      <c r="BA52" s="4125">
        <f>AQ52+AU52+AY52</f>
        <v>18900</v>
      </c>
      <c r="BB52" s="4125">
        <f t="shared" si="220"/>
        <v>3980.8300000000008</v>
      </c>
      <c r="BC52" s="4157">
        <f t="shared" ref="BC52:BC54" si="245">AM52+BA52</f>
        <v>37800</v>
      </c>
      <c r="BD52" s="4157">
        <f t="shared" si="221"/>
        <v>7223.8100000000013</v>
      </c>
      <c r="BE52" s="2399">
        <f t="shared" ref="BE52:BE55" si="246">AW52+AY52</f>
        <v>57945.454545454544</v>
      </c>
      <c r="BF52" s="2399">
        <f t="shared" si="222"/>
        <v>18774.32</v>
      </c>
      <c r="BG52" s="4590"/>
      <c r="BH52" s="4590"/>
      <c r="BI52" s="4590"/>
      <c r="BJ52" s="4590"/>
    </row>
    <row r="53" spans="1:62" x14ac:dyDescent="0.25">
      <c r="A53" s="154"/>
      <c r="B53" s="4159" t="s">
        <v>77</v>
      </c>
      <c r="C53" s="4141" t="s">
        <v>50</v>
      </c>
      <c r="D53" s="1970">
        <f t="shared" si="224"/>
        <v>0</v>
      </c>
      <c r="E53" s="2400">
        <f t="shared" si="224"/>
        <v>0</v>
      </c>
      <c r="F53" s="2400">
        <f>F10+F17+F31+F24</f>
        <v>0</v>
      </c>
      <c r="G53" s="7166">
        <f t="shared" ref="G53" si="247">+G10+G17+G24+G31</f>
        <v>0</v>
      </c>
      <c r="H53" s="7166">
        <f>H10+H17+H31+H24</f>
        <v>299.72000000000003</v>
      </c>
      <c r="I53" s="2399">
        <f t="shared" si="226"/>
        <v>0</v>
      </c>
      <c r="J53" s="2399">
        <f t="shared" si="206"/>
        <v>299.72000000000003</v>
      </c>
      <c r="K53" s="4574">
        <f t="shared" si="227"/>
        <v>0</v>
      </c>
      <c r="L53" s="4574">
        <f>L10+L17+L31+L24</f>
        <v>0</v>
      </c>
      <c r="M53" s="4125">
        <f t="shared" si="228"/>
        <v>0</v>
      </c>
      <c r="N53" s="4125">
        <f t="shared" si="207"/>
        <v>299.72000000000003</v>
      </c>
      <c r="O53" s="4778">
        <f t="shared" si="229"/>
        <v>0</v>
      </c>
      <c r="P53" s="4778">
        <f>P10+P17+P31+P24</f>
        <v>0</v>
      </c>
      <c r="Q53" s="2399">
        <f t="shared" si="230"/>
        <v>0</v>
      </c>
      <c r="R53" s="2399">
        <f t="shared" si="208"/>
        <v>299.72000000000003</v>
      </c>
      <c r="S53" s="4889">
        <f t="shared" si="231"/>
        <v>0</v>
      </c>
      <c r="T53" s="4889">
        <f>T10+T17+T31+T24</f>
        <v>0</v>
      </c>
      <c r="U53" s="4890">
        <f t="shared" si="232"/>
        <v>0</v>
      </c>
      <c r="V53" s="4890">
        <f t="shared" si="209"/>
        <v>299.72000000000003</v>
      </c>
      <c r="W53" s="5026">
        <f t="shared" si="233"/>
        <v>0</v>
      </c>
      <c r="X53" s="5026">
        <f>X10+X17+X31+X24</f>
        <v>0</v>
      </c>
      <c r="Y53" s="4125">
        <f t="shared" ref="Y53:Y54" si="248">O53+S53+W53</f>
        <v>0</v>
      </c>
      <c r="Z53" s="4125">
        <f t="shared" si="211"/>
        <v>0</v>
      </c>
      <c r="AA53" s="4157">
        <f t="shared" ref="AA53:AA54" si="249">M53+Y53</f>
        <v>0</v>
      </c>
      <c r="AB53" s="4157">
        <f t="shared" si="223"/>
        <v>299.72000000000003</v>
      </c>
      <c r="AC53" s="5337">
        <f t="shared" si="234"/>
        <v>0</v>
      </c>
      <c r="AD53" s="5337">
        <f>AD10+AD17+AD31+AD24</f>
        <v>0</v>
      </c>
      <c r="AE53" s="2399">
        <f t="shared" si="235"/>
        <v>0</v>
      </c>
      <c r="AF53" s="2399">
        <f t="shared" si="212"/>
        <v>299.72000000000003</v>
      </c>
      <c r="AG53" s="5510">
        <f t="shared" si="236"/>
        <v>0</v>
      </c>
      <c r="AH53" s="5510">
        <f>AH10+AH17+AH31+AH24</f>
        <v>0</v>
      </c>
      <c r="AI53" s="2399">
        <f t="shared" si="237"/>
        <v>0</v>
      </c>
      <c r="AJ53" s="2399">
        <f t="shared" si="213"/>
        <v>299.72000000000003</v>
      </c>
      <c r="AK53" s="5911">
        <f t="shared" si="238"/>
        <v>0</v>
      </c>
      <c r="AL53" s="5911">
        <f>AL10+AL17+AL31+AL24</f>
        <v>0</v>
      </c>
      <c r="AM53" s="4125">
        <f t="shared" ref="AM53:AM55" si="250">AC53+AG53+AK53</f>
        <v>0</v>
      </c>
      <c r="AN53" s="4125">
        <f t="shared" si="215"/>
        <v>0</v>
      </c>
      <c r="AO53" s="2399">
        <f t="shared" si="239"/>
        <v>0</v>
      </c>
      <c r="AP53" s="2399">
        <f t="shared" si="216"/>
        <v>299.72000000000003</v>
      </c>
      <c r="AQ53" s="6066">
        <f t="shared" si="240"/>
        <v>0</v>
      </c>
      <c r="AR53" s="6066">
        <f>AR10+AR17+AR31+AR24</f>
        <v>0</v>
      </c>
      <c r="AS53" s="2399">
        <f t="shared" si="241"/>
        <v>0</v>
      </c>
      <c r="AT53" s="2399">
        <f t="shared" si="217"/>
        <v>299.72000000000003</v>
      </c>
      <c r="AU53" s="6189">
        <f t="shared" si="242"/>
        <v>0</v>
      </c>
      <c r="AV53" s="6189">
        <f>AV10+AV17+AV31+AV24</f>
        <v>0</v>
      </c>
      <c r="AW53" s="6193">
        <f t="shared" si="243"/>
        <v>0</v>
      </c>
      <c r="AX53" s="6193">
        <f t="shared" si="218"/>
        <v>299.72000000000003</v>
      </c>
      <c r="AY53" s="6401">
        <f t="shared" si="244"/>
        <v>0</v>
      </c>
      <c r="AZ53" s="6401">
        <f>AZ10+AZ17+AZ31+AZ24</f>
        <v>0</v>
      </c>
      <c r="BA53" s="4125">
        <f t="shared" ref="BA53:BA55" si="251">AQ53+AU53+AY53</f>
        <v>0</v>
      </c>
      <c r="BB53" s="4125">
        <f t="shared" si="220"/>
        <v>0</v>
      </c>
      <c r="BC53" s="4157">
        <f t="shared" si="245"/>
        <v>0</v>
      </c>
      <c r="BD53" s="4157">
        <f t="shared" si="221"/>
        <v>0</v>
      </c>
      <c r="BE53" s="2399">
        <f t="shared" si="246"/>
        <v>0</v>
      </c>
      <c r="BF53" s="2399">
        <f t="shared" si="222"/>
        <v>299.72000000000003</v>
      </c>
      <c r="BG53" s="4590"/>
      <c r="BH53" s="4590"/>
      <c r="BI53" s="4590"/>
      <c r="BJ53" s="4590"/>
    </row>
    <row r="54" spans="1:62" x14ac:dyDescent="0.25">
      <c r="A54" s="93"/>
      <c r="B54" s="4159" t="s">
        <v>1870</v>
      </c>
      <c r="C54" s="4141" t="s">
        <v>50</v>
      </c>
      <c r="D54" s="4166">
        <f t="shared" si="224"/>
        <v>25000</v>
      </c>
      <c r="E54" s="2400">
        <f t="shared" si="224"/>
        <v>2083.3333333333335</v>
      </c>
      <c r="F54" s="2400">
        <f>F11+F18+F32+F25</f>
        <v>1095.8900000000001</v>
      </c>
      <c r="G54" s="7166">
        <f t="shared" ref="G54" si="252">+G11+G18+G25+G32</f>
        <v>0</v>
      </c>
      <c r="H54" s="7166">
        <f>H11+H18+H32+H25</f>
        <v>2405.23</v>
      </c>
      <c r="I54" s="2399">
        <f t="shared" si="226"/>
        <v>2083.3333333333335</v>
      </c>
      <c r="J54" s="2399">
        <f t="shared" si="206"/>
        <v>3501.12</v>
      </c>
      <c r="K54" s="4574">
        <f t="shared" si="227"/>
        <v>100</v>
      </c>
      <c r="L54" s="4574">
        <f>L11+L18+L32+L25</f>
        <v>4335</v>
      </c>
      <c r="M54" s="4125">
        <f t="shared" ref="M54:N54" si="253">E54+G54+K54</f>
        <v>2183.3333333333335</v>
      </c>
      <c r="N54" s="4125">
        <f t="shared" si="253"/>
        <v>7836.12</v>
      </c>
      <c r="O54" s="4778">
        <f t="shared" si="229"/>
        <v>100</v>
      </c>
      <c r="P54" s="4778">
        <f>P11+P18+P32+P25</f>
        <v>2363.09</v>
      </c>
      <c r="Q54" s="2399">
        <f t="shared" si="230"/>
        <v>2283.3333333333335</v>
      </c>
      <c r="R54" s="2399">
        <f t="shared" si="208"/>
        <v>10199.209999999999</v>
      </c>
      <c r="S54" s="4889">
        <f t="shared" si="231"/>
        <v>2100</v>
      </c>
      <c r="T54" s="4889">
        <f>T11+T18+T32+T25</f>
        <v>4615.5</v>
      </c>
      <c r="U54" s="4890">
        <f t="shared" si="232"/>
        <v>4383.3333333333339</v>
      </c>
      <c r="V54" s="4890">
        <f t="shared" si="209"/>
        <v>14814.71</v>
      </c>
      <c r="W54" s="5026">
        <f t="shared" si="233"/>
        <v>2200</v>
      </c>
      <c r="X54" s="5026">
        <f>X11+X18+X32+X25</f>
        <v>5084.5200000000004</v>
      </c>
      <c r="Y54" s="4125">
        <f t="shared" si="248"/>
        <v>4400</v>
      </c>
      <c r="Z54" s="4125">
        <f>P54+T54+X54</f>
        <v>12063.11</v>
      </c>
      <c r="AA54" s="4157">
        <f t="shared" si="249"/>
        <v>6583.3333333333339</v>
      </c>
      <c r="AB54" s="4157">
        <f t="shared" si="223"/>
        <v>19899.23</v>
      </c>
      <c r="AC54" s="5337">
        <f t="shared" si="234"/>
        <v>2100</v>
      </c>
      <c r="AD54" s="5337">
        <f>AD11+AD18+AD32+AD25</f>
        <v>4044.2099999999996</v>
      </c>
      <c r="AE54" s="2399">
        <f t="shared" si="235"/>
        <v>8683.3333333333339</v>
      </c>
      <c r="AF54" s="2399">
        <f t="shared" si="212"/>
        <v>23943.439999999999</v>
      </c>
      <c r="AG54" s="5510">
        <f t="shared" si="236"/>
        <v>2100</v>
      </c>
      <c r="AH54" s="5510">
        <f>AH11+AH18+AH32+AH25</f>
        <v>5778.3499999999995</v>
      </c>
      <c r="AI54" s="2399">
        <f t="shared" si="237"/>
        <v>10783.333333333334</v>
      </c>
      <c r="AJ54" s="2399">
        <f t="shared" si="213"/>
        <v>29721.789999999997</v>
      </c>
      <c r="AK54" s="5911">
        <f t="shared" si="238"/>
        <v>2100</v>
      </c>
      <c r="AL54" s="5911">
        <f>AL11+AL18+AL32+AL25</f>
        <v>3912.49</v>
      </c>
      <c r="AM54" s="4125">
        <f t="shared" si="250"/>
        <v>6300</v>
      </c>
      <c r="AN54" s="4125">
        <f>AD54+AH54+AL54</f>
        <v>13735.05</v>
      </c>
      <c r="AO54" s="2399">
        <f t="shared" si="239"/>
        <v>12883.333333333334</v>
      </c>
      <c r="AP54" s="2399">
        <f t="shared" si="216"/>
        <v>33634.28</v>
      </c>
      <c r="AQ54" s="6066">
        <f t="shared" si="240"/>
        <v>2200</v>
      </c>
      <c r="AR54" s="6066">
        <f>AR11+AR18+AR32+AR25</f>
        <v>3486.44</v>
      </c>
      <c r="AS54" s="2399">
        <f t="shared" si="241"/>
        <v>15083.333333333334</v>
      </c>
      <c r="AT54" s="2399">
        <f t="shared" si="217"/>
        <v>37120.720000000001</v>
      </c>
      <c r="AU54" s="6189">
        <f t="shared" si="242"/>
        <v>2100</v>
      </c>
      <c r="AV54" s="6189">
        <f>AV11+AV18+AV32+AV25</f>
        <v>1080.8899999999999</v>
      </c>
      <c r="AW54" s="6193">
        <f t="shared" si="243"/>
        <v>17183.333333333336</v>
      </c>
      <c r="AX54" s="6193">
        <f t="shared" si="218"/>
        <v>38201.61</v>
      </c>
      <c r="AY54" s="6401">
        <f t="shared" si="244"/>
        <v>2100</v>
      </c>
      <c r="AZ54" s="6401">
        <f>AZ11+AZ18+AZ32+AZ25</f>
        <v>6965.79</v>
      </c>
      <c r="BA54" s="4125">
        <f t="shared" si="251"/>
        <v>6400</v>
      </c>
      <c r="BB54" s="4125">
        <f>AR54+AV54+AZ54</f>
        <v>11533.119999999999</v>
      </c>
      <c r="BC54" s="4157">
        <f t="shared" si="245"/>
        <v>12700</v>
      </c>
      <c r="BD54" s="4157">
        <f t="shared" si="221"/>
        <v>25268.17</v>
      </c>
      <c r="BE54" s="2399">
        <f t="shared" si="246"/>
        <v>19283.333333333336</v>
      </c>
      <c r="BF54" s="2399">
        <f t="shared" si="222"/>
        <v>45167.4</v>
      </c>
      <c r="BG54" s="4590"/>
      <c r="BH54" s="4590"/>
      <c r="BI54" s="4590"/>
      <c r="BJ54" s="4590"/>
    </row>
    <row r="55" spans="1:62" x14ac:dyDescent="0.25">
      <c r="A55" s="93"/>
      <c r="B55" s="4159" t="s">
        <v>2</v>
      </c>
      <c r="C55" s="4141" t="s">
        <v>50</v>
      </c>
      <c r="D55" s="1826">
        <f>+D33+D26+D19+D12</f>
        <v>2674798</v>
      </c>
      <c r="E55" s="1971">
        <f t="shared" ref="E55:F55" si="254">SUM(E50:E54)</f>
        <v>228999.81536860342</v>
      </c>
      <c r="F55" s="1971">
        <f t="shared" si="254"/>
        <v>175891</v>
      </c>
      <c r="G55" s="1971">
        <f t="shared" ref="G55:H55" si="255">SUM(G50:G54)</f>
        <v>236499.57667165709</v>
      </c>
      <c r="H55" s="1971">
        <f t="shared" si="255"/>
        <v>217466.03</v>
      </c>
      <c r="I55" s="376">
        <f t="shared" si="226"/>
        <v>465499.39204026049</v>
      </c>
      <c r="J55" s="376">
        <f t="shared" si="206"/>
        <v>393357.03</v>
      </c>
      <c r="K55" s="1971">
        <f t="shared" ref="K55:L55" si="256">SUM(K50:K54)</f>
        <v>142529.06735751301</v>
      </c>
      <c r="L55" s="1971">
        <f t="shared" si="256"/>
        <v>134749.32</v>
      </c>
      <c r="M55" s="378">
        <f>E55+G55+K55</f>
        <v>608028.45939777349</v>
      </c>
      <c r="N55" s="378">
        <f>F55+H55+L55</f>
        <v>528106.35000000009</v>
      </c>
      <c r="O55" s="1971">
        <f t="shared" ref="O55:P55" si="257">SUM(O50:O54)</f>
        <v>81183.229706390324</v>
      </c>
      <c r="P55" s="1971">
        <f t="shared" si="257"/>
        <v>213923.21000000002</v>
      </c>
      <c r="Q55" s="376">
        <f t="shared" si="230"/>
        <v>689211.68910416379</v>
      </c>
      <c r="R55" s="376">
        <f t="shared" si="208"/>
        <v>742029.56</v>
      </c>
      <c r="S55" s="1971">
        <f t="shared" ref="S55:T55" si="258">SUM(S50:S54)</f>
        <v>217952.17645827011</v>
      </c>
      <c r="T55" s="1971">
        <f t="shared" si="258"/>
        <v>216043.50000000003</v>
      </c>
      <c r="U55" s="4885">
        <f t="shared" si="232"/>
        <v>907163.86556243384</v>
      </c>
      <c r="V55" s="4885">
        <f t="shared" si="209"/>
        <v>958073.06</v>
      </c>
      <c r="W55" s="1971">
        <f t="shared" ref="W55:X55" si="259">SUM(W50:W54)</f>
        <v>205480.78583765111</v>
      </c>
      <c r="X55" s="1971">
        <f t="shared" si="259"/>
        <v>211145.77</v>
      </c>
      <c r="Y55" s="378">
        <f t="shared" ref="Y55" si="260">O55+S55+W55</f>
        <v>504616.19200231158</v>
      </c>
      <c r="Z55" s="378">
        <f t="shared" si="210"/>
        <v>641112.4800000001</v>
      </c>
      <c r="AA55" s="4160">
        <f>M55+Y55</f>
        <v>1112644.6514000851</v>
      </c>
      <c r="AB55" s="4160">
        <f>N55+Z55</f>
        <v>1169218.83</v>
      </c>
      <c r="AC55" s="1971">
        <f t="shared" ref="AC55:AD55" si="261">SUM(AC50:AC54)</f>
        <v>226841.09386753975</v>
      </c>
      <c r="AD55" s="1971">
        <f t="shared" si="261"/>
        <v>179510.6</v>
      </c>
      <c r="AE55" s="376">
        <f t="shared" si="235"/>
        <v>1339485.7452676247</v>
      </c>
      <c r="AF55" s="376">
        <f t="shared" si="212"/>
        <v>1348729.4300000002</v>
      </c>
      <c r="AG55" s="1971">
        <f t="shared" ref="AG55:AH55" si="262">SUM(AG50:AG54)</f>
        <v>223180.91557330103</v>
      </c>
      <c r="AH55" s="1971">
        <f t="shared" si="262"/>
        <v>74122.210000000021</v>
      </c>
      <c r="AI55" s="376">
        <f t="shared" si="237"/>
        <v>1562666.6608409258</v>
      </c>
      <c r="AJ55" s="376">
        <f t="shared" si="213"/>
        <v>1422851.6400000001</v>
      </c>
      <c r="AK55" s="1971">
        <f t="shared" ref="AK55:AL55" si="263">SUM(AK50:AK54)</f>
        <v>225210.06226252159</v>
      </c>
      <c r="AL55" s="1971">
        <f t="shared" si="263"/>
        <v>198118.31999999998</v>
      </c>
      <c r="AM55" s="378">
        <f t="shared" si="250"/>
        <v>675232.0717033624</v>
      </c>
      <c r="AN55" s="378">
        <f t="shared" ref="AN55" si="264">AD55+AH55+AL55</f>
        <v>451751.13</v>
      </c>
      <c r="AO55" s="376">
        <f t="shared" si="239"/>
        <v>1787876.7231034474</v>
      </c>
      <c r="AP55" s="376">
        <f t="shared" si="216"/>
        <v>1620969.9600000002</v>
      </c>
      <c r="AQ55" s="1971">
        <f t="shared" ref="AQ55:AR55" si="265">SUM(AQ50:AQ54)</f>
        <v>226839.61226252161</v>
      </c>
      <c r="AR55" s="1971">
        <f t="shared" si="265"/>
        <v>238976.33999999997</v>
      </c>
      <c r="AS55" s="376">
        <f t="shared" si="241"/>
        <v>2014716.335365969</v>
      </c>
      <c r="AT55" s="376">
        <f t="shared" si="217"/>
        <v>1859946.3000000003</v>
      </c>
      <c r="AU55" s="1971">
        <f t="shared" ref="AU55:AV55" si="266">SUM(AU50:AU54)</f>
        <v>207657.99609174184</v>
      </c>
      <c r="AV55" s="1971">
        <f t="shared" si="266"/>
        <v>188740.32</v>
      </c>
      <c r="AW55" s="6190">
        <f t="shared" si="243"/>
        <v>2222374.3314577108</v>
      </c>
      <c r="AX55" s="6190">
        <f t="shared" si="218"/>
        <v>2048686.6200000003</v>
      </c>
      <c r="AY55" s="1971">
        <f t="shared" ref="AY55:AZ55" si="267">SUM(AY50:AY54)</f>
        <v>230952.61226252158</v>
      </c>
      <c r="AZ55" s="1971">
        <f t="shared" si="267"/>
        <v>266136.09999999992</v>
      </c>
      <c r="BA55" s="378">
        <f t="shared" si="251"/>
        <v>665450.22061678511</v>
      </c>
      <c r="BB55" s="378">
        <f t="shared" ref="BB55" si="268">AR55+AV55+AZ55</f>
        <v>693852.75999999989</v>
      </c>
      <c r="BC55" s="4160">
        <f>AM55+BA55</f>
        <v>1340682.2923201476</v>
      </c>
      <c r="BD55" s="4160">
        <f>AN55+BB55</f>
        <v>1145603.8899999999</v>
      </c>
      <c r="BE55" s="376">
        <f t="shared" si="246"/>
        <v>2453326.9437202322</v>
      </c>
      <c r="BF55" s="376">
        <f t="shared" si="222"/>
        <v>2314822.7200000002</v>
      </c>
      <c r="BG55" s="4590"/>
      <c r="BH55" s="4590"/>
      <c r="BI55" s="4590"/>
      <c r="BJ55" s="4590"/>
    </row>
    <row r="56" spans="1:62" x14ac:dyDescent="0.25">
      <c r="A56" s="93"/>
      <c r="B56" s="4164" t="s">
        <v>1107</v>
      </c>
      <c r="C56" s="814" t="s">
        <v>49</v>
      </c>
      <c r="D56" s="814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4167"/>
      <c r="J56" s="4167">
        <f>+((J50+J52+J53+J54)/J55)*100</f>
        <v>69.082365198862689</v>
      </c>
      <c r="K56" s="209"/>
      <c r="L56" s="209">
        <f>+((L50+L52+L53+L54)/L55)*100</f>
        <v>72.820130001398141</v>
      </c>
      <c r="M56" s="620"/>
      <c r="N56" s="620">
        <f>+((N50+N52+N53+N54)/N55)*100</f>
        <v>70.036077013654506</v>
      </c>
      <c r="O56" s="209"/>
      <c r="P56" s="209">
        <f>+((P50+P52+P53+P54)/P55)*100</f>
        <v>63.039466358045026</v>
      </c>
      <c r="Q56" s="4167"/>
      <c r="R56" s="4167">
        <f>+((R50+R52+R53+R54)/R55)*100</f>
        <v>68.018991049359272</v>
      </c>
      <c r="S56" s="209"/>
      <c r="T56" s="209">
        <f>+((T50+T52+T53+T54)/T55)*100</f>
        <v>63.930518622407064</v>
      </c>
      <c r="U56" s="4167"/>
      <c r="V56" s="4167">
        <f>+((V50+V52+V53+V54)/V55)*100</f>
        <v>67.097048945306938</v>
      </c>
      <c r="W56" s="209"/>
      <c r="X56" s="209">
        <f>+((X50+X52+X53+X54)/X55)*100</f>
        <v>75.550696563800443</v>
      </c>
      <c r="Y56" s="620"/>
      <c r="Z56" s="620">
        <f>+((Z50+Z52+Z53+Z54)/Z55)*100</f>
        <v>67.460218525148647</v>
      </c>
      <c r="AA56" s="4168"/>
      <c r="AB56" s="4168">
        <f>+((AB50+AB52+AB53+AB54)/AB55)*100</f>
        <v>68.62366816312732</v>
      </c>
      <c r="AC56" s="209"/>
      <c r="AD56" s="209">
        <f>+((AD50+AD52+AD53+AD54)/AD55)*100</f>
        <v>68.745578255545922</v>
      </c>
      <c r="AE56" s="4167"/>
      <c r="AF56" s="4167">
        <f>+((AF50+AF52+AF53+AF54)/AF55)*100</f>
        <v>68.639893918530404</v>
      </c>
      <c r="AG56" s="209"/>
      <c r="AH56" s="209">
        <f>+((AH50+AH52+AH53+AH54)/AH55)*100</f>
        <v>82.522741834060255</v>
      </c>
      <c r="AI56" s="4167"/>
      <c r="AJ56" s="4167">
        <f>+((AJ50+AJ52+AJ53+AJ54)/AJ55)*100</f>
        <v>69.363108721581099</v>
      </c>
      <c r="AK56" s="209"/>
      <c r="AL56" s="209">
        <f>+((AL50+AL52+AL53+AL54)/AL55)*100</f>
        <v>72.454682636113603</v>
      </c>
      <c r="AM56" s="620"/>
      <c r="AN56" s="620">
        <f>+((AN50+AN52+AN53+AN54)/AN55)*100</f>
        <v>72.632752462622491</v>
      </c>
      <c r="AO56" s="4167"/>
      <c r="AP56" s="4167">
        <f>+((AP50+AP52+AP53+AP54)/AP55)*100</f>
        <v>69.740967315643516</v>
      </c>
      <c r="AQ56" s="209"/>
      <c r="AR56" s="209">
        <f>+((AR50+AR52+AR53+AR54)/AR55)*100</f>
        <v>74.667739074085745</v>
      </c>
      <c r="AS56" s="4167"/>
      <c r="AT56" s="4167">
        <f>+((AT50+AT52+AT53+AT54)/AT55)*100</f>
        <v>70.37398660380677</v>
      </c>
      <c r="AU56" s="209"/>
      <c r="AV56" s="209">
        <f>+((AV50+AV52+AV53+AV54)/AV55)*100</f>
        <v>72.915781853077291</v>
      </c>
      <c r="AW56" s="4167"/>
      <c r="AX56" s="4167">
        <f>+((AX50+AX52+AX53+AX54)/AX55)*100</f>
        <v>70.608155775430404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4168"/>
      <c r="BD56" s="4168">
        <f>+((BD50+BD52+BD53+BD54)/BD55)*100</f>
        <v>73.47148061796473</v>
      </c>
      <c r="BE56" s="4167"/>
      <c r="BF56" s="4167">
        <f>+((BF50+BF52+BF53+BF54)/BF55)*100</f>
        <v>71.022846622137877</v>
      </c>
      <c r="BG56" s="4590"/>
      <c r="BH56" s="4590"/>
      <c r="BI56" s="4590"/>
      <c r="BJ56" s="4590"/>
    </row>
    <row r="57" spans="1:62" x14ac:dyDescent="0.25">
      <c r="A57" s="154"/>
      <c r="B57" s="862" t="s">
        <v>140</v>
      </c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2"/>
      <c r="V57" s="862"/>
      <c r="W57" s="862"/>
      <c r="X57" s="862"/>
      <c r="Y57" s="862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  <c r="AU57" s="862"/>
      <c r="AV57" s="862"/>
      <c r="AW57" s="862"/>
      <c r="AX57" s="862"/>
      <c r="AY57" s="862"/>
      <c r="AZ57" s="862"/>
      <c r="BA57" s="862"/>
      <c r="BB57" s="862"/>
      <c r="BC57" s="862"/>
      <c r="BD57" s="862"/>
      <c r="BE57" s="862"/>
      <c r="BF57" s="862"/>
      <c r="BG57" s="4590"/>
      <c r="BH57" s="4590"/>
      <c r="BI57" s="4590"/>
      <c r="BJ57" s="4590"/>
    </row>
    <row r="58" spans="1:62" x14ac:dyDescent="0.25">
      <c r="A58" s="93"/>
      <c r="B58" s="1020" t="s">
        <v>114</v>
      </c>
      <c r="C58" s="159" t="s">
        <v>50</v>
      </c>
      <c r="D58" s="159">
        <f>+D12</f>
        <v>500000</v>
      </c>
      <c r="E58" s="1970">
        <f>+E12</f>
        <v>42500</v>
      </c>
      <c r="F58" s="1970">
        <f>+F12</f>
        <v>33332.799999999996</v>
      </c>
      <c r="G58" s="1970">
        <f>+G12</f>
        <v>44000</v>
      </c>
      <c r="H58" s="1970">
        <f>+H12</f>
        <v>39367.019999999997</v>
      </c>
      <c r="I58" s="2399">
        <f t="shared" ref="I58:J62" si="269">E58+G58</f>
        <v>86500</v>
      </c>
      <c r="J58" s="2399">
        <f t="shared" si="269"/>
        <v>72699.819999999992</v>
      </c>
      <c r="K58" s="1970">
        <f>+K12</f>
        <v>30000</v>
      </c>
      <c r="L58" s="1970">
        <f>+L12</f>
        <v>38679.249999999985</v>
      </c>
      <c r="M58" s="4125">
        <f>E58+G58+K58</f>
        <v>116500</v>
      </c>
      <c r="N58" s="4125">
        <f>F58+H58+L58</f>
        <v>111379.06999999998</v>
      </c>
      <c r="O58" s="1970">
        <f>+O12</f>
        <v>25000</v>
      </c>
      <c r="P58" s="1970">
        <f>+P12</f>
        <v>41309.15</v>
      </c>
      <c r="Q58" s="2399">
        <f t="shared" ref="Q58:Q62" si="270">M58+O58</f>
        <v>141500</v>
      </c>
      <c r="R58" s="2399">
        <f t="shared" ref="R58:R62" si="271">N58+P58</f>
        <v>152688.21999999997</v>
      </c>
      <c r="S58" s="1970">
        <f>+S12</f>
        <v>45500</v>
      </c>
      <c r="T58" s="1970">
        <f>+T12</f>
        <v>40737.790000000015</v>
      </c>
      <c r="U58" s="4890">
        <f t="shared" ref="U58:U62" si="272">Q58+S58</f>
        <v>187000</v>
      </c>
      <c r="V58" s="4890">
        <f t="shared" ref="V58:V62" si="273">R58+T58</f>
        <v>193426.00999999998</v>
      </c>
      <c r="W58" s="1970">
        <f>+W12</f>
        <v>44000</v>
      </c>
      <c r="X58" s="1970">
        <f>+X12</f>
        <v>42134.22</v>
      </c>
      <c r="Y58" s="4125">
        <f>O58+S58+W58</f>
        <v>114500</v>
      </c>
      <c r="Z58" s="4125">
        <f>P58+T58+X58</f>
        <v>124181.16000000002</v>
      </c>
      <c r="AA58" s="4157">
        <f t="shared" ref="AA58:AB62" si="274">M58+Y58</f>
        <v>231000</v>
      </c>
      <c r="AB58" s="4157">
        <f t="shared" si="274"/>
        <v>235560.22999999998</v>
      </c>
      <c r="AC58" s="1970">
        <f>+AC12</f>
        <v>45500</v>
      </c>
      <c r="AD58" s="1970">
        <f>+AD12</f>
        <v>37048.140000000014</v>
      </c>
      <c r="AE58" s="2399">
        <f t="shared" ref="AE58:AE62" si="275">AA58+AC58</f>
        <v>276500</v>
      </c>
      <c r="AF58" s="2399">
        <f t="shared" ref="AF58:AF62" si="276">AB58+AD58</f>
        <v>272608.37</v>
      </c>
      <c r="AG58" s="1970">
        <f>+AG12</f>
        <v>44000</v>
      </c>
      <c r="AH58" s="1970">
        <f>+AH12</f>
        <v>30159.91</v>
      </c>
      <c r="AI58" s="2399">
        <f t="shared" ref="AI58:AI62" si="277">AE58+AG58</f>
        <v>320500</v>
      </c>
      <c r="AJ58" s="2399">
        <f t="shared" ref="AJ58:AJ62" si="278">AF58+AH58</f>
        <v>302768.27999999997</v>
      </c>
      <c r="AK58" s="1970">
        <f>+AK12</f>
        <v>45500</v>
      </c>
      <c r="AL58" s="1970">
        <f>+AL12</f>
        <v>37390.05999999999</v>
      </c>
      <c r="AM58" s="4125">
        <f>AC58+AG58+AK58</f>
        <v>135000</v>
      </c>
      <c r="AN58" s="4125">
        <f>AD58+AH58+AL58</f>
        <v>104598.11000000002</v>
      </c>
      <c r="AO58" s="2399">
        <f t="shared" ref="AO58" si="279">AI58+AK58</f>
        <v>366000</v>
      </c>
      <c r="AP58" s="2399">
        <f t="shared" ref="AP58" si="280">AJ58+AL58</f>
        <v>340158.33999999997</v>
      </c>
      <c r="AQ58" s="1970">
        <f>+AQ12</f>
        <v>45500</v>
      </c>
      <c r="AR58" s="1970">
        <f>+AR12</f>
        <v>37025.609999999993</v>
      </c>
      <c r="AS58" s="2399">
        <f t="shared" ref="AS58:AS62" si="281">AO58+AQ58</f>
        <v>411500</v>
      </c>
      <c r="AT58" s="2399">
        <f t="shared" ref="AT58:AT62" si="282">AP58+AR58</f>
        <v>377183.94999999995</v>
      </c>
      <c r="AU58" s="1970">
        <f>+AU12</f>
        <v>40500</v>
      </c>
      <c r="AV58" s="1970">
        <f>+AV12</f>
        <v>32967.389999999992</v>
      </c>
      <c r="AW58" s="6193">
        <f t="shared" ref="AW58:AW62" si="283">AS58+AU58</f>
        <v>452000</v>
      </c>
      <c r="AX58" s="6193">
        <f t="shared" ref="AX58:AX62" si="284">AT58+AV58</f>
        <v>410151.33999999997</v>
      </c>
      <c r="AY58" s="1970">
        <f>+AY12</f>
        <v>45500</v>
      </c>
      <c r="AZ58" s="1970">
        <f>+AZ12</f>
        <v>44837.42</v>
      </c>
      <c r="BA58" s="4125">
        <f>AQ58+AU58+AY58</f>
        <v>131500</v>
      </c>
      <c r="BB58" s="4125">
        <f>AR58+AV58+AZ58</f>
        <v>114830.41999999998</v>
      </c>
      <c r="BC58" s="4157">
        <f t="shared" ref="BC58:BC61" si="285">AM58+BA58</f>
        <v>266500</v>
      </c>
      <c r="BD58" s="4157">
        <f t="shared" ref="BD58:BD61" si="286">AN58+BB58</f>
        <v>219428.53</v>
      </c>
      <c r="BE58" s="2399">
        <f t="shared" ref="BE58:BE62" si="287">AW58+AY58</f>
        <v>497500</v>
      </c>
      <c r="BF58" s="2399">
        <f t="shared" ref="BF58:BF62" si="288">AX58+AZ58</f>
        <v>454988.75999999995</v>
      </c>
      <c r="BG58" s="4590"/>
      <c r="BH58" s="4590"/>
      <c r="BI58" s="4590"/>
      <c r="BJ58" s="4590"/>
    </row>
    <row r="59" spans="1:62" x14ac:dyDescent="0.25">
      <c r="A59" s="93"/>
      <c r="B59" s="1020" t="s">
        <v>95</v>
      </c>
      <c r="C59" s="159" t="s">
        <v>50</v>
      </c>
      <c r="D59" s="159">
        <f>+D19</f>
        <v>900000</v>
      </c>
      <c r="E59" s="1970">
        <f>+E19</f>
        <v>76000</v>
      </c>
      <c r="F59" s="1970">
        <f>+F19</f>
        <v>60011.209999999992</v>
      </c>
      <c r="G59" s="1970">
        <f>+G19</f>
        <v>79000</v>
      </c>
      <c r="H59" s="1970">
        <f>+H19</f>
        <v>67347.899999999994</v>
      </c>
      <c r="I59" s="2399">
        <f t="shared" si="269"/>
        <v>155000</v>
      </c>
      <c r="J59" s="2399">
        <f t="shared" si="269"/>
        <v>127359.10999999999</v>
      </c>
      <c r="K59" s="1970">
        <f>+K19</f>
        <v>48000</v>
      </c>
      <c r="L59" s="1970">
        <f>+L19</f>
        <v>45346.210000000006</v>
      </c>
      <c r="M59" s="4125">
        <f t="shared" ref="M59:M61" si="289">E59+G59+K59</f>
        <v>203000</v>
      </c>
      <c r="N59" s="4125">
        <f t="shared" ref="N59:N61" si="290">F59+H59+L59</f>
        <v>172705.32</v>
      </c>
      <c r="O59" s="1970">
        <f>+O19</f>
        <v>37500</v>
      </c>
      <c r="P59" s="1970">
        <f>+P19</f>
        <v>69331.990000000005</v>
      </c>
      <c r="Q59" s="2399">
        <f t="shared" si="270"/>
        <v>240500</v>
      </c>
      <c r="R59" s="2399">
        <f t="shared" si="271"/>
        <v>242037.31</v>
      </c>
      <c r="S59" s="1970">
        <f>+S19</f>
        <v>80000</v>
      </c>
      <c r="T59" s="1970">
        <f>+T19</f>
        <v>73713.89</v>
      </c>
      <c r="U59" s="4890">
        <f t="shared" si="272"/>
        <v>320500</v>
      </c>
      <c r="V59" s="4890">
        <f t="shared" si="273"/>
        <v>315751.2</v>
      </c>
      <c r="W59" s="1970">
        <f>+W19</f>
        <v>77500</v>
      </c>
      <c r="X59" s="1970">
        <f>+X19</f>
        <v>66573.360000000015</v>
      </c>
      <c r="Y59" s="4125">
        <f t="shared" ref="Y59:Y61" si="291">O59+S59+W59</f>
        <v>195000</v>
      </c>
      <c r="Z59" s="4125">
        <f t="shared" ref="Z59:Z61" si="292">P59+T59+X59</f>
        <v>209619.24000000002</v>
      </c>
      <c r="AA59" s="4157">
        <f t="shared" ref="AA59:AA61" si="293">M59+Y59</f>
        <v>398000</v>
      </c>
      <c r="AB59" s="4157">
        <f t="shared" ref="AB59:AB61" si="294">N59+Z59</f>
        <v>382324.56000000006</v>
      </c>
      <c r="AC59" s="1970">
        <f>+AC19</f>
        <v>80000</v>
      </c>
      <c r="AD59" s="1970">
        <f>+AD19</f>
        <v>64076.47</v>
      </c>
      <c r="AE59" s="2399">
        <f t="shared" si="275"/>
        <v>478000</v>
      </c>
      <c r="AF59" s="2399">
        <f t="shared" si="276"/>
        <v>446401.03</v>
      </c>
      <c r="AG59" s="1970">
        <f>+AG19</f>
        <v>77500</v>
      </c>
      <c r="AH59" s="1970">
        <f>+AH19</f>
        <v>10813.23</v>
      </c>
      <c r="AI59" s="2399">
        <f t="shared" si="277"/>
        <v>555500</v>
      </c>
      <c r="AJ59" s="2399">
        <f t="shared" si="278"/>
        <v>457214.26</v>
      </c>
      <c r="AK59" s="1970">
        <f>+AK19</f>
        <v>80000</v>
      </c>
      <c r="AL59" s="1970">
        <f>+AL19</f>
        <v>67252.74000000002</v>
      </c>
      <c r="AM59" s="4125">
        <f t="shared" ref="AM59:AM61" si="295">AC59+AG59+AK59</f>
        <v>237500</v>
      </c>
      <c r="AN59" s="4125">
        <f t="shared" ref="AN59:AN61" si="296">AD59+AH59+AL59</f>
        <v>142142.44</v>
      </c>
      <c r="AO59" s="2399">
        <f t="shared" ref="AO59:AO62" si="297">AI59+AK59</f>
        <v>635500</v>
      </c>
      <c r="AP59" s="2399">
        <f t="shared" ref="AP59:AP62" si="298">AJ59+AL59</f>
        <v>524467</v>
      </c>
      <c r="AQ59" s="1970">
        <f>+AQ19</f>
        <v>80000</v>
      </c>
      <c r="AR59" s="1970">
        <f>+AR19</f>
        <v>70877.679999999993</v>
      </c>
      <c r="AS59" s="2399">
        <f t="shared" si="281"/>
        <v>715500</v>
      </c>
      <c r="AT59" s="2399">
        <f t="shared" si="282"/>
        <v>595344.67999999993</v>
      </c>
      <c r="AU59" s="1970">
        <f>+AU19</f>
        <v>72500</v>
      </c>
      <c r="AV59" s="1970">
        <f>+AV19</f>
        <v>58216.86</v>
      </c>
      <c r="AW59" s="6193">
        <f t="shared" si="283"/>
        <v>788000</v>
      </c>
      <c r="AX59" s="6193">
        <f t="shared" si="284"/>
        <v>653561.53999999992</v>
      </c>
      <c r="AY59" s="1970">
        <f>+AY19</f>
        <v>80000</v>
      </c>
      <c r="AZ59" s="1970">
        <f>+AZ19</f>
        <v>84208.419999999984</v>
      </c>
      <c r="BA59" s="4125">
        <f t="shared" ref="BA59:BA61" si="299">AQ59+AU59+AY59</f>
        <v>232500</v>
      </c>
      <c r="BB59" s="4125">
        <f t="shared" ref="BB59:BB61" si="300">AR59+AV59+AZ59</f>
        <v>213302.95999999996</v>
      </c>
      <c r="BC59" s="4157">
        <f t="shared" si="285"/>
        <v>470000</v>
      </c>
      <c r="BD59" s="4157">
        <f t="shared" si="286"/>
        <v>355445.39999999997</v>
      </c>
      <c r="BE59" s="2399">
        <f t="shared" si="287"/>
        <v>868000</v>
      </c>
      <c r="BF59" s="2399">
        <f t="shared" si="288"/>
        <v>737769.96</v>
      </c>
      <c r="BG59" s="4590"/>
      <c r="BH59" s="4590"/>
      <c r="BI59" s="4590"/>
      <c r="BJ59" s="4590"/>
    </row>
    <row r="60" spans="1:62" x14ac:dyDescent="0.25">
      <c r="A60" s="93"/>
      <c r="B60" s="1020" t="s">
        <v>115</v>
      </c>
      <c r="C60" s="159" t="s">
        <v>50</v>
      </c>
      <c r="D60" s="159">
        <f>+D26</f>
        <v>750000</v>
      </c>
      <c r="E60" s="1970">
        <f>+E26</f>
        <v>62000</v>
      </c>
      <c r="F60" s="1970">
        <f>+F26</f>
        <v>44122.7</v>
      </c>
      <c r="G60" s="1970">
        <f>+G26</f>
        <v>65000</v>
      </c>
      <c r="H60" s="1970">
        <f>+H26</f>
        <v>57715.999999999985</v>
      </c>
      <c r="I60" s="2399">
        <f t="shared" si="269"/>
        <v>127000</v>
      </c>
      <c r="J60" s="2399">
        <f t="shared" si="269"/>
        <v>101838.69999999998</v>
      </c>
      <c r="K60" s="1970">
        <f>+K26</f>
        <v>35000</v>
      </c>
      <c r="L60" s="1970">
        <f>+L26</f>
        <v>23860.35</v>
      </c>
      <c r="M60" s="4125">
        <f t="shared" si="289"/>
        <v>162000</v>
      </c>
      <c r="N60" s="4125">
        <f t="shared" si="290"/>
        <v>125699.04999999999</v>
      </c>
      <c r="O60" s="1970">
        <f>+O26</f>
        <v>12500</v>
      </c>
      <c r="P60" s="1970">
        <f>+P26</f>
        <v>45789.59</v>
      </c>
      <c r="Q60" s="2399">
        <f t="shared" si="270"/>
        <v>174500</v>
      </c>
      <c r="R60" s="2399">
        <f t="shared" si="271"/>
        <v>171488.63999999998</v>
      </c>
      <c r="S60" s="1970">
        <f>+S26</f>
        <v>49000</v>
      </c>
      <c r="T60" s="1970">
        <f>+T26</f>
        <v>38854.43</v>
      </c>
      <c r="U60" s="4890">
        <f t="shared" si="272"/>
        <v>223500</v>
      </c>
      <c r="V60" s="4890">
        <f t="shared" si="273"/>
        <v>210343.06999999998</v>
      </c>
      <c r="W60" s="1970">
        <f>+W26</f>
        <v>48000</v>
      </c>
      <c r="X60" s="1970">
        <f>+X26</f>
        <v>43924.95</v>
      </c>
      <c r="Y60" s="4125">
        <f t="shared" si="291"/>
        <v>109500</v>
      </c>
      <c r="Z60" s="4125">
        <f t="shared" si="292"/>
        <v>128568.96999999999</v>
      </c>
      <c r="AA60" s="4157">
        <f t="shared" si="293"/>
        <v>271500</v>
      </c>
      <c r="AB60" s="4157">
        <f t="shared" si="294"/>
        <v>254268.01999999996</v>
      </c>
      <c r="AC60" s="1970">
        <f>+AC26</f>
        <v>54000</v>
      </c>
      <c r="AD60" s="1970">
        <f>+AD26</f>
        <v>43303.750000000007</v>
      </c>
      <c r="AE60" s="2399">
        <f t="shared" si="275"/>
        <v>325500</v>
      </c>
      <c r="AF60" s="2399">
        <f t="shared" si="276"/>
        <v>297571.76999999996</v>
      </c>
      <c r="AG60" s="1970">
        <f>+AG26</f>
        <v>52000</v>
      </c>
      <c r="AH60" s="1970">
        <f>+AH26</f>
        <v>15465.420000000002</v>
      </c>
      <c r="AI60" s="2399">
        <f t="shared" si="277"/>
        <v>377500</v>
      </c>
      <c r="AJ60" s="2399">
        <f t="shared" si="278"/>
        <v>313037.18999999994</v>
      </c>
      <c r="AK60" s="1970">
        <f>+AK26</f>
        <v>54000</v>
      </c>
      <c r="AL60" s="1970">
        <f>+AL26</f>
        <v>33462.999999999993</v>
      </c>
      <c r="AM60" s="4125">
        <f t="shared" si="295"/>
        <v>160000</v>
      </c>
      <c r="AN60" s="4125">
        <f t="shared" si="296"/>
        <v>92232.170000000013</v>
      </c>
      <c r="AO60" s="2399">
        <f t="shared" si="297"/>
        <v>431500</v>
      </c>
      <c r="AP60" s="2399">
        <f t="shared" si="298"/>
        <v>346500.18999999994</v>
      </c>
      <c r="AQ60" s="1970">
        <f>+AQ26</f>
        <v>54000</v>
      </c>
      <c r="AR60" s="1970">
        <f>+AR26</f>
        <v>44656.87999999999</v>
      </c>
      <c r="AS60" s="2399">
        <f t="shared" si="281"/>
        <v>485500</v>
      </c>
      <c r="AT60" s="2399">
        <f t="shared" si="282"/>
        <v>391157.06999999995</v>
      </c>
      <c r="AU60" s="1970">
        <f>+AU26</f>
        <v>48000</v>
      </c>
      <c r="AV60" s="1970">
        <f>+AV26</f>
        <v>47339.009999999987</v>
      </c>
      <c r="AW60" s="6193">
        <f t="shared" si="283"/>
        <v>533500</v>
      </c>
      <c r="AX60" s="6193">
        <f t="shared" si="284"/>
        <v>438496.07999999996</v>
      </c>
      <c r="AY60" s="1970">
        <f>+AY26</f>
        <v>60000</v>
      </c>
      <c r="AZ60" s="1970">
        <f>+AZ26</f>
        <v>68418.50999999998</v>
      </c>
      <c r="BA60" s="4125">
        <f t="shared" si="299"/>
        <v>162000</v>
      </c>
      <c r="BB60" s="4125">
        <f t="shared" si="300"/>
        <v>160414.39999999997</v>
      </c>
      <c r="BC60" s="4157">
        <f t="shared" si="285"/>
        <v>322000</v>
      </c>
      <c r="BD60" s="4157">
        <f t="shared" si="286"/>
        <v>252646.56999999998</v>
      </c>
      <c r="BE60" s="2399">
        <f t="shared" si="287"/>
        <v>593500</v>
      </c>
      <c r="BF60" s="2399">
        <f t="shared" si="288"/>
        <v>506914.58999999997</v>
      </c>
      <c r="BG60" s="4590"/>
      <c r="BH60" s="4590"/>
      <c r="BI60" s="4590"/>
      <c r="BJ60" s="4590"/>
    </row>
    <row r="61" spans="1:62" x14ac:dyDescent="0.25">
      <c r="A61" s="154"/>
      <c r="B61" s="1020" t="s">
        <v>513</v>
      </c>
      <c r="C61" s="159" t="s">
        <v>50</v>
      </c>
      <c r="D61" s="1970">
        <f>+D33</f>
        <v>524798</v>
      </c>
      <c r="E61" s="1970">
        <f>E33</f>
        <v>48499.815368603398</v>
      </c>
      <c r="F61" s="1970">
        <f>+F33</f>
        <v>38424.29</v>
      </c>
      <c r="G61" s="1970">
        <f>G33</f>
        <v>48499.576671657102</v>
      </c>
      <c r="H61" s="1970">
        <f>+H33</f>
        <v>53035.109999999993</v>
      </c>
      <c r="I61" s="2399">
        <f t="shared" si="269"/>
        <v>96999.3920402605</v>
      </c>
      <c r="J61" s="2399">
        <f t="shared" si="269"/>
        <v>91459.4</v>
      </c>
      <c r="K61" s="1970">
        <f>K33</f>
        <v>29529.067357512999</v>
      </c>
      <c r="L61" s="1970">
        <f>+L33</f>
        <v>26863.510000000002</v>
      </c>
      <c r="M61" s="4125">
        <f t="shared" si="289"/>
        <v>126528.45939777349</v>
      </c>
      <c r="N61" s="4125">
        <f t="shared" si="290"/>
        <v>118322.91</v>
      </c>
      <c r="O61" s="1970">
        <f>O33</f>
        <v>6183.2297063903206</v>
      </c>
      <c r="P61" s="1970">
        <f>+P33</f>
        <v>57492.479999999996</v>
      </c>
      <c r="Q61" s="2399">
        <f t="shared" si="270"/>
        <v>132711.68910416382</v>
      </c>
      <c r="R61" s="2399">
        <f t="shared" si="271"/>
        <v>175815.39</v>
      </c>
      <c r="S61" s="1970">
        <f>S33</f>
        <v>43452.1764582701</v>
      </c>
      <c r="T61" s="1970">
        <f>+T33</f>
        <v>62737.390000000007</v>
      </c>
      <c r="U61" s="4890">
        <f t="shared" si="272"/>
        <v>176163.8655624339</v>
      </c>
      <c r="V61" s="4890">
        <f t="shared" si="273"/>
        <v>238552.78000000003</v>
      </c>
      <c r="W61" s="1970">
        <f>W33</f>
        <v>35980.785837651099</v>
      </c>
      <c r="X61" s="1970">
        <f>+X33</f>
        <v>58513.239999999991</v>
      </c>
      <c r="Y61" s="4125">
        <f t="shared" si="291"/>
        <v>85616.192002311524</v>
      </c>
      <c r="Z61" s="4125">
        <f t="shared" si="292"/>
        <v>178743.11</v>
      </c>
      <c r="AA61" s="4157">
        <f t="shared" si="293"/>
        <v>212144.65140008501</v>
      </c>
      <c r="AB61" s="4157">
        <f t="shared" si="294"/>
        <v>297066.02</v>
      </c>
      <c r="AC61" s="1970">
        <f>AC33</f>
        <v>47341.093867539748</v>
      </c>
      <c r="AD61" s="1970">
        <f>+AD33</f>
        <v>35082.239999999991</v>
      </c>
      <c r="AE61" s="2399">
        <f t="shared" si="275"/>
        <v>259485.74526762476</v>
      </c>
      <c r="AF61" s="2399">
        <f t="shared" si="276"/>
        <v>332148.26</v>
      </c>
      <c r="AG61" s="1970">
        <f>AG33</f>
        <v>49680.915573301019</v>
      </c>
      <c r="AH61" s="1970">
        <f>+AH33</f>
        <v>17683.650000000001</v>
      </c>
      <c r="AI61" s="2399">
        <f t="shared" si="277"/>
        <v>309166.66084092576</v>
      </c>
      <c r="AJ61" s="2399">
        <f t="shared" si="278"/>
        <v>349831.91000000003</v>
      </c>
      <c r="AK61" s="1970">
        <f>AK33</f>
        <v>45710.062262521606</v>
      </c>
      <c r="AL61" s="1970">
        <f>+AL33</f>
        <v>60012.51999999999</v>
      </c>
      <c r="AM61" s="4125">
        <f t="shared" si="295"/>
        <v>142732.0717033624</v>
      </c>
      <c r="AN61" s="4125">
        <f t="shared" si="296"/>
        <v>112778.40999999997</v>
      </c>
      <c r="AO61" s="2399">
        <f t="shared" si="297"/>
        <v>354876.72310344735</v>
      </c>
      <c r="AP61" s="2399">
        <f t="shared" si="298"/>
        <v>409844.43000000005</v>
      </c>
      <c r="AQ61" s="1970">
        <f>AQ33</f>
        <v>47339.612262521601</v>
      </c>
      <c r="AR61" s="1970">
        <f>+AR33</f>
        <v>86416.17</v>
      </c>
      <c r="AS61" s="2399">
        <f t="shared" si="281"/>
        <v>402216.33536596893</v>
      </c>
      <c r="AT61" s="2399">
        <f t="shared" si="282"/>
        <v>496260.60000000003</v>
      </c>
      <c r="AU61" s="1970">
        <f>AU33</f>
        <v>46657.996091741836</v>
      </c>
      <c r="AV61" s="1970">
        <f>+AV33</f>
        <v>50217.060000000005</v>
      </c>
      <c r="AW61" s="6193">
        <f t="shared" si="283"/>
        <v>448874.33145771077</v>
      </c>
      <c r="AX61" s="6193">
        <f t="shared" si="284"/>
        <v>546477.66</v>
      </c>
      <c r="AY61" s="1970">
        <f>AY33</f>
        <v>45452.612262521594</v>
      </c>
      <c r="AZ61" s="1970">
        <f>+AZ33</f>
        <v>68671.75</v>
      </c>
      <c r="BA61" s="4125">
        <f t="shared" si="299"/>
        <v>139450.22061678505</v>
      </c>
      <c r="BB61" s="4125">
        <f t="shared" si="300"/>
        <v>205304.98</v>
      </c>
      <c r="BC61" s="4157">
        <f t="shared" si="285"/>
        <v>282182.29232014745</v>
      </c>
      <c r="BD61" s="4157">
        <f t="shared" si="286"/>
        <v>318083.39</v>
      </c>
      <c r="BE61" s="2399">
        <f t="shared" si="287"/>
        <v>494326.94372023235</v>
      </c>
      <c r="BF61" s="2399">
        <f t="shared" si="288"/>
        <v>615149.41</v>
      </c>
      <c r="BG61" s="4590"/>
      <c r="BH61" s="4590"/>
      <c r="BI61" s="4590"/>
      <c r="BJ61" s="4590"/>
    </row>
    <row r="62" spans="1:62" x14ac:dyDescent="0.25">
      <c r="A62" s="93"/>
      <c r="B62" s="4159" t="s">
        <v>2</v>
      </c>
      <c r="C62" s="4141" t="s">
        <v>50</v>
      </c>
      <c r="D62" s="1826">
        <f t="shared" ref="D62:F62" si="301">SUM(D58:D61)</f>
        <v>2674798</v>
      </c>
      <c r="E62" s="1826">
        <f t="shared" si="301"/>
        <v>228999.81536860339</v>
      </c>
      <c r="F62" s="1826">
        <f t="shared" si="301"/>
        <v>175890.99999999997</v>
      </c>
      <c r="G62" s="7164">
        <f t="shared" ref="G62:H62" si="302">SUM(G58:G61)</f>
        <v>236499.57667165709</v>
      </c>
      <c r="H62" s="7164">
        <f t="shared" si="302"/>
        <v>217466.02999999997</v>
      </c>
      <c r="I62" s="376">
        <f t="shared" si="269"/>
        <v>465499.39204026049</v>
      </c>
      <c r="J62" s="376">
        <f t="shared" si="269"/>
        <v>393357.02999999991</v>
      </c>
      <c r="K62" s="4571">
        <f t="shared" ref="K62:L62" si="303">SUM(K58:K61)</f>
        <v>142529.06735751301</v>
      </c>
      <c r="L62" s="4571">
        <f t="shared" si="303"/>
        <v>134749.32</v>
      </c>
      <c r="M62" s="378">
        <f>E62+G62+K62</f>
        <v>608028.45939777349</v>
      </c>
      <c r="N62" s="378">
        <f>F62+H62+L62</f>
        <v>528106.34999999986</v>
      </c>
      <c r="O62" s="4775">
        <f t="shared" ref="O62:P62" si="304">SUM(O58:O61)</f>
        <v>81183.229706390324</v>
      </c>
      <c r="P62" s="4775">
        <f t="shared" si="304"/>
        <v>213923.21000000002</v>
      </c>
      <c r="Q62" s="376">
        <f t="shared" si="270"/>
        <v>689211.68910416379</v>
      </c>
      <c r="R62" s="376">
        <f t="shared" si="271"/>
        <v>742029.55999999982</v>
      </c>
      <c r="S62" s="4884">
        <f t="shared" ref="S62:T62" si="305">SUM(S58:S61)</f>
        <v>217952.17645827011</v>
      </c>
      <c r="T62" s="4884">
        <f t="shared" si="305"/>
        <v>216043.50000000003</v>
      </c>
      <c r="U62" s="4885">
        <f t="shared" si="272"/>
        <v>907163.86556243384</v>
      </c>
      <c r="V62" s="4885">
        <f t="shared" si="273"/>
        <v>958073.05999999982</v>
      </c>
      <c r="W62" s="5023">
        <f t="shared" ref="W62:X62" si="306">SUM(W58:W61)</f>
        <v>205480.78583765111</v>
      </c>
      <c r="X62" s="5023">
        <f t="shared" si="306"/>
        <v>211145.77000000002</v>
      </c>
      <c r="Y62" s="378">
        <f>O62+S62+W62</f>
        <v>504616.19200231158</v>
      </c>
      <c r="Z62" s="378">
        <f>P62+T62+X62</f>
        <v>641112.4800000001</v>
      </c>
      <c r="AA62" s="4160">
        <f t="shared" si="274"/>
        <v>1112644.6514000851</v>
      </c>
      <c r="AB62" s="4160">
        <f t="shared" si="274"/>
        <v>1169218.83</v>
      </c>
      <c r="AC62" s="5334">
        <f t="shared" ref="AC62:AD62" si="307">SUM(AC58:AC61)</f>
        <v>226841.09386753975</v>
      </c>
      <c r="AD62" s="5334">
        <f t="shared" si="307"/>
        <v>179510.6</v>
      </c>
      <c r="AE62" s="376">
        <f t="shared" si="275"/>
        <v>1339485.7452676247</v>
      </c>
      <c r="AF62" s="376">
        <f t="shared" si="276"/>
        <v>1348729.4300000002</v>
      </c>
      <c r="AG62" s="5507">
        <f t="shared" ref="AG62:AH62" si="308">SUM(AG58:AG61)</f>
        <v>223180.91557330103</v>
      </c>
      <c r="AH62" s="5507">
        <f t="shared" si="308"/>
        <v>74122.209999999992</v>
      </c>
      <c r="AI62" s="376">
        <f t="shared" si="277"/>
        <v>1562666.6608409258</v>
      </c>
      <c r="AJ62" s="376">
        <f t="shared" si="278"/>
        <v>1422851.6400000001</v>
      </c>
      <c r="AK62" s="5908">
        <f t="shared" ref="AK62:AL62" si="309">SUM(AK58:AK61)</f>
        <v>225210.06226252159</v>
      </c>
      <c r="AL62" s="5908">
        <f t="shared" si="309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297"/>
        <v>1787876.7231034474</v>
      </c>
      <c r="AP62" s="376">
        <f t="shared" si="298"/>
        <v>1620969.9600000002</v>
      </c>
      <c r="AQ62" s="6063">
        <f t="shared" ref="AQ62:AR62" si="310">SUM(AQ58:AQ61)</f>
        <v>226839.61226252161</v>
      </c>
      <c r="AR62" s="6063">
        <f t="shared" si="310"/>
        <v>238976.33999999997</v>
      </c>
      <c r="AS62" s="376">
        <f t="shared" si="281"/>
        <v>2014716.335365969</v>
      </c>
      <c r="AT62" s="376">
        <f t="shared" si="282"/>
        <v>1859946.3000000003</v>
      </c>
      <c r="AU62" s="6185">
        <f t="shared" ref="AU62:AV62" si="311">SUM(AU58:AU61)</f>
        <v>207657.99609174184</v>
      </c>
      <c r="AV62" s="6185">
        <f t="shared" si="311"/>
        <v>188740.31999999998</v>
      </c>
      <c r="AW62" s="6190">
        <f t="shared" si="283"/>
        <v>2222374.3314577108</v>
      </c>
      <c r="AX62" s="6190">
        <f t="shared" si="284"/>
        <v>2048686.6200000003</v>
      </c>
      <c r="AY62" s="6399">
        <f t="shared" ref="AY62:AZ62" si="312">SUM(AY58:AY61)</f>
        <v>230952.61226252158</v>
      </c>
      <c r="AZ62" s="6399">
        <f t="shared" si="312"/>
        <v>266136.09999999998</v>
      </c>
      <c r="BA62" s="378">
        <f>AQ62+AU62+AY62</f>
        <v>665450.22061678511</v>
      </c>
      <c r="BB62" s="378">
        <f>AR62+AV62+AZ62</f>
        <v>693852.75999999989</v>
      </c>
      <c r="BC62" s="4160">
        <f>AM62+BA62</f>
        <v>1340682.2923201476</v>
      </c>
      <c r="BD62" s="4160">
        <f>AN62+BB62</f>
        <v>1145603.8899999999</v>
      </c>
      <c r="BE62" s="376">
        <f t="shared" si="287"/>
        <v>2453326.9437202322</v>
      </c>
      <c r="BF62" s="376">
        <f t="shared" si="288"/>
        <v>2314822.7200000002</v>
      </c>
      <c r="BG62" s="4590"/>
      <c r="BH62" s="4590"/>
      <c r="BI62" s="4590"/>
      <c r="BJ62" s="4590"/>
    </row>
    <row r="63" spans="1:62" x14ac:dyDescent="0.25">
      <c r="A63" s="154"/>
      <c r="B63" s="4169" t="s">
        <v>318</v>
      </c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2"/>
      <c r="V63" s="862"/>
      <c r="W63" s="862"/>
      <c r="X63" s="862"/>
      <c r="Y63" s="862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  <c r="AU63" s="862"/>
      <c r="AV63" s="862"/>
      <c r="AW63" s="862"/>
      <c r="AX63" s="862"/>
      <c r="AY63" s="862"/>
      <c r="AZ63" s="862"/>
      <c r="BA63" s="862"/>
      <c r="BB63" s="862"/>
      <c r="BC63" s="862"/>
      <c r="BD63" s="862"/>
      <c r="BE63" s="862"/>
      <c r="BF63" s="862"/>
      <c r="BG63" s="4590"/>
      <c r="BH63" s="4590"/>
      <c r="BI63" s="4590"/>
      <c r="BJ63" s="4590"/>
    </row>
    <row r="64" spans="1:62" x14ac:dyDescent="0.25">
      <c r="A64" s="154"/>
      <c r="B64" s="4156" t="s">
        <v>114</v>
      </c>
      <c r="C64" s="4156"/>
      <c r="D64" s="4156"/>
      <c r="E64" s="4156"/>
      <c r="F64" s="4156"/>
      <c r="G64" s="4156"/>
      <c r="H64" s="4156"/>
      <c r="I64" s="4156"/>
      <c r="J64" s="4156"/>
      <c r="K64" s="4156"/>
      <c r="L64" s="4156"/>
      <c r="M64" s="4156"/>
      <c r="N64" s="4156"/>
      <c r="O64" s="4156"/>
      <c r="P64" s="4156"/>
      <c r="Q64" s="4156"/>
      <c r="R64" s="4156"/>
      <c r="S64" s="4156"/>
      <c r="T64" s="4156"/>
      <c r="U64" s="4156"/>
      <c r="V64" s="4156"/>
      <c r="W64" s="4156"/>
      <c r="X64" s="4156"/>
      <c r="Y64" s="4156"/>
      <c r="Z64" s="4156"/>
      <c r="AA64" s="4156"/>
      <c r="AB64" s="4156"/>
      <c r="AC64" s="4156"/>
      <c r="AD64" s="4156"/>
      <c r="AE64" s="4156"/>
      <c r="AF64" s="4156"/>
      <c r="AG64" s="4156"/>
      <c r="AH64" s="4156"/>
      <c r="AI64" s="4156"/>
      <c r="AJ64" s="4156"/>
      <c r="AK64" s="4156"/>
      <c r="AL64" s="4156"/>
      <c r="AM64" s="4156"/>
      <c r="AN64" s="4156"/>
      <c r="AO64" s="4156"/>
      <c r="AP64" s="4156"/>
      <c r="AQ64" s="4156"/>
      <c r="AR64" s="4156"/>
      <c r="AS64" s="4156"/>
      <c r="AT64" s="4156"/>
      <c r="AU64" s="4156"/>
      <c r="AV64" s="4156"/>
      <c r="AW64" s="4156"/>
      <c r="AX64" s="4156"/>
      <c r="AY64" s="4156"/>
      <c r="AZ64" s="4156"/>
      <c r="BA64" s="4156"/>
      <c r="BB64" s="4156"/>
      <c r="BC64" s="4156"/>
      <c r="BD64" s="4156"/>
      <c r="BE64" s="4156"/>
      <c r="BF64" s="4156"/>
      <c r="BG64" s="4590"/>
      <c r="BH64" s="4590"/>
      <c r="BI64" s="4590"/>
      <c r="BJ64" s="4590"/>
    </row>
    <row r="65" spans="1:62" x14ac:dyDescent="0.25">
      <c r="A65" s="154"/>
      <c r="B65" s="1020" t="s">
        <v>22</v>
      </c>
      <c r="C65" s="159" t="s">
        <v>50</v>
      </c>
      <c r="D65" s="7512">
        <f>+D58</f>
        <v>500000</v>
      </c>
      <c r="E65" s="7480">
        <f>+E58</f>
        <v>42500</v>
      </c>
      <c r="F65" s="1970">
        <v>31621.960000000003</v>
      </c>
      <c r="G65" s="7480">
        <f>+G58</f>
        <v>44000</v>
      </c>
      <c r="H65" s="1970">
        <v>37961.22</v>
      </c>
      <c r="I65" s="7499">
        <f>E65+G65</f>
        <v>86500</v>
      </c>
      <c r="J65" s="2399">
        <f t="shared" ref="J65:J83" si="313">F65+H65</f>
        <v>69583.180000000008</v>
      </c>
      <c r="K65" s="7480">
        <f>+K58</f>
        <v>30000</v>
      </c>
      <c r="L65" s="1970">
        <v>35658.479999999996</v>
      </c>
      <c r="M65" s="7528">
        <f>E65+G65+K65</f>
        <v>116500</v>
      </c>
      <c r="N65" s="4125">
        <f>F65+H65+L65</f>
        <v>105241.66</v>
      </c>
      <c r="O65" s="7480">
        <f>+O58</f>
        <v>25000</v>
      </c>
      <c r="P65" s="1970">
        <v>38792.820000000007</v>
      </c>
      <c r="Q65" s="7499">
        <f>M65+O65</f>
        <v>141500</v>
      </c>
      <c r="R65" s="2399">
        <f t="shared" ref="R65:R67" si="314">N65+P65</f>
        <v>144034.48000000001</v>
      </c>
      <c r="S65" s="7480">
        <f>+S58</f>
        <v>45500</v>
      </c>
      <c r="T65" s="1970">
        <v>34633.98000000001</v>
      </c>
      <c r="U65" s="7499">
        <f>Q65+S65</f>
        <v>187000</v>
      </c>
      <c r="V65" s="4890">
        <f t="shared" ref="V65:V67" si="315">R65+T65</f>
        <v>178668.46000000002</v>
      </c>
      <c r="W65" s="7480">
        <f>+W58</f>
        <v>44000</v>
      </c>
      <c r="X65" s="1970">
        <v>37195.620000000003</v>
      </c>
      <c r="Y65" s="7528">
        <f>O65+S65+W65</f>
        <v>114500</v>
      </c>
      <c r="Z65" s="4125">
        <f>P65+T65+X65</f>
        <v>110622.42000000001</v>
      </c>
      <c r="AA65" s="7514">
        <f>M65+Y65</f>
        <v>231000</v>
      </c>
      <c r="AB65" s="4157">
        <f>N65+Z65</f>
        <v>215864.08000000002</v>
      </c>
      <c r="AC65" s="7480">
        <f>+AC58</f>
        <v>45500</v>
      </c>
      <c r="AD65" s="1970">
        <v>34277.94000000001</v>
      </c>
      <c r="AE65" s="7499">
        <f>AA65+AC65</f>
        <v>276500</v>
      </c>
      <c r="AF65" s="2399">
        <f t="shared" ref="AF65:AF67" si="316">AB65+AD65</f>
        <v>250142.02000000002</v>
      </c>
      <c r="AG65" s="7480">
        <f>+AG58</f>
        <v>44000</v>
      </c>
      <c r="AH65" s="1970">
        <v>28358.48</v>
      </c>
      <c r="AI65" s="7481">
        <f>AE65+AG65</f>
        <v>320500</v>
      </c>
      <c r="AJ65" s="2399">
        <f t="shared" ref="AJ65:AJ67" si="317">AF65+AH65</f>
        <v>278500.5</v>
      </c>
      <c r="AK65" s="7480">
        <f>+AK58</f>
        <v>45500</v>
      </c>
      <c r="AL65" s="1970">
        <v>35579.119999999988</v>
      </c>
      <c r="AM65" s="7528">
        <f>AC65+AG65+AK65</f>
        <v>135000</v>
      </c>
      <c r="AN65" s="4125">
        <f>AD65+AH65+AL65</f>
        <v>98215.540000000008</v>
      </c>
      <c r="AO65" s="7499">
        <f>AI65+AK65</f>
        <v>366000</v>
      </c>
      <c r="AP65" s="2399">
        <f t="shared" ref="AP65:AP83" si="318">AJ65+AL65</f>
        <v>314079.62</v>
      </c>
      <c r="AQ65" s="7480">
        <f>+AQ58</f>
        <v>45500</v>
      </c>
      <c r="AR65" s="1970">
        <v>34396.01999999999</v>
      </c>
      <c r="AS65" s="7481">
        <f>AO65+AQ65</f>
        <v>411500</v>
      </c>
      <c r="AT65" s="2399">
        <f t="shared" ref="AT65:AT67" si="319">AP65+AR65</f>
        <v>348475.64</v>
      </c>
      <c r="AU65" s="7480">
        <f>+AU58</f>
        <v>40500</v>
      </c>
      <c r="AV65" s="1970">
        <v>29760.54</v>
      </c>
      <c r="AW65" s="7481">
        <f>AS65+AU65</f>
        <v>452000</v>
      </c>
      <c r="AX65" s="6193">
        <f t="shared" ref="AX65:AX67" si="320">AT65+AV65</f>
        <v>378236.18</v>
      </c>
      <c r="AY65" s="7480">
        <f>+AY58</f>
        <v>45500</v>
      </c>
      <c r="AZ65" s="1970">
        <v>42334.12</v>
      </c>
      <c r="BA65" s="7528">
        <f>AQ65+AU65+AY65</f>
        <v>131500</v>
      </c>
      <c r="BB65" s="4125">
        <f>AR65+AV65+AZ65</f>
        <v>106490.68</v>
      </c>
      <c r="BC65" s="7514">
        <f>AM65+BA65</f>
        <v>266500</v>
      </c>
      <c r="BD65" s="4157">
        <f t="shared" ref="BD65:BD66" si="321">AN65+BB65</f>
        <v>204706.22</v>
      </c>
      <c r="BE65" s="7481">
        <f>AW65+AY65</f>
        <v>497500</v>
      </c>
      <c r="BF65" s="2399">
        <f t="shared" ref="BF65:BF67" si="322">AX65+AZ65</f>
        <v>420570.3</v>
      </c>
      <c r="BG65" s="4590"/>
      <c r="BH65" s="4590"/>
      <c r="BI65" s="4590"/>
      <c r="BJ65" s="4590"/>
    </row>
    <row r="66" spans="1:62" x14ac:dyDescent="0.25">
      <c r="A66" s="93"/>
      <c r="B66" s="1020" t="s">
        <v>23</v>
      </c>
      <c r="C66" s="159" t="s">
        <v>50</v>
      </c>
      <c r="D66" s="7512"/>
      <c r="E66" s="7480"/>
      <c r="F66" s="1970">
        <v>1710.8400000000001</v>
      </c>
      <c r="G66" s="7480"/>
      <c r="H66" s="1970">
        <v>1405.8000000000002</v>
      </c>
      <c r="I66" s="7499"/>
      <c r="J66" s="2399">
        <f t="shared" si="313"/>
        <v>3116.6400000000003</v>
      </c>
      <c r="K66" s="7480"/>
      <c r="L66" s="1970">
        <v>3020.77</v>
      </c>
      <c r="M66" s="7528"/>
      <c r="N66" s="4125">
        <f>F66+H66+L66</f>
        <v>6137.41</v>
      </c>
      <c r="O66" s="7480"/>
      <c r="P66" s="1970">
        <v>2516.33</v>
      </c>
      <c r="Q66" s="7499"/>
      <c r="R66" s="2399">
        <f t="shared" si="314"/>
        <v>8653.74</v>
      </c>
      <c r="S66" s="7480"/>
      <c r="T66" s="1970">
        <v>6103.8099999999995</v>
      </c>
      <c r="U66" s="7499"/>
      <c r="V66" s="4890">
        <f t="shared" si="315"/>
        <v>14757.55</v>
      </c>
      <c r="W66" s="7480"/>
      <c r="X66" s="1970">
        <v>4938.5999999999995</v>
      </c>
      <c r="Y66" s="7528">
        <f t="shared" ref="Y66:Y67" si="323">O66+S66+W66</f>
        <v>0</v>
      </c>
      <c r="Z66" s="4125">
        <f>P66+T66+X66</f>
        <v>13558.739999999998</v>
      </c>
      <c r="AA66" s="7514"/>
      <c r="AB66" s="4157">
        <f>N66+Z66</f>
        <v>19696.149999999998</v>
      </c>
      <c r="AC66" s="7480"/>
      <c r="AD66" s="1970">
        <v>2770.2</v>
      </c>
      <c r="AE66" s="7499"/>
      <c r="AF66" s="2399">
        <f t="shared" si="316"/>
        <v>22466.35</v>
      </c>
      <c r="AG66" s="7480"/>
      <c r="AH66" s="1970">
        <v>1801.4300000000003</v>
      </c>
      <c r="AI66" s="7482"/>
      <c r="AJ66" s="2399">
        <f t="shared" si="317"/>
        <v>24267.78</v>
      </c>
      <c r="AK66" s="7480"/>
      <c r="AL66" s="1970">
        <v>1810.94</v>
      </c>
      <c r="AM66" s="7528">
        <f t="shared" ref="AM66:AM67" si="324">AC66+AG66+AK66</f>
        <v>0</v>
      </c>
      <c r="AN66" s="4125">
        <f>AD66+AH66+AL66</f>
        <v>6382.57</v>
      </c>
      <c r="AO66" s="7499"/>
      <c r="AP66" s="2399">
        <f t="shared" si="318"/>
        <v>26078.719999999998</v>
      </c>
      <c r="AQ66" s="7480"/>
      <c r="AR66" s="1970">
        <v>2629.5899999999997</v>
      </c>
      <c r="AS66" s="7482"/>
      <c r="AT66" s="2399">
        <f t="shared" si="319"/>
        <v>28708.309999999998</v>
      </c>
      <c r="AU66" s="7480"/>
      <c r="AV66" s="1970">
        <v>3206.8500000000004</v>
      </c>
      <c r="AW66" s="7482"/>
      <c r="AX66" s="6193">
        <f t="shared" si="320"/>
        <v>31915.159999999996</v>
      </c>
      <c r="AY66" s="7480"/>
      <c r="AZ66" s="1970">
        <v>2503.3000000000002</v>
      </c>
      <c r="BA66" s="7528">
        <f t="shared" ref="BA66:BA67" si="325">AQ66+AU66+AY66</f>
        <v>0</v>
      </c>
      <c r="BB66" s="4125">
        <f>AR66+AV66+AZ66</f>
        <v>8339.7400000000016</v>
      </c>
      <c r="BC66" s="7514"/>
      <c r="BD66" s="4157">
        <f t="shared" si="321"/>
        <v>14722.310000000001</v>
      </c>
      <c r="BE66" s="7482"/>
      <c r="BF66" s="2399">
        <f t="shared" si="322"/>
        <v>34418.46</v>
      </c>
      <c r="BG66" s="4590"/>
      <c r="BH66" s="4590"/>
      <c r="BI66" s="4590"/>
      <c r="BJ66" s="4590"/>
    </row>
    <row r="67" spans="1:62" x14ac:dyDescent="0.25">
      <c r="A67" s="154"/>
      <c r="B67" s="4159" t="s">
        <v>2</v>
      </c>
      <c r="C67" s="4141" t="s">
        <v>50</v>
      </c>
      <c r="D67" s="7512"/>
      <c r="E67" s="7480"/>
      <c r="F67" s="1826">
        <f>SUM(F65:F66)</f>
        <v>33332.800000000003</v>
      </c>
      <c r="G67" s="7480"/>
      <c r="H67" s="7164">
        <f>SUM(H65:H66)</f>
        <v>39367.020000000004</v>
      </c>
      <c r="I67" s="7499"/>
      <c r="J67" s="376">
        <f t="shared" si="313"/>
        <v>72699.820000000007</v>
      </c>
      <c r="K67" s="7480"/>
      <c r="L67" s="4571">
        <f>SUM(L65:L66)</f>
        <v>38679.249999999993</v>
      </c>
      <c r="M67" s="7528"/>
      <c r="N67" s="378">
        <f>F67+H67+L67</f>
        <v>111379.07</v>
      </c>
      <c r="O67" s="7480"/>
      <c r="P67" s="4775">
        <f>SUM(P65:P66)</f>
        <v>41309.150000000009</v>
      </c>
      <c r="Q67" s="7499"/>
      <c r="R67" s="376">
        <f t="shared" si="314"/>
        <v>152688.22000000003</v>
      </c>
      <c r="S67" s="7480"/>
      <c r="T67" s="4884">
        <f>SUM(T65:T66)</f>
        <v>40737.790000000008</v>
      </c>
      <c r="U67" s="7499"/>
      <c r="V67" s="4885">
        <f t="shared" si="315"/>
        <v>193426.01000000004</v>
      </c>
      <c r="W67" s="7480"/>
      <c r="X67" s="5023">
        <f>SUM(X65:X66)</f>
        <v>42134.22</v>
      </c>
      <c r="Y67" s="7528">
        <f t="shared" si="323"/>
        <v>0</v>
      </c>
      <c r="Z67" s="378">
        <f>P67+T67+X67</f>
        <v>124181.16000000002</v>
      </c>
      <c r="AA67" s="7514"/>
      <c r="AB67" s="4160">
        <f>N67+Z67</f>
        <v>235560.23000000004</v>
      </c>
      <c r="AC67" s="7480"/>
      <c r="AD67" s="5334">
        <f>SUM(AD65:AD66)</f>
        <v>37048.140000000007</v>
      </c>
      <c r="AE67" s="7499"/>
      <c r="AF67" s="376">
        <f t="shared" si="316"/>
        <v>272608.37000000005</v>
      </c>
      <c r="AG67" s="7480"/>
      <c r="AH67" s="5507">
        <f>SUM(AH65:AH66)</f>
        <v>30159.91</v>
      </c>
      <c r="AI67" s="7483"/>
      <c r="AJ67" s="376">
        <f t="shared" si="317"/>
        <v>302768.28000000003</v>
      </c>
      <c r="AK67" s="7480"/>
      <c r="AL67" s="5908">
        <f>SUM(AL65:AL66)</f>
        <v>37390.05999999999</v>
      </c>
      <c r="AM67" s="7528">
        <f t="shared" si="324"/>
        <v>0</v>
      </c>
      <c r="AN67" s="378">
        <f>AD67+AH67+AL67</f>
        <v>104598.10999999999</v>
      </c>
      <c r="AO67" s="7499"/>
      <c r="AP67" s="376">
        <f t="shared" si="318"/>
        <v>340158.34</v>
      </c>
      <c r="AQ67" s="7480"/>
      <c r="AR67" s="6063">
        <f>SUM(AR65:AR66)</f>
        <v>37025.609999999986</v>
      </c>
      <c r="AS67" s="7483"/>
      <c r="AT67" s="376">
        <f t="shared" si="319"/>
        <v>377183.95</v>
      </c>
      <c r="AU67" s="7480"/>
      <c r="AV67" s="6185">
        <f>SUM(AV65:AV66)</f>
        <v>32967.39</v>
      </c>
      <c r="AW67" s="7483"/>
      <c r="AX67" s="6190">
        <f t="shared" si="320"/>
        <v>410151.34</v>
      </c>
      <c r="AY67" s="7480"/>
      <c r="AZ67" s="6399">
        <f>SUM(AZ65:AZ66)</f>
        <v>44837.420000000006</v>
      </c>
      <c r="BA67" s="7528">
        <f t="shared" si="325"/>
        <v>0</v>
      </c>
      <c r="BB67" s="378">
        <f>AR67+AV67+AZ67</f>
        <v>114830.41999999998</v>
      </c>
      <c r="BC67" s="7514"/>
      <c r="BD67" s="4160">
        <f>AN67+BB67</f>
        <v>219428.52999999997</v>
      </c>
      <c r="BE67" s="7483"/>
      <c r="BF67" s="376">
        <f t="shared" si="322"/>
        <v>454988.76</v>
      </c>
      <c r="BG67" s="4590"/>
      <c r="BH67" s="4590"/>
      <c r="BI67" s="4590"/>
      <c r="BJ67" s="4590"/>
    </row>
    <row r="68" spans="1:62" x14ac:dyDescent="0.25">
      <c r="A68" s="154"/>
      <c r="B68" s="4156" t="s">
        <v>95</v>
      </c>
      <c r="C68" s="4156"/>
      <c r="D68" s="4156"/>
      <c r="E68" s="4170"/>
      <c r="F68" s="4170"/>
      <c r="G68" s="4170"/>
      <c r="H68" s="4170"/>
      <c r="I68" s="4170"/>
      <c r="J68" s="4170"/>
      <c r="K68" s="4170"/>
      <c r="L68" s="4170"/>
      <c r="M68" s="4170"/>
      <c r="N68" s="4170"/>
      <c r="O68" s="4170"/>
      <c r="P68" s="4170"/>
      <c r="Q68" s="4170"/>
      <c r="R68" s="4170"/>
      <c r="S68" s="4170"/>
      <c r="T68" s="4170"/>
      <c r="U68" s="4170"/>
      <c r="V68" s="4170"/>
      <c r="W68" s="4170"/>
      <c r="X68" s="4170"/>
      <c r="Y68" s="4170"/>
      <c r="Z68" s="4170"/>
      <c r="AA68" s="4170"/>
      <c r="AB68" s="4170"/>
      <c r="AC68" s="4170"/>
      <c r="AD68" s="4170"/>
      <c r="AE68" s="4170"/>
      <c r="AF68" s="4170"/>
      <c r="AG68" s="4170"/>
      <c r="AH68" s="4170"/>
      <c r="AI68" s="4170"/>
      <c r="AJ68" s="4170"/>
      <c r="AK68" s="4170"/>
      <c r="AL68" s="4170"/>
      <c r="AM68" s="4170"/>
      <c r="AN68" s="4170"/>
      <c r="AO68" s="4170"/>
      <c r="AP68" s="4170"/>
      <c r="AQ68" s="4170"/>
      <c r="AR68" s="4170"/>
      <c r="AS68" s="4170"/>
      <c r="AT68" s="4170"/>
      <c r="AU68" s="4170"/>
      <c r="AV68" s="4170"/>
      <c r="AW68" s="4170"/>
      <c r="AX68" s="4170"/>
      <c r="AY68" s="4170"/>
      <c r="AZ68" s="4170"/>
      <c r="BA68" s="4170"/>
      <c r="BB68" s="4170"/>
      <c r="BC68" s="4170"/>
      <c r="BD68" s="4170"/>
      <c r="BE68" s="4170"/>
      <c r="BF68" s="4170"/>
      <c r="BG68" s="4590"/>
      <c r="BH68" s="4590"/>
      <c r="BI68" s="4590"/>
      <c r="BJ68" s="4590"/>
    </row>
    <row r="69" spans="1:62" ht="21.2" customHeight="1" x14ac:dyDescent="0.25">
      <c r="A69" s="93"/>
      <c r="B69" s="1020" t="s">
        <v>22</v>
      </c>
      <c r="C69" s="159" t="s">
        <v>50</v>
      </c>
      <c r="D69" s="7480">
        <f>+D59</f>
        <v>900000</v>
      </c>
      <c r="E69" s="7480">
        <f>+E59</f>
        <v>76000</v>
      </c>
      <c r="F69" s="1970">
        <v>50946.099999999991</v>
      </c>
      <c r="G69" s="7480">
        <f>+G59</f>
        <v>79000</v>
      </c>
      <c r="H69" s="1970">
        <v>59622.64</v>
      </c>
      <c r="I69" s="7499">
        <f>E69+G69</f>
        <v>155000</v>
      </c>
      <c r="J69" s="2399">
        <f t="shared" si="313"/>
        <v>110568.73999999999</v>
      </c>
      <c r="K69" s="7480">
        <f>+K59</f>
        <v>48000</v>
      </c>
      <c r="L69" s="1970">
        <v>32970.339999999997</v>
      </c>
      <c r="M69" s="7528">
        <f>E69+G69+K69</f>
        <v>203000</v>
      </c>
      <c r="N69" s="4125">
        <f>F69+H69+L69</f>
        <v>143539.07999999999</v>
      </c>
      <c r="O69" s="7480">
        <f>+O59</f>
        <v>37500</v>
      </c>
      <c r="P69" s="1970">
        <v>59349.799999999996</v>
      </c>
      <c r="Q69" s="7499">
        <f>M69+O69</f>
        <v>240500</v>
      </c>
      <c r="R69" s="2399">
        <f t="shared" ref="R69:R71" si="326">N69+P69</f>
        <v>202888.87999999998</v>
      </c>
      <c r="S69" s="7480">
        <f>+S59</f>
        <v>80000</v>
      </c>
      <c r="T69" s="1970">
        <v>60189.100000000028</v>
      </c>
      <c r="U69" s="7499">
        <f>Q69+S69</f>
        <v>320500</v>
      </c>
      <c r="V69" s="4890">
        <f t="shared" ref="V69:V71" si="327">R69+T69</f>
        <v>263077.98</v>
      </c>
      <c r="W69" s="7480">
        <f>+W59</f>
        <v>77500</v>
      </c>
      <c r="X69" s="1970">
        <v>55792.500000000015</v>
      </c>
      <c r="Y69" s="7528">
        <f>O69+S69+W69</f>
        <v>195000</v>
      </c>
      <c r="Z69" s="4125">
        <f>P69+T69+X69</f>
        <v>175331.40000000002</v>
      </c>
      <c r="AA69" s="7514">
        <f>M69+Y69</f>
        <v>398000</v>
      </c>
      <c r="AB69" s="4157">
        <f>N69+Z69</f>
        <v>318870.48</v>
      </c>
      <c r="AC69" s="7480">
        <f>+AC59</f>
        <v>80000</v>
      </c>
      <c r="AD69" s="1970">
        <v>55737.339999999989</v>
      </c>
      <c r="AE69" s="7499">
        <f>AA69+AC69</f>
        <v>478000</v>
      </c>
      <c r="AF69" s="2399">
        <f t="shared" ref="AF69:AF71" si="328">AB69+AD69</f>
        <v>374607.81999999995</v>
      </c>
      <c r="AG69" s="7480">
        <f>+AG59</f>
        <v>77500</v>
      </c>
      <c r="AH69" s="1970">
        <v>9455.0400000000009</v>
      </c>
      <c r="AI69" s="7481">
        <f>AE69+AG69</f>
        <v>555500</v>
      </c>
      <c r="AJ69" s="2399">
        <f t="shared" ref="AJ69:AJ71" si="329">AF69+AH69</f>
        <v>384062.85999999993</v>
      </c>
      <c r="AK69" s="7480">
        <f>+AK59</f>
        <v>80000</v>
      </c>
      <c r="AL69" s="1970">
        <v>54931.460000000006</v>
      </c>
      <c r="AM69" s="7528">
        <f>AC69+AG69+AK69</f>
        <v>237500</v>
      </c>
      <c r="AN69" s="4125">
        <f>AD69+AH69+AL69</f>
        <v>120123.84</v>
      </c>
      <c r="AO69" s="7499">
        <f>AI69+AK69</f>
        <v>635500</v>
      </c>
      <c r="AP69" s="2399">
        <f t="shared" si="318"/>
        <v>438994.31999999995</v>
      </c>
      <c r="AQ69" s="7480">
        <f>+AQ59</f>
        <v>80000</v>
      </c>
      <c r="AR69" s="1970">
        <v>59148.800000000003</v>
      </c>
      <c r="AS69" s="7481">
        <f>AO69+AQ69</f>
        <v>715500</v>
      </c>
      <c r="AT69" s="2399">
        <f t="shared" ref="AT69:AT71" si="330">AP69+AR69</f>
        <v>498143.11999999994</v>
      </c>
      <c r="AU69" s="7480">
        <f>+AU59</f>
        <v>72500</v>
      </c>
      <c r="AV69" s="1970">
        <v>45091.399999999994</v>
      </c>
      <c r="AW69" s="7481">
        <f>AS69+AU69</f>
        <v>788000</v>
      </c>
      <c r="AX69" s="6193">
        <f t="shared" ref="AX69:AX71" si="331">AT69+AV69</f>
        <v>543234.5199999999</v>
      </c>
      <c r="AY69" s="7480">
        <f>+AY59</f>
        <v>80000</v>
      </c>
      <c r="AZ69" s="1970">
        <v>72967.439999999988</v>
      </c>
      <c r="BA69" s="7528">
        <f>AQ69+AU69+AY69</f>
        <v>232500</v>
      </c>
      <c r="BB69" s="4125">
        <f>AR69+AV69+AZ69</f>
        <v>177207.63999999998</v>
      </c>
      <c r="BC69" s="7514">
        <f>AM69+BA69</f>
        <v>470000</v>
      </c>
      <c r="BD69" s="4157">
        <f t="shared" ref="BD69:BD70" si="332">AN69+BB69</f>
        <v>297331.48</v>
      </c>
      <c r="BE69" s="7481">
        <f>AW69+AY69</f>
        <v>868000</v>
      </c>
      <c r="BF69" s="2399">
        <f t="shared" ref="BF69:BF71" si="333">AX69+AZ69</f>
        <v>616201.95999999985</v>
      </c>
      <c r="BG69" s="4590"/>
      <c r="BH69" s="4590"/>
      <c r="BI69" s="4590"/>
      <c r="BJ69" s="4590"/>
    </row>
    <row r="70" spans="1:62" x14ac:dyDescent="0.25">
      <c r="A70" s="154"/>
      <c r="B70" s="1020" t="s">
        <v>23</v>
      </c>
      <c r="C70" s="159" t="s">
        <v>50</v>
      </c>
      <c r="D70" s="7480"/>
      <c r="E70" s="7480"/>
      <c r="F70" s="1970">
        <v>9065.11</v>
      </c>
      <c r="G70" s="7480"/>
      <c r="H70" s="1970">
        <v>7725.2599999999984</v>
      </c>
      <c r="I70" s="7499"/>
      <c r="J70" s="2399">
        <f t="shared" si="313"/>
        <v>16790.37</v>
      </c>
      <c r="K70" s="7480"/>
      <c r="L70" s="1970">
        <v>12375.87</v>
      </c>
      <c r="M70" s="7528"/>
      <c r="N70" s="4125">
        <f>F70+H70+L70</f>
        <v>29166.239999999998</v>
      </c>
      <c r="O70" s="7480"/>
      <c r="P70" s="1970">
        <v>9982.1900000000023</v>
      </c>
      <c r="Q70" s="7499"/>
      <c r="R70" s="2399">
        <f t="shared" si="326"/>
        <v>39148.43</v>
      </c>
      <c r="S70" s="7480"/>
      <c r="T70" s="1970">
        <v>13524.790000000005</v>
      </c>
      <c r="U70" s="7499"/>
      <c r="V70" s="4890">
        <f t="shared" si="327"/>
        <v>52673.22</v>
      </c>
      <c r="W70" s="7480"/>
      <c r="X70" s="1970">
        <v>10780.859999999999</v>
      </c>
      <c r="Y70" s="7528">
        <f t="shared" ref="Y70:Y71" si="334">O70+S70+W70</f>
        <v>0</v>
      </c>
      <c r="Z70" s="4125">
        <f>P70+T70+X70</f>
        <v>34287.840000000004</v>
      </c>
      <c r="AA70" s="7514"/>
      <c r="AB70" s="4157">
        <f>N70+Z70</f>
        <v>63454.080000000002</v>
      </c>
      <c r="AC70" s="7480"/>
      <c r="AD70" s="1970">
        <v>8339.1299999999992</v>
      </c>
      <c r="AE70" s="7499"/>
      <c r="AF70" s="2399">
        <f t="shared" si="328"/>
        <v>71793.210000000006</v>
      </c>
      <c r="AG70" s="7480"/>
      <c r="AH70" s="1970">
        <v>1358.1899999999998</v>
      </c>
      <c r="AI70" s="7482"/>
      <c r="AJ70" s="2399">
        <f t="shared" si="329"/>
        <v>73151.400000000009</v>
      </c>
      <c r="AK70" s="7480"/>
      <c r="AL70" s="1970">
        <v>12321.280000000002</v>
      </c>
      <c r="AM70" s="7528">
        <f t="shared" ref="AM70:AM71" si="335">AC70+AG70+AK70</f>
        <v>0</v>
      </c>
      <c r="AN70" s="4125">
        <f>AD70+AH70+AL70</f>
        <v>22018.600000000002</v>
      </c>
      <c r="AO70" s="7499"/>
      <c r="AP70" s="2399">
        <f t="shared" si="318"/>
        <v>85472.680000000008</v>
      </c>
      <c r="AQ70" s="7480"/>
      <c r="AR70" s="1970">
        <v>11728.880000000003</v>
      </c>
      <c r="AS70" s="7482"/>
      <c r="AT70" s="2399">
        <f t="shared" si="330"/>
        <v>97201.560000000012</v>
      </c>
      <c r="AU70" s="7480"/>
      <c r="AV70" s="1970">
        <v>13125.460000000003</v>
      </c>
      <c r="AW70" s="7482"/>
      <c r="AX70" s="6193">
        <f t="shared" si="331"/>
        <v>110327.02000000002</v>
      </c>
      <c r="AY70" s="7480"/>
      <c r="AZ70" s="1970">
        <v>11240.98</v>
      </c>
      <c r="BA70" s="7528">
        <f t="shared" ref="BA70:BA71" si="336">AQ70+AU70+AY70</f>
        <v>0</v>
      </c>
      <c r="BB70" s="4125">
        <f>AR70+AV70+AZ70</f>
        <v>36095.320000000007</v>
      </c>
      <c r="BC70" s="7514"/>
      <c r="BD70" s="4157">
        <f t="shared" si="332"/>
        <v>58113.920000000013</v>
      </c>
      <c r="BE70" s="7482"/>
      <c r="BF70" s="2399">
        <f t="shared" si="333"/>
        <v>121568.00000000001</v>
      </c>
      <c r="BG70" s="4590"/>
      <c r="BH70" s="4590"/>
      <c r="BI70" s="4590"/>
      <c r="BJ70" s="4590"/>
    </row>
    <row r="71" spans="1:62" x14ac:dyDescent="0.25">
      <c r="A71" s="93"/>
      <c r="B71" s="4159" t="s">
        <v>2</v>
      </c>
      <c r="C71" s="4141" t="s">
        <v>50</v>
      </c>
      <c r="D71" s="7480"/>
      <c r="E71" s="7480"/>
      <c r="F71" s="1826">
        <f>SUM(F69:F70)</f>
        <v>60011.209999999992</v>
      </c>
      <c r="G71" s="7480"/>
      <c r="H71" s="7164">
        <f>SUM(H69:H70)</f>
        <v>67347.899999999994</v>
      </c>
      <c r="I71" s="7499"/>
      <c r="J71" s="376">
        <f t="shared" si="313"/>
        <v>127359.10999999999</v>
      </c>
      <c r="K71" s="7480"/>
      <c r="L71" s="4571">
        <f>SUM(L69:L70)</f>
        <v>45346.21</v>
      </c>
      <c r="M71" s="7528"/>
      <c r="N71" s="378">
        <f>F71+H71+L71</f>
        <v>172705.31999999998</v>
      </c>
      <c r="O71" s="7480"/>
      <c r="P71" s="4775">
        <f>SUM(P69:P70)</f>
        <v>69331.989999999991</v>
      </c>
      <c r="Q71" s="7499"/>
      <c r="R71" s="376">
        <f t="shared" si="326"/>
        <v>242037.30999999997</v>
      </c>
      <c r="S71" s="7480"/>
      <c r="T71" s="4884">
        <f>SUM(T69:T70)</f>
        <v>73713.890000000029</v>
      </c>
      <c r="U71" s="7499"/>
      <c r="V71" s="4885">
        <f t="shared" si="327"/>
        <v>315751.2</v>
      </c>
      <c r="W71" s="7480"/>
      <c r="X71" s="5023">
        <f>SUM(X69:X70)</f>
        <v>66573.360000000015</v>
      </c>
      <c r="Y71" s="7528">
        <f t="shared" si="334"/>
        <v>0</v>
      </c>
      <c r="Z71" s="378">
        <f>P71+T71+X71</f>
        <v>209619.24000000002</v>
      </c>
      <c r="AA71" s="7514"/>
      <c r="AB71" s="4160">
        <f>N71+Z71</f>
        <v>382324.56</v>
      </c>
      <c r="AC71" s="7480"/>
      <c r="AD71" s="5334">
        <f>SUM(AD69:AD70)</f>
        <v>64076.469999999987</v>
      </c>
      <c r="AE71" s="7499"/>
      <c r="AF71" s="376">
        <f t="shared" si="328"/>
        <v>446401.02999999997</v>
      </c>
      <c r="AG71" s="7480"/>
      <c r="AH71" s="5507">
        <f>SUM(AH69:AH70)</f>
        <v>10813.230000000001</v>
      </c>
      <c r="AI71" s="7483"/>
      <c r="AJ71" s="376">
        <f t="shared" si="329"/>
        <v>457214.25999999995</v>
      </c>
      <c r="AK71" s="7480"/>
      <c r="AL71" s="5908">
        <f>SUM(AL69:AL70)</f>
        <v>67252.740000000005</v>
      </c>
      <c r="AM71" s="7528">
        <f t="shared" si="335"/>
        <v>0</v>
      </c>
      <c r="AN71" s="378">
        <f>AD71+AH71+AL71</f>
        <v>142142.44</v>
      </c>
      <c r="AO71" s="7499"/>
      <c r="AP71" s="376">
        <f t="shared" si="318"/>
        <v>524467</v>
      </c>
      <c r="AQ71" s="7480"/>
      <c r="AR71" s="6063">
        <f>SUM(AR69:AR70)</f>
        <v>70877.680000000008</v>
      </c>
      <c r="AS71" s="7483"/>
      <c r="AT71" s="376">
        <f t="shared" si="330"/>
        <v>595344.68000000005</v>
      </c>
      <c r="AU71" s="7480"/>
      <c r="AV71" s="6185">
        <f>SUM(AV69:AV70)</f>
        <v>58216.86</v>
      </c>
      <c r="AW71" s="7483"/>
      <c r="AX71" s="6190">
        <f t="shared" si="331"/>
        <v>653561.54</v>
      </c>
      <c r="AY71" s="7480"/>
      <c r="AZ71" s="6399">
        <f>SUM(AZ69:AZ70)</f>
        <v>84208.419999999984</v>
      </c>
      <c r="BA71" s="7528">
        <f t="shared" si="336"/>
        <v>0</v>
      </c>
      <c r="BB71" s="378">
        <f>AR71+AV71+AZ71</f>
        <v>213302.96</v>
      </c>
      <c r="BC71" s="7514"/>
      <c r="BD71" s="4160">
        <f>AN71+BB71</f>
        <v>355445.4</v>
      </c>
      <c r="BE71" s="7483"/>
      <c r="BF71" s="376">
        <f t="shared" si="333"/>
        <v>737769.96</v>
      </c>
      <c r="BG71" s="4590"/>
      <c r="BH71" s="4590"/>
      <c r="BI71" s="4590"/>
      <c r="BJ71" s="4590"/>
    </row>
    <row r="72" spans="1:62" ht="20.25" customHeight="1" x14ac:dyDescent="0.25">
      <c r="A72" s="154"/>
      <c r="B72" s="4156" t="s">
        <v>115</v>
      </c>
      <c r="C72" s="4156"/>
      <c r="D72" s="4156"/>
      <c r="E72" s="4170"/>
      <c r="F72" s="4170"/>
      <c r="G72" s="4170"/>
      <c r="H72" s="4170"/>
      <c r="I72" s="4170"/>
      <c r="J72" s="4170"/>
      <c r="K72" s="4170"/>
      <c r="L72" s="4170"/>
      <c r="M72" s="4170"/>
      <c r="N72" s="4170"/>
      <c r="O72" s="4170"/>
      <c r="P72" s="4170"/>
      <c r="Q72" s="4170"/>
      <c r="R72" s="4170"/>
      <c r="S72" s="4170"/>
      <c r="T72" s="4170"/>
      <c r="U72" s="4170"/>
      <c r="V72" s="4170"/>
      <c r="W72" s="4170"/>
      <c r="X72" s="4170"/>
      <c r="Y72" s="4170"/>
      <c r="Z72" s="4170"/>
      <c r="AA72" s="4170"/>
      <c r="AB72" s="4170"/>
      <c r="AC72" s="4170"/>
      <c r="AD72" s="4170"/>
      <c r="AE72" s="4170"/>
      <c r="AF72" s="4170"/>
      <c r="AG72" s="4170"/>
      <c r="AH72" s="4170"/>
      <c r="AI72" s="4170"/>
      <c r="AJ72" s="4170"/>
      <c r="AK72" s="4170"/>
      <c r="AL72" s="4170"/>
      <c r="AM72" s="4170"/>
      <c r="AN72" s="4170"/>
      <c r="AO72" s="4170"/>
      <c r="AP72" s="4170"/>
      <c r="AQ72" s="4170"/>
      <c r="AR72" s="4170"/>
      <c r="AS72" s="4170"/>
      <c r="AT72" s="4170"/>
      <c r="AU72" s="4170"/>
      <c r="AV72" s="4170"/>
      <c r="AW72" s="4170"/>
      <c r="AX72" s="4170"/>
      <c r="AY72" s="4170"/>
      <c r="AZ72" s="4170"/>
      <c r="BA72" s="4170"/>
      <c r="BB72" s="4170"/>
      <c r="BC72" s="4170"/>
      <c r="BD72" s="4170"/>
      <c r="BE72" s="4170"/>
      <c r="BF72" s="4170"/>
      <c r="BG72" s="4590"/>
      <c r="BH72" s="4590"/>
      <c r="BI72" s="4590"/>
      <c r="BJ72" s="4590"/>
    </row>
    <row r="73" spans="1:62" ht="20.25" customHeight="1" x14ac:dyDescent="0.25">
      <c r="A73" s="93"/>
      <c r="B73" s="1020" t="s">
        <v>22</v>
      </c>
      <c r="C73" s="159" t="s">
        <v>50</v>
      </c>
      <c r="D73" s="7480">
        <f>+D60</f>
        <v>750000</v>
      </c>
      <c r="E73" s="7480">
        <f>+E60</f>
        <v>62000</v>
      </c>
      <c r="F73" s="1970">
        <v>29431.96</v>
      </c>
      <c r="G73" s="7480">
        <f>+G60</f>
        <v>65000</v>
      </c>
      <c r="H73" s="26">
        <v>42191.7</v>
      </c>
      <c r="I73" s="7499">
        <f>G73+E73</f>
        <v>127000</v>
      </c>
      <c r="J73" s="2399">
        <f t="shared" si="313"/>
        <v>71623.66</v>
      </c>
      <c r="K73" s="7480">
        <f>+K60</f>
        <v>35000</v>
      </c>
      <c r="L73" s="1970">
        <v>18490.460000000003</v>
      </c>
      <c r="M73" s="7528">
        <f>E73+G73+K73</f>
        <v>162000</v>
      </c>
      <c r="N73" s="4125">
        <f>F73+H73+L73</f>
        <v>90114.12000000001</v>
      </c>
      <c r="O73" s="7480">
        <f>+O60</f>
        <v>12500</v>
      </c>
      <c r="P73" s="1970">
        <v>33964.74</v>
      </c>
      <c r="Q73" s="7499">
        <f>O73+M73</f>
        <v>174500</v>
      </c>
      <c r="R73" s="2399">
        <f t="shared" ref="R73:R75" si="337">N73+P73</f>
        <v>124078.86000000002</v>
      </c>
      <c r="S73" s="7480">
        <f>+S60</f>
        <v>49000</v>
      </c>
      <c r="T73" s="1970">
        <v>27307.740000000009</v>
      </c>
      <c r="U73" s="7499">
        <f>S73+Q73</f>
        <v>223500</v>
      </c>
      <c r="V73" s="4890">
        <f t="shared" ref="V73:V75" si="338">R73+T73</f>
        <v>151386.60000000003</v>
      </c>
      <c r="W73" s="7480">
        <f>+W60</f>
        <v>48000</v>
      </c>
      <c r="X73" s="1970">
        <v>30956.959999999999</v>
      </c>
      <c r="Y73" s="7528">
        <f>O73+S73+W73</f>
        <v>109500</v>
      </c>
      <c r="Z73" s="4125">
        <f>P73+T73+X73</f>
        <v>92229.440000000002</v>
      </c>
      <c r="AA73" s="7514">
        <f>M73+Y73</f>
        <v>271500</v>
      </c>
      <c r="AB73" s="4157">
        <f>N73+Z73</f>
        <v>182343.56</v>
      </c>
      <c r="AC73" s="7480">
        <f>+AC60</f>
        <v>54000</v>
      </c>
      <c r="AD73" s="1970">
        <v>31612.9</v>
      </c>
      <c r="AE73" s="7499">
        <f>AC73+AA73</f>
        <v>325500</v>
      </c>
      <c r="AF73" s="2399">
        <f t="shared" ref="AF73:AF75" si="339">AB73+AD73</f>
        <v>213956.46</v>
      </c>
      <c r="AG73" s="7480">
        <f>+AG60</f>
        <v>52000</v>
      </c>
      <c r="AH73" s="1970">
        <v>10370.619999999999</v>
      </c>
      <c r="AI73" s="7481">
        <f>AG73+AE73</f>
        <v>377500</v>
      </c>
      <c r="AJ73" s="2399">
        <f t="shared" ref="AJ73:AJ75" si="340">AF73+AH73</f>
        <v>224327.08</v>
      </c>
      <c r="AK73" s="7480">
        <f>+AK60</f>
        <v>54000</v>
      </c>
      <c r="AL73" s="1970">
        <v>21608.460000000003</v>
      </c>
      <c r="AM73" s="7528">
        <f>AC73+AG73+AK73</f>
        <v>160000</v>
      </c>
      <c r="AN73" s="4125">
        <f>AD73+AH73+AL73</f>
        <v>63591.98000000001</v>
      </c>
      <c r="AO73" s="7499">
        <f>AI73+AK73</f>
        <v>431500</v>
      </c>
      <c r="AP73" s="2399">
        <f t="shared" si="318"/>
        <v>245935.53999999998</v>
      </c>
      <c r="AQ73" s="7480">
        <f>+AQ60</f>
        <v>54000</v>
      </c>
      <c r="AR73" s="1970">
        <v>29262.359999999993</v>
      </c>
      <c r="AS73" s="7481">
        <f>AQ73+AO73</f>
        <v>485500</v>
      </c>
      <c r="AT73" s="2399">
        <f t="shared" ref="AT73:AT75" si="341">AP73+AR73</f>
        <v>275197.89999999997</v>
      </c>
      <c r="AU73" s="7480">
        <f>+AU60</f>
        <v>48000</v>
      </c>
      <c r="AV73" s="1970">
        <v>33557.55999999999</v>
      </c>
      <c r="AW73" s="7481">
        <f>AU73+AS73</f>
        <v>533500</v>
      </c>
      <c r="AX73" s="6193">
        <f t="shared" ref="AX73:AX75" si="342">AT73+AV73</f>
        <v>308755.45999999996</v>
      </c>
      <c r="AY73" s="7480">
        <f>+AY60</f>
        <v>60000</v>
      </c>
      <c r="AZ73" s="1970">
        <v>52368.86</v>
      </c>
      <c r="BA73" s="7528">
        <f>AQ73+AU73+AY73</f>
        <v>162000</v>
      </c>
      <c r="BB73" s="4125">
        <f>AR73+AV73+AZ73</f>
        <v>115188.77999999998</v>
      </c>
      <c r="BC73" s="7514">
        <f>AM73+BA73</f>
        <v>322000</v>
      </c>
      <c r="BD73" s="4157">
        <f t="shared" ref="BD73:BD74" si="343">AN73+BB73</f>
        <v>178780.76</v>
      </c>
      <c r="BE73" s="7481">
        <f>AY73+AW73</f>
        <v>593500</v>
      </c>
      <c r="BF73" s="2399">
        <f t="shared" ref="BF73:BF75" si="344">AX73+AZ73</f>
        <v>361124.31999999995</v>
      </c>
      <c r="BG73" s="4590"/>
      <c r="BH73" s="4590"/>
      <c r="BI73" s="4590"/>
      <c r="BJ73" s="4590"/>
    </row>
    <row r="74" spans="1:62" ht="20.25" customHeight="1" x14ac:dyDescent="0.25">
      <c r="A74" s="93"/>
      <c r="B74" s="1020" t="s">
        <v>23</v>
      </c>
      <c r="C74" s="159" t="s">
        <v>50</v>
      </c>
      <c r="D74" s="7480"/>
      <c r="E74" s="7480"/>
      <c r="F74" s="1970">
        <v>14690.740000000002</v>
      </c>
      <c r="G74" s="7480"/>
      <c r="H74" s="1970">
        <v>15524.300000000003</v>
      </c>
      <c r="I74" s="7499"/>
      <c r="J74" s="2399">
        <f t="shared" si="313"/>
        <v>30215.040000000005</v>
      </c>
      <c r="K74" s="7480"/>
      <c r="L74" s="1970">
        <v>5369.89</v>
      </c>
      <c r="M74" s="7528"/>
      <c r="N74" s="4125">
        <f>F74+H74+L74</f>
        <v>35584.930000000008</v>
      </c>
      <c r="O74" s="7480"/>
      <c r="P74" s="1970">
        <v>11824.85</v>
      </c>
      <c r="Q74" s="7499"/>
      <c r="R74" s="2399">
        <f t="shared" si="337"/>
        <v>47409.780000000006</v>
      </c>
      <c r="S74" s="7480"/>
      <c r="T74" s="1970">
        <v>11546.69000000001</v>
      </c>
      <c r="U74" s="7499"/>
      <c r="V74" s="4890">
        <f t="shared" si="338"/>
        <v>58956.470000000016</v>
      </c>
      <c r="W74" s="7480"/>
      <c r="X74" s="1970">
        <v>12967.989999999998</v>
      </c>
      <c r="Y74" s="7528">
        <f t="shared" ref="Y74:Y75" si="345">O74+S74+W74</f>
        <v>0</v>
      </c>
      <c r="Z74" s="4125">
        <f>P74+T74+X74</f>
        <v>36339.530000000006</v>
      </c>
      <c r="AA74" s="7514"/>
      <c r="AB74" s="4157">
        <f>N74+Z74</f>
        <v>71924.460000000021</v>
      </c>
      <c r="AC74" s="7480"/>
      <c r="AD74" s="1970">
        <v>11690.85</v>
      </c>
      <c r="AE74" s="7499"/>
      <c r="AF74" s="2399">
        <f t="shared" si="339"/>
        <v>83615.310000000027</v>
      </c>
      <c r="AG74" s="7480"/>
      <c r="AH74" s="1970">
        <v>5094.8</v>
      </c>
      <c r="AI74" s="7482"/>
      <c r="AJ74" s="2399">
        <f t="shared" si="340"/>
        <v>88710.11000000003</v>
      </c>
      <c r="AK74" s="7480"/>
      <c r="AL74" s="1970">
        <v>11854.54</v>
      </c>
      <c r="AM74" s="7528">
        <f t="shared" ref="AM74:AM75" si="346">AC74+AG74+AK74</f>
        <v>0</v>
      </c>
      <c r="AN74" s="4125">
        <f>AD74+AH74+AL74</f>
        <v>28640.190000000002</v>
      </c>
      <c r="AO74" s="7499"/>
      <c r="AP74" s="2399">
        <f t="shared" si="318"/>
        <v>100564.65000000002</v>
      </c>
      <c r="AQ74" s="7480"/>
      <c r="AR74" s="1970">
        <v>15394.519999999999</v>
      </c>
      <c r="AS74" s="7482"/>
      <c r="AT74" s="2399">
        <f t="shared" si="341"/>
        <v>115959.17000000003</v>
      </c>
      <c r="AU74" s="7480"/>
      <c r="AV74" s="1970">
        <v>13781.449999999999</v>
      </c>
      <c r="AW74" s="7482"/>
      <c r="AX74" s="6193">
        <f t="shared" si="342"/>
        <v>129740.62000000002</v>
      </c>
      <c r="AY74" s="7480"/>
      <c r="AZ74" s="1970">
        <v>16049.650000000001</v>
      </c>
      <c r="BA74" s="7528">
        <f t="shared" ref="BA74:BA75" si="347">AQ74+AU74+AY74</f>
        <v>0</v>
      </c>
      <c r="BB74" s="4125">
        <f>AR74+AV74+AZ74</f>
        <v>45225.619999999995</v>
      </c>
      <c r="BC74" s="7514"/>
      <c r="BD74" s="4157">
        <f t="shared" si="343"/>
        <v>73865.81</v>
      </c>
      <c r="BE74" s="7482"/>
      <c r="BF74" s="2399">
        <f t="shared" si="344"/>
        <v>145790.27000000002</v>
      </c>
      <c r="BG74" s="4590"/>
      <c r="BH74" s="4590"/>
      <c r="BI74" s="4590"/>
      <c r="BJ74" s="4590"/>
    </row>
    <row r="75" spans="1:62" x14ac:dyDescent="0.25">
      <c r="A75" s="93"/>
      <c r="B75" s="4159" t="s">
        <v>2</v>
      </c>
      <c r="C75" s="4141" t="s">
        <v>50</v>
      </c>
      <c r="D75" s="7480"/>
      <c r="E75" s="7480"/>
      <c r="F75" s="1826">
        <f>SUM(F73:F74)</f>
        <v>44122.7</v>
      </c>
      <c r="G75" s="7480"/>
      <c r="H75" s="7164">
        <f>SUM(H73:H74)</f>
        <v>57716</v>
      </c>
      <c r="I75" s="7499"/>
      <c r="J75" s="376">
        <f t="shared" si="313"/>
        <v>101838.7</v>
      </c>
      <c r="K75" s="7480"/>
      <c r="L75" s="4571">
        <f>SUM(L73:L74)</f>
        <v>23860.350000000002</v>
      </c>
      <c r="M75" s="7528"/>
      <c r="N75" s="378">
        <f>F75+H75+L75</f>
        <v>125699.05</v>
      </c>
      <c r="O75" s="7480"/>
      <c r="P75" s="4775">
        <f>SUM(P73:P74)</f>
        <v>45789.59</v>
      </c>
      <c r="Q75" s="7499"/>
      <c r="R75" s="376">
        <f t="shared" si="337"/>
        <v>171488.64000000001</v>
      </c>
      <c r="S75" s="7480"/>
      <c r="T75" s="4884">
        <f>SUM(T73:T74)</f>
        <v>38854.430000000022</v>
      </c>
      <c r="U75" s="7499"/>
      <c r="V75" s="4885">
        <f t="shared" si="338"/>
        <v>210343.07000000004</v>
      </c>
      <c r="W75" s="7480"/>
      <c r="X75" s="5023">
        <f>SUM(X73:X74)</f>
        <v>43924.95</v>
      </c>
      <c r="Y75" s="7528">
        <f t="shared" si="345"/>
        <v>0</v>
      </c>
      <c r="Z75" s="378">
        <f>P75+T75+X75</f>
        <v>128568.97000000002</v>
      </c>
      <c r="AA75" s="7514"/>
      <c r="AB75" s="4160">
        <f>N75+Z75</f>
        <v>254268.02000000002</v>
      </c>
      <c r="AC75" s="7480"/>
      <c r="AD75" s="5334">
        <f>SUM(AD73:AD74)</f>
        <v>43303.75</v>
      </c>
      <c r="AE75" s="7499"/>
      <c r="AF75" s="376">
        <f t="shared" si="339"/>
        <v>297571.77</v>
      </c>
      <c r="AG75" s="7480"/>
      <c r="AH75" s="5507">
        <f>SUM(AH73:AH74)</f>
        <v>15465.419999999998</v>
      </c>
      <c r="AI75" s="7483"/>
      <c r="AJ75" s="376">
        <f t="shared" si="340"/>
        <v>313037.19</v>
      </c>
      <c r="AK75" s="7480"/>
      <c r="AL75" s="5908">
        <f>SUM(AL73:AL74)</f>
        <v>33463</v>
      </c>
      <c r="AM75" s="7528">
        <f t="shared" si="346"/>
        <v>0</v>
      </c>
      <c r="AN75" s="378">
        <f>AD75+AH75+AL75</f>
        <v>92232.17</v>
      </c>
      <c r="AO75" s="7499"/>
      <c r="AP75" s="376">
        <f t="shared" si="318"/>
        <v>346500.19</v>
      </c>
      <c r="AQ75" s="7480"/>
      <c r="AR75" s="6063">
        <f>SUM(AR73:AR74)</f>
        <v>44656.87999999999</v>
      </c>
      <c r="AS75" s="7483"/>
      <c r="AT75" s="376">
        <f t="shared" si="341"/>
        <v>391157.07</v>
      </c>
      <c r="AU75" s="7480"/>
      <c r="AV75" s="6185">
        <f>SUM(AV73:AV74)</f>
        <v>47339.009999999987</v>
      </c>
      <c r="AW75" s="7483"/>
      <c r="AX75" s="6190">
        <f t="shared" si="342"/>
        <v>438496.08</v>
      </c>
      <c r="AY75" s="7480"/>
      <c r="AZ75" s="6399">
        <f>SUM(AZ73:AZ74)</f>
        <v>68418.510000000009</v>
      </c>
      <c r="BA75" s="7528">
        <f t="shared" si="347"/>
        <v>0</v>
      </c>
      <c r="BB75" s="378">
        <f>AR75+AV75+AZ75</f>
        <v>160414.39999999999</v>
      </c>
      <c r="BC75" s="7514"/>
      <c r="BD75" s="4160">
        <f>AN75+BB75</f>
        <v>252646.57</v>
      </c>
      <c r="BE75" s="7483"/>
      <c r="BF75" s="376">
        <f t="shared" si="344"/>
        <v>506914.59</v>
      </c>
      <c r="BG75" s="4590"/>
      <c r="BH75" s="4590"/>
      <c r="BI75" s="4590"/>
      <c r="BJ75" s="4590"/>
    </row>
    <row r="76" spans="1:62" x14ac:dyDescent="0.25">
      <c r="A76" s="154"/>
      <c r="B76" s="4156" t="s">
        <v>513</v>
      </c>
      <c r="C76" s="4156"/>
      <c r="D76" s="4156"/>
      <c r="E76" s="4170"/>
      <c r="F76" s="4170"/>
      <c r="G76" s="4170"/>
      <c r="H76" s="4170"/>
      <c r="I76" s="4170"/>
      <c r="J76" s="4170"/>
      <c r="K76" s="4170"/>
      <c r="L76" s="4170"/>
      <c r="M76" s="4170"/>
      <c r="N76" s="4170"/>
      <c r="O76" s="4170"/>
      <c r="P76" s="4170"/>
      <c r="Q76" s="4170"/>
      <c r="R76" s="4170"/>
      <c r="S76" s="4170"/>
      <c r="T76" s="4170"/>
      <c r="U76" s="4170"/>
      <c r="V76" s="4170"/>
      <c r="W76" s="4170"/>
      <c r="X76" s="4170"/>
      <c r="Y76" s="4170"/>
      <c r="Z76" s="4170"/>
      <c r="AA76" s="4170"/>
      <c r="AB76" s="4170"/>
      <c r="AC76" s="4170"/>
      <c r="AD76" s="4170"/>
      <c r="AE76" s="4170"/>
      <c r="AF76" s="4170"/>
      <c r="AG76" s="4170"/>
      <c r="AH76" s="4170"/>
      <c r="AI76" s="4170"/>
      <c r="AJ76" s="4170"/>
      <c r="AK76" s="4170"/>
      <c r="AL76" s="4170"/>
      <c r="AM76" s="4170"/>
      <c r="AN76" s="4170"/>
      <c r="AO76" s="4170"/>
      <c r="AP76" s="4170"/>
      <c r="AQ76" s="4170"/>
      <c r="AR76" s="4170"/>
      <c r="AS76" s="4170"/>
      <c r="AT76" s="4170"/>
      <c r="AU76" s="4170"/>
      <c r="AV76" s="4170"/>
      <c r="AW76" s="4170"/>
      <c r="AX76" s="4170"/>
      <c r="AY76" s="4170"/>
      <c r="AZ76" s="4170"/>
      <c r="BA76" s="4170"/>
      <c r="BB76" s="4170"/>
      <c r="BC76" s="4170"/>
      <c r="BD76" s="4170"/>
      <c r="BE76" s="4170"/>
      <c r="BF76" s="4170"/>
      <c r="BG76" s="4590"/>
      <c r="BH76" s="4590"/>
      <c r="BI76" s="4590"/>
      <c r="BJ76" s="4590"/>
    </row>
    <row r="77" spans="1:62" ht="20.25" customHeight="1" x14ac:dyDescent="0.25">
      <c r="A77" s="93"/>
      <c r="B77" s="1020" t="s">
        <v>22</v>
      </c>
      <c r="C77" s="159" t="s">
        <v>50</v>
      </c>
      <c r="D77" s="7480">
        <f>+D61</f>
        <v>524798</v>
      </c>
      <c r="E77" s="7480">
        <f>+E61</f>
        <v>48499.815368603398</v>
      </c>
      <c r="F77" s="1970">
        <v>29481.079999999994</v>
      </c>
      <c r="G77" s="7480">
        <f>+G61</f>
        <v>48499.576671657102</v>
      </c>
      <c r="H77" s="1970">
        <v>35675.959999999992</v>
      </c>
      <c r="I77" s="7499">
        <f>E77+G77</f>
        <v>96999.3920402605</v>
      </c>
      <c r="J77" s="2399">
        <f t="shared" si="313"/>
        <v>65157.039999999986</v>
      </c>
      <c r="K77" s="7480">
        <f>+K61</f>
        <v>29529.067357512999</v>
      </c>
      <c r="L77" s="1970">
        <v>22973.680000000004</v>
      </c>
      <c r="M77" s="7528">
        <f>E77+G77+K77</f>
        <v>126528.45939777349</v>
      </c>
      <c r="N77" s="4125">
        <f>F77+H77+L77</f>
        <v>88130.719999999987</v>
      </c>
      <c r="O77" s="7480">
        <f>+O61</f>
        <v>6183.2297063903206</v>
      </c>
      <c r="P77" s="1970">
        <v>48313.200000000004</v>
      </c>
      <c r="Q77" s="7499">
        <f>M77+O77</f>
        <v>132711.68910416382</v>
      </c>
      <c r="R77" s="2399">
        <f t="shared" ref="R77:R79" si="348">N77+P77</f>
        <v>136443.91999999998</v>
      </c>
      <c r="S77" s="7480">
        <f>+S61</f>
        <v>43452.1764582701</v>
      </c>
      <c r="T77" s="1970">
        <v>51302.960000000021</v>
      </c>
      <c r="U77" s="7499">
        <f>Q77+S77</f>
        <v>176163.8655624339</v>
      </c>
      <c r="V77" s="4890">
        <f t="shared" ref="V77:V79" si="349">R77+T77</f>
        <v>187746.88</v>
      </c>
      <c r="W77" s="7480">
        <f>+W61</f>
        <v>35980.785837651099</v>
      </c>
      <c r="X77" s="1970">
        <v>46399.600000000006</v>
      </c>
      <c r="Y77" s="7528">
        <f>O77+S77+W77</f>
        <v>85616.192002311524</v>
      </c>
      <c r="Z77" s="4125">
        <f>P77+T77+X77</f>
        <v>146015.76000000004</v>
      </c>
      <c r="AA77" s="7514">
        <f>M77+Y77</f>
        <v>212144.65140008501</v>
      </c>
      <c r="AB77" s="4157">
        <f>N77+Z77</f>
        <v>234146.48000000004</v>
      </c>
      <c r="AC77" s="7480">
        <f>+AC61</f>
        <v>47341.093867539748</v>
      </c>
      <c r="AD77" s="1970">
        <v>26529.88</v>
      </c>
      <c r="AE77" s="7499">
        <f>AA77+AC77</f>
        <v>259485.74526762476</v>
      </c>
      <c r="AF77" s="2399">
        <f t="shared" ref="AF77:AF79" si="350">AB77+AD77</f>
        <v>260676.36000000004</v>
      </c>
      <c r="AG77" s="7480">
        <f>+AG61</f>
        <v>49680.915573301019</v>
      </c>
      <c r="AH77" s="1970">
        <v>14619.7</v>
      </c>
      <c r="AI77" s="7481">
        <f>AE77+AG77</f>
        <v>309166.66084092576</v>
      </c>
      <c r="AJ77" s="2399">
        <f t="shared" ref="AJ77:AJ79" si="351">AF77+AH77</f>
        <v>275296.06000000006</v>
      </c>
      <c r="AK77" s="7480">
        <f>+AK61</f>
        <v>45710.062262521606</v>
      </c>
      <c r="AL77" s="1970">
        <v>45877.759999999995</v>
      </c>
      <c r="AM77" s="7528">
        <f>AC77+AG77+AK77</f>
        <v>142732.0717033624</v>
      </c>
      <c r="AN77" s="4125">
        <f>AD77+AH77+AL77</f>
        <v>87027.34</v>
      </c>
      <c r="AO77" s="7499">
        <f>AI77+AK77</f>
        <v>354876.72310344735</v>
      </c>
      <c r="AP77" s="2399">
        <f t="shared" si="318"/>
        <v>321173.82000000007</v>
      </c>
      <c r="AQ77" s="7480">
        <f>+AQ61</f>
        <v>47339.612262521601</v>
      </c>
      <c r="AR77" s="1970">
        <v>71516.819999999992</v>
      </c>
      <c r="AS77" s="7481">
        <f>AO77+AQ77</f>
        <v>402216.33536596893</v>
      </c>
      <c r="AT77" s="2399">
        <f t="shared" ref="AT77:AT79" si="352">AP77+AR77</f>
        <v>392690.64000000007</v>
      </c>
      <c r="AU77" s="7480">
        <f>+AU61</f>
        <v>46657.996091741836</v>
      </c>
      <c r="AV77" s="1970">
        <v>32673.4</v>
      </c>
      <c r="AW77" s="7481">
        <f>AS77+AU77</f>
        <v>448874.33145771077</v>
      </c>
      <c r="AX77" s="6193">
        <f t="shared" ref="AX77:AX79" si="353">AT77+AV77</f>
        <v>425364.0400000001</v>
      </c>
      <c r="AY77" s="7480">
        <f>+AY61</f>
        <v>45452.612262521594</v>
      </c>
      <c r="AZ77" s="1970">
        <v>50946.879999999997</v>
      </c>
      <c r="BA77" s="7528">
        <f>AQ77+AU77+AY77</f>
        <v>139450.22061678505</v>
      </c>
      <c r="BB77" s="4125">
        <f>AR77+AV77+AZ77</f>
        <v>155137.1</v>
      </c>
      <c r="BC77" s="7514">
        <f>AM77+BA77</f>
        <v>282182.29232014745</v>
      </c>
      <c r="BD77" s="4157">
        <f t="shared" ref="BD77:BD78" si="354">AN77+BB77</f>
        <v>242164.44</v>
      </c>
      <c r="BE77" s="7481">
        <f>AW77+AY77</f>
        <v>494326.94372023235</v>
      </c>
      <c r="BF77" s="2399">
        <f t="shared" ref="BF77:BF79" si="355">AX77+AZ77</f>
        <v>476310.9200000001</v>
      </c>
      <c r="BG77" s="4590"/>
      <c r="BH77" s="4590"/>
      <c r="BI77" s="4590"/>
      <c r="BJ77" s="4590"/>
    </row>
    <row r="78" spans="1:62" ht="20.25" customHeight="1" x14ac:dyDescent="0.25">
      <c r="A78" s="93"/>
      <c r="B78" s="1020" t="s">
        <v>23</v>
      </c>
      <c r="C78" s="159" t="s">
        <v>50</v>
      </c>
      <c r="D78" s="7480"/>
      <c r="E78" s="7480"/>
      <c r="F78" s="1970">
        <v>8943.2099999999973</v>
      </c>
      <c r="G78" s="7480"/>
      <c r="H78" s="1970">
        <v>17359.149999999998</v>
      </c>
      <c r="I78" s="7499"/>
      <c r="J78" s="2399">
        <f t="shared" si="313"/>
        <v>26302.359999999993</v>
      </c>
      <c r="K78" s="7480"/>
      <c r="L78" s="1970">
        <v>3889.8300000000008</v>
      </c>
      <c r="M78" s="7528"/>
      <c r="N78" s="4125">
        <f>F78+H78+L78</f>
        <v>30192.189999999995</v>
      </c>
      <c r="O78" s="7480"/>
      <c r="P78" s="1970">
        <v>9179.2799999999934</v>
      </c>
      <c r="Q78" s="7499"/>
      <c r="R78" s="2399">
        <f t="shared" si="348"/>
        <v>39371.469999999987</v>
      </c>
      <c r="S78" s="7480"/>
      <c r="T78" s="1970">
        <v>11434.429999999998</v>
      </c>
      <c r="U78" s="7499"/>
      <c r="V78" s="4890">
        <f t="shared" si="349"/>
        <v>50805.899999999987</v>
      </c>
      <c r="W78" s="7480"/>
      <c r="X78" s="1970">
        <v>12113.639999999996</v>
      </c>
      <c r="Y78" s="7528">
        <f t="shared" ref="Y78:Y79" si="356">O78+S78+W78</f>
        <v>0</v>
      </c>
      <c r="Z78" s="4125">
        <f>P78+T78+X78</f>
        <v>32727.349999999988</v>
      </c>
      <c r="AA78" s="7514"/>
      <c r="AB78" s="4157">
        <f>N78+Z78</f>
        <v>62919.539999999979</v>
      </c>
      <c r="AC78" s="7480"/>
      <c r="AD78" s="1970">
        <v>8552.3999999999978</v>
      </c>
      <c r="AE78" s="7499"/>
      <c r="AF78" s="2399">
        <f t="shared" si="350"/>
        <v>71471.939999999973</v>
      </c>
      <c r="AG78" s="7480"/>
      <c r="AH78" s="1970">
        <v>3063.95</v>
      </c>
      <c r="AI78" s="7482"/>
      <c r="AJ78" s="2399">
        <f t="shared" si="351"/>
        <v>74535.88999999997</v>
      </c>
      <c r="AK78" s="7480"/>
      <c r="AL78" s="1970">
        <v>14134.760000000002</v>
      </c>
      <c r="AM78" s="7528">
        <f t="shared" ref="AM78:AM79" si="357">AC78+AG78+AK78</f>
        <v>0</v>
      </c>
      <c r="AN78" s="4125">
        <f>AD78+AH78+AL78</f>
        <v>25751.11</v>
      </c>
      <c r="AO78" s="7499"/>
      <c r="AP78" s="2399">
        <f t="shared" si="318"/>
        <v>88670.649999999965</v>
      </c>
      <c r="AQ78" s="7480"/>
      <c r="AR78" s="1970">
        <v>14898.910000000002</v>
      </c>
      <c r="AS78" s="7482"/>
      <c r="AT78" s="2399">
        <f t="shared" si="352"/>
        <v>103569.55999999997</v>
      </c>
      <c r="AU78" s="7480"/>
      <c r="AV78" s="1970">
        <v>17543.660000000003</v>
      </c>
      <c r="AW78" s="7482"/>
      <c r="AX78" s="6193">
        <f t="shared" si="353"/>
        <v>121113.21999999997</v>
      </c>
      <c r="AY78" s="7480"/>
      <c r="AZ78" s="1970">
        <v>17724.870000000006</v>
      </c>
      <c r="BA78" s="7528">
        <f t="shared" ref="BA78:BA79" si="358">AQ78+AU78+AY78</f>
        <v>0</v>
      </c>
      <c r="BB78" s="4125">
        <f>AR78+AV78+AZ78</f>
        <v>50167.440000000017</v>
      </c>
      <c r="BC78" s="7514"/>
      <c r="BD78" s="4157">
        <f t="shared" si="354"/>
        <v>75918.550000000017</v>
      </c>
      <c r="BE78" s="7482"/>
      <c r="BF78" s="2399">
        <f t="shared" si="355"/>
        <v>138838.08999999997</v>
      </c>
      <c r="BG78" s="4590"/>
      <c r="BH78" s="4590"/>
      <c r="BI78" s="4590"/>
      <c r="BJ78" s="4590"/>
    </row>
    <row r="79" spans="1:62" x14ac:dyDescent="0.25">
      <c r="A79" s="93"/>
      <c r="B79" s="4159" t="s">
        <v>2</v>
      </c>
      <c r="C79" s="4141" t="s">
        <v>50</v>
      </c>
      <c r="D79" s="7480"/>
      <c r="E79" s="7480"/>
      <c r="F79" s="1826">
        <f>SUM(F77:F78)</f>
        <v>38424.289999999994</v>
      </c>
      <c r="G79" s="7480"/>
      <c r="H79" s="7164">
        <f>SUM(H77:H78)</f>
        <v>53035.109999999986</v>
      </c>
      <c r="I79" s="7499"/>
      <c r="J79" s="376">
        <f t="shared" si="313"/>
        <v>91459.39999999998</v>
      </c>
      <c r="K79" s="7480"/>
      <c r="L79" s="4571">
        <f>SUM(L77:L78)</f>
        <v>26863.510000000006</v>
      </c>
      <c r="M79" s="7528"/>
      <c r="N79" s="378">
        <f>F79+H79+L79</f>
        <v>118322.90999999999</v>
      </c>
      <c r="O79" s="7480"/>
      <c r="P79" s="4775">
        <f>SUM(P77:P78)</f>
        <v>57492.479999999996</v>
      </c>
      <c r="Q79" s="7499"/>
      <c r="R79" s="376">
        <f t="shared" si="348"/>
        <v>175815.38999999998</v>
      </c>
      <c r="S79" s="7480"/>
      <c r="T79" s="4884">
        <f>SUM(T77:T78)</f>
        <v>62737.390000000021</v>
      </c>
      <c r="U79" s="7499"/>
      <c r="V79" s="4885">
        <f t="shared" si="349"/>
        <v>238552.78</v>
      </c>
      <c r="W79" s="7480"/>
      <c r="X79" s="5023">
        <f>SUM(X77:X78)</f>
        <v>58513.240000000005</v>
      </c>
      <c r="Y79" s="7528">
        <f t="shared" si="356"/>
        <v>0</v>
      </c>
      <c r="Z79" s="378">
        <f>P79+T79+X79</f>
        <v>178743.11000000004</v>
      </c>
      <c r="AA79" s="7514"/>
      <c r="AB79" s="4160">
        <f>N79+Z79</f>
        <v>297066.02</v>
      </c>
      <c r="AC79" s="7480"/>
      <c r="AD79" s="5334">
        <f>SUM(AD77:AD78)</f>
        <v>35082.28</v>
      </c>
      <c r="AE79" s="7499"/>
      <c r="AF79" s="376">
        <f t="shared" si="350"/>
        <v>332148.30000000005</v>
      </c>
      <c r="AG79" s="7480"/>
      <c r="AH79" s="5507">
        <f>SUM(AH77:AH78)</f>
        <v>17683.650000000001</v>
      </c>
      <c r="AI79" s="7483"/>
      <c r="AJ79" s="376">
        <f t="shared" si="351"/>
        <v>349831.95000000007</v>
      </c>
      <c r="AK79" s="7480"/>
      <c r="AL79" s="5908">
        <f>SUM(AL77:AL78)</f>
        <v>60012.52</v>
      </c>
      <c r="AM79" s="7528">
        <f t="shared" si="357"/>
        <v>0</v>
      </c>
      <c r="AN79" s="378">
        <f>AD79+AH79+AL79</f>
        <v>112778.45</v>
      </c>
      <c r="AO79" s="7499"/>
      <c r="AP79" s="376">
        <f t="shared" si="318"/>
        <v>409844.47000000009</v>
      </c>
      <c r="AQ79" s="7480"/>
      <c r="AR79" s="6063">
        <f>SUM(AR77:AR78)</f>
        <v>86415.73</v>
      </c>
      <c r="AS79" s="7483"/>
      <c r="AT79" s="376">
        <f t="shared" si="352"/>
        <v>496260.20000000007</v>
      </c>
      <c r="AU79" s="7480"/>
      <c r="AV79" s="6185">
        <f>SUM(AV77:AV78)</f>
        <v>50217.060000000005</v>
      </c>
      <c r="AW79" s="7483"/>
      <c r="AX79" s="6190">
        <f t="shared" si="353"/>
        <v>546477.26000000013</v>
      </c>
      <c r="AY79" s="7480"/>
      <c r="AZ79" s="6399">
        <f>SUM(AZ77:AZ78)</f>
        <v>68671.75</v>
      </c>
      <c r="BA79" s="7528">
        <f t="shared" si="358"/>
        <v>0</v>
      </c>
      <c r="BB79" s="378">
        <f>AR79+AV79+AZ79</f>
        <v>205304.54</v>
      </c>
      <c r="BC79" s="7514"/>
      <c r="BD79" s="4160">
        <f>AN79+BB79</f>
        <v>318082.99</v>
      </c>
      <c r="BE79" s="7483"/>
      <c r="BF79" s="376">
        <f t="shared" si="355"/>
        <v>615149.01000000013</v>
      </c>
      <c r="BG79" s="4590"/>
      <c r="BH79" s="4590"/>
      <c r="BI79" s="4590"/>
      <c r="BJ79" s="4590"/>
    </row>
    <row r="80" spans="1:62" x14ac:dyDescent="0.25">
      <c r="A80" s="154"/>
      <c r="B80" s="862" t="s">
        <v>116</v>
      </c>
      <c r="C80" s="862"/>
      <c r="D80" s="862"/>
      <c r="E80" s="4165"/>
      <c r="F80" s="4165"/>
      <c r="G80" s="4165"/>
      <c r="H80" s="4165"/>
      <c r="I80" s="4165"/>
      <c r="J80" s="4165"/>
      <c r="K80" s="4165"/>
      <c r="L80" s="4165"/>
      <c r="M80" s="4165"/>
      <c r="N80" s="4165"/>
      <c r="O80" s="4165"/>
      <c r="P80" s="4165"/>
      <c r="Q80" s="4165"/>
      <c r="R80" s="4165"/>
      <c r="S80" s="4165"/>
      <c r="T80" s="4165"/>
      <c r="U80" s="4165"/>
      <c r="V80" s="4165"/>
      <c r="W80" s="4165"/>
      <c r="X80" s="4165"/>
      <c r="Y80" s="4165"/>
      <c r="Z80" s="4165"/>
      <c r="AA80" s="4165"/>
      <c r="AB80" s="4165"/>
      <c r="AC80" s="4165"/>
      <c r="AD80" s="4165"/>
      <c r="AE80" s="4165"/>
      <c r="AF80" s="4165"/>
      <c r="AG80" s="4165"/>
      <c r="AH80" s="4165"/>
      <c r="AI80" s="4165"/>
      <c r="AJ80" s="4165"/>
      <c r="AK80" s="4165"/>
      <c r="AL80" s="4165"/>
      <c r="AM80" s="4165"/>
      <c r="AN80" s="4165"/>
      <c r="AO80" s="4165"/>
      <c r="AP80" s="4165"/>
      <c r="AQ80" s="4165"/>
      <c r="AR80" s="4165"/>
      <c r="AS80" s="4165"/>
      <c r="AT80" s="4165"/>
      <c r="AU80" s="4165"/>
      <c r="AV80" s="4165"/>
      <c r="AW80" s="4165"/>
      <c r="AX80" s="4165"/>
      <c r="AY80" s="4165"/>
      <c r="AZ80" s="4165"/>
      <c r="BA80" s="4165"/>
      <c r="BB80" s="4165"/>
      <c r="BC80" s="4165"/>
      <c r="BD80" s="4165"/>
      <c r="BE80" s="4165"/>
      <c r="BF80" s="4165"/>
      <c r="BG80" s="4590"/>
      <c r="BH80" s="4590"/>
      <c r="BI80" s="4590"/>
      <c r="BJ80" s="4590"/>
    </row>
    <row r="81" spans="1:62" x14ac:dyDescent="0.25">
      <c r="A81" s="93"/>
      <c r="B81" s="4159" t="s">
        <v>22</v>
      </c>
      <c r="C81" s="4141" t="s">
        <v>50</v>
      </c>
      <c r="D81" s="7480">
        <f>+D65+D69+D73+D77</f>
        <v>2674798</v>
      </c>
      <c r="E81" s="7480">
        <f>+E65+E69+E73+E77</f>
        <v>228999.81536860339</v>
      </c>
      <c r="F81" s="1826">
        <f>+F65+F69+F73+F77</f>
        <v>141481.09999999998</v>
      </c>
      <c r="G81" s="7480">
        <f>+G65+G69+G73+G77</f>
        <v>236499.57667165709</v>
      </c>
      <c r="H81" s="7164">
        <f>+H65+H69+H73+H77</f>
        <v>175451.51999999999</v>
      </c>
      <c r="I81" s="7499">
        <f>E81+G81</f>
        <v>465499.39204026049</v>
      </c>
      <c r="J81" s="376">
        <f t="shared" si="313"/>
        <v>316932.62</v>
      </c>
      <c r="K81" s="7480">
        <f>+K65+K69+K73+K77</f>
        <v>142529.06735751301</v>
      </c>
      <c r="L81" s="4571">
        <f>+L65+L69+L73+L77</f>
        <v>110092.96</v>
      </c>
      <c r="M81" s="7528">
        <f>E81+G81+K81</f>
        <v>608028.45939777349</v>
      </c>
      <c r="N81" s="378">
        <f>F81+H81+L81</f>
        <v>427025.58</v>
      </c>
      <c r="O81" s="7480">
        <f>+O65+O69+O73+O77</f>
        <v>81183.229706390324</v>
      </c>
      <c r="P81" s="4775">
        <f>+P65+P69+P73+P77</f>
        <v>180420.56</v>
      </c>
      <c r="Q81" s="7499">
        <f>M81+O81</f>
        <v>689211.68910416379</v>
      </c>
      <c r="R81" s="376">
        <f t="shared" ref="R81:R83" si="359">N81+P81</f>
        <v>607446.14</v>
      </c>
      <c r="S81" s="7480">
        <f>+S65+S69+S73+S77</f>
        <v>217952.17645827011</v>
      </c>
      <c r="T81" s="4884">
        <f>+T65+T69+T73+T77</f>
        <v>173433.78000000009</v>
      </c>
      <c r="U81" s="7499">
        <f>Q81+S81</f>
        <v>907163.86556243384</v>
      </c>
      <c r="V81" s="4885">
        <f t="shared" ref="V81:V83" si="360">R81+T81</f>
        <v>780879.92000000016</v>
      </c>
      <c r="W81" s="7480">
        <f>+W65+W69+W73+W77</f>
        <v>205480.78583765111</v>
      </c>
      <c r="X81" s="5023">
        <f>+X65+X69+X73+X77</f>
        <v>170344.68000000002</v>
      </c>
      <c r="Y81" s="7528">
        <f>O81+S81+W81</f>
        <v>504616.19200231158</v>
      </c>
      <c r="Z81" s="378">
        <f>P81+T81+X81</f>
        <v>524199.02000000014</v>
      </c>
      <c r="AA81" s="7514">
        <f>M81+Y81</f>
        <v>1112644.6514000851</v>
      </c>
      <c r="AB81" s="4160">
        <f>N81+Z81</f>
        <v>951224.60000000009</v>
      </c>
      <c r="AC81" s="7480">
        <f>+AC65+AC69+AC73+AC77</f>
        <v>226841.09386753975</v>
      </c>
      <c r="AD81" s="5334">
        <f>+AD65+AD69+AD73+AD77</f>
        <v>148158.06</v>
      </c>
      <c r="AE81" s="7499">
        <f>AA81+AC81</f>
        <v>1339485.7452676247</v>
      </c>
      <c r="AF81" s="376">
        <f t="shared" ref="AF81:AF83" si="361">AB81+AD81</f>
        <v>1099382.6600000001</v>
      </c>
      <c r="AG81" s="7480">
        <f>+AG65+AG69+AG73+AG77</f>
        <v>223180.91557330103</v>
      </c>
      <c r="AH81" s="5507">
        <f>+AH65+AH69+AH73+AH77</f>
        <v>62803.839999999997</v>
      </c>
      <c r="AI81" s="7481">
        <f>AE81+AG81</f>
        <v>1562666.6608409258</v>
      </c>
      <c r="AJ81" s="376">
        <f t="shared" ref="AJ81:AJ83" si="362">AF81+AH81</f>
        <v>1162186.5000000002</v>
      </c>
      <c r="AK81" s="7480">
        <f>+AK65+AK69+AK73+AK77</f>
        <v>225210.06226252159</v>
      </c>
      <c r="AL81" s="5908">
        <f>+AL65+AL69+AL73+AL77</f>
        <v>157996.79999999999</v>
      </c>
      <c r="AM81" s="7528">
        <f>AC81+AG81+AK81</f>
        <v>675232.0717033624</v>
      </c>
      <c r="AN81" s="378">
        <f>AD81+AH81+AL81</f>
        <v>368958.69999999995</v>
      </c>
      <c r="AO81" s="7499">
        <f>AI81+AK81</f>
        <v>1787876.7231034474</v>
      </c>
      <c r="AP81" s="376">
        <f t="shared" si="318"/>
        <v>1320183.3000000003</v>
      </c>
      <c r="AQ81" s="7480">
        <f>+AQ65+AQ69+AQ73+AQ77</f>
        <v>226839.61226252161</v>
      </c>
      <c r="AR81" s="6063">
        <f>+AR65+AR69+AR73+AR77</f>
        <v>194324</v>
      </c>
      <c r="AS81" s="7481">
        <f>AO81+AQ81</f>
        <v>2014716.335365969</v>
      </c>
      <c r="AT81" s="376">
        <f t="shared" ref="AT81:AT83" si="363">AP81+AR81</f>
        <v>1514507.3000000003</v>
      </c>
      <c r="AU81" s="7480">
        <f>+AU65+AU69+AU73+AU77</f>
        <v>207657.99609174184</v>
      </c>
      <c r="AV81" s="6185">
        <f>+AV65+AV69+AV73+AV77</f>
        <v>141082.9</v>
      </c>
      <c r="AW81" s="7481">
        <f>AS81+AU81</f>
        <v>2222374.3314577108</v>
      </c>
      <c r="AX81" s="6190">
        <f t="shared" ref="AX81:AX83" si="364">AT81+AV81</f>
        <v>1655590.2000000002</v>
      </c>
      <c r="AY81" s="7480">
        <f>+AY65+AY69+AY73+AY77</f>
        <v>230952.61226252158</v>
      </c>
      <c r="AZ81" s="6399">
        <f>+AZ65+AZ69+AZ73+AZ77</f>
        <v>218617.3</v>
      </c>
      <c r="BA81" s="7528">
        <f>AQ81+AU81+AY81</f>
        <v>665450.22061678511</v>
      </c>
      <c r="BB81" s="378">
        <f>AR81+AV81+AZ81</f>
        <v>554024.19999999995</v>
      </c>
      <c r="BC81" s="7514">
        <f>AM81+BA81</f>
        <v>1340682.2923201476</v>
      </c>
      <c r="BD81" s="4160">
        <f>AN81+BB81</f>
        <v>922982.89999999991</v>
      </c>
      <c r="BE81" s="7481">
        <f>AW81+AY81</f>
        <v>2453326.9437202322</v>
      </c>
      <c r="BF81" s="376">
        <f t="shared" ref="BF81:BF83" si="365">AX81+AZ81</f>
        <v>1874207.5000000002</v>
      </c>
      <c r="BG81" s="4590"/>
      <c r="BH81" s="4590"/>
      <c r="BI81" s="4590"/>
      <c r="BJ81" s="4590"/>
    </row>
    <row r="82" spans="1:62" x14ac:dyDescent="0.25">
      <c r="A82" s="93"/>
      <c r="B82" s="4164" t="s">
        <v>23</v>
      </c>
      <c r="C82" s="814" t="s">
        <v>50</v>
      </c>
      <c r="D82" s="7480"/>
      <c r="E82" s="7480"/>
      <c r="F82" s="1971">
        <f>+F66+F70+F74+F78</f>
        <v>34409.9</v>
      </c>
      <c r="G82" s="7480"/>
      <c r="H82" s="1971">
        <f>+H66+H70+H74+H78</f>
        <v>42014.509999999995</v>
      </c>
      <c r="I82" s="7499"/>
      <c r="J82" s="376">
        <f t="shared" si="313"/>
        <v>76424.41</v>
      </c>
      <c r="K82" s="7480"/>
      <c r="L82" s="1971">
        <f>+L66+L70+L74+L78</f>
        <v>24656.360000000004</v>
      </c>
      <c r="M82" s="7528"/>
      <c r="N82" s="378">
        <f t="shared" ref="N82:N83" si="366">F82+H82+L82</f>
        <v>101080.77</v>
      </c>
      <c r="O82" s="7480"/>
      <c r="P82" s="1971">
        <f>+P66+P70+P74+P78</f>
        <v>33502.649999999994</v>
      </c>
      <c r="Q82" s="7499"/>
      <c r="R82" s="376">
        <f t="shared" si="359"/>
        <v>134583.41999999998</v>
      </c>
      <c r="S82" s="7480"/>
      <c r="T82" s="1971">
        <f>+T66+T70+T74+T78</f>
        <v>42609.720000000016</v>
      </c>
      <c r="U82" s="7499"/>
      <c r="V82" s="4885">
        <f t="shared" si="360"/>
        <v>177193.14</v>
      </c>
      <c r="W82" s="7480"/>
      <c r="X82" s="1971">
        <f>+X66+X70+X74+X78</f>
        <v>40801.089999999997</v>
      </c>
      <c r="Y82" s="7528">
        <f t="shared" ref="Y82:Y83" si="367">O82+S82+W82</f>
        <v>0</v>
      </c>
      <c r="Z82" s="378">
        <f t="shared" ref="Z82:Z83" si="368">P82+T82+X82</f>
        <v>116913.46</v>
      </c>
      <c r="AA82" s="7514"/>
      <c r="AB82" s="4160">
        <f t="shared" ref="AB82:AB83" si="369">N82+Z82</f>
        <v>217994.23</v>
      </c>
      <c r="AC82" s="7480"/>
      <c r="AD82" s="1971">
        <f>+AD66+AD70+AD74+AD78</f>
        <v>31352.579999999998</v>
      </c>
      <c r="AE82" s="7499"/>
      <c r="AF82" s="376">
        <f t="shared" si="361"/>
        <v>249346.81</v>
      </c>
      <c r="AG82" s="7480"/>
      <c r="AH82" s="1971">
        <f>+AH66+AH70+AH74+AH78</f>
        <v>11318.369999999999</v>
      </c>
      <c r="AI82" s="7482"/>
      <c r="AJ82" s="376">
        <f t="shared" si="362"/>
        <v>260665.18</v>
      </c>
      <c r="AK82" s="7480"/>
      <c r="AL82" s="1971">
        <f>+AL66+AL70+AL74+AL78</f>
        <v>40121.520000000004</v>
      </c>
      <c r="AM82" s="7528">
        <f t="shared" ref="AM82:AM83" si="370">AC82+AG82+AK82</f>
        <v>0</v>
      </c>
      <c r="AN82" s="378">
        <f t="shared" ref="AN82:AN83" si="371">AD82+AH82+AL82</f>
        <v>82792.47</v>
      </c>
      <c r="AO82" s="7499"/>
      <c r="AP82" s="376">
        <f t="shared" si="318"/>
        <v>300786.7</v>
      </c>
      <c r="AQ82" s="7480"/>
      <c r="AR82" s="1971">
        <f>+AR66+AR70+AR74+AR78</f>
        <v>44651.9</v>
      </c>
      <c r="AS82" s="7482"/>
      <c r="AT82" s="376">
        <f t="shared" si="363"/>
        <v>345438.60000000003</v>
      </c>
      <c r="AU82" s="7480"/>
      <c r="AV82" s="1971">
        <f>+AV66+AV70+AV74+AV78</f>
        <v>47657.420000000006</v>
      </c>
      <c r="AW82" s="7482"/>
      <c r="AX82" s="6190">
        <f t="shared" si="364"/>
        <v>393096.02</v>
      </c>
      <c r="AY82" s="7480"/>
      <c r="AZ82" s="1971">
        <f>+AZ66+AZ70+AZ74+AZ78</f>
        <v>47518.8</v>
      </c>
      <c r="BA82" s="7528">
        <f t="shared" ref="BA82:BA83" si="372">AQ82+AU82+AY82</f>
        <v>0</v>
      </c>
      <c r="BB82" s="378">
        <f t="shared" ref="BB82:BB83" si="373">AR82+AV82+AZ82</f>
        <v>139828.12</v>
      </c>
      <c r="BC82" s="7514"/>
      <c r="BD82" s="4160">
        <f>AN82+BB82</f>
        <v>222620.59</v>
      </c>
      <c r="BE82" s="7482"/>
      <c r="BF82" s="376">
        <f t="shared" si="365"/>
        <v>440614.82</v>
      </c>
      <c r="BG82" s="4590"/>
      <c r="BH82" s="4590"/>
      <c r="BI82" s="4590"/>
      <c r="BJ82" s="4590"/>
    </row>
    <row r="83" spans="1:62" ht="20.25" customHeight="1" x14ac:dyDescent="0.25">
      <c r="A83" s="93"/>
      <c r="B83" s="4159" t="s">
        <v>2</v>
      </c>
      <c r="C83" s="4141" t="s">
        <v>50</v>
      </c>
      <c r="D83" s="7480"/>
      <c r="E83" s="7480"/>
      <c r="F83" s="1826">
        <f>SUM(F81:F82)</f>
        <v>175890.99999999997</v>
      </c>
      <c r="G83" s="7480"/>
      <c r="H83" s="7164">
        <f>SUM(H81:H82)</f>
        <v>217466.02999999997</v>
      </c>
      <c r="I83" s="7499"/>
      <c r="J83" s="376">
        <f t="shared" si="313"/>
        <v>393357.02999999991</v>
      </c>
      <c r="K83" s="7480"/>
      <c r="L83" s="4571">
        <f>SUM(L81:L82)</f>
        <v>134749.32</v>
      </c>
      <c r="M83" s="7528"/>
      <c r="N83" s="378">
        <f t="shared" si="366"/>
        <v>528106.34999999986</v>
      </c>
      <c r="O83" s="7480"/>
      <c r="P83" s="4775">
        <f>SUM(P81:P82)</f>
        <v>213923.21</v>
      </c>
      <c r="Q83" s="7499"/>
      <c r="R83" s="376">
        <f t="shared" si="359"/>
        <v>742029.55999999982</v>
      </c>
      <c r="S83" s="7480"/>
      <c r="T83" s="4884">
        <f>SUM(T81:T82)</f>
        <v>216043.50000000012</v>
      </c>
      <c r="U83" s="7499"/>
      <c r="V83" s="4885">
        <f t="shared" si="360"/>
        <v>958073.05999999994</v>
      </c>
      <c r="W83" s="7480"/>
      <c r="X83" s="5023">
        <f>SUM(X81:X82)</f>
        <v>211145.77000000002</v>
      </c>
      <c r="Y83" s="7528">
        <f t="shared" si="367"/>
        <v>0</v>
      </c>
      <c r="Z83" s="378">
        <f t="shared" si="368"/>
        <v>641112.4800000001</v>
      </c>
      <c r="AA83" s="7514"/>
      <c r="AB83" s="4160">
        <f t="shared" si="369"/>
        <v>1169218.83</v>
      </c>
      <c r="AC83" s="7480"/>
      <c r="AD83" s="5334">
        <f>SUM(AD81:AD82)</f>
        <v>179510.63999999998</v>
      </c>
      <c r="AE83" s="7499"/>
      <c r="AF83" s="376">
        <f t="shared" si="361"/>
        <v>1348729.47</v>
      </c>
      <c r="AG83" s="7480"/>
      <c r="AH83" s="5507">
        <f>SUM(AH81:AH82)</f>
        <v>74122.209999999992</v>
      </c>
      <c r="AI83" s="7483"/>
      <c r="AJ83" s="376">
        <f t="shared" si="362"/>
        <v>1422851.68</v>
      </c>
      <c r="AK83" s="7480"/>
      <c r="AL83" s="5908">
        <f>SUM(AL81:AL82)</f>
        <v>198118.32</v>
      </c>
      <c r="AM83" s="7528">
        <f t="shared" si="370"/>
        <v>0</v>
      </c>
      <c r="AN83" s="378">
        <f t="shared" si="371"/>
        <v>451751.17</v>
      </c>
      <c r="AO83" s="7499"/>
      <c r="AP83" s="376">
        <f t="shared" si="318"/>
        <v>1620970</v>
      </c>
      <c r="AQ83" s="7480"/>
      <c r="AR83" s="6063">
        <f>SUM(AR81:AR82)</f>
        <v>238975.9</v>
      </c>
      <c r="AS83" s="7483"/>
      <c r="AT83" s="376">
        <f t="shared" si="363"/>
        <v>1859945.9</v>
      </c>
      <c r="AU83" s="7480"/>
      <c r="AV83" s="6185">
        <f>SUM(AV81:AV82)</f>
        <v>188740.32</v>
      </c>
      <c r="AW83" s="7483"/>
      <c r="AX83" s="6190">
        <f t="shared" si="364"/>
        <v>2048686.22</v>
      </c>
      <c r="AY83" s="7480"/>
      <c r="AZ83" s="6399">
        <f>SUM(AZ81:AZ82)</f>
        <v>266136.09999999998</v>
      </c>
      <c r="BA83" s="7528">
        <f t="shared" si="372"/>
        <v>0</v>
      </c>
      <c r="BB83" s="378">
        <f t="shared" si="373"/>
        <v>693852.32</v>
      </c>
      <c r="BC83" s="7514"/>
      <c r="BD83" s="4160">
        <f>AN83+BB83</f>
        <v>1145603.49</v>
      </c>
      <c r="BE83" s="7483"/>
      <c r="BF83" s="376">
        <f t="shared" si="365"/>
        <v>2314822.3199999998</v>
      </c>
      <c r="BG83" s="4590"/>
      <c r="BH83" s="4590"/>
      <c r="BI83" s="4590"/>
      <c r="BJ83" s="4590"/>
    </row>
    <row r="84" spans="1:62" x14ac:dyDescent="0.25">
      <c r="A84" s="93"/>
      <c r="B84" s="4159" t="s">
        <v>656</v>
      </c>
      <c r="C84" s="4141" t="s">
        <v>49</v>
      </c>
      <c r="D84" s="4141"/>
      <c r="E84" s="4141"/>
      <c r="F84" s="4172">
        <f>+F82/F83*100</f>
        <v>19.563195388052833</v>
      </c>
      <c r="G84" s="7167"/>
      <c r="H84" s="4172">
        <f>+H82/H83*100</f>
        <v>19.320033570300613</v>
      </c>
      <c r="I84" s="4153"/>
      <c r="J84" s="4167">
        <f>+J82/J83*100</f>
        <v>19.428764245042228</v>
      </c>
      <c r="K84" s="4575"/>
      <c r="L84" s="4172">
        <f>+L82/L83*100</f>
        <v>18.297947626006575</v>
      </c>
      <c r="M84" s="4152"/>
      <c r="N84" s="620">
        <f>+N82/N83*100</f>
        <v>19.140229993447349</v>
      </c>
      <c r="O84" s="4779"/>
      <c r="P84" s="4172">
        <f>+P82/P83*100</f>
        <v>15.661063612499081</v>
      </c>
      <c r="Q84" s="4153"/>
      <c r="R84" s="4167">
        <f>+R82/R83*100</f>
        <v>18.137204668773574</v>
      </c>
      <c r="S84" s="4891"/>
      <c r="T84" s="4172">
        <f>+T82/T83*100</f>
        <v>19.722750279457607</v>
      </c>
      <c r="U84" s="4892"/>
      <c r="V84" s="4167">
        <f>+V82/V83*100</f>
        <v>18.494741935442796</v>
      </c>
      <c r="W84" s="5027"/>
      <c r="X84" s="4172">
        <f>+X82/X83*100</f>
        <v>19.323659668862884</v>
      </c>
      <c r="Y84" s="4152"/>
      <c r="Z84" s="620">
        <f>+Z82/Z83*100</f>
        <v>18.236029346987596</v>
      </c>
      <c r="AA84" s="4155"/>
      <c r="AB84" s="4168">
        <f>+AB82/AB83*100</f>
        <v>18.644433737010544</v>
      </c>
      <c r="AC84" s="5338"/>
      <c r="AD84" s="4172">
        <f>+AD82/AD83*100</f>
        <v>17.465583098584016</v>
      </c>
      <c r="AE84" s="4153"/>
      <c r="AF84" s="4167">
        <f>+AF82/AF83*100</f>
        <v>18.487533307921268</v>
      </c>
      <c r="AG84" s="5512"/>
      <c r="AH84" s="4172">
        <f>+AH82/AH83*100</f>
        <v>15.26987659973981</v>
      </c>
      <c r="AI84" s="4153"/>
      <c r="AJ84" s="4167">
        <f>+AJ82/AJ83*100</f>
        <v>18.319912304562905</v>
      </c>
      <c r="AK84" s="5912"/>
      <c r="AL84" s="4172">
        <f>+AL82/AL83*100</f>
        <v>20.25129225808093</v>
      </c>
      <c r="AM84" s="4152"/>
      <c r="AN84" s="620">
        <f>+AN82/AN83*100</f>
        <v>18.327007321309207</v>
      </c>
      <c r="AO84" s="4153"/>
      <c r="AP84" s="4167">
        <f>+AP82/AP83*100</f>
        <v>18.55596957377373</v>
      </c>
      <c r="AQ84" s="6067"/>
      <c r="AR84" s="4172">
        <f>+AR82/AR83*100</f>
        <v>18.68468745174723</v>
      </c>
      <c r="AS84" s="4153"/>
      <c r="AT84" s="4167">
        <f>+AT82/AT83*100</f>
        <v>18.572507942300906</v>
      </c>
      <c r="AU84" s="6194"/>
      <c r="AV84" s="4172">
        <f>+AV82/AV83*100</f>
        <v>25.250259192100554</v>
      </c>
      <c r="AW84" s="6195"/>
      <c r="AX84" s="4167">
        <f>+AX82/AX83*100</f>
        <v>19.187712406246384</v>
      </c>
      <c r="AY84" s="6403"/>
      <c r="AZ84" s="4172">
        <f>+AZ82/AZ83*100</f>
        <v>17.855074903404688</v>
      </c>
      <c r="BA84" s="4152"/>
      <c r="BB84" s="620">
        <f>+BB82/BB83*100</f>
        <v>20.152432436919717</v>
      </c>
      <c r="BC84" s="4155"/>
      <c r="BD84" s="4168">
        <f>+BD82/BD83*100</f>
        <v>19.432604033006218</v>
      </c>
      <c r="BE84" s="4153"/>
      <c r="BF84" s="4167">
        <f>+BF82/BF83*100</f>
        <v>19.034498509587554</v>
      </c>
      <c r="BG84" s="4590"/>
      <c r="BH84" s="4590"/>
      <c r="BI84" s="4590"/>
      <c r="BJ84" s="4590"/>
    </row>
    <row r="85" spans="1:62" ht="49.5" customHeight="1" thickBot="1" x14ac:dyDescent="0.3">
      <c r="A85" s="154"/>
      <c r="B85" s="4173" t="s">
        <v>319</v>
      </c>
      <c r="C85" s="4174" t="s">
        <v>1267</v>
      </c>
      <c r="D85" s="4174"/>
      <c r="E85" s="4174"/>
      <c r="F85" s="4174"/>
      <c r="G85" s="4174"/>
      <c r="H85" s="4174"/>
      <c r="I85" s="4174"/>
      <c r="J85" s="4174"/>
      <c r="K85" s="4174"/>
      <c r="L85" s="4174"/>
      <c r="M85" s="4174"/>
      <c r="N85" s="4174"/>
      <c r="O85" s="4174"/>
      <c r="P85" s="4174"/>
      <c r="Q85" s="4174"/>
      <c r="R85" s="4174"/>
      <c r="S85" s="4174"/>
      <c r="T85" s="4174"/>
      <c r="U85" s="4174"/>
      <c r="V85" s="4174"/>
      <c r="W85" s="4174"/>
      <c r="X85" s="4174"/>
      <c r="Y85" s="4174"/>
      <c r="Z85" s="4174"/>
      <c r="AA85" s="4174"/>
      <c r="AB85" s="4174"/>
      <c r="AC85" s="4174"/>
      <c r="AD85" s="4174"/>
      <c r="AE85" s="4174"/>
      <c r="AF85" s="4174"/>
      <c r="AG85" s="4174"/>
      <c r="AH85" s="4174"/>
      <c r="AI85" s="4174"/>
      <c r="AJ85" s="4174"/>
      <c r="AK85" s="4174"/>
      <c r="AL85" s="4174"/>
      <c r="AM85" s="4174"/>
      <c r="AN85" s="4174"/>
      <c r="AO85" s="4174"/>
      <c r="AP85" s="4174"/>
      <c r="AQ85" s="4174"/>
      <c r="AR85" s="4174"/>
      <c r="AS85" s="4174"/>
      <c r="AT85" s="4174"/>
      <c r="AU85" s="4174"/>
      <c r="AV85" s="4174"/>
      <c r="AW85" s="4174"/>
      <c r="AX85" s="4174"/>
      <c r="AY85" s="4174"/>
      <c r="AZ85" s="4174"/>
      <c r="BA85" s="4174"/>
      <c r="BB85" s="4174"/>
      <c r="BC85" s="4174"/>
      <c r="BD85" s="4174"/>
      <c r="BE85" s="4174"/>
      <c r="BF85" s="4174"/>
      <c r="BG85" s="4590"/>
      <c r="BH85" s="4590"/>
      <c r="BI85" s="4590"/>
      <c r="BJ85" s="4590"/>
    </row>
    <row r="86" spans="1:62" ht="15.75" thickBot="1" x14ac:dyDescent="0.3">
      <c r="A86" s="93"/>
      <c r="B86" s="4175" t="s">
        <v>865</v>
      </c>
      <c r="C86" s="4176" t="s">
        <v>907</v>
      </c>
      <c r="D86" s="4176"/>
      <c r="E86" s="4177"/>
      <c r="F86" s="158">
        <v>574.34</v>
      </c>
      <c r="G86" s="4177"/>
      <c r="H86" s="158">
        <v>894.52</v>
      </c>
      <c r="I86" s="4178"/>
      <c r="J86" s="373">
        <f t="shared" ref="J86:J167" si="374">F86+H86</f>
        <v>1468.8600000000001</v>
      </c>
      <c r="K86" s="4177"/>
      <c r="L86" s="158"/>
      <c r="M86" s="4179"/>
      <c r="N86" s="618">
        <f>F86+H86+L86</f>
        <v>1468.8600000000001</v>
      </c>
      <c r="O86" s="4177"/>
      <c r="P86" s="158">
        <v>1023.96</v>
      </c>
      <c r="Q86" s="4178"/>
      <c r="R86" s="373">
        <f t="shared" ref="R86:R161" si="375">N86+P86</f>
        <v>2492.8200000000002</v>
      </c>
      <c r="S86" s="4177"/>
      <c r="T86" s="158"/>
      <c r="U86" s="4178"/>
      <c r="V86" s="373">
        <f t="shared" ref="V86:V161" si="376">R86+T86</f>
        <v>2492.8200000000002</v>
      </c>
      <c r="W86" s="4177"/>
      <c r="X86" s="158">
        <v>497.84000000000003</v>
      </c>
      <c r="Y86" s="4179"/>
      <c r="Z86" s="618">
        <f t="shared" ref="Z86:Z179" si="377">P86+T86+X86</f>
        <v>1521.8000000000002</v>
      </c>
      <c r="AA86" s="4180"/>
      <c r="AB86" s="4181">
        <f t="shared" ref="AB86:AB179" si="378">N86+Z86</f>
        <v>2990.6600000000003</v>
      </c>
      <c r="AC86" s="4177"/>
      <c r="AD86" s="158"/>
      <c r="AE86" s="4178"/>
      <c r="AF86" s="373">
        <f t="shared" ref="AF86:AF185" si="379">AB86+AD86</f>
        <v>2990.6600000000003</v>
      </c>
      <c r="AG86" s="4177"/>
      <c r="AH86" s="158">
        <v>632.56000000000006</v>
      </c>
      <c r="AI86" s="4178"/>
      <c r="AJ86" s="373">
        <f t="shared" ref="AJ86:AJ185" si="380">AF86+AH86</f>
        <v>3623.2200000000003</v>
      </c>
      <c r="AK86" s="4177"/>
      <c r="AL86" s="158">
        <v>505.24</v>
      </c>
      <c r="AM86" s="4179"/>
      <c r="AN86" s="618">
        <f t="shared" ref="AN86:AN179" si="381">AD86+AH86+AL86</f>
        <v>1137.8000000000002</v>
      </c>
      <c r="AO86" s="4178"/>
      <c r="AP86" s="373">
        <f t="shared" ref="AP86:AP176" si="382">AJ86+AL86</f>
        <v>4128.46</v>
      </c>
      <c r="AQ86" s="4177"/>
      <c r="AR86" s="158"/>
      <c r="AS86" s="4178"/>
      <c r="AT86" s="43">
        <f t="shared" ref="AT86:AT185" si="383">AP86+AR86</f>
        <v>4128.46</v>
      </c>
      <c r="AU86" s="4177"/>
      <c r="AV86" s="158"/>
      <c r="AW86" s="4178"/>
      <c r="AX86" s="43">
        <f t="shared" ref="AX86:AX185" si="384">AT86+AV86</f>
        <v>4128.46</v>
      </c>
      <c r="AY86" s="4177"/>
      <c r="AZ86" s="158">
        <v>324.8</v>
      </c>
      <c r="BA86" s="4179"/>
      <c r="BB86" s="618">
        <f t="shared" ref="BB86:BB150" si="385">AR86+AV86+AZ86</f>
        <v>324.8</v>
      </c>
      <c r="BC86" s="4180"/>
      <c r="BD86" s="4157">
        <f t="shared" ref="BD86:BD178" si="386">AN86+BB86</f>
        <v>1462.6000000000001</v>
      </c>
      <c r="BE86" s="4178"/>
      <c r="BF86" s="43">
        <f t="shared" ref="BF86:BF185" si="387">AX86+AZ86</f>
        <v>4453.26</v>
      </c>
      <c r="BG86" s="4590"/>
      <c r="BH86" s="4590"/>
      <c r="BI86" s="4590"/>
      <c r="BJ86" s="4590"/>
    </row>
    <row r="87" spans="1:62" s="6590" customFormat="1" ht="15.75" thickBot="1" x14ac:dyDescent="0.3">
      <c r="A87" s="93"/>
      <c r="B87" s="4194" t="s">
        <v>865</v>
      </c>
      <c r="C87" s="4195" t="s">
        <v>909</v>
      </c>
      <c r="D87" s="4195"/>
      <c r="E87" s="6606"/>
      <c r="F87" s="6592"/>
      <c r="G87" s="6606"/>
      <c r="H87" s="7172"/>
      <c r="I87" s="6607"/>
      <c r="J87" s="373">
        <f t="shared" si="374"/>
        <v>0</v>
      </c>
      <c r="K87" s="6606"/>
      <c r="L87" s="6592">
        <v>41.14</v>
      </c>
      <c r="M87" s="6608"/>
      <c r="N87" s="618">
        <f>F87+H87+L87</f>
        <v>41.14</v>
      </c>
      <c r="O87" s="6606"/>
      <c r="P87" s="6592"/>
      <c r="Q87" s="6607"/>
      <c r="R87" s="373">
        <f t="shared" si="375"/>
        <v>41.14</v>
      </c>
      <c r="S87" s="6606"/>
      <c r="T87" s="6592"/>
      <c r="U87" s="6607"/>
      <c r="V87" s="373">
        <f t="shared" si="376"/>
        <v>41.14</v>
      </c>
      <c r="W87" s="6606"/>
      <c r="X87" s="6592"/>
      <c r="Y87" s="6608"/>
      <c r="Z87" s="618">
        <f t="shared" si="377"/>
        <v>0</v>
      </c>
      <c r="AA87" s="6609"/>
      <c r="AB87" s="4181">
        <f t="shared" si="378"/>
        <v>41.14</v>
      </c>
      <c r="AC87" s="6606"/>
      <c r="AD87" s="6592"/>
      <c r="AE87" s="6607"/>
      <c r="AF87" s="373">
        <f t="shared" si="379"/>
        <v>41.14</v>
      </c>
      <c r="AG87" s="6606"/>
      <c r="AH87" s="6592"/>
      <c r="AI87" s="6607"/>
      <c r="AJ87" s="373">
        <f t="shared" si="380"/>
        <v>41.14</v>
      </c>
      <c r="AK87" s="6606"/>
      <c r="AL87" s="6592"/>
      <c r="AM87" s="6608"/>
      <c r="AN87" s="618">
        <f t="shared" si="381"/>
        <v>0</v>
      </c>
      <c r="AO87" s="6607"/>
      <c r="AP87" s="373">
        <f t="shared" si="382"/>
        <v>41.14</v>
      </c>
      <c r="AQ87" s="6606"/>
      <c r="AR87" s="6592"/>
      <c r="AS87" s="6607"/>
      <c r="AT87" s="43">
        <f t="shared" si="383"/>
        <v>41.14</v>
      </c>
      <c r="AU87" s="6606"/>
      <c r="AV87" s="6592"/>
      <c r="AW87" s="6607"/>
      <c r="AX87" s="43">
        <f t="shared" si="384"/>
        <v>41.14</v>
      </c>
      <c r="AY87" s="6606"/>
      <c r="AZ87" s="6592"/>
      <c r="BA87" s="6608"/>
      <c r="BB87" s="618">
        <f t="shared" si="385"/>
        <v>0</v>
      </c>
      <c r="BC87" s="6609"/>
      <c r="BD87" s="6599">
        <f t="shared" si="386"/>
        <v>0</v>
      </c>
      <c r="BE87" s="4178"/>
      <c r="BF87" s="43">
        <f t="shared" si="387"/>
        <v>41.14</v>
      </c>
      <c r="BG87" s="4590"/>
      <c r="BH87" s="4590"/>
      <c r="BI87" s="4590"/>
      <c r="BJ87" s="4590"/>
    </row>
    <row r="88" spans="1:62" ht="15.75" thickBot="1" x14ac:dyDescent="0.3">
      <c r="A88" s="93"/>
      <c r="B88" s="4182" t="s">
        <v>865</v>
      </c>
      <c r="C88" s="4183" t="s">
        <v>1542</v>
      </c>
      <c r="D88" s="4183"/>
      <c r="E88" s="1970"/>
      <c r="F88" s="1970">
        <v>125.72</v>
      </c>
      <c r="G88" s="1970"/>
      <c r="H88" s="1970"/>
      <c r="I88" s="2399"/>
      <c r="J88" s="373">
        <f t="shared" si="374"/>
        <v>125.72</v>
      </c>
      <c r="K88" s="1970"/>
      <c r="L88" s="1970"/>
      <c r="M88" s="4125"/>
      <c r="N88" s="4125">
        <f t="shared" ref="N88:N180" si="388">F88+H88+L88</f>
        <v>125.72</v>
      </c>
      <c r="O88" s="1970"/>
      <c r="P88" s="1970"/>
      <c r="Q88" s="2399"/>
      <c r="R88" s="373">
        <f t="shared" si="375"/>
        <v>125.72</v>
      </c>
      <c r="S88" s="1970"/>
      <c r="T88" s="1970"/>
      <c r="U88" s="4890"/>
      <c r="V88" s="373">
        <f t="shared" si="376"/>
        <v>125.72</v>
      </c>
      <c r="W88" s="1970"/>
      <c r="X88" s="1970">
        <v>972.19999999999993</v>
      </c>
      <c r="Y88" s="4125"/>
      <c r="Z88" s="618">
        <f t="shared" si="377"/>
        <v>972.19999999999993</v>
      </c>
      <c r="AA88" s="4157"/>
      <c r="AB88" s="4157">
        <f t="shared" si="378"/>
        <v>1097.9199999999998</v>
      </c>
      <c r="AC88" s="1970"/>
      <c r="AD88" s="1970"/>
      <c r="AE88" s="2399"/>
      <c r="AF88" s="373">
        <f t="shared" si="379"/>
        <v>1097.9199999999998</v>
      </c>
      <c r="AG88" s="1970"/>
      <c r="AH88" s="1970"/>
      <c r="AI88" s="2399"/>
      <c r="AJ88" s="373">
        <f t="shared" si="380"/>
        <v>1097.9199999999998</v>
      </c>
      <c r="AK88" s="1970"/>
      <c r="AL88" s="1970"/>
      <c r="AM88" s="4125"/>
      <c r="AN88" s="618">
        <f t="shared" si="381"/>
        <v>0</v>
      </c>
      <c r="AO88" s="2399"/>
      <c r="AP88" s="373">
        <f t="shared" si="382"/>
        <v>1097.9199999999998</v>
      </c>
      <c r="AQ88" s="1970"/>
      <c r="AR88" s="1970"/>
      <c r="AS88" s="2399"/>
      <c r="AT88" s="43">
        <f t="shared" si="383"/>
        <v>1097.9199999999998</v>
      </c>
      <c r="AU88" s="1970"/>
      <c r="AV88" s="1970"/>
      <c r="AW88" s="6193"/>
      <c r="AX88" s="43">
        <f t="shared" si="384"/>
        <v>1097.9199999999998</v>
      </c>
      <c r="AY88" s="1970"/>
      <c r="AZ88" s="1970"/>
      <c r="BA88" s="4125"/>
      <c r="BB88" s="618">
        <f t="shared" si="385"/>
        <v>0</v>
      </c>
      <c r="BC88" s="4157"/>
      <c r="BD88" s="6599">
        <f t="shared" si="386"/>
        <v>0</v>
      </c>
      <c r="BE88" s="4178"/>
      <c r="BF88" s="43">
        <f t="shared" si="387"/>
        <v>1097.9199999999998</v>
      </c>
      <c r="BG88" s="4590"/>
      <c r="BH88" s="4590"/>
      <c r="BI88" s="4590"/>
      <c r="BJ88" s="4590"/>
    </row>
    <row r="89" spans="1:62" s="5091" customFormat="1" ht="15.75" thickBot="1" x14ac:dyDescent="0.3">
      <c r="A89" s="93"/>
      <c r="B89" s="4182" t="s">
        <v>865</v>
      </c>
      <c r="C89" s="4222" t="s">
        <v>1476</v>
      </c>
      <c r="D89" s="4222"/>
      <c r="E89" s="5094"/>
      <c r="F89" s="5094"/>
      <c r="G89" s="7173"/>
      <c r="H89" s="7173"/>
      <c r="I89" s="5092"/>
      <c r="J89" s="373">
        <f t="shared" si="374"/>
        <v>0</v>
      </c>
      <c r="K89" s="5094"/>
      <c r="L89" s="5094"/>
      <c r="M89" s="5093"/>
      <c r="N89" s="5093"/>
      <c r="O89" s="5094"/>
      <c r="P89" s="5094"/>
      <c r="Q89" s="5092"/>
      <c r="R89" s="373">
        <f t="shared" si="375"/>
        <v>0</v>
      </c>
      <c r="S89" s="5094"/>
      <c r="T89" s="5094"/>
      <c r="U89" s="5092"/>
      <c r="V89" s="373">
        <f t="shared" si="376"/>
        <v>0</v>
      </c>
      <c r="W89" s="5094"/>
      <c r="X89" s="5094">
        <v>238.90000000000003</v>
      </c>
      <c r="Y89" s="5093"/>
      <c r="Z89" s="618">
        <f t="shared" ref="Z89" si="389">P89+T89+X89</f>
        <v>238.90000000000003</v>
      </c>
      <c r="AA89" s="5090"/>
      <c r="AB89" s="5090">
        <f t="shared" ref="AB89" si="390">N89+Z89</f>
        <v>238.90000000000003</v>
      </c>
      <c r="AC89" s="5345"/>
      <c r="AD89" s="5345"/>
      <c r="AE89" s="5092"/>
      <c r="AF89" s="373">
        <f t="shared" si="379"/>
        <v>238.90000000000003</v>
      </c>
      <c r="AG89" s="5524"/>
      <c r="AH89" s="5524"/>
      <c r="AI89" s="5092"/>
      <c r="AJ89" s="373">
        <f t="shared" si="380"/>
        <v>238.90000000000003</v>
      </c>
      <c r="AK89" s="5918"/>
      <c r="AL89" s="5918"/>
      <c r="AM89" s="5093"/>
      <c r="AN89" s="618">
        <f t="shared" si="381"/>
        <v>0</v>
      </c>
      <c r="AO89" s="5092"/>
      <c r="AP89" s="373">
        <f t="shared" si="382"/>
        <v>238.90000000000003</v>
      </c>
      <c r="AQ89" s="6073"/>
      <c r="AR89" s="6073"/>
      <c r="AS89" s="5092"/>
      <c r="AT89" s="43">
        <f t="shared" si="383"/>
        <v>238.90000000000003</v>
      </c>
      <c r="AU89" s="6203"/>
      <c r="AV89" s="6203"/>
      <c r="AW89" s="6198"/>
      <c r="AX89" s="43">
        <f t="shared" si="384"/>
        <v>238.90000000000003</v>
      </c>
      <c r="AY89" s="6410"/>
      <c r="AZ89" s="6410"/>
      <c r="BA89" s="5093"/>
      <c r="BB89" s="618">
        <f t="shared" si="385"/>
        <v>0</v>
      </c>
      <c r="BC89" s="4209"/>
      <c r="BD89" s="6599">
        <f t="shared" si="386"/>
        <v>0</v>
      </c>
      <c r="BE89" s="4178"/>
      <c r="BF89" s="43">
        <f t="shared" si="387"/>
        <v>238.90000000000003</v>
      </c>
      <c r="BG89" s="4590"/>
      <c r="BH89" s="4590"/>
      <c r="BI89" s="4590"/>
      <c r="BJ89" s="4590"/>
    </row>
    <row r="90" spans="1:62" ht="15.75" thickBot="1" x14ac:dyDescent="0.3">
      <c r="A90" s="93"/>
      <c r="B90" s="4182" t="s">
        <v>865</v>
      </c>
      <c r="C90" s="4183" t="s">
        <v>908</v>
      </c>
      <c r="D90" s="4183"/>
      <c r="E90" s="1970"/>
      <c r="F90" s="1970">
        <v>913.57999999999993</v>
      </c>
      <c r="G90" s="1970"/>
      <c r="H90" s="1970">
        <v>576.46</v>
      </c>
      <c r="I90" s="2399"/>
      <c r="J90" s="373">
        <f t="shared" si="374"/>
        <v>1490.04</v>
      </c>
      <c r="K90" s="1970"/>
      <c r="L90" s="1970">
        <v>12.33</v>
      </c>
      <c r="M90" s="4125"/>
      <c r="N90" s="4125">
        <f t="shared" si="388"/>
        <v>1502.37</v>
      </c>
      <c r="O90" s="1970"/>
      <c r="P90" s="1970">
        <v>1550.3899999999999</v>
      </c>
      <c r="Q90" s="2399"/>
      <c r="R90" s="2399">
        <f t="shared" si="375"/>
        <v>3052.7599999999998</v>
      </c>
      <c r="S90" s="1970"/>
      <c r="T90" s="1970"/>
      <c r="U90" s="4890"/>
      <c r="V90" s="373">
        <f t="shared" si="376"/>
        <v>3052.7599999999998</v>
      </c>
      <c r="W90" s="1970"/>
      <c r="X90" s="1970">
        <v>1288.03</v>
      </c>
      <c r="Y90" s="4125"/>
      <c r="Z90" s="618">
        <f t="shared" si="377"/>
        <v>2838.42</v>
      </c>
      <c r="AA90" s="4157"/>
      <c r="AB90" s="4157">
        <f t="shared" si="378"/>
        <v>4340.79</v>
      </c>
      <c r="AC90" s="1970"/>
      <c r="AD90" s="1970">
        <v>64.739999999999995</v>
      </c>
      <c r="AE90" s="2399"/>
      <c r="AF90" s="373">
        <f t="shared" si="379"/>
        <v>4405.53</v>
      </c>
      <c r="AG90" s="1970"/>
      <c r="AH90" s="1970">
        <v>442.36</v>
      </c>
      <c r="AI90" s="2399"/>
      <c r="AJ90" s="373">
        <f t="shared" si="380"/>
        <v>4847.8899999999994</v>
      </c>
      <c r="AK90" s="1970"/>
      <c r="AL90" s="1970">
        <v>1145.54</v>
      </c>
      <c r="AM90" s="4125"/>
      <c r="AN90" s="618">
        <f t="shared" si="381"/>
        <v>1652.6399999999999</v>
      </c>
      <c r="AO90" s="2399"/>
      <c r="AP90" s="373">
        <f t="shared" si="382"/>
        <v>5993.4299999999994</v>
      </c>
      <c r="AQ90" s="1970"/>
      <c r="AR90" s="1970">
        <v>63.84</v>
      </c>
      <c r="AS90" s="2399"/>
      <c r="AT90" s="43">
        <f t="shared" si="383"/>
        <v>6057.2699999999995</v>
      </c>
      <c r="AU90" s="1970"/>
      <c r="AV90" s="1970"/>
      <c r="AW90" s="6193"/>
      <c r="AX90" s="43">
        <f t="shared" si="384"/>
        <v>6057.2699999999995</v>
      </c>
      <c r="AY90" s="1970"/>
      <c r="AZ90" s="1970">
        <v>914.81999999999994</v>
      </c>
      <c r="BA90" s="4125"/>
      <c r="BB90" s="618">
        <f t="shared" si="385"/>
        <v>978.66</v>
      </c>
      <c r="BC90" s="4157"/>
      <c r="BD90" s="6599">
        <f t="shared" si="386"/>
        <v>2631.2999999999997</v>
      </c>
      <c r="BE90" s="4178"/>
      <c r="BF90" s="43">
        <f t="shared" si="387"/>
        <v>6972.0899999999992</v>
      </c>
      <c r="BG90" s="4590"/>
      <c r="BH90" s="4590"/>
      <c r="BI90" s="4590"/>
      <c r="BJ90" s="4590"/>
    </row>
    <row r="91" spans="1:62" ht="15.75" thickBot="1" x14ac:dyDescent="0.3">
      <c r="A91" s="93"/>
      <c r="B91" s="4184" t="s">
        <v>865</v>
      </c>
      <c r="C91" s="4185" t="s">
        <v>952</v>
      </c>
      <c r="D91" s="4185"/>
      <c r="E91" s="109"/>
      <c r="F91" s="109"/>
      <c r="G91" s="109"/>
      <c r="H91" s="109">
        <v>62.96</v>
      </c>
      <c r="I91" s="589"/>
      <c r="J91" s="373">
        <f t="shared" si="374"/>
        <v>62.96</v>
      </c>
      <c r="K91" s="109"/>
      <c r="L91" s="109"/>
      <c r="M91" s="488"/>
      <c r="N91" s="488">
        <f t="shared" si="388"/>
        <v>62.96</v>
      </c>
      <c r="O91" s="109"/>
      <c r="P91" s="109"/>
      <c r="Q91" s="589"/>
      <c r="R91" s="589">
        <f t="shared" si="375"/>
        <v>62.96</v>
      </c>
      <c r="S91" s="109"/>
      <c r="T91" s="109"/>
      <c r="U91" s="589"/>
      <c r="V91" s="589">
        <f t="shared" si="376"/>
        <v>62.96</v>
      </c>
      <c r="W91" s="109"/>
      <c r="X91" s="109"/>
      <c r="Y91" s="488"/>
      <c r="Z91" s="618">
        <f t="shared" si="377"/>
        <v>0</v>
      </c>
      <c r="AA91" s="4186"/>
      <c r="AB91" s="4186">
        <f t="shared" si="378"/>
        <v>62.96</v>
      </c>
      <c r="AC91" s="109"/>
      <c r="AD91" s="109"/>
      <c r="AE91" s="589"/>
      <c r="AF91" s="373">
        <f t="shared" si="379"/>
        <v>62.96</v>
      </c>
      <c r="AG91" s="109"/>
      <c r="AH91" s="109">
        <v>245</v>
      </c>
      <c r="AI91" s="589"/>
      <c r="AJ91" s="373">
        <f t="shared" si="380"/>
        <v>307.95999999999998</v>
      </c>
      <c r="AK91" s="109"/>
      <c r="AL91" s="109"/>
      <c r="AM91" s="488"/>
      <c r="AN91" s="618">
        <f t="shared" si="381"/>
        <v>245</v>
      </c>
      <c r="AO91" s="589"/>
      <c r="AP91" s="373">
        <f t="shared" si="382"/>
        <v>307.95999999999998</v>
      </c>
      <c r="AQ91" s="109"/>
      <c r="AR91" s="109"/>
      <c r="AS91" s="589"/>
      <c r="AT91" s="43">
        <f t="shared" si="383"/>
        <v>307.95999999999998</v>
      </c>
      <c r="AU91" s="109"/>
      <c r="AV91" s="109"/>
      <c r="AW91" s="589"/>
      <c r="AX91" s="43">
        <f t="shared" si="384"/>
        <v>307.95999999999998</v>
      </c>
      <c r="AY91" s="109"/>
      <c r="AZ91" s="109"/>
      <c r="BA91" s="488"/>
      <c r="BB91" s="618">
        <f t="shared" si="385"/>
        <v>0</v>
      </c>
      <c r="BC91" s="4186"/>
      <c r="BD91" s="6599">
        <f t="shared" si="386"/>
        <v>245</v>
      </c>
      <c r="BE91" s="589"/>
      <c r="BF91" s="43">
        <f t="shared" si="387"/>
        <v>307.95999999999998</v>
      </c>
      <c r="BG91" s="4590"/>
      <c r="BH91" s="4590"/>
      <c r="BI91" s="4590"/>
      <c r="BJ91" s="4590"/>
    </row>
    <row r="92" spans="1:62" ht="15.75" thickBot="1" x14ac:dyDescent="0.3">
      <c r="A92" s="93"/>
      <c r="B92" s="4175" t="s">
        <v>882</v>
      </c>
      <c r="C92" s="4176" t="s">
        <v>1542</v>
      </c>
      <c r="D92" s="4176"/>
      <c r="E92" s="158"/>
      <c r="F92" s="158"/>
      <c r="G92" s="158"/>
      <c r="H92" s="158"/>
      <c r="I92" s="373"/>
      <c r="J92" s="373">
        <f t="shared" si="374"/>
        <v>0</v>
      </c>
      <c r="K92" s="158"/>
      <c r="L92" s="158">
        <v>12.16</v>
      </c>
      <c r="M92" s="618"/>
      <c r="N92" s="618">
        <f t="shared" si="388"/>
        <v>12.16</v>
      </c>
      <c r="O92" s="158"/>
      <c r="P92" s="158">
        <v>496.74</v>
      </c>
      <c r="Q92" s="373"/>
      <c r="R92" s="373">
        <f t="shared" si="375"/>
        <v>508.90000000000003</v>
      </c>
      <c r="S92" s="158"/>
      <c r="T92" s="158"/>
      <c r="U92" s="373"/>
      <c r="V92" s="373">
        <f t="shared" si="376"/>
        <v>508.90000000000003</v>
      </c>
      <c r="W92" s="158"/>
      <c r="X92" s="158">
        <v>978.65999999999985</v>
      </c>
      <c r="Y92" s="618"/>
      <c r="Z92" s="618">
        <f t="shared" si="377"/>
        <v>1475.3999999999999</v>
      </c>
      <c r="AA92" s="4181"/>
      <c r="AB92" s="4181">
        <f t="shared" si="378"/>
        <v>1487.56</v>
      </c>
      <c r="AC92" s="158"/>
      <c r="AD92" s="158"/>
      <c r="AE92" s="373"/>
      <c r="AF92" s="373">
        <f t="shared" si="379"/>
        <v>1487.56</v>
      </c>
      <c r="AG92" s="158"/>
      <c r="AH92" s="158"/>
      <c r="AI92" s="373"/>
      <c r="AJ92" s="373">
        <f t="shared" si="380"/>
        <v>1487.56</v>
      </c>
      <c r="AK92" s="158"/>
      <c r="AL92" s="158">
        <v>190.5</v>
      </c>
      <c r="AM92" s="618"/>
      <c r="AN92" s="618">
        <f t="shared" si="381"/>
        <v>190.5</v>
      </c>
      <c r="AO92" s="373"/>
      <c r="AP92" s="373">
        <f t="shared" si="382"/>
        <v>1678.06</v>
      </c>
      <c r="AQ92" s="158"/>
      <c r="AR92" s="158"/>
      <c r="AS92" s="373"/>
      <c r="AT92" s="43">
        <f t="shared" si="383"/>
        <v>1678.06</v>
      </c>
      <c r="AU92" s="158"/>
      <c r="AV92" s="158"/>
      <c r="AW92" s="373"/>
      <c r="AX92" s="43">
        <f t="shared" si="384"/>
        <v>1678.06</v>
      </c>
      <c r="AY92" s="158"/>
      <c r="AZ92" s="158"/>
      <c r="BA92" s="618"/>
      <c r="BB92" s="618">
        <f t="shared" si="385"/>
        <v>0</v>
      </c>
      <c r="BC92" s="4181"/>
      <c r="BD92" s="6599">
        <f t="shared" si="386"/>
        <v>190.5</v>
      </c>
      <c r="BE92" s="373"/>
      <c r="BF92" s="43">
        <f t="shared" si="387"/>
        <v>1678.06</v>
      </c>
      <c r="BG92" s="4590"/>
      <c r="BH92" s="4590"/>
      <c r="BI92" s="4590"/>
      <c r="BJ92" s="4590"/>
    </row>
    <row r="93" spans="1:62" s="5091" customFormat="1" ht="15.75" thickBot="1" x14ac:dyDescent="0.3">
      <c r="A93" s="93"/>
      <c r="B93" s="4194" t="s">
        <v>882</v>
      </c>
      <c r="C93" s="4195" t="s">
        <v>1476</v>
      </c>
      <c r="D93" s="4195"/>
      <c r="E93" s="1205"/>
      <c r="F93" s="1205"/>
      <c r="G93" s="7172"/>
      <c r="H93" s="7172"/>
      <c r="I93" s="5089"/>
      <c r="J93" s="373">
        <f t="shared" si="374"/>
        <v>0</v>
      </c>
      <c r="K93" s="1205"/>
      <c r="L93" s="1205"/>
      <c r="M93" s="2407"/>
      <c r="N93" s="2407"/>
      <c r="O93" s="1205"/>
      <c r="P93" s="1205"/>
      <c r="Q93" s="5089"/>
      <c r="R93" s="5089"/>
      <c r="S93" s="1205"/>
      <c r="T93" s="1205"/>
      <c r="U93" s="5089"/>
      <c r="V93" s="5089"/>
      <c r="W93" s="1205"/>
      <c r="X93" s="1205">
        <v>130.80000000000001</v>
      </c>
      <c r="Y93" s="2407"/>
      <c r="Z93" s="618">
        <f t="shared" ref="Z93" si="391">P93+T93+X93</f>
        <v>130.80000000000001</v>
      </c>
      <c r="AA93" s="4181"/>
      <c r="AB93" s="4181">
        <f t="shared" ref="AB93" si="392">N93+Z93</f>
        <v>130.80000000000001</v>
      </c>
      <c r="AC93" s="1205"/>
      <c r="AD93" s="1205"/>
      <c r="AE93" s="5089"/>
      <c r="AF93" s="373">
        <f t="shared" si="379"/>
        <v>130.80000000000001</v>
      </c>
      <c r="AG93" s="5523"/>
      <c r="AH93" s="5523"/>
      <c r="AI93" s="5089"/>
      <c r="AJ93" s="373">
        <f t="shared" si="380"/>
        <v>130.80000000000001</v>
      </c>
      <c r="AK93" s="5923"/>
      <c r="AL93" s="5923">
        <v>191</v>
      </c>
      <c r="AM93" s="2407"/>
      <c r="AN93" s="618">
        <f t="shared" si="381"/>
        <v>191</v>
      </c>
      <c r="AO93" s="5089"/>
      <c r="AP93" s="373">
        <f t="shared" si="382"/>
        <v>321.8</v>
      </c>
      <c r="AQ93" s="6079"/>
      <c r="AR93" s="6079">
        <v>227.22000000000003</v>
      </c>
      <c r="AS93" s="5089"/>
      <c r="AT93" s="43">
        <f t="shared" si="383"/>
        <v>549.02</v>
      </c>
      <c r="AU93" s="6202"/>
      <c r="AV93" s="6202"/>
      <c r="AW93" s="6188"/>
      <c r="AX93" s="43">
        <f t="shared" si="384"/>
        <v>549.02</v>
      </c>
      <c r="AY93" s="6407"/>
      <c r="AZ93" s="6407"/>
      <c r="BA93" s="2407"/>
      <c r="BB93" s="618">
        <f t="shared" si="385"/>
        <v>227.22000000000003</v>
      </c>
      <c r="BC93" s="4181"/>
      <c r="BD93" s="6599">
        <f t="shared" si="386"/>
        <v>418.22</v>
      </c>
      <c r="BE93" s="373"/>
      <c r="BF93" s="43">
        <f t="shared" si="387"/>
        <v>549.02</v>
      </c>
      <c r="BG93" s="4590"/>
      <c r="BH93" s="4590"/>
      <c r="BI93" s="4590"/>
      <c r="BJ93" s="4590"/>
    </row>
    <row r="94" spans="1:62" ht="20.25" customHeight="1" thickBot="1" x14ac:dyDescent="0.3">
      <c r="A94" s="93"/>
      <c r="B94" s="4182" t="s">
        <v>882</v>
      </c>
      <c r="C94" s="4183" t="s">
        <v>907</v>
      </c>
      <c r="D94" s="4183"/>
      <c r="E94" s="1970"/>
      <c r="F94" s="1970">
        <v>579.07999999999993</v>
      </c>
      <c r="G94" s="1970"/>
      <c r="H94" s="1970">
        <v>513.5</v>
      </c>
      <c r="I94" s="2399"/>
      <c r="J94" s="373">
        <f t="shared" si="374"/>
        <v>1092.58</v>
      </c>
      <c r="K94" s="1970"/>
      <c r="L94" s="1970"/>
      <c r="M94" s="4125"/>
      <c r="N94" s="4125">
        <f t="shared" si="388"/>
        <v>1092.58</v>
      </c>
      <c r="O94" s="1970"/>
      <c r="P94" s="1970">
        <v>960.81999999999994</v>
      </c>
      <c r="Q94" s="2399"/>
      <c r="R94" s="2399">
        <f t="shared" si="375"/>
        <v>2053.3999999999996</v>
      </c>
      <c r="S94" s="1970"/>
      <c r="T94" s="1970">
        <v>66.06</v>
      </c>
      <c r="U94" s="4890"/>
      <c r="V94" s="4890">
        <f t="shared" si="376"/>
        <v>2119.4599999999996</v>
      </c>
      <c r="W94" s="1970"/>
      <c r="X94" s="1970">
        <v>554.83999999999992</v>
      </c>
      <c r="Y94" s="4125"/>
      <c r="Z94" s="618">
        <f t="shared" si="377"/>
        <v>1581.7199999999998</v>
      </c>
      <c r="AA94" s="4157"/>
      <c r="AB94" s="4157">
        <f t="shared" si="378"/>
        <v>2674.2999999999997</v>
      </c>
      <c r="AC94" s="1970"/>
      <c r="AD94" s="1970"/>
      <c r="AE94" s="2399"/>
      <c r="AF94" s="373">
        <f t="shared" si="379"/>
        <v>2674.2999999999997</v>
      </c>
      <c r="AG94" s="1970"/>
      <c r="AH94" s="1970"/>
      <c r="AI94" s="2399"/>
      <c r="AJ94" s="373">
        <f t="shared" si="380"/>
        <v>2674.2999999999997</v>
      </c>
      <c r="AK94" s="1970"/>
      <c r="AL94" s="1970">
        <v>636.12</v>
      </c>
      <c r="AM94" s="4125"/>
      <c r="AN94" s="618">
        <f t="shared" si="381"/>
        <v>636.12</v>
      </c>
      <c r="AO94" s="2399"/>
      <c r="AP94" s="373">
        <f t="shared" si="382"/>
        <v>3310.4199999999996</v>
      </c>
      <c r="AQ94" s="1970"/>
      <c r="AR94" s="1970"/>
      <c r="AS94" s="2399"/>
      <c r="AT94" s="43">
        <f t="shared" si="383"/>
        <v>3310.4199999999996</v>
      </c>
      <c r="AU94" s="1970"/>
      <c r="AV94" s="1970"/>
      <c r="AW94" s="6193"/>
      <c r="AX94" s="43">
        <f t="shared" si="384"/>
        <v>3310.4199999999996</v>
      </c>
      <c r="AY94" s="1970"/>
      <c r="AZ94" s="1970">
        <v>198.06</v>
      </c>
      <c r="BA94" s="4125"/>
      <c r="BB94" s="618">
        <f t="shared" si="385"/>
        <v>198.06</v>
      </c>
      <c r="BC94" s="4157"/>
      <c r="BD94" s="6599">
        <f t="shared" si="386"/>
        <v>834.18000000000006</v>
      </c>
      <c r="BE94" s="2399"/>
      <c r="BF94" s="43">
        <f t="shared" si="387"/>
        <v>3508.4799999999996</v>
      </c>
      <c r="BG94" s="4590"/>
      <c r="BH94" s="4590"/>
      <c r="BI94" s="4590"/>
      <c r="BJ94" s="4590"/>
    </row>
    <row r="95" spans="1:62" ht="20.25" customHeight="1" thickBot="1" x14ac:dyDescent="0.3">
      <c r="A95" s="93"/>
      <c r="B95" s="4182" t="s">
        <v>882</v>
      </c>
      <c r="C95" s="4183" t="s">
        <v>908</v>
      </c>
      <c r="D95" s="4183"/>
      <c r="E95" s="1970"/>
      <c r="F95" s="1970">
        <v>984.18000000000006</v>
      </c>
      <c r="G95" s="1970"/>
      <c r="H95" s="1970">
        <v>320.34000000000003</v>
      </c>
      <c r="I95" s="2399"/>
      <c r="J95" s="373">
        <f t="shared" si="374"/>
        <v>1304.52</v>
      </c>
      <c r="K95" s="1970"/>
      <c r="L95" s="1970"/>
      <c r="M95" s="4125"/>
      <c r="N95" s="4125">
        <f t="shared" si="388"/>
        <v>1304.52</v>
      </c>
      <c r="O95" s="1970"/>
      <c r="P95" s="1970">
        <v>1028.94</v>
      </c>
      <c r="Q95" s="2399"/>
      <c r="R95" s="2399">
        <f t="shared" si="375"/>
        <v>2333.46</v>
      </c>
      <c r="S95" s="1970"/>
      <c r="T95" s="1970"/>
      <c r="U95" s="4890"/>
      <c r="V95" s="4890">
        <f t="shared" si="376"/>
        <v>2333.46</v>
      </c>
      <c r="W95" s="1970"/>
      <c r="X95" s="1970">
        <v>916.8</v>
      </c>
      <c r="Y95" s="4125"/>
      <c r="Z95" s="618">
        <f t="shared" si="377"/>
        <v>1945.74</v>
      </c>
      <c r="AA95" s="4157"/>
      <c r="AB95" s="4157">
        <f t="shared" si="378"/>
        <v>3250.26</v>
      </c>
      <c r="AC95" s="1970"/>
      <c r="AD95" s="1970">
        <v>64.88</v>
      </c>
      <c r="AE95" s="2399"/>
      <c r="AF95" s="373">
        <f t="shared" si="379"/>
        <v>3315.1400000000003</v>
      </c>
      <c r="AG95" s="1970"/>
      <c r="AH95" s="1970"/>
      <c r="AI95" s="2399"/>
      <c r="AJ95" s="373">
        <f t="shared" si="380"/>
        <v>3315.1400000000003</v>
      </c>
      <c r="AK95" s="1970"/>
      <c r="AL95" s="1970">
        <v>693.28</v>
      </c>
      <c r="AM95" s="4125"/>
      <c r="AN95" s="618">
        <f t="shared" si="381"/>
        <v>758.16</v>
      </c>
      <c r="AO95" s="2399"/>
      <c r="AP95" s="373">
        <f t="shared" si="382"/>
        <v>4008.42</v>
      </c>
      <c r="AQ95" s="1970"/>
      <c r="AR95" s="1970">
        <v>251.54000000000002</v>
      </c>
      <c r="AS95" s="2399"/>
      <c r="AT95" s="43">
        <f t="shared" si="383"/>
        <v>4259.96</v>
      </c>
      <c r="AU95" s="1970"/>
      <c r="AV95" s="1970"/>
      <c r="AW95" s="6193"/>
      <c r="AX95" s="43">
        <f t="shared" si="384"/>
        <v>4259.96</v>
      </c>
      <c r="AY95" s="1970"/>
      <c r="AZ95" s="1970">
        <v>716.34</v>
      </c>
      <c r="BA95" s="4125"/>
      <c r="BB95" s="618">
        <f t="shared" si="385"/>
        <v>967.88000000000011</v>
      </c>
      <c r="BC95" s="4157"/>
      <c r="BD95" s="6599">
        <f t="shared" si="386"/>
        <v>1726.04</v>
      </c>
      <c r="BE95" s="2399"/>
      <c r="BF95" s="43">
        <f t="shared" si="387"/>
        <v>4976.3</v>
      </c>
      <c r="BG95" s="4590"/>
      <c r="BH95" s="4590"/>
      <c r="BI95" s="4590"/>
      <c r="BJ95" s="4590"/>
    </row>
    <row r="96" spans="1:62" ht="15.75" thickBot="1" x14ac:dyDescent="0.3">
      <c r="A96" s="93"/>
      <c r="B96" s="4184" t="s">
        <v>882</v>
      </c>
      <c r="C96" s="4185" t="s">
        <v>952</v>
      </c>
      <c r="D96" s="4185"/>
      <c r="E96" s="109"/>
      <c r="F96" s="109"/>
      <c r="G96" s="109"/>
      <c r="H96" s="109">
        <v>250.32</v>
      </c>
      <c r="I96" s="589"/>
      <c r="J96" s="373">
        <f t="shared" si="374"/>
        <v>250.32</v>
      </c>
      <c r="K96" s="109"/>
      <c r="L96" s="109"/>
      <c r="M96" s="488"/>
      <c r="N96" s="488">
        <f t="shared" si="388"/>
        <v>250.32</v>
      </c>
      <c r="O96" s="109"/>
      <c r="P96" s="109"/>
      <c r="Q96" s="589"/>
      <c r="R96" s="589">
        <f t="shared" si="375"/>
        <v>250.32</v>
      </c>
      <c r="S96" s="109"/>
      <c r="T96" s="109">
        <v>41.55</v>
      </c>
      <c r="U96" s="589"/>
      <c r="V96" s="589">
        <f t="shared" si="376"/>
        <v>291.87</v>
      </c>
      <c r="W96" s="109"/>
      <c r="X96" s="109"/>
      <c r="Y96" s="488"/>
      <c r="Z96" s="618">
        <f t="shared" si="377"/>
        <v>41.55</v>
      </c>
      <c r="AA96" s="4186"/>
      <c r="AB96" s="4186">
        <f t="shared" si="378"/>
        <v>291.87</v>
      </c>
      <c r="AC96" s="109"/>
      <c r="AD96" s="109">
        <v>65.38</v>
      </c>
      <c r="AE96" s="589"/>
      <c r="AF96" s="373">
        <f t="shared" si="379"/>
        <v>357.25</v>
      </c>
      <c r="AG96" s="109"/>
      <c r="AH96" s="109">
        <v>313.28000000000003</v>
      </c>
      <c r="AI96" s="589"/>
      <c r="AJ96" s="373">
        <f t="shared" si="380"/>
        <v>670.53</v>
      </c>
      <c r="AK96" s="109"/>
      <c r="AL96" s="109"/>
      <c r="AM96" s="488"/>
      <c r="AN96" s="618">
        <f t="shared" si="381"/>
        <v>378.66</v>
      </c>
      <c r="AO96" s="589"/>
      <c r="AP96" s="373">
        <f t="shared" si="382"/>
        <v>670.53</v>
      </c>
      <c r="AQ96" s="109"/>
      <c r="AR96" s="109"/>
      <c r="AS96" s="589"/>
      <c r="AT96" s="43">
        <f t="shared" si="383"/>
        <v>670.53</v>
      </c>
      <c r="AU96" s="109"/>
      <c r="AV96" s="109"/>
      <c r="AW96" s="589"/>
      <c r="AX96" s="43">
        <f t="shared" si="384"/>
        <v>670.53</v>
      </c>
      <c r="AY96" s="109"/>
      <c r="AZ96" s="109"/>
      <c r="BA96" s="488"/>
      <c r="BB96" s="618">
        <f t="shared" si="385"/>
        <v>0</v>
      </c>
      <c r="BC96" s="4186"/>
      <c r="BD96" s="6599">
        <f t="shared" si="386"/>
        <v>378.66</v>
      </c>
      <c r="BE96" s="589"/>
      <c r="BF96" s="43">
        <f t="shared" si="387"/>
        <v>670.53</v>
      </c>
      <c r="BG96" s="4590"/>
      <c r="BH96" s="4590"/>
      <c r="BI96" s="4590"/>
      <c r="BJ96" s="4590"/>
    </row>
    <row r="97" spans="1:62" ht="15.75" thickBot="1" x14ac:dyDescent="0.3">
      <c r="A97" s="93"/>
      <c r="B97" s="4175" t="s">
        <v>1334</v>
      </c>
      <c r="C97" s="4176" t="s">
        <v>908</v>
      </c>
      <c r="D97" s="4176"/>
      <c r="E97" s="158"/>
      <c r="F97" s="158"/>
      <c r="G97" s="158"/>
      <c r="H97" s="158"/>
      <c r="I97" s="373"/>
      <c r="J97" s="373">
        <f t="shared" si="374"/>
        <v>0</v>
      </c>
      <c r="K97" s="158"/>
      <c r="L97" s="158"/>
      <c r="M97" s="618"/>
      <c r="N97" s="618">
        <f t="shared" si="388"/>
        <v>0</v>
      </c>
      <c r="O97" s="158"/>
      <c r="P97" s="158"/>
      <c r="Q97" s="373"/>
      <c r="R97" s="373">
        <f t="shared" si="375"/>
        <v>0</v>
      </c>
      <c r="S97" s="158"/>
      <c r="T97" s="158"/>
      <c r="U97" s="373"/>
      <c r="V97" s="373">
        <f t="shared" si="376"/>
        <v>0</v>
      </c>
      <c r="W97" s="158"/>
      <c r="X97" s="158"/>
      <c r="Y97" s="618"/>
      <c r="Z97" s="618">
        <f t="shared" si="377"/>
        <v>0</v>
      </c>
      <c r="AA97" s="4181"/>
      <c r="AB97" s="4181">
        <f t="shared" si="378"/>
        <v>0</v>
      </c>
      <c r="AC97" s="158"/>
      <c r="AD97" s="158"/>
      <c r="AE97" s="373"/>
      <c r="AF97" s="373">
        <f t="shared" si="379"/>
        <v>0</v>
      </c>
      <c r="AG97" s="158"/>
      <c r="AH97" s="158"/>
      <c r="AI97" s="373"/>
      <c r="AJ97" s="373">
        <f t="shared" si="380"/>
        <v>0</v>
      </c>
      <c r="AK97" s="158"/>
      <c r="AL97" s="158"/>
      <c r="AM97" s="618"/>
      <c r="AN97" s="618">
        <f t="shared" si="381"/>
        <v>0</v>
      </c>
      <c r="AO97" s="373"/>
      <c r="AP97" s="373">
        <f t="shared" si="382"/>
        <v>0</v>
      </c>
      <c r="AQ97" s="158"/>
      <c r="AR97" s="158"/>
      <c r="AS97" s="373"/>
      <c r="AT97" s="43">
        <f t="shared" si="383"/>
        <v>0</v>
      </c>
      <c r="AU97" s="158"/>
      <c r="AV97" s="158"/>
      <c r="AW97" s="373"/>
      <c r="AX97" s="43">
        <f t="shared" si="384"/>
        <v>0</v>
      </c>
      <c r="AY97" s="158"/>
      <c r="AZ97" s="158"/>
      <c r="BA97" s="618"/>
      <c r="BB97" s="618">
        <f t="shared" si="385"/>
        <v>0</v>
      </c>
      <c r="BC97" s="4181"/>
      <c r="BD97" s="6599">
        <f t="shared" si="386"/>
        <v>0</v>
      </c>
      <c r="BE97" s="373"/>
      <c r="BF97" s="43">
        <f t="shared" si="387"/>
        <v>0</v>
      </c>
      <c r="BG97" s="4590"/>
      <c r="BH97" s="4590"/>
      <c r="BI97" s="4590"/>
      <c r="BJ97" s="4590"/>
    </row>
    <row r="98" spans="1:62" ht="15.75" thickBot="1" x14ac:dyDescent="0.3">
      <c r="A98" s="93"/>
      <c r="B98" s="4184" t="s">
        <v>1334</v>
      </c>
      <c r="C98" s="4185" t="s">
        <v>907</v>
      </c>
      <c r="D98" s="4185"/>
      <c r="E98" s="109"/>
      <c r="F98" s="109"/>
      <c r="G98" s="109"/>
      <c r="H98" s="109"/>
      <c r="I98" s="589"/>
      <c r="J98" s="373">
        <f t="shared" si="374"/>
        <v>0</v>
      </c>
      <c r="K98" s="109"/>
      <c r="L98" s="109"/>
      <c r="M98" s="488"/>
      <c r="N98" s="488">
        <f t="shared" si="388"/>
        <v>0</v>
      </c>
      <c r="O98" s="109"/>
      <c r="P98" s="109"/>
      <c r="Q98" s="589"/>
      <c r="R98" s="589">
        <f t="shared" si="375"/>
        <v>0</v>
      </c>
      <c r="S98" s="109"/>
      <c r="T98" s="109"/>
      <c r="U98" s="589"/>
      <c r="V98" s="589">
        <f t="shared" si="376"/>
        <v>0</v>
      </c>
      <c r="W98" s="109"/>
      <c r="X98" s="109"/>
      <c r="Y98" s="488"/>
      <c r="Z98" s="618">
        <f t="shared" si="377"/>
        <v>0</v>
      </c>
      <c r="AA98" s="4186"/>
      <c r="AB98" s="4186">
        <f t="shared" si="378"/>
        <v>0</v>
      </c>
      <c r="AC98" s="109"/>
      <c r="AD98" s="109"/>
      <c r="AE98" s="589"/>
      <c r="AF98" s="373">
        <f t="shared" si="379"/>
        <v>0</v>
      </c>
      <c r="AG98" s="109"/>
      <c r="AH98" s="109"/>
      <c r="AI98" s="589"/>
      <c r="AJ98" s="373">
        <f t="shared" si="380"/>
        <v>0</v>
      </c>
      <c r="AK98" s="109"/>
      <c r="AL98" s="109"/>
      <c r="AM98" s="488"/>
      <c r="AN98" s="618">
        <f t="shared" si="381"/>
        <v>0</v>
      </c>
      <c r="AO98" s="589"/>
      <c r="AP98" s="373">
        <f t="shared" si="382"/>
        <v>0</v>
      </c>
      <c r="AQ98" s="109"/>
      <c r="AR98" s="109"/>
      <c r="AS98" s="589"/>
      <c r="AT98" s="43">
        <f t="shared" si="383"/>
        <v>0</v>
      </c>
      <c r="AU98" s="109"/>
      <c r="AV98" s="109"/>
      <c r="AW98" s="589"/>
      <c r="AX98" s="43">
        <f t="shared" si="384"/>
        <v>0</v>
      </c>
      <c r="AY98" s="109"/>
      <c r="AZ98" s="109"/>
      <c r="BA98" s="488"/>
      <c r="BB98" s="618">
        <f t="shared" si="385"/>
        <v>0</v>
      </c>
      <c r="BC98" s="4186"/>
      <c r="BD98" s="6599">
        <f t="shared" si="386"/>
        <v>0</v>
      </c>
      <c r="BE98" s="589"/>
      <c r="BF98" s="43">
        <f t="shared" si="387"/>
        <v>0</v>
      </c>
      <c r="BG98" s="4590"/>
      <c r="BH98" s="4590"/>
      <c r="BI98" s="4590"/>
      <c r="BJ98" s="4590"/>
    </row>
    <row r="99" spans="1:62" ht="15.75" thickBot="1" x14ac:dyDescent="0.3">
      <c r="A99" s="93"/>
      <c r="B99" s="4175" t="s">
        <v>866</v>
      </c>
      <c r="C99" s="4176" t="s">
        <v>907</v>
      </c>
      <c r="D99" s="4176"/>
      <c r="E99" s="158"/>
      <c r="F99" s="158">
        <v>2188.0200000000004</v>
      </c>
      <c r="G99" s="158"/>
      <c r="H99" s="158">
        <v>1019.6400000000001</v>
      </c>
      <c r="I99" s="373"/>
      <c r="J99" s="373">
        <f t="shared" si="374"/>
        <v>3207.6600000000008</v>
      </c>
      <c r="K99" s="158"/>
      <c r="L99" s="158">
        <v>6144.7299999999977</v>
      </c>
      <c r="M99" s="618"/>
      <c r="N99" s="618">
        <f t="shared" si="388"/>
        <v>9352.39</v>
      </c>
      <c r="O99" s="158"/>
      <c r="P99" s="158">
        <v>2337.3199999999997</v>
      </c>
      <c r="Q99" s="373"/>
      <c r="R99" s="373">
        <f t="shared" si="375"/>
        <v>11689.71</v>
      </c>
      <c r="S99" s="158"/>
      <c r="T99" s="158"/>
      <c r="U99" s="373"/>
      <c r="V99" s="373">
        <f t="shared" si="376"/>
        <v>11689.71</v>
      </c>
      <c r="W99" s="158"/>
      <c r="X99" s="158">
        <v>1502.0399999999997</v>
      </c>
      <c r="Y99" s="618"/>
      <c r="Z99" s="618">
        <f t="shared" si="377"/>
        <v>3839.3599999999997</v>
      </c>
      <c r="AA99" s="4181"/>
      <c r="AB99" s="4181">
        <f t="shared" si="378"/>
        <v>13191.75</v>
      </c>
      <c r="AC99" s="158"/>
      <c r="AD99" s="158">
        <v>40.75</v>
      </c>
      <c r="AE99" s="373"/>
      <c r="AF99" s="373">
        <f t="shared" si="379"/>
        <v>13232.5</v>
      </c>
      <c r="AG99" s="158"/>
      <c r="AH99" s="158">
        <v>2053.3599999999997</v>
      </c>
      <c r="AI99" s="373"/>
      <c r="AJ99" s="373">
        <f t="shared" si="380"/>
        <v>15285.86</v>
      </c>
      <c r="AK99" s="158"/>
      <c r="AL99" s="158">
        <v>2921.42</v>
      </c>
      <c r="AM99" s="618"/>
      <c r="AN99" s="618">
        <f t="shared" si="381"/>
        <v>5015.53</v>
      </c>
      <c r="AO99" s="373"/>
      <c r="AP99" s="373">
        <f t="shared" si="382"/>
        <v>18207.28</v>
      </c>
      <c r="AQ99" s="158"/>
      <c r="AR99" s="158">
        <v>1789.08</v>
      </c>
      <c r="AS99" s="373"/>
      <c r="AT99" s="43">
        <f t="shared" si="383"/>
        <v>19996.36</v>
      </c>
      <c r="AU99" s="158"/>
      <c r="AV99" s="158">
        <v>514.14</v>
      </c>
      <c r="AW99" s="373"/>
      <c r="AX99" s="43">
        <f t="shared" si="384"/>
        <v>20510.5</v>
      </c>
      <c r="AY99" s="158"/>
      <c r="AZ99" s="158">
        <v>1680.4099999999999</v>
      </c>
      <c r="BA99" s="618"/>
      <c r="BB99" s="618">
        <f t="shared" si="385"/>
        <v>3983.6299999999997</v>
      </c>
      <c r="BC99" s="4181"/>
      <c r="BD99" s="6599">
        <f t="shared" si="386"/>
        <v>8999.16</v>
      </c>
      <c r="BE99" s="373"/>
      <c r="BF99" s="43">
        <f t="shared" si="387"/>
        <v>22190.91</v>
      </c>
      <c r="BG99" s="4590"/>
      <c r="BH99" s="4590"/>
      <c r="BI99" s="4590"/>
      <c r="BJ99" s="4590"/>
    </row>
    <row r="100" spans="1:62" ht="15.75" thickBot="1" x14ac:dyDescent="0.3">
      <c r="A100" s="93"/>
      <c r="B100" s="4182" t="s">
        <v>866</v>
      </c>
      <c r="C100" s="4183" t="s">
        <v>952</v>
      </c>
      <c r="D100" s="4183"/>
      <c r="E100" s="4171"/>
      <c r="F100" s="1970"/>
      <c r="G100" s="4171"/>
      <c r="H100" s="1970">
        <v>255.5</v>
      </c>
      <c r="I100" s="853"/>
      <c r="J100" s="373">
        <f t="shared" si="374"/>
        <v>255.5</v>
      </c>
      <c r="K100" s="4171"/>
      <c r="L100" s="1970"/>
      <c r="M100" s="904"/>
      <c r="N100" s="4125">
        <f t="shared" si="388"/>
        <v>255.5</v>
      </c>
      <c r="O100" s="4171"/>
      <c r="P100" s="1970"/>
      <c r="Q100" s="853"/>
      <c r="R100" s="2399">
        <f t="shared" si="375"/>
        <v>255.5</v>
      </c>
      <c r="S100" s="4171"/>
      <c r="T100" s="1970"/>
      <c r="U100" s="853"/>
      <c r="V100" s="4890">
        <f t="shared" si="376"/>
        <v>255.5</v>
      </c>
      <c r="W100" s="4171"/>
      <c r="X100" s="1970"/>
      <c r="Y100" s="904"/>
      <c r="Z100" s="618">
        <f t="shared" si="377"/>
        <v>0</v>
      </c>
      <c r="AA100" s="4187"/>
      <c r="AB100" s="4157">
        <f t="shared" si="378"/>
        <v>255.5</v>
      </c>
      <c r="AC100" s="4171"/>
      <c r="AD100" s="1970">
        <v>63.36</v>
      </c>
      <c r="AE100" s="853"/>
      <c r="AF100" s="373">
        <f t="shared" si="379"/>
        <v>318.86</v>
      </c>
      <c r="AG100" s="4171"/>
      <c r="AH100" s="1970">
        <v>254.28</v>
      </c>
      <c r="AI100" s="853"/>
      <c r="AJ100" s="373">
        <f t="shared" si="380"/>
        <v>573.14</v>
      </c>
      <c r="AK100" s="4171"/>
      <c r="AL100" s="1970"/>
      <c r="AM100" s="904"/>
      <c r="AN100" s="618">
        <f t="shared" si="381"/>
        <v>317.64</v>
      </c>
      <c r="AO100" s="853"/>
      <c r="AP100" s="373">
        <f t="shared" si="382"/>
        <v>573.14</v>
      </c>
      <c r="AQ100" s="4171"/>
      <c r="AR100" s="1970"/>
      <c r="AS100" s="853"/>
      <c r="AT100" s="43">
        <f t="shared" si="383"/>
        <v>573.14</v>
      </c>
      <c r="AU100" s="4171"/>
      <c r="AV100" s="1970"/>
      <c r="AW100" s="853"/>
      <c r="AX100" s="43">
        <f t="shared" si="384"/>
        <v>573.14</v>
      </c>
      <c r="AY100" s="4171"/>
      <c r="AZ100" s="1970"/>
      <c r="BA100" s="904"/>
      <c r="BB100" s="618">
        <f t="shared" si="385"/>
        <v>0</v>
      </c>
      <c r="BC100" s="4187"/>
      <c r="BD100" s="6599">
        <f t="shared" si="386"/>
        <v>317.64</v>
      </c>
      <c r="BE100" s="853"/>
      <c r="BF100" s="43">
        <f t="shared" si="387"/>
        <v>573.14</v>
      </c>
      <c r="BG100" s="4590"/>
      <c r="BH100" s="4590"/>
      <c r="BI100" s="4590"/>
      <c r="BJ100" s="4590"/>
    </row>
    <row r="101" spans="1:62" ht="15.75" thickBot="1" x14ac:dyDescent="0.3">
      <c r="A101" s="93"/>
      <c r="B101" s="4182" t="s">
        <v>866</v>
      </c>
      <c r="C101" s="4183" t="s">
        <v>919</v>
      </c>
      <c r="D101" s="4183"/>
      <c r="E101" s="4171"/>
      <c r="F101" s="1970"/>
      <c r="G101" s="4171"/>
      <c r="H101" s="1970"/>
      <c r="I101" s="853"/>
      <c r="J101" s="373">
        <f t="shared" si="374"/>
        <v>0</v>
      </c>
      <c r="K101" s="4171"/>
      <c r="L101" s="1970"/>
      <c r="M101" s="904"/>
      <c r="N101" s="4125">
        <f t="shared" si="388"/>
        <v>0</v>
      </c>
      <c r="O101" s="4171"/>
      <c r="P101" s="1970"/>
      <c r="Q101" s="853"/>
      <c r="R101" s="4821">
        <f t="shared" si="375"/>
        <v>0</v>
      </c>
      <c r="S101" s="4171"/>
      <c r="T101" s="1970"/>
      <c r="U101" s="853"/>
      <c r="V101" s="4890">
        <f t="shared" si="376"/>
        <v>0</v>
      </c>
      <c r="W101" s="4171"/>
      <c r="X101" s="1970"/>
      <c r="Y101" s="904"/>
      <c r="Z101" s="618">
        <f t="shared" si="377"/>
        <v>0</v>
      </c>
      <c r="AA101" s="4187"/>
      <c r="AB101" s="4157">
        <f t="shared" si="378"/>
        <v>0</v>
      </c>
      <c r="AC101" s="4171"/>
      <c r="AD101" s="1970"/>
      <c r="AE101" s="853"/>
      <c r="AF101" s="373">
        <f t="shared" si="379"/>
        <v>0</v>
      </c>
      <c r="AG101" s="4171"/>
      <c r="AH101" s="1970"/>
      <c r="AI101" s="853"/>
      <c r="AJ101" s="373">
        <f t="shared" si="380"/>
        <v>0</v>
      </c>
      <c r="AK101" s="4171"/>
      <c r="AL101" s="1970"/>
      <c r="AM101" s="904"/>
      <c r="AN101" s="618">
        <f t="shared" si="381"/>
        <v>0</v>
      </c>
      <c r="AO101" s="853"/>
      <c r="AP101" s="373">
        <f t="shared" si="382"/>
        <v>0</v>
      </c>
      <c r="AQ101" s="4171"/>
      <c r="AR101" s="1970"/>
      <c r="AS101" s="853"/>
      <c r="AT101" s="43">
        <f t="shared" si="383"/>
        <v>0</v>
      </c>
      <c r="AU101" s="4171"/>
      <c r="AV101" s="1970"/>
      <c r="AW101" s="853"/>
      <c r="AX101" s="43">
        <f t="shared" si="384"/>
        <v>0</v>
      </c>
      <c r="AY101" s="4171"/>
      <c r="AZ101" s="1970"/>
      <c r="BA101" s="904"/>
      <c r="BB101" s="618">
        <f t="shared" si="385"/>
        <v>0</v>
      </c>
      <c r="BC101" s="4187"/>
      <c r="BD101" s="6599">
        <f t="shared" si="386"/>
        <v>0</v>
      </c>
      <c r="BE101" s="853"/>
      <c r="BF101" s="43">
        <f t="shared" si="387"/>
        <v>0</v>
      </c>
      <c r="BG101" s="4590"/>
      <c r="BH101" s="4590"/>
      <c r="BI101" s="4590"/>
      <c r="BJ101" s="4590"/>
    </row>
    <row r="102" spans="1:62" ht="15.75" thickBot="1" x14ac:dyDescent="0.3">
      <c r="A102" s="93"/>
      <c r="B102" s="4182" t="s">
        <v>866</v>
      </c>
      <c r="C102" s="4183" t="s">
        <v>1542</v>
      </c>
      <c r="D102" s="4183"/>
      <c r="E102" s="4171"/>
      <c r="F102" s="1970">
        <v>127.41999999999999</v>
      </c>
      <c r="G102" s="4171"/>
      <c r="H102" s="1970"/>
      <c r="I102" s="853"/>
      <c r="J102" s="373">
        <f t="shared" si="374"/>
        <v>127.41999999999999</v>
      </c>
      <c r="K102" s="4171"/>
      <c r="L102" s="1970">
        <v>702.90000000000009</v>
      </c>
      <c r="M102" s="904"/>
      <c r="N102" s="4125">
        <f t="shared" si="388"/>
        <v>830.32</v>
      </c>
      <c r="O102" s="4171"/>
      <c r="P102" s="1970">
        <v>313.18</v>
      </c>
      <c r="Q102" s="853"/>
      <c r="R102" s="2399">
        <f t="shared" si="375"/>
        <v>1143.5</v>
      </c>
      <c r="S102" s="4171"/>
      <c r="T102" s="1970"/>
      <c r="U102" s="853"/>
      <c r="V102" s="4890">
        <f t="shared" si="376"/>
        <v>1143.5</v>
      </c>
      <c r="W102" s="4171"/>
      <c r="X102" s="1970">
        <v>914.90000000000009</v>
      </c>
      <c r="Y102" s="904"/>
      <c r="Z102" s="618">
        <f t="shared" si="377"/>
        <v>1228.0800000000002</v>
      </c>
      <c r="AA102" s="4187"/>
      <c r="AB102" s="4157">
        <f t="shared" si="378"/>
        <v>2058.4</v>
      </c>
      <c r="AC102" s="4171"/>
      <c r="AD102" s="1970"/>
      <c r="AE102" s="853"/>
      <c r="AF102" s="373">
        <f t="shared" si="379"/>
        <v>2058.4</v>
      </c>
      <c r="AG102" s="4171"/>
      <c r="AH102" s="1970">
        <v>187.4</v>
      </c>
      <c r="AI102" s="853"/>
      <c r="AJ102" s="373">
        <f t="shared" si="380"/>
        <v>2245.8000000000002</v>
      </c>
      <c r="AK102" s="4171"/>
      <c r="AL102" s="1970"/>
      <c r="AM102" s="904"/>
      <c r="AN102" s="618">
        <f t="shared" si="381"/>
        <v>187.4</v>
      </c>
      <c r="AO102" s="853"/>
      <c r="AP102" s="373">
        <f t="shared" si="382"/>
        <v>2245.8000000000002</v>
      </c>
      <c r="AQ102" s="4171"/>
      <c r="AR102" s="1970">
        <v>318.47999999999996</v>
      </c>
      <c r="AS102" s="853"/>
      <c r="AT102" s="43">
        <f t="shared" si="383"/>
        <v>2564.2800000000002</v>
      </c>
      <c r="AU102" s="4171"/>
      <c r="AV102" s="1970"/>
      <c r="AW102" s="853"/>
      <c r="AX102" s="43">
        <f t="shared" si="384"/>
        <v>2564.2800000000002</v>
      </c>
      <c r="AY102" s="4171"/>
      <c r="AZ102" s="1970"/>
      <c r="BA102" s="904"/>
      <c r="BB102" s="618">
        <f t="shared" si="385"/>
        <v>318.47999999999996</v>
      </c>
      <c r="BC102" s="4187"/>
      <c r="BD102" s="6599">
        <f t="shared" si="386"/>
        <v>505.88</v>
      </c>
      <c r="BE102" s="853"/>
      <c r="BF102" s="43">
        <f t="shared" si="387"/>
        <v>2564.2800000000002</v>
      </c>
      <c r="BG102" s="4590"/>
      <c r="BH102" s="4590"/>
      <c r="BI102" s="4590"/>
      <c r="BJ102" s="4590"/>
    </row>
    <row r="103" spans="1:62" ht="15.75" thickBot="1" x14ac:dyDescent="0.3">
      <c r="A103" s="93"/>
      <c r="B103" s="4182" t="s">
        <v>866</v>
      </c>
      <c r="C103" s="4183" t="s">
        <v>1476</v>
      </c>
      <c r="D103" s="4183"/>
      <c r="E103" s="4171"/>
      <c r="F103" s="1970">
        <v>127.46000000000001</v>
      </c>
      <c r="G103" s="4171"/>
      <c r="H103" s="1970"/>
      <c r="I103" s="853"/>
      <c r="J103" s="373">
        <f t="shared" si="374"/>
        <v>127.46000000000001</v>
      </c>
      <c r="K103" s="4171"/>
      <c r="L103" s="1970">
        <v>182.22</v>
      </c>
      <c r="M103" s="904"/>
      <c r="N103" s="4125">
        <f t="shared" si="388"/>
        <v>309.68</v>
      </c>
      <c r="O103" s="4171"/>
      <c r="P103" s="1970">
        <v>190.68</v>
      </c>
      <c r="Q103" s="853"/>
      <c r="R103" s="2399">
        <f t="shared" si="375"/>
        <v>500.36</v>
      </c>
      <c r="S103" s="4171"/>
      <c r="T103" s="1970"/>
      <c r="U103" s="853"/>
      <c r="V103" s="4890">
        <f t="shared" si="376"/>
        <v>500.36</v>
      </c>
      <c r="W103" s="4171"/>
      <c r="X103" s="1970">
        <v>256.82</v>
      </c>
      <c r="Y103" s="904"/>
      <c r="Z103" s="618">
        <f t="shared" si="377"/>
        <v>447.5</v>
      </c>
      <c r="AA103" s="4187"/>
      <c r="AB103" s="4157">
        <f t="shared" si="378"/>
        <v>757.18000000000006</v>
      </c>
      <c r="AC103" s="4171"/>
      <c r="AD103" s="1970"/>
      <c r="AE103" s="853"/>
      <c r="AF103" s="373">
        <f t="shared" si="379"/>
        <v>757.18000000000006</v>
      </c>
      <c r="AG103" s="4171"/>
      <c r="AH103" s="1970"/>
      <c r="AI103" s="853"/>
      <c r="AJ103" s="373">
        <f t="shared" si="380"/>
        <v>757.18000000000006</v>
      </c>
      <c r="AK103" s="4171"/>
      <c r="AL103" s="1970"/>
      <c r="AM103" s="904"/>
      <c r="AN103" s="618">
        <f t="shared" si="381"/>
        <v>0</v>
      </c>
      <c r="AO103" s="853"/>
      <c r="AP103" s="373">
        <f t="shared" si="382"/>
        <v>757.18000000000006</v>
      </c>
      <c r="AQ103" s="4171"/>
      <c r="AR103" s="1970">
        <v>190.29999999999998</v>
      </c>
      <c r="AS103" s="853"/>
      <c r="AT103" s="43">
        <f t="shared" si="383"/>
        <v>947.48</v>
      </c>
      <c r="AU103" s="4171"/>
      <c r="AV103" s="1970"/>
      <c r="AW103" s="853"/>
      <c r="AX103" s="43">
        <f t="shared" si="384"/>
        <v>947.48</v>
      </c>
      <c r="AY103" s="4171"/>
      <c r="AZ103" s="1970"/>
      <c r="BA103" s="904"/>
      <c r="BB103" s="618">
        <f t="shared" si="385"/>
        <v>190.29999999999998</v>
      </c>
      <c r="BC103" s="4187"/>
      <c r="BD103" s="6599">
        <f t="shared" si="386"/>
        <v>190.29999999999998</v>
      </c>
      <c r="BE103" s="853"/>
      <c r="BF103" s="43">
        <f t="shared" si="387"/>
        <v>947.48</v>
      </c>
      <c r="BG103" s="4590"/>
      <c r="BH103" s="4590"/>
      <c r="BI103" s="4590"/>
      <c r="BJ103" s="4590"/>
    </row>
    <row r="104" spans="1:62" ht="15.75" thickBot="1" x14ac:dyDescent="0.3">
      <c r="A104" s="93"/>
      <c r="B104" s="4184" t="s">
        <v>866</v>
      </c>
      <c r="C104" s="4185" t="s">
        <v>908</v>
      </c>
      <c r="D104" s="4185"/>
      <c r="E104" s="4188"/>
      <c r="F104" s="109">
        <v>1030.2</v>
      </c>
      <c r="G104" s="4188"/>
      <c r="H104" s="109">
        <v>1022.2799999999999</v>
      </c>
      <c r="I104" s="3467"/>
      <c r="J104" s="373">
        <f t="shared" si="374"/>
        <v>2052.48</v>
      </c>
      <c r="K104" s="4188"/>
      <c r="L104" s="109">
        <v>1473.6399999999999</v>
      </c>
      <c r="M104" s="4189"/>
      <c r="N104" s="488">
        <f t="shared" si="388"/>
        <v>3526.12</v>
      </c>
      <c r="O104" s="4188"/>
      <c r="P104" s="109">
        <v>386.5</v>
      </c>
      <c r="Q104" s="3467"/>
      <c r="R104" s="589">
        <f t="shared" si="375"/>
        <v>3912.62</v>
      </c>
      <c r="S104" s="4188"/>
      <c r="T104" s="109"/>
      <c r="U104" s="3467"/>
      <c r="V104" s="589">
        <f t="shared" si="376"/>
        <v>3912.62</v>
      </c>
      <c r="W104" s="4188"/>
      <c r="X104" s="109">
        <v>939.8</v>
      </c>
      <c r="Y104" s="4189"/>
      <c r="Z104" s="618">
        <f t="shared" si="377"/>
        <v>1326.3</v>
      </c>
      <c r="AA104" s="4190"/>
      <c r="AB104" s="4186">
        <f t="shared" si="378"/>
        <v>4852.42</v>
      </c>
      <c r="AC104" s="4188"/>
      <c r="AD104" s="109"/>
      <c r="AE104" s="3467"/>
      <c r="AF104" s="373">
        <f t="shared" si="379"/>
        <v>4852.42</v>
      </c>
      <c r="AG104" s="4188"/>
      <c r="AH104" s="109">
        <v>507.02</v>
      </c>
      <c r="AI104" s="3467"/>
      <c r="AJ104" s="373">
        <f t="shared" si="380"/>
        <v>5359.4400000000005</v>
      </c>
      <c r="AK104" s="4188"/>
      <c r="AL104" s="109">
        <v>826.59999999999991</v>
      </c>
      <c r="AM104" s="4189"/>
      <c r="AN104" s="618">
        <f t="shared" si="381"/>
        <v>1333.62</v>
      </c>
      <c r="AO104" s="3467"/>
      <c r="AP104" s="373">
        <f t="shared" si="382"/>
        <v>6186.0400000000009</v>
      </c>
      <c r="AQ104" s="4188"/>
      <c r="AR104" s="109">
        <v>639.86</v>
      </c>
      <c r="AS104" s="3467"/>
      <c r="AT104" s="43">
        <f t="shared" si="383"/>
        <v>6825.9000000000005</v>
      </c>
      <c r="AU104" s="4188"/>
      <c r="AV104" s="109"/>
      <c r="AW104" s="3467"/>
      <c r="AX104" s="43">
        <f t="shared" si="384"/>
        <v>6825.9000000000005</v>
      </c>
      <c r="AY104" s="4188"/>
      <c r="AZ104" s="109">
        <v>613.70000000000005</v>
      </c>
      <c r="BA104" s="4189"/>
      <c r="BB104" s="618">
        <f t="shared" si="385"/>
        <v>1253.56</v>
      </c>
      <c r="BC104" s="4190"/>
      <c r="BD104" s="6599">
        <f t="shared" si="386"/>
        <v>2587.1799999999998</v>
      </c>
      <c r="BE104" s="3467"/>
      <c r="BF104" s="43">
        <f t="shared" si="387"/>
        <v>7439.6</v>
      </c>
      <c r="BG104" s="4590"/>
      <c r="BH104" s="4590"/>
      <c r="BI104" s="4590"/>
      <c r="BJ104" s="4590"/>
    </row>
    <row r="105" spans="1:62" ht="15.75" thickBot="1" x14ac:dyDescent="0.3">
      <c r="A105" s="93"/>
      <c r="B105" s="4175" t="s">
        <v>878</v>
      </c>
      <c r="C105" s="4176" t="s">
        <v>907</v>
      </c>
      <c r="D105" s="4176"/>
      <c r="E105" s="4191"/>
      <c r="F105" s="158">
        <v>381.28</v>
      </c>
      <c r="G105" s="4191"/>
      <c r="H105" s="158">
        <v>182.64</v>
      </c>
      <c r="I105" s="3464"/>
      <c r="J105" s="373">
        <f t="shared" si="374"/>
        <v>563.91999999999996</v>
      </c>
      <c r="K105" s="4191"/>
      <c r="L105" s="158"/>
      <c r="M105" s="4192"/>
      <c r="N105" s="618">
        <f t="shared" si="388"/>
        <v>563.91999999999996</v>
      </c>
      <c r="O105" s="4191"/>
      <c r="P105" s="158"/>
      <c r="Q105" s="3464"/>
      <c r="R105" s="373">
        <f t="shared" si="375"/>
        <v>563.91999999999996</v>
      </c>
      <c r="S105" s="4191"/>
      <c r="T105" s="158"/>
      <c r="U105" s="3464"/>
      <c r="V105" s="373">
        <f t="shared" si="376"/>
        <v>563.91999999999996</v>
      </c>
      <c r="W105" s="4191"/>
      <c r="X105" s="158">
        <v>131.18</v>
      </c>
      <c r="Y105" s="4192"/>
      <c r="Z105" s="618">
        <f t="shared" si="377"/>
        <v>131.18</v>
      </c>
      <c r="AA105" s="4193"/>
      <c r="AB105" s="4181">
        <f t="shared" si="378"/>
        <v>695.09999999999991</v>
      </c>
      <c r="AC105" s="4191"/>
      <c r="AD105" s="158"/>
      <c r="AE105" s="3464"/>
      <c r="AF105" s="373">
        <f t="shared" si="379"/>
        <v>695.09999999999991</v>
      </c>
      <c r="AG105" s="4191"/>
      <c r="AH105" s="158"/>
      <c r="AI105" s="3464"/>
      <c r="AJ105" s="373">
        <f t="shared" si="380"/>
        <v>695.09999999999991</v>
      </c>
      <c r="AK105" s="4191"/>
      <c r="AL105" s="158"/>
      <c r="AM105" s="4192"/>
      <c r="AN105" s="618">
        <f t="shared" si="381"/>
        <v>0</v>
      </c>
      <c r="AO105" s="3464"/>
      <c r="AP105" s="373">
        <f t="shared" si="382"/>
        <v>695.09999999999991</v>
      </c>
      <c r="AQ105" s="4191"/>
      <c r="AR105" s="158"/>
      <c r="AS105" s="3464"/>
      <c r="AT105" s="43">
        <f t="shared" si="383"/>
        <v>695.09999999999991</v>
      </c>
      <c r="AU105" s="4191"/>
      <c r="AV105" s="158"/>
      <c r="AW105" s="3464"/>
      <c r="AX105" s="43">
        <f t="shared" si="384"/>
        <v>695.09999999999991</v>
      </c>
      <c r="AY105" s="4191"/>
      <c r="AZ105" s="158"/>
      <c r="BA105" s="4192"/>
      <c r="BB105" s="618">
        <f t="shared" si="385"/>
        <v>0</v>
      </c>
      <c r="BC105" s="4193"/>
      <c r="BD105" s="6599">
        <f t="shared" si="386"/>
        <v>0</v>
      </c>
      <c r="BE105" s="3464"/>
      <c r="BF105" s="43">
        <f t="shared" si="387"/>
        <v>695.09999999999991</v>
      </c>
      <c r="BG105" s="4590"/>
      <c r="BH105" s="4590"/>
      <c r="BI105" s="4590"/>
      <c r="BJ105" s="4590"/>
    </row>
    <row r="106" spans="1:62" ht="15.75" thickBot="1" x14ac:dyDescent="0.3">
      <c r="A106" s="93"/>
      <c r="B106" s="4194" t="s">
        <v>878</v>
      </c>
      <c r="C106" s="4195" t="s">
        <v>909</v>
      </c>
      <c r="D106" s="4195"/>
      <c r="E106" s="4196"/>
      <c r="F106" s="1205"/>
      <c r="G106" s="4196"/>
      <c r="H106" s="7172"/>
      <c r="I106" s="4197"/>
      <c r="J106" s="373">
        <f t="shared" si="374"/>
        <v>0</v>
      </c>
      <c r="K106" s="4196"/>
      <c r="L106" s="1205"/>
      <c r="M106" s="4198"/>
      <c r="N106" s="618">
        <f t="shared" si="388"/>
        <v>0</v>
      </c>
      <c r="O106" s="4196"/>
      <c r="P106" s="1205"/>
      <c r="Q106" s="4197"/>
      <c r="R106" s="373">
        <f t="shared" si="375"/>
        <v>0</v>
      </c>
      <c r="S106" s="4196"/>
      <c r="T106" s="1205"/>
      <c r="U106" s="4197"/>
      <c r="V106" s="373">
        <f t="shared" si="376"/>
        <v>0</v>
      </c>
      <c r="W106" s="4196"/>
      <c r="X106" s="1205"/>
      <c r="Y106" s="4198"/>
      <c r="Z106" s="618">
        <f t="shared" si="377"/>
        <v>0</v>
      </c>
      <c r="AA106" s="4199"/>
      <c r="AB106" s="4181">
        <f t="shared" si="378"/>
        <v>0</v>
      </c>
      <c r="AC106" s="4196"/>
      <c r="AD106" s="1205"/>
      <c r="AE106" s="4197"/>
      <c r="AF106" s="373">
        <f t="shared" si="379"/>
        <v>0</v>
      </c>
      <c r="AG106" s="4196"/>
      <c r="AH106" s="5523"/>
      <c r="AI106" s="4197"/>
      <c r="AJ106" s="373">
        <f t="shared" si="380"/>
        <v>0</v>
      </c>
      <c r="AK106" s="4196"/>
      <c r="AL106" s="5923"/>
      <c r="AM106" s="4198"/>
      <c r="AN106" s="618">
        <f t="shared" si="381"/>
        <v>0</v>
      </c>
      <c r="AO106" s="4197"/>
      <c r="AP106" s="373">
        <f t="shared" si="382"/>
        <v>0</v>
      </c>
      <c r="AQ106" s="4196"/>
      <c r="AR106" s="6079"/>
      <c r="AS106" s="4197"/>
      <c r="AT106" s="43">
        <f t="shared" si="383"/>
        <v>0</v>
      </c>
      <c r="AU106" s="4196"/>
      <c r="AV106" s="6202"/>
      <c r="AW106" s="4197"/>
      <c r="AX106" s="43">
        <f t="shared" si="384"/>
        <v>0</v>
      </c>
      <c r="AY106" s="4196"/>
      <c r="AZ106" s="6407"/>
      <c r="BA106" s="4198"/>
      <c r="BB106" s="618">
        <f t="shared" si="385"/>
        <v>0</v>
      </c>
      <c r="BC106" s="4199"/>
      <c r="BD106" s="6599">
        <f t="shared" si="386"/>
        <v>0</v>
      </c>
      <c r="BE106" s="4197"/>
      <c r="BF106" s="43">
        <f t="shared" si="387"/>
        <v>0</v>
      </c>
      <c r="BG106" s="4590"/>
      <c r="BH106" s="4590"/>
      <c r="BI106" s="4590"/>
      <c r="BJ106" s="4590"/>
    </row>
    <row r="107" spans="1:62" ht="15.75" thickBot="1" x14ac:dyDescent="0.3">
      <c r="A107" s="93"/>
      <c r="B107" s="4194" t="s">
        <v>878</v>
      </c>
      <c r="C107" s="4195" t="s">
        <v>952</v>
      </c>
      <c r="D107" s="4195"/>
      <c r="E107" s="4196"/>
      <c r="F107" s="1205"/>
      <c r="G107" s="4196"/>
      <c r="H107" s="7172">
        <v>61.28</v>
      </c>
      <c r="I107" s="4197"/>
      <c r="J107" s="373">
        <f t="shared" si="374"/>
        <v>61.28</v>
      </c>
      <c r="K107" s="4196"/>
      <c r="L107" s="1205">
        <v>61.4</v>
      </c>
      <c r="M107" s="4198"/>
      <c r="N107" s="618">
        <f t="shared" si="388"/>
        <v>122.68</v>
      </c>
      <c r="O107" s="4196"/>
      <c r="P107" s="1205"/>
      <c r="Q107" s="4197"/>
      <c r="R107" s="373">
        <f t="shared" si="375"/>
        <v>122.68</v>
      </c>
      <c r="S107" s="4196"/>
      <c r="T107" s="1205"/>
      <c r="U107" s="4197"/>
      <c r="V107" s="373">
        <f t="shared" si="376"/>
        <v>122.68</v>
      </c>
      <c r="W107" s="4196"/>
      <c r="X107" s="1205"/>
      <c r="Y107" s="4198"/>
      <c r="Z107" s="618">
        <f t="shared" si="377"/>
        <v>0</v>
      </c>
      <c r="AA107" s="4199"/>
      <c r="AB107" s="4181">
        <f t="shared" si="378"/>
        <v>122.68</v>
      </c>
      <c r="AC107" s="4196"/>
      <c r="AD107" s="1205"/>
      <c r="AE107" s="4197"/>
      <c r="AF107" s="373">
        <f t="shared" si="379"/>
        <v>122.68</v>
      </c>
      <c r="AG107" s="4196"/>
      <c r="AH107" s="5523">
        <v>186.57999999999998</v>
      </c>
      <c r="AI107" s="4197"/>
      <c r="AJ107" s="373">
        <f t="shared" si="380"/>
        <v>309.26</v>
      </c>
      <c r="AK107" s="4196"/>
      <c r="AL107" s="5923"/>
      <c r="AM107" s="4198"/>
      <c r="AN107" s="618">
        <f t="shared" si="381"/>
        <v>186.57999999999998</v>
      </c>
      <c r="AO107" s="4197"/>
      <c r="AP107" s="373">
        <f t="shared" si="382"/>
        <v>309.26</v>
      </c>
      <c r="AQ107" s="4196"/>
      <c r="AR107" s="6079"/>
      <c r="AS107" s="4197"/>
      <c r="AT107" s="43">
        <f t="shared" si="383"/>
        <v>309.26</v>
      </c>
      <c r="AU107" s="4196"/>
      <c r="AV107" s="6202"/>
      <c r="AW107" s="4197"/>
      <c r="AX107" s="43">
        <f t="shared" si="384"/>
        <v>309.26</v>
      </c>
      <c r="AY107" s="4196"/>
      <c r="AZ107" s="6407"/>
      <c r="BA107" s="4198"/>
      <c r="BB107" s="618">
        <f t="shared" si="385"/>
        <v>0</v>
      </c>
      <c r="BC107" s="4199"/>
      <c r="BD107" s="6599">
        <f t="shared" si="386"/>
        <v>186.57999999999998</v>
      </c>
      <c r="BE107" s="4197"/>
      <c r="BF107" s="43">
        <f t="shared" si="387"/>
        <v>309.26</v>
      </c>
      <c r="BG107" s="4590"/>
      <c r="BH107" s="4590"/>
      <c r="BI107" s="4590"/>
      <c r="BJ107" s="4590"/>
    </row>
    <row r="108" spans="1:62" ht="15.75" thickBot="1" x14ac:dyDescent="0.3">
      <c r="A108" s="93"/>
      <c r="B108" s="4182" t="s">
        <v>878</v>
      </c>
      <c r="C108" s="4183" t="s">
        <v>1416</v>
      </c>
      <c r="D108" s="4183"/>
      <c r="E108" s="4171"/>
      <c r="F108" s="1970"/>
      <c r="G108" s="4171"/>
      <c r="H108" s="1970"/>
      <c r="I108" s="853"/>
      <c r="J108" s="373">
        <f t="shared" si="374"/>
        <v>0</v>
      </c>
      <c r="K108" s="4171"/>
      <c r="L108" s="1970"/>
      <c r="M108" s="904"/>
      <c r="N108" s="618">
        <f t="shared" si="388"/>
        <v>0</v>
      </c>
      <c r="O108" s="4171"/>
      <c r="P108" s="1970"/>
      <c r="Q108" s="853"/>
      <c r="R108" s="373">
        <f t="shared" si="375"/>
        <v>0</v>
      </c>
      <c r="S108" s="4171"/>
      <c r="T108" s="1970"/>
      <c r="U108" s="853"/>
      <c r="V108" s="373">
        <f t="shared" si="376"/>
        <v>0</v>
      </c>
      <c r="W108" s="4171"/>
      <c r="X108" s="1970"/>
      <c r="Y108" s="904"/>
      <c r="Z108" s="618">
        <f t="shared" si="377"/>
        <v>0</v>
      </c>
      <c r="AA108" s="4187"/>
      <c r="AB108" s="4181">
        <f t="shared" si="378"/>
        <v>0</v>
      </c>
      <c r="AC108" s="4171"/>
      <c r="AD108" s="1970"/>
      <c r="AE108" s="853"/>
      <c r="AF108" s="373">
        <f t="shared" si="379"/>
        <v>0</v>
      </c>
      <c r="AG108" s="4171"/>
      <c r="AH108" s="1970"/>
      <c r="AI108" s="853"/>
      <c r="AJ108" s="373">
        <f t="shared" si="380"/>
        <v>0</v>
      </c>
      <c r="AK108" s="4171"/>
      <c r="AL108" s="1970"/>
      <c r="AM108" s="904"/>
      <c r="AN108" s="618">
        <f t="shared" si="381"/>
        <v>0</v>
      </c>
      <c r="AO108" s="853"/>
      <c r="AP108" s="373">
        <f t="shared" si="382"/>
        <v>0</v>
      </c>
      <c r="AQ108" s="4171"/>
      <c r="AR108" s="1970"/>
      <c r="AS108" s="853"/>
      <c r="AT108" s="43">
        <f t="shared" si="383"/>
        <v>0</v>
      </c>
      <c r="AU108" s="4171"/>
      <c r="AV108" s="1970"/>
      <c r="AW108" s="853"/>
      <c r="AX108" s="43">
        <f t="shared" si="384"/>
        <v>0</v>
      </c>
      <c r="AY108" s="4171"/>
      <c r="AZ108" s="1970"/>
      <c r="BA108" s="904"/>
      <c r="BB108" s="618">
        <f t="shared" si="385"/>
        <v>0</v>
      </c>
      <c r="BC108" s="4187"/>
      <c r="BD108" s="6599">
        <f t="shared" si="386"/>
        <v>0</v>
      </c>
      <c r="BE108" s="853"/>
      <c r="BF108" s="43">
        <f t="shared" si="387"/>
        <v>0</v>
      </c>
      <c r="BG108" s="4590"/>
      <c r="BH108" s="4590"/>
      <c r="BI108" s="4590"/>
      <c r="BJ108" s="4590"/>
    </row>
    <row r="109" spans="1:62" ht="15.75" thickBot="1" x14ac:dyDescent="0.3">
      <c r="A109" s="93"/>
      <c r="B109" s="4182" t="s">
        <v>878</v>
      </c>
      <c r="C109" s="4183" t="s">
        <v>1476</v>
      </c>
      <c r="D109" s="4183"/>
      <c r="E109" s="4171"/>
      <c r="F109" s="1970"/>
      <c r="G109" s="4171"/>
      <c r="H109" s="1970"/>
      <c r="I109" s="853"/>
      <c r="J109" s="373">
        <f t="shared" si="374"/>
        <v>0</v>
      </c>
      <c r="K109" s="4171"/>
      <c r="L109" s="1970"/>
      <c r="M109" s="904"/>
      <c r="N109" s="618">
        <f t="shared" si="388"/>
        <v>0</v>
      </c>
      <c r="O109" s="4171"/>
      <c r="P109" s="1970"/>
      <c r="Q109" s="853"/>
      <c r="R109" s="373">
        <f t="shared" si="375"/>
        <v>0</v>
      </c>
      <c r="S109" s="4171"/>
      <c r="T109" s="1970"/>
      <c r="U109" s="853"/>
      <c r="V109" s="373">
        <f t="shared" si="376"/>
        <v>0</v>
      </c>
      <c r="W109" s="4171"/>
      <c r="X109" s="1970"/>
      <c r="Y109" s="904"/>
      <c r="Z109" s="618">
        <f t="shared" si="377"/>
        <v>0</v>
      </c>
      <c r="AA109" s="4187"/>
      <c r="AB109" s="4181">
        <f t="shared" si="378"/>
        <v>0</v>
      </c>
      <c r="AC109" s="4171"/>
      <c r="AD109" s="1970"/>
      <c r="AE109" s="853"/>
      <c r="AF109" s="373">
        <f t="shared" si="379"/>
        <v>0</v>
      </c>
      <c r="AG109" s="4171"/>
      <c r="AH109" s="1970"/>
      <c r="AI109" s="853"/>
      <c r="AJ109" s="373">
        <f t="shared" si="380"/>
        <v>0</v>
      </c>
      <c r="AK109" s="4171"/>
      <c r="AL109" s="1970"/>
      <c r="AM109" s="904"/>
      <c r="AN109" s="618">
        <f t="shared" si="381"/>
        <v>0</v>
      </c>
      <c r="AO109" s="853"/>
      <c r="AP109" s="373">
        <f t="shared" si="382"/>
        <v>0</v>
      </c>
      <c r="AQ109" s="4171"/>
      <c r="AR109" s="1970"/>
      <c r="AS109" s="853"/>
      <c r="AT109" s="43">
        <f t="shared" si="383"/>
        <v>0</v>
      </c>
      <c r="AU109" s="4171"/>
      <c r="AV109" s="1970"/>
      <c r="AW109" s="853"/>
      <c r="AX109" s="43">
        <f t="shared" si="384"/>
        <v>0</v>
      </c>
      <c r="AY109" s="4171"/>
      <c r="AZ109" s="1970"/>
      <c r="BA109" s="904"/>
      <c r="BB109" s="618">
        <f t="shared" si="385"/>
        <v>0</v>
      </c>
      <c r="BC109" s="4187"/>
      <c r="BD109" s="6599">
        <f t="shared" si="386"/>
        <v>0</v>
      </c>
      <c r="BE109" s="853"/>
      <c r="BF109" s="43">
        <f t="shared" si="387"/>
        <v>0</v>
      </c>
      <c r="BG109" s="4590"/>
      <c r="BH109" s="4590"/>
      <c r="BI109" s="4590"/>
      <c r="BJ109" s="4590"/>
    </row>
    <row r="110" spans="1:62" ht="15.75" thickBot="1" x14ac:dyDescent="0.3">
      <c r="A110" s="93"/>
      <c r="B110" s="4182" t="s">
        <v>878</v>
      </c>
      <c r="C110" s="4183" t="s">
        <v>879</v>
      </c>
      <c r="D110" s="4183"/>
      <c r="E110" s="4171"/>
      <c r="F110" s="1970"/>
      <c r="G110" s="4171"/>
      <c r="H110" s="1970"/>
      <c r="I110" s="853"/>
      <c r="J110" s="373">
        <f t="shared" si="374"/>
        <v>0</v>
      </c>
      <c r="K110" s="4171"/>
      <c r="L110" s="1970"/>
      <c r="M110" s="904"/>
      <c r="N110" s="618">
        <f t="shared" si="388"/>
        <v>0</v>
      </c>
      <c r="O110" s="4171"/>
      <c r="P110" s="1970"/>
      <c r="Q110" s="853"/>
      <c r="R110" s="373">
        <f t="shared" si="375"/>
        <v>0</v>
      </c>
      <c r="S110" s="4171"/>
      <c r="T110" s="1970"/>
      <c r="U110" s="853"/>
      <c r="V110" s="373">
        <f t="shared" si="376"/>
        <v>0</v>
      </c>
      <c r="W110" s="4171"/>
      <c r="X110" s="1970"/>
      <c r="Y110" s="904"/>
      <c r="Z110" s="618">
        <f t="shared" si="377"/>
        <v>0</v>
      </c>
      <c r="AA110" s="4187"/>
      <c r="AB110" s="4181">
        <f t="shared" si="378"/>
        <v>0</v>
      </c>
      <c r="AC110" s="4171"/>
      <c r="AD110" s="1970"/>
      <c r="AE110" s="853"/>
      <c r="AF110" s="373">
        <f t="shared" si="379"/>
        <v>0</v>
      </c>
      <c r="AG110" s="4171"/>
      <c r="AH110" s="1970"/>
      <c r="AI110" s="853"/>
      <c r="AJ110" s="373">
        <f t="shared" si="380"/>
        <v>0</v>
      </c>
      <c r="AK110" s="4171"/>
      <c r="AL110" s="1970"/>
      <c r="AM110" s="904"/>
      <c r="AN110" s="618">
        <f t="shared" si="381"/>
        <v>0</v>
      </c>
      <c r="AO110" s="853"/>
      <c r="AP110" s="373">
        <f t="shared" si="382"/>
        <v>0</v>
      </c>
      <c r="AQ110" s="4171"/>
      <c r="AR110" s="1970"/>
      <c r="AS110" s="853"/>
      <c r="AT110" s="43">
        <f t="shared" si="383"/>
        <v>0</v>
      </c>
      <c r="AU110" s="4171"/>
      <c r="AV110" s="1970"/>
      <c r="AW110" s="853"/>
      <c r="AX110" s="43">
        <f t="shared" si="384"/>
        <v>0</v>
      </c>
      <c r="AY110" s="4171"/>
      <c r="AZ110" s="1970"/>
      <c r="BA110" s="904"/>
      <c r="BB110" s="618">
        <f t="shared" si="385"/>
        <v>0</v>
      </c>
      <c r="BC110" s="4187"/>
      <c r="BD110" s="6599">
        <f t="shared" si="386"/>
        <v>0</v>
      </c>
      <c r="BE110" s="853"/>
      <c r="BF110" s="43">
        <f t="shared" si="387"/>
        <v>0</v>
      </c>
      <c r="BG110" s="4590"/>
      <c r="BH110" s="4590"/>
      <c r="BI110" s="4590"/>
      <c r="BJ110" s="4590"/>
    </row>
    <row r="111" spans="1:62" ht="15.75" thickBot="1" x14ac:dyDescent="0.3">
      <c r="A111" s="93"/>
      <c r="B111" s="4182" t="s">
        <v>878</v>
      </c>
      <c r="C111" s="4183" t="s">
        <v>919</v>
      </c>
      <c r="D111" s="4183"/>
      <c r="E111" s="4171"/>
      <c r="F111" s="1970"/>
      <c r="G111" s="4171"/>
      <c r="H111" s="1970"/>
      <c r="I111" s="853"/>
      <c r="J111" s="373">
        <f t="shared" si="374"/>
        <v>0</v>
      </c>
      <c r="K111" s="4171"/>
      <c r="L111" s="1970"/>
      <c r="M111" s="904"/>
      <c r="N111" s="618">
        <f t="shared" si="388"/>
        <v>0</v>
      </c>
      <c r="O111" s="4171"/>
      <c r="P111" s="1970"/>
      <c r="Q111" s="853"/>
      <c r="R111" s="373">
        <f t="shared" si="375"/>
        <v>0</v>
      </c>
      <c r="S111" s="4171"/>
      <c r="T111" s="1970"/>
      <c r="U111" s="853"/>
      <c r="V111" s="373">
        <f t="shared" si="376"/>
        <v>0</v>
      </c>
      <c r="W111" s="4171"/>
      <c r="X111" s="1970"/>
      <c r="Y111" s="904"/>
      <c r="Z111" s="618">
        <f t="shared" si="377"/>
        <v>0</v>
      </c>
      <c r="AA111" s="4187"/>
      <c r="AB111" s="4181">
        <f t="shared" si="378"/>
        <v>0</v>
      </c>
      <c r="AC111" s="4171"/>
      <c r="AD111" s="1970"/>
      <c r="AE111" s="853"/>
      <c r="AF111" s="373">
        <f t="shared" si="379"/>
        <v>0</v>
      </c>
      <c r="AG111" s="4171"/>
      <c r="AH111" s="1970"/>
      <c r="AI111" s="853"/>
      <c r="AJ111" s="373">
        <f t="shared" si="380"/>
        <v>0</v>
      </c>
      <c r="AK111" s="4171"/>
      <c r="AL111" s="1970"/>
      <c r="AM111" s="904"/>
      <c r="AN111" s="618">
        <f t="shared" si="381"/>
        <v>0</v>
      </c>
      <c r="AO111" s="853"/>
      <c r="AP111" s="373">
        <f t="shared" si="382"/>
        <v>0</v>
      </c>
      <c r="AQ111" s="4171"/>
      <c r="AR111" s="1970"/>
      <c r="AS111" s="853"/>
      <c r="AT111" s="43">
        <f t="shared" si="383"/>
        <v>0</v>
      </c>
      <c r="AU111" s="4171"/>
      <c r="AV111" s="1970"/>
      <c r="AW111" s="853"/>
      <c r="AX111" s="43">
        <f t="shared" si="384"/>
        <v>0</v>
      </c>
      <c r="AY111" s="4171"/>
      <c r="AZ111" s="1970"/>
      <c r="BA111" s="904"/>
      <c r="BB111" s="618">
        <f t="shared" si="385"/>
        <v>0</v>
      </c>
      <c r="BC111" s="4187"/>
      <c r="BD111" s="6599">
        <f t="shared" si="386"/>
        <v>0</v>
      </c>
      <c r="BE111" s="853"/>
      <c r="BF111" s="43">
        <f t="shared" si="387"/>
        <v>0</v>
      </c>
      <c r="BG111" s="4590"/>
      <c r="BH111" s="4590"/>
      <c r="BI111" s="4590"/>
      <c r="BJ111" s="4590"/>
    </row>
    <row r="112" spans="1:62" s="5091" customFormat="1" ht="15.75" thickBot="1" x14ac:dyDescent="0.3">
      <c r="A112" s="93"/>
      <c r="B112" s="5152" t="s">
        <v>878</v>
      </c>
      <c r="C112" s="5149" t="s">
        <v>1986</v>
      </c>
      <c r="D112" s="5149"/>
      <c r="E112" s="5105"/>
      <c r="F112" s="5135">
        <v>681.16</v>
      </c>
      <c r="G112" s="5105"/>
      <c r="H112" s="5135"/>
      <c r="I112" s="5134"/>
      <c r="J112" s="373">
        <f t="shared" si="374"/>
        <v>681.16</v>
      </c>
      <c r="K112" s="5105"/>
      <c r="L112" s="5135"/>
      <c r="M112" s="5133"/>
      <c r="N112" s="618"/>
      <c r="O112" s="5105"/>
      <c r="P112" s="5135"/>
      <c r="Q112" s="5134"/>
      <c r="R112" s="373"/>
      <c r="S112" s="5105"/>
      <c r="T112" s="5135"/>
      <c r="U112" s="5134"/>
      <c r="V112" s="373"/>
      <c r="W112" s="5105"/>
      <c r="X112" s="5135">
        <v>1044.96</v>
      </c>
      <c r="Y112" s="5133"/>
      <c r="Z112" s="618">
        <f t="shared" ref="Z112" si="393">P112+T112+X112</f>
        <v>1044.96</v>
      </c>
      <c r="AA112" s="4187"/>
      <c r="AB112" s="4181">
        <f t="shared" ref="AB112" si="394">N112+Z112</f>
        <v>1044.96</v>
      </c>
      <c r="AC112" s="5105"/>
      <c r="AD112" s="5135"/>
      <c r="AE112" s="5134"/>
      <c r="AF112" s="373">
        <f t="shared" si="379"/>
        <v>1044.96</v>
      </c>
      <c r="AG112" s="5105"/>
      <c r="AH112" s="5135"/>
      <c r="AI112" s="5134"/>
      <c r="AJ112" s="373">
        <f t="shared" si="380"/>
        <v>1044.96</v>
      </c>
      <c r="AK112" s="5105"/>
      <c r="AL112" s="5135"/>
      <c r="AM112" s="5133"/>
      <c r="AN112" s="618">
        <f t="shared" si="381"/>
        <v>0</v>
      </c>
      <c r="AO112" s="5134"/>
      <c r="AP112" s="373">
        <f t="shared" si="382"/>
        <v>1044.96</v>
      </c>
      <c r="AQ112" s="5105"/>
      <c r="AR112" s="5135"/>
      <c r="AS112" s="5134"/>
      <c r="AT112" s="43">
        <f t="shared" si="383"/>
        <v>1044.96</v>
      </c>
      <c r="AU112" s="5105"/>
      <c r="AV112" s="5135"/>
      <c r="AW112" s="5134"/>
      <c r="AX112" s="43">
        <f t="shared" si="384"/>
        <v>1044.96</v>
      </c>
      <c r="AY112" s="5105"/>
      <c r="AZ112" s="5135"/>
      <c r="BA112" s="5133"/>
      <c r="BB112" s="618">
        <f t="shared" si="385"/>
        <v>0</v>
      </c>
      <c r="BC112" s="5132"/>
      <c r="BD112" s="6599">
        <f t="shared" si="386"/>
        <v>0</v>
      </c>
      <c r="BE112" s="853"/>
      <c r="BF112" s="43">
        <f t="shared" si="387"/>
        <v>1044.96</v>
      </c>
      <c r="BG112" s="4590"/>
      <c r="BH112" s="4590"/>
      <c r="BI112" s="4590"/>
      <c r="BJ112" s="4590"/>
    </row>
    <row r="113" spans="1:62" ht="15.75" thickBot="1" x14ac:dyDescent="0.3">
      <c r="A113" s="93"/>
      <c r="B113" s="4184" t="s">
        <v>878</v>
      </c>
      <c r="C113" s="4185" t="s">
        <v>908</v>
      </c>
      <c r="D113" s="4185"/>
      <c r="E113" s="4188"/>
      <c r="F113" s="109">
        <v>185.18</v>
      </c>
      <c r="G113" s="4188"/>
      <c r="H113" s="109">
        <v>165.63</v>
      </c>
      <c r="I113" s="3467"/>
      <c r="J113" s="373">
        <f t="shared" si="374"/>
        <v>350.81</v>
      </c>
      <c r="K113" s="4188"/>
      <c r="L113" s="109"/>
      <c r="M113" s="4189"/>
      <c r="N113" s="618">
        <f t="shared" si="388"/>
        <v>350.81</v>
      </c>
      <c r="O113" s="4188"/>
      <c r="P113" s="109"/>
      <c r="Q113" s="3467"/>
      <c r="R113" s="373">
        <f t="shared" si="375"/>
        <v>350.81</v>
      </c>
      <c r="S113" s="4188"/>
      <c r="T113" s="109"/>
      <c r="U113" s="3467"/>
      <c r="V113" s="373">
        <f t="shared" si="376"/>
        <v>350.81</v>
      </c>
      <c r="W113" s="4188"/>
      <c r="X113" s="109">
        <v>65.48</v>
      </c>
      <c r="Y113" s="4189"/>
      <c r="Z113" s="618">
        <f t="shared" si="377"/>
        <v>65.48</v>
      </c>
      <c r="AA113" s="4190"/>
      <c r="AB113" s="4181">
        <f t="shared" si="378"/>
        <v>416.29</v>
      </c>
      <c r="AC113" s="4188"/>
      <c r="AD113" s="109">
        <v>128.78</v>
      </c>
      <c r="AE113" s="3467"/>
      <c r="AF113" s="373">
        <f t="shared" si="379"/>
        <v>545.07000000000005</v>
      </c>
      <c r="AG113" s="4188"/>
      <c r="AH113" s="109"/>
      <c r="AI113" s="3467"/>
      <c r="AJ113" s="373">
        <f t="shared" si="380"/>
        <v>545.07000000000005</v>
      </c>
      <c r="AK113" s="4188"/>
      <c r="AL113" s="109"/>
      <c r="AM113" s="4189"/>
      <c r="AN113" s="618">
        <f t="shared" si="381"/>
        <v>128.78</v>
      </c>
      <c r="AO113" s="3467"/>
      <c r="AP113" s="373">
        <f t="shared" si="382"/>
        <v>545.07000000000005</v>
      </c>
      <c r="AQ113" s="4188"/>
      <c r="AR113" s="109"/>
      <c r="AS113" s="3467"/>
      <c r="AT113" s="43">
        <f t="shared" si="383"/>
        <v>545.07000000000005</v>
      </c>
      <c r="AU113" s="4188"/>
      <c r="AV113" s="109"/>
      <c r="AW113" s="3467"/>
      <c r="AX113" s="43">
        <f t="shared" si="384"/>
        <v>545.07000000000005</v>
      </c>
      <c r="AY113" s="4188"/>
      <c r="AZ113" s="109"/>
      <c r="BA113" s="4189"/>
      <c r="BB113" s="618">
        <f t="shared" si="385"/>
        <v>0</v>
      </c>
      <c r="BC113" s="4190"/>
      <c r="BD113" s="6599">
        <f t="shared" si="386"/>
        <v>128.78</v>
      </c>
      <c r="BE113" s="853"/>
      <c r="BF113" s="43">
        <f t="shared" si="387"/>
        <v>545.07000000000005</v>
      </c>
      <c r="BG113" s="4590"/>
      <c r="BH113" s="4590"/>
      <c r="BI113" s="4590"/>
      <c r="BJ113" s="4590"/>
    </row>
    <row r="114" spans="1:62" ht="20.25" customHeight="1" thickBot="1" x14ac:dyDescent="0.3">
      <c r="A114" s="93"/>
      <c r="B114" s="4201" t="s">
        <v>1771</v>
      </c>
      <c r="C114" s="4202" t="s">
        <v>907</v>
      </c>
      <c r="D114" s="4202"/>
      <c r="E114" s="4203"/>
      <c r="F114" s="4204"/>
      <c r="G114" s="4203"/>
      <c r="H114" s="7171"/>
      <c r="I114" s="4205"/>
      <c r="J114" s="373">
        <f t="shared" si="374"/>
        <v>0</v>
      </c>
      <c r="K114" s="4203"/>
      <c r="L114" s="4204"/>
      <c r="M114" s="4206"/>
      <c r="N114" s="488">
        <f t="shared" si="388"/>
        <v>0</v>
      </c>
      <c r="O114" s="4203"/>
      <c r="P114" s="4204"/>
      <c r="Q114" s="4205"/>
      <c r="R114" s="373">
        <f t="shared" si="375"/>
        <v>0</v>
      </c>
      <c r="S114" s="4203"/>
      <c r="T114" s="4204"/>
      <c r="U114" s="4205"/>
      <c r="V114" s="373">
        <f t="shared" si="376"/>
        <v>0</v>
      </c>
      <c r="W114" s="4203"/>
      <c r="X114" s="4204"/>
      <c r="Y114" s="4206"/>
      <c r="Z114" s="618">
        <f t="shared" si="377"/>
        <v>0</v>
      </c>
      <c r="AA114" s="4208"/>
      <c r="AB114" s="4181">
        <f t="shared" si="378"/>
        <v>0</v>
      </c>
      <c r="AC114" s="4203"/>
      <c r="AD114" s="4204"/>
      <c r="AE114" s="4205"/>
      <c r="AF114" s="373">
        <f t="shared" si="379"/>
        <v>0</v>
      </c>
      <c r="AG114" s="4203"/>
      <c r="AH114" s="5522"/>
      <c r="AI114" s="4205"/>
      <c r="AJ114" s="373">
        <f t="shared" si="380"/>
        <v>0</v>
      </c>
      <c r="AK114" s="4203"/>
      <c r="AL114" s="5922"/>
      <c r="AM114" s="4206"/>
      <c r="AN114" s="618">
        <f t="shared" si="381"/>
        <v>0</v>
      </c>
      <c r="AO114" s="4205"/>
      <c r="AP114" s="373">
        <f t="shared" si="382"/>
        <v>0</v>
      </c>
      <c r="AQ114" s="4203"/>
      <c r="AR114" s="6078"/>
      <c r="AS114" s="4205"/>
      <c r="AT114" s="43">
        <f t="shared" si="383"/>
        <v>0</v>
      </c>
      <c r="AU114" s="4203"/>
      <c r="AV114" s="6201"/>
      <c r="AW114" s="4205"/>
      <c r="AX114" s="43">
        <f t="shared" si="384"/>
        <v>0</v>
      </c>
      <c r="AY114" s="4203"/>
      <c r="AZ114" s="6406"/>
      <c r="BA114" s="4206"/>
      <c r="BB114" s="618">
        <f t="shared" si="385"/>
        <v>0</v>
      </c>
      <c r="BC114" s="4208"/>
      <c r="BD114" s="6599">
        <f t="shared" si="386"/>
        <v>0</v>
      </c>
      <c r="BE114" s="853"/>
      <c r="BF114" s="43">
        <f t="shared" si="387"/>
        <v>0</v>
      </c>
      <c r="BG114" s="4590"/>
      <c r="BH114" s="4590"/>
      <c r="BI114" s="4590"/>
      <c r="BJ114" s="4590"/>
    </row>
    <row r="115" spans="1:62" ht="20.25" customHeight="1" thickBot="1" x14ac:dyDescent="0.3">
      <c r="A115" s="93"/>
      <c r="B115" s="4210" t="s">
        <v>867</v>
      </c>
      <c r="C115" s="4211" t="s">
        <v>909</v>
      </c>
      <c r="D115" s="4211"/>
      <c r="E115" s="4191"/>
      <c r="F115" s="158"/>
      <c r="G115" s="4191"/>
      <c r="H115" s="158">
        <v>831.61999999999989</v>
      </c>
      <c r="I115" s="3464"/>
      <c r="J115" s="373">
        <f t="shared" si="374"/>
        <v>831.61999999999989</v>
      </c>
      <c r="K115" s="4191"/>
      <c r="L115" s="158"/>
      <c r="M115" s="4192"/>
      <c r="N115" s="488">
        <f t="shared" si="388"/>
        <v>831.61999999999989</v>
      </c>
      <c r="O115" s="4191"/>
      <c r="P115" s="158">
        <v>3323.4799999999987</v>
      </c>
      <c r="Q115" s="3464"/>
      <c r="R115" s="373">
        <f t="shared" si="375"/>
        <v>4155.0999999999985</v>
      </c>
      <c r="S115" s="4191"/>
      <c r="T115" s="158"/>
      <c r="U115" s="3464"/>
      <c r="V115" s="373">
        <f t="shared" si="376"/>
        <v>4155.0999999999985</v>
      </c>
      <c r="W115" s="4191"/>
      <c r="X115" s="158"/>
      <c r="Y115" s="4192"/>
      <c r="Z115" s="618">
        <f t="shared" si="377"/>
        <v>3323.4799999999987</v>
      </c>
      <c r="AA115" s="4193"/>
      <c r="AB115" s="4181">
        <f t="shared" si="378"/>
        <v>4155.0999999999985</v>
      </c>
      <c r="AC115" s="4191"/>
      <c r="AD115" s="158">
        <v>1162.96</v>
      </c>
      <c r="AE115" s="3464"/>
      <c r="AF115" s="373">
        <f t="shared" si="379"/>
        <v>5318.0599999999986</v>
      </c>
      <c r="AG115" s="4191"/>
      <c r="AH115" s="158"/>
      <c r="AI115" s="3464"/>
      <c r="AJ115" s="373">
        <f t="shared" si="380"/>
        <v>5318.0599999999986</v>
      </c>
      <c r="AK115" s="4191"/>
      <c r="AL115" s="158"/>
      <c r="AM115" s="4192"/>
      <c r="AN115" s="618">
        <f t="shared" si="381"/>
        <v>1162.96</v>
      </c>
      <c r="AO115" s="3464"/>
      <c r="AP115" s="373">
        <f t="shared" si="382"/>
        <v>5318.0599999999986</v>
      </c>
      <c r="AQ115" s="4191"/>
      <c r="AR115" s="158">
        <v>1101.2400000000002</v>
      </c>
      <c r="AS115" s="3464"/>
      <c r="AT115" s="43">
        <f t="shared" si="383"/>
        <v>6419.2999999999993</v>
      </c>
      <c r="AU115" s="4191"/>
      <c r="AV115" s="158"/>
      <c r="AW115" s="3464"/>
      <c r="AX115" s="43">
        <f t="shared" si="384"/>
        <v>6419.2999999999993</v>
      </c>
      <c r="AY115" s="4191"/>
      <c r="AZ115" s="158"/>
      <c r="BA115" s="4192"/>
      <c r="BB115" s="618">
        <f t="shared" si="385"/>
        <v>1101.2400000000002</v>
      </c>
      <c r="BC115" s="4193"/>
      <c r="BD115" s="6599">
        <f t="shared" si="386"/>
        <v>2264.2000000000003</v>
      </c>
      <c r="BE115" s="3464"/>
      <c r="BF115" s="43">
        <f t="shared" si="387"/>
        <v>6419.2999999999993</v>
      </c>
      <c r="BG115" s="4590"/>
      <c r="BH115" s="4590"/>
      <c r="BI115" s="4590"/>
      <c r="BJ115" s="4590"/>
    </row>
    <row r="116" spans="1:62" s="4823" customFormat="1" ht="20.25" customHeight="1" thickBot="1" x14ac:dyDescent="0.3">
      <c r="A116" s="93"/>
      <c r="B116" s="4210" t="s">
        <v>867</v>
      </c>
      <c r="C116" s="4202" t="s">
        <v>907</v>
      </c>
      <c r="D116" s="4218"/>
      <c r="E116" s="4196"/>
      <c r="F116" s="1205"/>
      <c r="G116" s="4196"/>
      <c r="H116" s="7172"/>
      <c r="I116" s="4197"/>
      <c r="J116" s="373">
        <f t="shared" si="374"/>
        <v>0</v>
      </c>
      <c r="K116" s="4196"/>
      <c r="L116" s="1205"/>
      <c r="M116" s="4198"/>
      <c r="N116" s="488"/>
      <c r="O116" s="4196"/>
      <c r="P116" s="1205">
        <v>128.74</v>
      </c>
      <c r="Q116" s="4197"/>
      <c r="R116" s="373">
        <f t="shared" si="375"/>
        <v>128.74</v>
      </c>
      <c r="S116" s="4196"/>
      <c r="T116" s="1205"/>
      <c r="U116" s="4197"/>
      <c r="V116" s="373">
        <f t="shared" si="376"/>
        <v>128.74</v>
      </c>
      <c r="W116" s="4196"/>
      <c r="X116" s="1205"/>
      <c r="Y116" s="4198"/>
      <c r="Z116" s="618">
        <f t="shared" si="377"/>
        <v>128.74</v>
      </c>
      <c r="AA116" s="4199"/>
      <c r="AB116" s="4181">
        <f t="shared" si="378"/>
        <v>128.74</v>
      </c>
      <c r="AC116" s="4196"/>
      <c r="AD116" s="1205"/>
      <c r="AE116" s="4197"/>
      <c r="AF116" s="373">
        <f t="shared" si="379"/>
        <v>128.74</v>
      </c>
      <c r="AG116" s="4196"/>
      <c r="AH116" s="5523"/>
      <c r="AI116" s="4197"/>
      <c r="AJ116" s="373">
        <f t="shared" si="380"/>
        <v>128.74</v>
      </c>
      <c r="AK116" s="4196"/>
      <c r="AL116" s="5923"/>
      <c r="AM116" s="4198"/>
      <c r="AN116" s="618">
        <f t="shared" si="381"/>
        <v>0</v>
      </c>
      <c r="AO116" s="4197"/>
      <c r="AP116" s="373">
        <f t="shared" si="382"/>
        <v>128.74</v>
      </c>
      <c r="AQ116" s="4196"/>
      <c r="AR116" s="6079"/>
      <c r="AS116" s="4197"/>
      <c r="AT116" s="43">
        <f t="shared" si="383"/>
        <v>128.74</v>
      </c>
      <c r="AU116" s="4196"/>
      <c r="AV116" s="6202"/>
      <c r="AW116" s="4197"/>
      <c r="AX116" s="43">
        <f t="shared" si="384"/>
        <v>128.74</v>
      </c>
      <c r="AY116" s="4196"/>
      <c r="AZ116" s="6407"/>
      <c r="BA116" s="4198"/>
      <c r="BB116" s="618">
        <f t="shared" si="385"/>
        <v>0</v>
      </c>
      <c r="BC116" s="4199"/>
      <c r="BD116" s="6599">
        <f t="shared" si="386"/>
        <v>0</v>
      </c>
      <c r="BE116" s="3464"/>
      <c r="BF116" s="43">
        <f t="shared" si="387"/>
        <v>128.74</v>
      </c>
      <c r="BG116" s="4590"/>
      <c r="BH116" s="4590"/>
      <c r="BI116" s="4590"/>
      <c r="BJ116" s="4590"/>
    </row>
    <row r="117" spans="1:62" ht="15.75" thickBot="1" x14ac:dyDescent="0.3">
      <c r="A117" s="93"/>
      <c r="B117" s="4182" t="s">
        <v>867</v>
      </c>
      <c r="C117" s="4183" t="s">
        <v>1153</v>
      </c>
      <c r="D117" s="4212"/>
      <c r="E117" s="4171"/>
      <c r="F117" s="1970"/>
      <c r="G117" s="4171"/>
      <c r="H117" s="1970">
        <v>257.89999999999998</v>
      </c>
      <c r="I117" s="853"/>
      <c r="J117" s="373">
        <f t="shared" si="374"/>
        <v>257.89999999999998</v>
      </c>
      <c r="K117" s="4171"/>
      <c r="L117" s="1970"/>
      <c r="M117" s="904"/>
      <c r="N117" s="488">
        <f t="shared" si="388"/>
        <v>257.89999999999998</v>
      </c>
      <c r="O117" s="4171"/>
      <c r="P117" s="1970">
        <v>1181.3999999999999</v>
      </c>
      <c r="Q117" s="853"/>
      <c r="R117" s="373">
        <f t="shared" si="375"/>
        <v>1439.2999999999997</v>
      </c>
      <c r="S117" s="4171"/>
      <c r="T117" s="1970"/>
      <c r="U117" s="853"/>
      <c r="V117" s="373">
        <f t="shared" si="376"/>
        <v>1439.2999999999997</v>
      </c>
      <c r="W117" s="4171"/>
      <c r="X117" s="1970"/>
      <c r="Y117" s="904"/>
      <c r="Z117" s="618">
        <f t="shared" si="377"/>
        <v>1181.3999999999999</v>
      </c>
      <c r="AA117" s="4187"/>
      <c r="AB117" s="4181">
        <f t="shared" si="378"/>
        <v>1439.2999999999997</v>
      </c>
      <c r="AC117" s="4171"/>
      <c r="AD117" s="1970">
        <v>301.43</v>
      </c>
      <c r="AE117" s="853"/>
      <c r="AF117" s="373">
        <f t="shared" si="379"/>
        <v>1740.7299999999998</v>
      </c>
      <c r="AG117" s="4171"/>
      <c r="AH117" s="1970"/>
      <c r="AI117" s="853"/>
      <c r="AJ117" s="373">
        <f t="shared" si="380"/>
        <v>1740.7299999999998</v>
      </c>
      <c r="AK117" s="4171"/>
      <c r="AL117" s="1970"/>
      <c r="AM117" s="904"/>
      <c r="AN117" s="618">
        <f t="shared" si="381"/>
        <v>301.43</v>
      </c>
      <c r="AO117" s="853"/>
      <c r="AP117" s="373">
        <f t="shared" si="382"/>
        <v>1740.7299999999998</v>
      </c>
      <c r="AQ117" s="4171"/>
      <c r="AR117" s="1970">
        <v>382.9</v>
      </c>
      <c r="AS117" s="853"/>
      <c r="AT117" s="43">
        <f t="shared" si="383"/>
        <v>2123.6299999999997</v>
      </c>
      <c r="AU117" s="4171"/>
      <c r="AV117" s="1970"/>
      <c r="AW117" s="853"/>
      <c r="AX117" s="43">
        <f t="shared" si="384"/>
        <v>2123.6299999999997</v>
      </c>
      <c r="AY117" s="4171"/>
      <c r="AZ117" s="1970"/>
      <c r="BA117" s="904"/>
      <c r="BB117" s="618">
        <f t="shared" si="385"/>
        <v>382.9</v>
      </c>
      <c r="BC117" s="4187"/>
      <c r="BD117" s="6599">
        <f t="shared" si="386"/>
        <v>684.32999999999993</v>
      </c>
      <c r="BE117" s="3464"/>
      <c r="BF117" s="43">
        <f t="shared" si="387"/>
        <v>2123.6299999999997</v>
      </c>
      <c r="BG117" s="4590"/>
      <c r="BH117" s="4590"/>
      <c r="BI117" s="4590"/>
      <c r="BJ117" s="4590"/>
    </row>
    <row r="118" spans="1:62" ht="15.75" thickBot="1" x14ac:dyDescent="0.3">
      <c r="A118" s="93"/>
      <c r="B118" s="4182" t="s">
        <v>867</v>
      </c>
      <c r="C118" s="4183" t="s">
        <v>884</v>
      </c>
      <c r="D118" s="4212"/>
      <c r="E118" s="4171"/>
      <c r="F118" s="1970"/>
      <c r="G118" s="4171"/>
      <c r="H118" s="1970"/>
      <c r="I118" s="853"/>
      <c r="J118" s="373">
        <f t="shared" si="374"/>
        <v>0</v>
      </c>
      <c r="K118" s="4171"/>
      <c r="L118" s="1970"/>
      <c r="M118" s="904"/>
      <c r="N118" s="488">
        <f t="shared" si="388"/>
        <v>0</v>
      </c>
      <c r="O118" s="4171"/>
      <c r="P118" s="1970"/>
      <c r="Q118" s="853"/>
      <c r="R118" s="373">
        <f t="shared" si="375"/>
        <v>0</v>
      </c>
      <c r="S118" s="4171"/>
      <c r="T118" s="1970"/>
      <c r="U118" s="853"/>
      <c r="V118" s="373">
        <f t="shared" si="376"/>
        <v>0</v>
      </c>
      <c r="W118" s="4171"/>
      <c r="X118" s="1970"/>
      <c r="Y118" s="904"/>
      <c r="Z118" s="618">
        <f t="shared" si="377"/>
        <v>0</v>
      </c>
      <c r="AA118" s="4187"/>
      <c r="AB118" s="4181">
        <f t="shared" si="378"/>
        <v>0</v>
      </c>
      <c r="AC118" s="4171"/>
      <c r="AD118" s="1970"/>
      <c r="AE118" s="853"/>
      <c r="AF118" s="373">
        <f t="shared" si="379"/>
        <v>0</v>
      </c>
      <c r="AG118" s="4171"/>
      <c r="AH118" s="1970"/>
      <c r="AI118" s="853"/>
      <c r="AJ118" s="373">
        <f t="shared" si="380"/>
        <v>0</v>
      </c>
      <c r="AK118" s="4171"/>
      <c r="AL118" s="1970"/>
      <c r="AM118" s="904"/>
      <c r="AN118" s="618">
        <f t="shared" si="381"/>
        <v>0</v>
      </c>
      <c r="AO118" s="853"/>
      <c r="AP118" s="373">
        <f t="shared" si="382"/>
        <v>0</v>
      </c>
      <c r="AQ118" s="4171"/>
      <c r="AR118" s="1970"/>
      <c r="AS118" s="853"/>
      <c r="AT118" s="43">
        <f t="shared" si="383"/>
        <v>0</v>
      </c>
      <c r="AU118" s="4171"/>
      <c r="AV118" s="1970"/>
      <c r="AW118" s="853"/>
      <c r="AX118" s="43">
        <f t="shared" si="384"/>
        <v>0</v>
      </c>
      <c r="AY118" s="4171"/>
      <c r="AZ118" s="1970"/>
      <c r="BA118" s="904"/>
      <c r="BB118" s="618">
        <f t="shared" si="385"/>
        <v>0</v>
      </c>
      <c r="BC118" s="4187"/>
      <c r="BD118" s="6599">
        <f t="shared" si="386"/>
        <v>0</v>
      </c>
      <c r="BE118" s="3464"/>
      <c r="BF118" s="43">
        <f t="shared" si="387"/>
        <v>0</v>
      </c>
      <c r="BG118" s="4590"/>
      <c r="BH118" s="4590"/>
      <c r="BI118" s="4590"/>
      <c r="BJ118" s="4590"/>
    </row>
    <row r="119" spans="1:62" s="4823" customFormat="1" ht="15.75" thickBot="1" x14ac:dyDescent="0.3">
      <c r="A119" s="93"/>
      <c r="B119" s="4182" t="s">
        <v>867</v>
      </c>
      <c r="C119" s="4222" t="s">
        <v>1956</v>
      </c>
      <c r="D119" s="4221"/>
      <c r="E119" s="4016"/>
      <c r="F119" s="4825"/>
      <c r="G119" s="4016"/>
      <c r="H119" s="7173"/>
      <c r="I119" s="3465"/>
      <c r="J119" s="373">
        <f t="shared" si="374"/>
        <v>0</v>
      </c>
      <c r="K119" s="4016"/>
      <c r="L119" s="4825"/>
      <c r="M119" s="3420"/>
      <c r="N119" s="488"/>
      <c r="O119" s="4016"/>
      <c r="P119" s="4825">
        <v>39.85</v>
      </c>
      <c r="Q119" s="3465"/>
      <c r="R119" s="373">
        <f t="shared" si="375"/>
        <v>39.85</v>
      </c>
      <c r="S119" s="4016"/>
      <c r="T119" s="4902">
        <v>38.299999999999997</v>
      </c>
      <c r="U119" s="3465"/>
      <c r="V119" s="373">
        <f t="shared" si="376"/>
        <v>78.150000000000006</v>
      </c>
      <c r="W119" s="4016"/>
      <c r="X119" s="5032"/>
      <c r="Y119" s="3420"/>
      <c r="Z119" s="618">
        <f t="shared" si="377"/>
        <v>78.150000000000006</v>
      </c>
      <c r="AA119" s="4224"/>
      <c r="AB119" s="4181">
        <f t="shared" si="378"/>
        <v>78.150000000000006</v>
      </c>
      <c r="AC119" s="4016"/>
      <c r="AD119" s="5345"/>
      <c r="AE119" s="3465"/>
      <c r="AF119" s="373">
        <f t="shared" si="379"/>
        <v>78.150000000000006</v>
      </c>
      <c r="AG119" s="4016"/>
      <c r="AH119" s="5524"/>
      <c r="AI119" s="3465"/>
      <c r="AJ119" s="373">
        <f t="shared" si="380"/>
        <v>78.150000000000006</v>
      </c>
      <c r="AK119" s="4016"/>
      <c r="AL119" s="5918"/>
      <c r="AM119" s="3420"/>
      <c r="AN119" s="618">
        <f t="shared" si="381"/>
        <v>0</v>
      </c>
      <c r="AO119" s="3465"/>
      <c r="AP119" s="373">
        <f t="shared" si="382"/>
        <v>78.150000000000006</v>
      </c>
      <c r="AQ119" s="4016"/>
      <c r="AR119" s="6073"/>
      <c r="AS119" s="3465"/>
      <c r="AT119" s="43">
        <f t="shared" si="383"/>
        <v>78.150000000000006</v>
      </c>
      <c r="AU119" s="4016"/>
      <c r="AV119" s="6203"/>
      <c r="AW119" s="3465"/>
      <c r="AX119" s="43">
        <f t="shared" si="384"/>
        <v>78.150000000000006</v>
      </c>
      <c r="AY119" s="4016"/>
      <c r="AZ119" s="6410"/>
      <c r="BA119" s="3420"/>
      <c r="BB119" s="618">
        <f t="shared" si="385"/>
        <v>0</v>
      </c>
      <c r="BC119" s="4224"/>
      <c r="BD119" s="6599">
        <f t="shared" si="386"/>
        <v>0</v>
      </c>
      <c r="BE119" s="3464"/>
      <c r="BF119" s="43">
        <f t="shared" si="387"/>
        <v>78.150000000000006</v>
      </c>
      <c r="BG119" s="4590"/>
      <c r="BH119" s="4590"/>
      <c r="BI119" s="4590"/>
      <c r="BJ119" s="4590"/>
    </row>
    <row r="120" spans="1:62" ht="20.25" customHeight="1" thickBot="1" x14ac:dyDescent="0.3">
      <c r="A120" s="93"/>
      <c r="B120" s="4213" t="s">
        <v>867</v>
      </c>
      <c r="C120" s="4212" t="s">
        <v>952</v>
      </c>
      <c r="D120" s="4212"/>
      <c r="E120" s="4171"/>
      <c r="F120" s="1970">
        <v>371.02</v>
      </c>
      <c r="G120" s="4171"/>
      <c r="H120" s="1970">
        <v>246.92000000000002</v>
      </c>
      <c r="I120" s="853"/>
      <c r="J120" s="373">
        <f t="shared" si="374"/>
        <v>617.94000000000005</v>
      </c>
      <c r="K120" s="4171"/>
      <c r="L120" s="1970"/>
      <c r="M120" s="904"/>
      <c r="N120" s="488">
        <f t="shared" si="388"/>
        <v>617.94000000000005</v>
      </c>
      <c r="O120" s="4171"/>
      <c r="P120" s="1970"/>
      <c r="Q120" s="853"/>
      <c r="R120" s="373">
        <f t="shared" si="375"/>
        <v>617.94000000000005</v>
      </c>
      <c r="S120" s="4171"/>
      <c r="T120" s="1970"/>
      <c r="U120" s="853"/>
      <c r="V120" s="373">
        <f t="shared" si="376"/>
        <v>617.94000000000005</v>
      </c>
      <c r="W120" s="4171"/>
      <c r="X120" s="1970"/>
      <c r="Y120" s="904"/>
      <c r="Z120" s="618">
        <f t="shared" si="377"/>
        <v>0</v>
      </c>
      <c r="AA120" s="4187"/>
      <c r="AB120" s="4181">
        <f t="shared" si="378"/>
        <v>617.94000000000005</v>
      </c>
      <c r="AC120" s="4171"/>
      <c r="AD120" s="1970"/>
      <c r="AE120" s="853"/>
      <c r="AF120" s="373">
        <f t="shared" si="379"/>
        <v>617.94000000000005</v>
      </c>
      <c r="AG120" s="4171"/>
      <c r="AH120" s="1970">
        <v>371.79999999999995</v>
      </c>
      <c r="AI120" s="853"/>
      <c r="AJ120" s="373">
        <f t="shared" si="380"/>
        <v>989.74</v>
      </c>
      <c r="AK120" s="4171"/>
      <c r="AL120" s="1970"/>
      <c r="AM120" s="904"/>
      <c r="AN120" s="618">
        <f t="shared" si="381"/>
        <v>371.79999999999995</v>
      </c>
      <c r="AO120" s="853"/>
      <c r="AP120" s="373">
        <f t="shared" si="382"/>
        <v>989.74</v>
      </c>
      <c r="AQ120" s="4171"/>
      <c r="AR120" s="1970"/>
      <c r="AS120" s="853"/>
      <c r="AT120" s="43">
        <f t="shared" si="383"/>
        <v>989.74</v>
      </c>
      <c r="AU120" s="4171"/>
      <c r="AV120" s="1970"/>
      <c r="AW120" s="853"/>
      <c r="AX120" s="43">
        <f t="shared" si="384"/>
        <v>989.74</v>
      </c>
      <c r="AY120" s="4171"/>
      <c r="AZ120" s="1970"/>
      <c r="BA120" s="904"/>
      <c r="BB120" s="618">
        <f t="shared" si="385"/>
        <v>0</v>
      </c>
      <c r="BC120" s="4187"/>
      <c r="BD120" s="6599">
        <f t="shared" si="386"/>
        <v>371.79999999999995</v>
      </c>
      <c r="BE120" s="853"/>
      <c r="BF120" s="43">
        <f t="shared" si="387"/>
        <v>989.74</v>
      </c>
      <c r="BG120" s="4590"/>
      <c r="BH120" s="4590"/>
      <c r="BI120" s="4590"/>
      <c r="BJ120" s="4590"/>
    </row>
    <row r="121" spans="1:62" ht="15.75" thickBot="1" x14ac:dyDescent="0.3">
      <c r="A121" s="93"/>
      <c r="B121" s="4213" t="s">
        <v>867</v>
      </c>
      <c r="C121" s="4212" t="s">
        <v>1476</v>
      </c>
      <c r="D121" s="4212"/>
      <c r="E121" s="4171"/>
      <c r="F121" s="1970"/>
      <c r="G121" s="4171"/>
      <c r="H121" s="1970"/>
      <c r="I121" s="853"/>
      <c r="J121" s="373">
        <f t="shared" si="374"/>
        <v>0</v>
      </c>
      <c r="K121" s="4171"/>
      <c r="L121" s="1970"/>
      <c r="M121" s="904"/>
      <c r="N121" s="488">
        <f t="shared" si="388"/>
        <v>0</v>
      </c>
      <c r="O121" s="4171"/>
      <c r="P121" s="1970">
        <v>291.84000000000003</v>
      </c>
      <c r="Q121" s="853"/>
      <c r="R121" s="373">
        <f t="shared" si="375"/>
        <v>291.84000000000003</v>
      </c>
      <c r="S121" s="4171"/>
      <c r="T121" s="1970"/>
      <c r="U121" s="853"/>
      <c r="V121" s="373">
        <f t="shared" si="376"/>
        <v>291.84000000000003</v>
      </c>
      <c r="W121" s="4171"/>
      <c r="X121" s="1970"/>
      <c r="Y121" s="904"/>
      <c r="Z121" s="618">
        <f t="shared" si="377"/>
        <v>291.84000000000003</v>
      </c>
      <c r="AA121" s="4187"/>
      <c r="AB121" s="4181">
        <f t="shared" si="378"/>
        <v>291.84000000000003</v>
      </c>
      <c r="AC121" s="4171"/>
      <c r="AD121" s="1970"/>
      <c r="AE121" s="853"/>
      <c r="AF121" s="373">
        <f t="shared" si="379"/>
        <v>291.84000000000003</v>
      </c>
      <c r="AG121" s="4171"/>
      <c r="AH121" s="1970"/>
      <c r="AI121" s="853"/>
      <c r="AJ121" s="373">
        <f t="shared" si="380"/>
        <v>291.84000000000003</v>
      </c>
      <c r="AK121" s="4171"/>
      <c r="AL121" s="1970"/>
      <c r="AM121" s="904"/>
      <c r="AN121" s="618">
        <f t="shared" si="381"/>
        <v>0</v>
      </c>
      <c r="AO121" s="853"/>
      <c r="AP121" s="373">
        <f t="shared" si="382"/>
        <v>291.84000000000003</v>
      </c>
      <c r="AQ121" s="4171"/>
      <c r="AR121" s="1970"/>
      <c r="AS121" s="853"/>
      <c r="AT121" s="43">
        <f t="shared" si="383"/>
        <v>291.84000000000003</v>
      </c>
      <c r="AU121" s="4171"/>
      <c r="AV121" s="1970"/>
      <c r="AW121" s="853"/>
      <c r="AX121" s="43">
        <f t="shared" si="384"/>
        <v>291.84000000000003</v>
      </c>
      <c r="AY121" s="4171"/>
      <c r="AZ121" s="1970"/>
      <c r="BA121" s="904"/>
      <c r="BB121" s="618">
        <f t="shared" si="385"/>
        <v>0</v>
      </c>
      <c r="BC121" s="4187"/>
      <c r="BD121" s="6599">
        <f t="shared" si="386"/>
        <v>0</v>
      </c>
      <c r="BE121" s="853"/>
      <c r="BF121" s="43">
        <f t="shared" si="387"/>
        <v>291.84000000000003</v>
      </c>
      <c r="BG121" s="4590"/>
      <c r="BH121" s="4590"/>
      <c r="BI121" s="4590"/>
      <c r="BJ121" s="4590"/>
    </row>
    <row r="122" spans="1:62" s="4823" customFormat="1" ht="15.75" thickBot="1" x14ac:dyDescent="0.3">
      <c r="A122" s="93"/>
      <c r="B122" s="4213" t="s">
        <v>867</v>
      </c>
      <c r="C122" s="4211" t="s">
        <v>879</v>
      </c>
      <c r="D122" s="4846"/>
      <c r="E122" s="4847"/>
      <c r="F122" s="1218"/>
      <c r="G122" s="4847"/>
      <c r="H122" s="1218"/>
      <c r="I122" s="4848"/>
      <c r="J122" s="373">
        <f t="shared" si="374"/>
        <v>0</v>
      </c>
      <c r="K122" s="4847"/>
      <c r="L122" s="1218"/>
      <c r="M122" s="4849"/>
      <c r="N122" s="488"/>
      <c r="O122" s="4847"/>
      <c r="P122" s="1218">
        <v>30.73</v>
      </c>
      <c r="Q122" s="4848"/>
      <c r="R122" s="373">
        <f t="shared" si="375"/>
        <v>30.73</v>
      </c>
      <c r="S122" s="4847"/>
      <c r="T122" s="1218"/>
      <c r="U122" s="4848"/>
      <c r="V122" s="373">
        <f t="shared" si="376"/>
        <v>30.73</v>
      </c>
      <c r="W122" s="4847"/>
      <c r="X122" s="1218"/>
      <c r="Y122" s="4849"/>
      <c r="Z122" s="618">
        <f t="shared" si="377"/>
        <v>30.73</v>
      </c>
      <c r="AA122" s="4850"/>
      <c r="AB122" s="4181">
        <f t="shared" si="378"/>
        <v>30.73</v>
      </c>
      <c r="AC122" s="4847"/>
      <c r="AD122" s="1218"/>
      <c r="AE122" s="4848"/>
      <c r="AF122" s="373">
        <f t="shared" si="379"/>
        <v>30.73</v>
      </c>
      <c r="AG122" s="4847"/>
      <c r="AH122" s="1218"/>
      <c r="AI122" s="4848"/>
      <c r="AJ122" s="373">
        <f t="shared" si="380"/>
        <v>30.73</v>
      </c>
      <c r="AK122" s="4847"/>
      <c r="AL122" s="1218"/>
      <c r="AM122" s="4849"/>
      <c r="AN122" s="618">
        <f t="shared" si="381"/>
        <v>0</v>
      </c>
      <c r="AO122" s="4848"/>
      <c r="AP122" s="373">
        <f t="shared" si="382"/>
        <v>30.73</v>
      </c>
      <c r="AQ122" s="4847"/>
      <c r="AR122" s="1218"/>
      <c r="AS122" s="4848"/>
      <c r="AT122" s="43">
        <f t="shared" si="383"/>
        <v>30.73</v>
      </c>
      <c r="AU122" s="4847"/>
      <c r="AV122" s="1218"/>
      <c r="AW122" s="4848"/>
      <c r="AX122" s="43">
        <f t="shared" si="384"/>
        <v>30.73</v>
      </c>
      <c r="AY122" s="4847"/>
      <c r="AZ122" s="1218"/>
      <c r="BA122" s="4849"/>
      <c r="BB122" s="618">
        <f t="shared" si="385"/>
        <v>0</v>
      </c>
      <c r="BC122" s="4850"/>
      <c r="BD122" s="6599">
        <f t="shared" si="386"/>
        <v>0</v>
      </c>
      <c r="BE122" s="853"/>
      <c r="BF122" s="43">
        <f t="shared" si="387"/>
        <v>30.73</v>
      </c>
      <c r="BG122" s="4590"/>
      <c r="BH122" s="4590"/>
      <c r="BI122" s="4590"/>
      <c r="BJ122" s="4590"/>
    </row>
    <row r="123" spans="1:62" ht="15.75" thickBot="1" x14ac:dyDescent="0.3">
      <c r="A123" s="93"/>
      <c r="B123" s="4214" t="s">
        <v>867</v>
      </c>
      <c r="C123" s="4215" t="s">
        <v>1542</v>
      </c>
      <c r="D123" s="4215"/>
      <c r="E123" s="4188"/>
      <c r="F123" s="109"/>
      <c r="G123" s="4188"/>
      <c r="H123" s="109">
        <v>189.62</v>
      </c>
      <c r="I123" s="3467"/>
      <c r="J123" s="373">
        <f t="shared" si="374"/>
        <v>189.62</v>
      </c>
      <c r="K123" s="4188"/>
      <c r="L123" s="109"/>
      <c r="M123" s="4189"/>
      <c r="N123" s="488">
        <f t="shared" si="388"/>
        <v>189.62</v>
      </c>
      <c r="O123" s="4188"/>
      <c r="P123" s="109">
        <v>374.72</v>
      </c>
      <c r="Q123" s="3467"/>
      <c r="R123" s="373">
        <f t="shared" si="375"/>
        <v>564.34</v>
      </c>
      <c r="S123" s="4188"/>
      <c r="T123" s="109"/>
      <c r="U123" s="3467"/>
      <c r="V123" s="373">
        <f t="shared" si="376"/>
        <v>564.34</v>
      </c>
      <c r="W123" s="4188"/>
      <c r="X123" s="109"/>
      <c r="Y123" s="4189"/>
      <c r="Z123" s="618">
        <f t="shared" si="377"/>
        <v>374.72</v>
      </c>
      <c r="AA123" s="4190"/>
      <c r="AB123" s="4181">
        <f t="shared" si="378"/>
        <v>564.34</v>
      </c>
      <c r="AC123" s="4188"/>
      <c r="AD123" s="109">
        <v>433.38</v>
      </c>
      <c r="AE123" s="3467"/>
      <c r="AF123" s="373">
        <f t="shared" si="379"/>
        <v>997.72</v>
      </c>
      <c r="AG123" s="4188"/>
      <c r="AH123" s="109"/>
      <c r="AI123" s="3467"/>
      <c r="AJ123" s="373">
        <f t="shared" si="380"/>
        <v>997.72</v>
      </c>
      <c r="AK123" s="4188"/>
      <c r="AL123" s="109"/>
      <c r="AM123" s="4189"/>
      <c r="AN123" s="618">
        <f t="shared" si="381"/>
        <v>433.38</v>
      </c>
      <c r="AO123" s="3467"/>
      <c r="AP123" s="373">
        <f t="shared" si="382"/>
        <v>997.72</v>
      </c>
      <c r="AQ123" s="4188"/>
      <c r="AR123" s="109">
        <v>63.1</v>
      </c>
      <c r="AS123" s="3467"/>
      <c r="AT123" s="43">
        <f t="shared" si="383"/>
        <v>1060.82</v>
      </c>
      <c r="AU123" s="4188"/>
      <c r="AV123" s="109"/>
      <c r="AW123" s="3467"/>
      <c r="AX123" s="43">
        <f t="shared" si="384"/>
        <v>1060.82</v>
      </c>
      <c r="AY123" s="4188"/>
      <c r="AZ123" s="109"/>
      <c r="BA123" s="4189"/>
      <c r="BB123" s="618">
        <f t="shared" si="385"/>
        <v>63.1</v>
      </c>
      <c r="BC123" s="4190"/>
      <c r="BD123" s="6599">
        <f t="shared" si="386"/>
        <v>496.48</v>
      </c>
      <c r="BE123" s="853"/>
      <c r="BF123" s="43">
        <f t="shared" si="387"/>
        <v>1060.82</v>
      </c>
      <c r="BG123" s="4590"/>
      <c r="BH123" s="4590"/>
      <c r="BI123" s="4590"/>
      <c r="BJ123" s="4590"/>
    </row>
    <row r="124" spans="1:62" s="5630" customFormat="1" ht="15.75" thickBot="1" x14ac:dyDescent="0.3">
      <c r="A124" s="93"/>
      <c r="B124" s="4213" t="s">
        <v>2009</v>
      </c>
      <c r="C124" s="4212" t="s">
        <v>2024</v>
      </c>
      <c r="D124" s="4266"/>
      <c r="E124" s="4203"/>
      <c r="F124" s="5631"/>
      <c r="G124" s="4203"/>
      <c r="H124" s="7171"/>
      <c r="I124" s="4205"/>
      <c r="J124" s="373">
        <f t="shared" si="374"/>
        <v>0</v>
      </c>
      <c r="K124" s="4203"/>
      <c r="L124" s="5631"/>
      <c r="M124" s="4206"/>
      <c r="N124" s="488"/>
      <c r="O124" s="4203"/>
      <c r="P124" s="5631"/>
      <c r="Q124" s="4205"/>
      <c r="R124" s="373"/>
      <c r="S124" s="4203"/>
      <c r="T124" s="5631"/>
      <c r="U124" s="4205"/>
      <c r="V124" s="373"/>
      <c r="W124" s="4203"/>
      <c r="X124" s="5631"/>
      <c r="Y124" s="4206"/>
      <c r="Z124" s="618"/>
      <c r="AA124" s="4208"/>
      <c r="AB124" s="4181"/>
      <c r="AC124" s="4203"/>
      <c r="AD124" s="5631"/>
      <c r="AE124" s="4205"/>
      <c r="AF124" s="373"/>
      <c r="AG124" s="4203"/>
      <c r="AH124" s="5631">
        <v>119.82</v>
      </c>
      <c r="AI124" s="4205"/>
      <c r="AJ124" s="373">
        <f t="shared" si="380"/>
        <v>119.82</v>
      </c>
      <c r="AK124" s="4203"/>
      <c r="AL124" s="5922"/>
      <c r="AM124" s="4206"/>
      <c r="AN124" s="618">
        <f t="shared" si="381"/>
        <v>119.82</v>
      </c>
      <c r="AO124" s="4205"/>
      <c r="AP124" s="373">
        <f t="shared" si="382"/>
        <v>119.82</v>
      </c>
      <c r="AQ124" s="4203"/>
      <c r="AR124" s="6078"/>
      <c r="AS124" s="4205"/>
      <c r="AT124" s="43">
        <f t="shared" si="383"/>
        <v>119.82</v>
      </c>
      <c r="AU124" s="4203"/>
      <c r="AV124" s="6201">
        <v>394.28</v>
      </c>
      <c r="AW124" s="4205"/>
      <c r="AX124" s="43">
        <f t="shared" si="384"/>
        <v>514.09999999999991</v>
      </c>
      <c r="AY124" s="4203"/>
      <c r="AZ124" s="6406"/>
      <c r="BA124" s="4206"/>
      <c r="BB124" s="618">
        <f t="shared" si="385"/>
        <v>394.28</v>
      </c>
      <c r="BC124" s="4208"/>
      <c r="BD124" s="6599">
        <f t="shared" si="386"/>
        <v>514.09999999999991</v>
      </c>
      <c r="BE124" s="853"/>
      <c r="BF124" s="43">
        <f t="shared" si="387"/>
        <v>514.09999999999991</v>
      </c>
      <c r="BG124" s="4590"/>
      <c r="BH124" s="4590"/>
      <c r="BI124" s="4590"/>
      <c r="BJ124" s="4590"/>
    </row>
    <row r="125" spans="1:62" s="5630" customFormat="1" ht="15.75" thickBot="1" x14ac:dyDescent="0.3">
      <c r="A125" s="93"/>
      <c r="B125" s="4213" t="s">
        <v>2009</v>
      </c>
      <c r="C125" s="4211" t="s">
        <v>2025</v>
      </c>
      <c r="D125" s="4266"/>
      <c r="E125" s="4203"/>
      <c r="F125" s="5631"/>
      <c r="G125" s="4203"/>
      <c r="H125" s="7171">
        <v>477.29</v>
      </c>
      <c r="I125" s="4205"/>
      <c r="J125" s="373">
        <f t="shared" si="374"/>
        <v>477.29</v>
      </c>
      <c r="K125" s="4203"/>
      <c r="L125" s="5631"/>
      <c r="M125" s="4206"/>
      <c r="N125" s="488"/>
      <c r="O125" s="4203"/>
      <c r="P125" s="5631"/>
      <c r="Q125" s="4205"/>
      <c r="R125" s="373"/>
      <c r="S125" s="4203"/>
      <c r="T125" s="5631"/>
      <c r="U125" s="4205"/>
      <c r="V125" s="373"/>
      <c r="W125" s="4203"/>
      <c r="X125" s="5631"/>
      <c r="Y125" s="4206"/>
      <c r="Z125" s="618"/>
      <c r="AA125" s="4208"/>
      <c r="AB125" s="4181"/>
      <c r="AC125" s="4203"/>
      <c r="AD125" s="5631"/>
      <c r="AE125" s="4205"/>
      <c r="AF125" s="373"/>
      <c r="AG125" s="4203"/>
      <c r="AH125" s="5631">
        <v>40.25</v>
      </c>
      <c r="AI125" s="4205"/>
      <c r="AJ125" s="373">
        <f t="shared" si="380"/>
        <v>40.25</v>
      </c>
      <c r="AK125" s="4203"/>
      <c r="AL125" s="5922"/>
      <c r="AM125" s="4206"/>
      <c r="AN125" s="618">
        <f t="shared" si="381"/>
        <v>40.25</v>
      </c>
      <c r="AO125" s="4205"/>
      <c r="AP125" s="373">
        <f t="shared" si="382"/>
        <v>40.25</v>
      </c>
      <c r="AQ125" s="4203"/>
      <c r="AR125" s="6078"/>
      <c r="AS125" s="4205"/>
      <c r="AT125" s="43">
        <f t="shared" si="383"/>
        <v>40.25</v>
      </c>
      <c r="AU125" s="4203"/>
      <c r="AV125" s="6201"/>
      <c r="AW125" s="4205"/>
      <c r="AX125" s="43">
        <f t="shared" si="384"/>
        <v>40.25</v>
      </c>
      <c r="AY125" s="4203"/>
      <c r="AZ125" s="6406">
        <v>391.16</v>
      </c>
      <c r="BA125" s="4206"/>
      <c r="BB125" s="618">
        <f t="shared" si="385"/>
        <v>391.16</v>
      </c>
      <c r="BC125" s="4208"/>
      <c r="BD125" s="6599">
        <f t="shared" si="386"/>
        <v>431.41</v>
      </c>
      <c r="BE125" s="853"/>
      <c r="BF125" s="43">
        <f t="shared" si="387"/>
        <v>431.41</v>
      </c>
      <c r="BG125" s="4590"/>
      <c r="BH125" s="4590"/>
      <c r="BI125" s="4590"/>
      <c r="BJ125" s="4590"/>
    </row>
    <row r="126" spans="1:62" s="7027" customFormat="1" ht="15.75" thickBot="1" x14ac:dyDescent="0.3">
      <c r="A126" s="93"/>
      <c r="B126" s="7046" t="s">
        <v>2009</v>
      </c>
      <c r="C126" s="4211" t="s">
        <v>1153</v>
      </c>
      <c r="D126" s="4266"/>
      <c r="E126" s="4203"/>
      <c r="F126" s="7028">
        <v>62.7</v>
      </c>
      <c r="G126" s="4203"/>
      <c r="H126" s="7171"/>
      <c r="I126" s="4205"/>
      <c r="J126" s="373">
        <f t="shared" si="374"/>
        <v>62.7</v>
      </c>
      <c r="K126" s="4203"/>
      <c r="L126" s="7028"/>
      <c r="M126" s="4206"/>
      <c r="N126" s="6691"/>
      <c r="O126" s="4203"/>
      <c r="P126" s="7028"/>
      <c r="Q126" s="4205"/>
      <c r="R126" s="373"/>
      <c r="S126" s="4203"/>
      <c r="T126" s="7028"/>
      <c r="U126" s="4205"/>
      <c r="V126" s="373"/>
      <c r="W126" s="4203"/>
      <c r="X126" s="7028"/>
      <c r="Y126" s="4206"/>
      <c r="Z126" s="618"/>
      <c r="AA126" s="4208"/>
      <c r="AB126" s="4181"/>
      <c r="AC126" s="4203"/>
      <c r="AD126" s="7028"/>
      <c r="AE126" s="4205"/>
      <c r="AF126" s="373"/>
      <c r="AG126" s="4203"/>
      <c r="AH126" s="7028"/>
      <c r="AI126" s="4205"/>
      <c r="AJ126" s="373"/>
      <c r="AK126" s="4203"/>
      <c r="AL126" s="7028"/>
      <c r="AM126" s="4206"/>
      <c r="AN126" s="618"/>
      <c r="AO126" s="4205"/>
      <c r="AP126" s="373"/>
      <c r="AQ126" s="4203"/>
      <c r="AR126" s="7028"/>
      <c r="AS126" s="4205"/>
      <c r="AT126" s="43"/>
      <c r="AU126" s="4203"/>
      <c r="AV126" s="7028"/>
      <c r="AW126" s="4205"/>
      <c r="AX126" s="43"/>
      <c r="AY126" s="4203"/>
      <c r="AZ126" s="7028"/>
      <c r="BA126" s="4206"/>
      <c r="BB126" s="618"/>
      <c r="BC126" s="4208"/>
      <c r="BD126" s="7047"/>
      <c r="BE126" s="6845"/>
      <c r="BF126" s="43"/>
      <c r="BG126" s="4590"/>
      <c r="BH126" s="4590"/>
      <c r="BI126" s="4590"/>
      <c r="BJ126" s="4590"/>
    </row>
    <row r="127" spans="1:62" ht="15.75" thickBot="1" x14ac:dyDescent="0.3">
      <c r="A127" s="93"/>
      <c r="B127" s="4213" t="s">
        <v>868</v>
      </c>
      <c r="C127" s="4211" t="s">
        <v>879</v>
      </c>
      <c r="D127" s="4211"/>
      <c r="E127" s="4191"/>
      <c r="F127" s="158"/>
      <c r="G127" s="4191"/>
      <c r="H127" s="158"/>
      <c r="I127" s="3464"/>
      <c r="J127" s="373">
        <f t="shared" si="374"/>
        <v>0</v>
      </c>
      <c r="K127" s="4191"/>
      <c r="L127" s="158"/>
      <c r="M127" s="4192"/>
      <c r="N127" s="488">
        <f t="shared" si="388"/>
        <v>0</v>
      </c>
      <c r="O127" s="4191"/>
      <c r="P127" s="158"/>
      <c r="Q127" s="3464"/>
      <c r="R127" s="373">
        <f t="shared" si="375"/>
        <v>0</v>
      </c>
      <c r="S127" s="4191"/>
      <c r="T127" s="158"/>
      <c r="U127" s="3464"/>
      <c r="V127" s="373">
        <f t="shared" si="376"/>
        <v>0</v>
      </c>
      <c r="W127" s="4191"/>
      <c r="X127" s="158"/>
      <c r="Y127" s="4192"/>
      <c r="Z127" s="618">
        <f t="shared" si="377"/>
        <v>0</v>
      </c>
      <c r="AA127" s="4193"/>
      <c r="AB127" s="4181">
        <f t="shared" si="378"/>
        <v>0</v>
      </c>
      <c r="AC127" s="4191"/>
      <c r="AD127" s="158"/>
      <c r="AE127" s="3464"/>
      <c r="AF127" s="373">
        <f t="shared" si="379"/>
        <v>0</v>
      </c>
      <c r="AG127" s="4191"/>
      <c r="AH127" s="158"/>
      <c r="AI127" s="3464"/>
      <c r="AJ127" s="373">
        <f t="shared" si="380"/>
        <v>0</v>
      </c>
      <c r="AK127" s="4191"/>
      <c r="AL127" s="158"/>
      <c r="AM127" s="4192"/>
      <c r="AN127" s="618">
        <f t="shared" si="381"/>
        <v>0</v>
      </c>
      <c r="AO127" s="3464"/>
      <c r="AP127" s="373">
        <f t="shared" si="382"/>
        <v>0</v>
      </c>
      <c r="AQ127" s="4191"/>
      <c r="AR127" s="158"/>
      <c r="AS127" s="3464"/>
      <c r="AT127" s="43">
        <f t="shared" si="383"/>
        <v>0</v>
      </c>
      <c r="AU127" s="4191"/>
      <c r="AV127" s="158"/>
      <c r="AW127" s="3464"/>
      <c r="AX127" s="43">
        <f t="shared" si="384"/>
        <v>0</v>
      </c>
      <c r="AY127" s="4191"/>
      <c r="AZ127" s="158"/>
      <c r="BA127" s="4192"/>
      <c r="BB127" s="618">
        <f t="shared" si="385"/>
        <v>0</v>
      </c>
      <c r="BC127" s="4193"/>
      <c r="BD127" s="6599">
        <f t="shared" si="386"/>
        <v>0</v>
      </c>
      <c r="BE127" s="853"/>
      <c r="BF127" s="43">
        <f t="shared" si="387"/>
        <v>0</v>
      </c>
      <c r="BG127" s="4590"/>
      <c r="BH127" s="4590"/>
      <c r="BI127" s="4590"/>
      <c r="BJ127" s="4590"/>
    </row>
    <row r="128" spans="1:62" s="5091" customFormat="1" ht="15.75" thickBot="1" x14ac:dyDescent="0.3">
      <c r="A128" s="93"/>
      <c r="B128" s="4219" t="s">
        <v>868</v>
      </c>
      <c r="C128" s="4218" t="s">
        <v>1986</v>
      </c>
      <c r="D128" s="4218"/>
      <c r="E128" s="4196"/>
      <c r="F128" s="1205">
        <v>514.07999999999993</v>
      </c>
      <c r="G128" s="4196"/>
      <c r="H128" s="7172"/>
      <c r="I128" s="4197"/>
      <c r="J128" s="373">
        <f t="shared" si="374"/>
        <v>514.07999999999993</v>
      </c>
      <c r="K128" s="4196"/>
      <c r="L128" s="1205"/>
      <c r="M128" s="4198"/>
      <c r="N128" s="488"/>
      <c r="O128" s="4196"/>
      <c r="P128" s="1205"/>
      <c r="Q128" s="4197"/>
      <c r="R128" s="373"/>
      <c r="S128" s="4196"/>
      <c r="T128" s="1205"/>
      <c r="U128" s="4197"/>
      <c r="V128" s="373"/>
      <c r="W128" s="4196"/>
      <c r="X128" s="1205">
        <v>571.34</v>
      </c>
      <c r="Y128" s="4198"/>
      <c r="Z128" s="618">
        <f t="shared" si="377"/>
        <v>571.34</v>
      </c>
      <c r="AA128" s="4199"/>
      <c r="AB128" s="4181">
        <f t="shared" si="378"/>
        <v>571.34</v>
      </c>
      <c r="AC128" s="4196"/>
      <c r="AD128" s="1205"/>
      <c r="AE128" s="4197"/>
      <c r="AF128" s="373">
        <f t="shared" si="379"/>
        <v>571.34</v>
      </c>
      <c r="AG128" s="4196"/>
      <c r="AH128" s="5523"/>
      <c r="AI128" s="4197"/>
      <c r="AJ128" s="373">
        <f t="shared" si="380"/>
        <v>571.34</v>
      </c>
      <c r="AK128" s="4196"/>
      <c r="AL128" s="5923"/>
      <c r="AM128" s="4198"/>
      <c r="AN128" s="618">
        <f t="shared" si="381"/>
        <v>0</v>
      </c>
      <c r="AO128" s="4197"/>
      <c r="AP128" s="373">
        <f t="shared" si="382"/>
        <v>571.34</v>
      </c>
      <c r="AQ128" s="4196"/>
      <c r="AR128" s="6079"/>
      <c r="AS128" s="4197"/>
      <c r="AT128" s="43">
        <f t="shared" si="383"/>
        <v>571.34</v>
      </c>
      <c r="AU128" s="4196"/>
      <c r="AV128" s="6202">
        <v>519.08000000000004</v>
      </c>
      <c r="AW128" s="4197"/>
      <c r="AX128" s="43">
        <f t="shared" si="384"/>
        <v>1090.42</v>
      </c>
      <c r="AY128" s="4196"/>
      <c r="AZ128" s="6407">
        <v>121.88</v>
      </c>
      <c r="BA128" s="4198"/>
      <c r="BB128" s="618">
        <f t="shared" si="385"/>
        <v>640.96</v>
      </c>
      <c r="BC128" s="4199"/>
      <c r="BD128" s="6599">
        <f t="shared" si="386"/>
        <v>640.96</v>
      </c>
      <c r="BE128" s="853"/>
      <c r="BF128" s="43">
        <f t="shared" si="387"/>
        <v>1212.3000000000002</v>
      </c>
      <c r="BG128" s="4590"/>
      <c r="BH128" s="4590"/>
      <c r="BI128" s="4590"/>
      <c r="BJ128" s="4590"/>
    </row>
    <row r="129" spans="1:62" s="4823" customFormat="1" ht="15.75" thickBot="1" x14ac:dyDescent="0.3">
      <c r="A129" s="93"/>
      <c r="B129" s="4217" t="s">
        <v>868</v>
      </c>
      <c r="C129" s="4221" t="s">
        <v>1158</v>
      </c>
      <c r="D129" s="4218"/>
      <c r="E129" s="4196"/>
      <c r="F129" s="1205"/>
      <c r="G129" s="4196"/>
      <c r="H129" s="7172"/>
      <c r="I129" s="4197"/>
      <c r="J129" s="373">
        <f t="shared" si="374"/>
        <v>0</v>
      </c>
      <c r="K129" s="4196"/>
      <c r="L129" s="1205"/>
      <c r="M129" s="4198"/>
      <c r="N129" s="488"/>
      <c r="O129" s="4196"/>
      <c r="P129" s="1205">
        <v>40.06</v>
      </c>
      <c r="Q129" s="4197"/>
      <c r="R129" s="373">
        <f t="shared" si="375"/>
        <v>40.06</v>
      </c>
      <c r="S129" s="4196"/>
      <c r="T129" s="1205"/>
      <c r="U129" s="4197"/>
      <c r="V129" s="373">
        <f t="shared" si="376"/>
        <v>40.06</v>
      </c>
      <c r="W129" s="4196"/>
      <c r="X129" s="1205"/>
      <c r="Y129" s="4198"/>
      <c r="Z129" s="618">
        <f t="shared" si="377"/>
        <v>40.06</v>
      </c>
      <c r="AA129" s="4199"/>
      <c r="AB129" s="4181">
        <f t="shared" si="378"/>
        <v>40.06</v>
      </c>
      <c r="AC129" s="4196"/>
      <c r="AD129" s="1205"/>
      <c r="AE129" s="4197"/>
      <c r="AF129" s="373">
        <f t="shared" si="379"/>
        <v>40.06</v>
      </c>
      <c r="AG129" s="4196"/>
      <c r="AH129" s="5523"/>
      <c r="AI129" s="4197"/>
      <c r="AJ129" s="373">
        <f t="shared" si="380"/>
        <v>40.06</v>
      </c>
      <c r="AK129" s="4196"/>
      <c r="AL129" s="5923"/>
      <c r="AM129" s="4198"/>
      <c r="AN129" s="618">
        <f t="shared" si="381"/>
        <v>0</v>
      </c>
      <c r="AO129" s="4197"/>
      <c r="AP129" s="373">
        <f t="shared" si="382"/>
        <v>40.06</v>
      </c>
      <c r="AQ129" s="4196"/>
      <c r="AR129" s="6079"/>
      <c r="AS129" s="4197"/>
      <c r="AT129" s="43">
        <f t="shared" si="383"/>
        <v>40.06</v>
      </c>
      <c r="AU129" s="4196"/>
      <c r="AV129" s="6202"/>
      <c r="AW129" s="4197"/>
      <c r="AX129" s="43">
        <f t="shared" si="384"/>
        <v>40.06</v>
      </c>
      <c r="AY129" s="4196"/>
      <c r="AZ129" s="6407"/>
      <c r="BA129" s="4198"/>
      <c r="BB129" s="618">
        <f t="shared" si="385"/>
        <v>0</v>
      </c>
      <c r="BC129" s="4199"/>
      <c r="BD129" s="6599">
        <f t="shared" si="386"/>
        <v>0</v>
      </c>
      <c r="BE129" s="853"/>
      <c r="BF129" s="43">
        <f t="shared" si="387"/>
        <v>40.06</v>
      </c>
      <c r="BG129" s="4590"/>
      <c r="BH129" s="4590"/>
      <c r="BI129" s="4590"/>
      <c r="BJ129" s="4590"/>
    </row>
    <row r="130" spans="1:62" s="4978" customFormat="1" ht="15.75" thickBot="1" x14ac:dyDescent="0.3">
      <c r="A130" s="93"/>
      <c r="B130" s="4219" t="s">
        <v>868</v>
      </c>
      <c r="C130" s="4221" t="s">
        <v>915</v>
      </c>
      <c r="D130" s="4218"/>
      <c r="E130" s="4196"/>
      <c r="F130" s="1205"/>
      <c r="G130" s="4196"/>
      <c r="H130" s="7172"/>
      <c r="I130" s="4197"/>
      <c r="J130" s="373">
        <f t="shared" si="374"/>
        <v>0</v>
      </c>
      <c r="K130" s="4196"/>
      <c r="L130" s="1205"/>
      <c r="M130" s="4198"/>
      <c r="N130" s="488"/>
      <c r="O130" s="4196"/>
      <c r="P130" s="1205"/>
      <c r="Q130" s="4197"/>
      <c r="R130" s="373"/>
      <c r="S130" s="4196"/>
      <c r="T130" s="1205">
        <v>39.6</v>
      </c>
      <c r="U130" s="4197"/>
      <c r="V130" s="373">
        <f t="shared" si="376"/>
        <v>39.6</v>
      </c>
      <c r="W130" s="4196"/>
      <c r="X130" s="1205">
        <v>39.75</v>
      </c>
      <c r="Y130" s="4198"/>
      <c r="Z130" s="618">
        <f t="shared" si="377"/>
        <v>79.349999999999994</v>
      </c>
      <c r="AA130" s="4199"/>
      <c r="AB130" s="4181">
        <f t="shared" si="378"/>
        <v>79.349999999999994</v>
      </c>
      <c r="AC130" s="4196"/>
      <c r="AD130" s="1205"/>
      <c r="AE130" s="4197"/>
      <c r="AF130" s="373">
        <f t="shared" si="379"/>
        <v>79.349999999999994</v>
      </c>
      <c r="AG130" s="4196"/>
      <c r="AH130" s="5523"/>
      <c r="AI130" s="4197"/>
      <c r="AJ130" s="373">
        <f t="shared" si="380"/>
        <v>79.349999999999994</v>
      </c>
      <c r="AK130" s="4196"/>
      <c r="AL130" s="5923"/>
      <c r="AM130" s="4198"/>
      <c r="AN130" s="618">
        <f t="shared" si="381"/>
        <v>0</v>
      </c>
      <c r="AO130" s="4197"/>
      <c r="AP130" s="373">
        <f t="shared" si="382"/>
        <v>79.349999999999994</v>
      </c>
      <c r="AQ130" s="4196"/>
      <c r="AR130" s="6079"/>
      <c r="AS130" s="4197"/>
      <c r="AT130" s="43">
        <f t="shared" si="383"/>
        <v>79.349999999999994</v>
      </c>
      <c r="AU130" s="4196"/>
      <c r="AV130" s="6202"/>
      <c r="AW130" s="4197"/>
      <c r="AX130" s="43">
        <f t="shared" si="384"/>
        <v>79.349999999999994</v>
      </c>
      <c r="AY130" s="4196"/>
      <c r="AZ130" s="6407"/>
      <c r="BA130" s="4198"/>
      <c r="BB130" s="618">
        <f t="shared" si="385"/>
        <v>0</v>
      </c>
      <c r="BC130" s="4199"/>
      <c r="BD130" s="6599">
        <f t="shared" si="386"/>
        <v>0</v>
      </c>
      <c r="BE130" s="853"/>
      <c r="BF130" s="43">
        <f t="shared" si="387"/>
        <v>79.349999999999994</v>
      </c>
      <c r="BG130" s="4590"/>
      <c r="BH130" s="4590"/>
      <c r="BI130" s="4590"/>
      <c r="BJ130" s="4590"/>
    </row>
    <row r="131" spans="1:62" ht="15.75" thickBot="1" x14ac:dyDescent="0.3">
      <c r="A131" s="93"/>
      <c r="B131" s="4217" t="s">
        <v>868</v>
      </c>
      <c r="C131" s="4218" t="s">
        <v>952</v>
      </c>
      <c r="D131" s="4218"/>
      <c r="E131" s="4196"/>
      <c r="F131" s="1205">
        <v>305.92</v>
      </c>
      <c r="G131" s="4196"/>
      <c r="H131" s="7172">
        <v>188.02</v>
      </c>
      <c r="I131" s="4197"/>
      <c r="J131" s="373">
        <f t="shared" si="374"/>
        <v>493.94000000000005</v>
      </c>
      <c r="K131" s="4196"/>
      <c r="L131" s="1205">
        <v>65.36</v>
      </c>
      <c r="M131" s="4198"/>
      <c r="N131" s="488">
        <f t="shared" si="388"/>
        <v>559.30000000000007</v>
      </c>
      <c r="O131" s="4196"/>
      <c r="P131" s="1205"/>
      <c r="Q131" s="4197"/>
      <c r="R131" s="373">
        <f t="shared" si="375"/>
        <v>559.30000000000007</v>
      </c>
      <c r="S131" s="4196"/>
      <c r="T131" s="1205"/>
      <c r="U131" s="4197"/>
      <c r="V131" s="373">
        <f t="shared" si="376"/>
        <v>559.30000000000007</v>
      </c>
      <c r="W131" s="4196"/>
      <c r="X131" s="1205"/>
      <c r="Y131" s="4198"/>
      <c r="Z131" s="618">
        <f t="shared" si="377"/>
        <v>0</v>
      </c>
      <c r="AA131" s="4199"/>
      <c r="AB131" s="4181">
        <f t="shared" si="378"/>
        <v>559.30000000000007</v>
      </c>
      <c r="AC131" s="4196"/>
      <c r="AD131" s="1205"/>
      <c r="AE131" s="4197"/>
      <c r="AF131" s="373">
        <f t="shared" si="379"/>
        <v>559.30000000000007</v>
      </c>
      <c r="AG131" s="4196"/>
      <c r="AH131" s="5523">
        <v>312.47999999999996</v>
      </c>
      <c r="AI131" s="4197"/>
      <c r="AJ131" s="373">
        <f t="shared" si="380"/>
        <v>871.78</v>
      </c>
      <c r="AK131" s="4196"/>
      <c r="AL131" s="5923"/>
      <c r="AM131" s="4198"/>
      <c r="AN131" s="618">
        <f t="shared" si="381"/>
        <v>312.47999999999996</v>
      </c>
      <c r="AO131" s="4197"/>
      <c r="AP131" s="373">
        <f t="shared" si="382"/>
        <v>871.78</v>
      </c>
      <c r="AQ131" s="4196"/>
      <c r="AR131" s="6079"/>
      <c r="AS131" s="4197"/>
      <c r="AT131" s="43">
        <f t="shared" si="383"/>
        <v>871.78</v>
      </c>
      <c r="AU131" s="4196"/>
      <c r="AV131" s="6202"/>
      <c r="AW131" s="4197"/>
      <c r="AX131" s="43">
        <f t="shared" si="384"/>
        <v>871.78</v>
      </c>
      <c r="AY131" s="4196"/>
      <c r="AZ131" s="6407"/>
      <c r="BA131" s="4198"/>
      <c r="BB131" s="618">
        <f t="shared" si="385"/>
        <v>0</v>
      </c>
      <c r="BC131" s="4199"/>
      <c r="BD131" s="6599">
        <f t="shared" si="386"/>
        <v>312.47999999999996</v>
      </c>
      <c r="BE131" s="853"/>
      <c r="BF131" s="43">
        <f t="shared" si="387"/>
        <v>871.78</v>
      </c>
      <c r="BG131" s="4590"/>
      <c r="BH131" s="4590"/>
      <c r="BI131" s="4590"/>
      <c r="BJ131" s="4590"/>
    </row>
    <row r="132" spans="1:62" ht="15.75" thickBot="1" x14ac:dyDescent="0.3">
      <c r="A132" s="93"/>
      <c r="B132" s="4219" t="s">
        <v>868</v>
      </c>
      <c r="C132" s="4212" t="s">
        <v>1543</v>
      </c>
      <c r="D132" s="4183"/>
      <c r="E132" s="4171"/>
      <c r="F132" s="1970"/>
      <c r="G132" s="4171"/>
      <c r="H132" s="1970"/>
      <c r="I132" s="853"/>
      <c r="J132" s="373">
        <f t="shared" si="374"/>
        <v>0</v>
      </c>
      <c r="K132" s="4171"/>
      <c r="L132" s="1970"/>
      <c r="M132" s="904"/>
      <c r="N132" s="4125">
        <f t="shared" si="388"/>
        <v>0</v>
      </c>
      <c r="O132" s="4171"/>
      <c r="P132" s="1970"/>
      <c r="Q132" s="853"/>
      <c r="R132" s="373">
        <f t="shared" si="375"/>
        <v>0</v>
      </c>
      <c r="S132" s="4171"/>
      <c r="T132" s="1970"/>
      <c r="U132" s="853"/>
      <c r="V132" s="373">
        <f t="shared" si="376"/>
        <v>0</v>
      </c>
      <c r="W132" s="4171"/>
      <c r="X132" s="1970"/>
      <c r="Y132" s="904"/>
      <c r="Z132" s="618">
        <f t="shared" si="377"/>
        <v>0</v>
      </c>
      <c r="AA132" s="4187"/>
      <c r="AB132" s="4181">
        <f t="shared" si="378"/>
        <v>0</v>
      </c>
      <c r="AC132" s="4171"/>
      <c r="AD132" s="1970"/>
      <c r="AE132" s="853"/>
      <c r="AF132" s="373">
        <f t="shared" si="379"/>
        <v>0</v>
      </c>
      <c r="AG132" s="4171"/>
      <c r="AH132" s="1970"/>
      <c r="AI132" s="853"/>
      <c r="AJ132" s="373">
        <f t="shared" si="380"/>
        <v>0</v>
      </c>
      <c r="AK132" s="4171"/>
      <c r="AL132" s="1970"/>
      <c r="AM132" s="904"/>
      <c r="AN132" s="618">
        <f t="shared" si="381"/>
        <v>0</v>
      </c>
      <c r="AO132" s="853"/>
      <c r="AP132" s="373">
        <f t="shared" si="382"/>
        <v>0</v>
      </c>
      <c r="AQ132" s="4171"/>
      <c r="AR132" s="1970"/>
      <c r="AS132" s="853"/>
      <c r="AT132" s="43">
        <f t="shared" si="383"/>
        <v>0</v>
      </c>
      <c r="AU132" s="4171"/>
      <c r="AV132" s="1970"/>
      <c r="AW132" s="853"/>
      <c r="AX132" s="43">
        <f t="shared" si="384"/>
        <v>0</v>
      </c>
      <c r="AY132" s="4171"/>
      <c r="AZ132" s="1970"/>
      <c r="BA132" s="904"/>
      <c r="BB132" s="618">
        <f t="shared" si="385"/>
        <v>0</v>
      </c>
      <c r="BC132" s="4187"/>
      <c r="BD132" s="6599">
        <f t="shared" si="386"/>
        <v>0</v>
      </c>
      <c r="BE132" s="853"/>
      <c r="BF132" s="43">
        <f t="shared" si="387"/>
        <v>0</v>
      </c>
      <c r="BG132" s="4590"/>
      <c r="BH132" s="4590"/>
      <c r="BI132" s="4590"/>
      <c r="BJ132" s="4590"/>
    </row>
    <row r="133" spans="1:62" ht="15.75" thickBot="1" x14ac:dyDescent="0.3">
      <c r="A133" s="93"/>
      <c r="B133" s="4217" t="s">
        <v>868</v>
      </c>
      <c r="C133" s="4212" t="s">
        <v>1476</v>
      </c>
      <c r="D133" s="4183"/>
      <c r="E133" s="4171"/>
      <c r="F133" s="1970">
        <v>63.68</v>
      </c>
      <c r="G133" s="4171"/>
      <c r="H133" s="1970"/>
      <c r="I133" s="853"/>
      <c r="J133" s="373">
        <f t="shared" si="374"/>
        <v>63.68</v>
      </c>
      <c r="K133" s="4171"/>
      <c r="L133" s="1970"/>
      <c r="M133" s="904"/>
      <c r="N133" s="4125">
        <f t="shared" si="388"/>
        <v>63.68</v>
      </c>
      <c r="O133" s="4171"/>
      <c r="P133" s="1970"/>
      <c r="Q133" s="853"/>
      <c r="R133" s="373">
        <f t="shared" si="375"/>
        <v>63.68</v>
      </c>
      <c r="S133" s="4171"/>
      <c r="T133" s="1970"/>
      <c r="U133" s="853"/>
      <c r="V133" s="373">
        <f t="shared" si="376"/>
        <v>63.68</v>
      </c>
      <c r="W133" s="4171"/>
      <c r="X133" s="1970">
        <v>260.03999999999996</v>
      </c>
      <c r="Y133" s="904"/>
      <c r="Z133" s="618">
        <f t="shared" si="377"/>
        <v>260.03999999999996</v>
      </c>
      <c r="AA133" s="4187"/>
      <c r="AB133" s="4181">
        <f t="shared" si="378"/>
        <v>323.71999999999997</v>
      </c>
      <c r="AC133" s="4171"/>
      <c r="AD133" s="1970"/>
      <c r="AE133" s="853"/>
      <c r="AF133" s="373">
        <f t="shared" si="379"/>
        <v>323.71999999999997</v>
      </c>
      <c r="AG133" s="4171"/>
      <c r="AH133" s="1970"/>
      <c r="AI133" s="853"/>
      <c r="AJ133" s="373">
        <f t="shared" si="380"/>
        <v>323.71999999999997</v>
      </c>
      <c r="AK133" s="4171"/>
      <c r="AL133" s="1970"/>
      <c r="AM133" s="904"/>
      <c r="AN133" s="618">
        <f t="shared" si="381"/>
        <v>0</v>
      </c>
      <c r="AO133" s="853"/>
      <c r="AP133" s="373">
        <f t="shared" si="382"/>
        <v>323.71999999999997</v>
      </c>
      <c r="AQ133" s="4171"/>
      <c r="AR133" s="1970">
        <v>184.66000000000003</v>
      </c>
      <c r="AS133" s="853"/>
      <c r="AT133" s="43">
        <f t="shared" si="383"/>
        <v>508.38</v>
      </c>
      <c r="AU133" s="4171"/>
      <c r="AV133" s="1970"/>
      <c r="AW133" s="853"/>
      <c r="AX133" s="43">
        <f t="shared" si="384"/>
        <v>508.38</v>
      </c>
      <c r="AY133" s="4171"/>
      <c r="AZ133" s="1970">
        <v>227.77</v>
      </c>
      <c r="BA133" s="904"/>
      <c r="BB133" s="618">
        <f t="shared" si="385"/>
        <v>412.43000000000006</v>
      </c>
      <c r="BC133" s="4187"/>
      <c r="BD133" s="6599">
        <f t="shared" si="386"/>
        <v>412.43000000000006</v>
      </c>
      <c r="BE133" s="853"/>
      <c r="BF133" s="43">
        <f t="shared" si="387"/>
        <v>736.15</v>
      </c>
      <c r="BG133" s="4590"/>
      <c r="BH133" s="4590"/>
      <c r="BI133" s="4590"/>
      <c r="BJ133" s="4590"/>
    </row>
    <row r="134" spans="1:62" ht="15.75" thickBot="1" x14ac:dyDescent="0.3">
      <c r="A134" s="93"/>
      <c r="B134" s="4219" t="s">
        <v>868</v>
      </c>
      <c r="C134" s="4212" t="s">
        <v>1542</v>
      </c>
      <c r="D134" s="4183"/>
      <c r="E134" s="4171"/>
      <c r="F134" s="1970">
        <v>127.6</v>
      </c>
      <c r="G134" s="4171"/>
      <c r="H134" s="1970"/>
      <c r="I134" s="853"/>
      <c r="J134" s="373">
        <f t="shared" si="374"/>
        <v>127.6</v>
      </c>
      <c r="K134" s="4171"/>
      <c r="L134" s="1970"/>
      <c r="M134" s="904"/>
      <c r="N134" s="4125">
        <f t="shared" si="388"/>
        <v>127.6</v>
      </c>
      <c r="O134" s="4171"/>
      <c r="P134" s="1970"/>
      <c r="Q134" s="853"/>
      <c r="R134" s="373">
        <f t="shared" si="375"/>
        <v>127.6</v>
      </c>
      <c r="S134" s="4171"/>
      <c r="T134" s="1970"/>
      <c r="U134" s="853"/>
      <c r="V134" s="373">
        <f t="shared" si="376"/>
        <v>127.6</v>
      </c>
      <c r="W134" s="4171"/>
      <c r="X134" s="1970">
        <v>260.27999999999997</v>
      </c>
      <c r="Y134" s="904"/>
      <c r="Z134" s="618">
        <f t="shared" si="377"/>
        <v>260.27999999999997</v>
      </c>
      <c r="AA134" s="4187"/>
      <c r="AB134" s="4181">
        <f t="shared" si="378"/>
        <v>387.88</v>
      </c>
      <c r="AC134" s="4171"/>
      <c r="AD134" s="1970"/>
      <c r="AE134" s="853"/>
      <c r="AF134" s="373">
        <f t="shared" si="379"/>
        <v>387.88</v>
      </c>
      <c r="AG134" s="4171"/>
      <c r="AH134" s="1970"/>
      <c r="AI134" s="853"/>
      <c r="AJ134" s="373">
        <f t="shared" si="380"/>
        <v>387.88</v>
      </c>
      <c r="AK134" s="4171"/>
      <c r="AL134" s="1970"/>
      <c r="AM134" s="904"/>
      <c r="AN134" s="618">
        <f t="shared" si="381"/>
        <v>0</v>
      </c>
      <c r="AO134" s="853"/>
      <c r="AP134" s="373">
        <f t="shared" si="382"/>
        <v>387.88</v>
      </c>
      <c r="AQ134" s="4171"/>
      <c r="AR134" s="1970">
        <v>189.22</v>
      </c>
      <c r="AS134" s="853"/>
      <c r="AT134" s="43">
        <f t="shared" si="383"/>
        <v>577.1</v>
      </c>
      <c r="AU134" s="4171"/>
      <c r="AV134" s="1970"/>
      <c r="AW134" s="853"/>
      <c r="AX134" s="43">
        <f t="shared" si="384"/>
        <v>577.1</v>
      </c>
      <c r="AY134" s="4171"/>
      <c r="AZ134" s="1970">
        <v>126.1</v>
      </c>
      <c r="BA134" s="904"/>
      <c r="BB134" s="618">
        <f t="shared" si="385"/>
        <v>315.32</v>
      </c>
      <c r="BC134" s="4187"/>
      <c r="BD134" s="6599">
        <f t="shared" si="386"/>
        <v>315.32</v>
      </c>
      <c r="BE134" s="853"/>
      <c r="BF134" s="43">
        <f t="shared" si="387"/>
        <v>703.2</v>
      </c>
      <c r="BG134" s="4590"/>
      <c r="BH134" s="4590"/>
      <c r="BI134" s="4590"/>
      <c r="BJ134" s="4590"/>
    </row>
    <row r="135" spans="1:62" ht="20.25" customHeight="1" thickBot="1" x14ac:dyDescent="0.3">
      <c r="A135" s="93"/>
      <c r="B135" s="4217" t="s">
        <v>868</v>
      </c>
      <c r="C135" s="4212" t="s">
        <v>1153</v>
      </c>
      <c r="D135" s="4183"/>
      <c r="E135" s="4171"/>
      <c r="F135" s="1970">
        <v>129.20999999999998</v>
      </c>
      <c r="G135" s="4171"/>
      <c r="H135" s="1970">
        <v>316.89999999999998</v>
      </c>
      <c r="I135" s="853"/>
      <c r="J135" s="373">
        <f t="shared" si="374"/>
        <v>446.10999999999996</v>
      </c>
      <c r="K135" s="4171"/>
      <c r="L135" s="1970"/>
      <c r="M135" s="904"/>
      <c r="N135" s="4125">
        <f t="shared" si="388"/>
        <v>446.10999999999996</v>
      </c>
      <c r="O135" s="4171"/>
      <c r="P135" s="1970">
        <v>194.2</v>
      </c>
      <c r="Q135" s="853"/>
      <c r="R135" s="373">
        <f t="shared" si="375"/>
        <v>640.30999999999995</v>
      </c>
      <c r="S135" s="4171"/>
      <c r="T135" s="1970"/>
      <c r="U135" s="853"/>
      <c r="V135" s="373">
        <f t="shared" si="376"/>
        <v>640.30999999999995</v>
      </c>
      <c r="W135" s="4171"/>
      <c r="X135" s="1970">
        <v>328.64</v>
      </c>
      <c r="Y135" s="904"/>
      <c r="Z135" s="618">
        <f t="shared" si="377"/>
        <v>522.83999999999992</v>
      </c>
      <c r="AA135" s="4187"/>
      <c r="AB135" s="4181">
        <f t="shared" si="378"/>
        <v>968.94999999999982</v>
      </c>
      <c r="AC135" s="4171"/>
      <c r="AD135" s="1970"/>
      <c r="AE135" s="853"/>
      <c r="AF135" s="373">
        <f t="shared" si="379"/>
        <v>968.94999999999982</v>
      </c>
      <c r="AG135" s="4171"/>
      <c r="AH135" s="1970"/>
      <c r="AI135" s="853"/>
      <c r="AJ135" s="373">
        <f t="shared" si="380"/>
        <v>968.94999999999982</v>
      </c>
      <c r="AK135" s="4171"/>
      <c r="AL135" s="1970"/>
      <c r="AM135" s="904"/>
      <c r="AN135" s="618">
        <f t="shared" si="381"/>
        <v>0</v>
      </c>
      <c r="AO135" s="853"/>
      <c r="AP135" s="373">
        <f t="shared" si="382"/>
        <v>968.94999999999982</v>
      </c>
      <c r="AQ135" s="4171"/>
      <c r="AR135" s="1970">
        <v>63.14</v>
      </c>
      <c r="AS135" s="853"/>
      <c r="AT135" s="43">
        <f t="shared" si="383"/>
        <v>1032.0899999999999</v>
      </c>
      <c r="AU135" s="4171"/>
      <c r="AV135" s="1970">
        <v>173</v>
      </c>
      <c r="AW135" s="853"/>
      <c r="AX135" s="43">
        <f t="shared" si="384"/>
        <v>1205.0899999999999</v>
      </c>
      <c r="AY135" s="4171"/>
      <c r="AZ135" s="1970">
        <v>446.42999999999995</v>
      </c>
      <c r="BA135" s="904"/>
      <c r="BB135" s="618">
        <f t="shared" si="385"/>
        <v>682.56999999999994</v>
      </c>
      <c r="BC135" s="4187"/>
      <c r="BD135" s="6599">
        <f t="shared" si="386"/>
        <v>682.56999999999994</v>
      </c>
      <c r="BE135" s="853"/>
      <c r="BF135" s="43">
        <f t="shared" si="387"/>
        <v>1651.52</v>
      </c>
      <c r="BG135" s="4590"/>
      <c r="BH135" s="4590"/>
      <c r="BI135" s="4590"/>
      <c r="BJ135" s="4590"/>
    </row>
    <row r="136" spans="1:62" ht="15.75" thickBot="1" x14ac:dyDescent="0.3">
      <c r="A136" s="93"/>
      <c r="B136" s="4219" t="s">
        <v>868</v>
      </c>
      <c r="C136" s="4215" t="s">
        <v>909</v>
      </c>
      <c r="D136" s="4185"/>
      <c r="E136" s="4188"/>
      <c r="F136" s="109">
        <v>312.09999999999997</v>
      </c>
      <c r="G136" s="4188"/>
      <c r="H136" s="109">
        <v>501.52</v>
      </c>
      <c r="I136" s="3467"/>
      <c r="J136" s="373">
        <f t="shared" si="374"/>
        <v>813.61999999999989</v>
      </c>
      <c r="K136" s="4188"/>
      <c r="L136" s="109"/>
      <c r="M136" s="4189"/>
      <c r="N136" s="488">
        <f t="shared" si="388"/>
        <v>813.61999999999989</v>
      </c>
      <c r="O136" s="4188"/>
      <c r="P136" s="109">
        <v>1438</v>
      </c>
      <c r="Q136" s="3467"/>
      <c r="R136" s="373">
        <f t="shared" si="375"/>
        <v>2251.62</v>
      </c>
      <c r="S136" s="4188"/>
      <c r="T136" s="109"/>
      <c r="U136" s="3467"/>
      <c r="V136" s="373">
        <f t="shared" si="376"/>
        <v>2251.62</v>
      </c>
      <c r="W136" s="4188"/>
      <c r="X136" s="109">
        <v>457.58000000000004</v>
      </c>
      <c r="Y136" s="4189"/>
      <c r="Z136" s="618">
        <f t="shared" si="377"/>
        <v>1895.58</v>
      </c>
      <c r="AA136" s="4190"/>
      <c r="AB136" s="4181">
        <f t="shared" si="378"/>
        <v>2709.2</v>
      </c>
      <c r="AC136" s="4188"/>
      <c r="AD136" s="109"/>
      <c r="AE136" s="3467"/>
      <c r="AF136" s="373">
        <f t="shared" si="379"/>
        <v>2709.2</v>
      </c>
      <c r="AG136" s="4188"/>
      <c r="AH136" s="109">
        <v>38.840000000000003</v>
      </c>
      <c r="AI136" s="3467"/>
      <c r="AJ136" s="373">
        <f t="shared" si="380"/>
        <v>2748.04</v>
      </c>
      <c r="AK136" s="4188"/>
      <c r="AL136" s="109"/>
      <c r="AM136" s="4189"/>
      <c r="AN136" s="618">
        <f t="shared" si="381"/>
        <v>38.840000000000003</v>
      </c>
      <c r="AO136" s="3467"/>
      <c r="AP136" s="373">
        <f t="shared" si="382"/>
        <v>2748.04</v>
      </c>
      <c r="AQ136" s="4188"/>
      <c r="AR136" s="109">
        <v>159.08000000000001</v>
      </c>
      <c r="AS136" s="3467"/>
      <c r="AT136" s="43">
        <f t="shared" si="383"/>
        <v>2907.12</v>
      </c>
      <c r="AU136" s="4188"/>
      <c r="AV136" s="109">
        <v>65.239999999999995</v>
      </c>
      <c r="AW136" s="3467"/>
      <c r="AX136" s="43">
        <f t="shared" si="384"/>
        <v>2972.3599999999997</v>
      </c>
      <c r="AY136" s="4188"/>
      <c r="AZ136" s="109">
        <v>652.78</v>
      </c>
      <c r="BA136" s="4189"/>
      <c r="BB136" s="618">
        <f t="shared" si="385"/>
        <v>877.09999999999991</v>
      </c>
      <c r="BC136" s="4190"/>
      <c r="BD136" s="6599">
        <f t="shared" si="386"/>
        <v>915.93999999999994</v>
      </c>
      <c r="BE136" s="853"/>
      <c r="BF136" s="43">
        <f t="shared" si="387"/>
        <v>3625.1399999999994</v>
      </c>
      <c r="BG136" s="4590"/>
      <c r="BH136" s="4590"/>
      <c r="BI136" s="4590"/>
      <c r="BJ136" s="4590"/>
    </row>
    <row r="137" spans="1:62" s="6316" customFormat="1" ht="15.75" thickBot="1" x14ac:dyDescent="0.3">
      <c r="A137" s="93"/>
      <c r="B137" s="4217" t="s">
        <v>868</v>
      </c>
      <c r="C137" s="4202" t="s">
        <v>907</v>
      </c>
      <c r="D137" s="4202"/>
      <c r="E137" s="4203"/>
      <c r="F137" s="6317"/>
      <c r="G137" s="4203"/>
      <c r="H137" s="7171">
        <v>387.21999999999997</v>
      </c>
      <c r="I137" s="4205"/>
      <c r="J137" s="373">
        <f t="shared" si="374"/>
        <v>387.21999999999997</v>
      </c>
      <c r="K137" s="4203"/>
      <c r="L137" s="6317"/>
      <c r="M137" s="4206"/>
      <c r="N137" s="4003"/>
      <c r="O137" s="4203"/>
      <c r="P137" s="6317"/>
      <c r="Q137" s="4205"/>
      <c r="R137" s="373"/>
      <c r="S137" s="4203"/>
      <c r="T137" s="6317"/>
      <c r="U137" s="4205"/>
      <c r="V137" s="373"/>
      <c r="W137" s="4203"/>
      <c r="X137" s="6317"/>
      <c r="Y137" s="4206"/>
      <c r="Z137" s="618"/>
      <c r="AA137" s="4208"/>
      <c r="AB137" s="4181"/>
      <c r="AC137" s="4203"/>
      <c r="AD137" s="6317"/>
      <c r="AE137" s="4205"/>
      <c r="AF137" s="373"/>
      <c r="AG137" s="4203"/>
      <c r="AH137" s="6317"/>
      <c r="AI137" s="4205"/>
      <c r="AJ137" s="373"/>
      <c r="AK137" s="4203"/>
      <c r="AL137" s="6317"/>
      <c r="AM137" s="4206"/>
      <c r="AN137" s="618"/>
      <c r="AO137" s="4205"/>
      <c r="AP137" s="373"/>
      <c r="AQ137" s="4203"/>
      <c r="AR137" s="6317"/>
      <c r="AS137" s="4205"/>
      <c r="AT137" s="43">
        <f t="shared" si="383"/>
        <v>0</v>
      </c>
      <c r="AU137" s="4203"/>
      <c r="AV137" s="6317">
        <v>32.32</v>
      </c>
      <c r="AW137" s="4205"/>
      <c r="AX137" s="43">
        <f t="shared" si="384"/>
        <v>32.32</v>
      </c>
      <c r="AY137" s="4203"/>
      <c r="AZ137" s="6406">
        <v>63.26</v>
      </c>
      <c r="BA137" s="4206"/>
      <c r="BB137" s="618">
        <f t="shared" si="385"/>
        <v>95.58</v>
      </c>
      <c r="BC137" s="4208"/>
      <c r="BD137" s="6599">
        <f t="shared" si="386"/>
        <v>95.58</v>
      </c>
      <c r="BE137" s="853"/>
      <c r="BF137" s="43">
        <f t="shared" si="387"/>
        <v>95.58</v>
      </c>
      <c r="BG137" s="4590"/>
      <c r="BH137" s="4590"/>
      <c r="BI137" s="4590"/>
      <c r="BJ137" s="4590"/>
    </row>
    <row r="138" spans="1:62" ht="20.25" customHeight="1" thickBot="1" x14ac:dyDescent="0.3">
      <c r="A138" s="93"/>
      <c r="B138" s="4216" t="s">
        <v>869</v>
      </c>
      <c r="C138" s="4176" t="s">
        <v>909</v>
      </c>
      <c r="D138" s="4176"/>
      <c r="E138" s="4191"/>
      <c r="F138" s="158"/>
      <c r="G138" s="4191"/>
      <c r="H138" s="158"/>
      <c r="I138" s="3464"/>
      <c r="J138" s="373">
        <f t="shared" si="374"/>
        <v>0</v>
      </c>
      <c r="K138" s="4191"/>
      <c r="L138" s="158"/>
      <c r="M138" s="4192"/>
      <c r="N138" s="618">
        <f t="shared" si="388"/>
        <v>0</v>
      </c>
      <c r="O138" s="4191"/>
      <c r="P138" s="158"/>
      <c r="Q138" s="3464"/>
      <c r="R138" s="373">
        <f t="shared" si="375"/>
        <v>0</v>
      </c>
      <c r="S138" s="4191"/>
      <c r="T138" s="158"/>
      <c r="U138" s="3464"/>
      <c r="V138" s="373">
        <f t="shared" si="376"/>
        <v>0</v>
      </c>
      <c r="W138" s="4191"/>
      <c r="X138" s="158"/>
      <c r="Y138" s="4192"/>
      <c r="Z138" s="618">
        <f t="shared" si="377"/>
        <v>0</v>
      </c>
      <c r="AA138" s="4193"/>
      <c r="AB138" s="4181">
        <f t="shared" si="378"/>
        <v>0</v>
      </c>
      <c r="AC138" s="4191"/>
      <c r="AD138" s="158"/>
      <c r="AE138" s="3464"/>
      <c r="AF138" s="373">
        <f t="shared" si="379"/>
        <v>0</v>
      </c>
      <c r="AG138" s="4191"/>
      <c r="AH138" s="158"/>
      <c r="AI138" s="3464"/>
      <c r="AJ138" s="373">
        <f t="shared" si="380"/>
        <v>0</v>
      </c>
      <c r="AK138" s="4191"/>
      <c r="AL138" s="158"/>
      <c r="AM138" s="4192"/>
      <c r="AN138" s="618">
        <f t="shared" si="381"/>
        <v>0</v>
      </c>
      <c r="AO138" s="3464"/>
      <c r="AP138" s="373">
        <f t="shared" si="382"/>
        <v>0</v>
      </c>
      <c r="AQ138" s="4191"/>
      <c r="AR138" s="158"/>
      <c r="AS138" s="3464"/>
      <c r="AT138" s="43">
        <f t="shared" si="383"/>
        <v>0</v>
      </c>
      <c r="AU138" s="4191"/>
      <c r="AV138" s="158"/>
      <c r="AW138" s="3464"/>
      <c r="AX138" s="43">
        <f t="shared" si="384"/>
        <v>0</v>
      </c>
      <c r="AY138" s="4191"/>
      <c r="AZ138" s="158"/>
      <c r="BA138" s="4192"/>
      <c r="BB138" s="618">
        <f t="shared" si="385"/>
        <v>0</v>
      </c>
      <c r="BC138" s="4193"/>
      <c r="BD138" s="6599">
        <f t="shared" si="386"/>
        <v>0</v>
      </c>
      <c r="BE138" s="853"/>
      <c r="BF138" s="43">
        <f t="shared" si="387"/>
        <v>0</v>
      </c>
      <c r="BG138" s="4590"/>
      <c r="BH138" s="4590"/>
      <c r="BI138" s="4590"/>
      <c r="BJ138" s="4590"/>
    </row>
    <row r="139" spans="1:62" ht="15.75" thickBot="1" x14ac:dyDescent="0.3">
      <c r="A139" s="93"/>
      <c r="B139" s="4219" t="s">
        <v>869</v>
      </c>
      <c r="C139" s="4212" t="s">
        <v>884</v>
      </c>
      <c r="D139" s="4183"/>
      <c r="E139" s="1970"/>
      <c r="F139" s="1970"/>
      <c r="G139" s="1970"/>
      <c r="H139" s="1970"/>
      <c r="I139" s="2399"/>
      <c r="J139" s="373">
        <f t="shared" si="374"/>
        <v>0</v>
      </c>
      <c r="K139" s="1970"/>
      <c r="L139" s="1970">
        <v>40.590000000000003</v>
      </c>
      <c r="M139" s="4125"/>
      <c r="N139" s="4125">
        <f t="shared" si="388"/>
        <v>40.590000000000003</v>
      </c>
      <c r="O139" s="1970"/>
      <c r="P139" s="1970"/>
      <c r="Q139" s="2399"/>
      <c r="R139" s="373">
        <f t="shared" si="375"/>
        <v>40.590000000000003</v>
      </c>
      <c r="S139" s="1970"/>
      <c r="T139" s="1970"/>
      <c r="U139" s="4890"/>
      <c r="V139" s="373">
        <f t="shared" si="376"/>
        <v>40.590000000000003</v>
      </c>
      <c r="W139" s="1970"/>
      <c r="X139" s="1970"/>
      <c r="Y139" s="4125"/>
      <c r="Z139" s="618">
        <f t="shared" si="377"/>
        <v>0</v>
      </c>
      <c r="AA139" s="4157"/>
      <c r="AB139" s="4181">
        <f t="shared" si="378"/>
        <v>40.590000000000003</v>
      </c>
      <c r="AC139" s="1970"/>
      <c r="AD139" s="1970"/>
      <c r="AE139" s="2399"/>
      <c r="AF139" s="373">
        <f t="shared" si="379"/>
        <v>40.590000000000003</v>
      </c>
      <c r="AG139" s="1970"/>
      <c r="AH139" s="1970"/>
      <c r="AI139" s="2399"/>
      <c r="AJ139" s="373">
        <f t="shared" si="380"/>
        <v>40.590000000000003</v>
      </c>
      <c r="AK139" s="1970"/>
      <c r="AL139" s="1970"/>
      <c r="AM139" s="4125"/>
      <c r="AN139" s="618">
        <f t="shared" si="381"/>
        <v>0</v>
      </c>
      <c r="AO139" s="2399"/>
      <c r="AP139" s="373">
        <f t="shared" si="382"/>
        <v>40.590000000000003</v>
      </c>
      <c r="AQ139" s="1970"/>
      <c r="AR139" s="1970"/>
      <c r="AS139" s="2399"/>
      <c r="AT139" s="43">
        <f t="shared" si="383"/>
        <v>40.590000000000003</v>
      </c>
      <c r="AU139" s="1970"/>
      <c r="AV139" s="1970"/>
      <c r="AW139" s="6193"/>
      <c r="AX139" s="43">
        <f t="shared" si="384"/>
        <v>40.590000000000003</v>
      </c>
      <c r="AY139" s="1970"/>
      <c r="AZ139" s="1970"/>
      <c r="BA139" s="4125"/>
      <c r="BB139" s="618">
        <f t="shared" si="385"/>
        <v>0</v>
      </c>
      <c r="BC139" s="4157"/>
      <c r="BD139" s="6599">
        <f t="shared" si="386"/>
        <v>0</v>
      </c>
      <c r="BE139" s="853"/>
      <c r="BF139" s="43">
        <f t="shared" si="387"/>
        <v>40.590000000000003</v>
      </c>
      <c r="BG139" s="4590"/>
      <c r="BH139" s="4590"/>
      <c r="BI139" s="4590"/>
      <c r="BJ139" s="4590"/>
    </row>
    <row r="140" spans="1:62" ht="15.75" thickBot="1" x14ac:dyDescent="0.3">
      <c r="A140" s="93"/>
      <c r="B140" s="4219" t="s">
        <v>869</v>
      </c>
      <c r="C140" s="4212" t="s">
        <v>910</v>
      </c>
      <c r="D140" s="4183"/>
      <c r="E140" s="1970"/>
      <c r="F140" s="1970"/>
      <c r="G140" s="1970"/>
      <c r="H140" s="1970"/>
      <c r="I140" s="2399"/>
      <c r="J140" s="373">
        <f t="shared" si="374"/>
        <v>0</v>
      </c>
      <c r="K140" s="1970"/>
      <c r="L140" s="1970"/>
      <c r="M140" s="4125"/>
      <c r="N140" s="4125">
        <f t="shared" si="388"/>
        <v>0</v>
      </c>
      <c r="O140" s="1970"/>
      <c r="P140" s="1970"/>
      <c r="Q140" s="2399"/>
      <c r="R140" s="373">
        <f t="shared" si="375"/>
        <v>0</v>
      </c>
      <c r="S140" s="1970"/>
      <c r="T140" s="1970"/>
      <c r="U140" s="4890"/>
      <c r="V140" s="373">
        <f t="shared" si="376"/>
        <v>0</v>
      </c>
      <c r="W140" s="1970"/>
      <c r="X140" s="1970"/>
      <c r="Y140" s="4125"/>
      <c r="Z140" s="618">
        <f t="shared" si="377"/>
        <v>0</v>
      </c>
      <c r="AA140" s="4157"/>
      <c r="AB140" s="4181">
        <f t="shared" si="378"/>
        <v>0</v>
      </c>
      <c r="AC140" s="1970"/>
      <c r="AD140" s="1970"/>
      <c r="AE140" s="2399"/>
      <c r="AF140" s="373">
        <f t="shared" si="379"/>
        <v>0</v>
      </c>
      <c r="AG140" s="1970"/>
      <c r="AH140" s="1970"/>
      <c r="AI140" s="2399"/>
      <c r="AJ140" s="373">
        <f t="shared" si="380"/>
        <v>0</v>
      </c>
      <c r="AK140" s="1970"/>
      <c r="AL140" s="1970"/>
      <c r="AM140" s="4125"/>
      <c r="AN140" s="618">
        <f t="shared" si="381"/>
        <v>0</v>
      </c>
      <c r="AO140" s="2399"/>
      <c r="AP140" s="373">
        <f t="shared" si="382"/>
        <v>0</v>
      </c>
      <c r="AQ140" s="1970"/>
      <c r="AR140" s="1970"/>
      <c r="AS140" s="2399"/>
      <c r="AT140" s="43">
        <f t="shared" si="383"/>
        <v>0</v>
      </c>
      <c r="AU140" s="1970"/>
      <c r="AV140" s="1970"/>
      <c r="AW140" s="6193"/>
      <c r="AX140" s="43">
        <f t="shared" si="384"/>
        <v>0</v>
      </c>
      <c r="AY140" s="1970"/>
      <c r="AZ140" s="1970"/>
      <c r="BA140" s="4125"/>
      <c r="BB140" s="618">
        <f t="shared" si="385"/>
        <v>0</v>
      </c>
      <c r="BC140" s="4157"/>
      <c r="BD140" s="6599">
        <f t="shared" si="386"/>
        <v>0</v>
      </c>
      <c r="BE140" s="853"/>
      <c r="BF140" s="43">
        <f t="shared" si="387"/>
        <v>0</v>
      </c>
      <c r="BG140" s="4590"/>
      <c r="BH140" s="4590"/>
      <c r="BI140" s="4590"/>
      <c r="BJ140" s="4590"/>
    </row>
    <row r="141" spans="1:62" ht="15.75" thickBot="1" x14ac:dyDescent="0.3">
      <c r="A141" s="93"/>
      <c r="B141" s="4219" t="s">
        <v>869</v>
      </c>
      <c r="C141" s="4221" t="s">
        <v>1156</v>
      </c>
      <c r="D141" s="4222"/>
      <c r="E141" s="4150"/>
      <c r="F141" s="4150"/>
      <c r="G141" s="7173"/>
      <c r="H141" s="7173"/>
      <c r="I141" s="4146"/>
      <c r="J141" s="373">
        <f t="shared" si="374"/>
        <v>0</v>
      </c>
      <c r="K141" s="4579"/>
      <c r="L141" s="4579"/>
      <c r="M141" s="4148"/>
      <c r="N141" s="4568">
        <f t="shared" si="388"/>
        <v>0</v>
      </c>
      <c r="O141" s="4791"/>
      <c r="P141" s="4791"/>
      <c r="Q141" s="4146"/>
      <c r="R141" s="373">
        <f t="shared" si="375"/>
        <v>0</v>
      </c>
      <c r="S141" s="4902"/>
      <c r="T141" s="4902"/>
      <c r="U141" s="4899"/>
      <c r="V141" s="373">
        <f t="shared" si="376"/>
        <v>0</v>
      </c>
      <c r="W141" s="5032"/>
      <c r="X141" s="5032"/>
      <c r="Y141" s="4148"/>
      <c r="Z141" s="618">
        <f t="shared" si="377"/>
        <v>0</v>
      </c>
      <c r="AA141" s="4209"/>
      <c r="AB141" s="4181">
        <f t="shared" si="378"/>
        <v>0</v>
      </c>
      <c r="AC141" s="5345"/>
      <c r="AD141" s="5345"/>
      <c r="AE141" s="4146"/>
      <c r="AF141" s="373">
        <f t="shared" si="379"/>
        <v>0</v>
      </c>
      <c r="AG141" s="5524"/>
      <c r="AH141" s="5524"/>
      <c r="AI141" s="4146"/>
      <c r="AJ141" s="373">
        <f t="shared" si="380"/>
        <v>0</v>
      </c>
      <c r="AK141" s="5918"/>
      <c r="AL141" s="5918"/>
      <c r="AM141" s="4148"/>
      <c r="AN141" s="618">
        <f t="shared" si="381"/>
        <v>0</v>
      </c>
      <c r="AO141" s="4146"/>
      <c r="AP141" s="373">
        <f t="shared" si="382"/>
        <v>0</v>
      </c>
      <c r="AQ141" s="6073"/>
      <c r="AR141" s="6073"/>
      <c r="AS141" s="4146"/>
      <c r="AT141" s="43">
        <f t="shared" si="383"/>
        <v>0</v>
      </c>
      <c r="AU141" s="6203"/>
      <c r="AV141" s="6203"/>
      <c r="AW141" s="6198"/>
      <c r="AX141" s="43">
        <f t="shared" si="384"/>
        <v>0</v>
      </c>
      <c r="AY141" s="6410"/>
      <c r="AZ141" s="6410"/>
      <c r="BA141" s="4148"/>
      <c r="BB141" s="618">
        <f t="shared" si="385"/>
        <v>0</v>
      </c>
      <c r="BC141" s="4209"/>
      <c r="BD141" s="6599">
        <f t="shared" si="386"/>
        <v>0</v>
      </c>
      <c r="BE141" s="853"/>
      <c r="BF141" s="43">
        <f t="shared" si="387"/>
        <v>0</v>
      </c>
      <c r="BG141" s="4590"/>
      <c r="BH141" s="4590"/>
      <c r="BI141" s="4590"/>
      <c r="BJ141" s="4590"/>
    </row>
    <row r="142" spans="1:62" ht="15.75" thickBot="1" x14ac:dyDescent="0.3">
      <c r="A142" s="93"/>
      <c r="B142" s="4219" t="s">
        <v>869</v>
      </c>
      <c r="C142" s="4221" t="s">
        <v>906</v>
      </c>
      <c r="D142" s="4222"/>
      <c r="E142" s="4150"/>
      <c r="F142" s="4150"/>
      <c r="G142" s="7173"/>
      <c r="H142" s="7173"/>
      <c r="I142" s="4146"/>
      <c r="J142" s="373">
        <f t="shared" si="374"/>
        <v>0</v>
      </c>
      <c r="K142" s="4579"/>
      <c r="L142" s="4579"/>
      <c r="M142" s="4148"/>
      <c r="N142" s="4568">
        <f t="shared" si="388"/>
        <v>0</v>
      </c>
      <c r="O142" s="4791"/>
      <c r="P142" s="4791"/>
      <c r="Q142" s="4146"/>
      <c r="R142" s="373">
        <f t="shared" si="375"/>
        <v>0</v>
      </c>
      <c r="S142" s="4902"/>
      <c r="T142" s="4902"/>
      <c r="U142" s="4899"/>
      <c r="V142" s="373">
        <f t="shared" si="376"/>
        <v>0</v>
      </c>
      <c r="W142" s="5032"/>
      <c r="X142" s="5032"/>
      <c r="Y142" s="4148"/>
      <c r="Z142" s="618">
        <f t="shared" si="377"/>
        <v>0</v>
      </c>
      <c r="AA142" s="4209"/>
      <c r="AB142" s="4181">
        <f t="shared" si="378"/>
        <v>0</v>
      </c>
      <c r="AC142" s="5345"/>
      <c r="AD142" s="5345"/>
      <c r="AE142" s="4146"/>
      <c r="AF142" s="373">
        <f t="shared" si="379"/>
        <v>0</v>
      </c>
      <c r="AG142" s="5524"/>
      <c r="AH142" s="5524"/>
      <c r="AI142" s="4146"/>
      <c r="AJ142" s="373">
        <f t="shared" si="380"/>
        <v>0</v>
      </c>
      <c r="AK142" s="5918"/>
      <c r="AL142" s="5918"/>
      <c r="AM142" s="4148"/>
      <c r="AN142" s="618">
        <f t="shared" si="381"/>
        <v>0</v>
      </c>
      <c r="AO142" s="4146"/>
      <c r="AP142" s="373">
        <f t="shared" si="382"/>
        <v>0</v>
      </c>
      <c r="AQ142" s="6073"/>
      <c r="AR142" s="6073"/>
      <c r="AS142" s="4146"/>
      <c r="AT142" s="43">
        <f t="shared" si="383"/>
        <v>0</v>
      </c>
      <c r="AU142" s="6203"/>
      <c r="AV142" s="6203"/>
      <c r="AW142" s="6198"/>
      <c r="AX142" s="43">
        <f t="shared" si="384"/>
        <v>0</v>
      </c>
      <c r="AY142" s="6410"/>
      <c r="AZ142" s="6410"/>
      <c r="BA142" s="4148"/>
      <c r="BB142" s="618">
        <f t="shared" si="385"/>
        <v>0</v>
      </c>
      <c r="BC142" s="4209"/>
      <c r="BD142" s="6599">
        <f t="shared" si="386"/>
        <v>0</v>
      </c>
      <c r="BE142" s="853"/>
      <c r="BF142" s="43">
        <f t="shared" si="387"/>
        <v>0</v>
      </c>
      <c r="BG142" s="4590"/>
      <c r="BH142" s="4590"/>
      <c r="BI142" s="4590"/>
      <c r="BJ142" s="4590"/>
    </row>
    <row r="143" spans="1:62" ht="15.75" thickBot="1" x14ac:dyDescent="0.3">
      <c r="A143" s="93"/>
      <c r="B143" s="4219" t="s">
        <v>869</v>
      </c>
      <c r="C143" s="4221" t="s">
        <v>952</v>
      </c>
      <c r="D143" s="4222"/>
      <c r="E143" s="4150"/>
      <c r="F143" s="4150"/>
      <c r="G143" s="7173"/>
      <c r="H143" s="7173"/>
      <c r="I143" s="4146"/>
      <c r="J143" s="373">
        <f t="shared" si="374"/>
        <v>0</v>
      </c>
      <c r="K143" s="4579"/>
      <c r="L143" s="4579">
        <v>61.26</v>
      </c>
      <c r="M143" s="4148"/>
      <c r="N143" s="4568">
        <f t="shared" si="388"/>
        <v>61.26</v>
      </c>
      <c r="O143" s="4791"/>
      <c r="P143" s="4791"/>
      <c r="Q143" s="4146"/>
      <c r="R143" s="373">
        <f t="shared" si="375"/>
        <v>61.26</v>
      </c>
      <c r="S143" s="4902"/>
      <c r="T143" s="4902"/>
      <c r="U143" s="4899"/>
      <c r="V143" s="373">
        <f t="shared" si="376"/>
        <v>61.26</v>
      </c>
      <c r="W143" s="5032"/>
      <c r="X143" s="5032"/>
      <c r="Y143" s="4148"/>
      <c r="Z143" s="618">
        <f t="shared" si="377"/>
        <v>0</v>
      </c>
      <c r="AA143" s="4209"/>
      <c r="AB143" s="4181">
        <f t="shared" si="378"/>
        <v>61.26</v>
      </c>
      <c r="AC143" s="5345"/>
      <c r="AD143" s="5345"/>
      <c r="AE143" s="4146"/>
      <c r="AF143" s="373">
        <f t="shared" si="379"/>
        <v>61.26</v>
      </c>
      <c r="AG143" s="5524"/>
      <c r="AH143" s="5524">
        <v>63.26</v>
      </c>
      <c r="AI143" s="4146"/>
      <c r="AJ143" s="373">
        <f t="shared" si="380"/>
        <v>124.52</v>
      </c>
      <c r="AK143" s="5918"/>
      <c r="AL143" s="5918"/>
      <c r="AM143" s="4148"/>
      <c r="AN143" s="618">
        <f t="shared" si="381"/>
        <v>63.26</v>
      </c>
      <c r="AO143" s="4146"/>
      <c r="AP143" s="373">
        <f t="shared" si="382"/>
        <v>124.52</v>
      </c>
      <c r="AQ143" s="6073"/>
      <c r="AR143" s="6073"/>
      <c r="AS143" s="4146"/>
      <c r="AT143" s="43">
        <f t="shared" si="383"/>
        <v>124.52</v>
      </c>
      <c r="AU143" s="6203"/>
      <c r="AV143" s="6203"/>
      <c r="AW143" s="6198"/>
      <c r="AX143" s="43">
        <f t="shared" si="384"/>
        <v>124.52</v>
      </c>
      <c r="AY143" s="6410"/>
      <c r="AZ143" s="6410"/>
      <c r="BA143" s="4148"/>
      <c r="BB143" s="618">
        <f t="shared" si="385"/>
        <v>0</v>
      </c>
      <c r="BC143" s="4209"/>
      <c r="BD143" s="6599">
        <f t="shared" si="386"/>
        <v>63.26</v>
      </c>
      <c r="BE143" s="853"/>
      <c r="BF143" s="43">
        <f t="shared" si="387"/>
        <v>124.52</v>
      </c>
      <c r="BG143" s="4590"/>
      <c r="BH143" s="4590"/>
      <c r="BI143" s="4590"/>
      <c r="BJ143" s="4590"/>
    </row>
    <row r="144" spans="1:62" ht="15.75" thickBot="1" x14ac:dyDescent="0.3">
      <c r="A144" s="93"/>
      <c r="B144" s="4219" t="s">
        <v>869</v>
      </c>
      <c r="C144" s="4212" t="s">
        <v>1476</v>
      </c>
      <c r="D144" s="4212"/>
      <c r="E144" s="1970"/>
      <c r="F144" s="1970"/>
      <c r="G144" s="1970"/>
      <c r="H144" s="1970"/>
      <c r="I144" s="2399"/>
      <c r="J144" s="373">
        <f t="shared" si="374"/>
        <v>0</v>
      </c>
      <c r="K144" s="1970"/>
      <c r="L144" s="1970"/>
      <c r="M144" s="4125"/>
      <c r="N144" s="4568">
        <f t="shared" si="388"/>
        <v>0</v>
      </c>
      <c r="O144" s="1970"/>
      <c r="P144" s="1970"/>
      <c r="Q144" s="2399"/>
      <c r="R144" s="373">
        <f t="shared" si="375"/>
        <v>0</v>
      </c>
      <c r="S144" s="1970"/>
      <c r="T144" s="1970"/>
      <c r="U144" s="4890"/>
      <c r="V144" s="373">
        <f t="shared" si="376"/>
        <v>0</v>
      </c>
      <c r="W144" s="1970"/>
      <c r="X144" s="1970"/>
      <c r="Y144" s="4125"/>
      <c r="Z144" s="618">
        <f t="shared" si="377"/>
        <v>0</v>
      </c>
      <c r="AA144" s="4157"/>
      <c r="AB144" s="4181">
        <f t="shared" si="378"/>
        <v>0</v>
      </c>
      <c r="AC144" s="1970"/>
      <c r="AD144" s="1970"/>
      <c r="AE144" s="2399"/>
      <c r="AF144" s="373">
        <f t="shared" si="379"/>
        <v>0</v>
      </c>
      <c r="AG144" s="1970"/>
      <c r="AH144" s="1970"/>
      <c r="AI144" s="2399"/>
      <c r="AJ144" s="373">
        <f t="shared" si="380"/>
        <v>0</v>
      </c>
      <c r="AK144" s="1970"/>
      <c r="AL144" s="1970"/>
      <c r="AM144" s="4125"/>
      <c r="AN144" s="618">
        <f t="shared" si="381"/>
        <v>0</v>
      </c>
      <c r="AO144" s="2399"/>
      <c r="AP144" s="373">
        <f t="shared" si="382"/>
        <v>0</v>
      </c>
      <c r="AQ144" s="1970"/>
      <c r="AR144" s="1970"/>
      <c r="AS144" s="2399"/>
      <c r="AT144" s="43">
        <f t="shared" si="383"/>
        <v>0</v>
      </c>
      <c r="AU144" s="1970"/>
      <c r="AV144" s="1970"/>
      <c r="AW144" s="6193"/>
      <c r="AX144" s="43">
        <f t="shared" si="384"/>
        <v>0</v>
      </c>
      <c r="AY144" s="1970"/>
      <c r="AZ144" s="1970"/>
      <c r="BA144" s="4125"/>
      <c r="BB144" s="618">
        <f t="shared" si="385"/>
        <v>0</v>
      </c>
      <c r="BC144" s="4157"/>
      <c r="BD144" s="6599">
        <f t="shared" si="386"/>
        <v>0</v>
      </c>
      <c r="BE144" s="853"/>
      <c r="BF144" s="43">
        <f t="shared" si="387"/>
        <v>0</v>
      </c>
      <c r="BG144" s="4590"/>
      <c r="BH144" s="4590"/>
      <c r="BI144" s="4590"/>
      <c r="BJ144" s="4590"/>
    </row>
    <row r="145" spans="1:62" ht="15.75" thickBot="1" x14ac:dyDescent="0.3">
      <c r="A145" s="93"/>
      <c r="B145" s="4220" t="s">
        <v>869</v>
      </c>
      <c r="C145" s="4215" t="s">
        <v>1155</v>
      </c>
      <c r="D145" s="4185"/>
      <c r="E145" s="109"/>
      <c r="F145" s="109"/>
      <c r="G145" s="109"/>
      <c r="H145" s="109"/>
      <c r="I145" s="589"/>
      <c r="J145" s="373">
        <f t="shared" si="374"/>
        <v>0</v>
      </c>
      <c r="K145" s="109"/>
      <c r="L145" s="109"/>
      <c r="M145" s="488"/>
      <c r="N145" s="4568">
        <f t="shared" si="388"/>
        <v>0</v>
      </c>
      <c r="O145" s="109"/>
      <c r="P145" s="109"/>
      <c r="Q145" s="589"/>
      <c r="R145" s="373">
        <f t="shared" si="375"/>
        <v>0</v>
      </c>
      <c r="S145" s="109"/>
      <c r="T145" s="109"/>
      <c r="U145" s="589"/>
      <c r="V145" s="373">
        <f t="shared" si="376"/>
        <v>0</v>
      </c>
      <c r="W145" s="109"/>
      <c r="X145" s="109"/>
      <c r="Y145" s="488"/>
      <c r="Z145" s="618">
        <f t="shared" si="377"/>
        <v>0</v>
      </c>
      <c r="AA145" s="4186"/>
      <c r="AB145" s="4181">
        <f t="shared" si="378"/>
        <v>0</v>
      </c>
      <c r="AC145" s="109"/>
      <c r="AD145" s="109"/>
      <c r="AE145" s="589"/>
      <c r="AF145" s="373">
        <f t="shared" si="379"/>
        <v>0</v>
      </c>
      <c r="AG145" s="109"/>
      <c r="AH145" s="109"/>
      <c r="AI145" s="589"/>
      <c r="AJ145" s="373">
        <f t="shared" si="380"/>
        <v>0</v>
      </c>
      <c r="AK145" s="109"/>
      <c r="AL145" s="109"/>
      <c r="AM145" s="488"/>
      <c r="AN145" s="618">
        <f t="shared" si="381"/>
        <v>0</v>
      </c>
      <c r="AO145" s="589"/>
      <c r="AP145" s="373">
        <f t="shared" si="382"/>
        <v>0</v>
      </c>
      <c r="AQ145" s="109"/>
      <c r="AR145" s="109"/>
      <c r="AS145" s="589"/>
      <c r="AT145" s="43">
        <f t="shared" si="383"/>
        <v>0</v>
      </c>
      <c r="AU145" s="109"/>
      <c r="AV145" s="109"/>
      <c r="AW145" s="589"/>
      <c r="AX145" s="43">
        <f t="shared" si="384"/>
        <v>0</v>
      </c>
      <c r="AY145" s="109"/>
      <c r="AZ145" s="109"/>
      <c r="BA145" s="488"/>
      <c r="BB145" s="618">
        <f t="shared" si="385"/>
        <v>0</v>
      </c>
      <c r="BC145" s="4186"/>
      <c r="BD145" s="6599">
        <f t="shared" si="386"/>
        <v>0</v>
      </c>
      <c r="BE145" s="853"/>
      <c r="BF145" s="43">
        <f t="shared" si="387"/>
        <v>0</v>
      </c>
      <c r="BG145" s="4590"/>
      <c r="BH145" s="4590"/>
      <c r="BI145" s="4590"/>
      <c r="BJ145" s="4590"/>
    </row>
    <row r="146" spans="1:62" ht="20.25" customHeight="1" thickBot="1" x14ac:dyDescent="0.3">
      <c r="A146" s="93"/>
      <c r="B146" s="4216" t="s">
        <v>870</v>
      </c>
      <c r="C146" s="4211" t="s">
        <v>952</v>
      </c>
      <c r="D146" s="4176"/>
      <c r="E146" s="158"/>
      <c r="F146" s="158"/>
      <c r="G146" s="158"/>
      <c r="H146" s="158">
        <v>245.6</v>
      </c>
      <c r="I146" s="373"/>
      <c r="J146" s="373">
        <f t="shared" si="374"/>
        <v>245.6</v>
      </c>
      <c r="K146" s="158"/>
      <c r="L146" s="158"/>
      <c r="M146" s="618"/>
      <c r="N146" s="618">
        <f t="shared" si="388"/>
        <v>245.6</v>
      </c>
      <c r="O146" s="158"/>
      <c r="P146" s="158"/>
      <c r="Q146" s="373"/>
      <c r="R146" s="373">
        <f t="shared" si="375"/>
        <v>245.6</v>
      </c>
      <c r="S146" s="158"/>
      <c r="T146" s="158"/>
      <c r="U146" s="373"/>
      <c r="V146" s="373">
        <f t="shared" si="376"/>
        <v>245.6</v>
      </c>
      <c r="W146" s="158"/>
      <c r="X146" s="158"/>
      <c r="Y146" s="618"/>
      <c r="Z146" s="618">
        <f t="shared" si="377"/>
        <v>0</v>
      </c>
      <c r="AA146" s="4181"/>
      <c r="AB146" s="4181">
        <f t="shared" si="378"/>
        <v>245.6</v>
      </c>
      <c r="AC146" s="158"/>
      <c r="AD146" s="158"/>
      <c r="AE146" s="373"/>
      <c r="AF146" s="373">
        <f t="shared" si="379"/>
        <v>245.6</v>
      </c>
      <c r="AG146" s="158"/>
      <c r="AH146" s="158">
        <v>685.33999999999992</v>
      </c>
      <c r="AI146" s="373"/>
      <c r="AJ146" s="373">
        <f t="shared" si="380"/>
        <v>930.93999999999994</v>
      </c>
      <c r="AK146" s="158"/>
      <c r="AL146" s="158"/>
      <c r="AM146" s="618"/>
      <c r="AN146" s="618">
        <f t="shared" si="381"/>
        <v>685.33999999999992</v>
      </c>
      <c r="AO146" s="373"/>
      <c r="AP146" s="373">
        <f t="shared" si="382"/>
        <v>930.93999999999994</v>
      </c>
      <c r="AQ146" s="158"/>
      <c r="AR146" s="158"/>
      <c r="AS146" s="373"/>
      <c r="AT146" s="43">
        <f t="shared" si="383"/>
        <v>930.93999999999994</v>
      </c>
      <c r="AU146" s="158"/>
      <c r="AV146" s="158"/>
      <c r="AW146" s="373"/>
      <c r="AX146" s="43">
        <f t="shared" si="384"/>
        <v>930.93999999999994</v>
      </c>
      <c r="AY146" s="158"/>
      <c r="AZ146" s="158"/>
      <c r="BA146" s="618"/>
      <c r="BB146" s="618">
        <f t="shared" si="385"/>
        <v>0</v>
      </c>
      <c r="BC146" s="4181"/>
      <c r="BD146" s="6599">
        <f t="shared" si="386"/>
        <v>685.33999999999992</v>
      </c>
      <c r="BE146" s="853"/>
      <c r="BF146" s="43">
        <f t="shared" si="387"/>
        <v>930.93999999999994</v>
      </c>
      <c r="BG146" s="4590"/>
      <c r="BH146" s="4590"/>
      <c r="BI146" s="4590"/>
      <c r="BJ146" s="4590"/>
    </row>
    <row r="147" spans="1:62" ht="15.75" thickBot="1" x14ac:dyDescent="0.3">
      <c r="A147" s="93"/>
      <c r="B147" s="4219" t="s">
        <v>870</v>
      </c>
      <c r="C147" s="4212" t="s">
        <v>883</v>
      </c>
      <c r="D147" s="4183"/>
      <c r="E147" s="4171"/>
      <c r="F147" s="1970"/>
      <c r="G147" s="4171"/>
      <c r="H147" s="1970">
        <v>125.42</v>
      </c>
      <c r="I147" s="853"/>
      <c r="J147" s="373">
        <f t="shared" si="374"/>
        <v>125.42</v>
      </c>
      <c r="K147" s="4171"/>
      <c r="L147" s="1970"/>
      <c r="M147" s="904"/>
      <c r="N147" s="4125">
        <f t="shared" si="388"/>
        <v>125.42</v>
      </c>
      <c r="O147" s="4171"/>
      <c r="P147" s="1970">
        <v>624.62</v>
      </c>
      <c r="Q147" s="853"/>
      <c r="R147" s="373">
        <f t="shared" si="375"/>
        <v>750.04</v>
      </c>
      <c r="S147" s="4171"/>
      <c r="T147" s="1970">
        <v>569.6</v>
      </c>
      <c r="U147" s="853"/>
      <c r="V147" s="373">
        <f t="shared" si="376"/>
        <v>1319.6399999999999</v>
      </c>
      <c r="W147" s="4171"/>
      <c r="X147" s="1970"/>
      <c r="Y147" s="904"/>
      <c r="Z147" s="618">
        <f t="shared" si="377"/>
        <v>1194.22</v>
      </c>
      <c r="AA147" s="4187"/>
      <c r="AB147" s="4181">
        <f t="shared" si="378"/>
        <v>1319.64</v>
      </c>
      <c r="AC147" s="4171"/>
      <c r="AD147" s="1970">
        <v>1748.0400000000002</v>
      </c>
      <c r="AE147" s="853"/>
      <c r="AF147" s="373">
        <f t="shared" si="379"/>
        <v>3067.6800000000003</v>
      </c>
      <c r="AG147" s="4171"/>
      <c r="AH147" s="1970">
        <v>185.28</v>
      </c>
      <c r="AI147" s="853"/>
      <c r="AJ147" s="373">
        <f t="shared" si="380"/>
        <v>3252.9600000000005</v>
      </c>
      <c r="AK147" s="4171"/>
      <c r="AL147" s="1970">
        <v>1081.1199999999999</v>
      </c>
      <c r="AM147" s="904"/>
      <c r="AN147" s="618">
        <f t="shared" si="381"/>
        <v>3014.44</v>
      </c>
      <c r="AO147" s="853"/>
      <c r="AP147" s="373">
        <f t="shared" si="382"/>
        <v>4334.08</v>
      </c>
      <c r="AQ147" s="4171"/>
      <c r="AR147" s="1970"/>
      <c r="AS147" s="853"/>
      <c r="AT147" s="43">
        <f t="shared" si="383"/>
        <v>4334.08</v>
      </c>
      <c r="AU147" s="4171"/>
      <c r="AV147" s="1970">
        <v>811.83999999999992</v>
      </c>
      <c r="AW147" s="853"/>
      <c r="AX147" s="43">
        <f t="shared" si="384"/>
        <v>5145.92</v>
      </c>
      <c r="AY147" s="4171"/>
      <c r="AZ147" s="1970">
        <v>1729.9199999999998</v>
      </c>
      <c r="BA147" s="904"/>
      <c r="BB147" s="618">
        <f t="shared" si="385"/>
        <v>2541.7599999999998</v>
      </c>
      <c r="BC147" s="4187"/>
      <c r="BD147" s="6599">
        <f t="shared" si="386"/>
        <v>5556.2</v>
      </c>
      <c r="BE147" s="853"/>
      <c r="BF147" s="43">
        <f t="shared" si="387"/>
        <v>6875.84</v>
      </c>
      <c r="BG147" s="4590"/>
      <c r="BH147" s="4590"/>
      <c r="BI147" s="4590"/>
      <c r="BJ147" s="4590"/>
    </row>
    <row r="148" spans="1:62" ht="15.75" thickBot="1" x14ac:dyDescent="0.3">
      <c r="A148" s="93"/>
      <c r="B148" s="4219" t="s">
        <v>870</v>
      </c>
      <c r="C148" s="4212" t="s">
        <v>1153</v>
      </c>
      <c r="D148" s="159"/>
      <c r="E148" s="159"/>
      <c r="F148" s="1970">
        <v>190.92000000000002</v>
      </c>
      <c r="G148" s="7162"/>
      <c r="H148" s="1970">
        <v>316.74</v>
      </c>
      <c r="I148" s="590"/>
      <c r="J148" s="373">
        <f t="shared" si="374"/>
        <v>507.66</v>
      </c>
      <c r="K148" s="4573"/>
      <c r="L148" s="1970"/>
      <c r="M148" s="948"/>
      <c r="N148" s="4125">
        <f t="shared" si="388"/>
        <v>507.66</v>
      </c>
      <c r="O148" s="4777"/>
      <c r="P148" s="1970">
        <v>329.48</v>
      </c>
      <c r="Q148" s="590"/>
      <c r="R148" s="373">
        <f t="shared" si="375"/>
        <v>837.1400000000001</v>
      </c>
      <c r="S148" s="4887"/>
      <c r="T148" s="1970"/>
      <c r="U148" s="4888"/>
      <c r="V148" s="373">
        <f t="shared" si="376"/>
        <v>837.1400000000001</v>
      </c>
      <c r="W148" s="5025"/>
      <c r="X148" s="1970">
        <v>696.66</v>
      </c>
      <c r="Y148" s="948"/>
      <c r="Z148" s="618">
        <f t="shared" si="377"/>
        <v>1026.1399999999999</v>
      </c>
      <c r="AA148" s="4223"/>
      <c r="AB148" s="4181">
        <f t="shared" si="378"/>
        <v>1533.8</v>
      </c>
      <c r="AC148" s="5336"/>
      <c r="AD148" s="1970"/>
      <c r="AE148" s="590"/>
      <c r="AF148" s="373">
        <f t="shared" si="379"/>
        <v>1533.8</v>
      </c>
      <c r="AG148" s="5509"/>
      <c r="AH148" s="1970"/>
      <c r="AI148" s="590"/>
      <c r="AJ148" s="373">
        <f t="shared" si="380"/>
        <v>1533.8</v>
      </c>
      <c r="AK148" s="5910"/>
      <c r="AL148" s="1970"/>
      <c r="AM148" s="948"/>
      <c r="AN148" s="618">
        <f t="shared" si="381"/>
        <v>0</v>
      </c>
      <c r="AO148" s="590"/>
      <c r="AP148" s="373">
        <f t="shared" si="382"/>
        <v>1533.8</v>
      </c>
      <c r="AQ148" s="6065"/>
      <c r="AR148" s="1970"/>
      <c r="AS148" s="590"/>
      <c r="AT148" s="43">
        <f t="shared" si="383"/>
        <v>1533.8</v>
      </c>
      <c r="AU148" s="6184"/>
      <c r="AV148" s="1970">
        <v>130.42000000000002</v>
      </c>
      <c r="AW148" s="6191"/>
      <c r="AX148" s="43">
        <f t="shared" si="384"/>
        <v>1664.22</v>
      </c>
      <c r="AY148" s="6398"/>
      <c r="AZ148" s="1970">
        <v>254.26000000000002</v>
      </c>
      <c r="BA148" s="948"/>
      <c r="BB148" s="618">
        <f t="shared" si="385"/>
        <v>384.68000000000006</v>
      </c>
      <c r="BC148" s="4223"/>
      <c r="BD148" s="6599">
        <f t="shared" si="386"/>
        <v>384.68000000000006</v>
      </c>
      <c r="BE148" s="853"/>
      <c r="BF148" s="43">
        <f t="shared" si="387"/>
        <v>1918.48</v>
      </c>
      <c r="BG148" s="4590"/>
      <c r="BH148" s="4590"/>
      <c r="BI148" s="4590"/>
      <c r="BJ148" s="4590"/>
    </row>
    <row r="149" spans="1:62" s="6483" customFormat="1" ht="15.75" thickBot="1" x14ac:dyDescent="0.3">
      <c r="A149" s="93"/>
      <c r="B149" s="6490" t="s">
        <v>870</v>
      </c>
      <c r="C149" s="6491" t="s">
        <v>2153</v>
      </c>
      <c r="D149" s="6492"/>
      <c r="E149" s="6492"/>
      <c r="F149" s="6453">
        <v>63.4</v>
      </c>
      <c r="G149" s="7163"/>
      <c r="H149" s="6453">
        <v>189.16000000000003</v>
      </c>
      <c r="I149" s="6493"/>
      <c r="J149" s="373">
        <f t="shared" si="374"/>
        <v>252.56000000000003</v>
      </c>
      <c r="K149" s="6492"/>
      <c r="L149" s="6453"/>
      <c r="M149" s="6494"/>
      <c r="N149" s="6456"/>
      <c r="O149" s="6492"/>
      <c r="P149" s="6453"/>
      <c r="Q149" s="6493"/>
      <c r="R149" s="373"/>
      <c r="S149" s="6492"/>
      <c r="T149" s="6453"/>
      <c r="U149" s="6493"/>
      <c r="V149" s="373"/>
      <c r="W149" s="6492"/>
      <c r="X149" s="6453"/>
      <c r="Y149" s="6494"/>
      <c r="Z149" s="618"/>
      <c r="AA149" s="6495"/>
      <c r="AB149" s="4181"/>
      <c r="AC149" s="6492"/>
      <c r="AD149" s="6453"/>
      <c r="AE149" s="6493"/>
      <c r="AF149" s="373"/>
      <c r="AG149" s="6492"/>
      <c r="AH149" s="6453"/>
      <c r="AI149" s="6493"/>
      <c r="AJ149" s="373"/>
      <c r="AK149" s="6492"/>
      <c r="AL149" s="6453"/>
      <c r="AM149" s="6494"/>
      <c r="AN149" s="618"/>
      <c r="AO149" s="6493"/>
      <c r="AP149" s="373"/>
      <c r="AQ149" s="6492"/>
      <c r="AR149" s="6453"/>
      <c r="AS149" s="6493"/>
      <c r="AT149" s="43"/>
      <c r="AU149" s="6492"/>
      <c r="AV149" s="6453"/>
      <c r="AW149" s="6493"/>
      <c r="AX149" s="43"/>
      <c r="AY149" s="6492"/>
      <c r="AZ149" s="6453">
        <v>81.449999999999989</v>
      </c>
      <c r="BA149" s="6494"/>
      <c r="BB149" s="618">
        <f t="shared" si="385"/>
        <v>81.449999999999989</v>
      </c>
      <c r="BC149" s="6495"/>
      <c r="BD149" s="6599">
        <f t="shared" si="386"/>
        <v>81.449999999999989</v>
      </c>
      <c r="BE149" s="853"/>
      <c r="BF149" s="43">
        <f t="shared" si="387"/>
        <v>81.449999999999989</v>
      </c>
      <c r="BG149" s="4590"/>
      <c r="BH149" s="4590"/>
      <c r="BI149" s="4590"/>
      <c r="BJ149" s="4590"/>
    </row>
    <row r="150" spans="1:62" ht="15.75" thickBot="1" x14ac:dyDescent="0.3">
      <c r="A150" s="93"/>
      <c r="B150" s="4219" t="s">
        <v>870</v>
      </c>
      <c r="C150" s="4212" t="s">
        <v>909</v>
      </c>
      <c r="D150" s="4212"/>
      <c r="E150" s="4171"/>
      <c r="F150" s="1970"/>
      <c r="G150" s="4171"/>
      <c r="H150" s="1970"/>
      <c r="I150" s="853"/>
      <c r="J150" s="373">
        <f t="shared" si="374"/>
        <v>0</v>
      </c>
      <c r="K150" s="4171"/>
      <c r="L150" s="1970"/>
      <c r="M150" s="904"/>
      <c r="N150" s="4125">
        <f t="shared" si="388"/>
        <v>0</v>
      </c>
      <c r="O150" s="4171"/>
      <c r="P150" s="1970"/>
      <c r="Q150" s="853"/>
      <c r="R150" s="373">
        <f t="shared" si="375"/>
        <v>0</v>
      </c>
      <c r="S150" s="4171"/>
      <c r="T150" s="1970"/>
      <c r="U150" s="853"/>
      <c r="V150" s="373">
        <f t="shared" si="376"/>
        <v>0</v>
      </c>
      <c r="W150" s="4171"/>
      <c r="X150" s="1970">
        <v>302.93</v>
      </c>
      <c r="Y150" s="904"/>
      <c r="Z150" s="618">
        <f t="shared" si="377"/>
        <v>302.93</v>
      </c>
      <c r="AA150" s="4187"/>
      <c r="AB150" s="4181">
        <f t="shared" si="378"/>
        <v>302.93</v>
      </c>
      <c r="AC150" s="4171"/>
      <c r="AD150" s="1970"/>
      <c r="AE150" s="853"/>
      <c r="AF150" s="373">
        <f t="shared" si="379"/>
        <v>302.93</v>
      </c>
      <c r="AG150" s="4171"/>
      <c r="AH150" s="1970"/>
      <c r="AI150" s="853"/>
      <c r="AJ150" s="373">
        <f t="shared" si="380"/>
        <v>302.93</v>
      </c>
      <c r="AK150" s="4171"/>
      <c r="AL150" s="1970"/>
      <c r="AM150" s="904"/>
      <c r="AN150" s="618">
        <f t="shared" si="381"/>
        <v>0</v>
      </c>
      <c r="AO150" s="853"/>
      <c r="AP150" s="373">
        <f t="shared" si="382"/>
        <v>302.93</v>
      </c>
      <c r="AQ150" s="4171"/>
      <c r="AR150" s="1970"/>
      <c r="AS150" s="853"/>
      <c r="AT150" s="43">
        <f t="shared" si="383"/>
        <v>302.93</v>
      </c>
      <c r="AU150" s="4171"/>
      <c r="AV150" s="1970">
        <v>32.11</v>
      </c>
      <c r="AW150" s="853"/>
      <c r="AX150" s="43">
        <f t="shared" si="384"/>
        <v>335.04</v>
      </c>
      <c r="AY150" s="4171"/>
      <c r="AZ150" s="1970"/>
      <c r="BA150" s="904"/>
      <c r="BB150" s="618">
        <f t="shared" si="385"/>
        <v>32.11</v>
      </c>
      <c r="BC150" s="4187"/>
      <c r="BD150" s="6599">
        <f t="shared" si="386"/>
        <v>32.11</v>
      </c>
      <c r="BE150" s="853"/>
      <c r="BF150" s="43">
        <f t="shared" si="387"/>
        <v>335.04</v>
      </c>
      <c r="BG150" s="4590"/>
      <c r="BH150" s="4590"/>
      <c r="BI150" s="4590"/>
      <c r="BJ150" s="4590"/>
    </row>
    <row r="151" spans="1:62" ht="15.75" thickBot="1" x14ac:dyDescent="0.3">
      <c r="A151" s="93"/>
      <c r="B151" s="4219" t="s">
        <v>870</v>
      </c>
      <c r="C151" s="4212" t="s">
        <v>999</v>
      </c>
      <c r="D151" s="4183"/>
      <c r="E151" s="4171"/>
      <c r="F151" s="1970"/>
      <c r="G151" s="4171"/>
      <c r="H151" s="1970"/>
      <c r="I151" s="853"/>
      <c r="J151" s="373">
        <f t="shared" si="374"/>
        <v>0</v>
      </c>
      <c r="K151" s="4171"/>
      <c r="L151" s="1970"/>
      <c r="M151" s="904"/>
      <c r="N151" s="4125">
        <f t="shared" si="388"/>
        <v>0</v>
      </c>
      <c r="O151" s="4171"/>
      <c r="P151" s="1970">
        <v>310.94</v>
      </c>
      <c r="Q151" s="853"/>
      <c r="R151" s="373">
        <f t="shared" si="375"/>
        <v>310.94</v>
      </c>
      <c r="S151" s="4171"/>
      <c r="T151" s="1970">
        <v>369.74</v>
      </c>
      <c r="U151" s="853"/>
      <c r="V151" s="373">
        <f t="shared" si="376"/>
        <v>680.68000000000006</v>
      </c>
      <c r="W151" s="4171"/>
      <c r="X151" s="1970"/>
      <c r="Y151" s="904"/>
      <c r="Z151" s="618">
        <f t="shared" si="377"/>
        <v>680.68000000000006</v>
      </c>
      <c r="AA151" s="4187"/>
      <c r="AB151" s="4181">
        <f t="shared" si="378"/>
        <v>680.68000000000006</v>
      </c>
      <c r="AC151" s="4171"/>
      <c r="AD151" s="1970"/>
      <c r="AE151" s="853"/>
      <c r="AF151" s="373">
        <f t="shared" si="379"/>
        <v>680.68000000000006</v>
      </c>
      <c r="AG151" s="4171"/>
      <c r="AH151" s="1970"/>
      <c r="AI151" s="853"/>
      <c r="AJ151" s="373">
        <f t="shared" si="380"/>
        <v>680.68000000000006</v>
      </c>
      <c r="AK151" s="4171"/>
      <c r="AL151" s="1970"/>
      <c r="AM151" s="904"/>
      <c r="AN151" s="618">
        <f t="shared" si="381"/>
        <v>0</v>
      </c>
      <c r="AO151" s="853"/>
      <c r="AP151" s="373">
        <f t="shared" si="382"/>
        <v>680.68000000000006</v>
      </c>
      <c r="AQ151" s="4171"/>
      <c r="AR151" s="1970">
        <v>176.72</v>
      </c>
      <c r="AS151" s="853"/>
      <c r="AT151" s="43">
        <f t="shared" si="383"/>
        <v>857.40000000000009</v>
      </c>
      <c r="AU151" s="4171"/>
      <c r="AV151" s="1970"/>
      <c r="AW151" s="853"/>
      <c r="AX151" s="43">
        <f t="shared" si="384"/>
        <v>857.40000000000009</v>
      </c>
      <c r="AY151" s="4171"/>
      <c r="AZ151" s="1970">
        <v>62.48</v>
      </c>
      <c r="BA151" s="904"/>
      <c r="BB151" s="618">
        <f t="shared" ref="BB151:BB212" si="395">AR151+AV151+AZ151</f>
        <v>239.2</v>
      </c>
      <c r="BC151" s="4187"/>
      <c r="BD151" s="6599">
        <f t="shared" si="386"/>
        <v>239.2</v>
      </c>
      <c r="BE151" s="853"/>
      <c r="BF151" s="43">
        <f t="shared" si="387"/>
        <v>919.88000000000011</v>
      </c>
      <c r="BG151" s="4590"/>
      <c r="BH151" s="4590"/>
      <c r="BI151" s="4590"/>
      <c r="BJ151" s="4590"/>
    </row>
    <row r="152" spans="1:62" s="6137" customFormat="1" ht="15.75" thickBot="1" x14ac:dyDescent="0.3">
      <c r="A152" s="93"/>
      <c r="B152" s="4219" t="s">
        <v>870</v>
      </c>
      <c r="C152" s="6148" t="s">
        <v>906</v>
      </c>
      <c r="D152" s="6149"/>
      <c r="E152" s="6150"/>
      <c r="F152" s="6010"/>
      <c r="G152" s="6150"/>
      <c r="H152" s="6010"/>
      <c r="I152" s="6124"/>
      <c r="J152" s="373">
        <f t="shared" si="374"/>
        <v>0</v>
      </c>
      <c r="K152" s="6150"/>
      <c r="L152" s="6010"/>
      <c r="M152" s="6125"/>
      <c r="N152" s="6014"/>
      <c r="O152" s="6150"/>
      <c r="P152" s="6010"/>
      <c r="Q152" s="6124"/>
      <c r="R152" s="373"/>
      <c r="S152" s="6150"/>
      <c r="T152" s="6010"/>
      <c r="U152" s="6124"/>
      <c r="V152" s="373"/>
      <c r="W152" s="6150"/>
      <c r="X152" s="6010"/>
      <c r="Y152" s="6125"/>
      <c r="Z152" s="618"/>
      <c r="AA152" s="6151"/>
      <c r="AB152" s="4181"/>
      <c r="AC152" s="6150"/>
      <c r="AD152" s="6010"/>
      <c r="AE152" s="6124"/>
      <c r="AF152" s="373"/>
      <c r="AG152" s="6150"/>
      <c r="AH152" s="6010"/>
      <c r="AI152" s="6124"/>
      <c r="AJ152" s="373"/>
      <c r="AK152" s="6150"/>
      <c r="AL152" s="6010"/>
      <c r="AM152" s="6125"/>
      <c r="AN152" s="618">
        <f t="shared" si="381"/>
        <v>0</v>
      </c>
      <c r="AO152" s="6124"/>
      <c r="AP152" s="373">
        <f t="shared" si="382"/>
        <v>0</v>
      </c>
      <c r="AQ152" s="6150"/>
      <c r="AR152" s="6010">
        <v>82.13</v>
      </c>
      <c r="AS152" s="6124"/>
      <c r="AT152" s="43">
        <f t="shared" si="383"/>
        <v>82.13</v>
      </c>
      <c r="AU152" s="6150"/>
      <c r="AV152" s="6010">
        <v>60.2</v>
      </c>
      <c r="AW152" s="6124"/>
      <c r="AX152" s="43">
        <f t="shared" si="384"/>
        <v>142.32999999999998</v>
      </c>
      <c r="AY152" s="6150"/>
      <c r="AZ152" s="6010"/>
      <c r="BA152" s="6125"/>
      <c r="BB152" s="618">
        <f t="shared" si="395"/>
        <v>142.32999999999998</v>
      </c>
      <c r="BC152" s="6151"/>
      <c r="BD152" s="6599">
        <f t="shared" si="386"/>
        <v>142.32999999999998</v>
      </c>
      <c r="BE152" s="853"/>
      <c r="BF152" s="43">
        <f t="shared" si="387"/>
        <v>142.32999999999998</v>
      </c>
      <c r="BG152" s="4590"/>
      <c r="BH152" s="4590"/>
      <c r="BI152" s="4590"/>
      <c r="BJ152" s="4590"/>
    </row>
    <row r="153" spans="1:62" ht="15.75" thickBot="1" x14ac:dyDescent="0.3">
      <c r="A153" s="93"/>
      <c r="B153" s="4219" t="s">
        <v>870</v>
      </c>
      <c r="C153" s="4221" t="s">
        <v>1158</v>
      </c>
      <c r="D153" s="4222"/>
      <c r="E153" s="4016"/>
      <c r="F153" s="4150"/>
      <c r="G153" s="4016"/>
      <c r="H153" s="7173">
        <v>60.76</v>
      </c>
      <c r="I153" s="3465"/>
      <c r="J153" s="373">
        <f t="shared" si="374"/>
        <v>60.76</v>
      </c>
      <c r="K153" s="4016"/>
      <c r="L153" s="4579"/>
      <c r="M153" s="3420"/>
      <c r="N153" s="4568">
        <f t="shared" si="388"/>
        <v>60.76</v>
      </c>
      <c r="O153" s="4016"/>
      <c r="P153" s="4791"/>
      <c r="Q153" s="3465"/>
      <c r="R153" s="373">
        <f t="shared" si="375"/>
        <v>60.76</v>
      </c>
      <c r="S153" s="4016"/>
      <c r="T153" s="4902"/>
      <c r="U153" s="3465"/>
      <c r="V153" s="373">
        <f t="shared" si="376"/>
        <v>60.76</v>
      </c>
      <c r="W153" s="4016"/>
      <c r="X153" s="5032"/>
      <c r="Y153" s="3420"/>
      <c r="Z153" s="618">
        <f t="shared" si="377"/>
        <v>0</v>
      </c>
      <c r="AA153" s="4224"/>
      <c r="AB153" s="4181">
        <f t="shared" si="378"/>
        <v>60.76</v>
      </c>
      <c r="AC153" s="4016"/>
      <c r="AD153" s="5345"/>
      <c r="AE153" s="3465"/>
      <c r="AF153" s="373">
        <f t="shared" si="379"/>
        <v>60.76</v>
      </c>
      <c r="AG153" s="4016"/>
      <c r="AH153" s="5524"/>
      <c r="AI153" s="3465"/>
      <c r="AJ153" s="373">
        <f t="shared" si="380"/>
        <v>60.76</v>
      </c>
      <c r="AK153" s="4016"/>
      <c r="AL153" s="5918"/>
      <c r="AM153" s="3420"/>
      <c r="AN153" s="618">
        <f t="shared" si="381"/>
        <v>0</v>
      </c>
      <c r="AO153" s="3465"/>
      <c r="AP153" s="373">
        <f t="shared" si="382"/>
        <v>60.76</v>
      </c>
      <c r="AQ153" s="4016"/>
      <c r="AR153" s="6073">
        <v>100</v>
      </c>
      <c r="AS153" s="3465"/>
      <c r="AT153" s="43">
        <f t="shared" si="383"/>
        <v>160.76</v>
      </c>
      <c r="AU153" s="4016"/>
      <c r="AV153" s="6203"/>
      <c r="AW153" s="3465"/>
      <c r="AX153" s="43">
        <f t="shared" si="384"/>
        <v>160.76</v>
      </c>
      <c r="AY153" s="4016"/>
      <c r="AZ153" s="6410"/>
      <c r="BA153" s="3420"/>
      <c r="BB153" s="618">
        <f t="shared" si="395"/>
        <v>100</v>
      </c>
      <c r="BC153" s="4224"/>
      <c r="BD153" s="6599">
        <f t="shared" si="386"/>
        <v>100</v>
      </c>
      <c r="BE153" s="853"/>
      <c r="BF153" s="43">
        <f t="shared" si="387"/>
        <v>160.76</v>
      </c>
      <c r="BG153" s="4590"/>
      <c r="BH153" s="4590"/>
      <c r="BI153" s="4590"/>
      <c r="BJ153" s="4590"/>
    </row>
    <row r="154" spans="1:62" ht="15.75" thickBot="1" x14ac:dyDescent="0.3">
      <c r="A154" s="93"/>
      <c r="B154" s="4219" t="s">
        <v>870</v>
      </c>
      <c r="C154" s="4212" t="s">
        <v>915</v>
      </c>
      <c r="D154" s="4183"/>
      <c r="E154" s="4171"/>
      <c r="F154" s="1970"/>
      <c r="G154" s="4171"/>
      <c r="H154" s="1970"/>
      <c r="I154" s="853"/>
      <c r="J154" s="373">
        <f t="shared" si="374"/>
        <v>0</v>
      </c>
      <c r="K154" s="4171"/>
      <c r="L154" s="1970">
        <v>65.52</v>
      </c>
      <c r="M154" s="904"/>
      <c r="N154" s="4568">
        <f t="shared" si="388"/>
        <v>65.52</v>
      </c>
      <c r="O154" s="4171"/>
      <c r="P154" s="1970"/>
      <c r="Q154" s="853"/>
      <c r="R154" s="373">
        <f t="shared" si="375"/>
        <v>65.52</v>
      </c>
      <c r="S154" s="4171"/>
      <c r="T154" s="1970"/>
      <c r="U154" s="853"/>
      <c r="V154" s="373">
        <f t="shared" si="376"/>
        <v>65.52</v>
      </c>
      <c r="W154" s="4171"/>
      <c r="X154" s="1970"/>
      <c r="Y154" s="904"/>
      <c r="Z154" s="618">
        <f t="shared" si="377"/>
        <v>0</v>
      </c>
      <c r="AA154" s="4187"/>
      <c r="AB154" s="4181">
        <f t="shared" si="378"/>
        <v>65.52</v>
      </c>
      <c r="AC154" s="4171"/>
      <c r="AD154" s="1970">
        <v>39.979999999999997</v>
      </c>
      <c r="AE154" s="853"/>
      <c r="AF154" s="373">
        <f t="shared" si="379"/>
        <v>105.5</v>
      </c>
      <c r="AG154" s="4171"/>
      <c r="AH154" s="1970">
        <v>120.86</v>
      </c>
      <c r="AI154" s="853"/>
      <c r="AJ154" s="373">
        <f t="shared" si="380"/>
        <v>226.36</v>
      </c>
      <c r="AK154" s="4171"/>
      <c r="AL154" s="1970"/>
      <c r="AM154" s="904"/>
      <c r="AN154" s="618">
        <f t="shared" si="381"/>
        <v>160.84</v>
      </c>
      <c r="AO154" s="853"/>
      <c r="AP154" s="373">
        <f t="shared" si="382"/>
        <v>226.36</v>
      </c>
      <c r="AQ154" s="4171"/>
      <c r="AR154" s="1970"/>
      <c r="AS154" s="853"/>
      <c r="AT154" s="43">
        <f t="shared" si="383"/>
        <v>226.36</v>
      </c>
      <c r="AU154" s="4171"/>
      <c r="AV154" s="1970">
        <v>180.62</v>
      </c>
      <c r="AW154" s="853"/>
      <c r="AX154" s="43">
        <f t="shared" si="384"/>
        <v>406.98</v>
      </c>
      <c r="AY154" s="4171"/>
      <c r="AZ154" s="1970"/>
      <c r="BA154" s="904"/>
      <c r="BB154" s="618">
        <f t="shared" si="395"/>
        <v>180.62</v>
      </c>
      <c r="BC154" s="4187"/>
      <c r="BD154" s="6599">
        <f t="shared" si="386"/>
        <v>341.46000000000004</v>
      </c>
      <c r="BE154" s="853"/>
      <c r="BF154" s="43">
        <f t="shared" si="387"/>
        <v>406.98</v>
      </c>
      <c r="BG154" s="4590"/>
      <c r="BH154" s="4590"/>
      <c r="BI154" s="4590"/>
      <c r="BJ154" s="4590"/>
    </row>
    <row r="155" spans="1:62" ht="15.75" thickBot="1" x14ac:dyDescent="0.3">
      <c r="A155" s="93"/>
      <c r="B155" s="4219" t="s">
        <v>870</v>
      </c>
      <c r="C155" s="4212" t="s">
        <v>1154</v>
      </c>
      <c r="D155" s="4183"/>
      <c r="E155" s="4171"/>
      <c r="F155" s="1970">
        <v>40.54</v>
      </c>
      <c r="G155" s="4171"/>
      <c r="H155" s="1970"/>
      <c r="I155" s="853"/>
      <c r="J155" s="373">
        <f t="shared" si="374"/>
        <v>40.54</v>
      </c>
      <c r="K155" s="4171"/>
      <c r="L155" s="1970"/>
      <c r="M155" s="904"/>
      <c r="N155" s="4568">
        <f t="shared" si="388"/>
        <v>40.54</v>
      </c>
      <c r="O155" s="4171"/>
      <c r="P155" s="1970"/>
      <c r="Q155" s="853"/>
      <c r="R155" s="373">
        <f t="shared" si="375"/>
        <v>40.54</v>
      </c>
      <c r="S155" s="4171"/>
      <c r="T155" s="1970"/>
      <c r="U155" s="853"/>
      <c r="V155" s="373">
        <f t="shared" si="376"/>
        <v>40.54</v>
      </c>
      <c r="W155" s="4171"/>
      <c r="X155" s="1970">
        <v>80.83</v>
      </c>
      <c r="Y155" s="904"/>
      <c r="Z155" s="618">
        <f t="shared" si="377"/>
        <v>80.83</v>
      </c>
      <c r="AA155" s="4187"/>
      <c r="AB155" s="4181">
        <f t="shared" si="378"/>
        <v>121.37</v>
      </c>
      <c r="AC155" s="4171"/>
      <c r="AD155" s="1970"/>
      <c r="AE155" s="853"/>
      <c r="AF155" s="373">
        <f t="shared" si="379"/>
        <v>121.37</v>
      </c>
      <c r="AG155" s="4171"/>
      <c r="AH155" s="1970"/>
      <c r="AI155" s="853"/>
      <c r="AJ155" s="373">
        <f t="shared" si="380"/>
        <v>121.37</v>
      </c>
      <c r="AK155" s="4171"/>
      <c r="AL155" s="1970">
        <v>95.860000000000014</v>
      </c>
      <c r="AM155" s="904"/>
      <c r="AN155" s="618">
        <f t="shared" si="381"/>
        <v>95.860000000000014</v>
      </c>
      <c r="AO155" s="853"/>
      <c r="AP155" s="373">
        <f t="shared" si="382"/>
        <v>217.23000000000002</v>
      </c>
      <c r="AQ155" s="4171"/>
      <c r="AR155" s="1970"/>
      <c r="AS155" s="853"/>
      <c r="AT155" s="43">
        <f t="shared" si="383"/>
        <v>217.23000000000002</v>
      </c>
      <c r="AU155" s="4171"/>
      <c r="AV155" s="1970"/>
      <c r="AW155" s="853"/>
      <c r="AX155" s="43">
        <f t="shared" si="384"/>
        <v>217.23000000000002</v>
      </c>
      <c r="AY155" s="4171"/>
      <c r="AZ155" s="1970"/>
      <c r="BA155" s="904"/>
      <c r="BB155" s="618">
        <f t="shared" si="395"/>
        <v>0</v>
      </c>
      <c r="BC155" s="4187"/>
      <c r="BD155" s="6599">
        <f t="shared" si="386"/>
        <v>95.860000000000014</v>
      </c>
      <c r="BE155" s="853"/>
      <c r="BF155" s="43">
        <f t="shared" si="387"/>
        <v>217.23000000000002</v>
      </c>
      <c r="BG155" s="4590"/>
      <c r="BH155" s="4590"/>
      <c r="BI155" s="4590"/>
      <c r="BJ155" s="4590"/>
    </row>
    <row r="156" spans="1:62" ht="15.75" thickBot="1" x14ac:dyDescent="0.3">
      <c r="A156" s="93"/>
      <c r="B156" s="4219" t="s">
        <v>870</v>
      </c>
      <c r="C156" s="4221" t="s">
        <v>879</v>
      </c>
      <c r="D156" s="4222"/>
      <c r="E156" s="4016"/>
      <c r="F156" s="4150"/>
      <c r="G156" s="4016"/>
      <c r="H156" s="7173"/>
      <c r="I156" s="3465"/>
      <c r="J156" s="373">
        <f t="shared" si="374"/>
        <v>0</v>
      </c>
      <c r="K156" s="4016"/>
      <c r="L156" s="4579"/>
      <c r="M156" s="3420"/>
      <c r="N156" s="4568">
        <f t="shared" si="388"/>
        <v>0</v>
      </c>
      <c r="O156" s="4016"/>
      <c r="P156" s="4791"/>
      <c r="Q156" s="3465"/>
      <c r="R156" s="373">
        <f t="shared" si="375"/>
        <v>0</v>
      </c>
      <c r="S156" s="4016"/>
      <c r="T156" s="4902"/>
      <c r="U156" s="3465"/>
      <c r="V156" s="373">
        <f t="shared" si="376"/>
        <v>0</v>
      </c>
      <c r="W156" s="4016"/>
      <c r="X156" s="5032"/>
      <c r="Y156" s="3420"/>
      <c r="Z156" s="618">
        <f t="shared" si="377"/>
        <v>0</v>
      </c>
      <c r="AA156" s="4224"/>
      <c r="AB156" s="4181">
        <f t="shared" si="378"/>
        <v>0</v>
      </c>
      <c r="AC156" s="4016"/>
      <c r="AD156" s="5345"/>
      <c r="AE156" s="3465"/>
      <c r="AF156" s="373">
        <f t="shared" si="379"/>
        <v>0</v>
      </c>
      <c r="AG156" s="4016"/>
      <c r="AH156" s="5524"/>
      <c r="AI156" s="3465"/>
      <c r="AJ156" s="373">
        <f t="shared" si="380"/>
        <v>0</v>
      </c>
      <c r="AK156" s="4016"/>
      <c r="AL156" s="5918"/>
      <c r="AM156" s="3420"/>
      <c r="AN156" s="618">
        <f t="shared" si="381"/>
        <v>0</v>
      </c>
      <c r="AO156" s="3465"/>
      <c r="AP156" s="373">
        <f t="shared" si="382"/>
        <v>0</v>
      </c>
      <c r="AQ156" s="4016"/>
      <c r="AR156" s="6073"/>
      <c r="AS156" s="3465"/>
      <c r="AT156" s="43">
        <f t="shared" si="383"/>
        <v>0</v>
      </c>
      <c r="AU156" s="4016"/>
      <c r="AV156" s="6203"/>
      <c r="AW156" s="3465"/>
      <c r="AX156" s="43">
        <f t="shared" si="384"/>
        <v>0</v>
      </c>
      <c r="AY156" s="4016"/>
      <c r="AZ156" s="6410"/>
      <c r="BA156" s="3420"/>
      <c r="BB156" s="618">
        <f t="shared" si="395"/>
        <v>0</v>
      </c>
      <c r="BC156" s="4224"/>
      <c r="BD156" s="6599">
        <f t="shared" si="386"/>
        <v>0</v>
      </c>
      <c r="BE156" s="853"/>
      <c r="BF156" s="43">
        <f t="shared" si="387"/>
        <v>0</v>
      </c>
      <c r="BG156" s="4590"/>
      <c r="BH156" s="4590"/>
      <c r="BI156" s="4590"/>
      <c r="BJ156" s="4590"/>
    </row>
    <row r="157" spans="1:62" ht="15.75" thickBot="1" x14ac:dyDescent="0.3">
      <c r="A157" s="154"/>
      <c r="B157" s="4219" t="s">
        <v>870</v>
      </c>
      <c r="C157" s="4212" t="s">
        <v>1295</v>
      </c>
      <c r="D157" s="4212"/>
      <c r="E157" s="4171"/>
      <c r="F157" s="1970"/>
      <c r="G157" s="4171"/>
      <c r="H157" s="1970"/>
      <c r="I157" s="853"/>
      <c r="J157" s="373">
        <f t="shared" si="374"/>
        <v>0</v>
      </c>
      <c r="K157" s="4171"/>
      <c r="L157" s="1970">
        <v>128.98000000000002</v>
      </c>
      <c r="M157" s="904"/>
      <c r="N157" s="4568">
        <f t="shared" si="388"/>
        <v>128.98000000000002</v>
      </c>
      <c r="O157" s="4171"/>
      <c r="P157" s="1970"/>
      <c r="Q157" s="853"/>
      <c r="R157" s="373">
        <f t="shared" si="375"/>
        <v>128.98000000000002</v>
      </c>
      <c r="S157" s="4171"/>
      <c r="T157" s="1970"/>
      <c r="U157" s="853"/>
      <c r="V157" s="373">
        <f t="shared" si="376"/>
        <v>128.98000000000002</v>
      </c>
      <c r="W157" s="4171"/>
      <c r="X157" s="1970"/>
      <c r="Y157" s="904"/>
      <c r="Z157" s="618">
        <f t="shared" si="377"/>
        <v>0</v>
      </c>
      <c r="AA157" s="4187"/>
      <c r="AB157" s="4181">
        <f t="shared" si="378"/>
        <v>128.98000000000002</v>
      </c>
      <c r="AC157" s="4171"/>
      <c r="AD157" s="1970"/>
      <c r="AE157" s="853"/>
      <c r="AF157" s="373">
        <f t="shared" si="379"/>
        <v>128.98000000000002</v>
      </c>
      <c r="AG157" s="4171"/>
      <c r="AH157" s="1970"/>
      <c r="AI157" s="853"/>
      <c r="AJ157" s="373">
        <f t="shared" si="380"/>
        <v>128.98000000000002</v>
      </c>
      <c r="AK157" s="4171"/>
      <c r="AL157" s="1970"/>
      <c r="AM157" s="904"/>
      <c r="AN157" s="618">
        <f t="shared" si="381"/>
        <v>0</v>
      </c>
      <c r="AO157" s="853"/>
      <c r="AP157" s="373">
        <f t="shared" si="382"/>
        <v>128.98000000000002</v>
      </c>
      <c r="AQ157" s="4171"/>
      <c r="AR157" s="1970"/>
      <c r="AS157" s="853"/>
      <c r="AT157" s="43">
        <f t="shared" si="383"/>
        <v>128.98000000000002</v>
      </c>
      <c r="AU157" s="4171"/>
      <c r="AV157" s="1970"/>
      <c r="AW157" s="853"/>
      <c r="AX157" s="43">
        <f t="shared" si="384"/>
        <v>128.98000000000002</v>
      </c>
      <c r="AY157" s="4171"/>
      <c r="AZ157" s="1970"/>
      <c r="BA157" s="904"/>
      <c r="BB157" s="618">
        <f t="shared" si="395"/>
        <v>0</v>
      </c>
      <c r="BC157" s="4187"/>
      <c r="BD157" s="6599">
        <f t="shared" si="386"/>
        <v>0</v>
      </c>
      <c r="BE157" s="853"/>
      <c r="BF157" s="43">
        <f t="shared" si="387"/>
        <v>128.98000000000002</v>
      </c>
      <c r="BG157" s="4590"/>
      <c r="BH157" s="4590"/>
      <c r="BI157" s="4590"/>
      <c r="BJ157" s="4590"/>
    </row>
    <row r="158" spans="1:62" ht="15.75" thickBot="1" x14ac:dyDescent="0.3">
      <c r="A158" s="154"/>
      <c r="B158" s="4219" t="s">
        <v>870</v>
      </c>
      <c r="C158" s="4221" t="s">
        <v>1156</v>
      </c>
      <c r="D158" s="4221"/>
      <c r="E158" s="4016"/>
      <c r="F158" s="4150">
        <v>126.92</v>
      </c>
      <c r="G158" s="4016"/>
      <c r="H158" s="7173">
        <v>63.56</v>
      </c>
      <c r="I158" s="3465"/>
      <c r="J158" s="373">
        <f t="shared" si="374"/>
        <v>190.48000000000002</v>
      </c>
      <c r="K158" s="4016"/>
      <c r="L158" s="4579">
        <v>60.1</v>
      </c>
      <c r="M158" s="3420"/>
      <c r="N158" s="4568">
        <f t="shared" si="388"/>
        <v>250.58</v>
      </c>
      <c r="O158" s="4016"/>
      <c r="P158" s="4791"/>
      <c r="Q158" s="3465"/>
      <c r="R158" s="373">
        <f t="shared" si="375"/>
        <v>250.58</v>
      </c>
      <c r="S158" s="4016"/>
      <c r="T158" s="4902"/>
      <c r="U158" s="3465"/>
      <c r="V158" s="373">
        <f t="shared" si="376"/>
        <v>250.58</v>
      </c>
      <c r="W158" s="4016"/>
      <c r="X158" s="5032"/>
      <c r="Y158" s="3420"/>
      <c r="Z158" s="618">
        <f t="shared" si="377"/>
        <v>0</v>
      </c>
      <c r="AA158" s="4224"/>
      <c r="AB158" s="4181">
        <f t="shared" si="378"/>
        <v>250.58</v>
      </c>
      <c r="AC158" s="4016"/>
      <c r="AD158" s="5345"/>
      <c r="AE158" s="3465"/>
      <c r="AF158" s="373">
        <f t="shared" si="379"/>
        <v>250.58</v>
      </c>
      <c r="AG158" s="4016"/>
      <c r="AH158" s="5524"/>
      <c r="AI158" s="3465"/>
      <c r="AJ158" s="373">
        <f t="shared" si="380"/>
        <v>250.58</v>
      </c>
      <c r="AK158" s="4016"/>
      <c r="AL158" s="5918"/>
      <c r="AM158" s="3420"/>
      <c r="AN158" s="618">
        <f t="shared" si="381"/>
        <v>0</v>
      </c>
      <c r="AO158" s="3465"/>
      <c r="AP158" s="373">
        <f t="shared" si="382"/>
        <v>250.58</v>
      </c>
      <c r="AQ158" s="4016"/>
      <c r="AR158" s="6073"/>
      <c r="AS158" s="3465"/>
      <c r="AT158" s="43">
        <f t="shared" si="383"/>
        <v>250.58</v>
      </c>
      <c r="AU158" s="4016"/>
      <c r="AV158" s="6203"/>
      <c r="AW158" s="3465"/>
      <c r="AX158" s="43">
        <f t="shared" si="384"/>
        <v>250.58</v>
      </c>
      <c r="AY158" s="4016"/>
      <c r="AZ158" s="6410"/>
      <c r="BA158" s="3420"/>
      <c r="BB158" s="618">
        <f t="shared" si="395"/>
        <v>0</v>
      </c>
      <c r="BC158" s="4224"/>
      <c r="BD158" s="6599">
        <f t="shared" si="386"/>
        <v>0</v>
      </c>
      <c r="BE158" s="853"/>
      <c r="BF158" s="43">
        <f t="shared" si="387"/>
        <v>250.58</v>
      </c>
      <c r="BG158" s="4590"/>
      <c r="BH158" s="4590"/>
      <c r="BI158" s="4590"/>
      <c r="BJ158" s="4590"/>
    </row>
    <row r="159" spans="1:62" ht="15.75" thickBot="1" x14ac:dyDescent="0.3">
      <c r="A159" s="154"/>
      <c r="B159" s="4219" t="s">
        <v>870</v>
      </c>
      <c r="C159" s="4212" t="s">
        <v>1157</v>
      </c>
      <c r="D159" s="4212"/>
      <c r="E159" s="4171"/>
      <c r="F159" s="1970">
        <v>1802.5199999999995</v>
      </c>
      <c r="G159" s="4171"/>
      <c r="H159" s="1970">
        <v>1727.8400000000001</v>
      </c>
      <c r="I159" s="853"/>
      <c r="J159" s="373">
        <f t="shared" si="374"/>
        <v>3530.3599999999997</v>
      </c>
      <c r="K159" s="4171"/>
      <c r="L159" s="1970">
        <v>1821.1800000000005</v>
      </c>
      <c r="M159" s="904"/>
      <c r="N159" s="4125">
        <f t="shared" si="388"/>
        <v>5351.54</v>
      </c>
      <c r="O159" s="4171"/>
      <c r="P159" s="1970">
        <v>130.92000000000002</v>
      </c>
      <c r="Q159" s="853"/>
      <c r="R159" s="373">
        <f t="shared" si="375"/>
        <v>5482.46</v>
      </c>
      <c r="S159" s="4171"/>
      <c r="T159" s="1970">
        <v>3397.2799999999993</v>
      </c>
      <c r="U159" s="853"/>
      <c r="V159" s="373">
        <f t="shared" si="376"/>
        <v>8879.74</v>
      </c>
      <c r="W159" s="4171"/>
      <c r="X159" s="1970">
        <v>1305.4199999999998</v>
      </c>
      <c r="Y159" s="904"/>
      <c r="Z159" s="618">
        <f t="shared" si="377"/>
        <v>4833.619999999999</v>
      </c>
      <c r="AA159" s="4187"/>
      <c r="AB159" s="4181">
        <f t="shared" si="378"/>
        <v>10185.16</v>
      </c>
      <c r="AC159" s="4171"/>
      <c r="AD159" s="1970">
        <v>4023.360000000001</v>
      </c>
      <c r="AE159" s="853"/>
      <c r="AF159" s="373">
        <f t="shared" si="379"/>
        <v>14208.52</v>
      </c>
      <c r="AG159" s="4171"/>
      <c r="AH159" s="1970">
        <v>1370.14</v>
      </c>
      <c r="AI159" s="853"/>
      <c r="AJ159" s="373">
        <f t="shared" si="380"/>
        <v>15578.66</v>
      </c>
      <c r="AK159" s="4171"/>
      <c r="AL159" s="1970">
        <v>1811.2199999999991</v>
      </c>
      <c r="AM159" s="904"/>
      <c r="AN159" s="618">
        <f t="shared" si="381"/>
        <v>7204.72</v>
      </c>
      <c r="AO159" s="853"/>
      <c r="AP159" s="373">
        <f t="shared" si="382"/>
        <v>17389.879999999997</v>
      </c>
      <c r="AQ159" s="4171"/>
      <c r="AR159" s="1970"/>
      <c r="AS159" s="853"/>
      <c r="AT159" s="43">
        <f t="shared" si="383"/>
        <v>17389.879999999997</v>
      </c>
      <c r="AU159" s="4171"/>
      <c r="AV159" s="1970">
        <v>973.66</v>
      </c>
      <c r="AW159" s="853"/>
      <c r="AX159" s="43">
        <f t="shared" si="384"/>
        <v>18363.539999999997</v>
      </c>
      <c r="AY159" s="4171"/>
      <c r="AZ159" s="1970">
        <v>1531.5800000000002</v>
      </c>
      <c r="BA159" s="904"/>
      <c r="BB159" s="618">
        <f t="shared" si="395"/>
        <v>2505.2400000000002</v>
      </c>
      <c r="BC159" s="4187"/>
      <c r="BD159" s="6599">
        <f t="shared" si="386"/>
        <v>9709.9600000000009</v>
      </c>
      <c r="BE159" s="853"/>
      <c r="BF159" s="43">
        <f t="shared" si="387"/>
        <v>19895.12</v>
      </c>
      <c r="BG159" s="4590"/>
      <c r="BH159" s="4590"/>
      <c r="BI159" s="4590"/>
      <c r="BJ159" s="4590"/>
    </row>
    <row r="160" spans="1:62" ht="15.75" thickBot="1" x14ac:dyDescent="0.3">
      <c r="A160" s="93"/>
      <c r="B160" s="4219" t="s">
        <v>870</v>
      </c>
      <c r="C160" s="4212" t="s">
        <v>910</v>
      </c>
      <c r="D160" s="159"/>
      <c r="E160" s="159"/>
      <c r="F160" s="1970">
        <v>253.16000000000003</v>
      </c>
      <c r="G160" s="7162"/>
      <c r="H160" s="1970"/>
      <c r="I160" s="590"/>
      <c r="J160" s="373">
        <f t="shared" si="374"/>
        <v>253.16000000000003</v>
      </c>
      <c r="K160" s="4573"/>
      <c r="L160" s="4573"/>
      <c r="M160" s="948"/>
      <c r="N160" s="4125">
        <f t="shared" si="388"/>
        <v>253.16000000000003</v>
      </c>
      <c r="O160" s="4777"/>
      <c r="P160" s="4777"/>
      <c r="Q160" s="590"/>
      <c r="R160" s="373">
        <f t="shared" si="375"/>
        <v>253.16000000000003</v>
      </c>
      <c r="S160" s="4887"/>
      <c r="T160" s="4887">
        <v>64.040000000000006</v>
      </c>
      <c r="U160" s="4888"/>
      <c r="V160" s="373">
        <f t="shared" si="376"/>
        <v>317.20000000000005</v>
      </c>
      <c r="W160" s="5025"/>
      <c r="X160" s="1970">
        <v>65.34</v>
      </c>
      <c r="Y160" s="948"/>
      <c r="Z160" s="618">
        <f t="shared" si="377"/>
        <v>129.38</v>
      </c>
      <c r="AA160" s="4223"/>
      <c r="AB160" s="4181">
        <f t="shared" si="378"/>
        <v>382.54</v>
      </c>
      <c r="AC160" s="5336"/>
      <c r="AD160" s="1970"/>
      <c r="AE160" s="590"/>
      <c r="AF160" s="373">
        <f t="shared" si="379"/>
        <v>382.54</v>
      </c>
      <c r="AG160" s="5509"/>
      <c r="AH160" s="1970">
        <v>285.33000000000004</v>
      </c>
      <c r="AI160" s="590"/>
      <c r="AJ160" s="373">
        <f t="shared" si="380"/>
        <v>667.87000000000012</v>
      </c>
      <c r="AK160" s="5910"/>
      <c r="AL160" s="1970">
        <v>131.47999999999999</v>
      </c>
      <c r="AM160" s="948"/>
      <c r="AN160" s="618">
        <f t="shared" si="381"/>
        <v>416.81000000000006</v>
      </c>
      <c r="AO160" s="590"/>
      <c r="AP160" s="373">
        <f t="shared" si="382"/>
        <v>799.35000000000014</v>
      </c>
      <c r="AQ160" s="6065"/>
      <c r="AR160" s="1970">
        <v>193.44</v>
      </c>
      <c r="AS160" s="590"/>
      <c r="AT160" s="43">
        <f t="shared" si="383"/>
        <v>992.79000000000019</v>
      </c>
      <c r="AU160" s="6184"/>
      <c r="AV160" s="1970"/>
      <c r="AW160" s="6191"/>
      <c r="AX160" s="43">
        <f t="shared" si="384"/>
        <v>992.79000000000019</v>
      </c>
      <c r="AY160" s="6398"/>
      <c r="AZ160" s="1970"/>
      <c r="BA160" s="948"/>
      <c r="BB160" s="618">
        <f t="shared" si="395"/>
        <v>193.44</v>
      </c>
      <c r="BC160" s="4223"/>
      <c r="BD160" s="6599">
        <f t="shared" si="386"/>
        <v>610.25</v>
      </c>
      <c r="BE160" s="590"/>
      <c r="BF160" s="43">
        <f t="shared" si="387"/>
        <v>992.79000000000019</v>
      </c>
      <c r="BG160" s="4590"/>
      <c r="BH160" s="4590"/>
      <c r="BI160" s="4590"/>
      <c r="BJ160" s="4590"/>
    </row>
    <row r="161" spans="1:62" ht="15.75" thickBot="1" x14ac:dyDescent="0.3">
      <c r="A161" s="93"/>
      <c r="B161" s="4219" t="s">
        <v>870</v>
      </c>
      <c r="C161" s="4212" t="s">
        <v>884</v>
      </c>
      <c r="D161" s="4183"/>
      <c r="E161" s="4171"/>
      <c r="F161" s="1970">
        <v>4544.3099999999995</v>
      </c>
      <c r="G161" s="4171"/>
      <c r="H161" s="1970">
        <v>3683.9400000000005</v>
      </c>
      <c r="I161" s="853"/>
      <c r="J161" s="373">
        <f t="shared" si="374"/>
        <v>8228.25</v>
      </c>
      <c r="K161" s="4171"/>
      <c r="L161" s="1970">
        <v>7116.6099999999988</v>
      </c>
      <c r="M161" s="904"/>
      <c r="N161" s="4125">
        <f t="shared" si="388"/>
        <v>15344.859999999999</v>
      </c>
      <c r="O161" s="4171"/>
      <c r="P161" s="1970">
        <v>4183.83</v>
      </c>
      <c r="Q161" s="853"/>
      <c r="R161" s="373">
        <f t="shared" si="375"/>
        <v>19528.689999999999</v>
      </c>
      <c r="S161" s="4171"/>
      <c r="T161" s="1970">
        <v>14033.62</v>
      </c>
      <c r="U161" s="853"/>
      <c r="V161" s="373">
        <f t="shared" si="376"/>
        <v>33562.31</v>
      </c>
      <c r="W161" s="4171"/>
      <c r="X161" s="1970">
        <v>6963.8699999999972</v>
      </c>
      <c r="Y161" s="904"/>
      <c r="Z161" s="618">
        <f t="shared" si="377"/>
        <v>25181.32</v>
      </c>
      <c r="AA161" s="4187"/>
      <c r="AB161" s="4181">
        <f t="shared" si="378"/>
        <v>40526.18</v>
      </c>
      <c r="AC161" s="4171"/>
      <c r="AD161" s="1970">
        <v>12198.93</v>
      </c>
      <c r="AE161" s="853"/>
      <c r="AF161" s="373">
        <f t="shared" si="379"/>
        <v>52725.11</v>
      </c>
      <c r="AG161" s="4171"/>
      <c r="AH161" s="1970">
        <v>7534.6400000000012</v>
      </c>
      <c r="AI161" s="853"/>
      <c r="AJ161" s="373">
        <f t="shared" si="380"/>
        <v>60259.75</v>
      </c>
      <c r="AK161" s="4171"/>
      <c r="AL161" s="1970">
        <v>8494.83</v>
      </c>
      <c r="AM161" s="904"/>
      <c r="AN161" s="618">
        <f t="shared" si="381"/>
        <v>28228.400000000001</v>
      </c>
      <c r="AO161" s="853"/>
      <c r="AP161" s="373">
        <f t="shared" si="382"/>
        <v>68754.58</v>
      </c>
      <c r="AQ161" s="4171"/>
      <c r="AR161" s="1970">
        <v>10615.149999999998</v>
      </c>
      <c r="AS161" s="853"/>
      <c r="AT161" s="43">
        <f t="shared" si="383"/>
        <v>79369.73</v>
      </c>
      <c r="AU161" s="4171"/>
      <c r="AV161" s="1970">
        <v>6072.32</v>
      </c>
      <c r="AW161" s="853"/>
      <c r="AX161" s="43">
        <f t="shared" si="384"/>
        <v>85442.049999999988</v>
      </c>
      <c r="AY161" s="4171"/>
      <c r="AZ161" s="1970">
        <v>5573.04</v>
      </c>
      <c r="BA161" s="904"/>
      <c r="BB161" s="618">
        <f t="shared" si="395"/>
        <v>22260.51</v>
      </c>
      <c r="BC161" s="4187"/>
      <c r="BD161" s="6599">
        <f t="shared" si="386"/>
        <v>50488.91</v>
      </c>
      <c r="BE161" s="853"/>
      <c r="BF161" s="43">
        <f t="shared" si="387"/>
        <v>91015.089999999982</v>
      </c>
      <c r="BG161" s="4590"/>
      <c r="BH161" s="4590"/>
      <c r="BI161" s="4590"/>
      <c r="BJ161" s="4590"/>
    </row>
    <row r="162" spans="1:62" ht="15.75" thickBot="1" x14ac:dyDescent="0.3">
      <c r="A162" s="93"/>
      <c r="B162" s="4219" t="s">
        <v>870</v>
      </c>
      <c r="C162" s="4212" t="s">
        <v>1160</v>
      </c>
      <c r="D162" s="4183"/>
      <c r="E162" s="4171"/>
      <c r="F162" s="1970">
        <v>1559.26</v>
      </c>
      <c r="G162" s="4171"/>
      <c r="H162" s="1970">
        <v>1825.5500000000002</v>
      </c>
      <c r="I162" s="853"/>
      <c r="J162" s="373">
        <f t="shared" si="374"/>
        <v>3384.8100000000004</v>
      </c>
      <c r="K162" s="4171"/>
      <c r="L162" s="1970">
        <v>932.99000000000012</v>
      </c>
      <c r="M162" s="904"/>
      <c r="N162" s="4125">
        <f t="shared" si="388"/>
        <v>4317.8</v>
      </c>
      <c r="O162" s="4171"/>
      <c r="P162" s="1970">
        <v>1220.47</v>
      </c>
      <c r="Q162" s="853"/>
      <c r="R162" s="373">
        <f t="shared" ref="R162:R208" si="396">N162+P162</f>
        <v>5538.27</v>
      </c>
      <c r="S162" s="4171"/>
      <c r="T162" s="1970">
        <v>1256.31</v>
      </c>
      <c r="U162" s="853"/>
      <c r="V162" s="373">
        <f t="shared" ref="V162:V213" si="397">R162+T162</f>
        <v>6794.58</v>
      </c>
      <c r="W162" s="4171"/>
      <c r="X162" s="1970">
        <v>818.53000000000009</v>
      </c>
      <c r="Y162" s="904"/>
      <c r="Z162" s="618">
        <f t="shared" si="377"/>
        <v>3295.31</v>
      </c>
      <c r="AA162" s="4187"/>
      <c r="AB162" s="4181">
        <f t="shared" si="378"/>
        <v>7613.1100000000006</v>
      </c>
      <c r="AC162" s="4171"/>
      <c r="AD162" s="1970">
        <v>1188.3200000000002</v>
      </c>
      <c r="AE162" s="853"/>
      <c r="AF162" s="373">
        <f t="shared" si="379"/>
        <v>8801.43</v>
      </c>
      <c r="AG162" s="4171"/>
      <c r="AH162" s="1970">
        <v>614.15</v>
      </c>
      <c r="AI162" s="853"/>
      <c r="AJ162" s="373">
        <f t="shared" si="380"/>
        <v>9415.58</v>
      </c>
      <c r="AK162" s="4171"/>
      <c r="AL162" s="1970">
        <v>1312.9499999999998</v>
      </c>
      <c r="AM162" s="904"/>
      <c r="AN162" s="618">
        <f t="shared" si="381"/>
        <v>3115.42</v>
      </c>
      <c r="AO162" s="853"/>
      <c r="AP162" s="373">
        <f t="shared" si="382"/>
        <v>10728.529999999999</v>
      </c>
      <c r="AQ162" s="4171"/>
      <c r="AR162" s="1970">
        <v>893.05000000000007</v>
      </c>
      <c r="AS162" s="853"/>
      <c r="AT162" s="43">
        <f t="shared" si="383"/>
        <v>11621.579999999998</v>
      </c>
      <c r="AU162" s="4171"/>
      <c r="AV162" s="1970">
        <v>2012.5900000000001</v>
      </c>
      <c r="AW162" s="853"/>
      <c r="AX162" s="43">
        <f t="shared" si="384"/>
        <v>13634.169999999998</v>
      </c>
      <c r="AY162" s="4171"/>
      <c r="AZ162" s="1970">
        <v>584.04</v>
      </c>
      <c r="BA162" s="904"/>
      <c r="BB162" s="618">
        <f t="shared" si="395"/>
        <v>3489.6800000000003</v>
      </c>
      <c r="BC162" s="4187"/>
      <c r="BD162" s="6599">
        <f t="shared" si="386"/>
        <v>6605.1</v>
      </c>
      <c r="BE162" s="853"/>
      <c r="BF162" s="43">
        <f t="shared" si="387"/>
        <v>14218.21</v>
      </c>
      <c r="BG162" s="4590"/>
      <c r="BH162" s="4590"/>
      <c r="BI162" s="4590"/>
      <c r="BJ162" s="4590"/>
    </row>
    <row r="163" spans="1:62" ht="15.75" thickBot="1" x14ac:dyDescent="0.3">
      <c r="A163" s="93"/>
      <c r="B163" s="4216" t="s">
        <v>1005</v>
      </c>
      <c r="C163" s="4211" t="s">
        <v>1156</v>
      </c>
      <c r="D163" s="4176"/>
      <c r="E163" s="4191"/>
      <c r="F163" s="158"/>
      <c r="G163" s="4191"/>
      <c r="H163" s="158"/>
      <c r="I163" s="3464"/>
      <c r="J163" s="373">
        <f t="shared" si="374"/>
        <v>0</v>
      </c>
      <c r="K163" s="4191"/>
      <c r="L163" s="158"/>
      <c r="M163" s="4192"/>
      <c r="N163" s="618">
        <f t="shared" si="388"/>
        <v>0</v>
      </c>
      <c r="O163" s="4191"/>
      <c r="P163" s="158"/>
      <c r="Q163" s="3464"/>
      <c r="R163" s="373">
        <f t="shared" si="396"/>
        <v>0</v>
      </c>
      <c r="S163" s="4191"/>
      <c r="T163" s="158"/>
      <c r="U163" s="3464"/>
      <c r="V163" s="373">
        <f t="shared" si="397"/>
        <v>0</v>
      </c>
      <c r="W163" s="4191"/>
      <c r="X163" s="158"/>
      <c r="Y163" s="4192"/>
      <c r="Z163" s="618">
        <f t="shared" si="377"/>
        <v>0</v>
      </c>
      <c r="AA163" s="4193"/>
      <c r="AB163" s="4181">
        <f t="shared" si="378"/>
        <v>0</v>
      </c>
      <c r="AC163" s="4191"/>
      <c r="AD163" s="158"/>
      <c r="AE163" s="3464"/>
      <c r="AF163" s="373">
        <f t="shared" si="379"/>
        <v>0</v>
      </c>
      <c r="AG163" s="4191"/>
      <c r="AH163" s="158">
        <v>63.98</v>
      </c>
      <c r="AI163" s="3464"/>
      <c r="AJ163" s="373">
        <f t="shared" si="380"/>
        <v>63.98</v>
      </c>
      <c r="AK163" s="4191"/>
      <c r="AL163" s="158"/>
      <c r="AM163" s="4192"/>
      <c r="AN163" s="618">
        <f t="shared" si="381"/>
        <v>63.98</v>
      </c>
      <c r="AO163" s="3464"/>
      <c r="AP163" s="373">
        <f t="shared" si="382"/>
        <v>63.98</v>
      </c>
      <c r="AQ163" s="4191"/>
      <c r="AR163" s="158"/>
      <c r="AS163" s="3464"/>
      <c r="AT163" s="43">
        <f t="shared" si="383"/>
        <v>63.98</v>
      </c>
      <c r="AU163" s="4191"/>
      <c r="AV163" s="158"/>
      <c r="AW163" s="3464"/>
      <c r="AX163" s="43">
        <f t="shared" si="384"/>
        <v>63.98</v>
      </c>
      <c r="AY163" s="4191"/>
      <c r="AZ163" s="158"/>
      <c r="BA163" s="4192"/>
      <c r="BB163" s="618">
        <f t="shared" si="395"/>
        <v>0</v>
      </c>
      <c r="BC163" s="4193"/>
      <c r="BD163" s="6599">
        <f t="shared" si="386"/>
        <v>63.98</v>
      </c>
      <c r="BE163" s="3464"/>
      <c r="BF163" s="43">
        <f t="shared" si="387"/>
        <v>63.98</v>
      </c>
      <c r="BG163" s="4590"/>
      <c r="BH163" s="4590"/>
      <c r="BI163" s="4590"/>
      <c r="BJ163" s="4590"/>
    </row>
    <row r="164" spans="1:62" ht="15.75" thickBot="1" x14ac:dyDescent="0.3">
      <c r="A164" s="93"/>
      <c r="B164" s="4219" t="s">
        <v>1005</v>
      </c>
      <c r="C164" s="4212" t="s">
        <v>1153</v>
      </c>
      <c r="D164" s="4183"/>
      <c r="E164" s="4171"/>
      <c r="F164" s="1970"/>
      <c r="G164" s="4171"/>
      <c r="H164" s="1970"/>
      <c r="I164" s="853"/>
      <c r="J164" s="373">
        <f t="shared" si="374"/>
        <v>0</v>
      </c>
      <c r="K164" s="4171"/>
      <c r="L164" s="1970"/>
      <c r="M164" s="904"/>
      <c r="N164" s="4125">
        <f t="shared" si="388"/>
        <v>0</v>
      </c>
      <c r="O164" s="4171"/>
      <c r="P164" s="1970"/>
      <c r="Q164" s="853"/>
      <c r="R164" s="373">
        <f t="shared" si="396"/>
        <v>0</v>
      </c>
      <c r="S164" s="4171"/>
      <c r="T164" s="1970"/>
      <c r="U164" s="853"/>
      <c r="V164" s="373">
        <f t="shared" si="397"/>
        <v>0</v>
      </c>
      <c r="W164" s="4171"/>
      <c r="X164" s="1970"/>
      <c r="Y164" s="904"/>
      <c r="Z164" s="618">
        <f t="shared" si="377"/>
        <v>0</v>
      </c>
      <c r="AA164" s="4187"/>
      <c r="AB164" s="4181">
        <f t="shared" si="378"/>
        <v>0</v>
      </c>
      <c r="AC164" s="4171"/>
      <c r="AD164" s="1970"/>
      <c r="AE164" s="853"/>
      <c r="AF164" s="373">
        <f t="shared" si="379"/>
        <v>0</v>
      </c>
      <c r="AG164" s="4171"/>
      <c r="AH164" s="1970"/>
      <c r="AI164" s="853"/>
      <c r="AJ164" s="373">
        <f t="shared" si="380"/>
        <v>0</v>
      </c>
      <c r="AK164" s="4171"/>
      <c r="AL164" s="1970"/>
      <c r="AM164" s="904"/>
      <c r="AN164" s="618">
        <f t="shared" si="381"/>
        <v>0</v>
      </c>
      <c r="AO164" s="853"/>
      <c r="AP164" s="373">
        <f t="shared" si="382"/>
        <v>0</v>
      </c>
      <c r="AQ164" s="4171"/>
      <c r="AR164" s="1970"/>
      <c r="AS164" s="853"/>
      <c r="AT164" s="43">
        <f t="shared" si="383"/>
        <v>0</v>
      </c>
      <c r="AU164" s="4171"/>
      <c r="AV164" s="1970"/>
      <c r="AW164" s="853"/>
      <c r="AX164" s="43">
        <f t="shared" si="384"/>
        <v>0</v>
      </c>
      <c r="AY164" s="4171"/>
      <c r="AZ164" s="1970"/>
      <c r="BA164" s="904"/>
      <c r="BB164" s="618">
        <f t="shared" si="395"/>
        <v>0</v>
      </c>
      <c r="BC164" s="4187"/>
      <c r="BD164" s="6599">
        <f t="shared" si="386"/>
        <v>0</v>
      </c>
      <c r="BE164" s="853"/>
      <c r="BF164" s="43">
        <f t="shared" si="387"/>
        <v>0</v>
      </c>
      <c r="BG164" s="4590"/>
      <c r="BH164" s="4590"/>
      <c r="BI164" s="4590"/>
      <c r="BJ164" s="4590"/>
    </row>
    <row r="165" spans="1:62" ht="15.75" thickBot="1" x14ac:dyDescent="0.3">
      <c r="A165" s="93"/>
      <c r="B165" s="4219" t="s">
        <v>1005</v>
      </c>
      <c r="C165" s="4212" t="s">
        <v>884</v>
      </c>
      <c r="D165" s="4183"/>
      <c r="E165" s="4171"/>
      <c r="F165" s="1970"/>
      <c r="G165" s="4171"/>
      <c r="H165" s="1970"/>
      <c r="I165" s="853"/>
      <c r="J165" s="373">
        <f t="shared" si="374"/>
        <v>0</v>
      </c>
      <c r="K165" s="4171"/>
      <c r="L165" s="1970"/>
      <c r="M165" s="904"/>
      <c r="N165" s="4125">
        <f t="shared" si="388"/>
        <v>0</v>
      </c>
      <c r="O165" s="4171"/>
      <c r="P165" s="1970"/>
      <c r="Q165" s="853"/>
      <c r="R165" s="373">
        <f t="shared" si="396"/>
        <v>0</v>
      </c>
      <c r="S165" s="4171"/>
      <c r="T165" s="1970"/>
      <c r="U165" s="853"/>
      <c r="V165" s="373">
        <f t="shared" si="397"/>
        <v>0</v>
      </c>
      <c r="W165" s="4171"/>
      <c r="X165" s="1970"/>
      <c r="Y165" s="904"/>
      <c r="Z165" s="618">
        <f t="shared" si="377"/>
        <v>0</v>
      </c>
      <c r="AA165" s="4187"/>
      <c r="AB165" s="4181">
        <f t="shared" si="378"/>
        <v>0</v>
      </c>
      <c r="AC165" s="4171"/>
      <c r="AD165" s="1970">
        <v>62.36</v>
      </c>
      <c r="AE165" s="853"/>
      <c r="AF165" s="373">
        <f t="shared" si="379"/>
        <v>62.36</v>
      </c>
      <c r="AG165" s="4171"/>
      <c r="AH165" s="1970">
        <v>59.74</v>
      </c>
      <c r="AI165" s="853"/>
      <c r="AJ165" s="373">
        <f t="shared" si="380"/>
        <v>122.1</v>
      </c>
      <c r="AK165" s="4171"/>
      <c r="AL165" s="1970"/>
      <c r="AM165" s="904"/>
      <c r="AN165" s="618">
        <f t="shared" si="381"/>
        <v>122.1</v>
      </c>
      <c r="AO165" s="853"/>
      <c r="AP165" s="373">
        <f t="shared" si="382"/>
        <v>122.1</v>
      </c>
      <c r="AQ165" s="4171"/>
      <c r="AR165" s="1970"/>
      <c r="AS165" s="853"/>
      <c r="AT165" s="43">
        <f t="shared" si="383"/>
        <v>122.1</v>
      </c>
      <c r="AU165" s="4171"/>
      <c r="AV165" s="1970"/>
      <c r="AW165" s="853"/>
      <c r="AX165" s="43">
        <f t="shared" si="384"/>
        <v>122.1</v>
      </c>
      <c r="AY165" s="4171"/>
      <c r="AZ165" s="1970"/>
      <c r="BA165" s="904"/>
      <c r="BB165" s="618">
        <f t="shared" si="395"/>
        <v>0</v>
      </c>
      <c r="BC165" s="4187"/>
      <c r="BD165" s="6599">
        <f t="shared" si="386"/>
        <v>122.1</v>
      </c>
      <c r="BE165" s="853"/>
      <c r="BF165" s="43">
        <f t="shared" si="387"/>
        <v>122.1</v>
      </c>
      <c r="BG165" s="4590"/>
      <c r="BH165" s="4590"/>
      <c r="BI165" s="4590"/>
      <c r="BJ165" s="4590"/>
    </row>
    <row r="166" spans="1:62" ht="15.75" thickBot="1" x14ac:dyDescent="0.3">
      <c r="A166" s="93"/>
      <c r="B166" s="4219" t="s">
        <v>1005</v>
      </c>
      <c r="C166" s="4212" t="s">
        <v>1295</v>
      </c>
      <c r="D166" s="4183"/>
      <c r="E166" s="4171"/>
      <c r="F166" s="1970"/>
      <c r="G166" s="4171"/>
      <c r="H166" s="1970"/>
      <c r="I166" s="853"/>
      <c r="J166" s="373">
        <f t="shared" si="374"/>
        <v>0</v>
      </c>
      <c r="K166" s="4171"/>
      <c r="L166" s="1970"/>
      <c r="M166" s="904"/>
      <c r="N166" s="4125">
        <f t="shared" si="388"/>
        <v>0</v>
      </c>
      <c r="O166" s="4171"/>
      <c r="P166" s="1970"/>
      <c r="Q166" s="853"/>
      <c r="R166" s="373">
        <f t="shared" si="396"/>
        <v>0</v>
      </c>
      <c r="S166" s="4171"/>
      <c r="T166" s="1970"/>
      <c r="U166" s="853"/>
      <c r="V166" s="373">
        <f t="shared" si="397"/>
        <v>0</v>
      </c>
      <c r="W166" s="4171"/>
      <c r="X166" s="1970"/>
      <c r="Y166" s="904"/>
      <c r="Z166" s="618">
        <f t="shared" si="377"/>
        <v>0</v>
      </c>
      <c r="AA166" s="4187"/>
      <c r="AB166" s="4181">
        <f t="shared" si="378"/>
        <v>0</v>
      </c>
      <c r="AC166" s="4171"/>
      <c r="AD166" s="1970"/>
      <c r="AE166" s="853"/>
      <c r="AF166" s="373">
        <f t="shared" si="379"/>
        <v>0</v>
      </c>
      <c r="AG166" s="4171"/>
      <c r="AH166" s="1970"/>
      <c r="AI166" s="853"/>
      <c r="AJ166" s="373">
        <f t="shared" si="380"/>
        <v>0</v>
      </c>
      <c r="AK166" s="4171"/>
      <c r="AL166" s="1970"/>
      <c r="AM166" s="904"/>
      <c r="AN166" s="618">
        <f t="shared" si="381"/>
        <v>0</v>
      </c>
      <c r="AO166" s="853"/>
      <c r="AP166" s="373">
        <f t="shared" si="382"/>
        <v>0</v>
      </c>
      <c r="AQ166" s="4171"/>
      <c r="AR166" s="1970"/>
      <c r="AS166" s="853"/>
      <c r="AT166" s="43">
        <f t="shared" si="383"/>
        <v>0</v>
      </c>
      <c r="AU166" s="4171"/>
      <c r="AV166" s="1970"/>
      <c r="AW166" s="853"/>
      <c r="AX166" s="43">
        <f t="shared" si="384"/>
        <v>0</v>
      </c>
      <c r="AY166" s="4171"/>
      <c r="AZ166" s="1970"/>
      <c r="BA166" s="904"/>
      <c r="BB166" s="618">
        <f t="shared" si="395"/>
        <v>0</v>
      </c>
      <c r="BC166" s="4187"/>
      <c r="BD166" s="6599">
        <f t="shared" si="386"/>
        <v>0</v>
      </c>
      <c r="BE166" s="853"/>
      <c r="BF166" s="43">
        <f t="shared" si="387"/>
        <v>0</v>
      </c>
      <c r="BG166" s="4590"/>
      <c r="BH166" s="4590"/>
      <c r="BI166" s="4590"/>
      <c r="BJ166" s="4590"/>
    </row>
    <row r="167" spans="1:62" ht="15.75" thickBot="1" x14ac:dyDescent="0.3">
      <c r="A167" s="93"/>
      <c r="B167" s="4219" t="s">
        <v>1005</v>
      </c>
      <c r="C167" s="4212" t="s">
        <v>915</v>
      </c>
      <c r="D167" s="4183"/>
      <c r="E167" s="4171"/>
      <c r="F167" s="1970"/>
      <c r="G167" s="4171"/>
      <c r="H167" s="1970"/>
      <c r="I167" s="853"/>
      <c r="J167" s="373">
        <f t="shared" si="374"/>
        <v>0</v>
      </c>
      <c r="K167" s="4171"/>
      <c r="L167" s="1970"/>
      <c r="M167" s="904"/>
      <c r="N167" s="4125">
        <f t="shared" si="388"/>
        <v>0</v>
      </c>
      <c r="O167" s="4171"/>
      <c r="P167" s="1970"/>
      <c r="Q167" s="853"/>
      <c r="R167" s="373">
        <f t="shared" si="396"/>
        <v>0</v>
      </c>
      <c r="S167" s="4171"/>
      <c r="T167" s="1970"/>
      <c r="U167" s="853"/>
      <c r="V167" s="373">
        <f t="shared" si="397"/>
        <v>0</v>
      </c>
      <c r="W167" s="4171"/>
      <c r="X167" s="1970"/>
      <c r="Y167" s="904"/>
      <c r="Z167" s="618">
        <f t="shared" si="377"/>
        <v>0</v>
      </c>
      <c r="AA167" s="4187"/>
      <c r="AB167" s="4181">
        <f t="shared" si="378"/>
        <v>0</v>
      </c>
      <c r="AC167" s="4171"/>
      <c r="AD167" s="1970"/>
      <c r="AE167" s="853"/>
      <c r="AF167" s="373">
        <f t="shared" si="379"/>
        <v>0</v>
      </c>
      <c r="AG167" s="4171"/>
      <c r="AH167" s="1970"/>
      <c r="AI167" s="853"/>
      <c r="AJ167" s="373">
        <f t="shared" si="380"/>
        <v>0</v>
      </c>
      <c r="AK167" s="4171"/>
      <c r="AL167" s="1970"/>
      <c r="AM167" s="904"/>
      <c r="AN167" s="618">
        <f t="shared" si="381"/>
        <v>0</v>
      </c>
      <c r="AO167" s="853"/>
      <c r="AP167" s="373">
        <f t="shared" si="382"/>
        <v>0</v>
      </c>
      <c r="AQ167" s="4171"/>
      <c r="AR167" s="1970"/>
      <c r="AS167" s="853"/>
      <c r="AT167" s="43">
        <f t="shared" si="383"/>
        <v>0</v>
      </c>
      <c r="AU167" s="4171"/>
      <c r="AV167" s="1970"/>
      <c r="AW167" s="853"/>
      <c r="AX167" s="43">
        <f t="shared" si="384"/>
        <v>0</v>
      </c>
      <c r="AY167" s="4171"/>
      <c r="AZ167" s="1970"/>
      <c r="BA167" s="904"/>
      <c r="BB167" s="618">
        <f t="shared" si="395"/>
        <v>0</v>
      </c>
      <c r="BC167" s="4187"/>
      <c r="BD167" s="6599">
        <f t="shared" si="386"/>
        <v>0</v>
      </c>
      <c r="BE167" s="853"/>
      <c r="BF167" s="43">
        <f t="shared" si="387"/>
        <v>0</v>
      </c>
      <c r="BG167" s="4590"/>
      <c r="BH167" s="4590"/>
      <c r="BI167" s="4590"/>
      <c r="BJ167" s="4590"/>
    </row>
    <row r="168" spans="1:62" ht="15.75" thickBot="1" x14ac:dyDescent="0.3">
      <c r="A168" s="93"/>
      <c r="B168" s="4219" t="s">
        <v>1005</v>
      </c>
      <c r="C168" s="4225" t="s">
        <v>952</v>
      </c>
      <c r="D168" s="4226"/>
      <c r="E168" s="4227"/>
      <c r="F168" s="2860"/>
      <c r="G168" s="4227"/>
      <c r="H168" s="2860">
        <v>184.8</v>
      </c>
      <c r="I168" s="2861"/>
      <c r="J168" s="373">
        <f t="shared" ref="J168:J206" si="398">F168+H168</f>
        <v>184.8</v>
      </c>
      <c r="K168" s="4227"/>
      <c r="L168" s="2860">
        <v>64.38</v>
      </c>
      <c r="M168" s="2863"/>
      <c r="N168" s="4568">
        <f t="shared" si="388"/>
        <v>249.18</v>
      </c>
      <c r="O168" s="4227"/>
      <c r="P168" s="2860"/>
      <c r="Q168" s="2861"/>
      <c r="R168" s="373">
        <f t="shared" si="396"/>
        <v>249.18</v>
      </c>
      <c r="S168" s="4227"/>
      <c r="T168" s="2860"/>
      <c r="U168" s="2861"/>
      <c r="V168" s="373">
        <f t="shared" si="397"/>
        <v>249.18</v>
      </c>
      <c r="W168" s="4227"/>
      <c r="X168" s="2860"/>
      <c r="Y168" s="2863"/>
      <c r="Z168" s="618">
        <f t="shared" si="377"/>
        <v>0</v>
      </c>
      <c r="AA168" s="4228"/>
      <c r="AB168" s="4181">
        <f t="shared" si="378"/>
        <v>249.18</v>
      </c>
      <c r="AC168" s="4227"/>
      <c r="AD168" s="2860"/>
      <c r="AE168" s="2861"/>
      <c r="AF168" s="373">
        <f t="shared" si="379"/>
        <v>249.18</v>
      </c>
      <c r="AG168" s="4227"/>
      <c r="AH168" s="2860">
        <v>247.88</v>
      </c>
      <c r="AI168" s="2861"/>
      <c r="AJ168" s="373">
        <f t="shared" si="380"/>
        <v>497.06</v>
      </c>
      <c r="AK168" s="4227"/>
      <c r="AL168" s="2860"/>
      <c r="AM168" s="2863"/>
      <c r="AN168" s="618">
        <f t="shared" si="381"/>
        <v>247.88</v>
      </c>
      <c r="AO168" s="2861"/>
      <c r="AP168" s="373">
        <f t="shared" si="382"/>
        <v>497.06</v>
      </c>
      <c r="AQ168" s="4227"/>
      <c r="AR168" s="2860"/>
      <c r="AS168" s="2861"/>
      <c r="AT168" s="43">
        <f t="shared" si="383"/>
        <v>497.06</v>
      </c>
      <c r="AU168" s="4227"/>
      <c r="AV168" s="2860"/>
      <c r="AW168" s="2861"/>
      <c r="AX168" s="43">
        <f t="shared" si="384"/>
        <v>497.06</v>
      </c>
      <c r="AY168" s="4227"/>
      <c r="AZ168" s="2860"/>
      <c r="BA168" s="2863"/>
      <c r="BB168" s="618">
        <f t="shared" si="395"/>
        <v>0</v>
      </c>
      <c r="BC168" s="4228"/>
      <c r="BD168" s="6599">
        <f t="shared" si="386"/>
        <v>247.88</v>
      </c>
      <c r="BE168" s="2861"/>
      <c r="BF168" s="43">
        <f t="shared" si="387"/>
        <v>497.06</v>
      </c>
      <c r="BG168" s="4590"/>
      <c r="BH168" s="4590"/>
      <c r="BI168" s="4590"/>
      <c r="BJ168" s="4590"/>
    </row>
    <row r="169" spans="1:62" ht="15.75" thickBot="1" x14ac:dyDescent="0.3">
      <c r="A169" s="93"/>
      <c r="B169" s="4219" t="s">
        <v>1005</v>
      </c>
      <c r="C169" s="4212" t="s">
        <v>910</v>
      </c>
      <c r="D169" s="159"/>
      <c r="E169" s="159"/>
      <c r="F169" s="1970"/>
      <c r="G169" s="7162"/>
      <c r="H169" s="1970"/>
      <c r="I169" s="590"/>
      <c r="J169" s="373">
        <f t="shared" si="398"/>
        <v>0</v>
      </c>
      <c r="K169" s="4573"/>
      <c r="L169" s="1970"/>
      <c r="M169" s="948"/>
      <c r="N169" s="4568">
        <f t="shared" si="388"/>
        <v>0</v>
      </c>
      <c r="O169" s="4777"/>
      <c r="P169" s="1970"/>
      <c r="Q169" s="590"/>
      <c r="R169" s="373">
        <f t="shared" si="396"/>
        <v>0</v>
      </c>
      <c r="S169" s="4887"/>
      <c r="T169" s="1970"/>
      <c r="U169" s="4888"/>
      <c r="V169" s="373">
        <f t="shared" si="397"/>
        <v>0</v>
      </c>
      <c r="W169" s="5025"/>
      <c r="X169" s="1970"/>
      <c r="Y169" s="948"/>
      <c r="Z169" s="618">
        <f t="shared" si="377"/>
        <v>0</v>
      </c>
      <c r="AA169" s="4223"/>
      <c r="AB169" s="4181">
        <f t="shared" si="378"/>
        <v>0</v>
      </c>
      <c r="AC169" s="5336"/>
      <c r="AD169" s="1970"/>
      <c r="AE169" s="590"/>
      <c r="AF169" s="373">
        <f t="shared" si="379"/>
        <v>0</v>
      </c>
      <c r="AG169" s="5509"/>
      <c r="AH169" s="1970"/>
      <c r="AI169" s="590"/>
      <c r="AJ169" s="373">
        <f t="shared" si="380"/>
        <v>0</v>
      </c>
      <c r="AK169" s="5910"/>
      <c r="AL169" s="1970"/>
      <c r="AM169" s="948"/>
      <c r="AN169" s="618">
        <f t="shared" si="381"/>
        <v>0</v>
      </c>
      <c r="AO169" s="590"/>
      <c r="AP169" s="373">
        <f t="shared" si="382"/>
        <v>0</v>
      </c>
      <c r="AQ169" s="6065"/>
      <c r="AR169" s="1970"/>
      <c r="AS169" s="590"/>
      <c r="AT169" s="43">
        <f t="shared" si="383"/>
        <v>0</v>
      </c>
      <c r="AU169" s="6184"/>
      <c r="AV169" s="1970"/>
      <c r="AW169" s="6191"/>
      <c r="AX169" s="43">
        <f t="shared" si="384"/>
        <v>0</v>
      </c>
      <c r="AY169" s="6398"/>
      <c r="AZ169" s="1970"/>
      <c r="BA169" s="948"/>
      <c r="BB169" s="618">
        <f t="shared" si="395"/>
        <v>0</v>
      </c>
      <c r="BC169" s="4223"/>
      <c r="BD169" s="6599">
        <f t="shared" si="386"/>
        <v>0</v>
      </c>
      <c r="BE169" s="590"/>
      <c r="BF169" s="43">
        <f t="shared" si="387"/>
        <v>0</v>
      </c>
      <c r="BG169" s="4590"/>
      <c r="BH169" s="4590"/>
      <c r="BI169" s="4590"/>
      <c r="BJ169" s="4590"/>
    </row>
    <row r="170" spans="1:62" ht="15.75" thickBot="1" x14ac:dyDescent="0.3">
      <c r="A170" s="93"/>
      <c r="B170" s="4219" t="s">
        <v>1005</v>
      </c>
      <c r="C170" s="4212" t="s">
        <v>1157</v>
      </c>
      <c r="D170" s="159"/>
      <c r="E170" s="159"/>
      <c r="F170" s="1970"/>
      <c r="G170" s="7162"/>
      <c r="H170" s="1970"/>
      <c r="I170" s="590"/>
      <c r="J170" s="373">
        <f t="shared" si="398"/>
        <v>0</v>
      </c>
      <c r="K170" s="4573"/>
      <c r="L170" s="1970"/>
      <c r="M170" s="948"/>
      <c r="N170" s="4568">
        <f t="shared" si="388"/>
        <v>0</v>
      </c>
      <c r="O170" s="4777"/>
      <c r="P170" s="1970"/>
      <c r="Q170" s="590"/>
      <c r="R170" s="373">
        <f t="shared" si="396"/>
        <v>0</v>
      </c>
      <c r="S170" s="4887"/>
      <c r="T170" s="1970"/>
      <c r="U170" s="4888"/>
      <c r="V170" s="373">
        <f t="shared" si="397"/>
        <v>0</v>
      </c>
      <c r="W170" s="5025"/>
      <c r="X170" s="1970"/>
      <c r="Y170" s="948"/>
      <c r="Z170" s="618">
        <f t="shared" si="377"/>
        <v>0</v>
      </c>
      <c r="AA170" s="4223"/>
      <c r="AB170" s="4181">
        <f t="shared" si="378"/>
        <v>0</v>
      </c>
      <c r="AC170" s="5336"/>
      <c r="AD170" s="1970"/>
      <c r="AE170" s="590"/>
      <c r="AF170" s="373">
        <f t="shared" si="379"/>
        <v>0</v>
      </c>
      <c r="AG170" s="5509"/>
      <c r="AH170" s="1970"/>
      <c r="AI170" s="590"/>
      <c r="AJ170" s="373">
        <f t="shared" si="380"/>
        <v>0</v>
      </c>
      <c r="AK170" s="5910"/>
      <c r="AL170" s="1970"/>
      <c r="AM170" s="948"/>
      <c r="AN170" s="618">
        <f t="shared" si="381"/>
        <v>0</v>
      </c>
      <c r="AO170" s="590"/>
      <c r="AP170" s="373">
        <f t="shared" si="382"/>
        <v>0</v>
      </c>
      <c r="AQ170" s="6065"/>
      <c r="AR170" s="1970"/>
      <c r="AS170" s="590"/>
      <c r="AT170" s="43">
        <f t="shared" si="383"/>
        <v>0</v>
      </c>
      <c r="AU170" s="6184"/>
      <c r="AV170" s="1970"/>
      <c r="AW170" s="6191"/>
      <c r="AX170" s="43">
        <f t="shared" si="384"/>
        <v>0</v>
      </c>
      <c r="AY170" s="6398"/>
      <c r="AZ170" s="1970"/>
      <c r="BA170" s="948"/>
      <c r="BB170" s="618">
        <f t="shared" si="395"/>
        <v>0</v>
      </c>
      <c r="BC170" s="4223"/>
      <c r="BD170" s="6599">
        <f t="shared" si="386"/>
        <v>0</v>
      </c>
      <c r="BE170" s="590"/>
      <c r="BF170" s="43">
        <f t="shared" si="387"/>
        <v>0</v>
      </c>
      <c r="BG170" s="4590"/>
      <c r="BH170" s="4590"/>
      <c r="BI170" s="4590"/>
      <c r="BJ170" s="4590"/>
    </row>
    <row r="171" spans="1:62" ht="15.75" thickBot="1" x14ac:dyDescent="0.3">
      <c r="A171" s="93"/>
      <c r="B171" s="4220" t="s">
        <v>1005</v>
      </c>
      <c r="C171" s="4215" t="s">
        <v>1160</v>
      </c>
      <c r="D171" s="894"/>
      <c r="E171" s="894"/>
      <c r="F171" s="109"/>
      <c r="G171" s="894"/>
      <c r="H171" s="109"/>
      <c r="I171" s="3985"/>
      <c r="J171" s="373">
        <f t="shared" si="398"/>
        <v>0</v>
      </c>
      <c r="K171" s="894"/>
      <c r="L171" s="109"/>
      <c r="M171" s="3986"/>
      <c r="N171" s="488">
        <f t="shared" si="388"/>
        <v>0</v>
      </c>
      <c r="O171" s="894"/>
      <c r="P171" s="109"/>
      <c r="Q171" s="3985"/>
      <c r="R171" s="373">
        <f t="shared" si="396"/>
        <v>0</v>
      </c>
      <c r="S171" s="894"/>
      <c r="T171" s="109"/>
      <c r="U171" s="3985"/>
      <c r="V171" s="373">
        <f t="shared" si="397"/>
        <v>0</v>
      </c>
      <c r="W171" s="894"/>
      <c r="X171" s="109"/>
      <c r="Y171" s="3986"/>
      <c r="Z171" s="618">
        <f t="shared" si="377"/>
        <v>0</v>
      </c>
      <c r="AA171" s="4229"/>
      <c r="AB171" s="4181">
        <f t="shared" si="378"/>
        <v>0</v>
      </c>
      <c r="AC171" s="894"/>
      <c r="AD171" s="109"/>
      <c r="AE171" s="3985"/>
      <c r="AF171" s="373">
        <f t="shared" si="379"/>
        <v>0</v>
      </c>
      <c r="AG171" s="894"/>
      <c r="AH171" s="109"/>
      <c r="AI171" s="3985"/>
      <c r="AJ171" s="373">
        <f t="shared" si="380"/>
        <v>0</v>
      </c>
      <c r="AK171" s="894"/>
      <c r="AL171" s="109"/>
      <c r="AM171" s="3986"/>
      <c r="AN171" s="618">
        <f t="shared" si="381"/>
        <v>0</v>
      </c>
      <c r="AO171" s="3985"/>
      <c r="AP171" s="373">
        <f t="shared" si="382"/>
        <v>0</v>
      </c>
      <c r="AQ171" s="894"/>
      <c r="AR171" s="109"/>
      <c r="AS171" s="3985"/>
      <c r="AT171" s="43">
        <f t="shared" si="383"/>
        <v>0</v>
      </c>
      <c r="AU171" s="894"/>
      <c r="AV171" s="109"/>
      <c r="AW171" s="3985"/>
      <c r="AX171" s="43">
        <f t="shared" si="384"/>
        <v>0</v>
      </c>
      <c r="AY171" s="894"/>
      <c r="AZ171" s="109"/>
      <c r="BA171" s="3986"/>
      <c r="BB171" s="618">
        <f t="shared" si="395"/>
        <v>0</v>
      </c>
      <c r="BC171" s="4229"/>
      <c r="BD171" s="6599">
        <f t="shared" si="386"/>
        <v>0</v>
      </c>
      <c r="BE171" s="3985"/>
      <c r="BF171" s="43">
        <f t="shared" si="387"/>
        <v>0</v>
      </c>
      <c r="BG171" s="4590"/>
      <c r="BH171" s="4590"/>
      <c r="BI171" s="4590"/>
      <c r="BJ171" s="4590"/>
    </row>
    <row r="172" spans="1:62" ht="15.75" thickBot="1" x14ac:dyDescent="0.3">
      <c r="A172" s="117"/>
      <c r="B172" s="4216" t="s">
        <v>871</v>
      </c>
      <c r="C172" s="4211" t="s">
        <v>1158</v>
      </c>
      <c r="D172" s="4176"/>
      <c r="E172" s="4191"/>
      <c r="F172" s="158"/>
      <c r="G172" s="4191"/>
      <c r="H172" s="158">
        <v>495.78</v>
      </c>
      <c r="I172" s="3464"/>
      <c r="J172" s="373">
        <f t="shared" si="398"/>
        <v>495.78</v>
      </c>
      <c r="K172" s="4191"/>
      <c r="L172" s="158">
        <v>160.18</v>
      </c>
      <c r="M172" s="4192"/>
      <c r="N172" s="618">
        <f t="shared" si="388"/>
        <v>655.96</v>
      </c>
      <c r="O172" s="4191"/>
      <c r="P172" s="158">
        <v>430.08000000000004</v>
      </c>
      <c r="Q172" s="3464"/>
      <c r="R172" s="373">
        <f t="shared" si="396"/>
        <v>1086.04</v>
      </c>
      <c r="S172" s="4191"/>
      <c r="T172" s="158">
        <v>1362.3000000000002</v>
      </c>
      <c r="U172" s="3464"/>
      <c r="V172" s="373">
        <f t="shared" si="397"/>
        <v>2448.34</v>
      </c>
      <c r="W172" s="4191"/>
      <c r="X172" s="158">
        <v>324.69</v>
      </c>
      <c r="Y172" s="4192"/>
      <c r="Z172" s="618">
        <f t="shared" si="377"/>
        <v>2117.0700000000002</v>
      </c>
      <c r="AA172" s="4193"/>
      <c r="AB172" s="4181">
        <f t="shared" si="378"/>
        <v>2773.03</v>
      </c>
      <c r="AC172" s="4191"/>
      <c r="AD172" s="158">
        <v>190.73999999999998</v>
      </c>
      <c r="AE172" s="3464"/>
      <c r="AF172" s="373">
        <f t="shared" si="379"/>
        <v>2963.77</v>
      </c>
      <c r="AG172" s="4191"/>
      <c r="AH172" s="158">
        <v>61.94</v>
      </c>
      <c r="AI172" s="3464"/>
      <c r="AJ172" s="373">
        <f t="shared" si="380"/>
        <v>3025.71</v>
      </c>
      <c r="AK172" s="4191"/>
      <c r="AL172" s="158">
        <v>1012.9100000000001</v>
      </c>
      <c r="AM172" s="4192"/>
      <c r="AN172" s="618">
        <f t="shared" si="381"/>
        <v>1265.5900000000001</v>
      </c>
      <c r="AO172" s="3464"/>
      <c r="AP172" s="373">
        <f t="shared" si="382"/>
        <v>4038.62</v>
      </c>
      <c r="AQ172" s="4191"/>
      <c r="AR172" s="158">
        <v>437.58</v>
      </c>
      <c r="AS172" s="3464"/>
      <c r="AT172" s="43">
        <f t="shared" si="383"/>
        <v>4476.2</v>
      </c>
      <c r="AU172" s="4191"/>
      <c r="AV172" s="158">
        <v>863.45999999999992</v>
      </c>
      <c r="AW172" s="3464"/>
      <c r="AX172" s="43">
        <f t="shared" si="384"/>
        <v>5339.66</v>
      </c>
      <c r="AY172" s="4191"/>
      <c r="AZ172" s="158">
        <v>850.54000000000019</v>
      </c>
      <c r="BA172" s="4192"/>
      <c r="BB172" s="618">
        <f t="shared" si="395"/>
        <v>2151.58</v>
      </c>
      <c r="BC172" s="4193"/>
      <c r="BD172" s="6599">
        <f t="shared" si="386"/>
        <v>3417.17</v>
      </c>
      <c r="BE172" s="3464"/>
      <c r="BF172" s="43">
        <f t="shared" si="387"/>
        <v>6190.2</v>
      </c>
      <c r="BG172" s="4590"/>
      <c r="BH172" s="4590"/>
      <c r="BI172" s="4590"/>
      <c r="BJ172" s="4590"/>
    </row>
    <row r="173" spans="1:62" s="4978" customFormat="1" ht="15.75" thickBot="1" x14ac:dyDescent="0.3">
      <c r="A173" s="117"/>
      <c r="B173" s="4216" t="s">
        <v>871</v>
      </c>
      <c r="C173" s="4218" t="s">
        <v>1159</v>
      </c>
      <c r="D173" s="4195"/>
      <c r="E173" s="4196"/>
      <c r="F173" s="1205"/>
      <c r="G173" s="4196"/>
      <c r="H173" s="7172"/>
      <c r="I173" s="4197"/>
      <c r="J173" s="373">
        <f t="shared" si="398"/>
        <v>0</v>
      </c>
      <c r="K173" s="4196"/>
      <c r="L173" s="1205"/>
      <c r="M173" s="4198"/>
      <c r="N173" s="2407"/>
      <c r="O173" s="4196"/>
      <c r="P173" s="1205"/>
      <c r="Q173" s="4197"/>
      <c r="R173" s="373"/>
      <c r="S173" s="4196"/>
      <c r="T173" s="1205">
        <v>113.5</v>
      </c>
      <c r="U173" s="4197"/>
      <c r="V173" s="373">
        <f t="shared" si="397"/>
        <v>113.5</v>
      </c>
      <c r="W173" s="4196"/>
      <c r="X173" s="1205"/>
      <c r="Y173" s="4198"/>
      <c r="Z173" s="618">
        <f t="shared" si="377"/>
        <v>113.5</v>
      </c>
      <c r="AA173" s="4199"/>
      <c r="AB173" s="4181">
        <f t="shared" si="378"/>
        <v>113.5</v>
      </c>
      <c r="AC173" s="4196"/>
      <c r="AD173" s="1205"/>
      <c r="AE173" s="4197"/>
      <c r="AF173" s="373">
        <f t="shared" si="379"/>
        <v>113.5</v>
      </c>
      <c r="AG173" s="4196"/>
      <c r="AH173" s="5523"/>
      <c r="AI173" s="4197"/>
      <c r="AJ173" s="373">
        <f t="shared" si="380"/>
        <v>113.5</v>
      </c>
      <c r="AK173" s="4196"/>
      <c r="AL173" s="5923"/>
      <c r="AM173" s="4198"/>
      <c r="AN173" s="618">
        <f t="shared" si="381"/>
        <v>0</v>
      </c>
      <c r="AO173" s="4197"/>
      <c r="AP173" s="373">
        <f t="shared" si="382"/>
        <v>113.5</v>
      </c>
      <c r="AQ173" s="4196"/>
      <c r="AR173" s="6079"/>
      <c r="AS173" s="4197"/>
      <c r="AT173" s="43">
        <f t="shared" si="383"/>
        <v>113.5</v>
      </c>
      <c r="AU173" s="4196"/>
      <c r="AV173" s="6202"/>
      <c r="AW173" s="4197"/>
      <c r="AX173" s="43">
        <f t="shared" si="384"/>
        <v>113.5</v>
      </c>
      <c r="AY173" s="4196"/>
      <c r="AZ173" s="6407"/>
      <c r="BA173" s="4198"/>
      <c r="BB173" s="618">
        <f t="shared" si="395"/>
        <v>0</v>
      </c>
      <c r="BC173" s="4199"/>
      <c r="BD173" s="6599">
        <f t="shared" si="386"/>
        <v>0</v>
      </c>
      <c r="BE173" s="4197"/>
      <c r="BF173" s="43">
        <f t="shared" si="387"/>
        <v>113.5</v>
      </c>
      <c r="BG173" s="4590"/>
      <c r="BH173" s="4590"/>
      <c r="BI173" s="4590"/>
      <c r="BJ173" s="4590"/>
    </row>
    <row r="174" spans="1:62" ht="15.75" thickBot="1" x14ac:dyDescent="0.3">
      <c r="A174" s="93"/>
      <c r="B174" s="4219" t="s">
        <v>871</v>
      </c>
      <c r="C174" s="4212" t="s">
        <v>883</v>
      </c>
      <c r="D174" s="4183"/>
      <c r="E174" s="4171"/>
      <c r="F174" s="1970">
        <v>62.34</v>
      </c>
      <c r="G174" s="4171"/>
      <c r="H174" s="1970">
        <v>349.26</v>
      </c>
      <c r="I174" s="853"/>
      <c r="J174" s="373">
        <f t="shared" si="398"/>
        <v>411.6</v>
      </c>
      <c r="K174" s="4171"/>
      <c r="L174" s="1970">
        <v>553.16</v>
      </c>
      <c r="M174" s="904"/>
      <c r="N174" s="4125">
        <f t="shared" si="388"/>
        <v>964.76</v>
      </c>
      <c r="O174" s="4171"/>
      <c r="P174" s="1970">
        <v>433.11999999999995</v>
      </c>
      <c r="Q174" s="853"/>
      <c r="R174" s="373">
        <f t="shared" si="396"/>
        <v>1397.8799999999999</v>
      </c>
      <c r="S174" s="4171"/>
      <c r="T174" s="1970">
        <v>855.78</v>
      </c>
      <c r="U174" s="853"/>
      <c r="V174" s="373">
        <f t="shared" si="397"/>
        <v>2253.66</v>
      </c>
      <c r="W174" s="4171"/>
      <c r="X174" s="1970">
        <v>64.87</v>
      </c>
      <c r="Y174" s="904"/>
      <c r="Z174" s="618">
        <f t="shared" si="377"/>
        <v>1353.77</v>
      </c>
      <c r="AA174" s="4187"/>
      <c r="AB174" s="4181">
        <f t="shared" si="378"/>
        <v>2318.5299999999997</v>
      </c>
      <c r="AC174" s="4171"/>
      <c r="AD174" s="1970">
        <v>192.32</v>
      </c>
      <c r="AE174" s="853"/>
      <c r="AF174" s="373">
        <f t="shared" si="379"/>
        <v>2510.85</v>
      </c>
      <c r="AG174" s="4171"/>
      <c r="AH174" s="1970"/>
      <c r="AI174" s="853"/>
      <c r="AJ174" s="373">
        <f t="shared" si="380"/>
        <v>2510.85</v>
      </c>
      <c r="AK174" s="4171"/>
      <c r="AL174" s="1970">
        <v>57.32</v>
      </c>
      <c r="AM174" s="904"/>
      <c r="AN174" s="618">
        <f t="shared" si="381"/>
        <v>249.64</v>
      </c>
      <c r="AO174" s="853"/>
      <c r="AP174" s="373">
        <f t="shared" si="382"/>
        <v>2568.17</v>
      </c>
      <c r="AQ174" s="4171"/>
      <c r="AR174" s="1970">
        <v>308.5</v>
      </c>
      <c r="AS174" s="853"/>
      <c r="AT174" s="43">
        <f t="shared" si="383"/>
        <v>2876.67</v>
      </c>
      <c r="AU174" s="4171"/>
      <c r="AV174" s="1970">
        <v>332.37</v>
      </c>
      <c r="AW174" s="853"/>
      <c r="AX174" s="43">
        <f t="shared" si="384"/>
        <v>3209.04</v>
      </c>
      <c r="AY174" s="4171"/>
      <c r="AZ174" s="1970">
        <v>688.99</v>
      </c>
      <c r="BA174" s="904"/>
      <c r="BB174" s="618">
        <f t="shared" si="395"/>
        <v>1329.8600000000001</v>
      </c>
      <c r="BC174" s="4187"/>
      <c r="BD174" s="6599">
        <f t="shared" si="386"/>
        <v>1579.5</v>
      </c>
      <c r="BE174" s="853"/>
      <c r="BF174" s="43">
        <f t="shared" si="387"/>
        <v>3898.0299999999997</v>
      </c>
      <c r="BG174" s="4590"/>
      <c r="BH174" s="4590"/>
      <c r="BI174" s="4590"/>
      <c r="BJ174" s="4590"/>
    </row>
    <row r="175" spans="1:62" s="4823" customFormat="1" ht="15.75" thickBot="1" x14ac:dyDescent="0.3">
      <c r="A175" s="93"/>
      <c r="B175" s="4219" t="s">
        <v>871</v>
      </c>
      <c r="C175" s="4212" t="s">
        <v>906</v>
      </c>
      <c r="D175" s="4222"/>
      <c r="E175" s="4016"/>
      <c r="F175" s="4825"/>
      <c r="G175" s="4016"/>
      <c r="H175" s="7173">
        <v>300.5</v>
      </c>
      <c r="I175" s="3465"/>
      <c r="J175" s="373">
        <f t="shared" si="398"/>
        <v>300.5</v>
      </c>
      <c r="K175" s="4016"/>
      <c r="L175" s="4825"/>
      <c r="M175" s="3420"/>
      <c r="N175" s="4824"/>
      <c r="O175" s="4016"/>
      <c r="P175" s="4825">
        <v>62.28</v>
      </c>
      <c r="Q175" s="3465"/>
      <c r="R175" s="373">
        <f t="shared" si="396"/>
        <v>62.28</v>
      </c>
      <c r="S175" s="4016"/>
      <c r="T175" s="4902">
        <v>178.34</v>
      </c>
      <c r="U175" s="3465"/>
      <c r="V175" s="373">
        <f t="shared" si="397"/>
        <v>240.62</v>
      </c>
      <c r="W175" s="4016"/>
      <c r="X175" s="5032">
        <v>1076.06</v>
      </c>
      <c r="Y175" s="3420"/>
      <c r="Z175" s="618">
        <f t="shared" si="377"/>
        <v>1316.6799999999998</v>
      </c>
      <c r="AA175" s="4224"/>
      <c r="AB175" s="4181">
        <f t="shared" si="378"/>
        <v>1316.6799999999998</v>
      </c>
      <c r="AC175" s="4016"/>
      <c r="AD175" s="5345"/>
      <c r="AE175" s="3465"/>
      <c r="AF175" s="373">
        <f t="shared" si="379"/>
        <v>1316.6799999999998</v>
      </c>
      <c r="AG175" s="4016"/>
      <c r="AH175" s="5524"/>
      <c r="AI175" s="3465"/>
      <c r="AJ175" s="373">
        <f t="shared" si="380"/>
        <v>1316.6799999999998</v>
      </c>
      <c r="AK175" s="4016"/>
      <c r="AL175" s="5918"/>
      <c r="AM175" s="3420"/>
      <c r="AN175" s="618">
        <f t="shared" si="381"/>
        <v>0</v>
      </c>
      <c r="AO175" s="3465"/>
      <c r="AP175" s="373">
        <f t="shared" si="382"/>
        <v>1316.6799999999998</v>
      </c>
      <c r="AQ175" s="4016"/>
      <c r="AR175" s="6073">
        <v>140.68</v>
      </c>
      <c r="AS175" s="3465"/>
      <c r="AT175" s="43">
        <f t="shared" si="383"/>
        <v>1457.36</v>
      </c>
      <c r="AU175" s="4016"/>
      <c r="AV175" s="6203">
        <v>687.06000000000006</v>
      </c>
      <c r="AW175" s="3465"/>
      <c r="AX175" s="43">
        <f t="shared" si="384"/>
        <v>2144.42</v>
      </c>
      <c r="AY175" s="4016"/>
      <c r="AZ175" s="6410">
        <v>432.4</v>
      </c>
      <c r="BA175" s="3420"/>
      <c r="BB175" s="618">
        <f t="shared" si="395"/>
        <v>1260.1399999999999</v>
      </c>
      <c r="BC175" s="4224"/>
      <c r="BD175" s="6599">
        <f t="shared" si="386"/>
        <v>1260.1399999999999</v>
      </c>
      <c r="BE175" s="3465"/>
      <c r="BF175" s="43">
        <f t="shared" si="387"/>
        <v>2576.8200000000002</v>
      </c>
      <c r="BG175" s="4590"/>
      <c r="BH175" s="4590"/>
      <c r="BI175" s="4590"/>
      <c r="BJ175" s="4590"/>
    </row>
    <row r="176" spans="1:62" ht="15.75" thickBot="1" x14ac:dyDescent="0.3">
      <c r="A176" s="154"/>
      <c r="B176" s="4219" t="s">
        <v>871</v>
      </c>
      <c r="C176" s="4212" t="s">
        <v>999</v>
      </c>
      <c r="D176" s="4212"/>
      <c r="E176" s="4171"/>
      <c r="F176" s="1970"/>
      <c r="G176" s="4171"/>
      <c r="H176" s="1970">
        <v>116.72</v>
      </c>
      <c r="I176" s="853"/>
      <c r="J176" s="373">
        <f t="shared" si="398"/>
        <v>116.72</v>
      </c>
      <c r="K176" s="4171"/>
      <c r="L176" s="1970"/>
      <c r="M176" s="904"/>
      <c r="N176" s="4125">
        <f t="shared" si="388"/>
        <v>116.72</v>
      </c>
      <c r="O176" s="4171"/>
      <c r="P176" s="1970"/>
      <c r="Q176" s="853"/>
      <c r="R176" s="373">
        <f t="shared" si="396"/>
        <v>116.72</v>
      </c>
      <c r="S176" s="4171"/>
      <c r="T176" s="1970"/>
      <c r="U176" s="853"/>
      <c r="V176" s="373">
        <f t="shared" si="397"/>
        <v>116.72</v>
      </c>
      <c r="W176" s="4171"/>
      <c r="X176" s="1970">
        <v>312.68</v>
      </c>
      <c r="Y176" s="904"/>
      <c r="Z176" s="618">
        <f t="shared" si="377"/>
        <v>312.68</v>
      </c>
      <c r="AA176" s="4187"/>
      <c r="AB176" s="4181">
        <f t="shared" si="378"/>
        <v>429.4</v>
      </c>
      <c r="AC176" s="4171"/>
      <c r="AD176" s="1970"/>
      <c r="AE176" s="853"/>
      <c r="AF176" s="373">
        <f t="shared" si="379"/>
        <v>429.4</v>
      </c>
      <c r="AG176" s="4171"/>
      <c r="AH176" s="1970"/>
      <c r="AI176" s="853"/>
      <c r="AJ176" s="373">
        <f t="shared" si="380"/>
        <v>429.4</v>
      </c>
      <c r="AK176" s="4171"/>
      <c r="AL176" s="1970"/>
      <c r="AM176" s="904"/>
      <c r="AN176" s="618">
        <f t="shared" si="381"/>
        <v>0</v>
      </c>
      <c r="AO176" s="853"/>
      <c r="AP176" s="373">
        <f t="shared" si="382"/>
        <v>429.4</v>
      </c>
      <c r="AQ176" s="4171"/>
      <c r="AR176" s="1970">
        <v>64.959999999999994</v>
      </c>
      <c r="AS176" s="853"/>
      <c r="AT176" s="43">
        <f t="shared" si="383"/>
        <v>494.35999999999996</v>
      </c>
      <c r="AU176" s="4171"/>
      <c r="AV176" s="1970"/>
      <c r="AW176" s="853"/>
      <c r="AX176" s="43">
        <f t="shared" si="384"/>
        <v>494.35999999999996</v>
      </c>
      <c r="AY176" s="4171"/>
      <c r="AZ176" s="1970"/>
      <c r="BA176" s="904"/>
      <c r="BB176" s="618">
        <f t="shared" si="395"/>
        <v>64.959999999999994</v>
      </c>
      <c r="BC176" s="4187"/>
      <c r="BD176" s="6599">
        <f t="shared" si="386"/>
        <v>64.959999999999994</v>
      </c>
      <c r="BE176" s="853"/>
      <c r="BF176" s="43">
        <f t="shared" si="387"/>
        <v>494.35999999999996</v>
      </c>
      <c r="BG176" s="4590"/>
      <c r="BH176" s="4590"/>
      <c r="BI176" s="4590"/>
      <c r="BJ176" s="4590"/>
    </row>
    <row r="177" spans="1:62" ht="15.75" thickBot="1" x14ac:dyDescent="0.3">
      <c r="A177" s="93"/>
      <c r="B177" s="4219" t="s">
        <v>871</v>
      </c>
      <c r="C177" s="4212" t="s">
        <v>915</v>
      </c>
      <c r="D177" s="4183"/>
      <c r="E177" s="4171"/>
      <c r="F177" s="1970"/>
      <c r="G177" s="4171"/>
      <c r="H177" s="1970"/>
      <c r="I177" s="853"/>
      <c r="J177" s="373">
        <f t="shared" si="398"/>
        <v>0</v>
      </c>
      <c r="K177" s="4171"/>
      <c r="L177" s="1970"/>
      <c r="M177" s="904"/>
      <c r="N177" s="4125">
        <f t="shared" si="388"/>
        <v>0</v>
      </c>
      <c r="O177" s="4171"/>
      <c r="P177" s="1970"/>
      <c r="Q177" s="853"/>
      <c r="R177" s="373">
        <f t="shared" si="396"/>
        <v>0</v>
      </c>
      <c r="S177" s="4171"/>
      <c r="T177" s="1970"/>
      <c r="U177" s="853"/>
      <c r="V177" s="373">
        <f t="shared" si="397"/>
        <v>0</v>
      </c>
      <c r="W177" s="4171"/>
      <c r="X177" s="1970">
        <v>120.97</v>
      </c>
      <c r="Y177" s="904"/>
      <c r="Z177" s="618">
        <f t="shared" si="377"/>
        <v>120.97</v>
      </c>
      <c r="AA177" s="4187"/>
      <c r="AB177" s="4181">
        <f t="shared" si="378"/>
        <v>120.97</v>
      </c>
      <c r="AC177" s="4171"/>
      <c r="AD177" s="1970"/>
      <c r="AE177" s="853"/>
      <c r="AF177" s="373">
        <f t="shared" si="379"/>
        <v>120.97</v>
      </c>
      <c r="AG177" s="4171"/>
      <c r="AH177" s="1970"/>
      <c r="AI177" s="853"/>
      <c r="AJ177" s="373">
        <f t="shared" si="380"/>
        <v>120.97</v>
      </c>
      <c r="AK177" s="4171"/>
      <c r="AL177" s="1970"/>
      <c r="AM177" s="904"/>
      <c r="AN177" s="618">
        <f t="shared" si="381"/>
        <v>0</v>
      </c>
      <c r="AO177" s="853"/>
      <c r="AP177" s="373">
        <f t="shared" ref="AP177:AP206" si="399">AJ177+AL177</f>
        <v>120.97</v>
      </c>
      <c r="AQ177" s="4171"/>
      <c r="AR177" s="1970">
        <v>125.5</v>
      </c>
      <c r="AS177" s="853"/>
      <c r="AT177" s="43">
        <f t="shared" si="383"/>
        <v>246.47</v>
      </c>
      <c r="AU177" s="4171"/>
      <c r="AV177" s="1970"/>
      <c r="AW177" s="853"/>
      <c r="AX177" s="43">
        <f t="shared" si="384"/>
        <v>246.47</v>
      </c>
      <c r="AY177" s="4171"/>
      <c r="AZ177" s="1970"/>
      <c r="BA177" s="904"/>
      <c r="BB177" s="618">
        <f t="shared" si="395"/>
        <v>125.5</v>
      </c>
      <c r="BC177" s="4187"/>
      <c r="BD177" s="6599">
        <f t="shared" si="386"/>
        <v>125.5</v>
      </c>
      <c r="BE177" s="853"/>
      <c r="BF177" s="43">
        <f t="shared" si="387"/>
        <v>246.47</v>
      </c>
      <c r="BG177" s="4590"/>
      <c r="BH177" s="4590"/>
      <c r="BI177" s="4590"/>
      <c r="BJ177" s="4590"/>
    </row>
    <row r="178" spans="1:62" ht="15.75" thickBot="1" x14ac:dyDescent="0.3">
      <c r="A178" s="154"/>
      <c r="B178" s="4219" t="s">
        <v>871</v>
      </c>
      <c r="C178" s="4212" t="s">
        <v>1339</v>
      </c>
      <c r="D178" s="4212"/>
      <c r="E178" s="4171"/>
      <c r="F178" s="1970">
        <v>461.16</v>
      </c>
      <c r="G178" s="4171"/>
      <c r="H178" s="1970">
        <v>127.47999999999999</v>
      </c>
      <c r="I178" s="853"/>
      <c r="J178" s="373">
        <f t="shared" si="398"/>
        <v>588.64</v>
      </c>
      <c r="K178" s="4171"/>
      <c r="L178" s="1970"/>
      <c r="M178" s="904"/>
      <c r="N178" s="4125">
        <f t="shared" si="388"/>
        <v>588.64</v>
      </c>
      <c r="O178" s="4171"/>
      <c r="P178" s="1970"/>
      <c r="Q178" s="853"/>
      <c r="R178" s="373">
        <f t="shared" si="396"/>
        <v>588.64</v>
      </c>
      <c r="S178" s="4171"/>
      <c r="T178" s="1970"/>
      <c r="U178" s="853"/>
      <c r="V178" s="373">
        <f t="shared" si="397"/>
        <v>588.64</v>
      </c>
      <c r="W178" s="4171"/>
      <c r="X178" s="1970"/>
      <c r="Y178" s="904"/>
      <c r="Z178" s="618">
        <f t="shared" si="377"/>
        <v>0</v>
      </c>
      <c r="AA178" s="4187"/>
      <c r="AB178" s="4181">
        <f t="shared" si="378"/>
        <v>588.64</v>
      </c>
      <c r="AC178" s="4171"/>
      <c r="AD178" s="1970"/>
      <c r="AE178" s="853"/>
      <c r="AF178" s="373">
        <f t="shared" si="379"/>
        <v>588.64</v>
      </c>
      <c r="AG178" s="4171"/>
      <c r="AH178" s="1970"/>
      <c r="AI178" s="853"/>
      <c r="AJ178" s="373">
        <f t="shared" si="380"/>
        <v>588.64</v>
      </c>
      <c r="AK178" s="4171"/>
      <c r="AL178" s="1970"/>
      <c r="AM178" s="904"/>
      <c r="AN178" s="618">
        <f t="shared" si="381"/>
        <v>0</v>
      </c>
      <c r="AO178" s="853"/>
      <c r="AP178" s="373">
        <f t="shared" si="399"/>
        <v>588.64</v>
      </c>
      <c r="AQ178" s="4171"/>
      <c r="AR178" s="1970">
        <v>55.42</v>
      </c>
      <c r="AS178" s="853"/>
      <c r="AT178" s="43">
        <f t="shared" si="383"/>
        <v>644.05999999999995</v>
      </c>
      <c r="AU178" s="4171"/>
      <c r="AV178" s="1970"/>
      <c r="AW178" s="853"/>
      <c r="AX178" s="43">
        <f t="shared" si="384"/>
        <v>644.05999999999995</v>
      </c>
      <c r="AY178" s="4171"/>
      <c r="AZ178" s="1970"/>
      <c r="BA178" s="904"/>
      <c r="BB178" s="618">
        <f t="shared" si="395"/>
        <v>55.42</v>
      </c>
      <c r="BC178" s="4187"/>
      <c r="BD178" s="6599">
        <f t="shared" si="386"/>
        <v>55.42</v>
      </c>
      <c r="BE178" s="853"/>
      <c r="BF178" s="43">
        <f t="shared" si="387"/>
        <v>644.05999999999995</v>
      </c>
      <c r="BG178" s="4590"/>
      <c r="BH178" s="4590"/>
      <c r="BI178" s="4590"/>
      <c r="BJ178" s="4590"/>
    </row>
    <row r="179" spans="1:62" ht="15.75" thickBot="1" x14ac:dyDescent="0.3">
      <c r="A179" s="93"/>
      <c r="B179" s="4219" t="s">
        <v>871</v>
      </c>
      <c r="C179" s="4212" t="s">
        <v>909</v>
      </c>
      <c r="D179" s="159"/>
      <c r="E179" s="159"/>
      <c r="F179" s="1970">
        <v>466.65000000000003</v>
      </c>
      <c r="G179" s="7162"/>
      <c r="H179" s="1970"/>
      <c r="I179" s="590"/>
      <c r="J179" s="373">
        <f t="shared" si="398"/>
        <v>466.65000000000003</v>
      </c>
      <c r="K179" s="4573"/>
      <c r="L179" s="1970">
        <v>716.16</v>
      </c>
      <c r="M179" s="948"/>
      <c r="N179" s="4125">
        <f t="shared" si="388"/>
        <v>1182.81</v>
      </c>
      <c r="O179" s="4777"/>
      <c r="P179" s="1970"/>
      <c r="Q179" s="590"/>
      <c r="R179" s="373">
        <f t="shared" si="396"/>
        <v>1182.81</v>
      </c>
      <c r="S179" s="4887"/>
      <c r="T179" s="1970">
        <v>322.56</v>
      </c>
      <c r="U179" s="4888"/>
      <c r="V179" s="373">
        <f t="shared" si="397"/>
        <v>1505.37</v>
      </c>
      <c r="W179" s="5025"/>
      <c r="X179" s="1970">
        <v>652.02</v>
      </c>
      <c r="Y179" s="948"/>
      <c r="Z179" s="618">
        <f t="shared" si="377"/>
        <v>974.57999999999993</v>
      </c>
      <c r="AA179" s="4223"/>
      <c r="AB179" s="4181">
        <f t="shared" si="378"/>
        <v>2157.39</v>
      </c>
      <c r="AC179" s="5336"/>
      <c r="AD179" s="1970">
        <v>183.01999999999998</v>
      </c>
      <c r="AE179" s="590"/>
      <c r="AF179" s="373">
        <f t="shared" si="379"/>
        <v>2340.41</v>
      </c>
      <c r="AG179" s="5509"/>
      <c r="AH179" s="1970"/>
      <c r="AI179" s="590"/>
      <c r="AJ179" s="373">
        <f t="shared" si="380"/>
        <v>2340.41</v>
      </c>
      <c r="AK179" s="5910"/>
      <c r="AL179" s="1970"/>
      <c r="AM179" s="948"/>
      <c r="AN179" s="618">
        <f t="shared" si="381"/>
        <v>183.01999999999998</v>
      </c>
      <c r="AO179" s="590"/>
      <c r="AP179" s="373">
        <f t="shared" si="399"/>
        <v>2340.41</v>
      </c>
      <c r="AQ179" s="6065"/>
      <c r="AR179" s="1970"/>
      <c r="AS179" s="590"/>
      <c r="AT179" s="43">
        <f t="shared" si="383"/>
        <v>2340.41</v>
      </c>
      <c r="AU179" s="6184"/>
      <c r="AV179" s="1970">
        <v>81.88</v>
      </c>
      <c r="AW179" s="6191"/>
      <c r="AX179" s="43">
        <f t="shared" si="384"/>
        <v>2422.29</v>
      </c>
      <c r="AY179" s="6398"/>
      <c r="AZ179" s="1970">
        <v>373.19000000000005</v>
      </c>
      <c r="BA179" s="948"/>
      <c r="BB179" s="618">
        <f t="shared" si="395"/>
        <v>455.07000000000005</v>
      </c>
      <c r="BC179" s="4223"/>
      <c r="BD179" s="6599">
        <f t="shared" ref="BD179:BD212" si="400">AN179+BB179</f>
        <v>638.09</v>
      </c>
      <c r="BE179" s="590"/>
      <c r="BF179" s="43">
        <f t="shared" si="387"/>
        <v>2795.48</v>
      </c>
      <c r="BG179" s="4590"/>
      <c r="BH179" s="4590"/>
      <c r="BI179" s="4590"/>
      <c r="BJ179" s="4590"/>
    </row>
    <row r="180" spans="1:62" ht="15.75" thickBot="1" x14ac:dyDescent="0.3">
      <c r="A180" s="93"/>
      <c r="B180" s="4219" t="s">
        <v>871</v>
      </c>
      <c r="C180" s="4212" t="s">
        <v>952</v>
      </c>
      <c r="D180" s="4183"/>
      <c r="E180" s="4171"/>
      <c r="F180" s="1970"/>
      <c r="G180" s="4171"/>
      <c r="H180" s="1970">
        <v>557.69999999999993</v>
      </c>
      <c r="I180" s="853"/>
      <c r="J180" s="373">
        <f t="shared" si="398"/>
        <v>557.69999999999993</v>
      </c>
      <c r="K180" s="4171"/>
      <c r="L180" s="1970">
        <v>128.06</v>
      </c>
      <c r="M180" s="904"/>
      <c r="N180" s="4125">
        <f t="shared" si="388"/>
        <v>685.76</v>
      </c>
      <c r="O180" s="4171"/>
      <c r="P180" s="1970"/>
      <c r="Q180" s="853"/>
      <c r="R180" s="373">
        <f t="shared" si="396"/>
        <v>685.76</v>
      </c>
      <c r="S180" s="4171"/>
      <c r="T180" s="1970"/>
      <c r="U180" s="853"/>
      <c r="V180" s="373">
        <f t="shared" si="397"/>
        <v>685.76</v>
      </c>
      <c r="W180" s="4171"/>
      <c r="X180" s="1970">
        <v>64.540000000000006</v>
      </c>
      <c r="Y180" s="904"/>
      <c r="Z180" s="618">
        <f t="shared" ref="Z180:Z208" si="401">P180+T180+X180</f>
        <v>64.540000000000006</v>
      </c>
      <c r="AA180" s="4187"/>
      <c r="AB180" s="4181">
        <f t="shared" ref="AB180:AB191" si="402">N180+Z180</f>
        <v>750.3</v>
      </c>
      <c r="AC180" s="4171"/>
      <c r="AD180" s="1970"/>
      <c r="AE180" s="853"/>
      <c r="AF180" s="373">
        <f t="shared" si="379"/>
        <v>750.3</v>
      </c>
      <c r="AG180" s="4171"/>
      <c r="AH180" s="1970">
        <v>934.34000000000015</v>
      </c>
      <c r="AI180" s="853"/>
      <c r="AJ180" s="373">
        <f t="shared" si="380"/>
        <v>1684.64</v>
      </c>
      <c r="AK180" s="4171"/>
      <c r="AL180" s="1970"/>
      <c r="AM180" s="904"/>
      <c r="AN180" s="618">
        <f t="shared" ref="AN180:AN207" si="403">AD180+AH180+AL180</f>
        <v>934.34000000000015</v>
      </c>
      <c r="AO180" s="853"/>
      <c r="AP180" s="373">
        <f t="shared" si="399"/>
        <v>1684.64</v>
      </c>
      <c r="AQ180" s="4171"/>
      <c r="AR180" s="1970"/>
      <c r="AS180" s="853"/>
      <c r="AT180" s="43">
        <f t="shared" si="383"/>
        <v>1684.64</v>
      </c>
      <c r="AU180" s="4171"/>
      <c r="AV180" s="1970"/>
      <c r="AW180" s="853"/>
      <c r="AX180" s="43">
        <f t="shared" si="384"/>
        <v>1684.64</v>
      </c>
      <c r="AY180" s="4171"/>
      <c r="AZ180" s="1970"/>
      <c r="BA180" s="904"/>
      <c r="BB180" s="618">
        <f t="shared" si="395"/>
        <v>0</v>
      </c>
      <c r="BC180" s="4187"/>
      <c r="BD180" s="6599">
        <f t="shared" si="400"/>
        <v>934.34000000000015</v>
      </c>
      <c r="BE180" s="853"/>
      <c r="BF180" s="43">
        <f t="shared" si="387"/>
        <v>1684.64</v>
      </c>
      <c r="BG180" s="4590"/>
      <c r="BH180" s="4590"/>
      <c r="BI180" s="4590"/>
      <c r="BJ180" s="4590"/>
    </row>
    <row r="181" spans="1:62" ht="15.75" thickBot="1" x14ac:dyDescent="0.3">
      <c r="A181" s="93"/>
      <c r="B181" s="4219" t="s">
        <v>871</v>
      </c>
      <c r="C181" s="4212" t="s">
        <v>1543</v>
      </c>
      <c r="D181" s="4183"/>
      <c r="E181" s="4171"/>
      <c r="F181" s="1970"/>
      <c r="G181" s="4171"/>
      <c r="H181" s="1970"/>
      <c r="I181" s="853"/>
      <c r="J181" s="373">
        <f t="shared" si="398"/>
        <v>0</v>
      </c>
      <c r="K181" s="4171"/>
      <c r="L181" s="1970"/>
      <c r="M181" s="904"/>
      <c r="N181" s="4125">
        <f t="shared" ref="N181:N212" si="404">F181+H181+L181</f>
        <v>0</v>
      </c>
      <c r="O181" s="4171"/>
      <c r="P181" s="1970"/>
      <c r="Q181" s="853"/>
      <c r="R181" s="373">
        <f t="shared" si="396"/>
        <v>0</v>
      </c>
      <c r="S181" s="4171"/>
      <c r="T181" s="1970"/>
      <c r="U181" s="853"/>
      <c r="V181" s="373">
        <f t="shared" si="397"/>
        <v>0</v>
      </c>
      <c r="W181" s="4171"/>
      <c r="X181" s="1970"/>
      <c r="Y181" s="904"/>
      <c r="Z181" s="618">
        <f t="shared" si="401"/>
        <v>0</v>
      </c>
      <c r="AA181" s="4187"/>
      <c r="AB181" s="4181">
        <f t="shared" si="402"/>
        <v>0</v>
      </c>
      <c r="AC181" s="4171"/>
      <c r="AD181" s="1970"/>
      <c r="AE181" s="853"/>
      <c r="AF181" s="373">
        <f t="shared" si="379"/>
        <v>0</v>
      </c>
      <c r="AG181" s="4171"/>
      <c r="AH181" s="1970"/>
      <c r="AI181" s="853"/>
      <c r="AJ181" s="373">
        <f t="shared" si="380"/>
        <v>0</v>
      </c>
      <c r="AK181" s="4171"/>
      <c r="AL181" s="1970"/>
      <c r="AM181" s="904"/>
      <c r="AN181" s="618">
        <f t="shared" si="403"/>
        <v>0</v>
      </c>
      <c r="AO181" s="853"/>
      <c r="AP181" s="373">
        <f t="shared" si="399"/>
        <v>0</v>
      </c>
      <c r="AQ181" s="4171"/>
      <c r="AR181" s="1970"/>
      <c r="AS181" s="853"/>
      <c r="AT181" s="43">
        <f t="shared" si="383"/>
        <v>0</v>
      </c>
      <c r="AU181" s="4171"/>
      <c r="AV181" s="1970"/>
      <c r="AW181" s="853"/>
      <c r="AX181" s="43">
        <f t="shared" si="384"/>
        <v>0</v>
      </c>
      <c r="AY181" s="4171"/>
      <c r="AZ181" s="1970"/>
      <c r="BA181" s="904"/>
      <c r="BB181" s="618">
        <f t="shared" si="395"/>
        <v>0</v>
      </c>
      <c r="BC181" s="4187"/>
      <c r="BD181" s="6599">
        <f t="shared" si="400"/>
        <v>0</v>
      </c>
      <c r="BE181" s="853"/>
      <c r="BF181" s="43">
        <f t="shared" si="387"/>
        <v>0</v>
      </c>
      <c r="BG181" s="4590"/>
      <c r="BH181" s="4590"/>
      <c r="BI181" s="4590"/>
      <c r="BJ181" s="4590"/>
    </row>
    <row r="182" spans="1:62" ht="15.75" thickBot="1" x14ac:dyDescent="0.3">
      <c r="A182" s="93"/>
      <c r="B182" s="4219" t="s">
        <v>871</v>
      </c>
      <c r="C182" s="4212" t="s">
        <v>1476</v>
      </c>
      <c r="D182" s="4183"/>
      <c r="E182" s="4171"/>
      <c r="F182" s="1970"/>
      <c r="G182" s="4171"/>
      <c r="H182" s="1970"/>
      <c r="I182" s="853"/>
      <c r="J182" s="373">
        <f t="shared" si="398"/>
        <v>0</v>
      </c>
      <c r="K182" s="4171"/>
      <c r="L182" s="1970"/>
      <c r="M182" s="904"/>
      <c r="N182" s="4125">
        <f t="shared" si="404"/>
        <v>0</v>
      </c>
      <c r="O182" s="4171"/>
      <c r="P182" s="1970"/>
      <c r="Q182" s="853"/>
      <c r="R182" s="373">
        <f t="shared" si="396"/>
        <v>0</v>
      </c>
      <c r="S182" s="4171"/>
      <c r="T182" s="1970"/>
      <c r="U182" s="853"/>
      <c r="V182" s="373">
        <f t="shared" si="397"/>
        <v>0</v>
      </c>
      <c r="W182" s="4171"/>
      <c r="X182" s="1970"/>
      <c r="Y182" s="904"/>
      <c r="Z182" s="618">
        <f t="shared" si="401"/>
        <v>0</v>
      </c>
      <c r="AA182" s="4187"/>
      <c r="AB182" s="4181">
        <f t="shared" si="402"/>
        <v>0</v>
      </c>
      <c r="AC182" s="4171"/>
      <c r="AD182" s="1970"/>
      <c r="AE182" s="853"/>
      <c r="AF182" s="373">
        <f t="shared" si="379"/>
        <v>0</v>
      </c>
      <c r="AG182" s="4171"/>
      <c r="AH182" s="1970"/>
      <c r="AI182" s="853"/>
      <c r="AJ182" s="373">
        <f t="shared" si="380"/>
        <v>0</v>
      </c>
      <c r="AK182" s="4171"/>
      <c r="AL182" s="1970"/>
      <c r="AM182" s="904"/>
      <c r="AN182" s="618">
        <f t="shared" si="403"/>
        <v>0</v>
      </c>
      <c r="AO182" s="853"/>
      <c r="AP182" s="373">
        <f t="shared" si="399"/>
        <v>0</v>
      </c>
      <c r="AQ182" s="4171"/>
      <c r="AR182" s="1970"/>
      <c r="AS182" s="853"/>
      <c r="AT182" s="43">
        <f t="shared" si="383"/>
        <v>0</v>
      </c>
      <c r="AU182" s="4171"/>
      <c r="AV182" s="1970"/>
      <c r="AW182" s="853"/>
      <c r="AX182" s="43">
        <f t="shared" si="384"/>
        <v>0</v>
      </c>
      <c r="AY182" s="4171"/>
      <c r="AZ182" s="1970"/>
      <c r="BA182" s="904"/>
      <c r="BB182" s="618">
        <f t="shared" si="395"/>
        <v>0</v>
      </c>
      <c r="BC182" s="4187"/>
      <c r="BD182" s="6599">
        <f t="shared" si="400"/>
        <v>0</v>
      </c>
      <c r="BE182" s="853"/>
      <c r="BF182" s="43">
        <f t="shared" si="387"/>
        <v>0</v>
      </c>
      <c r="BG182" s="4590"/>
      <c r="BH182" s="4590"/>
      <c r="BI182" s="4590"/>
      <c r="BJ182" s="4590"/>
    </row>
    <row r="183" spans="1:62" ht="15.75" thickBot="1" x14ac:dyDescent="0.3">
      <c r="A183" s="93"/>
      <c r="B183" s="4219" t="s">
        <v>871</v>
      </c>
      <c r="C183" s="4212" t="s">
        <v>1542</v>
      </c>
      <c r="D183" s="4183"/>
      <c r="E183" s="4171"/>
      <c r="F183" s="1970"/>
      <c r="G183" s="4171"/>
      <c r="H183" s="1970"/>
      <c r="I183" s="853"/>
      <c r="J183" s="373">
        <f t="shared" si="398"/>
        <v>0</v>
      </c>
      <c r="K183" s="4171"/>
      <c r="L183" s="1970"/>
      <c r="M183" s="904"/>
      <c r="N183" s="4125">
        <f t="shared" si="404"/>
        <v>0</v>
      </c>
      <c r="O183" s="4171"/>
      <c r="P183" s="1970"/>
      <c r="Q183" s="853"/>
      <c r="R183" s="373">
        <f t="shared" si="396"/>
        <v>0</v>
      </c>
      <c r="S183" s="4171"/>
      <c r="T183" s="1970"/>
      <c r="U183" s="853"/>
      <c r="V183" s="373">
        <f t="shared" si="397"/>
        <v>0</v>
      </c>
      <c r="W183" s="4171"/>
      <c r="X183" s="1970"/>
      <c r="Y183" s="904"/>
      <c r="Z183" s="618">
        <f t="shared" si="401"/>
        <v>0</v>
      </c>
      <c r="AA183" s="4187"/>
      <c r="AB183" s="4181">
        <f t="shared" si="402"/>
        <v>0</v>
      </c>
      <c r="AC183" s="4171"/>
      <c r="AD183" s="1970"/>
      <c r="AE183" s="853"/>
      <c r="AF183" s="373">
        <f t="shared" si="379"/>
        <v>0</v>
      </c>
      <c r="AG183" s="4171"/>
      <c r="AH183" s="1970"/>
      <c r="AI183" s="853"/>
      <c r="AJ183" s="373">
        <f t="shared" si="380"/>
        <v>0</v>
      </c>
      <c r="AK183" s="4171"/>
      <c r="AL183" s="1970"/>
      <c r="AM183" s="904"/>
      <c r="AN183" s="618">
        <f t="shared" si="403"/>
        <v>0</v>
      </c>
      <c r="AO183" s="853"/>
      <c r="AP183" s="373">
        <f t="shared" si="399"/>
        <v>0</v>
      </c>
      <c r="AQ183" s="4171"/>
      <c r="AR183" s="1970"/>
      <c r="AS183" s="853"/>
      <c r="AT183" s="43">
        <f t="shared" si="383"/>
        <v>0</v>
      </c>
      <c r="AU183" s="4171"/>
      <c r="AV183" s="1970"/>
      <c r="AW183" s="853"/>
      <c r="AX183" s="43">
        <f t="shared" si="384"/>
        <v>0</v>
      </c>
      <c r="AY183" s="4171"/>
      <c r="AZ183" s="1970"/>
      <c r="BA183" s="904"/>
      <c r="BB183" s="618">
        <f t="shared" si="395"/>
        <v>0</v>
      </c>
      <c r="BC183" s="4187"/>
      <c r="BD183" s="6599">
        <f t="shared" si="400"/>
        <v>0</v>
      </c>
      <c r="BE183" s="853"/>
      <c r="BF183" s="43">
        <f t="shared" si="387"/>
        <v>0</v>
      </c>
      <c r="BG183" s="4590"/>
      <c r="BH183" s="4590"/>
      <c r="BI183" s="4590"/>
      <c r="BJ183" s="4590"/>
    </row>
    <row r="184" spans="1:62" ht="15.75" thickBot="1" x14ac:dyDescent="0.3">
      <c r="A184" s="93"/>
      <c r="B184" s="4219" t="s">
        <v>871</v>
      </c>
      <c r="C184" s="4212" t="s">
        <v>1156</v>
      </c>
      <c r="D184" s="159"/>
      <c r="E184" s="159"/>
      <c r="F184" s="1970">
        <v>3242.89</v>
      </c>
      <c r="G184" s="7162"/>
      <c r="H184" s="1970">
        <v>6082.54</v>
      </c>
      <c r="I184" s="590"/>
      <c r="J184" s="373">
        <f t="shared" si="398"/>
        <v>9325.43</v>
      </c>
      <c r="K184" s="4573"/>
      <c r="L184" s="1970">
        <v>8626.7000000000007</v>
      </c>
      <c r="M184" s="948"/>
      <c r="N184" s="4125">
        <f t="shared" si="404"/>
        <v>17952.13</v>
      </c>
      <c r="O184" s="4777"/>
      <c r="P184" s="1970">
        <v>5771.9100000000008</v>
      </c>
      <c r="Q184" s="590"/>
      <c r="R184" s="373">
        <f t="shared" si="396"/>
        <v>23724.04</v>
      </c>
      <c r="S184" s="4887"/>
      <c r="T184" s="1970">
        <v>4085.7299999999996</v>
      </c>
      <c r="U184" s="4888"/>
      <c r="V184" s="373">
        <f t="shared" si="397"/>
        <v>27809.77</v>
      </c>
      <c r="W184" s="5025"/>
      <c r="X184" s="1970">
        <v>2403.62</v>
      </c>
      <c r="Y184" s="948"/>
      <c r="Z184" s="618">
        <f t="shared" si="401"/>
        <v>12261.259999999998</v>
      </c>
      <c r="AA184" s="4223"/>
      <c r="AB184" s="4181">
        <f t="shared" si="402"/>
        <v>30213.39</v>
      </c>
      <c r="AC184" s="5336"/>
      <c r="AD184" s="1970">
        <v>2640.4500000000003</v>
      </c>
      <c r="AE184" s="590"/>
      <c r="AF184" s="373">
        <f t="shared" si="379"/>
        <v>32853.839999999997</v>
      </c>
      <c r="AG184" s="5509"/>
      <c r="AH184" s="1970">
        <v>2340.5000000000005</v>
      </c>
      <c r="AI184" s="590"/>
      <c r="AJ184" s="373">
        <f t="shared" si="380"/>
        <v>35194.339999999997</v>
      </c>
      <c r="AK184" s="5910"/>
      <c r="AL184" s="1970">
        <v>2136.37</v>
      </c>
      <c r="AM184" s="948"/>
      <c r="AN184" s="618">
        <f t="shared" si="403"/>
        <v>7117.3200000000006</v>
      </c>
      <c r="AO184" s="590"/>
      <c r="AP184" s="373">
        <f t="shared" si="399"/>
        <v>37330.71</v>
      </c>
      <c r="AQ184" s="6065"/>
      <c r="AR184" s="1970">
        <v>4184.92</v>
      </c>
      <c r="AS184" s="590"/>
      <c r="AT184" s="43">
        <f t="shared" si="383"/>
        <v>41515.629999999997</v>
      </c>
      <c r="AU184" s="6184"/>
      <c r="AV184" s="1970">
        <v>7144.16</v>
      </c>
      <c r="AW184" s="6191"/>
      <c r="AX184" s="43">
        <f t="shared" si="384"/>
        <v>48659.789999999994</v>
      </c>
      <c r="AY184" s="6398"/>
      <c r="AZ184" s="1970">
        <v>8528.6999999999989</v>
      </c>
      <c r="BA184" s="948"/>
      <c r="BB184" s="618">
        <f t="shared" si="395"/>
        <v>19857.78</v>
      </c>
      <c r="BC184" s="4223"/>
      <c r="BD184" s="6599">
        <f t="shared" si="400"/>
        <v>26975.1</v>
      </c>
      <c r="BE184" s="590"/>
      <c r="BF184" s="43">
        <f t="shared" si="387"/>
        <v>57188.489999999991</v>
      </c>
      <c r="BG184" s="4590"/>
      <c r="BH184" s="4590"/>
      <c r="BI184" s="4590"/>
      <c r="BJ184" s="4590"/>
    </row>
    <row r="185" spans="1:62" ht="15.75" thickBot="1" x14ac:dyDescent="0.3">
      <c r="A185" s="93"/>
      <c r="B185" s="4219" t="s">
        <v>871</v>
      </c>
      <c r="C185" s="4212" t="s">
        <v>910</v>
      </c>
      <c r="D185" s="159"/>
      <c r="E185" s="159"/>
      <c r="F185" s="1970">
        <v>2388.84</v>
      </c>
      <c r="G185" s="7162"/>
      <c r="H185" s="1970">
        <v>1637.2599999999998</v>
      </c>
      <c r="I185" s="590"/>
      <c r="J185" s="373">
        <f t="shared" si="398"/>
        <v>4026.1</v>
      </c>
      <c r="K185" s="4573"/>
      <c r="L185" s="1970">
        <v>3766.42</v>
      </c>
      <c r="M185" s="948"/>
      <c r="N185" s="4125">
        <f t="shared" si="404"/>
        <v>7792.52</v>
      </c>
      <c r="O185" s="4777"/>
      <c r="P185" s="1970">
        <v>2063.0200000000004</v>
      </c>
      <c r="Q185" s="590"/>
      <c r="R185" s="373">
        <f t="shared" si="396"/>
        <v>9855.5400000000009</v>
      </c>
      <c r="S185" s="4887"/>
      <c r="T185" s="1970">
        <v>1632.07</v>
      </c>
      <c r="U185" s="4888"/>
      <c r="V185" s="373">
        <f t="shared" si="397"/>
        <v>11487.61</v>
      </c>
      <c r="W185" s="5025"/>
      <c r="X185" s="1970">
        <v>2150.8000000000002</v>
      </c>
      <c r="Y185" s="948"/>
      <c r="Z185" s="618">
        <f t="shared" si="401"/>
        <v>5845.89</v>
      </c>
      <c r="AA185" s="4223"/>
      <c r="AB185" s="4181">
        <f t="shared" si="402"/>
        <v>13638.41</v>
      </c>
      <c r="AC185" s="5336"/>
      <c r="AD185" s="1970">
        <v>653.20000000000005</v>
      </c>
      <c r="AE185" s="590"/>
      <c r="AF185" s="373">
        <f t="shared" si="379"/>
        <v>14291.61</v>
      </c>
      <c r="AG185" s="5509"/>
      <c r="AH185" s="1970">
        <v>1596.17</v>
      </c>
      <c r="AI185" s="590"/>
      <c r="AJ185" s="373">
        <f t="shared" si="380"/>
        <v>15887.78</v>
      </c>
      <c r="AK185" s="5910"/>
      <c r="AL185" s="1970">
        <v>1603.98</v>
      </c>
      <c r="AM185" s="948"/>
      <c r="AN185" s="618">
        <f t="shared" si="403"/>
        <v>3853.35</v>
      </c>
      <c r="AO185" s="590"/>
      <c r="AP185" s="373">
        <f t="shared" si="399"/>
        <v>17491.760000000002</v>
      </c>
      <c r="AQ185" s="6065"/>
      <c r="AR185" s="1970">
        <v>1728.0500000000002</v>
      </c>
      <c r="AS185" s="590"/>
      <c r="AT185" s="43">
        <f t="shared" si="383"/>
        <v>19219.810000000001</v>
      </c>
      <c r="AU185" s="6184"/>
      <c r="AV185" s="1970">
        <v>2406.33</v>
      </c>
      <c r="AW185" s="6191"/>
      <c r="AX185" s="43">
        <f t="shared" si="384"/>
        <v>21626.14</v>
      </c>
      <c r="AY185" s="6398"/>
      <c r="AZ185" s="1970">
        <v>8212.5900000000038</v>
      </c>
      <c r="BA185" s="948"/>
      <c r="BB185" s="618">
        <f t="shared" si="395"/>
        <v>12346.970000000005</v>
      </c>
      <c r="BC185" s="4223"/>
      <c r="BD185" s="6599">
        <f t="shared" si="400"/>
        <v>16200.320000000005</v>
      </c>
      <c r="BE185" s="590"/>
      <c r="BF185" s="43">
        <f t="shared" si="387"/>
        <v>29838.730000000003</v>
      </c>
      <c r="BG185" s="4590"/>
      <c r="BH185" s="4590"/>
      <c r="BI185" s="4590"/>
      <c r="BJ185" s="4590"/>
    </row>
    <row r="186" spans="1:62" ht="15.75" thickBot="1" x14ac:dyDescent="0.3">
      <c r="A186" s="93"/>
      <c r="B186" s="4219" t="s">
        <v>871</v>
      </c>
      <c r="C186" s="4212" t="s">
        <v>2153</v>
      </c>
      <c r="D186" s="159"/>
      <c r="E186" s="159"/>
      <c r="F186" s="1970"/>
      <c r="G186" s="7162"/>
      <c r="H186" s="1970"/>
      <c r="I186" s="590"/>
      <c r="J186" s="373">
        <f t="shared" si="398"/>
        <v>0</v>
      </c>
      <c r="K186" s="4573"/>
      <c r="L186" s="1970"/>
      <c r="M186" s="948"/>
      <c r="N186" s="4125">
        <f t="shared" si="404"/>
        <v>0</v>
      </c>
      <c r="O186" s="4777"/>
      <c r="P186" s="1970"/>
      <c r="Q186" s="590"/>
      <c r="R186" s="373">
        <f t="shared" si="396"/>
        <v>0</v>
      </c>
      <c r="S186" s="4887"/>
      <c r="T186" s="1970"/>
      <c r="U186" s="4888"/>
      <c r="V186" s="373">
        <f t="shared" si="397"/>
        <v>0</v>
      </c>
      <c r="W186" s="5025"/>
      <c r="X186" s="1970"/>
      <c r="Y186" s="948"/>
      <c r="Z186" s="618">
        <f t="shared" si="401"/>
        <v>0</v>
      </c>
      <c r="AA186" s="4223"/>
      <c r="AB186" s="4181">
        <f t="shared" si="402"/>
        <v>0</v>
      </c>
      <c r="AC186" s="5336"/>
      <c r="AD186" s="1970"/>
      <c r="AE186" s="590"/>
      <c r="AF186" s="373">
        <f t="shared" ref="AF186:AF212" si="405">AB186+AD186</f>
        <v>0</v>
      </c>
      <c r="AG186" s="5509"/>
      <c r="AH186" s="1970"/>
      <c r="AI186" s="590"/>
      <c r="AJ186" s="373">
        <f t="shared" ref="AJ186:AJ204" si="406">AF186+AH186</f>
        <v>0</v>
      </c>
      <c r="AK186" s="5910"/>
      <c r="AL186" s="1970"/>
      <c r="AM186" s="948"/>
      <c r="AN186" s="618">
        <f t="shared" si="403"/>
        <v>0</v>
      </c>
      <c r="AO186" s="590"/>
      <c r="AP186" s="373">
        <f t="shared" si="399"/>
        <v>0</v>
      </c>
      <c r="AQ186" s="6065"/>
      <c r="AR186" s="1970"/>
      <c r="AS186" s="590"/>
      <c r="AT186" s="43">
        <f t="shared" ref="AT186:AT210" si="407">AP186+AR186</f>
        <v>0</v>
      </c>
      <c r="AU186" s="6184"/>
      <c r="AV186" s="1970">
        <v>82.43</v>
      </c>
      <c r="AW186" s="6191"/>
      <c r="AX186" s="43">
        <f t="shared" ref="AX186:AX213" si="408">AT186+AV186</f>
        <v>82.43</v>
      </c>
      <c r="AY186" s="6398"/>
      <c r="AZ186" s="1970"/>
      <c r="BA186" s="948"/>
      <c r="BB186" s="618">
        <f t="shared" si="395"/>
        <v>82.43</v>
      </c>
      <c r="BC186" s="4223"/>
      <c r="BD186" s="6599">
        <f t="shared" si="400"/>
        <v>82.43</v>
      </c>
      <c r="BE186" s="590"/>
      <c r="BF186" s="43">
        <f t="shared" ref="BF186:BF212" si="409">AX186+AZ186</f>
        <v>82.43</v>
      </c>
      <c r="BG186" s="4590"/>
      <c r="BH186" s="4590"/>
      <c r="BI186" s="4590"/>
      <c r="BJ186" s="4590"/>
    </row>
    <row r="187" spans="1:62" ht="15.75" thickBot="1" x14ac:dyDescent="0.3">
      <c r="A187" s="93"/>
      <c r="B187" s="4219" t="s">
        <v>871</v>
      </c>
      <c r="C187" s="4212" t="s">
        <v>1153</v>
      </c>
      <c r="D187" s="4183"/>
      <c r="E187" s="4171"/>
      <c r="F187" s="1970"/>
      <c r="G187" s="4171"/>
      <c r="H187" s="1970"/>
      <c r="I187" s="853"/>
      <c r="J187" s="373">
        <f t="shared" si="398"/>
        <v>0</v>
      </c>
      <c r="K187" s="4171"/>
      <c r="L187" s="1970">
        <v>181.88</v>
      </c>
      <c r="M187" s="904"/>
      <c r="N187" s="4125">
        <f t="shared" si="404"/>
        <v>181.88</v>
      </c>
      <c r="O187" s="4171"/>
      <c r="P187" s="1970"/>
      <c r="Q187" s="853"/>
      <c r="R187" s="373">
        <f t="shared" si="396"/>
        <v>181.88</v>
      </c>
      <c r="S187" s="4171"/>
      <c r="T187" s="1970"/>
      <c r="U187" s="853"/>
      <c r="V187" s="373">
        <f t="shared" si="397"/>
        <v>181.88</v>
      </c>
      <c r="W187" s="4171"/>
      <c r="X187" s="1970"/>
      <c r="Y187" s="904"/>
      <c r="Z187" s="618">
        <f t="shared" si="401"/>
        <v>0</v>
      </c>
      <c r="AA187" s="4187"/>
      <c r="AB187" s="4181">
        <f t="shared" si="402"/>
        <v>181.88</v>
      </c>
      <c r="AC187" s="4171"/>
      <c r="AD187" s="1970"/>
      <c r="AE187" s="853"/>
      <c r="AF187" s="373">
        <f t="shared" si="405"/>
        <v>181.88</v>
      </c>
      <c r="AG187" s="4171"/>
      <c r="AH187" s="1970"/>
      <c r="AI187" s="853"/>
      <c r="AJ187" s="373">
        <f t="shared" si="406"/>
        <v>181.88</v>
      </c>
      <c r="AK187" s="4171"/>
      <c r="AL187" s="1970"/>
      <c r="AM187" s="904"/>
      <c r="AN187" s="618">
        <f t="shared" si="403"/>
        <v>0</v>
      </c>
      <c r="AO187" s="853"/>
      <c r="AP187" s="373">
        <f t="shared" si="399"/>
        <v>181.88</v>
      </c>
      <c r="AQ187" s="4171"/>
      <c r="AR187" s="1970"/>
      <c r="AS187" s="853"/>
      <c r="AT187" s="43">
        <f t="shared" si="407"/>
        <v>181.88</v>
      </c>
      <c r="AU187" s="4171"/>
      <c r="AV187" s="1970">
        <v>131.38</v>
      </c>
      <c r="AW187" s="853"/>
      <c r="AX187" s="43">
        <f t="shared" si="408"/>
        <v>313.26</v>
      </c>
      <c r="AY187" s="4171"/>
      <c r="AZ187" s="1970"/>
      <c r="BA187" s="904"/>
      <c r="BB187" s="618">
        <f t="shared" si="395"/>
        <v>131.38</v>
      </c>
      <c r="BC187" s="4187"/>
      <c r="BD187" s="6599">
        <f t="shared" si="400"/>
        <v>131.38</v>
      </c>
      <c r="BE187" s="853"/>
      <c r="BF187" s="43">
        <f t="shared" si="409"/>
        <v>313.26</v>
      </c>
      <c r="BG187" s="4590"/>
      <c r="BH187" s="4590"/>
      <c r="BI187" s="4590"/>
      <c r="BJ187" s="4590"/>
    </row>
    <row r="188" spans="1:62" s="5630" customFormat="1" ht="15.75" thickBot="1" x14ac:dyDescent="0.3">
      <c r="A188" s="93"/>
      <c r="B188" s="4219" t="s">
        <v>871</v>
      </c>
      <c r="C188" s="5641" t="s">
        <v>2027</v>
      </c>
      <c r="D188" s="5642"/>
      <c r="E188" s="5643"/>
      <c r="F188" s="5644"/>
      <c r="G188" s="5643"/>
      <c r="H188" s="5644">
        <v>114.39</v>
      </c>
      <c r="I188" s="5645"/>
      <c r="J188" s="373">
        <f t="shared" si="398"/>
        <v>114.39</v>
      </c>
      <c r="K188" s="5643"/>
      <c r="L188" s="5644"/>
      <c r="M188" s="5646"/>
      <c r="N188" s="5639"/>
      <c r="O188" s="5643"/>
      <c r="P188" s="5644"/>
      <c r="Q188" s="5645"/>
      <c r="R188" s="373"/>
      <c r="S188" s="5643"/>
      <c r="T188" s="5644"/>
      <c r="U188" s="5645"/>
      <c r="V188" s="373"/>
      <c r="W188" s="5643"/>
      <c r="X188" s="5644"/>
      <c r="Y188" s="5646"/>
      <c r="Z188" s="618"/>
      <c r="AA188" s="5647"/>
      <c r="AB188" s="4181"/>
      <c r="AC188" s="5643"/>
      <c r="AD188" s="5644"/>
      <c r="AE188" s="5645"/>
      <c r="AF188" s="373"/>
      <c r="AG188" s="5643"/>
      <c r="AH188" s="5644">
        <v>185.19</v>
      </c>
      <c r="AI188" s="5645"/>
      <c r="AJ188" s="373">
        <f t="shared" si="406"/>
        <v>185.19</v>
      </c>
      <c r="AK188" s="5643"/>
      <c r="AL188" s="5644"/>
      <c r="AM188" s="5646"/>
      <c r="AN188" s="618">
        <f t="shared" si="403"/>
        <v>185.19</v>
      </c>
      <c r="AO188" s="5645"/>
      <c r="AP188" s="373">
        <f t="shared" si="399"/>
        <v>185.19</v>
      </c>
      <c r="AQ188" s="5643"/>
      <c r="AR188" s="5644">
        <v>121.22</v>
      </c>
      <c r="AS188" s="5645"/>
      <c r="AT188" s="43">
        <f t="shared" si="407"/>
        <v>306.40999999999997</v>
      </c>
      <c r="AU188" s="5643"/>
      <c r="AV188" s="5644"/>
      <c r="AW188" s="5645"/>
      <c r="AX188" s="43">
        <f t="shared" si="408"/>
        <v>306.40999999999997</v>
      </c>
      <c r="AY188" s="5643"/>
      <c r="AZ188" s="5644"/>
      <c r="BA188" s="5646"/>
      <c r="BB188" s="618">
        <f t="shared" si="395"/>
        <v>121.22</v>
      </c>
      <c r="BC188" s="5647"/>
      <c r="BD188" s="6599">
        <f t="shared" si="400"/>
        <v>306.40999999999997</v>
      </c>
      <c r="BE188" s="5645"/>
      <c r="BF188" s="43">
        <f t="shared" si="409"/>
        <v>306.40999999999997</v>
      </c>
      <c r="BG188" s="4590"/>
      <c r="BH188" s="4590"/>
      <c r="BI188" s="4590"/>
      <c r="BJ188" s="4590"/>
    </row>
    <row r="189" spans="1:62" ht="15.75" thickBot="1" x14ac:dyDescent="0.3">
      <c r="A189" s="93"/>
      <c r="B189" s="4219" t="s">
        <v>871</v>
      </c>
      <c r="C189" s="4212" t="s">
        <v>1157</v>
      </c>
      <c r="D189" s="4183"/>
      <c r="E189" s="4171"/>
      <c r="F189" s="1970"/>
      <c r="G189" s="4171"/>
      <c r="H189" s="1970"/>
      <c r="I189" s="853"/>
      <c r="J189" s="373">
        <f t="shared" si="398"/>
        <v>0</v>
      </c>
      <c r="K189" s="4171"/>
      <c r="L189" s="1970"/>
      <c r="M189" s="904"/>
      <c r="N189" s="4125">
        <f t="shared" si="404"/>
        <v>0</v>
      </c>
      <c r="O189" s="4171"/>
      <c r="P189" s="1970"/>
      <c r="Q189" s="853"/>
      <c r="R189" s="373">
        <f t="shared" si="396"/>
        <v>0</v>
      </c>
      <c r="S189" s="4171"/>
      <c r="T189" s="1970"/>
      <c r="U189" s="853"/>
      <c r="V189" s="373">
        <f t="shared" si="397"/>
        <v>0</v>
      </c>
      <c r="W189" s="4171"/>
      <c r="X189" s="1970"/>
      <c r="Y189" s="904"/>
      <c r="Z189" s="618">
        <f t="shared" si="401"/>
        <v>0</v>
      </c>
      <c r="AA189" s="4187"/>
      <c r="AB189" s="4181">
        <f t="shared" si="402"/>
        <v>0</v>
      </c>
      <c r="AC189" s="4171"/>
      <c r="AD189" s="1970"/>
      <c r="AE189" s="853"/>
      <c r="AF189" s="373">
        <f t="shared" si="405"/>
        <v>0</v>
      </c>
      <c r="AG189" s="4171"/>
      <c r="AH189" s="1970"/>
      <c r="AI189" s="853"/>
      <c r="AJ189" s="373">
        <f t="shared" si="406"/>
        <v>0</v>
      </c>
      <c r="AK189" s="4171"/>
      <c r="AL189" s="1970"/>
      <c r="AM189" s="904"/>
      <c r="AN189" s="618">
        <f t="shared" si="403"/>
        <v>0</v>
      </c>
      <c r="AO189" s="853"/>
      <c r="AP189" s="373">
        <f t="shared" si="399"/>
        <v>0</v>
      </c>
      <c r="AQ189" s="4171"/>
      <c r="AR189" s="1970"/>
      <c r="AS189" s="853"/>
      <c r="AT189" s="43">
        <f t="shared" si="407"/>
        <v>0</v>
      </c>
      <c r="AU189" s="4171"/>
      <c r="AV189" s="1970"/>
      <c r="AW189" s="853"/>
      <c r="AX189" s="43">
        <f t="shared" si="408"/>
        <v>0</v>
      </c>
      <c r="AY189" s="4171"/>
      <c r="AZ189" s="1970"/>
      <c r="BA189" s="904"/>
      <c r="BB189" s="618">
        <f t="shared" si="395"/>
        <v>0</v>
      </c>
      <c r="BC189" s="4187"/>
      <c r="BD189" s="6599">
        <f t="shared" si="400"/>
        <v>0</v>
      </c>
      <c r="BE189" s="853"/>
      <c r="BF189" s="43">
        <f t="shared" si="409"/>
        <v>0</v>
      </c>
      <c r="BG189" s="4590"/>
      <c r="BH189" s="4590"/>
      <c r="BI189" s="4590"/>
      <c r="BJ189" s="4590"/>
    </row>
    <row r="190" spans="1:62" ht="15.75" thickBot="1" x14ac:dyDescent="0.3">
      <c r="A190" s="93"/>
      <c r="B190" s="4219" t="s">
        <v>871</v>
      </c>
      <c r="C190" s="4212" t="s">
        <v>884</v>
      </c>
      <c r="D190" s="4183"/>
      <c r="E190" s="4171"/>
      <c r="F190" s="1970">
        <v>1553.8</v>
      </c>
      <c r="G190" s="4171"/>
      <c r="H190" s="1970">
        <v>118.03999999999999</v>
      </c>
      <c r="I190" s="853"/>
      <c r="J190" s="373">
        <f t="shared" si="398"/>
        <v>1671.84</v>
      </c>
      <c r="K190" s="4171"/>
      <c r="L190" s="1970">
        <v>745.18000000000006</v>
      </c>
      <c r="M190" s="904"/>
      <c r="N190" s="4125">
        <f t="shared" si="404"/>
        <v>2417.02</v>
      </c>
      <c r="O190" s="4171"/>
      <c r="P190" s="1970">
        <v>424.38</v>
      </c>
      <c r="Q190" s="853"/>
      <c r="R190" s="373">
        <f t="shared" si="396"/>
        <v>2841.4</v>
      </c>
      <c r="S190" s="4171"/>
      <c r="T190" s="1970">
        <v>688.63</v>
      </c>
      <c r="U190" s="853"/>
      <c r="V190" s="373">
        <f t="shared" si="397"/>
        <v>3530.03</v>
      </c>
      <c r="W190" s="4171"/>
      <c r="X190" s="1970">
        <v>895.92000000000007</v>
      </c>
      <c r="Y190" s="904"/>
      <c r="Z190" s="618">
        <f t="shared" si="401"/>
        <v>2008.93</v>
      </c>
      <c r="AA190" s="4187"/>
      <c r="AB190" s="4181">
        <f t="shared" si="402"/>
        <v>4425.95</v>
      </c>
      <c r="AC190" s="4171"/>
      <c r="AD190" s="1970">
        <v>1248.6500000000001</v>
      </c>
      <c r="AE190" s="853"/>
      <c r="AF190" s="373">
        <f t="shared" si="405"/>
        <v>5674.6</v>
      </c>
      <c r="AG190" s="4171"/>
      <c r="AH190" s="1970">
        <v>39.85</v>
      </c>
      <c r="AI190" s="853"/>
      <c r="AJ190" s="373">
        <f t="shared" si="406"/>
        <v>5714.4500000000007</v>
      </c>
      <c r="AK190" s="4171"/>
      <c r="AL190" s="1970">
        <v>729.93999999999994</v>
      </c>
      <c r="AM190" s="904"/>
      <c r="AN190" s="618">
        <f t="shared" si="403"/>
        <v>2018.44</v>
      </c>
      <c r="AO190" s="853"/>
      <c r="AP190" s="373">
        <f t="shared" si="399"/>
        <v>6444.39</v>
      </c>
      <c r="AQ190" s="4171"/>
      <c r="AR190" s="1970">
        <v>645.76</v>
      </c>
      <c r="AS190" s="853"/>
      <c r="AT190" s="43">
        <f t="shared" si="407"/>
        <v>7090.1500000000005</v>
      </c>
      <c r="AU190" s="4171"/>
      <c r="AV190" s="1970">
        <v>690.54</v>
      </c>
      <c r="AW190" s="853"/>
      <c r="AX190" s="43">
        <f t="shared" si="408"/>
        <v>7780.6900000000005</v>
      </c>
      <c r="AY190" s="4171"/>
      <c r="AZ190" s="1970">
        <v>920.21999999999991</v>
      </c>
      <c r="BA190" s="904"/>
      <c r="BB190" s="618">
        <f t="shared" si="395"/>
        <v>2256.52</v>
      </c>
      <c r="BC190" s="4187"/>
      <c r="BD190" s="6599">
        <f t="shared" si="400"/>
        <v>4274.96</v>
      </c>
      <c r="BE190" s="853"/>
      <c r="BF190" s="43">
        <f t="shared" si="409"/>
        <v>8700.91</v>
      </c>
      <c r="BG190" s="4590"/>
      <c r="BH190" s="4590"/>
      <c r="BI190" s="4590"/>
      <c r="BJ190" s="4590"/>
    </row>
    <row r="191" spans="1:62" ht="15.75" thickBot="1" x14ac:dyDescent="0.3">
      <c r="A191" s="154"/>
      <c r="B191" s="4219" t="s">
        <v>871</v>
      </c>
      <c r="C191" s="4212" t="s">
        <v>1160</v>
      </c>
      <c r="D191" s="4183"/>
      <c r="E191" s="4171"/>
      <c r="F191" s="1970">
        <v>1478.66</v>
      </c>
      <c r="G191" s="4171"/>
      <c r="H191" s="1970">
        <v>6974.48</v>
      </c>
      <c r="I191" s="853"/>
      <c r="J191" s="373">
        <f t="shared" si="398"/>
        <v>8453.14</v>
      </c>
      <c r="K191" s="4171"/>
      <c r="L191" s="1970">
        <v>3433.1899999999991</v>
      </c>
      <c r="M191" s="904"/>
      <c r="N191" s="4125">
        <f t="shared" si="404"/>
        <v>11886.329999999998</v>
      </c>
      <c r="O191" s="4171"/>
      <c r="P191" s="1970">
        <v>4785.2700000000013</v>
      </c>
      <c r="Q191" s="853"/>
      <c r="R191" s="373">
        <f t="shared" si="396"/>
        <v>16671.599999999999</v>
      </c>
      <c r="S191" s="4171"/>
      <c r="T191" s="1970">
        <v>4557.8200000000024</v>
      </c>
      <c r="U191" s="853"/>
      <c r="V191" s="373">
        <f t="shared" si="397"/>
        <v>21229.420000000002</v>
      </c>
      <c r="W191" s="4171"/>
      <c r="X191" s="1970">
        <v>5390.16</v>
      </c>
      <c r="Y191" s="904"/>
      <c r="Z191" s="618">
        <f t="shared" si="401"/>
        <v>14733.250000000004</v>
      </c>
      <c r="AA191" s="4187"/>
      <c r="AB191" s="4181">
        <f t="shared" si="402"/>
        <v>26619.58</v>
      </c>
      <c r="AC191" s="4171"/>
      <c r="AD191" s="1970">
        <v>4397.7600000000011</v>
      </c>
      <c r="AE191" s="853"/>
      <c r="AF191" s="373">
        <f t="shared" si="405"/>
        <v>31017.340000000004</v>
      </c>
      <c r="AG191" s="4171"/>
      <c r="AH191" s="1970">
        <v>4163.4500000000016</v>
      </c>
      <c r="AI191" s="853"/>
      <c r="AJ191" s="373">
        <f t="shared" si="406"/>
        <v>35180.790000000008</v>
      </c>
      <c r="AK191" s="4171"/>
      <c r="AL191" s="1970">
        <v>3943.8000000000011</v>
      </c>
      <c r="AM191" s="904"/>
      <c r="AN191" s="618">
        <f t="shared" si="403"/>
        <v>12505.010000000004</v>
      </c>
      <c r="AO191" s="853"/>
      <c r="AP191" s="373">
        <f t="shared" si="399"/>
        <v>39124.590000000011</v>
      </c>
      <c r="AQ191" s="4171"/>
      <c r="AR191" s="1970">
        <v>6510.62</v>
      </c>
      <c r="AS191" s="853"/>
      <c r="AT191" s="43">
        <f t="shared" si="407"/>
        <v>45635.210000000014</v>
      </c>
      <c r="AU191" s="4171"/>
      <c r="AV191" s="1970">
        <v>4972.5600000000004</v>
      </c>
      <c r="AW191" s="853"/>
      <c r="AX191" s="43">
        <f t="shared" si="408"/>
        <v>50607.770000000011</v>
      </c>
      <c r="AY191" s="4171"/>
      <c r="AZ191" s="1970">
        <v>4257.66</v>
      </c>
      <c r="BA191" s="904"/>
      <c r="BB191" s="618">
        <f t="shared" si="395"/>
        <v>15740.84</v>
      </c>
      <c r="BC191" s="4187"/>
      <c r="BD191" s="6599">
        <f t="shared" si="400"/>
        <v>28245.850000000006</v>
      </c>
      <c r="BE191" s="853"/>
      <c r="BF191" s="43">
        <f t="shared" si="409"/>
        <v>54865.430000000008</v>
      </c>
      <c r="BG191" s="4590"/>
      <c r="BH191" s="4590"/>
      <c r="BI191" s="4590"/>
      <c r="BJ191" s="4590"/>
    </row>
    <row r="192" spans="1:62" ht="15.75" thickBot="1" x14ac:dyDescent="0.3">
      <c r="A192" s="154"/>
      <c r="B192" s="4220" t="s">
        <v>871</v>
      </c>
      <c r="C192" s="4215" t="s">
        <v>1295</v>
      </c>
      <c r="D192" s="4185"/>
      <c r="E192" s="4188"/>
      <c r="F192" s="109">
        <v>550.80000000000007</v>
      </c>
      <c r="G192" s="4188"/>
      <c r="H192" s="109">
        <v>1271.58</v>
      </c>
      <c r="I192" s="3467"/>
      <c r="J192" s="373">
        <f t="shared" si="398"/>
        <v>1822.38</v>
      </c>
      <c r="K192" s="4188"/>
      <c r="L192" s="109">
        <v>1124.3499999999999</v>
      </c>
      <c r="M192" s="4189"/>
      <c r="N192" s="488">
        <f t="shared" si="404"/>
        <v>2946.73</v>
      </c>
      <c r="O192" s="4188"/>
      <c r="P192" s="109">
        <v>901.04</v>
      </c>
      <c r="Q192" s="3467"/>
      <c r="R192" s="373">
        <f t="shared" si="396"/>
        <v>3847.77</v>
      </c>
      <c r="S192" s="4188"/>
      <c r="T192" s="109">
        <v>2000.5500000000002</v>
      </c>
      <c r="U192" s="3467"/>
      <c r="V192" s="373">
        <f t="shared" si="397"/>
        <v>5848.32</v>
      </c>
      <c r="W192" s="4188"/>
      <c r="X192" s="109">
        <v>1645.17</v>
      </c>
      <c r="Y192" s="4189"/>
      <c r="Z192" s="618">
        <f t="shared" si="401"/>
        <v>4546.76</v>
      </c>
      <c r="AA192" s="4190"/>
      <c r="AB192" s="4186">
        <f t="shared" ref="AB192:AB212" si="410">N192+Z192</f>
        <v>7493.49</v>
      </c>
      <c r="AC192" s="4188"/>
      <c r="AD192" s="109">
        <v>1436.6799999999998</v>
      </c>
      <c r="AE192" s="3467"/>
      <c r="AF192" s="373">
        <f t="shared" si="405"/>
        <v>8930.17</v>
      </c>
      <c r="AG192" s="4188"/>
      <c r="AH192" s="109">
        <v>1030.8200000000002</v>
      </c>
      <c r="AI192" s="3467"/>
      <c r="AJ192" s="373">
        <f t="shared" si="406"/>
        <v>9960.99</v>
      </c>
      <c r="AK192" s="4188"/>
      <c r="AL192" s="109">
        <v>3230.6899999999991</v>
      </c>
      <c r="AM192" s="4189"/>
      <c r="AN192" s="618">
        <f t="shared" si="403"/>
        <v>5698.1899999999987</v>
      </c>
      <c r="AO192" s="3467"/>
      <c r="AP192" s="373">
        <f t="shared" si="399"/>
        <v>13191.679999999998</v>
      </c>
      <c r="AQ192" s="4188"/>
      <c r="AR192" s="109">
        <v>1111.52</v>
      </c>
      <c r="AS192" s="3467"/>
      <c r="AT192" s="43">
        <f t="shared" si="407"/>
        <v>14303.199999999999</v>
      </c>
      <c r="AU192" s="4188"/>
      <c r="AV192" s="109">
        <v>1046.6200000000001</v>
      </c>
      <c r="AW192" s="3467"/>
      <c r="AX192" s="43">
        <f t="shared" si="408"/>
        <v>15349.82</v>
      </c>
      <c r="AY192" s="4188"/>
      <c r="AZ192" s="109">
        <v>1559.98</v>
      </c>
      <c r="BA192" s="4189"/>
      <c r="BB192" s="618">
        <f t="shared" si="395"/>
        <v>3718.1200000000003</v>
      </c>
      <c r="BC192" s="4190"/>
      <c r="BD192" s="6599">
        <f t="shared" si="400"/>
        <v>9416.31</v>
      </c>
      <c r="BE192" s="3467"/>
      <c r="BF192" s="43">
        <f t="shared" si="409"/>
        <v>16909.8</v>
      </c>
      <c r="BG192" s="4590"/>
      <c r="BH192" s="4590"/>
      <c r="BI192" s="4590"/>
      <c r="BJ192" s="4590"/>
    </row>
    <row r="193" spans="1:62" ht="15.75" thickBot="1" x14ac:dyDescent="0.3">
      <c r="A193" s="154"/>
      <c r="B193" s="4216" t="s">
        <v>872</v>
      </c>
      <c r="C193" s="4211" t="s">
        <v>952</v>
      </c>
      <c r="D193" s="4176"/>
      <c r="E193" s="4191"/>
      <c r="F193" s="158"/>
      <c r="G193" s="4191"/>
      <c r="H193" s="158">
        <v>57.6</v>
      </c>
      <c r="I193" s="3464"/>
      <c r="J193" s="373">
        <f t="shared" si="398"/>
        <v>57.6</v>
      </c>
      <c r="K193" s="4191"/>
      <c r="L193" s="158"/>
      <c r="M193" s="4192"/>
      <c r="N193" s="618">
        <f t="shared" si="404"/>
        <v>57.6</v>
      </c>
      <c r="O193" s="4191"/>
      <c r="P193" s="158">
        <v>64.239999999999995</v>
      </c>
      <c r="Q193" s="3464"/>
      <c r="R193" s="373">
        <f t="shared" si="396"/>
        <v>121.84</v>
      </c>
      <c r="S193" s="4191"/>
      <c r="T193" s="158"/>
      <c r="U193" s="3464"/>
      <c r="V193" s="373">
        <f t="shared" si="397"/>
        <v>121.84</v>
      </c>
      <c r="W193" s="4191"/>
      <c r="X193" s="158"/>
      <c r="Y193" s="4192"/>
      <c r="Z193" s="618">
        <f t="shared" si="401"/>
        <v>64.239999999999995</v>
      </c>
      <c r="AA193" s="4193"/>
      <c r="AB193" s="4181">
        <f t="shared" si="410"/>
        <v>121.84</v>
      </c>
      <c r="AC193" s="4191"/>
      <c r="AD193" s="158"/>
      <c r="AE193" s="3464"/>
      <c r="AF193" s="373">
        <f t="shared" si="405"/>
        <v>121.84</v>
      </c>
      <c r="AG193" s="4191"/>
      <c r="AH193" s="158">
        <v>433.49999999999994</v>
      </c>
      <c r="AI193" s="3464"/>
      <c r="AJ193" s="373">
        <f t="shared" si="406"/>
        <v>555.33999999999992</v>
      </c>
      <c r="AK193" s="4191"/>
      <c r="AL193" s="158"/>
      <c r="AM193" s="4192"/>
      <c r="AN193" s="618">
        <f t="shared" si="403"/>
        <v>433.49999999999994</v>
      </c>
      <c r="AO193" s="3464"/>
      <c r="AP193" s="373">
        <f t="shared" si="399"/>
        <v>555.33999999999992</v>
      </c>
      <c r="AQ193" s="4191"/>
      <c r="AR193" s="158"/>
      <c r="AS193" s="3464"/>
      <c r="AT193" s="43">
        <f t="shared" si="407"/>
        <v>555.33999999999992</v>
      </c>
      <c r="AU193" s="4191"/>
      <c r="AV193" s="158"/>
      <c r="AW193" s="3464"/>
      <c r="AX193" s="43">
        <f t="shared" si="408"/>
        <v>555.33999999999992</v>
      </c>
      <c r="AY193" s="4191"/>
      <c r="AZ193" s="158"/>
      <c r="BA193" s="4192"/>
      <c r="BB193" s="618">
        <f t="shared" si="395"/>
        <v>0</v>
      </c>
      <c r="BC193" s="4193"/>
      <c r="BD193" s="6599">
        <f t="shared" si="400"/>
        <v>433.49999999999994</v>
      </c>
      <c r="BE193" s="3464"/>
      <c r="BF193" s="43">
        <f t="shared" si="409"/>
        <v>555.33999999999992</v>
      </c>
      <c r="BG193" s="4590"/>
      <c r="BH193" s="4590"/>
      <c r="BI193" s="4590"/>
      <c r="BJ193" s="4590"/>
    </row>
    <row r="194" spans="1:62" ht="20.25" customHeight="1" thickBot="1" x14ac:dyDescent="0.3">
      <c r="A194" s="154"/>
      <c r="B194" s="4219" t="s">
        <v>872</v>
      </c>
      <c r="C194" s="4212" t="s">
        <v>999</v>
      </c>
      <c r="D194" s="4183"/>
      <c r="E194" s="4171"/>
      <c r="F194" s="1970">
        <v>756.89</v>
      </c>
      <c r="G194" s="4171"/>
      <c r="H194" s="1970">
        <v>368.26</v>
      </c>
      <c r="I194" s="853"/>
      <c r="J194" s="373">
        <f t="shared" si="398"/>
        <v>1125.1500000000001</v>
      </c>
      <c r="K194" s="4171"/>
      <c r="L194" s="1970">
        <v>107.8</v>
      </c>
      <c r="M194" s="904"/>
      <c r="N194" s="4125">
        <f>F194+H194+L194</f>
        <v>1232.95</v>
      </c>
      <c r="O194" s="4171"/>
      <c r="P194" s="1970">
        <v>485.34000000000003</v>
      </c>
      <c r="Q194" s="853"/>
      <c r="R194" s="373">
        <f t="shared" si="396"/>
        <v>1718.29</v>
      </c>
      <c r="S194" s="4171"/>
      <c r="T194" s="1970">
        <v>585.44000000000005</v>
      </c>
      <c r="U194" s="853"/>
      <c r="V194" s="373">
        <f t="shared" si="397"/>
        <v>2303.73</v>
      </c>
      <c r="W194" s="4171"/>
      <c r="X194" s="1970">
        <v>669.6</v>
      </c>
      <c r="Y194" s="904"/>
      <c r="Z194" s="618">
        <f t="shared" si="401"/>
        <v>1740.38</v>
      </c>
      <c r="AA194" s="4187"/>
      <c r="AB194" s="4157">
        <f>N194+Z194</f>
        <v>2973.33</v>
      </c>
      <c r="AC194" s="4171"/>
      <c r="AD194" s="1970">
        <v>711</v>
      </c>
      <c r="AE194" s="853"/>
      <c r="AF194" s="373">
        <f t="shared" si="405"/>
        <v>3684.33</v>
      </c>
      <c r="AG194" s="4171"/>
      <c r="AH194" s="1970">
        <v>39.729999999999997</v>
      </c>
      <c r="AI194" s="853"/>
      <c r="AJ194" s="373">
        <f t="shared" si="406"/>
        <v>3724.06</v>
      </c>
      <c r="AK194" s="4171"/>
      <c r="AL194" s="1970">
        <v>906.32000000000016</v>
      </c>
      <c r="AM194" s="904"/>
      <c r="AN194" s="618">
        <f t="shared" si="403"/>
        <v>1657.0500000000002</v>
      </c>
      <c r="AO194" s="853"/>
      <c r="AP194" s="373">
        <f t="shared" si="399"/>
        <v>4630.38</v>
      </c>
      <c r="AQ194" s="4171"/>
      <c r="AR194" s="1970">
        <v>775.00000000000011</v>
      </c>
      <c r="AS194" s="853"/>
      <c r="AT194" s="43">
        <f t="shared" si="407"/>
        <v>5405.38</v>
      </c>
      <c r="AU194" s="4171"/>
      <c r="AV194" s="1970">
        <v>254.14000000000001</v>
      </c>
      <c r="AW194" s="853"/>
      <c r="AX194" s="43">
        <f t="shared" si="408"/>
        <v>5659.52</v>
      </c>
      <c r="AY194" s="4171"/>
      <c r="AZ194" s="1970">
        <v>344.85</v>
      </c>
      <c r="BA194" s="904"/>
      <c r="BB194" s="618">
        <f t="shared" si="395"/>
        <v>1373.9900000000002</v>
      </c>
      <c r="BC194" s="4187"/>
      <c r="BD194" s="6599">
        <f t="shared" si="400"/>
        <v>3031.0400000000004</v>
      </c>
      <c r="BE194" s="853"/>
      <c r="BF194" s="43">
        <f t="shared" si="409"/>
        <v>6004.3700000000008</v>
      </c>
      <c r="BG194" s="4590"/>
      <c r="BH194" s="4590"/>
      <c r="BI194" s="4590"/>
      <c r="BJ194" s="4590"/>
    </row>
    <row r="195" spans="1:62" ht="20.25" customHeight="1" thickBot="1" x14ac:dyDescent="0.3">
      <c r="A195" s="154"/>
      <c r="B195" s="4219" t="s">
        <v>872</v>
      </c>
      <c r="C195" s="4212" t="s">
        <v>1652</v>
      </c>
      <c r="D195" s="4183"/>
      <c r="E195" s="4171"/>
      <c r="F195" s="1970"/>
      <c r="G195" s="4171"/>
      <c r="H195" s="1970"/>
      <c r="I195" s="853"/>
      <c r="J195" s="373">
        <f t="shared" si="398"/>
        <v>0</v>
      </c>
      <c r="K195" s="4171"/>
      <c r="L195" s="1970"/>
      <c r="M195" s="904"/>
      <c r="N195" s="4125">
        <f>F195+H195+L195</f>
        <v>0</v>
      </c>
      <c r="O195" s="4171"/>
      <c r="P195" s="1970"/>
      <c r="Q195" s="853"/>
      <c r="R195" s="373">
        <f t="shared" si="396"/>
        <v>0</v>
      </c>
      <c r="S195" s="4171"/>
      <c r="T195" s="1970"/>
      <c r="U195" s="853"/>
      <c r="V195" s="373">
        <f t="shared" si="397"/>
        <v>0</v>
      </c>
      <c r="W195" s="4171"/>
      <c r="X195" s="1970"/>
      <c r="Y195" s="904"/>
      <c r="Z195" s="618">
        <f t="shared" si="401"/>
        <v>0</v>
      </c>
      <c r="AA195" s="4187"/>
      <c r="AB195" s="4157">
        <f>N195+Z195</f>
        <v>0</v>
      </c>
      <c r="AC195" s="4171"/>
      <c r="AD195" s="1970"/>
      <c r="AE195" s="853"/>
      <c r="AF195" s="373">
        <f t="shared" si="405"/>
        <v>0</v>
      </c>
      <c r="AG195" s="4171"/>
      <c r="AH195" s="1970"/>
      <c r="AI195" s="853"/>
      <c r="AJ195" s="373">
        <f t="shared" si="406"/>
        <v>0</v>
      </c>
      <c r="AK195" s="4171"/>
      <c r="AL195" s="1970"/>
      <c r="AM195" s="904"/>
      <c r="AN195" s="618">
        <f t="shared" si="403"/>
        <v>0</v>
      </c>
      <c r="AO195" s="853"/>
      <c r="AP195" s="373">
        <f t="shared" si="399"/>
        <v>0</v>
      </c>
      <c r="AQ195" s="4171"/>
      <c r="AR195" s="1970"/>
      <c r="AS195" s="853"/>
      <c r="AT195" s="43">
        <f t="shared" si="407"/>
        <v>0</v>
      </c>
      <c r="AU195" s="4171"/>
      <c r="AV195" s="1970"/>
      <c r="AW195" s="853"/>
      <c r="AX195" s="43">
        <f t="shared" si="408"/>
        <v>0</v>
      </c>
      <c r="AY195" s="4171"/>
      <c r="AZ195" s="1970"/>
      <c r="BA195" s="904"/>
      <c r="BB195" s="618">
        <f t="shared" si="395"/>
        <v>0</v>
      </c>
      <c r="BC195" s="4187"/>
      <c r="BD195" s="6599">
        <f t="shared" si="400"/>
        <v>0</v>
      </c>
      <c r="BE195" s="853"/>
      <c r="BF195" s="43">
        <f t="shared" si="409"/>
        <v>0</v>
      </c>
      <c r="BG195" s="4590"/>
      <c r="BH195" s="4590"/>
      <c r="BI195" s="4590"/>
      <c r="BJ195" s="4590"/>
    </row>
    <row r="196" spans="1:62" ht="19.5" customHeight="1" thickBot="1" x14ac:dyDescent="0.3">
      <c r="A196" s="154"/>
      <c r="B196" s="4219" t="s">
        <v>872</v>
      </c>
      <c r="C196" s="4212" t="s">
        <v>906</v>
      </c>
      <c r="D196" s="4212"/>
      <c r="E196" s="4171"/>
      <c r="F196" s="1970">
        <v>481.32</v>
      </c>
      <c r="G196" s="4171"/>
      <c r="H196" s="1970">
        <v>251.24</v>
      </c>
      <c r="I196" s="853"/>
      <c r="J196" s="373">
        <f t="shared" si="398"/>
        <v>732.56</v>
      </c>
      <c r="K196" s="4171"/>
      <c r="L196" s="1970"/>
      <c r="M196" s="904"/>
      <c r="N196" s="4125">
        <f>F196+H196+L196</f>
        <v>732.56</v>
      </c>
      <c r="O196" s="4171"/>
      <c r="P196" s="1970"/>
      <c r="Q196" s="853"/>
      <c r="R196" s="373">
        <f t="shared" si="396"/>
        <v>732.56</v>
      </c>
      <c r="S196" s="4171"/>
      <c r="T196" s="1970">
        <v>383.58</v>
      </c>
      <c r="U196" s="853"/>
      <c r="V196" s="373">
        <f t="shared" si="397"/>
        <v>1116.1399999999999</v>
      </c>
      <c r="W196" s="4171"/>
      <c r="X196" s="1970">
        <v>255.86</v>
      </c>
      <c r="Y196" s="904"/>
      <c r="Z196" s="618">
        <f t="shared" si="401"/>
        <v>639.44000000000005</v>
      </c>
      <c r="AA196" s="4187"/>
      <c r="AB196" s="4157">
        <f>N196+Z196</f>
        <v>1372</v>
      </c>
      <c r="AC196" s="4171"/>
      <c r="AD196" s="1970">
        <v>289.92</v>
      </c>
      <c r="AE196" s="853"/>
      <c r="AF196" s="373">
        <f t="shared" si="405"/>
        <v>1661.92</v>
      </c>
      <c r="AG196" s="4171"/>
      <c r="AH196" s="1970"/>
      <c r="AI196" s="853"/>
      <c r="AJ196" s="373">
        <f t="shared" si="406"/>
        <v>1661.92</v>
      </c>
      <c r="AK196" s="4171"/>
      <c r="AL196" s="1970">
        <v>492.53999999999996</v>
      </c>
      <c r="AM196" s="904"/>
      <c r="AN196" s="618">
        <f t="shared" si="403"/>
        <v>782.46</v>
      </c>
      <c r="AO196" s="853"/>
      <c r="AP196" s="373">
        <f t="shared" si="399"/>
        <v>2154.46</v>
      </c>
      <c r="AQ196" s="4171"/>
      <c r="AR196" s="1970">
        <v>419.46000000000004</v>
      </c>
      <c r="AS196" s="853"/>
      <c r="AT196" s="43">
        <f t="shared" si="407"/>
        <v>2573.92</v>
      </c>
      <c r="AU196" s="4171"/>
      <c r="AV196" s="1970"/>
      <c r="AW196" s="853"/>
      <c r="AX196" s="43">
        <f t="shared" si="408"/>
        <v>2573.92</v>
      </c>
      <c r="AY196" s="4171"/>
      <c r="AZ196" s="1970">
        <v>546</v>
      </c>
      <c r="BA196" s="904"/>
      <c r="BB196" s="618">
        <f t="shared" si="395"/>
        <v>965.46</v>
      </c>
      <c r="BC196" s="4187"/>
      <c r="BD196" s="6599">
        <f t="shared" si="400"/>
        <v>1747.92</v>
      </c>
      <c r="BE196" s="853"/>
      <c r="BF196" s="43">
        <f t="shared" si="409"/>
        <v>3119.92</v>
      </c>
      <c r="BG196" s="4590"/>
      <c r="BH196" s="4590"/>
      <c r="BI196" s="4590"/>
      <c r="BJ196" s="4590"/>
    </row>
    <row r="197" spans="1:62" ht="15.75" thickBot="1" x14ac:dyDescent="0.3">
      <c r="A197" s="154"/>
      <c r="B197" s="4219" t="s">
        <v>872</v>
      </c>
      <c r="C197" s="4212" t="s">
        <v>1659</v>
      </c>
      <c r="D197" s="4183"/>
      <c r="E197" s="4171"/>
      <c r="F197" s="1970"/>
      <c r="G197" s="4171"/>
      <c r="H197" s="1970"/>
      <c r="I197" s="853"/>
      <c r="J197" s="373">
        <f t="shared" si="398"/>
        <v>0</v>
      </c>
      <c r="K197" s="4171"/>
      <c r="L197" s="1970"/>
      <c r="M197" s="904"/>
      <c r="N197" s="4125"/>
      <c r="O197" s="4171"/>
      <c r="P197" s="1970"/>
      <c r="Q197" s="853"/>
      <c r="R197" s="373">
        <f t="shared" si="396"/>
        <v>0</v>
      </c>
      <c r="S197" s="4171"/>
      <c r="T197" s="1970"/>
      <c r="U197" s="853"/>
      <c r="V197" s="373">
        <f t="shared" si="397"/>
        <v>0</v>
      </c>
      <c r="W197" s="4171"/>
      <c r="X197" s="1970"/>
      <c r="Y197" s="904"/>
      <c r="Z197" s="618">
        <f t="shared" si="401"/>
        <v>0</v>
      </c>
      <c r="AA197" s="4187"/>
      <c r="AB197" s="5021">
        <f t="shared" ref="AB197:AB203" si="411">N197+Z197</f>
        <v>0</v>
      </c>
      <c r="AC197" s="4171"/>
      <c r="AD197" s="1970"/>
      <c r="AE197" s="853"/>
      <c r="AF197" s="373">
        <f t="shared" si="405"/>
        <v>0</v>
      </c>
      <c r="AG197" s="4171"/>
      <c r="AH197" s="1970"/>
      <c r="AI197" s="853"/>
      <c r="AJ197" s="373">
        <f t="shared" si="406"/>
        <v>0</v>
      </c>
      <c r="AK197" s="4171"/>
      <c r="AL197" s="1970"/>
      <c r="AM197" s="904"/>
      <c r="AN197" s="618">
        <f t="shared" si="403"/>
        <v>0</v>
      </c>
      <c r="AO197" s="853"/>
      <c r="AP197" s="373">
        <f t="shared" si="399"/>
        <v>0</v>
      </c>
      <c r="AQ197" s="4171"/>
      <c r="AR197" s="1970"/>
      <c r="AS197" s="853"/>
      <c r="AT197" s="43">
        <f t="shared" si="407"/>
        <v>0</v>
      </c>
      <c r="AU197" s="4171"/>
      <c r="AV197" s="1970"/>
      <c r="AW197" s="853"/>
      <c r="AX197" s="43">
        <f t="shared" si="408"/>
        <v>0</v>
      </c>
      <c r="AY197" s="4171"/>
      <c r="AZ197" s="1970"/>
      <c r="BA197" s="904"/>
      <c r="BB197" s="618">
        <f t="shared" si="395"/>
        <v>0</v>
      </c>
      <c r="BC197" s="4187"/>
      <c r="BD197" s="6599">
        <f t="shared" si="400"/>
        <v>0</v>
      </c>
      <c r="BE197" s="853"/>
      <c r="BF197" s="43">
        <f t="shared" si="409"/>
        <v>0</v>
      </c>
      <c r="BG197" s="4590"/>
      <c r="BH197" s="4590"/>
      <c r="BI197" s="4590"/>
      <c r="BJ197" s="4590"/>
    </row>
    <row r="198" spans="1:62" ht="15.75" thickBot="1" x14ac:dyDescent="0.3">
      <c r="A198" s="154"/>
      <c r="B198" s="4219" t="s">
        <v>872</v>
      </c>
      <c r="C198" s="4212" t="s">
        <v>883</v>
      </c>
      <c r="D198" s="4183"/>
      <c r="E198" s="4171"/>
      <c r="F198" s="1970">
        <v>499.24</v>
      </c>
      <c r="G198" s="4171"/>
      <c r="H198" s="1970">
        <v>489.58000000000004</v>
      </c>
      <c r="I198" s="853"/>
      <c r="J198" s="373">
        <f t="shared" si="398"/>
        <v>988.82</v>
      </c>
      <c r="K198" s="4171"/>
      <c r="L198" s="1970">
        <v>62.54</v>
      </c>
      <c r="M198" s="904"/>
      <c r="N198" s="4125">
        <f>F198+H198+L198</f>
        <v>1051.3600000000001</v>
      </c>
      <c r="O198" s="4171"/>
      <c r="P198" s="1970">
        <v>160.47</v>
      </c>
      <c r="Q198" s="853"/>
      <c r="R198" s="373">
        <f t="shared" si="396"/>
        <v>1211.8300000000002</v>
      </c>
      <c r="S198" s="4171"/>
      <c r="T198" s="1970">
        <v>741.23</v>
      </c>
      <c r="U198" s="853"/>
      <c r="V198" s="373">
        <f t="shared" si="397"/>
        <v>1953.0600000000002</v>
      </c>
      <c r="W198" s="4171"/>
      <c r="X198" s="1970">
        <v>554.55999999999995</v>
      </c>
      <c r="Y198" s="904"/>
      <c r="Z198" s="618">
        <f t="shared" si="401"/>
        <v>1456.26</v>
      </c>
      <c r="AA198" s="4187"/>
      <c r="AB198" s="5021">
        <f t="shared" si="411"/>
        <v>2507.62</v>
      </c>
      <c r="AC198" s="4171"/>
      <c r="AD198" s="1970">
        <v>546.56999999999994</v>
      </c>
      <c r="AE198" s="853"/>
      <c r="AF198" s="373">
        <f t="shared" si="405"/>
        <v>3054.1899999999996</v>
      </c>
      <c r="AG198" s="4171"/>
      <c r="AH198" s="1970">
        <v>1267.3300000000002</v>
      </c>
      <c r="AI198" s="853"/>
      <c r="AJ198" s="373">
        <f t="shared" si="406"/>
        <v>4321.5199999999995</v>
      </c>
      <c r="AK198" s="4171"/>
      <c r="AL198" s="1970">
        <v>880.46</v>
      </c>
      <c r="AM198" s="904"/>
      <c r="AN198" s="618">
        <f t="shared" si="403"/>
        <v>2694.36</v>
      </c>
      <c r="AO198" s="853"/>
      <c r="AP198" s="373">
        <f t="shared" si="399"/>
        <v>5201.9799999999996</v>
      </c>
      <c r="AQ198" s="4171"/>
      <c r="AR198" s="1970">
        <v>769.52</v>
      </c>
      <c r="AS198" s="853"/>
      <c r="AT198" s="43">
        <f t="shared" si="407"/>
        <v>5971.5</v>
      </c>
      <c r="AU198" s="4171"/>
      <c r="AV198" s="1970">
        <v>362.7</v>
      </c>
      <c r="AW198" s="853"/>
      <c r="AX198" s="43">
        <f t="shared" si="408"/>
        <v>6334.2</v>
      </c>
      <c r="AY198" s="4171"/>
      <c r="AZ198" s="1970">
        <v>624.48</v>
      </c>
      <c r="BA198" s="904"/>
      <c r="BB198" s="618">
        <f t="shared" si="395"/>
        <v>1756.7</v>
      </c>
      <c r="BC198" s="4187"/>
      <c r="BD198" s="6599">
        <f t="shared" si="400"/>
        <v>4451.0600000000004</v>
      </c>
      <c r="BE198" s="853"/>
      <c r="BF198" s="43">
        <f t="shared" si="409"/>
        <v>6958.68</v>
      </c>
      <c r="BG198" s="4590"/>
      <c r="BH198" s="4590"/>
      <c r="BI198" s="4590"/>
      <c r="BJ198" s="4590"/>
    </row>
    <row r="199" spans="1:62" ht="15.75" thickBot="1" x14ac:dyDescent="0.3">
      <c r="A199" s="154"/>
      <c r="B199" s="4219" t="s">
        <v>872</v>
      </c>
      <c r="C199" s="4212" t="s">
        <v>1159</v>
      </c>
      <c r="D199" s="4183"/>
      <c r="E199" s="4171"/>
      <c r="F199" s="1970">
        <v>252.2</v>
      </c>
      <c r="G199" s="4171"/>
      <c r="H199" s="1970">
        <v>186.76</v>
      </c>
      <c r="I199" s="853"/>
      <c r="J199" s="373">
        <f t="shared" si="398"/>
        <v>438.96</v>
      </c>
      <c r="K199" s="4171"/>
      <c r="L199" s="1970"/>
      <c r="M199" s="904"/>
      <c r="N199" s="4125">
        <f>F199+H199+L199</f>
        <v>438.96</v>
      </c>
      <c r="O199" s="4171"/>
      <c r="P199" s="1970"/>
      <c r="Q199" s="853"/>
      <c r="R199" s="373">
        <f t="shared" si="396"/>
        <v>438.96</v>
      </c>
      <c r="S199" s="4171"/>
      <c r="T199" s="1970"/>
      <c r="U199" s="853"/>
      <c r="V199" s="373">
        <f t="shared" si="397"/>
        <v>438.96</v>
      </c>
      <c r="W199" s="4171"/>
      <c r="X199" s="1970">
        <v>198.07000000000002</v>
      </c>
      <c r="Y199" s="904"/>
      <c r="Z199" s="618">
        <f t="shared" si="401"/>
        <v>198.07000000000002</v>
      </c>
      <c r="AA199" s="4187"/>
      <c r="AB199" s="5021">
        <f t="shared" si="411"/>
        <v>637.03</v>
      </c>
      <c r="AC199" s="4171"/>
      <c r="AD199" s="1970"/>
      <c r="AE199" s="853"/>
      <c r="AF199" s="373">
        <f t="shared" si="405"/>
        <v>637.03</v>
      </c>
      <c r="AG199" s="4171"/>
      <c r="AH199" s="1970"/>
      <c r="AI199" s="853"/>
      <c r="AJ199" s="373">
        <f t="shared" si="406"/>
        <v>637.03</v>
      </c>
      <c r="AK199" s="4171"/>
      <c r="AL199" s="1970"/>
      <c r="AM199" s="904"/>
      <c r="AN199" s="618">
        <f t="shared" si="403"/>
        <v>0</v>
      </c>
      <c r="AO199" s="853"/>
      <c r="AP199" s="373">
        <f t="shared" si="399"/>
        <v>637.03</v>
      </c>
      <c r="AQ199" s="4171"/>
      <c r="AR199" s="1970">
        <v>185.46</v>
      </c>
      <c r="AS199" s="853"/>
      <c r="AT199" s="43">
        <f t="shared" si="407"/>
        <v>822.49</v>
      </c>
      <c r="AU199" s="4171"/>
      <c r="AV199" s="1970"/>
      <c r="AW199" s="853"/>
      <c r="AX199" s="43">
        <f t="shared" si="408"/>
        <v>822.49</v>
      </c>
      <c r="AY199" s="4171"/>
      <c r="AZ199" s="1970"/>
      <c r="BA199" s="904"/>
      <c r="BB199" s="618">
        <f t="shared" si="395"/>
        <v>185.46</v>
      </c>
      <c r="BC199" s="4187"/>
      <c r="BD199" s="6599">
        <f t="shared" si="400"/>
        <v>185.46</v>
      </c>
      <c r="BE199" s="853"/>
      <c r="BF199" s="43">
        <f t="shared" si="409"/>
        <v>822.49</v>
      </c>
      <c r="BG199" s="4590"/>
      <c r="BH199" s="4590"/>
      <c r="BI199" s="4590"/>
      <c r="BJ199" s="4590"/>
    </row>
    <row r="200" spans="1:62" ht="20.25" customHeight="1" thickBot="1" x14ac:dyDescent="0.3">
      <c r="A200" s="154"/>
      <c r="B200" s="4219" t="s">
        <v>872</v>
      </c>
      <c r="C200" s="4212" t="s">
        <v>1158</v>
      </c>
      <c r="D200" s="4183"/>
      <c r="E200" s="4171"/>
      <c r="F200" s="1970">
        <v>1166.21</v>
      </c>
      <c r="G200" s="4171"/>
      <c r="H200" s="1970">
        <v>1573.5600000000002</v>
      </c>
      <c r="I200" s="853"/>
      <c r="J200" s="373">
        <f t="shared" si="398"/>
        <v>2739.7700000000004</v>
      </c>
      <c r="K200" s="4171"/>
      <c r="L200" s="1970">
        <v>61.86</v>
      </c>
      <c r="M200" s="904"/>
      <c r="N200" s="4125">
        <f t="shared" si="404"/>
        <v>2801.6300000000006</v>
      </c>
      <c r="O200" s="4171"/>
      <c r="P200" s="1970">
        <v>509.9</v>
      </c>
      <c r="Q200" s="853"/>
      <c r="R200" s="373">
        <f t="shared" si="396"/>
        <v>3311.5300000000007</v>
      </c>
      <c r="S200" s="4171"/>
      <c r="T200" s="1970">
        <v>1041.43</v>
      </c>
      <c r="U200" s="853"/>
      <c r="V200" s="373">
        <f t="shared" si="397"/>
        <v>4352.9600000000009</v>
      </c>
      <c r="W200" s="4171"/>
      <c r="X200" s="1970">
        <v>1434.28</v>
      </c>
      <c r="Y200" s="904"/>
      <c r="Z200" s="618">
        <f t="shared" si="401"/>
        <v>2985.6099999999997</v>
      </c>
      <c r="AA200" s="4187"/>
      <c r="AB200" s="5021">
        <f t="shared" si="411"/>
        <v>5787.24</v>
      </c>
      <c r="AC200" s="4171"/>
      <c r="AD200" s="1970">
        <v>796.43999999999994</v>
      </c>
      <c r="AE200" s="853"/>
      <c r="AF200" s="373">
        <f t="shared" si="405"/>
        <v>6583.6799999999994</v>
      </c>
      <c r="AG200" s="4171"/>
      <c r="AH200" s="1970">
        <v>165.21</v>
      </c>
      <c r="AI200" s="853"/>
      <c r="AJ200" s="373">
        <f t="shared" si="406"/>
        <v>6748.8899999999994</v>
      </c>
      <c r="AK200" s="4171"/>
      <c r="AL200" s="1970">
        <v>1049.3699999999999</v>
      </c>
      <c r="AM200" s="904"/>
      <c r="AN200" s="618">
        <f t="shared" si="403"/>
        <v>2011.02</v>
      </c>
      <c r="AO200" s="853"/>
      <c r="AP200" s="373">
        <f t="shared" si="399"/>
        <v>7798.2599999999993</v>
      </c>
      <c r="AQ200" s="4171"/>
      <c r="AR200" s="1970">
        <v>1399.73</v>
      </c>
      <c r="AS200" s="853"/>
      <c r="AT200" s="43">
        <f t="shared" si="407"/>
        <v>9197.99</v>
      </c>
      <c r="AU200" s="4171"/>
      <c r="AV200" s="1970">
        <v>1069.0700000000002</v>
      </c>
      <c r="AW200" s="853"/>
      <c r="AX200" s="43">
        <f t="shared" si="408"/>
        <v>10267.06</v>
      </c>
      <c r="AY200" s="4171"/>
      <c r="AZ200" s="1970">
        <v>569.04</v>
      </c>
      <c r="BA200" s="904"/>
      <c r="BB200" s="618">
        <f t="shared" si="395"/>
        <v>3037.84</v>
      </c>
      <c r="BC200" s="4187"/>
      <c r="BD200" s="6599">
        <f t="shared" si="400"/>
        <v>5048.8600000000006</v>
      </c>
      <c r="BE200" s="853"/>
      <c r="BF200" s="43">
        <f t="shared" si="409"/>
        <v>10836.099999999999</v>
      </c>
      <c r="BG200" s="4590"/>
      <c r="BH200" s="4590"/>
      <c r="BI200" s="4590"/>
      <c r="BJ200" s="4590"/>
    </row>
    <row r="201" spans="1:62" ht="19.5" customHeight="1" thickBot="1" x14ac:dyDescent="0.3">
      <c r="A201" s="154"/>
      <c r="B201" s="4219" t="s">
        <v>872</v>
      </c>
      <c r="C201" s="4212" t="s">
        <v>1339</v>
      </c>
      <c r="D201" s="4212"/>
      <c r="E201" s="4171"/>
      <c r="F201" s="1970"/>
      <c r="G201" s="4171"/>
      <c r="H201" s="1970"/>
      <c r="I201" s="853"/>
      <c r="J201" s="373">
        <f t="shared" si="398"/>
        <v>0</v>
      </c>
      <c r="K201" s="4171"/>
      <c r="L201" s="1970"/>
      <c r="M201" s="904"/>
      <c r="N201" s="4125">
        <f t="shared" si="404"/>
        <v>0</v>
      </c>
      <c r="O201" s="4171"/>
      <c r="P201" s="1970">
        <v>595.42999999999995</v>
      </c>
      <c r="Q201" s="853"/>
      <c r="R201" s="373">
        <f t="shared" si="396"/>
        <v>595.42999999999995</v>
      </c>
      <c r="S201" s="4171"/>
      <c r="T201" s="1970">
        <v>847.8599999999999</v>
      </c>
      <c r="U201" s="853"/>
      <c r="V201" s="373">
        <f t="shared" si="397"/>
        <v>1443.29</v>
      </c>
      <c r="W201" s="4171"/>
      <c r="X201" s="1970">
        <v>593.98</v>
      </c>
      <c r="Y201" s="904"/>
      <c r="Z201" s="618">
        <f t="shared" si="401"/>
        <v>2037.27</v>
      </c>
      <c r="AA201" s="4187"/>
      <c r="AB201" s="5021">
        <f t="shared" si="411"/>
        <v>2037.27</v>
      </c>
      <c r="AC201" s="4171"/>
      <c r="AD201" s="1970">
        <v>661.85</v>
      </c>
      <c r="AE201" s="853"/>
      <c r="AF201" s="373">
        <f t="shared" si="405"/>
        <v>2699.12</v>
      </c>
      <c r="AG201" s="4171"/>
      <c r="AH201" s="1970">
        <v>191.98000000000002</v>
      </c>
      <c r="AI201" s="853"/>
      <c r="AJ201" s="373">
        <f t="shared" si="406"/>
        <v>2891.1</v>
      </c>
      <c r="AK201" s="4171"/>
      <c r="AL201" s="1970">
        <v>526.78</v>
      </c>
      <c r="AM201" s="904"/>
      <c r="AN201" s="618">
        <f t="shared" si="403"/>
        <v>1380.6100000000001</v>
      </c>
      <c r="AO201" s="853"/>
      <c r="AP201" s="373">
        <f t="shared" si="399"/>
        <v>3417.88</v>
      </c>
      <c r="AQ201" s="4171"/>
      <c r="AR201" s="1970">
        <v>231.32000000000002</v>
      </c>
      <c r="AS201" s="853"/>
      <c r="AT201" s="43">
        <f t="shared" si="407"/>
        <v>3649.2000000000003</v>
      </c>
      <c r="AU201" s="4171"/>
      <c r="AV201" s="1970">
        <v>559.91</v>
      </c>
      <c r="AW201" s="853"/>
      <c r="AX201" s="43">
        <f t="shared" si="408"/>
        <v>4209.1100000000006</v>
      </c>
      <c r="AY201" s="4171"/>
      <c r="AZ201" s="1970"/>
      <c r="BA201" s="904"/>
      <c r="BB201" s="618">
        <f t="shared" si="395"/>
        <v>791.23</v>
      </c>
      <c r="BC201" s="4187"/>
      <c r="BD201" s="6599">
        <f t="shared" si="400"/>
        <v>2171.84</v>
      </c>
      <c r="BE201" s="853"/>
      <c r="BF201" s="43">
        <f t="shared" si="409"/>
        <v>4209.1100000000006</v>
      </c>
      <c r="BG201" s="4590"/>
      <c r="BH201" s="4590"/>
      <c r="BI201" s="4590"/>
      <c r="BJ201" s="4590"/>
    </row>
    <row r="202" spans="1:62" ht="15.75" thickBot="1" x14ac:dyDescent="0.3">
      <c r="A202" s="154"/>
      <c r="B202" s="4219" t="s">
        <v>872</v>
      </c>
      <c r="C202" s="4212" t="s">
        <v>1004</v>
      </c>
      <c r="D202" s="205"/>
      <c r="E202" s="205"/>
      <c r="F202" s="2400">
        <v>510.86</v>
      </c>
      <c r="G202" s="205"/>
      <c r="H202" s="7166">
        <v>432.36</v>
      </c>
      <c r="I202" s="590"/>
      <c r="J202" s="373">
        <f t="shared" si="398"/>
        <v>943.22</v>
      </c>
      <c r="K202" s="205"/>
      <c r="L202" s="4574">
        <v>24.28</v>
      </c>
      <c r="M202" s="948"/>
      <c r="N202" s="4568">
        <f t="shared" si="404"/>
        <v>967.5</v>
      </c>
      <c r="O202" s="205"/>
      <c r="P202" s="4778">
        <v>1509.0600000000002</v>
      </c>
      <c r="Q202" s="590"/>
      <c r="R202" s="373">
        <f t="shared" si="396"/>
        <v>2476.5600000000004</v>
      </c>
      <c r="S202" s="205"/>
      <c r="T202" s="4889">
        <v>1423.76</v>
      </c>
      <c r="U202" s="4888"/>
      <c r="V202" s="373">
        <f t="shared" si="397"/>
        <v>3900.3200000000006</v>
      </c>
      <c r="W202" s="205"/>
      <c r="X202" s="5026">
        <v>741.9100000000002</v>
      </c>
      <c r="Y202" s="948"/>
      <c r="Z202" s="618">
        <f t="shared" si="401"/>
        <v>3674.7300000000005</v>
      </c>
      <c r="AA202" s="4223"/>
      <c r="AB202" s="5021">
        <f t="shared" si="411"/>
        <v>4642.2300000000005</v>
      </c>
      <c r="AC202" s="205"/>
      <c r="AD202" s="5337">
        <v>1316.0699999999997</v>
      </c>
      <c r="AE202" s="590"/>
      <c r="AF202" s="373">
        <f t="shared" si="405"/>
        <v>5958.3</v>
      </c>
      <c r="AG202" s="205"/>
      <c r="AH202" s="5510">
        <v>774.27</v>
      </c>
      <c r="AI202" s="590"/>
      <c r="AJ202" s="373">
        <f t="shared" si="406"/>
        <v>6732.57</v>
      </c>
      <c r="AK202" s="205"/>
      <c r="AL202" s="5911">
        <v>782.41999999999985</v>
      </c>
      <c r="AM202" s="948"/>
      <c r="AN202" s="618">
        <f t="shared" si="403"/>
        <v>2872.7599999999993</v>
      </c>
      <c r="AO202" s="590"/>
      <c r="AP202" s="373">
        <f t="shared" si="399"/>
        <v>7514.99</v>
      </c>
      <c r="AQ202" s="205"/>
      <c r="AR202" s="6066">
        <v>126.24</v>
      </c>
      <c r="AS202" s="590"/>
      <c r="AT202" s="43">
        <f t="shared" si="407"/>
        <v>7641.23</v>
      </c>
      <c r="AU202" s="205"/>
      <c r="AV202" s="6189">
        <v>180.76</v>
      </c>
      <c r="AW202" s="6191"/>
      <c r="AX202" s="43">
        <f t="shared" si="408"/>
        <v>7821.99</v>
      </c>
      <c r="AY202" s="205"/>
      <c r="AZ202" s="6401"/>
      <c r="BA202" s="948"/>
      <c r="BB202" s="618">
        <f t="shared" si="395"/>
        <v>307</v>
      </c>
      <c r="BC202" s="4223"/>
      <c r="BD202" s="6599">
        <f t="shared" si="400"/>
        <v>3179.7599999999993</v>
      </c>
      <c r="BE202" s="590"/>
      <c r="BF202" s="43">
        <f t="shared" si="409"/>
        <v>7821.99</v>
      </c>
      <c r="BG202" s="4590"/>
      <c r="BH202" s="4590"/>
      <c r="BI202" s="4590"/>
      <c r="BJ202" s="4590"/>
    </row>
    <row r="203" spans="1:62" ht="15.75" thickBot="1" x14ac:dyDescent="0.3">
      <c r="A203" s="154"/>
      <c r="B203" s="4219" t="s">
        <v>872</v>
      </c>
      <c r="C203" s="4221" t="s">
        <v>1153</v>
      </c>
      <c r="D203" s="3538"/>
      <c r="E203" s="3538"/>
      <c r="F203" s="4145"/>
      <c r="G203" s="3538"/>
      <c r="H203" s="7170"/>
      <c r="I203" s="3558"/>
      <c r="J203" s="373">
        <f t="shared" si="398"/>
        <v>0</v>
      </c>
      <c r="K203" s="3538"/>
      <c r="L203" s="4578"/>
      <c r="M203" s="3967"/>
      <c r="N203" s="4568">
        <f t="shared" si="404"/>
        <v>0</v>
      </c>
      <c r="O203" s="3538"/>
      <c r="P203" s="4790"/>
      <c r="Q203" s="3558"/>
      <c r="R203" s="373">
        <f t="shared" si="396"/>
        <v>0</v>
      </c>
      <c r="S203" s="3538"/>
      <c r="T203" s="4901"/>
      <c r="U203" s="3558"/>
      <c r="V203" s="373">
        <f t="shared" si="397"/>
        <v>0</v>
      </c>
      <c r="W203" s="3538"/>
      <c r="X203" s="5031"/>
      <c r="Y203" s="3967"/>
      <c r="Z203" s="618">
        <f t="shared" si="401"/>
        <v>0</v>
      </c>
      <c r="AA203" s="4230"/>
      <c r="AB203" s="5021">
        <f t="shared" si="411"/>
        <v>0</v>
      </c>
      <c r="AC203" s="3538"/>
      <c r="AD203" s="5344"/>
      <c r="AE203" s="3558"/>
      <c r="AF203" s="373">
        <f t="shared" si="405"/>
        <v>0</v>
      </c>
      <c r="AG203" s="3538"/>
      <c r="AH203" s="5520"/>
      <c r="AI203" s="3558"/>
      <c r="AJ203" s="373">
        <f t="shared" si="406"/>
        <v>0</v>
      </c>
      <c r="AK203" s="3538"/>
      <c r="AL203" s="5917"/>
      <c r="AM203" s="3967"/>
      <c r="AN203" s="618">
        <f t="shared" si="403"/>
        <v>0</v>
      </c>
      <c r="AO203" s="3558"/>
      <c r="AP203" s="373">
        <f t="shared" si="399"/>
        <v>0</v>
      </c>
      <c r="AQ203" s="3538"/>
      <c r="AR203" s="6072"/>
      <c r="AS203" s="3558"/>
      <c r="AT203" s="43">
        <f t="shared" si="407"/>
        <v>0</v>
      </c>
      <c r="AU203" s="3538"/>
      <c r="AV203" s="6200"/>
      <c r="AW203" s="6192"/>
      <c r="AX203" s="43">
        <f t="shared" si="408"/>
        <v>0</v>
      </c>
      <c r="AY203" s="3538"/>
      <c r="AZ203" s="6409"/>
      <c r="BA203" s="3967"/>
      <c r="BB203" s="618">
        <f t="shared" si="395"/>
        <v>0</v>
      </c>
      <c r="BC203" s="4230"/>
      <c r="BD203" s="6599">
        <f t="shared" si="400"/>
        <v>0</v>
      </c>
      <c r="BE203" s="3558"/>
      <c r="BF203" s="43">
        <f t="shared" si="409"/>
        <v>0</v>
      </c>
      <c r="BG203" s="4590"/>
      <c r="BH203" s="4590"/>
      <c r="BI203" s="4590"/>
      <c r="BJ203" s="4590"/>
    </row>
    <row r="204" spans="1:62" ht="15.75" thickBot="1" x14ac:dyDescent="0.3">
      <c r="A204" s="154"/>
      <c r="B204" s="4219" t="s">
        <v>872</v>
      </c>
      <c r="C204" s="4212" t="s">
        <v>910</v>
      </c>
      <c r="D204" s="205"/>
      <c r="E204" s="205"/>
      <c r="F204" s="2400"/>
      <c r="G204" s="205"/>
      <c r="H204" s="7166"/>
      <c r="I204" s="590"/>
      <c r="J204" s="373">
        <f t="shared" si="398"/>
        <v>0</v>
      </c>
      <c r="K204" s="205"/>
      <c r="L204" s="4574"/>
      <c r="M204" s="948"/>
      <c r="N204" s="4568">
        <f t="shared" si="404"/>
        <v>0</v>
      </c>
      <c r="O204" s="205"/>
      <c r="P204" s="4778"/>
      <c r="Q204" s="590"/>
      <c r="R204" s="373">
        <f t="shared" si="396"/>
        <v>0</v>
      </c>
      <c r="S204" s="205"/>
      <c r="T204" s="4889"/>
      <c r="U204" s="4888"/>
      <c r="V204" s="373">
        <f t="shared" si="397"/>
        <v>0</v>
      </c>
      <c r="W204" s="205"/>
      <c r="X204" s="5026"/>
      <c r="Y204" s="948"/>
      <c r="Z204" s="618">
        <f t="shared" si="401"/>
        <v>0</v>
      </c>
      <c r="AA204" s="4223"/>
      <c r="AB204" s="4157">
        <f t="shared" si="410"/>
        <v>0</v>
      </c>
      <c r="AC204" s="205"/>
      <c r="AD204" s="5337"/>
      <c r="AE204" s="590"/>
      <c r="AF204" s="373">
        <f t="shared" si="405"/>
        <v>0</v>
      </c>
      <c r="AG204" s="205"/>
      <c r="AH204" s="5510"/>
      <c r="AI204" s="590"/>
      <c r="AJ204" s="373">
        <f t="shared" si="406"/>
        <v>0</v>
      </c>
      <c r="AK204" s="205"/>
      <c r="AL204" s="5911"/>
      <c r="AM204" s="948"/>
      <c r="AN204" s="618">
        <f t="shared" si="403"/>
        <v>0</v>
      </c>
      <c r="AO204" s="590"/>
      <c r="AP204" s="373">
        <f t="shared" si="399"/>
        <v>0</v>
      </c>
      <c r="AQ204" s="205"/>
      <c r="AR204" s="6066"/>
      <c r="AS204" s="590"/>
      <c r="AT204" s="43">
        <f t="shared" si="407"/>
        <v>0</v>
      </c>
      <c r="AU204" s="205"/>
      <c r="AV204" s="6189"/>
      <c r="AW204" s="6191"/>
      <c r="AX204" s="43">
        <f t="shared" si="408"/>
        <v>0</v>
      </c>
      <c r="AY204" s="205"/>
      <c r="AZ204" s="6401"/>
      <c r="BA204" s="948"/>
      <c r="BB204" s="618">
        <f t="shared" si="395"/>
        <v>0</v>
      </c>
      <c r="BC204" s="4223"/>
      <c r="BD204" s="6599">
        <f t="shared" si="400"/>
        <v>0</v>
      </c>
      <c r="BE204" s="590"/>
      <c r="BF204" s="43">
        <f t="shared" si="409"/>
        <v>0</v>
      </c>
      <c r="BG204" s="4590"/>
      <c r="BH204" s="4590"/>
      <c r="BI204" s="4590"/>
      <c r="BJ204" s="4590"/>
    </row>
    <row r="205" spans="1:62" ht="15.75" thickBot="1" x14ac:dyDescent="0.3">
      <c r="A205" s="154"/>
      <c r="B205" s="4219" t="s">
        <v>872</v>
      </c>
      <c r="C205" s="4212" t="s">
        <v>1157</v>
      </c>
      <c r="D205" s="205"/>
      <c r="E205" s="205"/>
      <c r="F205" s="2400"/>
      <c r="G205" s="205"/>
      <c r="H205" s="7166"/>
      <c r="I205" s="590"/>
      <c r="J205" s="373">
        <f t="shared" si="398"/>
        <v>0</v>
      </c>
      <c r="K205" s="205"/>
      <c r="L205" s="4574"/>
      <c r="M205" s="948"/>
      <c r="N205" s="4125">
        <f t="shared" si="404"/>
        <v>0</v>
      </c>
      <c r="O205" s="205"/>
      <c r="P205" s="4778"/>
      <c r="Q205" s="590"/>
      <c r="R205" s="373">
        <f t="shared" si="396"/>
        <v>0</v>
      </c>
      <c r="S205" s="205"/>
      <c r="T205" s="4889"/>
      <c r="U205" s="4888"/>
      <c r="V205" s="373">
        <f t="shared" si="397"/>
        <v>0</v>
      </c>
      <c r="W205" s="205"/>
      <c r="X205" s="5026"/>
      <c r="Y205" s="948"/>
      <c r="Z205" s="618">
        <f t="shared" si="401"/>
        <v>0</v>
      </c>
      <c r="AA205" s="4223"/>
      <c r="AB205" s="4157">
        <f t="shared" si="410"/>
        <v>0</v>
      </c>
      <c r="AC205" s="205"/>
      <c r="AD205" s="5337"/>
      <c r="AE205" s="590"/>
      <c r="AF205" s="373">
        <f t="shared" si="405"/>
        <v>0</v>
      </c>
      <c r="AG205" s="205"/>
      <c r="AH205" s="5510"/>
      <c r="AI205" s="590"/>
      <c r="AJ205" s="2399">
        <f t="shared" ref="AJ205:AJ213" si="412">AF205+AH205</f>
        <v>0</v>
      </c>
      <c r="AK205" s="205"/>
      <c r="AL205" s="5911"/>
      <c r="AM205" s="948"/>
      <c r="AN205" s="618">
        <f t="shared" si="403"/>
        <v>0</v>
      </c>
      <c r="AO205" s="590"/>
      <c r="AP205" s="373">
        <f t="shared" si="399"/>
        <v>0</v>
      </c>
      <c r="AQ205" s="205"/>
      <c r="AR205" s="6066"/>
      <c r="AS205" s="590"/>
      <c r="AT205" s="43">
        <f t="shared" si="407"/>
        <v>0</v>
      </c>
      <c r="AU205" s="205"/>
      <c r="AV205" s="6189"/>
      <c r="AW205" s="6191"/>
      <c r="AX205" s="43">
        <f t="shared" si="408"/>
        <v>0</v>
      </c>
      <c r="AY205" s="205"/>
      <c r="AZ205" s="6401"/>
      <c r="BA205" s="948"/>
      <c r="BB205" s="618">
        <f t="shared" si="395"/>
        <v>0</v>
      </c>
      <c r="BC205" s="4223"/>
      <c r="BD205" s="6599">
        <f t="shared" si="400"/>
        <v>0</v>
      </c>
      <c r="BE205" s="590"/>
      <c r="BF205" s="43">
        <f t="shared" si="409"/>
        <v>0</v>
      </c>
      <c r="BG205" s="4590"/>
      <c r="BH205" s="4590"/>
      <c r="BI205" s="4590"/>
      <c r="BJ205" s="4590"/>
    </row>
    <row r="206" spans="1:62" ht="15.75" thickBot="1" x14ac:dyDescent="0.3">
      <c r="A206" s="154"/>
      <c r="B206" s="4219" t="s">
        <v>872</v>
      </c>
      <c r="C206" s="4212" t="s">
        <v>1156</v>
      </c>
      <c r="D206" s="4212"/>
      <c r="E206" s="4171"/>
      <c r="F206" s="1970">
        <v>509.86</v>
      </c>
      <c r="G206" s="4171"/>
      <c r="H206" s="1970"/>
      <c r="I206" s="853"/>
      <c r="J206" s="373">
        <f t="shared" si="398"/>
        <v>509.86</v>
      </c>
      <c r="K206" s="4171"/>
      <c r="L206" s="1970"/>
      <c r="M206" s="904"/>
      <c r="N206" s="4125">
        <f t="shared" si="404"/>
        <v>509.86</v>
      </c>
      <c r="O206" s="4171"/>
      <c r="P206" s="1970"/>
      <c r="Q206" s="853"/>
      <c r="R206" s="373">
        <f t="shared" si="396"/>
        <v>509.86</v>
      </c>
      <c r="S206" s="4171"/>
      <c r="T206" s="1970"/>
      <c r="U206" s="853"/>
      <c r="V206" s="373">
        <f t="shared" si="397"/>
        <v>509.86</v>
      </c>
      <c r="W206" s="4171"/>
      <c r="X206" s="1970"/>
      <c r="Y206" s="904"/>
      <c r="Z206" s="618">
        <f t="shared" si="401"/>
        <v>0</v>
      </c>
      <c r="AA206" s="4187"/>
      <c r="AB206" s="4157">
        <f t="shared" si="410"/>
        <v>509.86</v>
      </c>
      <c r="AC206" s="4171"/>
      <c r="AD206" s="1970"/>
      <c r="AE206" s="853"/>
      <c r="AF206" s="373">
        <f t="shared" si="405"/>
        <v>509.86</v>
      </c>
      <c r="AG206" s="4171"/>
      <c r="AH206" s="1970"/>
      <c r="AI206" s="853"/>
      <c r="AJ206" s="2399">
        <f t="shared" si="412"/>
        <v>509.86</v>
      </c>
      <c r="AK206" s="4171"/>
      <c r="AL206" s="1970"/>
      <c r="AM206" s="904"/>
      <c r="AN206" s="618">
        <f t="shared" si="403"/>
        <v>0</v>
      </c>
      <c r="AO206" s="853"/>
      <c r="AP206" s="373">
        <f t="shared" si="399"/>
        <v>509.86</v>
      </c>
      <c r="AQ206" s="4171"/>
      <c r="AR206" s="1970"/>
      <c r="AS206" s="853"/>
      <c r="AT206" s="43">
        <f t="shared" si="407"/>
        <v>509.86</v>
      </c>
      <c r="AU206" s="4171"/>
      <c r="AV206" s="1970"/>
      <c r="AW206" s="853"/>
      <c r="AX206" s="43">
        <f t="shared" si="408"/>
        <v>509.86</v>
      </c>
      <c r="AY206" s="4171"/>
      <c r="AZ206" s="1970">
        <v>64.64</v>
      </c>
      <c r="BA206" s="904"/>
      <c r="BB206" s="618">
        <f t="shared" si="395"/>
        <v>64.64</v>
      </c>
      <c r="BC206" s="4187"/>
      <c r="BD206" s="6599">
        <f t="shared" si="400"/>
        <v>64.64</v>
      </c>
      <c r="BE206" s="853"/>
      <c r="BF206" s="43">
        <f t="shared" si="409"/>
        <v>574.5</v>
      </c>
      <c r="BG206" s="4590"/>
      <c r="BH206" s="4590"/>
      <c r="BI206" s="4590"/>
      <c r="BJ206" s="4590"/>
    </row>
    <row r="207" spans="1:62" ht="15.75" thickBot="1" x14ac:dyDescent="0.3">
      <c r="A207" s="154"/>
      <c r="B207" s="4219" t="s">
        <v>872</v>
      </c>
      <c r="C207" s="4212" t="s">
        <v>1295</v>
      </c>
      <c r="D207" s="4212"/>
      <c r="E207" s="4171"/>
      <c r="F207" s="1970"/>
      <c r="G207" s="4171"/>
      <c r="H207" s="1970"/>
      <c r="I207" s="853"/>
      <c r="J207" s="373">
        <f t="shared" ref="J207:J210" si="413">F207+H207</f>
        <v>0</v>
      </c>
      <c r="K207" s="4171"/>
      <c r="L207" s="1970"/>
      <c r="M207" s="904"/>
      <c r="N207" s="4125">
        <f t="shared" si="404"/>
        <v>0</v>
      </c>
      <c r="O207" s="4171"/>
      <c r="P207" s="1970"/>
      <c r="Q207" s="853"/>
      <c r="R207" s="373">
        <f t="shared" si="396"/>
        <v>0</v>
      </c>
      <c r="S207" s="4171"/>
      <c r="T207" s="1970"/>
      <c r="U207" s="853"/>
      <c r="V207" s="373">
        <f t="shared" si="397"/>
        <v>0</v>
      </c>
      <c r="W207" s="4171"/>
      <c r="X207" s="1970"/>
      <c r="Y207" s="904"/>
      <c r="Z207" s="618">
        <f t="shared" si="401"/>
        <v>0</v>
      </c>
      <c r="AA207" s="4187"/>
      <c r="AB207" s="4157">
        <f t="shared" si="410"/>
        <v>0</v>
      </c>
      <c r="AC207" s="4171"/>
      <c r="AD207" s="1970"/>
      <c r="AE207" s="853"/>
      <c r="AF207" s="373">
        <f t="shared" si="405"/>
        <v>0</v>
      </c>
      <c r="AG207" s="4171"/>
      <c r="AH207" s="1970"/>
      <c r="AI207" s="853"/>
      <c r="AJ207" s="2399">
        <f t="shared" si="412"/>
        <v>0</v>
      </c>
      <c r="AK207" s="4171"/>
      <c r="AL207" s="1970"/>
      <c r="AM207" s="904"/>
      <c r="AN207" s="618">
        <f t="shared" si="403"/>
        <v>0</v>
      </c>
      <c r="AO207" s="853"/>
      <c r="AP207" s="2399">
        <f t="shared" ref="AP207:AP213" si="414">AJ207+AL207</f>
        <v>0</v>
      </c>
      <c r="AQ207" s="4171"/>
      <c r="AR207" s="1970"/>
      <c r="AS207" s="853"/>
      <c r="AT207" s="43">
        <f t="shared" si="407"/>
        <v>0</v>
      </c>
      <c r="AU207" s="4171"/>
      <c r="AV207" s="1970"/>
      <c r="AW207" s="853"/>
      <c r="AX207" s="43">
        <f t="shared" si="408"/>
        <v>0</v>
      </c>
      <c r="AY207" s="4171"/>
      <c r="AZ207" s="1970"/>
      <c r="BA207" s="904"/>
      <c r="BB207" s="618">
        <f t="shared" si="395"/>
        <v>0</v>
      </c>
      <c r="BC207" s="4187"/>
      <c r="BD207" s="6599">
        <f t="shared" si="400"/>
        <v>0</v>
      </c>
      <c r="BE207" s="853"/>
      <c r="BF207" s="43">
        <f t="shared" si="409"/>
        <v>0</v>
      </c>
      <c r="BG207" s="4590"/>
      <c r="BH207" s="4590"/>
      <c r="BI207" s="4590"/>
      <c r="BJ207" s="4590"/>
    </row>
    <row r="208" spans="1:62" ht="15.75" thickBot="1" x14ac:dyDescent="0.3">
      <c r="A208" s="154"/>
      <c r="B208" s="4220" t="s">
        <v>872</v>
      </c>
      <c r="C208" s="4215" t="s">
        <v>1160</v>
      </c>
      <c r="D208" s="4215"/>
      <c r="E208" s="4188"/>
      <c r="F208" s="109">
        <v>529.61999999999989</v>
      </c>
      <c r="G208" s="4188"/>
      <c r="H208" s="109">
        <v>662.66000000000008</v>
      </c>
      <c r="I208" s="3467"/>
      <c r="J208" s="373">
        <f t="shared" si="413"/>
        <v>1192.28</v>
      </c>
      <c r="K208" s="4188"/>
      <c r="L208" s="109"/>
      <c r="M208" s="4189"/>
      <c r="N208" s="488">
        <f t="shared" si="404"/>
        <v>1192.28</v>
      </c>
      <c r="O208" s="4188"/>
      <c r="P208" s="109">
        <v>981.80000000000007</v>
      </c>
      <c r="Q208" s="3467"/>
      <c r="R208" s="373">
        <f t="shared" si="396"/>
        <v>2174.08</v>
      </c>
      <c r="S208" s="4188"/>
      <c r="T208" s="109">
        <v>41.11</v>
      </c>
      <c r="U208" s="3467"/>
      <c r="V208" s="373">
        <f t="shared" si="397"/>
        <v>2215.19</v>
      </c>
      <c r="W208" s="4188"/>
      <c r="X208" s="109"/>
      <c r="Y208" s="4189"/>
      <c r="Z208" s="618">
        <f t="shared" si="401"/>
        <v>1022.9100000000001</v>
      </c>
      <c r="AA208" s="4190"/>
      <c r="AB208" s="4186">
        <f t="shared" si="410"/>
        <v>2215.19</v>
      </c>
      <c r="AC208" s="4188"/>
      <c r="AD208" s="109">
        <v>196.82</v>
      </c>
      <c r="AE208" s="3467"/>
      <c r="AF208" s="373">
        <f t="shared" si="405"/>
        <v>2412.0100000000002</v>
      </c>
      <c r="AG208" s="4188"/>
      <c r="AH208" s="109"/>
      <c r="AI208" s="3467"/>
      <c r="AJ208" s="589">
        <f t="shared" si="412"/>
        <v>2412.0100000000002</v>
      </c>
      <c r="AK208" s="4188"/>
      <c r="AL208" s="109"/>
      <c r="AM208" s="4189"/>
      <c r="AN208" s="488">
        <f t="shared" ref="AN208:AN213" si="415">AD208+AH208+AL208</f>
        <v>196.82</v>
      </c>
      <c r="AO208" s="3467"/>
      <c r="AP208" s="589">
        <f t="shared" si="414"/>
        <v>2412.0100000000002</v>
      </c>
      <c r="AQ208" s="4188"/>
      <c r="AR208" s="109"/>
      <c r="AS208" s="3467"/>
      <c r="AT208" s="43">
        <f t="shared" si="407"/>
        <v>2412.0100000000002</v>
      </c>
      <c r="AU208" s="4188"/>
      <c r="AV208" s="109">
        <v>130.19999999999999</v>
      </c>
      <c r="AW208" s="3467"/>
      <c r="AX208" s="43">
        <f t="shared" si="408"/>
        <v>2542.21</v>
      </c>
      <c r="AY208" s="4188"/>
      <c r="AZ208" s="109">
        <v>569.86</v>
      </c>
      <c r="BA208" s="4189"/>
      <c r="BB208" s="618">
        <f t="shared" si="395"/>
        <v>700.06</v>
      </c>
      <c r="BC208" s="4190"/>
      <c r="BD208" s="6599">
        <f t="shared" si="400"/>
        <v>896.87999999999988</v>
      </c>
      <c r="BE208" s="3467"/>
      <c r="BF208" s="43">
        <f t="shared" si="409"/>
        <v>3112.07</v>
      </c>
      <c r="BG208" s="4590"/>
      <c r="BH208" s="4590"/>
      <c r="BI208" s="4590"/>
      <c r="BJ208" s="4590"/>
    </row>
    <row r="209" spans="1:62" ht="15.75" thickBot="1" x14ac:dyDescent="0.3">
      <c r="A209" s="154"/>
      <c r="B209" s="4216" t="s">
        <v>873</v>
      </c>
      <c r="C209" s="4211" t="s">
        <v>876</v>
      </c>
      <c r="D209" s="4211"/>
      <c r="E209" s="4191"/>
      <c r="F209" s="158">
        <v>56.5</v>
      </c>
      <c r="G209" s="4191"/>
      <c r="H209" s="158">
        <v>53.82</v>
      </c>
      <c r="I209" s="3464"/>
      <c r="J209" s="373">
        <f t="shared" si="413"/>
        <v>110.32</v>
      </c>
      <c r="K209" s="4191"/>
      <c r="L209" s="158"/>
      <c r="M209" s="4192"/>
      <c r="N209" s="618">
        <f t="shared" si="404"/>
        <v>110.32</v>
      </c>
      <c r="O209" s="4191"/>
      <c r="P209" s="158"/>
      <c r="Q209" s="3464"/>
      <c r="R209" s="373">
        <f t="shared" ref="R209:R212" si="416">N209+P209</f>
        <v>110.32</v>
      </c>
      <c r="S209" s="4191"/>
      <c r="T209" s="158"/>
      <c r="U209" s="3464"/>
      <c r="V209" s="373">
        <f t="shared" si="397"/>
        <v>110.32</v>
      </c>
      <c r="W209" s="4191"/>
      <c r="X209" s="158"/>
      <c r="Y209" s="4192"/>
      <c r="Z209" s="618">
        <f t="shared" ref="Z209:Z211" si="417">P209+T209+X209</f>
        <v>0</v>
      </c>
      <c r="AA209" s="4193"/>
      <c r="AB209" s="4181">
        <f t="shared" si="410"/>
        <v>110.32</v>
      </c>
      <c r="AC209" s="4191"/>
      <c r="AD209" s="158"/>
      <c r="AE209" s="3464"/>
      <c r="AF209" s="373">
        <f t="shared" si="405"/>
        <v>110.32</v>
      </c>
      <c r="AG209" s="4191"/>
      <c r="AH209" s="158"/>
      <c r="AI209" s="3464"/>
      <c r="AJ209" s="373">
        <f t="shared" si="412"/>
        <v>110.32</v>
      </c>
      <c r="AK209" s="4191"/>
      <c r="AL209" s="158"/>
      <c r="AM209" s="4192"/>
      <c r="AN209" s="618">
        <f t="shared" si="415"/>
        <v>0</v>
      </c>
      <c r="AO209" s="3464"/>
      <c r="AP209" s="373">
        <f t="shared" si="414"/>
        <v>110.32</v>
      </c>
      <c r="AQ209" s="4191"/>
      <c r="AR209" s="158"/>
      <c r="AS209" s="3464"/>
      <c r="AT209" s="43">
        <f t="shared" si="407"/>
        <v>110.32</v>
      </c>
      <c r="AU209" s="4191"/>
      <c r="AV209" s="158"/>
      <c r="AW209" s="3464"/>
      <c r="AX209" s="43">
        <f t="shared" si="408"/>
        <v>110.32</v>
      </c>
      <c r="AY209" s="4191"/>
      <c r="AZ209" s="158"/>
      <c r="BA209" s="4192"/>
      <c r="BB209" s="618">
        <f t="shared" si="395"/>
        <v>0</v>
      </c>
      <c r="BC209" s="4193"/>
      <c r="BD209" s="6599">
        <f t="shared" si="400"/>
        <v>0</v>
      </c>
      <c r="BE209" s="3464"/>
      <c r="BF209" s="43">
        <f t="shared" si="409"/>
        <v>110.32</v>
      </c>
      <c r="BG209" s="4590"/>
      <c r="BH209" s="4590"/>
      <c r="BI209" s="4590"/>
      <c r="BJ209" s="4590"/>
    </row>
    <row r="210" spans="1:62" ht="15.75" thickBot="1" x14ac:dyDescent="0.3">
      <c r="A210" s="93"/>
      <c r="B210" s="4220" t="s">
        <v>873</v>
      </c>
      <c r="C210" s="4215" t="s">
        <v>864</v>
      </c>
      <c r="D210" s="4215"/>
      <c r="E210" s="4188"/>
      <c r="F210" s="109"/>
      <c r="G210" s="4188"/>
      <c r="H210" s="109"/>
      <c r="I210" s="3467"/>
      <c r="J210" s="373">
        <f t="shared" si="413"/>
        <v>0</v>
      </c>
      <c r="K210" s="4188"/>
      <c r="L210" s="109"/>
      <c r="M210" s="4189"/>
      <c r="N210" s="488">
        <f t="shared" si="404"/>
        <v>0</v>
      </c>
      <c r="O210" s="4188"/>
      <c r="P210" s="109"/>
      <c r="Q210" s="3467"/>
      <c r="R210" s="589">
        <f t="shared" si="416"/>
        <v>0</v>
      </c>
      <c r="S210" s="4188"/>
      <c r="T210" s="109"/>
      <c r="U210" s="3467"/>
      <c r="V210" s="589">
        <f t="shared" si="397"/>
        <v>0</v>
      </c>
      <c r="W210" s="4188"/>
      <c r="X210" s="109"/>
      <c r="Y210" s="4189"/>
      <c r="Z210" s="488">
        <f t="shared" si="417"/>
        <v>0</v>
      </c>
      <c r="AA210" s="4190"/>
      <c r="AB210" s="4186">
        <f t="shared" si="410"/>
        <v>0</v>
      </c>
      <c r="AC210" s="4188"/>
      <c r="AD210" s="109"/>
      <c r="AE210" s="3467"/>
      <c r="AF210" s="373">
        <f t="shared" si="405"/>
        <v>0</v>
      </c>
      <c r="AG210" s="4188"/>
      <c r="AH210" s="109"/>
      <c r="AI210" s="3467"/>
      <c r="AJ210" s="589">
        <f t="shared" si="412"/>
        <v>0</v>
      </c>
      <c r="AK210" s="4188"/>
      <c r="AL210" s="109"/>
      <c r="AM210" s="4189"/>
      <c r="AN210" s="488">
        <f t="shared" si="415"/>
        <v>0</v>
      </c>
      <c r="AO210" s="3467"/>
      <c r="AP210" s="589">
        <f t="shared" si="414"/>
        <v>0</v>
      </c>
      <c r="AQ210" s="4188"/>
      <c r="AR210" s="109"/>
      <c r="AS210" s="3467"/>
      <c r="AT210" s="43">
        <f t="shared" si="407"/>
        <v>0</v>
      </c>
      <c r="AU210" s="4188"/>
      <c r="AV210" s="109"/>
      <c r="AW210" s="3467"/>
      <c r="AX210" s="43">
        <f t="shared" si="408"/>
        <v>0</v>
      </c>
      <c r="AY210" s="4188"/>
      <c r="AZ210" s="109"/>
      <c r="BA210" s="4189"/>
      <c r="BB210" s="618">
        <f t="shared" si="395"/>
        <v>0</v>
      </c>
      <c r="BC210" s="4190"/>
      <c r="BD210" s="6599">
        <f t="shared" si="400"/>
        <v>0</v>
      </c>
      <c r="BE210" s="3467"/>
      <c r="BF210" s="43">
        <f t="shared" si="409"/>
        <v>0</v>
      </c>
      <c r="BG210" s="4590"/>
      <c r="BH210" s="4590"/>
      <c r="BI210" s="4590"/>
      <c r="BJ210" s="4590"/>
    </row>
    <row r="211" spans="1:62" ht="15.75" thickBot="1" x14ac:dyDescent="0.3">
      <c r="A211" s="93"/>
      <c r="B211" s="4231" t="s">
        <v>77</v>
      </c>
      <c r="C211" s="4218" t="s">
        <v>1897</v>
      </c>
      <c r="D211" s="4218"/>
      <c r="E211" s="4196"/>
      <c r="F211" s="1205">
        <f>F10</f>
        <v>0</v>
      </c>
      <c r="G211" s="4196"/>
      <c r="H211" s="7172">
        <f>H10</f>
        <v>0</v>
      </c>
      <c r="I211" s="4197"/>
      <c r="J211" s="2402">
        <f t="shared" ref="J211:J229" si="418">F211+H211</f>
        <v>0</v>
      </c>
      <c r="K211" s="4196"/>
      <c r="L211" s="1205">
        <f>L10</f>
        <v>0</v>
      </c>
      <c r="M211" s="4198"/>
      <c r="N211" s="2407">
        <f t="shared" si="404"/>
        <v>0</v>
      </c>
      <c r="O211" s="4196"/>
      <c r="P211" s="1205">
        <f>P10</f>
        <v>0</v>
      </c>
      <c r="Q211" s="4197"/>
      <c r="R211" s="2402">
        <f t="shared" si="416"/>
        <v>0</v>
      </c>
      <c r="S211" s="4196"/>
      <c r="T211" s="1205">
        <f>T10</f>
        <v>0</v>
      </c>
      <c r="U211" s="4197"/>
      <c r="V211" s="4883">
        <f t="shared" si="397"/>
        <v>0</v>
      </c>
      <c r="W211" s="4196"/>
      <c r="X211" s="1205">
        <f>X10</f>
        <v>0</v>
      </c>
      <c r="Y211" s="4198"/>
      <c r="Z211" s="2407">
        <f t="shared" si="417"/>
        <v>0</v>
      </c>
      <c r="AA211" s="4199"/>
      <c r="AB211" s="4200">
        <f t="shared" si="410"/>
        <v>0</v>
      </c>
      <c r="AC211" s="4196"/>
      <c r="AD211" s="1205">
        <f>AD10</f>
        <v>0</v>
      </c>
      <c r="AE211" s="4197"/>
      <c r="AF211" s="373">
        <f t="shared" si="405"/>
        <v>0</v>
      </c>
      <c r="AG211" s="4196"/>
      <c r="AH211" s="5523">
        <f>AH10</f>
        <v>0</v>
      </c>
      <c r="AI211" s="4197"/>
      <c r="AJ211" s="2402">
        <f t="shared" si="412"/>
        <v>0</v>
      </c>
      <c r="AK211" s="4196"/>
      <c r="AL211" s="5923">
        <f>AL10</f>
        <v>0</v>
      </c>
      <c r="AM211" s="4198"/>
      <c r="AN211" s="2407">
        <f t="shared" si="415"/>
        <v>0</v>
      </c>
      <c r="AO211" s="4197"/>
      <c r="AP211" s="2402">
        <f t="shared" si="414"/>
        <v>0</v>
      </c>
      <c r="AQ211" s="4196"/>
      <c r="AR211" s="6079">
        <f>AR10</f>
        <v>0</v>
      </c>
      <c r="AS211" s="4197"/>
      <c r="AT211" s="2402">
        <f t="shared" ref="AT211:AT213" si="419">AP211+AR211</f>
        <v>0</v>
      </c>
      <c r="AU211" s="4196"/>
      <c r="AV211" s="6202">
        <f>AV10</f>
        <v>0</v>
      </c>
      <c r="AW211" s="4197"/>
      <c r="AX211" s="6188">
        <f t="shared" si="408"/>
        <v>0</v>
      </c>
      <c r="AY211" s="4196"/>
      <c r="AZ211" s="6407">
        <f>AZ10</f>
        <v>0</v>
      </c>
      <c r="BA211" s="4198"/>
      <c r="BB211" s="618">
        <f t="shared" si="395"/>
        <v>0</v>
      </c>
      <c r="BC211" s="4199"/>
      <c r="BD211" s="6599">
        <f t="shared" si="400"/>
        <v>0</v>
      </c>
      <c r="BE211" s="4197"/>
      <c r="BF211" s="43">
        <f t="shared" si="409"/>
        <v>0</v>
      </c>
      <c r="BG211" s="4590"/>
      <c r="BH211" s="4590"/>
      <c r="BI211" s="4590"/>
      <c r="BJ211" s="4590"/>
    </row>
    <row r="212" spans="1:62" x14ac:dyDescent="0.25">
      <c r="A212" s="93"/>
      <c r="B212" s="4232" t="s">
        <v>553</v>
      </c>
      <c r="C212" s="205"/>
      <c r="D212" s="205"/>
      <c r="E212" s="855"/>
      <c r="F212" s="2400">
        <f>F11</f>
        <v>0</v>
      </c>
      <c r="G212" s="855"/>
      <c r="H212" s="7166">
        <f>H11</f>
        <v>0</v>
      </c>
      <c r="I212" s="853"/>
      <c r="J212" s="2399">
        <f t="shared" si="418"/>
        <v>0</v>
      </c>
      <c r="K212" s="855"/>
      <c r="L212" s="4574">
        <f>L11</f>
        <v>0</v>
      </c>
      <c r="M212" s="904"/>
      <c r="N212" s="4125">
        <f t="shared" si="404"/>
        <v>0</v>
      </c>
      <c r="O212" s="855"/>
      <c r="P212" s="4778">
        <f>P11</f>
        <v>0</v>
      </c>
      <c r="Q212" s="853"/>
      <c r="R212" s="2399">
        <f t="shared" si="416"/>
        <v>0</v>
      </c>
      <c r="S212" s="855"/>
      <c r="T212" s="4889">
        <f>T11</f>
        <v>0</v>
      </c>
      <c r="U212" s="853"/>
      <c r="V212" s="4890">
        <f t="shared" si="397"/>
        <v>0</v>
      </c>
      <c r="W212" s="855"/>
      <c r="X212" s="5026">
        <f>X11</f>
        <v>0</v>
      </c>
      <c r="Y212" s="904"/>
      <c r="Z212" s="4125">
        <f t="shared" ref="Z212:Z213" si="420">P212+T212+X212</f>
        <v>0</v>
      </c>
      <c r="AA212" s="4187"/>
      <c r="AB212" s="4157">
        <f t="shared" si="410"/>
        <v>0</v>
      </c>
      <c r="AC212" s="855"/>
      <c r="AD212" s="5337">
        <f>AD11</f>
        <v>0</v>
      </c>
      <c r="AE212" s="853"/>
      <c r="AF212" s="373">
        <f t="shared" si="405"/>
        <v>0</v>
      </c>
      <c r="AG212" s="855"/>
      <c r="AH212" s="5510">
        <f>AH11</f>
        <v>0</v>
      </c>
      <c r="AI212" s="853"/>
      <c r="AJ212" s="2399">
        <f t="shared" si="412"/>
        <v>0</v>
      </c>
      <c r="AK212" s="855"/>
      <c r="AL212" s="5911">
        <f>AL11</f>
        <v>0</v>
      </c>
      <c r="AM212" s="904"/>
      <c r="AN212" s="4125">
        <f t="shared" si="415"/>
        <v>0</v>
      </c>
      <c r="AO212" s="853"/>
      <c r="AP212" s="2399">
        <f t="shared" si="414"/>
        <v>0</v>
      </c>
      <c r="AQ212" s="855"/>
      <c r="AR212" s="6066">
        <f>AR11</f>
        <v>0</v>
      </c>
      <c r="AS212" s="853"/>
      <c r="AT212" s="2399">
        <f t="shared" si="419"/>
        <v>0</v>
      </c>
      <c r="AU212" s="855"/>
      <c r="AV212" s="6189">
        <f>AV11</f>
        <v>0</v>
      </c>
      <c r="AW212" s="853"/>
      <c r="AX212" s="6193">
        <f t="shared" si="408"/>
        <v>0</v>
      </c>
      <c r="AY212" s="855"/>
      <c r="AZ212" s="6401">
        <f>AZ11</f>
        <v>0</v>
      </c>
      <c r="BA212" s="904"/>
      <c r="BB212" s="618">
        <f t="shared" si="395"/>
        <v>0</v>
      </c>
      <c r="BC212" s="4187"/>
      <c r="BD212" s="6599">
        <f t="shared" si="400"/>
        <v>0</v>
      </c>
      <c r="BE212" s="853"/>
      <c r="BF212" s="43">
        <f t="shared" si="409"/>
        <v>0</v>
      </c>
      <c r="BG212" s="4590"/>
      <c r="BH212" s="4590"/>
      <c r="BI212" s="4590"/>
      <c r="BJ212" s="4590"/>
    </row>
    <row r="213" spans="1:62" x14ac:dyDescent="0.25">
      <c r="A213" s="93"/>
      <c r="B213" s="4233" t="s">
        <v>33</v>
      </c>
      <c r="C213" s="814"/>
      <c r="D213" s="1971">
        <f>+D12</f>
        <v>500000</v>
      </c>
      <c r="E213" s="1971">
        <f>+E12</f>
        <v>42500</v>
      </c>
      <c r="F213" s="1971">
        <f>SUM(F86:F212)</f>
        <v>33332.799999999996</v>
      </c>
      <c r="G213" s="1971">
        <f>+G12</f>
        <v>44000</v>
      </c>
      <c r="H213" s="1971">
        <f>SUM(H86:H212)</f>
        <v>39367.020000000004</v>
      </c>
      <c r="I213" s="376">
        <f>E213+G213</f>
        <v>86500</v>
      </c>
      <c r="J213" s="376">
        <f t="shared" si="418"/>
        <v>72699.820000000007</v>
      </c>
      <c r="K213" s="1971">
        <f>+K12</f>
        <v>30000</v>
      </c>
      <c r="L213" s="1971">
        <f>SUM(L86:L212)</f>
        <v>38679.250000000007</v>
      </c>
      <c r="M213" s="378">
        <f>E213+G213+K213</f>
        <v>116500</v>
      </c>
      <c r="N213" s="378">
        <f>F213+H213+L213</f>
        <v>111379.07</v>
      </c>
      <c r="O213" s="1971">
        <f>+O12</f>
        <v>25000</v>
      </c>
      <c r="P213" s="1971">
        <f>SUM(P86:P212)</f>
        <v>41309.15</v>
      </c>
      <c r="Q213" s="376">
        <f>M213+O213</f>
        <v>141500</v>
      </c>
      <c r="R213" s="376">
        <f t="shared" ref="R213" si="421">N213+P213</f>
        <v>152688.22</v>
      </c>
      <c r="S213" s="1971">
        <f>+S12</f>
        <v>45500</v>
      </c>
      <c r="T213" s="1971">
        <f>SUM(T86:T212)</f>
        <v>40737.790000000015</v>
      </c>
      <c r="U213" s="4885">
        <f>Q213+S213</f>
        <v>187000</v>
      </c>
      <c r="V213" s="4885">
        <f t="shared" si="397"/>
        <v>193426.01</v>
      </c>
      <c r="W213" s="1971">
        <f>+W12</f>
        <v>44000</v>
      </c>
      <c r="X213" s="1971">
        <f>SUM(X86:X212)</f>
        <v>42134.219999999994</v>
      </c>
      <c r="Y213" s="378">
        <f t="shared" ref="Y213" si="422">O213+S213+W213</f>
        <v>114500</v>
      </c>
      <c r="Z213" s="378">
        <f t="shared" si="420"/>
        <v>124181.16</v>
      </c>
      <c r="AA213" s="4160">
        <f>M213+Y213</f>
        <v>231000</v>
      </c>
      <c r="AB213" s="4160">
        <f t="shared" ref="AB213" si="423">N213+Z213</f>
        <v>235560.23</v>
      </c>
      <c r="AC213" s="1971">
        <f>+AC12</f>
        <v>45500</v>
      </c>
      <c r="AD213" s="1971">
        <f>SUM(AD86:AD212)</f>
        <v>37048.140000000007</v>
      </c>
      <c r="AE213" s="376">
        <f>AA213+AC213</f>
        <v>276500</v>
      </c>
      <c r="AF213" s="376">
        <f t="shared" ref="AF213" si="424">AB213+AD213</f>
        <v>272608.37</v>
      </c>
      <c r="AG213" s="1971">
        <f>+AG12</f>
        <v>44000</v>
      </c>
      <c r="AH213" s="1971">
        <f>SUM(AH86:AH212)</f>
        <v>30159.91</v>
      </c>
      <c r="AI213" s="376">
        <f>AE213+AG213</f>
        <v>320500</v>
      </c>
      <c r="AJ213" s="376">
        <f t="shared" si="412"/>
        <v>302768.27999999997</v>
      </c>
      <c r="AK213" s="1971">
        <f>+AK12</f>
        <v>45500</v>
      </c>
      <c r="AL213" s="1971">
        <f>SUM(AL86:AL212)</f>
        <v>37390.06</v>
      </c>
      <c r="AM213" s="378">
        <f t="shared" ref="AM213" si="425">AC213+AG213+AK213</f>
        <v>135000</v>
      </c>
      <c r="AN213" s="378">
        <f t="shared" si="415"/>
        <v>104598.11</v>
      </c>
      <c r="AO213" s="376">
        <f t="shared" ref="AO213" si="426">AI213+AK213</f>
        <v>366000</v>
      </c>
      <c r="AP213" s="376">
        <f t="shared" si="414"/>
        <v>340158.33999999997</v>
      </c>
      <c r="AQ213" s="1971">
        <f>+AQ12</f>
        <v>45500</v>
      </c>
      <c r="AR213" s="1971">
        <f>SUM(AR86:AR212)</f>
        <v>37025.609999999993</v>
      </c>
      <c r="AS213" s="376">
        <f>AO213+AQ213</f>
        <v>411500</v>
      </c>
      <c r="AT213" s="376">
        <f t="shared" si="419"/>
        <v>377183.94999999995</v>
      </c>
      <c r="AU213" s="1971">
        <f>+AU12</f>
        <v>40500</v>
      </c>
      <c r="AV213" s="1971">
        <f>SUM(AV86:AV212)</f>
        <v>32967.39</v>
      </c>
      <c r="AW213" s="6190">
        <f>AS213+AU213</f>
        <v>452000</v>
      </c>
      <c r="AX213" s="6190">
        <f t="shared" si="408"/>
        <v>410151.33999999997</v>
      </c>
      <c r="AY213" s="1971">
        <f>+AY12</f>
        <v>45500</v>
      </c>
      <c r="AZ213" s="1971">
        <f>SUM(AZ86:AZ212)</f>
        <v>44837.420000000013</v>
      </c>
      <c r="BA213" s="378">
        <f t="shared" ref="BA213" si="427">AQ213+AU213+AY213</f>
        <v>131500</v>
      </c>
      <c r="BB213" s="378">
        <f t="shared" ref="BB213" si="428">AR213+AV213+AZ213</f>
        <v>114830.42000000001</v>
      </c>
      <c r="BC213" s="4160">
        <f>AM213+BA213</f>
        <v>266500</v>
      </c>
      <c r="BD213" s="4160">
        <f>AN213+BB213</f>
        <v>219428.53000000003</v>
      </c>
      <c r="BE213" s="376">
        <f>AW213+AY213</f>
        <v>497500</v>
      </c>
      <c r="BF213" s="376">
        <f t="shared" ref="BF213" si="429">AX213+AZ213</f>
        <v>454988.76</v>
      </c>
      <c r="BG213" s="4590"/>
      <c r="BH213" s="4590"/>
      <c r="BI213" s="4590"/>
      <c r="BJ213" s="4590"/>
    </row>
    <row r="214" spans="1:62" x14ac:dyDescent="0.25">
      <c r="A214" s="154"/>
      <c r="B214" s="4234" t="s">
        <v>632</v>
      </c>
      <c r="C214" s="1687"/>
      <c r="D214" s="1687"/>
      <c r="E214" s="1687"/>
      <c r="F214" s="1687"/>
      <c r="G214" s="1687"/>
      <c r="H214" s="1687"/>
      <c r="I214" s="1687"/>
      <c r="J214" s="1687"/>
      <c r="K214" s="4590"/>
      <c r="L214" s="4590"/>
      <c r="M214" s="4590"/>
      <c r="N214" s="4590"/>
      <c r="O214" s="4590"/>
      <c r="P214" s="4590"/>
      <c r="Q214" s="4590"/>
      <c r="R214" s="4590"/>
      <c r="S214" s="4590"/>
      <c r="T214" s="4590"/>
      <c r="U214" s="4590"/>
      <c r="V214" s="4590"/>
      <c r="W214" s="4590"/>
      <c r="X214" s="4590"/>
      <c r="Y214" s="4590"/>
      <c r="Z214" s="4590"/>
      <c r="AA214" s="4590"/>
      <c r="AB214" s="4590"/>
      <c r="AC214" s="4590"/>
      <c r="AD214" s="4590"/>
      <c r="AE214" s="4590"/>
      <c r="AF214" s="4590"/>
      <c r="AG214" s="4590"/>
      <c r="AH214" s="4590"/>
      <c r="AI214" s="4590"/>
      <c r="AJ214" s="4590"/>
      <c r="AK214" s="4590"/>
      <c r="AL214" s="4590"/>
      <c r="AM214" s="4590"/>
      <c r="AN214" s="4590"/>
      <c r="AO214" s="4590"/>
      <c r="AP214" s="4590"/>
      <c r="AQ214" s="4590"/>
      <c r="AR214" s="4590"/>
      <c r="AS214" s="4590"/>
      <c r="AT214" s="4590"/>
      <c r="AU214" s="4590"/>
      <c r="AV214" s="4590"/>
      <c r="AW214" s="4590"/>
      <c r="AX214" s="4590"/>
      <c r="AY214" s="4590"/>
      <c r="AZ214" s="4590"/>
      <c r="BA214" s="4590"/>
      <c r="BB214" s="4590"/>
      <c r="BC214" s="4590"/>
      <c r="BD214" s="4590"/>
      <c r="BE214" s="4590"/>
      <c r="BF214" s="4590"/>
      <c r="BG214" s="4590"/>
      <c r="BH214" s="4590"/>
      <c r="BI214" s="4590"/>
      <c r="BJ214" s="4590"/>
    </row>
    <row r="215" spans="1:62" x14ac:dyDescent="0.25">
      <c r="A215" s="93"/>
      <c r="B215" s="4235" t="s">
        <v>1991</v>
      </c>
      <c r="C215" s="205" t="s">
        <v>50</v>
      </c>
      <c r="D215" s="205"/>
      <c r="E215" s="4236"/>
      <c r="F215" s="2400"/>
      <c r="G215" s="4236"/>
      <c r="H215" s="7166"/>
      <c r="I215" s="4237"/>
      <c r="J215" s="2399"/>
      <c r="K215" s="4236"/>
      <c r="L215" s="4574"/>
      <c r="M215" s="4238"/>
      <c r="N215" s="4125"/>
      <c r="O215" s="4236"/>
      <c r="P215" s="4778"/>
      <c r="Q215" s="4237"/>
      <c r="R215" s="2399"/>
      <c r="S215" s="4236"/>
      <c r="T215" s="4889"/>
      <c r="U215" s="4237"/>
      <c r="V215" s="4890"/>
      <c r="W215" s="4236"/>
      <c r="X215" s="5026"/>
      <c r="Y215" s="4238"/>
      <c r="Z215" s="4125"/>
      <c r="AA215" s="4239"/>
      <c r="AB215" s="4157"/>
      <c r="AC215" s="4236"/>
      <c r="AD215" s="5337"/>
      <c r="AE215" s="4237"/>
      <c r="AF215" s="2399"/>
      <c r="AG215" s="4236"/>
      <c r="AH215" s="5510"/>
      <c r="AI215" s="4237"/>
      <c r="AJ215" s="2399"/>
      <c r="AK215" s="4236"/>
      <c r="AL215" s="5911"/>
      <c r="AM215" s="4238"/>
      <c r="AN215" s="4125"/>
      <c r="AO215" s="4237"/>
      <c r="AP215" s="2399"/>
      <c r="AQ215" s="4236"/>
      <c r="AR215" s="6066"/>
      <c r="AS215" s="4237"/>
      <c r="AT215" s="2399"/>
      <c r="AU215" s="4236"/>
      <c r="AV215" s="6189"/>
      <c r="AW215" s="4237"/>
      <c r="AX215" s="6193"/>
      <c r="AY215" s="4236"/>
      <c r="AZ215" s="6401"/>
      <c r="BA215" s="4238"/>
      <c r="BB215" s="4125"/>
      <c r="BC215" s="4239"/>
      <c r="BD215" s="4157"/>
      <c r="BE215" s="4237"/>
      <c r="BF215" s="2399"/>
      <c r="BG215" s="4590"/>
      <c r="BH215" s="4590"/>
      <c r="BI215" s="4590"/>
      <c r="BJ215" s="4590"/>
    </row>
    <row r="216" spans="1:62" x14ac:dyDescent="0.25">
      <c r="A216" s="93"/>
      <c r="B216" s="4240" t="s">
        <v>696</v>
      </c>
      <c r="C216" s="205" t="s">
        <v>50</v>
      </c>
      <c r="D216" s="159"/>
      <c r="E216" s="4236"/>
      <c r="F216" s="2400"/>
      <c r="G216" s="4236"/>
      <c r="H216" s="7166"/>
      <c r="I216" s="4237"/>
      <c r="J216" s="2399">
        <f t="shared" si="418"/>
        <v>0</v>
      </c>
      <c r="K216" s="4236"/>
      <c r="L216" s="4574"/>
      <c r="M216" s="4238"/>
      <c r="N216" s="4125">
        <f>F216+H216+L216</f>
        <v>0</v>
      </c>
      <c r="O216" s="4236"/>
      <c r="P216" s="4778"/>
      <c r="Q216" s="4237"/>
      <c r="R216" s="2399">
        <f t="shared" ref="R216:R229" si="430">N216+P216</f>
        <v>0</v>
      </c>
      <c r="S216" s="4236"/>
      <c r="T216" s="4889"/>
      <c r="U216" s="4237"/>
      <c r="V216" s="4890">
        <f t="shared" ref="V216:V229" si="431">R216+T216</f>
        <v>0</v>
      </c>
      <c r="W216" s="4236"/>
      <c r="X216" s="5026">
        <v>143.73000000000002</v>
      </c>
      <c r="Y216" s="4238"/>
      <c r="Z216" s="4125">
        <f t="shared" ref="Z216:Z228" si="432">P216+T216+X216</f>
        <v>143.73000000000002</v>
      </c>
      <c r="AA216" s="4239"/>
      <c r="AB216" s="4157">
        <f>N216+Z216</f>
        <v>143.73000000000002</v>
      </c>
      <c r="AC216" s="4236"/>
      <c r="AD216" s="5337"/>
      <c r="AE216" s="4237"/>
      <c r="AF216" s="2399">
        <f t="shared" ref="AF216:AF227" si="433">AB216+AD216</f>
        <v>143.73000000000002</v>
      </c>
      <c r="AG216" s="4236"/>
      <c r="AH216" s="5510"/>
      <c r="AI216" s="4237"/>
      <c r="AJ216" s="2399">
        <f t="shared" ref="AJ216:AJ227" si="434">AF216+AH216</f>
        <v>143.73000000000002</v>
      </c>
      <c r="AK216" s="4236"/>
      <c r="AL216" s="5911"/>
      <c r="AM216" s="4238"/>
      <c r="AN216" s="4125">
        <f t="shared" ref="AN216:AN228" si="435">AD216+AH216+AL216</f>
        <v>0</v>
      </c>
      <c r="AO216" s="4237"/>
      <c r="AP216" s="2399">
        <f t="shared" ref="AP216:AP228" si="436">AJ216+AL216</f>
        <v>143.73000000000002</v>
      </c>
      <c r="AQ216" s="4236"/>
      <c r="AR216" s="6066"/>
      <c r="AS216" s="4237"/>
      <c r="AT216" s="2399">
        <f t="shared" ref="AT216:AT227" si="437">AP216+AR216</f>
        <v>143.73000000000002</v>
      </c>
      <c r="AU216" s="4236"/>
      <c r="AV216" s="6189"/>
      <c r="AW216" s="4237"/>
      <c r="AX216" s="6193">
        <f t="shared" ref="AX216:AX229" si="438">AT216+AV216</f>
        <v>143.73000000000002</v>
      </c>
      <c r="AY216" s="4236"/>
      <c r="AZ216" s="6401"/>
      <c r="BA216" s="4238"/>
      <c r="BB216" s="4125">
        <f t="shared" ref="BB216" si="439">AR216+AV216+AZ216</f>
        <v>0</v>
      </c>
      <c r="BC216" s="4239"/>
      <c r="BD216" s="4157">
        <f t="shared" ref="BD216" si="440">AN216+BB216</f>
        <v>0</v>
      </c>
      <c r="BE216" s="4237"/>
      <c r="BF216" s="2399">
        <f t="shared" ref="BF216" si="441">AX216+AZ216</f>
        <v>143.73000000000002</v>
      </c>
      <c r="BG216" s="4590"/>
      <c r="BH216" s="4590"/>
      <c r="BI216" s="4590"/>
      <c r="BJ216" s="4590"/>
    </row>
    <row r="217" spans="1:62" x14ac:dyDescent="0.25">
      <c r="A217" s="93"/>
      <c r="B217" s="4235" t="s">
        <v>1133</v>
      </c>
      <c r="C217" s="205" t="s">
        <v>50</v>
      </c>
      <c r="D217" s="159"/>
      <c r="E217" s="4236"/>
      <c r="F217" s="2400"/>
      <c r="G217" s="4236"/>
      <c r="H217" s="7166"/>
      <c r="I217" s="4237"/>
      <c r="J217" s="7253">
        <f t="shared" si="418"/>
        <v>0</v>
      </c>
      <c r="K217" s="4236"/>
      <c r="L217" s="4574"/>
      <c r="M217" s="4238"/>
      <c r="N217" s="4125"/>
      <c r="O217" s="4236"/>
      <c r="P217" s="4778"/>
      <c r="Q217" s="4237"/>
      <c r="R217" s="4773">
        <f t="shared" si="430"/>
        <v>0</v>
      </c>
      <c r="S217" s="4236"/>
      <c r="T217" s="4889"/>
      <c r="U217" s="4237"/>
      <c r="V217" s="4890">
        <f t="shared" si="431"/>
        <v>0</v>
      </c>
      <c r="W217" s="4236"/>
      <c r="X217" s="5026"/>
      <c r="Y217" s="4238"/>
      <c r="Z217" s="5018">
        <f t="shared" si="432"/>
        <v>0</v>
      </c>
      <c r="AA217" s="4239"/>
      <c r="AB217" s="5021">
        <f t="shared" ref="AB217:AB227" si="442">N217+Z217</f>
        <v>0</v>
      </c>
      <c r="AC217" s="4236"/>
      <c r="AD217" s="5337"/>
      <c r="AE217" s="4237"/>
      <c r="AF217" s="5333">
        <f t="shared" si="433"/>
        <v>0</v>
      </c>
      <c r="AG217" s="4236"/>
      <c r="AH217" s="5510"/>
      <c r="AI217" s="4237"/>
      <c r="AJ217" s="5511"/>
      <c r="AK217" s="4236"/>
      <c r="AL217" s="5911"/>
      <c r="AM217" s="4238"/>
      <c r="AN217" s="5903">
        <f t="shared" si="435"/>
        <v>0</v>
      </c>
      <c r="AO217" s="4237"/>
      <c r="AP217" s="5907">
        <f t="shared" si="436"/>
        <v>0</v>
      </c>
      <c r="AQ217" s="4236"/>
      <c r="AR217" s="6066"/>
      <c r="AS217" s="4237"/>
      <c r="AT217" s="6135">
        <f t="shared" si="437"/>
        <v>0</v>
      </c>
      <c r="AU217" s="4236"/>
      <c r="AV217" s="6189"/>
      <c r="AW217" s="4237"/>
      <c r="AX217" s="6193">
        <f t="shared" si="438"/>
        <v>0</v>
      </c>
      <c r="AY217" s="4236"/>
      <c r="AZ217" s="6401"/>
      <c r="BA217" s="4238"/>
      <c r="BB217" s="6596"/>
      <c r="BC217" s="4239"/>
      <c r="BD217" s="6599"/>
      <c r="BE217" s="4237"/>
      <c r="BF217" s="6598"/>
      <c r="BG217" s="4590"/>
      <c r="BH217" s="4590"/>
      <c r="BI217" s="4590"/>
      <c r="BJ217" s="4590"/>
    </row>
    <row r="218" spans="1:62" x14ac:dyDescent="0.25">
      <c r="A218" s="93"/>
      <c r="B218" s="4240" t="s">
        <v>696</v>
      </c>
      <c r="C218" s="205" t="s">
        <v>50</v>
      </c>
      <c r="D218" s="159"/>
      <c r="E218" s="4236"/>
      <c r="F218" s="2400">
        <v>40.54</v>
      </c>
      <c r="G218" s="4236"/>
      <c r="H218" s="7166"/>
      <c r="I218" s="4237"/>
      <c r="J218" s="7253">
        <f t="shared" si="418"/>
        <v>40.54</v>
      </c>
      <c r="K218" s="4236"/>
      <c r="L218" s="4574"/>
      <c r="M218" s="4238"/>
      <c r="N218" s="4125"/>
      <c r="O218" s="4236"/>
      <c r="P218" s="4778"/>
      <c r="Q218" s="4237"/>
      <c r="R218" s="4773">
        <f t="shared" si="430"/>
        <v>0</v>
      </c>
      <c r="S218" s="4236"/>
      <c r="T218" s="4889"/>
      <c r="U218" s="4237"/>
      <c r="V218" s="4890">
        <f t="shared" si="431"/>
        <v>0</v>
      </c>
      <c r="W218" s="4236"/>
      <c r="X218" s="5026">
        <v>80.83</v>
      </c>
      <c r="Y218" s="4238"/>
      <c r="Z218" s="5018">
        <f t="shared" si="432"/>
        <v>80.83</v>
      </c>
      <c r="AA218" s="4239"/>
      <c r="AB218" s="5021">
        <f t="shared" si="442"/>
        <v>80.83</v>
      </c>
      <c r="AC218" s="4236"/>
      <c r="AD218" s="5337"/>
      <c r="AE218" s="4237"/>
      <c r="AF218" s="5333">
        <f t="shared" si="433"/>
        <v>80.83</v>
      </c>
      <c r="AG218" s="4236"/>
      <c r="AH218" s="5510"/>
      <c r="AI218" s="4237"/>
      <c r="AJ218" s="5511">
        <f t="shared" si="434"/>
        <v>80.83</v>
      </c>
      <c r="AK218" s="4236"/>
      <c r="AL218" s="5911">
        <v>95.860000000000014</v>
      </c>
      <c r="AM218" s="4238"/>
      <c r="AN218" s="5903">
        <f t="shared" si="435"/>
        <v>95.860000000000014</v>
      </c>
      <c r="AO218" s="4237"/>
      <c r="AP218" s="5907">
        <f t="shared" si="436"/>
        <v>176.69</v>
      </c>
      <c r="AQ218" s="4236"/>
      <c r="AR218" s="6066"/>
      <c r="AS218" s="4237"/>
      <c r="AT218" s="6135">
        <f t="shared" si="437"/>
        <v>176.69</v>
      </c>
      <c r="AU218" s="4236"/>
      <c r="AV218" s="6189"/>
      <c r="AW218" s="4237"/>
      <c r="AX218" s="6193">
        <f t="shared" si="438"/>
        <v>176.69</v>
      </c>
      <c r="AY218" s="4236"/>
      <c r="AZ218" s="6401"/>
      <c r="BA218" s="4238"/>
      <c r="BB218" s="6596">
        <f t="shared" ref="BB218:BB227" si="443">AR218+AV218+AZ218</f>
        <v>0</v>
      </c>
      <c r="BC218" s="4239"/>
      <c r="BD218" s="6599">
        <f t="shared" ref="BD218:BD227" si="444">AN218+BB218</f>
        <v>95.860000000000014</v>
      </c>
      <c r="BE218" s="4237"/>
      <c r="BF218" s="6598">
        <f t="shared" ref="BF218:BF227" si="445">AX218+AZ218</f>
        <v>176.69</v>
      </c>
      <c r="BG218" s="4590"/>
      <c r="BH218" s="4590"/>
      <c r="BI218" s="4590"/>
      <c r="BJ218" s="4590"/>
    </row>
    <row r="219" spans="1:62" x14ac:dyDescent="0.25">
      <c r="A219" s="93"/>
      <c r="B219" s="4235" t="s">
        <v>1483</v>
      </c>
      <c r="C219" s="205" t="s">
        <v>50</v>
      </c>
      <c r="D219" s="205"/>
      <c r="E219" s="4236"/>
      <c r="F219" s="2400"/>
      <c r="G219" s="4236"/>
      <c r="H219" s="7166"/>
      <c r="I219" s="4237"/>
      <c r="J219" s="7253">
        <f t="shared" si="418"/>
        <v>0</v>
      </c>
      <c r="K219" s="4236"/>
      <c r="L219" s="4574"/>
      <c r="M219" s="4238"/>
      <c r="N219" s="4125"/>
      <c r="O219" s="4236"/>
      <c r="P219" s="4778"/>
      <c r="Q219" s="4237"/>
      <c r="R219" s="4773">
        <f t="shared" si="430"/>
        <v>0</v>
      </c>
      <c r="S219" s="4236"/>
      <c r="T219" s="4889"/>
      <c r="U219" s="4237"/>
      <c r="V219" s="4890">
        <f t="shared" si="431"/>
        <v>0</v>
      </c>
      <c r="W219" s="4236"/>
      <c r="X219" s="5026"/>
      <c r="Y219" s="4238"/>
      <c r="Z219" s="5018">
        <f t="shared" si="432"/>
        <v>0</v>
      </c>
      <c r="AA219" s="4239"/>
      <c r="AB219" s="5021">
        <f t="shared" si="442"/>
        <v>0</v>
      </c>
      <c r="AC219" s="4236"/>
      <c r="AD219" s="5337"/>
      <c r="AE219" s="4237"/>
      <c r="AF219" s="5333">
        <f t="shared" si="433"/>
        <v>0</v>
      </c>
      <c r="AG219" s="4236"/>
      <c r="AH219" s="5510"/>
      <c r="AI219" s="4237"/>
      <c r="AJ219" s="5511"/>
      <c r="AK219" s="4236"/>
      <c r="AL219" s="5911"/>
      <c r="AM219" s="4238"/>
      <c r="AN219" s="5903">
        <f t="shared" si="435"/>
        <v>0</v>
      </c>
      <c r="AO219" s="4237"/>
      <c r="AP219" s="5907">
        <f t="shared" si="436"/>
        <v>0</v>
      </c>
      <c r="AQ219" s="4236"/>
      <c r="AR219" s="6066"/>
      <c r="AS219" s="4237"/>
      <c r="AT219" s="6135">
        <f t="shared" si="437"/>
        <v>0</v>
      </c>
      <c r="AU219" s="4236"/>
      <c r="AV219" s="6189"/>
      <c r="AW219" s="4237"/>
      <c r="AX219" s="6193">
        <f t="shared" si="438"/>
        <v>0</v>
      </c>
      <c r="AY219" s="4236"/>
      <c r="AZ219" s="6401"/>
      <c r="BA219" s="4238"/>
      <c r="BB219" s="6596"/>
      <c r="BC219" s="4239"/>
      <c r="BD219" s="6599"/>
      <c r="BE219" s="4237"/>
      <c r="BF219" s="6598"/>
      <c r="BG219" s="4590"/>
      <c r="BH219" s="4590"/>
      <c r="BI219" s="4590"/>
      <c r="BJ219" s="4590"/>
    </row>
    <row r="220" spans="1:62" x14ac:dyDescent="0.25">
      <c r="A220" s="93"/>
      <c r="B220" s="4240" t="s">
        <v>696</v>
      </c>
      <c r="C220" s="205" t="s">
        <v>50</v>
      </c>
      <c r="D220" s="159"/>
      <c r="E220" s="4236"/>
      <c r="F220" s="2400"/>
      <c r="G220" s="4236"/>
      <c r="H220" s="7166"/>
      <c r="I220" s="4237"/>
      <c r="J220" s="7253">
        <f t="shared" si="418"/>
        <v>0</v>
      </c>
      <c r="K220" s="4236"/>
      <c r="L220" s="4574"/>
      <c r="M220" s="4238"/>
      <c r="N220" s="4125">
        <f>F220+H220+L220</f>
        <v>0</v>
      </c>
      <c r="O220" s="4236"/>
      <c r="P220" s="4778"/>
      <c r="Q220" s="4237"/>
      <c r="R220" s="4773">
        <f t="shared" si="430"/>
        <v>0</v>
      </c>
      <c r="S220" s="4236"/>
      <c r="T220" s="4889"/>
      <c r="U220" s="4237"/>
      <c r="V220" s="4890">
        <f t="shared" si="431"/>
        <v>0</v>
      </c>
      <c r="W220" s="4236"/>
      <c r="X220" s="5026">
        <v>288.23999999999995</v>
      </c>
      <c r="Y220" s="4238"/>
      <c r="Z220" s="5018">
        <f t="shared" si="432"/>
        <v>288.23999999999995</v>
      </c>
      <c r="AA220" s="4239"/>
      <c r="AB220" s="5021">
        <f t="shared" si="442"/>
        <v>288.23999999999995</v>
      </c>
      <c r="AC220" s="4236"/>
      <c r="AD220" s="5337"/>
      <c r="AE220" s="4237"/>
      <c r="AF220" s="5333">
        <f t="shared" si="433"/>
        <v>288.23999999999995</v>
      </c>
      <c r="AG220" s="4236"/>
      <c r="AH220" s="5510"/>
      <c r="AI220" s="4237"/>
      <c r="AJ220" s="5511">
        <f t="shared" si="434"/>
        <v>288.23999999999995</v>
      </c>
      <c r="AK220" s="4236"/>
      <c r="AL220" s="5911"/>
      <c r="AM220" s="4238"/>
      <c r="AN220" s="5903">
        <f t="shared" si="435"/>
        <v>0</v>
      </c>
      <c r="AO220" s="4237"/>
      <c r="AP220" s="5907">
        <f t="shared" si="436"/>
        <v>288.23999999999995</v>
      </c>
      <c r="AQ220" s="4236"/>
      <c r="AR220" s="6066"/>
      <c r="AS220" s="4237"/>
      <c r="AT220" s="6135">
        <f t="shared" si="437"/>
        <v>288.23999999999995</v>
      </c>
      <c r="AU220" s="4236"/>
      <c r="AV220" s="6189"/>
      <c r="AW220" s="4237"/>
      <c r="AX220" s="6193">
        <f t="shared" si="438"/>
        <v>288.23999999999995</v>
      </c>
      <c r="AY220" s="4236"/>
      <c r="AZ220" s="6401"/>
      <c r="BA220" s="4238"/>
      <c r="BB220" s="6596">
        <f t="shared" si="443"/>
        <v>0</v>
      </c>
      <c r="BC220" s="4239"/>
      <c r="BD220" s="6599">
        <f t="shared" si="444"/>
        <v>0</v>
      </c>
      <c r="BE220" s="4237"/>
      <c r="BF220" s="6598">
        <f t="shared" si="445"/>
        <v>288.23999999999995</v>
      </c>
      <c r="BG220" s="4590"/>
      <c r="BH220" s="4590"/>
      <c r="BI220" s="4590"/>
      <c r="BJ220" s="4590"/>
    </row>
    <row r="221" spans="1:62" s="4986" customFormat="1" x14ac:dyDescent="0.25">
      <c r="A221" s="93"/>
      <c r="B221" s="4235" t="s">
        <v>1966</v>
      </c>
      <c r="C221" s="205" t="s">
        <v>50</v>
      </c>
      <c r="D221" s="4797"/>
      <c r="E221" s="4996"/>
      <c r="F221" s="4987"/>
      <c r="G221" s="4996"/>
      <c r="H221" s="7170"/>
      <c r="I221" s="4997"/>
      <c r="J221" s="7253">
        <f t="shared" si="418"/>
        <v>0</v>
      </c>
      <c r="K221" s="4996"/>
      <c r="L221" s="4987"/>
      <c r="M221" s="4998"/>
      <c r="N221" s="4989"/>
      <c r="O221" s="4996"/>
      <c r="P221" s="4987"/>
      <c r="Q221" s="4997"/>
      <c r="R221" s="4988"/>
      <c r="S221" s="4996"/>
      <c r="T221" s="4987"/>
      <c r="U221" s="4997"/>
      <c r="V221" s="4988"/>
      <c r="W221" s="4996"/>
      <c r="X221" s="5031"/>
      <c r="Y221" s="4998"/>
      <c r="Z221" s="5018">
        <f t="shared" si="432"/>
        <v>0</v>
      </c>
      <c r="AA221" s="4999"/>
      <c r="AB221" s="5021">
        <f t="shared" si="442"/>
        <v>0</v>
      </c>
      <c r="AC221" s="4996"/>
      <c r="AD221" s="5344"/>
      <c r="AE221" s="4997"/>
      <c r="AF221" s="5333">
        <f t="shared" si="433"/>
        <v>0</v>
      </c>
      <c r="AG221" s="4996"/>
      <c r="AH221" s="5520"/>
      <c r="AI221" s="4997"/>
      <c r="AJ221" s="5511"/>
      <c r="AK221" s="4996"/>
      <c r="AL221" s="5917"/>
      <c r="AM221" s="4998"/>
      <c r="AN221" s="5903">
        <f t="shared" si="435"/>
        <v>0</v>
      </c>
      <c r="AO221" s="4997"/>
      <c r="AP221" s="5907">
        <f t="shared" si="436"/>
        <v>0</v>
      </c>
      <c r="AQ221" s="4996"/>
      <c r="AR221" s="6072"/>
      <c r="AS221" s="4997"/>
      <c r="AT221" s="6135">
        <f t="shared" si="437"/>
        <v>0</v>
      </c>
      <c r="AU221" s="4996"/>
      <c r="AV221" s="6200"/>
      <c r="AW221" s="4997"/>
      <c r="AX221" s="6193">
        <f t="shared" si="438"/>
        <v>0</v>
      </c>
      <c r="AY221" s="4996"/>
      <c r="AZ221" s="6409"/>
      <c r="BA221" s="4998"/>
      <c r="BB221" s="6596"/>
      <c r="BC221" s="4239"/>
      <c r="BD221" s="6599"/>
      <c r="BE221" s="4237"/>
      <c r="BF221" s="6598"/>
      <c r="BG221" s="4590"/>
      <c r="BH221" s="4590"/>
      <c r="BI221" s="4590"/>
      <c r="BJ221" s="4590"/>
    </row>
    <row r="222" spans="1:62" s="4986" customFormat="1" x14ac:dyDescent="0.25">
      <c r="A222" s="93"/>
      <c r="B222" s="4995" t="s">
        <v>696</v>
      </c>
      <c r="C222" s="205" t="s">
        <v>50</v>
      </c>
      <c r="D222" s="4797"/>
      <c r="E222" s="4996"/>
      <c r="F222" s="4987"/>
      <c r="G222" s="4996"/>
      <c r="H222" s="7170"/>
      <c r="I222" s="4997"/>
      <c r="J222" s="7253">
        <f t="shared" si="418"/>
        <v>0</v>
      </c>
      <c r="K222" s="4996"/>
      <c r="L222" s="4987"/>
      <c r="M222" s="4998"/>
      <c r="N222" s="4989"/>
      <c r="O222" s="4996"/>
      <c r="P222" s="4987"/>
      <c r="Q222" s="4997"/>
      <c r="R222" s="4988"/>
      <c r="S222" s="4996"/>
      <c r="T222" s="4987">
        <v>191.91</v>
      </c>
      <c r="U222" s="4997"/>
      <c r="V222" s="5014">
        <f t="shared" si="431"/>
        <v>191.91</v>
      </c>
      <c r="W222" s="4996"/>
      <c r="X222" s="5031"/>
      <c r="Y222" s="4998"/>
      <c r="Z222" s="5018">
        <f t="shared" si="432"/>
        <v>191.91</v>
      </c>
      <c r="AA222" s="4999"/>
      <c r="AB222" s="5021">
        <f t="shared" si="442"/>
        <v>191.91</v>
      </c>
      <c r="AC222" s="4996"/>
      <c r="AD222" s="5344"/>
      <c r="AE222" s="4997"/>
      <c r="AF222" s="5333">
        <f t="shared" si="433"/>
        <v>191.91</v>
      </c>
      <c r="AG222" s="4996"/>
      <c r="AH222" s="5520"/>
      <c r="AI222" s="4997"/>
      <c r="AJ222" s="5511">
        <f t="shared" si="434"/>
        <v>191.91</v>
      </c>
      <c r="AK222" s="4996"/>
      <c r="AL222" s="5917"/>
      <c r="AM222" s="4998"/>
      <c r="AN222" s="5903">
        <f t="shared" si="435"/>
        <v>0</v>
      </c>
      <c r="AO222" s="4997"/>
      <c r="AP222" s="5907">
        <f t="shared" si="436"/>
        <v>191.91</v>
      </c>
      <c r="AQ222" s="4996"/>
      <c r="AR222" s="6072"/>
      <c r="AS222" s="4997"/>
      <c r="AT222" s="6135">
        <f t="shared" si="437"/>
        <v>191.91</v>
      </c>
      <c r="AU222" s="4996"/>
      <c r="AV222" s="6200"/>
      <c r="AW222" s="4997"/>
      <c r="AX222" s="6193">
        <f t="shared" si="438"/>
        <v>191.91</v>
      </c>
      <c r="AY222" s="4996"/>
      <c r="AZ222" s="6409"/>
      <c r="BA222" s="4998"/>
      <c r="BB222" s="6596">
        <f t="shared" si="443"/>
        <v>0</v>
      </c>
      <c r="BC222" s="4239"/>
      <c r="BD222" s="6599">
        <f t="shared" si="444"/>
        <v>0</v>
      </c>
      <c r="BE222" s="4237"/>
      <c r="BF222" s="6598">
        <f t="shared" si="445"/>
        <v>191.91</v>
      </c>
      <c r="BG222" s="4590"/>
      <c r="BH222" s="4590"/>
      <c r="BI222" s="4590"/>
      <c r="BJ222" s="4590"/>
    </row>
    <row r="223" spans="1:62" s="5630" customFormat="1" x14ac:dyDescent="0.25">
      <c r="A223" s="93"/>
      <c r="B223" s="4235" t="s">
        <v>2026</v>
      </c>
      <c r="C223" s="5634"/>
      <c r="D223" s="5440"/>
      <c r="E223" s="5635"/>
      <c r="F223" s="5602"/>
      <c r="G223" s="5635"/>
      <c r="H223" s="5602"/>
      <c r="I223" s="5636"/>
      <c r="J223" s="7253">
        <f t="shared" si="418"/>
        <v>0</v>
      </c>
      <c r="K223" s="5635"/>
      <c r="L223" s="5602"/>
      <c r="M223" s="5638"/>
      <c r="N223" s="5639"/>
      <c r="O223" s="5635"/>
      <c r="P223" s="5602"/>
      <c r="Q223" s="5636"/>
      <c r="R223" s="5637"/>
      <c r="S223" s="5635"/>
      <c r="T223" s="5602"/>
      <c r="U223" s="5636"/>
      <c r="V223" s="5637"/>
      <c r="W223" s="5635"/>
      <c r="X223" s="5602"/>
      <c r="Y223" s="5638"/>
      <c r="Z223" s="5639"/>
      <c r="AA223" s="5640"/>
      <c r="AB223" s="5632"/>
      <c r="AC223" s="5635"/>
      <c r="AD223" s="5602"/>
      <c r="AE223" s="5636"/>
      <c r="AF223" s="5637"/>
      <c r="AG223" s="5635"/>
      <c r="AH223" s="5602"/>
      <c r="AI223" s="5636"/>
      <c r="AJ223" s="5637"/>
      <c r="AK223" s="5635"/>
      <c r="AL223" s="5602"/>
      <c r="AM223" s="5638"/>
      <c r="AN223" s="5903">
        <f t="shared" si="435"/>
        <v>0</v>
      </c>
      <c r="AO223" s="5636"/>
      <c r="AP223" s="5907">
        <f t="shared" si="436"/>
        <v>0</v>
      </c>
      <c r="AQ223" s="5635"/>
      <c r="AR223" s="5602"/>
      <c r="AS223" s="5636"/>
      <c r="AT223" s="6135">
        <f t="shared" si="437"/>
        <v>0</v>
      </c>
      <c r="AU223" s="5635"/>
      <c r="AV223" s="5602"/>
      <c r="AW223" s="5636"/>
      <c r="AX223" s="6193">
        <f t="shared" si="438"/>
        <v>0</v>
      </c>
      <c r="AY223" s="5635"/>
      <c r="AZ223" s="5602"/>
      <c r="BA223" s="5638"/>
      <c r="BB223" s="6596"/>
      <c r="BC223" s="4239"/>
      <c r="BD223" s="6599"/>
      <c r="BE223" s="4237"/>
      <c r="BF223" s="6598"/>
      <c r="BG223" s="4590"/>
      <c r="BH223" s="4590"/>
      <c r="BI223" s="4590"/>
      <c r="BJ223" s="4590"/>
    </row>
    <row r="224" spans="1:62" s="5630" customFormat="1" x14ac:dyDescent="0.25">
      <c r="A224" s="93"/>
      <c r="B224" s="5633" t="s">
        <v>696</v>
      </c>
      <c r="C224" s="5634"/>
      <c r="D224" s="5440"/>
      <c r="E224" s="5635"/>
      <c r="F224" s="5602"/>
      <c r="G224" s="5635"/>
      <c r="H224" s="5602">
        <v>114.39</v>
      </c>
      <c r="I224" s="5636"/>
      <c r="J224" s="7253">
        <f t="shared" si="418"/>
        <v>114.39</v>
      </c>
      <c r="K224" s="5635"/>
      <c r="L224" s="5602"/>
      <c r="M224" s="5638"/>
      <c r="N224" s="5639"/>
      <c r="O224" s="5635"/>
      <c r="P224" s="5602"/>
      <c r="Q224" s="5636"/>
      <c r="R224" s="5637"/>
      <c r="S224" s="5635"/>
      <c r="T224" s="5602"/>
      <c r="U224" s="5636"/>
      <c r="V224" s="5637"/>
      <c r="W224" s="5635"/>
      <c r="X224" s="5602"/>
      <c r="Y224" s="5638"/>
      <c r="Z224" s="5639"/>
      <c r="AA224" s="5640"/>
      <c r="AB224" s="5632"/>
      <c r="AC224" s="5635"/>
      <c r="AD224" s="5602"/>
      <c r="AE224" s="5636"/>
      <c r="AF224" s="5637"/>
      <c r="AG224" s="5635"/>
      <c r="AH224" s="5602">
        <v>185.19</v>
      </c>
      <c r="AI224" s="5636"/>
      <c r="AJ224" s="5629">
        <f t="shared" si="434"/>
        <v>185.19</v>
      </c>
      <c r="AK224" s="5635"/>
      <c r="AL224" s="5602"/>
      <c r="AM224" s="5638"/>
      <c r="AN224" s="5903">
        <f t="shared" si="435"/>
        <v>185.19</v>
      </c>
      <c r="AO224" s="5636"/>
      <c r="AP224" s="5907">
        <f t="shared" si="436"/>
        <v>185.19</v>
      </c>
      <c r="AQ224" s="5635"/>
      <c r="AR224" s="5602">
        <v>121.22</v>
      </c>
      <c r="AS224" s="5636"/>
      <c r="AT224" s="6135">
        <f t="shared" si="437"/>
        <v>306.40999999999997</v>
      </c>
      <c r="AU224" s="5635"/>
      <c r="AV224" s="5602"/>
      <c r="AW224" s="5636"/>
      <c r="AX224" s="6193">
        <f t="shared" si="438"/>
        <v>306.40999999999997</v>
      </c>
      <c r="AY224" s="5635"/>
      <c r="AZ224" s="5602"/>
      <c r="BA224" s="5638"/>
      <c r="BB224" s="6596">
        <f t="shared" si="443"/>
        <v>121.22</v>
      </c>
      <c r="BC224" s="4239"/>
      <c r="BD224" s="6599">
        <f t="shared" si="444"/>
        <v>306.40999999999997</v>
      </c>
      <c r="BE224" s="4237"/>
      <c r="BF224" s="6598">
        <f t="shared" si="445"/>
        <v>306.40999999999997</v>
      </c>
      <c r="BG224" s="4590"/>
      <c r="BH224" s="4590"/>
      <c r="BI224" s="4590"/>
      <c r="BJ224" s="4590"/>
    </row>
    <row r="225" spans="1:62" x14ac:dyDescent="0.25">
      <c r="A225" s="93"/>
      <c r="B225" s="4235" t="s">
        <v>1990</v>
      </c>
      <c r="C225" s="205" t="s">
        <v>50</v>
      </c>
      <c r="D225" s="205"/>
      <c r="E225" s="4236"/>
      <c r="F225" s="2400"/>
      <c r="G225" s="4236"/>
      <c r="H225" s="7166"/>
      <c r="I225" s="4237"/>
      <c r="J225" s="7253">
        <f t="shared" si="418"/>
        <v>0</v>
      </c>
      <c r="K225" s="4236"/>
      <c r="L225" s="4574"/>
      <c r="M225" s="4238"/>
      <c r="N225" s="4125"/>
      <c r="O225" s="4236"/>
      <c r="P225" s="4778"/>
      <c r="Q225" s="4237"/>
      <c r="R225" s="4773">
        <f t="shared" si="430"/>
        <v>0</v>
      </c>
      <c r="S225" s="4236"/>
      <c r="T225" s="4889"/>
      <c r="U225" s="4237"/>
      <c r="V225" s="4890">
        <f t="shared" si="431"/>
        <v>0</v>
      </c>
      <c r="W225" s="4236"/>
      <c r="X225" s="5026"/>
      <c r="Y225" s="4238"/>
      <c r="Z225" s="5018">
        <f t="shared" si="432"/>
        <v>0</v>
      </c>
      <c r="AA225" s="4239"/>
      <c r="AB225" s="5021">
        <f t="shared" si="442"/>
        <v>0</v>
      </c>
      <c r="AC225" s="4236"/>
      <c r="AD225" s="5337"/>
      <c r="AE225" s="4237"/>
      <c r="AF225" s="5333">
        <f t="shared" si="433"/>
        <v>0</v>
      </c>
      <c r="AG225" s="4236"/>
      <c r="AH225" s="5510"/>
      <c r="AI225" s="4237"/>
      <c r="AJ225" s="5511"/>
      <c r="AK225" s="4236"/>
      <c r="AL225" s="5911"/>
      <c r="AM225" s="4238"/>
      <c r="AN225" s="5903">
        <f t="shared" si="435"/>
        <v>0</v>
      </c>
      <c r="AO225" s="4237"/>
      <c r="AP225" s="5907">
        <f t="shared" si="436"/>
        <v>0</v>
      </c>
      <c r="AQ225" s="4236"/>
      <c r="AR225" s="6066"/>
      <c r="AS225" s="4237"/>
      <c r="AT225" s="6135">
        <f t="shared" si="437"/>
        <v>0</v>
      </c>
      <c r="AU225" s="4236"/>
      <c r="AV225" s="6189"/>
      <c r="AW225" s="4237"/>
      <c r="AX225" s="6193">
        <f t="shared" si="438"/>
        <v>0</v>
      </c>
      <c r="AY225" s="4236"/>
      <c r="AZ225" s="6401"/>
      <c r="BA225" s="4238"/>
      <c r="BB225" s="6596"/>
      <c r="BC225" s="4239"/>
      <c r="BD225" s="6599"/>
      <c r="BE225" s="4237"/>
      <c r="BF225" s="6598"/>
      <c r="BG225" s="4590"/>
      <c r="BH225" s="4590"/>
      <c r="BI225" s="4590"/>
      <c r="BJ225" s="4590"/>
    </row>
    <row r="226" spans="1:62" x14ac:dyDescent="0.25">
      <c r="A226" s="93"/>
      <c r="B226" s="4240" t="s">
        <v>696</v>
      </c>
      <c r="C226" s="159" t="s">
        <v>50</v>
      </c>
      <c r="D226" s="159"/>
      <c r="E226" s="4236"/>
      <c r="F226" s="2400"/>
      <c r="G226" s="4236"/>
      <c r="H226" s="7166"/>
      <c r="I226" s="4237"/>
      <c r="J226" s="7253">
        <f t="shared" si="418"/>
        <v>0</v>
      </c>
      <c r="K226" s="4236"/>
      <c r="L226" s="4574"/>
      <c r="M226" s="4238"/>
      <c r="N226" s="4125">
        <f>F226+H226+L226</f>
        <v>0</v>
      </c>
      <c r="O226" s="4236"/>
      <c r="P226" s="4778"/>
      <c r="Q226" s="4237"/>
      <c r="R226" s="4773">
        <f t="shared" si="430"/>
        <v>0</v>
      </c>
      <c r="S226" s="4236"/>
      <c r="T226" s="4889"/>
      <c r="U226" s="4237"/>
      <c r="V226" s="4890">
        <f t="shared" si="431"/>
        <v>0</v>
      </c>
      <c r="W226" s="4236"/>
      <c r="X226" s="5026">
        <v>198.07000000000002</v>
      </c>
      <c r="Y226" s="4238"/>
      <c r="Z226" s="5018">
        <f t="shared" si="432"/>
        <v>198.07000000000002</v>
      </c>
      <c r="AA226" s="4239"/>
      <c r="AB226" s="5021">
        <f t="shared" si="442"/>
        <v>198.07000000000002</v>
      </c>
      <c r="AC226" s="4236"/>
      <c r="AD226" s="5337"/>
      <c r="AE226" s="4237"/>
      <c r="AF226" s="5333">
        <f t="shared" si="433"/>
        <v>198.07000000000002</v>
      </c>
      <c r="AG226" s="4236"/>
      <c r="AH226" s="5510"/>
      <c r="AI226" s="4237"/>
      <c r="AJ226" s="5511">
        <f t="shared" si="434"/>
        <v>198.07000000000002</v>
      </c>
      <c r="AK226" s="4236"/>
      <c r="AL226" s="5911"/>
      <c r="AM226" s="4238"/>
      <c r="AN226" s="5903">
        <f t="shared" si="435"/>
        <v>0</v>
      </c>
      <c r="AO226" s="4237"/>
      <c r="AP226" s="5907">
        <f t="shared" si="436"/>
        <v>198.07000000000002</v>
      </c>
      <c r="AQ226" s="4236"/>
      <c r="AR226" s="6066"/>
      <c r="AS226" s="4237"/>
      <c r="AT226" s="6135">
        <f t="shared" si="437"/>
        <v>198.07000000000002</v>
      </c>
      <c r="AU226" s="4236"/>
      <c r="AV226" s="6189"/>
      <c r="AW226" s="4237"/>
      <c r="AX226" s="6193">
        <f t="shared" si="438"/>
        <v>198.07000000000002</v>
      </c>
      <c r="AY226" s="4236"/>
      <c r="AZ226" s="6401"/>
      <c r="BA226" s="4238"/>
      <c r="BB226" s="6596">
        <f t="shared" si="443"/>
        <v>0</v>
      </c>
      <c r="BC226" s="4239"/>
      <c r="BD226" s="6599">
        <f t="shared" si="444"/>
        <v>0</v>
      </c>
      <c r="BE226" s="4237"/>
      <c r="BF226" s="6598">
        <f t="shared" si="445"/>
        <v>198.07000000000002</v>
      </c>
      <c r="BG226" s="4590"/>
      <c r="BH226" s="4590"/>
      <c r="BI226" s="4590"/>
      <c r="BJ226" s="4590"/>
    </row>
    <row r="227" spans="1:62" ht="21.2" customHeight="1" x14ac:dyDescent="0.25">
      <c r="A227" s="154"/>
      <c r="B227" s="4235" t="s">
        <v>1989</v>
      </c>
      <c r="C227" s="205" t="s">
        <v>50</v>
      </c>
      <c r="D227" s="159"/>
      <c r="E227" s="4236"/>
      <c r="F227" s="2400"/>
      <c r="G227" s="4236"/>
      <c r="H227" s="7166"/>
      <c r="I227" s="4237"/>
      <c r="J227" s="2399">
        <f t="shared" si="418"/>
        <v>0</v>
      </c>
      <c r="K227" s="4236"/>
      <c r="L227" s="4574"/>
      <c r="M227" s="4238"/>
      <c r="N227" s="4125"/>
      <c r="O227" s="4236"/>
      <c r="P227" s="4778"/>
      <c r="Q227" s="4237"/>
      <c r="R227" s="4773">
        <f t="shared" si="430"/>
        <v>0</v>
      </c>
      <c r="S227" s="4236"/>
      <c r="T227" s="4889"/>
      <c r="U227" s="4237"/>
      <c r="V227" s="4890">
        <f t="shared" si="431"/>
        <v>0</v>
      </c>
      <c r="W227" s="4236"/>
      <c r="X227" s="5026"/>
      <c r="Y227" s="4238"/>
      <c r="Z227" s="5018">
        <f t="shared" si="432"/>
        <v>0</v>
      </c>
      <c r="AA227" s="4239"/>
      <c r="AB227" s="5021">
        <f t="shared" si="442"/>
        <v>0</v>
      </c>
      <c r="AC227" s="4236"/>
      <c r="AD227" s="5337">
        <v>40.049999999999997</v>
      </c>
      <c r="AE227" s="4237"/>
      <c r="AF227" s="5333">
        <f t="shared" si="433"/>
        <v>40.049999999999997</v>
      </c>
      <c r="AG227" s="4236"/>
      <c r="AH227" s="5510"/>
      <c r="AI227" s="4237"/>
      <c r="AJ227" s="5511">
        <f t="shared" si="434"/>
        <v>40.049999999999997</v>
      </c>
      <c r="AK227" s="4236"/>
      <c r="AL227" s="5911"/>
      <c r="AM227" s="4238"/>
      <c r="AN227" s="5903">
        <f t="shared" si="435"/>
        <v>40.049999999999997</v>
      </c>
      <c r="AO227" s="4237"/>
      <c r="AP227" s="5907">
        <f t="shared" si="436"/>
        <v>40.049999999999997</v>
      </c>
      <c r="AQ227" s="4236"/>
      <c r="AR227" s="6066"/>
      <c r="AS227" s="4237"/>
      <c r="AT227" s="6135">
        <f t="shared" si="437"/>
        <v>40.049999999999997</v>
      </c>
      <c r="AU227" s="4236"/>
      <c r="AV227" s="6189"/>
      <c r="AW227" s="4237"/>
      <c r="AX227" s="6193">
        <f t="shared" si="438"/>
        <v>40.049999999999997</v>
      </c>
      <c r="AY227" s="4236"/>
      <c r="AZ227" s="6401"/>
      <c r="BA227" s="4238"/>
      <c r="BB227" s="6596">
        <f t="shared" si="443"/>
        <v>0</v>
      </c>
      <c r="BC227" s="4239"/>
      <c r="BD227" s="6599">
        <f t="shared" si="444"/>
        <v>40.049999999999997</v>
      </c>
      <c r="BE227" s="4237"/>
      <c r="BF227" s="6598">
        <f t="shared" si="445"/>
        <v>40.049999999999997</v>
      </c>
      <c r="BG227" s="4590"/>
      <c r="BH227" s="4590"/>
      <c r="BI227" s="4590"/>
      <c r="BJ227" s="4590"/>
    </row>
    <row r="228" spans="1:62" x14ac:dyDescent="0.25">
      <c r="A228" s="154"/>
      <c r="B228" s="4240" t="s">
        <v>696</v>
      </c>
      <c r="C228" s="159" t="s">
        <v>50</v>
      </c>
      <c r="D228" s="159"/>
      <c r="E228" s="4236"/>
      <c r="F228" s="2400"/>
      <c r="G228" s="4236"/>
      <c r="H228" s="7166"/>
      <c r="I228" s="4237"/>
      <c r="J228" s="2399">
        <f t="shared" si="418"/>
        <v>0</v>
      </c>
      <c r="K228" s="4236"/>
      <c r="L228" s="4574"/>
      <c r="M228" s="4238"/>
      <c r="N228" s="4125">
        <f>F228+H228+L228</f>
        <v>0</v>
      </c>
      <c r="O228" s="4236"/>
      <c r="P228" s="4778"/>
      <c r="Q228" s="4237"/>
      <c r="R228" s="2399">
        <f t="shared" si="430"/>
        <v>0</v>
      </c>
      <c r="S228" s="4236"/>
      <c r="T228" s="4889"/>
      <c r="U228" s="4237"/>
      <c r="V228" s="4890">
        <f t="shared" si="431"/>
        <v>0</v>
      </c>
      <c r="W228" s="4236"/>
      <c r="X228" s="5026">
        <v>95.33</v>
      </c>
      <c r="Y228" s="4238"/>
      <c r="Z228" s="4125">
        <f t="shared" si="432"/>
        <v>95.33</v>
      </c>
      <c r="AA228" s="4239"/>
      <c r="AB228" s="4157">
        <f>N228+Z228</f>
        <v>95.33</v>
      </c>
      <c r="AC228" s="4236"/>
      <c r="AD228" s="5337"/>
      <c r="AE228" s="4237"/>
      <c r="AF228" s="2399">
        <f t="shared" ref="AF228:AF229" si="446">AB228+AD228</f>
        <v>95.33</v>
      </c>
      <c r="AG228" s="4236"/>
      <c r="AH228" s="5510"/>
      <c r="AI228" s="4237"/>
      <c r="AJ228" s="2399">
        <f t="shared" ref="AJ228:AJ229" si="447">AF228+AH228</f>
        <v>95.33</v>
      </c>
      <c r="AK228" s="4236"/>
      <c r="AL228" s="5911"/>
      <c r="AM228" s="4238"/>
      <c r="AN228" s="5903">
        <f t="shared" si="435"/>
        <v>0</v>
      </c>
      <c r="AO228" s="4237"/>
      <c r="AP228" s="5907">
        <f t="shared" si="436"/>
        <v>95.33</v>
      </c>
      <c r="AQ228" s="4236"/>
      <c r="AR228" s="6066"/>
      <c r="AS228" s="4237"/>
      <c r="AT228" s="2399">
        <f t="shared" ref="AT228:AT229" si="448">AP228+AR228</f>
        <v>95.33</v>
      </c>
      <c r="AU228" s="4236"/>
      <c r="AV228" s="6189"/>
      <c r="AW228" s="4237"/>
      <c r="AX228" s="6193">
        <f t="shared" si="438"/>
        <v>95.33</v>
      </c>
      <c r="AY228" s="4236"/>
      <c r="AZ228" s="6401"/>
      <c r="BA228" s="4238"/>
      <c r="BB228" s="4125">
        <f t="shared" ref="BB228" si="449">AR228+AV228+AZ228</f>
        <v>0</v>
      </c>
      <c r="BC228" s="4239"/>
      <c r="BD228" s="4157">
        <f t="shared" ref="BD228" si="450">AN228+BB228</f>
        <v>0</v>
      </c>
      <c r="BE228" s="4237"/>
      <c r="BF228" s="2399">
        <f t="shared" ref="BF228:BF229" si="451">AX228+AZ228</f>
        <v>95.33</v>
      </c>
      <c r="BG228" s="4590"/>
      <c r="BH228" s="4590"/>
      <c r="BI228" s="4590"/>
      <c r="BJ228" s="4590"/>
    </row>
    <row r="229" spans="1:62" ht="20.25" customHeight="1" x14ac:dyDescent="0.25">
      <c r="A229" s="154"/>
      <c r="B229" s="4241" t="s">
        <v>2</v>
      </c>
      <c r="C229" s="159" t="s">
        <v>50</v>
      </c>
      <c r="D229" s="1970">
        <f>+D9</f>
        <v>60000.000000000007</v>
      </c>
      <c r="E229" s="1970">
        <f>+E9</f>
        <v>5454.545454545455</v>
      </c>
      <c r="F229" s="1971">
        <f>SUM(F215:F228)</f>
        <v>40.54</v>
      </c>
      <c r="G229" s="1970">
        <f>+G9</f>
        <v>0</v>
      </c>
      <c r="H229" s="1971">
        <f>SUM(H215:H228)</f>
        <v>114.39</v>
      </c>
      <c r="I229" s="2399">
        <f>E229+G229</f>
        <v>5454.545454545455</v>
      </c>
      <c r="J229" s="376">
        <f t="shared" si="418"/>
        <v>154.93</v>
      </c>
      <c r="K229" s="1970">
        <f>+K9</f>
        <v>0</v>
      </c>
      <c r="L229" s="1971">
        <f>SUM(L215:L228)</f>
        <v>0</v>
      </c>
      <c r="M229" s="4125">
        <f>E229+G229+K229</f>
        <v>5454.545454545455</v>
      </c>
      <c r="N229" s="378">
        <f>F229+H229+L229</f>
        <v>154.93</v>
      </c>
      <c r="O229" s="1970">
        <f>+O9</f>
        <v>0</v>
      </c>
      <c r="P229" s="1971">
        <f>SUM(P215:P228)</f>
        <v>0</v>
      </c>
      <c r="Q229" s="2399">
        <f>M229+O229</f>
        <v>5454.545454545455</v>
      </c>
      <c r="R229" s="376">
        <f t="shared" si="430"/>
        <v>154.93</v>
      </c>
      <c r="S229" s="1970">
        <f>+S9</f>
        <v>5000</v>
      </c>
      <c r="T229" s="1971">
        <f>SUM(T215:T228)</f>
        <v>191.91</v>
      </c>
      <c r="U229" s="4890">
        <f>Q229+S229</f>
        <v>10454.545454545456</v>
      </c>
      <c r="V229" s="4885">
        <f t="shared" si="431"/>
        <v>346.84000000000003</v>
      </c>
      <c r="W229" s="1970">
        <f>+W9</f>
        <v>5000</v>
      </c>
      <c r="X229" s="1971">
        <f>SUM(X215:X228)</f>
        <v>806.2</v>
      </c>
      <c r="Y229" s="4125">
        <f>O229+S229+W229</f>
        <v>10000</v>
      </c>
      <c r="Z229" s="378">
        <f>P229+T229+X229</f>
        <v>998.11</v>
      </c>
      <c r="AA229" s="4157">
        <f>M229+Y229</f>
        <v>15454.545454545456</v>
      </c>
      <c r="AB229" s="4160">
        <f>N229+Z229</f>
        <v>1153.04</v>
      </c>
      <c r="AC229" s="1970">
        <f>+AC9</f>
        <v>5000</v>
      </c>
      <c r="AD229" s="1971">
        <f>SUM(AD215:AD228)</f>
        <v>40.049999999999997</v>
      </c>
      <c r="AE229" s="2399">
        <f>AA229+AC229</f>
        <v>20454.545454545456</v>
      </c>
      <c r="AF229" s="376">
        <f t="shared" si="446"/>
        <v>1193.0899999999999</v>
      </c>
      <c r="AG229" s="1970">
        <f>+AG9</f>
        <v>5000</v>
      </c>
      <c r="AH229" s="1971">
        <f>SUM(AH215:AH228)</f>
        <v>185.19</v>
      </c>
      <c r="AI229" s="2399">
        <f>AE229+AG229</f>
        <v>25454.545454545456</v>
      </c>
      <c r="AJ229" s="376">
        <f t="shared" si="447"/>
        <v>1378.28</v>
      </c>
      <c r="AK229" s="1970">
        <f>+AK9</f>
        <v>5000</v>
      </c>
      <c r="AL229" s="1971">
        <f>SUM(AL215:AL228)</f>
        <v>95.860000000000014</v>
      </c>
      <c r="AM229" s="4125">
        <f>AC229+AG229+AK229</f>
        <v>15000</v>
      </c>
      <c r="AN229" s="378">
        <f>AD229+AH229+AL229</f>
        <v>321.10000000000002</v>
      </c>
      <c r="AO229" s="2399">
        <f t="shared" ref="AO229:AP229" si="452">AI229+AK229</f>
        <v>30454.545454545456</v>
      </c>
      <c r="AP229" s="376">
        <f t="shared" si="452"/>
        <v>1474.1399999999999</v>
      </c>
      <c r="AQ229" s="1970">
        <f>+AQ9</f>
        <v>5000</v>
      </c>
      <c r="AR229" s="1971">
        <f>SUM(AR215:AR228)</f>
        <v>121.22</v>
      </c>
      <c r="AS229" s="2399">
        <f>AO229+AQ229</f>
        <v>35454.545454545456</v>
      </c>
      <c r="AT229" s="376">
        <f t="shared" si="448"/>
        <v>1595.36</v>
      </c>
      <c r="AU229" s="1970">
        <f>+AU9</f>
        <v>5000</v>
      </c>
      <c r="AV229" s="1971">
        <f>SUM(AV215:AV228)</f>
        <v>0</v>
      </c>
      <c r="AW229" s="6193">
        <f>AS229+AU229</f>
        <v>40454.545454545456</v>
      </c>
      <c r="AX229" s="6190">
        <f t="shared" si="438"/>
        <v>1595.36</v>
      </c>
      <c r="AY229" s="1970">
        <f>+AY9</f>
        <v>5000</v>
      </c>
      <c r="AZ229" s="1971">
        <f>SUM(AZ215:AZ228)</f>
        <v>0</v>
      </c>
      <c r="BA229" s="4125">
        <f>AQ229+AU229+AY229</f>
        <v>15000</v>
      </c>
      <c r="BB229" s="378">
        <f>AR229+AV229+AZ229</f>
        <v>121.22</v>
      </c>
      <c r="BC229" s="4157">
        <f t="shared" ref="BC229" si="453">AM229+BA229</f>
        <v>30000</v>
      </c>
      <c r="BD229" s="4160">
        <f>AN229+BB229</f>
        <v>442.32000000000005</v>
      </c>
      <c r="BE229" s="2399">
        <f>AW229+AY229</f>
        <v>45454.545454545456</v>
      </c>
      <c r="BF229" s="376">
        <f t="shared" si="451"/>
        <v>1595.36</v>
      </c>
      <c r="BG229" s="4590"/>
      <c r="BH229" s="4590"/>
      <c r="BI229" s="4590"/>
      <c r="BJ229" s="4590"/>
    </row>
    <row r="230" spans="1:62" ht="20.25" customHeight="1" x14ac:dyDescent="0.25">
      <c r="A230" s="154"/>
      <c r="B230" s="4242"/>
      <c r="C230" s="642"/>
      <c r="D230" s="642"/>
      <c r="E230" s="642"/>
      <c r="F230" s="1348"/>
      <c r="G230" s="642"/>
      <c r="H230" s="1348"/>
      <c r="I230" s="875"/>
      <c r="J230" s="4243"/>
      <c r="K230" s="642"/>
      <c r="L230" s="1348"/>
      <c r="M230" s="876"/>
      <c r="N230" s="1738"/>
      <c r="O230" s="642"/>
      <c r="P230" s="1348"/>
      <c r="Q230" s="875"/>
      <c r="R230" s="4243"/>
      <c r="S230" s="642"/>
      <c r="T230" s="1348"/>
      <c r="U230" s="875"/>
      <c r="V230" s="4243"/>
      <c r="W230" s="642"/>
      <c r="X230" s="1348"/>
      <c r="Y230" s="876"/>
      <c r="Z230" s="1738"/>
      <c r="AA230" s="4244"/>
      <c r="AB230" s="4245"/>
      <c r="AC230" s="642"/>
      <c r="AD230" s="1348"/>
      <c r="AE230" s="875"/>
      <c r="AF230" s="4243"/>
      <c r="AG230" s="642"/>
      <c r="AH230" s="1348"/>
      <c r="AI230" s="875"/>
      <c r="AJ230" s="4243"/>
      <c r="AK230" s="642"/>
      <c r="AL230" s="1348"/>
      <c r="AM230" s="876"/>
      <c r="AN230" s="1738"/>
      <c r="AO230" s="875"/>
      <c r="AP230" s="4243"/>
      <c r="AQ230" s="642"/>
      <c r="AR230" s="1348"/>
      <c r="AS230" s="875"/>
      <c r="AT230" s="4243"/>
      <c r="AU230" s="642"/>
      <c r="AV230" s="1348"/>
      <c r="AW230" s="875"/>
      <c r="AX230" s="4243"/>
      <c r="AY230" s="642"/>
      <c r="AZ230" s="1348"/>
      <c r="BA230" s="876"/>
      <c r="BB230" s="1738"/>
      <c r="BC230" s="4244"/>
      <c r="BD230" s="4245"/>
      <c r="BE230" s="875"/>
      <c r="BF230" s="4243"/>
      <c r="BG230" s="4590"/>
      <c r="BH230" s="4590"/>
      <c r="BI230" s="4590"/>
      <c r="BJ230" s="4590"/>
    </row>
    <row r="231" spans="1:62" ht="40.5" customHeight="1" x14ac:dyDescent="0.25">
      <c r="A231" s="154"/>
      <c r="B231" s="4246" t="s">
        <v>320</v>
      </c>
      <c r="C231" s="4156" t="s">
        <v>850</v>
      </c>
      <c r="D231" s="4156"/>
      <c r="E231" s="4156"/>
      <c r="F231" s="4156"/>
      <c r="G231" s="4156"/>
      <c r="H231" s="4156"/>
      <c r="I231" s="4247"/>
      <c r="J231" s="4247"/>
      <c r="K231" s="4156"/>
      <c r="L231" s="4156"/>
      <c r="M231" s="4248"/>
      <c r="N231" s="4248"/>
      <c r="O231" s="4156"/>
      <c r="P231" s="4156"/>
      <c r="Q231" s="4247"/>
      <c r="R231" s="4247"/>
      <c r="S231" s="4156"/>
      <c r="T231" s="4156"/>
      <c r="U231" s="4247"/>
      <c r="V231" s="4247"/>
      <c r="W231" s="4156"/>
      <c r="X231" s="4156"/>
      <c r="Y231" s="4248"/>
      <c r="Z231" s="4248"/>
      <c r="AA231" s="4249"/>
      <c r="AB231" s="4249"/>
      <c r="AC231" s="4156"/>
      <c r="AD231" s="4156"/>
      <c r="AE231" s="4247"/>
      <c r="AF231" s="4247"/>
      <c r="AG231" s="4156"/>
      <c r="AH231" s="4156"/>
      <c r="AI231" s="4247"/>
      <c r="AJ231" s="4247"/>
      <c r="AK231" s="4156"/>
      <c r="AL231" s="4156"/>
      <c r="AM231" s="4248"/>
      <c r="AN231" s="4248"/>
      <c r="AO231" s="4247"/>
      <c r="AP231" s="4247"/>
      <c r="AQ231" s="4156"/>
      <c r="AR231" s="4156"/>
      <c r="AS231" s="4247"/>
      <c r="AT231" s="4247"/>
      <c r="AU231" s="4156"/>
      <c r="AV231" s="4156"/>
      <c r="AW231" s="4247"/>
      <c r="AX231" s="4247"/>
      <c r="AY231" s="4156"/>
      <c r="AZ231" s="4156"/>
      <c r="BA231" s="4248"/>
      <c r="BB231" s="4248"/>
      <c r="BC231" s="4249"/>
      <c r="BD231" s="4249"/>
      <c r="BE231" s="4247"/>
      <c r="BF231" s="4247"/>
      <c r="BG231" s="4590"/>
      <c r="BH231" s="4590"/>
      <c r="BI231" s="4590"/>
      <c r="BJ231" s="4590"/>
    </row>
    <row r="232" spans="1:62" ht="20.25" customHeight="1" x14ac:dyDescent="0.25">
      <c r="A232" s="154"/>
      <c r="B232" s="4250" t="s">
        <v>858</v>
      </c>
      <c r="C232" s="4212" t="s">
        <v>876</v>
      </c>
      <c r="D232" s="4212"/>
      <c r="E232" s="4251"/>
      <c r="F232" s="2400"/>
      <c r="G232" s="4251"/>
      <c r="H232" s="7166"/>
      <c r="I232" s="4252"/>
      <c r="J232" s="2399">
        <f>F232+H232</f>
        <v>0</v>
      </c>
      <c r="K232" s="4251"/>
      <c r="L232" s="4574"/>
      <c r="M232" s="4253"/>
      <c r="N232" s="4125">
        <f t="shared" ref="N232:N267" si="454">F232+H232+L232</f>
        <v>0</v>
      </c>
      <c r="O232" s="4251"/>
      <c r="P232" s="4778"/>
      <c r="Q232" s="4252"/>
      <c r="R232" s="2399">
        <f>N232+P232</f>
        <v>0</v>
      </c>
      <c r="S232" s="4251"/>
      <c r="T232" s="4889"/>
      <c r="U232" s="4252"/>
      <c r="V232" s="4890">
        <f>R232+T232</f>
        <v>0</v>
      </c>
      <c r="W232" s="4251"/>
      <c r="X232" s="5026"/>
      <c r="Y232" s="4253"/>
      <c r="Z232" s="446">
        <f t="shared" ref="Z232:Z268" si="455">P232+T232+X232</f>
        <v>0</v>
      </c>
      <c r="AA232" s="4254"/>
      <c r="AB232" s="4157">
        <f t="shared" ref="AB232:AB267" si="456">N232+Z232</f>
        <v>0</v>
      </c>
      <c r="AC232" s="4251"/>
      <c r="AD232" s="5337"/>
      <c r="AE232" s="4252"/>
      <c r="AF232" s="2399">
        <f>AB232+AD232</f>
        <v>0</v>
      </c>
      <c r="AG232" s="4251"/>
      <c r="AH232" s="5510"/>
      <c r="AI232" s="4252"/>
      <c r="AJ232" s="2399">
        <f>AF232+AH232</f>
        <v>0</v>
      </c>
      <c r="AK232" s="4251"/>
      <c r="AL232" s="5911"/>
      <c r="AM232" s="4253"/>
      <c r="AN232" s="446">
        <f t="shared" ref="AN232:AN268" si="457">AD232+AH232+AL232</f>
        <v>0</v>
      </c>
      <c r="AO232" s="4252"/>
      <c r="AP232" s="2399">
        <f t="shared" ref="AO232:AP271" si="458">AJ232+AL232</f>
        <v>0</v>
      </c>
      <c r="AQ232" s="4251"/>
      <c r="AR232" s="6066"/>
      <c r="AS232" s="4252"/>
      <c r="AT232" s="2399">
        <f>AP232+AR232</f>
        <v>0</v>
      </c>
      <c r="AU232" s="4251"/>
      <c r="AV232" s="6189"/>
      <c r="AW232" s="4252"/>
      <c r="AX232" s="6193">
        <f>AT232+AV232</f>
        <v>0</v>
      </c>
      <c r="AY232" s="4251"/>
      <c r="AZ232" s="6401"/>
      <c r="BA232" s="4253"/>
      <c r="BB232" s="446">
        <f t="shared" ref="BB232:BB265" si="459">AR232+AV232+AZ232</f>
        <v>0</v>
      </c>
      <c r="BC232" s="4254"/>
      <c r="BD232" s="4157">
        <f t="shared" ref="BD232:BD267" si="460">AN232+BB232</f>
        <v>0</v>
      </c>
      <c r="BE232" s="4252"/>
      <c r="BF232" s="2399">
        <f>AX232+AZ232</f>
        <v>0</v>
      </c>
      <c r="BG232" s="4590"/>
      <c r="BH232" s="4590"/>
      <c r="BI232" s="4590"/>
      <c r="BJ232" s="4590"/>
    </row>
    <row r="233" spans="1:62" ht="15.75" thickBot="1" x14ac:dyDescent="0.3">
      <c r="A233" s="154"/>
      <c r="B233" s="6496" t="s">
        <v>858</v>
      </c>
      <c r="C233" s="6497" t="s">
        <v>885</v>
      </c>
      <c r="D233" s="6497"/>
      <c r="E233" s="6498"/>
      <c r="F233" s="6499"/>
      <c r="G233" s="6498"/>
      <c r="H233" s="6499"/>
      <c r="I233" s="6500"/>
      <c r="J233" s="7213">
        <f t="shared" ref="J233:J263" si="461">F233+H233</f>
        <v>0</v>
      </c>
      <c r="K233" s="6498"/>
      <c r="L233" s="6499"/>
      <c r="M233" s="6502"/>
      <c r="N233" s="6503">
        <f t="shared" si="454"/>
        <v>0</v>
      </c>
      <c r="O233" s="6498"/>
      <c r="P233" s="6499"/>
      <c r="Q233" s="6500"/>
      <c r="R233" s="6501">
        <f t="shared" ref="R233:R266" si="462">N233+P233</f>
        <v>0</v>
      </c>
      <c r="S233" s="6498"/>
      <c r="T233" s="6499"/>
      <c r="U233" s="6500"/>
      <c r="V233" s="6501">
        <f t="shared" ref="V233:V268" si="463">R233+T233</f>
        <v>0</v>
      </c>
      <c r="W233" s="6498"/>
      <c r="X233" s="6499"/>
      <c r="Y233" s="6502"/>
      <c r="Z233" s="6504">
        <f t="shared" si="455"/>
        <v>0</v>
      </c>
      <c r="AA233" s="6505"/>
      <c r="AB233" s="6506">
        <f t="shared" si="456"/>
        <v>0</v>
      </c>
      <c r="AC233" s="6498"/>
      <c r="AD233" s="6499"/>
      <c r="AE233" s="6500"/>
      <c r="AF233" s="6501">
        <f t="shared" ref="AF233:AF267" si="464">AB233+AD233</f>
        <v>0</v>
      </c>
      <c r="AG233" s="6498"/>
      <c r="AH233" s="6499"/>
      <c r="AI233" s="6500"/>
      <c r="AJ233" s="6501">
        <f t="shared" ref="AJ233:AJ267" si="465">AF233+AH233</f>
        <v>0</v>
      </c>
      <c r="AK233" s="6498"/>
      <c r="AL233" s="6499"/>
      <c r="AM233" s="6502"/>
      <c r="AN233" s="6504">
        <f t="shared" si="457"/>
        <v>0</v>
      </c>
      <c r="AO233" s="6500"/>
      <c r="AP233" s="6501">
        <f t="shared" si="458"/>
        <v>0</v>
      </c>
      <c r="AQ233" s="6498"/>
      <c r="AR233" s="6499"/>
      <c r="AS233" s="6500"/>
      <c r="AT233" s="6501">
        <f t="shared" ref="AT233:AT262" si="466">AP233+AR233</f>
        <v>0</v>
      </c>
      <c r="AU233" s="6498"/>
      <c r="AV233" s="6499"/>
      <c r="AW233" s="6500"/>
      <c r="AX233" s="6501">
        <f t="shared" ref="AX233:AX262" si="467">AT233+AV233</f>
        <v>0</v>
      </c>
      <c r="AY233" s="6498"/>
      <c r="AZ233" s="6499">
        <v>3717.4</v>
      </c>
      <c r="BA233" s="6502"/>
      <c r="BB233" s="6504">
        <f t="shared" si="459"/>
        <v>3717.4</v>
      </c>
      <c r="BC233" s="6505"/>
      <c r="BD233" s="6506">
        <f t="shared" si="460"/>
        <v>3717.4</v>
      </c>
      <c r="BE233" s="6500"/>
      <c r="BF233" s="6501">
        <f t="shared" ref="BF233:BF265" si="468">AX233+AZ233</f>
        <v>3717.4</v>
      </c>
      <c r="BG233" s="4590"/>
      <c r="BH233" s="4590"/>
      <c r="BI233" s="4590"/>
      <c r="BJ233" s="4590"/>
    </row>
    <row r="234" spans="1:62" s="6483" customFormat="1" ht="15.75" thickBot="1" x14ac:dyDescent="0.3">
      <c r="A234" s="154"/>
      <c r="B234" s="4274" t="s">
        <v>2170</v>
      </c>
      <c r="C234" s="4275" t="s">
        <v>876</v>
      </c>
      <c r="D234" s="4275"/>
      <c r="E234" s="4276"/>
      <c r="F234" s="3589">
        <v>125.06</v>
      </c>
      <c r="G234" s="4276"/>
      <c r="H234" s="3589"/>
      <c r="I234" s="4277"/>
      <c r="J234" s="7213">
        <f t="shared" si="461"/>
        <v>125.06</v>
      </c>
      <c r="K234" s="4276"/>
      <c r="L234" s="3589"/>
      <c r="M234" s="6507"/>
      <c r="N234" s="6508"/>
      <c r="O234" s="4276"/>
      <c r="P234" s="3589"/>
      <c r="Q234" s="4277"/>
      <c r="R234" s="3590"/>
      <c r="S234" s="4276"/>
      <c r="T234" s="3589"/>
      <c r="U234" s="4277"/>
      <c r="V234" s="3590"/>
      <c r="W234" s="4276"/>
      <c r="X234" s="3589"/>
      <c r="Y234" s="6507"/>
      <c r="Z234" s="1088"/>
      <c r="AA234" s="6509"/>
      <c r="AB234" s="6510"/>
      <c r="AC234" s="4276"/>
      <c r="AD234" s="3589"/>
      <c r="AE234" s="4277"/>
      <c r="AF234" s="3590"/>
      <c r="AG234" s="4276"/>
      <c r="AH234" s="3589"/>
      <c r="AI234" s="4277"/>
      <c r="AJ234" s="3590"/>
      <c r="AK234" s="4276"/>
      <c r="AL234" s="3589"/>
      <c r="AM234" s="6507"/>
      <c r="AN234" s="1088"/>
      <c r="AO234" s="4277"/>
      <c r="AP234" s="3590"/>
      <c r="AQ234" s="4276"/>
      <c r="AR234" s="3589"/>
      <c r="AS234" s="4277"/>
      <c r="AT234" s="3590"/>
      <c r="AU234" s="4276"/>
      <c r="AV234" s="3589"/>
      <c r="AW234" s="4277"/>
      <c r="AX234" s="5262"/>
      <c r="AY234" s="4276"/>
      <c r="AZ234" s="3589">
        <v>2939.4700000000003</v>
      </c>
      <c r="BA234" s="6507"/>
      <c r="BB234" s="6504">
        <f t="shared" si="459"/>
        <v>2939.4700000000003</v>
      </c>
      <c r="BC234" s="6509"/>
      <c r="BD234" s="6506">
        <f t="shared" si="460"/>
        <v>2939.4700000000003</v>
      </c>
      <c r="BE234" s="4277"/>
      <c r="BF234" s="6501">
        <f t="shared" si="468"/>
        <v>2939.4700000000003</v>
      </c>
      <c r="BG234" s="4590"/>
      <c r="BH234" s="4590"/>
      <c r="BI234" s="4590"/>
      <c r="BJ234" s="4590"/>
    </row>
    <row r="235" spans="1:62" x14ac:dyDescent="0.25">
      <c r="A235" s="154"/>
      <c r="B235" s="5406" t="s">
        <v>857</v>
      </c>
      <c r="C235" s="4218" t="s">
        <v>1151</v>
      </c>
      <c r="D235" s="4218"/>
      <c r="E235" s="4272"/>
      <c r="F235" s="6405">
        <v>2606.42</v>
      </c>
      <c r="G235" s="4272"/>
      <c r="H235" s="6405">
        <v>3329.1699999999996</v>
      </c>
      <c r="I235" s="4273"/>
      <c r="J235" s="7213">
        <f t="shared" si="461"/>
        <v>5935.59</v>
      </c>
      <c r="K235" s="4272"/>
      <c r="L235" s="3599"/>
      <c r="M235" s="6339"/>
      <c r="N235" s="2407">
        <f t="shared" si="454"/>
        <v>5935.59</v>
      </c>
      <c r="O235" s="4272"/>
      <c r="P235" s="6405"/>
      <c r="Q235" s="4273"/>
      <c r="R235" s="6481">
        <f t="shared" si="462"/>
        <v>5935.59</v>
      </c>
      <c r="S235" s="4272"/>
      <c r="T235" s="6405"/>
      <c r="U235" s="4273"/>
      <c r="V235" s="6481">
        <f t="shared" si="463"/>
        <v>5935.59</v>
      </c>
      <c r="W235" s="4272"/>
      <c r="X235" s="6405"/>
      <c r="Y235" s="6339"/>
      <c r="Z235" s="6340">
        <f t="shared" si="455"/>
        <v>0</v>
      </c>
      <c r="AA235" s="6341"/>
      <c r="AB235" s="4200">
        <f t="shared" si="456"/>
        <v>5935.59</v>
      </c>
      <c r="AC235" s="4272"/>
      <c r="AD235" s="6405"/>
      <c r="AE235" s="4273"/>
      <c r="AF235" s="6481">
        <f t="shared" si="464"/>
        <v>5935.59</v>
      </c>
      <c r="AG235" s="4272"/>
      <c r="AH235" s="6405"/>
      <c r="AI235" s="4273"/>
      <c r="AJ235" s="6481">
        <f t="shared" si="465"/>
        <v>5935.59</v>
      </c>
      <c r="AK235" s="4272"/>
      <c r="AL235" s="6405">
        <v>3012.9300000000007</v>
      </c>
      <c r="AM235" s="6339"/>
      <c r="AN235" s="6340">
        <f t="shared" si="457"/>
        <v>3012.9300000000007</v>
      </c>
      <c r="AO235" s="4273"/>
      <c r="AP235" s="6481">
        <f t="shared" si="458"/>
        <v>8948.52</v>
      </c>
      <c r="AQ235" s="4272"/>
      <c r="AR235" s="6405">
        <v>3426.1200000000003</v>
      </c>
      <c r="AS235" s="4273"/>
      <c r="AT235" s="6481">
        <f t="shared" si="466"/>
        <v>12374.640000000001</v>
      </c>
      <c r="AU235" s="4272"/>
      <c r="AV235" s="6405">
        <v>3574.9399999999996</v>
      </c>
      <c r="AW235" s="4273"/>
      <c r="AX235" s="62">
        <f t="shared" si="467"/>
        <v>15949.580000000002</v>
      </c>
      <c r="AY235" s="4272"/>
      <c r="AZ235" s="6405">
        <v>5975.59</v>
      </c>
      <c r="BA235" s="6339"/>
      <c r="BB235" s="6340">
        <f t="shared" si="459"/>
        <v>12976.65</v>
      </c>
      <c r="BC235" s="6341"/>
      <c r="BD235" s="4200">
        <f t="shared" si="460"/>
        <v>15989.58</v>
      </c>
      <c r="BE235" s="4273"/>
      <c r="BF235" s="6481">
        <f t="shared" si="468"/>
        <v>21925.170000000002</v>
      </c>
      <c r="BG235" s="4590"/>
      <c r="BH235" s="4590"/>
      <c r="BI235" s="4590"/>
      <c r="BJ235" s="4590"/>
    </row>
    <row r="236" spans="1:62" x14ac:dyDescent="0.25">
      <c r="A236" s="154"/>
      <c r="B236" s="851" t="s">
        <v>857</v>
      </c>
      <c r="C236" s="6342" t="s">
        <v>876</v>
      </c>
      <c r="D236" s="6342"/>
      <c r="E236" s="6343"/>
      <c r="F236" s="6344">
        <v>3109.04</v>
      </c>
      <c r="G236" s="6343"/>
      <c r="H236" s="6344">
        <v>4506.4000000000005</v>
      </c>
      <c r="I236" s="6346"/>
      <c r="J236" s="7213">
        <f t="shared" si="461"/>
        <v>7615.4400000000005</v>
      </c>
      <c r="K236" s="6343"/>
      <c r="L236" s="6345">
        <v>6911.2899999999991</v>
      </c>
      <c r="M236" s="6347"/>
      <c r="N236" s="6348">
        <f t="shared" si="454"/>
        <v>14526.73</v>
      </c>
      <c r="O236" s="6343"/>
      <c r="P236" s="6344">
        <v>6731.1700000000019</v>
      </c>
      <c r="Q236" s="6346"/>
      <c r="R236" s="6349">
        <f t="shared" si="462"/>
        <v>21257.9</v>
      </c>
      <c r="S236" s="6343"/>
      <c r="T236" s="6344">
        <v>7505.78</v>
      </c>
      <c r="U236" s="6346"/>
      <c r="V236" s="6349">
        <f t="shared" si="463"/>
        <v>28763.68</v>
      </c>
      <c r="W236" s="6343"/>
      <c r="X236" s="6344">
        <v>4493.2800000000007</v>
      </c>
      <c r="Y236" s="6347"/>
      <c r="Z236" s="6350">
        <f t="shared" si="455"/>
        <v>18730.230000000003</v>
      </c>
      <c r="AA236" s="6351"/>
      <c r="AB236" s="6338">
        <f t="shared" si="456"/>
        <v>33256.960000000006</v>
      </c>
      <c r="AC236" s="6343"/>
      <c r="AD236" s="6344">
        <v>11434.650000000003</v>
      </c>
      <c r="AE236" s="6346"/>
      <c r="AF236" s="6349">
        <f t="shared" si="464"/>
        <v>44691.610000000008</v>
      </c>
      <c r="AG236" s="6343"/>
      <c r="AH236" s="6344">
        <v>129.6</v>
      </c>
      <c r="AI236" s="6346"/>
      <c r="AJ236" s="6349">
        <f t="shared" si="465"/>
        <v>44821.210000000006</v>
      </c>
      <c r="AK236" s="6343"/>
      <c r="AL236" s="6344">
        <v>5503.0200000000013</v>
      </c>
      <c r="AM236" s="6347"/>
      <c r="AN236" s="6350">
        <f t="shared" si="457"/>
        <v>17067.270000000004</v>
      </c>
      <c r="AO236" s="6346"/>
      <c r="AP236" s="6349">
        <f t="shared" si="458"/>
        <v>50324.23000000001</v>
      </c>
      <c r="AQ236" s="6343"/>
      <c r="AR236" s="6344">
        <v>5785.7599999999984</v>
      </c>
      <c r="AS236" s="6346"/>
      <c r="AT236" s="6349">
        <f t="shared" si="466"/>
        <v>56109.990000000005</v>
      </c>
      <c r="AU236" s="6343"/>
      <c r="AV236" s="6344">
        <v>5430.1399999999976</v>
      </c>
      <c r="AW236" s="6346"/>
      <c r="AX236" s="39">
        <f t="shared" si="467"/>
        <v>61540.130000000005</v>
      </c>
      <c r="AY236" s="6343"/>
      <c r="AZ236" s="6344">
        <v>5447.7900000000018</v>
      </c>
      <c r="BA236" s="4253"/>
      <c r="BB236" s="6340">
        <f t="shared" si="459"/>
        <v>16663.689999999999</v>
      </c>
      <c r="BC236" s="4254"/>
      <c r="BD236" s="4200">
        <f t="shared" si="460"/>
        <v>33730.960000000006</v>
      </c>
      <c r="BE236" s="4252"/>
      <c r="BF236" s="6597">
        <f t="shared" si="468"/>
        <v>66987.920000000013</v>
      </c>
      <c r="BG236" s="4590"/>
      <c r="BH236" s="4590"/>
      <c r="BI236" s="4590"/>
      <c r="BJ236" s="4590"/>
    </row>
    <row r="237" spans="1:62" x14ac:dyDescent="0.25">
      <c r="A237" s="154"/>
      <c r="B237" s="851" t="s">
        <v>857</v>
      </c>
      <c r="C237" s="6342" t="s">
        <v>885</v>
      </c>
      <c r="D237" s="6342"/>
      <c r="E237" s="6343"/>
      <c r="F237" s="6344">
        <v>4228.2300000000005</v>
      </c>
      <c r="G237" s="6343"/>
      <c r="H237" s="6344">
        <v>6571.0600000000022</v>
      </c>
      <c r="I237" s="6346"/>
      <c r="J237" s="7213">
        <f t="shared" si="461"/>
        <v>10799.290000000003</v>
      </c>
      <c r="K237" s="6343"/>
      <c r="L237" s="6345">
        <v>3131.46</v>
      </c>
      <c r="M237" s="6347"/>
      <c r="N237" s="6348">
        <f t="shared" si="454"/>
        <v>13930.750000000004</v>
      </c>
      <c r="O237" s="6343"/>
      <c r="P237" s="6344">
        <v>3652.23</v>
      </c>
      <c r="Q237" s="6346"/>
      <c r="R237" s="6349">
        <f t="shared" si="462"/>
        <v>17582.980000000003</v>
      </c>
      <c r="S237" s="6343"/>
      <c r="T237" s="6344">
        <v>5572.9999999999991</v>
      </c>
      <c r="U237" s="6346"/>
      <c r="V237" s="6349">
        <f t="shared" si="463"/>
        <v>23155.980000000003</v>
      </c>
      <c r="W237" s="6343"/>
      <c r="X237" s="6344">
        <v>9412.6200000000026</v>
      </c>
      <c r="Y237" s="6347"/>
      <c r="Z237" s="6350">
        <f t="shared" si="455"/>
        <v>18637.850000000002</v>
      </c>
      <c r="AA237" s="6351"/>
      <c r="AB237" s="6338">
        <f t="shared" si="456"/>
        <v>32568.600000000006</v>
      </c>
      <c r="AC237" s="6343"/>
      <c r="AD237" s="6344">
        <v>7630.3</v>
      </c>
      <c r="AE237" s="6346"/>
      <c r="AF237" s="6349">
        <f t="shared" si="464"/>
        <v>40198.900000000009</v>
      </c>
      <c r="AG237" s="6343"/>
      <c r="AH237" s="6344">
        <v>311.24</v>
      </c>
      <c r="AI237" s="6346"/>
      <c r="AJ237" s="6349">
        <f t="shared" si="465"/>
        <v>40510.140000000007</v>
      </c>
      <c r="AK237" s="6343"/>
      <c r="AL237" s="6344">
        <v>6930.2100000000019</v>
      </c>
      <c r="AM237" s="6347"/>
      <c r="AN237" s="6350">
        <f t="shared" si="457"/>
        <v>14871.750000000002</v>
      </c>
      <c r="AO237" s="6346"/>
      <c r="AP237" s="6349">
        <f t="shared" si="458"/>
        <v>47440.350000000006</v>
      </c>
      <c r="AQ237" s="6343"/>
      <c r="AR237" s="6344">
        <v>3874.2000000000007</v>
      </c>
      <c r="AS237" s="6346"/>
      <c r="AT237" s="6349">
        <f t="shared" si="466"/>
        <v>51314.55</v>
      </c>
      <c r="AU237" s="6343"/>
      <c r="AV237" s="6344">
        <v>4200.03</v>
      </c>
      <c r="AW237" s="6346"/>
      <c r="AX237" s="39">
        <f t="shared" si="467"/>
        <v>55514.58</v>
      </c>
      <c r="AY237" s="6343"/>
      <c r="AZ237" s="6344">
        <v>8463.7199999999993</v>
      </c>
      <c r="BA237" s="4253"/>
      <c r="BB237" s="6340">
        <f t="shared" si="459"/>
        <v>16537.95</v>
      </c>
      <c r="BC237" s="4254"/>
      <c r="BD237" s="4200">
        <f t="shared" si="460"/>
        <v>31409.700000000004</v>
      </c>
      <c r="BE237" s="4252"/>
      <c r="BF237" s="6597">
        <f t="shared" si="468"/>
        <v>63978.3</v>
      </c>
      <c r="BG237" s="4590"/>
      <c r="BH237" s="4590"/>
      <c r="BI237" s="4590"/>
      <c r="BJ237" s="4590"/>
    </row>
    <row r="238" spans="1:62" ht="20.25" customHeight="1" x14ac:dyDescent="0.25">
      <c r="A238" s="154"/>
      <c r="B238" s="851" t="s">
        <v>857</v>
      </c>
      <c r="C238" s="6342" t="s">
        <v>1006</v>
      </c>
      <c r="D238" s="6342"/>
      <c r="E238" s="6343"/>
      <c r="F238" s="6344"/>
      <c r="G238" s="6343"/>
      <c r="H238" s="6344"/>
      <c r="I238" s="6346"/>
      <c r="J238" s="7213">
        <f t="shared" si="461"/>
        <v>0</v>
      </c>
      <c r="K238" s="6343"/>
      <c r="L238" s="6344"/>
      <c r="M238" s="6347"/>
      <c r="N238" s="6348">
        <f t="shared" si="454"/>
        <v>0</v>
      </c>
      <c r="O238" s="6343"/>
      <c r="P238" s="6344"/>
      <c r="Q238" s="6346"/>
      <c r="R238" s="6349">
        <f t="shared" si="462"/>
        <v>0</v>
      </c>
      <c r="S238" s="6343"/>
      <c r="T238" s="6344"/>
      <c r="U238" s="6346"/>
      <c r="V238" s="6349">
        <f t="shared" si="463"/>
        <v>0</v>
      </c>
      <c r="W238" s="6343"/>
      <c r="X238" s="6344">
        <v>642.74000000000012</v>
      </c>
      <c r="Y238" s="6347"/>
      <c r="Z238" s="6350">
        <f t="shared" si="455"/>
        <v>642.74000000000012</v>
      </c>
      <c r="AA238" s="6351"/>
      <c r="AB238" s="6338">
        <f t="shared" si="456"/>
        <v>642.74000000000012</v>
      </c>
      <c r="AC238" s="6343"/>
      <c r="AD238" s="6344"/>
      <c r="AE238" s="6346"/>
      <c r="AF238" s="6349">
        <f t="shared" si="464"/>
        <v>642.74000000000012</v>
      </c>
      <c r="AG238" s="6343"/>
      <c r="AH238" s="6344"/>
      <c r="AI238" s="6346"/>
      <c r="AJ238" s="6349">
        <f t="shared" si="465"/>
        <v>642.74000000000012</v>
      </c>
      <c r="AK238" s="6343"/>
      <c r="AL238" s="6344"/>
      <c r="AM238" s="6347"/>
      <c r="AN238" s="6350">
        <f t="shared" si="457"/>
        <v>0</v>
      </c>
      <c r="AO238" s="6346"/>
      <c r="AP238" s="6349">
        <f t="shared" si="458"/>
        <v>642.74000000000012</v>
      </c>
      <c r="AQ238" s="6343"/>
      <c r="AR238" s="6344"/>
      <c r="AS238" s="6346"/>
      <c r="AT238" s="6349">
        <f t="shared" si="466"/>
        <v>642.74000000000012</v>
      </c>
      <c r="AU238" s="6343"/>
      <c r="AV238" s="6344"/>
      <c r="AW238" s="6346"/>
      <c r="AX238" s="39">
        <f t="shared" si="467"/>
        <v>642.74000000000012</v>
      </c>
      <c r="AY238" s="6343"/>
      <c r="AZ238" s="6344"/>
      <c r="BA238" s="4253"/>
      <c r="BB238" s="6340">
        <f t="shared" si="459"/>
        <v>0</v>
      </c>
      <c r="BC238" s="4254"/>
      <c r="BD238" s="4200">
        <f t="shared" si="460"/>
        <v>0</v>
      </c>
      <c r="BE238" s="4252"/>
      <c r="BF238" s="6597">
        <f t="shared" si="468"/>
        <v>642.74000000000012</v>
      </c>
      <c r="BG238" s="4590"/>
      <c r="BH238" s="4590"/>
      <c r="BI238" s="4590"/>
      <c r="BJ238" s="4590"/>
    </row>
    <row r="239" spans="1:62" x14ac:dyDescent="0.25">
      <c r="A239" s="154"/>
      <c r="B239" s="851" t="s">
        <v>857</v>
      </c>
      <c r="C239" s="6342" t="s">
        <v>1398</v>
      </c>
      <c r="D239" s="6342"/>
      <c r="E239" s="6343"/>
      <c r="F239" s="6344"/>
      <c r="G239" s="6343"/>
      <c r="H239" s="6344"/>
      <c r="I239" s="6346"/>
      <c r="J239" s="7213">
        <f t="shared" si="461"/>
        <v>0</v>
      </c>
      <c r="K239" s="6343"/>
      <c r="L239" s="6344"/>
      <c r="M239" s="6347"/>
      <c r="N239" s="6348">
        <f t="shared" si="454"/>
        <v>0</v>
      </c>
      <c r="O239" s="6343"/>
      <c r="P239" s="6344"/>
      <c r="Q239" s="6346"/>
      <c r="R239" s="6349">
        <f t="shared" si="462"/>
        <v>0</v>
      </c>
      <c r="S239" s="6343"/>
      <c r="T239" s="6344"/>
      <c r="U239" s="6346"/>
      <c r="V239" s="6349">
        <f t="shared" si="463"/>
        <v>0</v>
      </c>
      <c r="W239" s="6343"/>
      <c r="X239" s="6344"/>
      <c r="Y239" s="6347"/>
      <c r="Z239" s="6350">
        <f t="shared" si="455"/>
        <v>0</v>
      </c>
      <c r="AA239" s="6351"/>
      <c r="AB239" s="6338">
        <f t="shared" si="456"/>
        <v>0</v>
      </c>
      <c r="AC239" s="6343"/>
      <c r="AD239" s="6344"/>
      <c r="AE239" s="6346"/>
      <c r="AF239" s="6349">
        <f t="shared" si="464"/>
        <v>0</v>
      </c>
      <c r="AG239" s="6343"/>
      <c r="AH239" s="6344"/>
      <c r="AI239" s="6346"/>
      <c r="AJ239" s="6349">
        <f t="shared" si="465"/>
        <v>0</v>
      </c>
      <c r="AK239" s="6343"/>
      <c r="AL239" s="6344"/>
      <c r="AM239" s="6347"/>
      <c r="AN239" s="6350">
        <f t="shared" si="457"/>
        <v>0</v>
      </c>
      <c r="AO239" s="6346"/>
      <c r="AP239" s="6349">
        <f t="shared" si="458"/>
        <v>0</v>
      </c>
      <c r="AQ239" s="6343"/>
      <c r="AR239" s="6344"/>
      <c r="AS239" s="6346"/>
      <c r="AT239" s="6349">
        <f t="shared" si="466"/>
        <v>0</v>
      </c>
      <c r="AU239" s="6343"/>
      <c r="AV239" s="6344"/>
      <c r="AW239" s="6346"/>
      <c r="AX239" s="39">
        <f t="shared" si="467"/>
        <v>0</v>
      </c>
      <c r="AY239" s="6343"/>
      <c r="AZ239" s="6344"/>
      <c r="BA239" s="4253"/>
      <c r="BB239" s="6340">
        <f t="shared" si="459"/>
        <v>0</v>
      </c>
      <c r="BC239" s="4254"/>
      <c r="BD239" s="4200">
        <f t="shared" si="460"/>
        <v>0</v>
      </c>
      <c r="BE239" s="4252"/>
      <c r="BF239" s="6597">
        <f t="shared" si="468"/>
        <v>0</v>
      </c>
      <c r="BG239" s="4590"/>
      <c r="BH239" s="4590"/>
      <c r="BI239" s="4590"/>
      <c r="BJ239" s="4590"/>
    </row>
    <row r="240" spans="1:62" ht="15.75" thickBot="1" x14ac:dyDescent="0.3">
      <c r="A240" s="154"/>
      <c r="B240" s="3456" t="s">
        <v>857</v>
      </c>
      <c r="C240" s="4215" t="s">
        <v>1007</v>
      </c>
      <c r="D240" s="4215"/>
      <c r="E240" s="4263"/>
      <c r="F240" s="234"/>
      <c r="G240" s="4263"/>
      <c r="H240" s="234"/>
      <c r="I240" s="4264"/>
      <c r="J240" s="7213">
        <f t="shared" si="461"/>
        <v>0</v>
      </c>
      <c r="K240" s="4263"/>
      <c r="L240" s="234">
        <v>618.28000000000009</v>
      </c>
      <c r="M240" s="6352"/>
      <c r="N240" s="488">
        <f t="shared" si="454"/>
        <v>618.28000000000009</v>
      </c>
      <c r="O240" s="4263"/>
      <c r="P240" s="234">
        <v>97.669999999999987</v>
      </c>
      <c r="Q240" s="4264"/>
      <c r="R240" s="589">
        <f t="shared" si="462"/>
        <v>715.95</v>
      </c>
      <c r="S240" s="4263"/>
      <c r="T240" s="234">
        <v>65</v>
      </c>
      <c r="U240" s="4264"/>
      <c r="V240" s="589">
        <f t="shared" si="463"/>
        <v>780.95</v>
      </c>
      <c r="W240" s="4263"/>
      <c r="X240" s="234">
        <v>1511.72</v>
      </c>
      <c r="Y240" s="6352"/>
      <c r="Z240" s="6324">
        <f t="shared" si="455"/>
        <v>1674.39</v>
      </c>
      <c r="AA240" s="6353"/>
      <c r="AB240" s="4186">
        <f t="shared" si="456"/>
        <v>2292.67</v>
      </c>
      <c r="AC240" s="4263"/>
      <c r="AD240" s="234"/>
      <c r="AE240" s="4264"/>
      <c r="AF240" s="589">
        <f t="shared" si="464"/>
        <v>2292.67</v>
      </c>
      <c r="AG240" s="4263"/>
      <c r="AH240" s="234"/>
      <c r="AI240" s="4264"/>
      <c r="AJ240" s="589">
        <f t="shared" si="465"/>
        <v>2292.67</v>
      </c>
      <c r="AK240" s="4263"/>
      <c r="AL240" s="234">
        <v>1044.4599999999998</v>
      </c>
      <c r="AM240" s="6352"/>
      <c r="AN240" s="6324">
        <f t="shared" si="457"/>
        <v>1044.4599999999998</v>
      </c>
      <c r="AO240" s="4264"/>
      <c r="AP240" s="589">
        <f t="shared" si="458"/>
        <v>3337.13</v>
      </c>
      <c r="AQ240" s="4263"/>
      <c r="AR240" s="234">
        <v>921.08999999999992</v>
      </c>
      <c r="AS240" s="4264"/>
      <c r="AT240" s="589">
        <f t="shared" si="466"/>
        <v>4258.22</v>
      </c>
      <c r="AU240" s="4263"/>
      <c r="AV240" s="234">
        <v>42.67</v>
      </c>
      <c r="AW240" s="4264"/>
      <c r="AX240" s="44">
        <f t="shared" si="467"/>
        <v>4300.8900000000003</v>
      </c>
      <c r="AY240" s="4263"/>
      <c r="AZ240" s="234"/>
      <c r="BA240" s="4253"/>
      <c r="BB240" s="6340">
        <f t="shared" si="459"/>
        <v>963.75999999999988</v>
      </c>
      <c r="BC240" s="4254"/>
      <c r="BD240" s="4200">
        <f t="shared" si="460"/>
        <v>2008.2199999999998</v>
      </c>
      <c r="BE240" s="4252"/>
      <c r="BF240" s="6597">
        <f t="shared" si="468"/>
        <v>4300.8900000000003</v>
      </c>
      <c r="BG240" s="4590"/>
      <c r="BH240" s="4590"/>
      <c r="BI240" s="4590"/>
      <c r="BJ240" s="4590"/>
    </row>
    <row r="241" spans="1:62" ht="15.75" thickBot="1" x14ac:dyDescent="0.3">
      <c r="A241" s="154"/>
      <c r="B241" s="4265" t="s">
        <v>953</v>
      </c>
      <c r="C241" s="4266" t="s">
        <v>876</v>
      </c>
      <c r="D241" s="4266"/>
      <c r="E241" s="4267"/>
      <c r="F241" s="2444"/>
      <c r="G241" s="4267"/>
      <c r="H241" s="2444"/>
      <c r="I241" s="4268"/>
      <c r="J241" s="7213">
        <f t="shared" si="461"/>
        <v>0</v>
      </c>
      <c r="K241" s="4267"/>
      <c r="L241" s="2444"/>
      <c r="M241" s="6339"/>
      <c r="N241" s="2407">
        <f t="shared" si="454"/>
        <v>0</v>
      </c>
      <c r="O241" s="4267"/>
      <c r="P241" s="2444"/>
      <c r="Q241" s="4273"/>
      <c r="R241" s="6313">
        <f t="shared" si="462"/>
        <v>0</v>
      </c>
      <c r="S241" s="4267"/>
      <c r="T241" s="2444"/>
      <c r="U241" s="4273"/>
      <c r="V241" s="6313">
        <f t="shared" si="463"/>
        <v>0</v>
      </c>
      <c r="W241" s="4267"/>
      <c r="X241" s="2444"/>
      <c r="Y241" s="6339"/>
      <c r="Z241" s="6340">
        <f t="shared" si="455"/>
        <v>0</v>
      </c>
      <c r="AA241" s="6341"/>
      <c r="AB241" s="4200">
        <f t="shared" si="456"/>
        <v>0</v>
      </c>
      <c r="AC241" s="4267"/>
      <c r="AD241" s="2444"/>
      <c r="AE241" s="4273"/>
      <c r="AF241" s="6313">
        <f t="shared" si="464"/>
        <v>0</v>
      </c>
      <c r="AG241" s="4267"/>
      <c r="AH241" s="2444">
        <v>24.44</v>
      </c>
      <c r="AI241" s="4273"/>
      <c r="AJ241" s="6313">
        <f t="shared" si="465"/>
        <v>24.44</v>
      </c>
      <c r="AK241" s="4267"/>
      <c r="AL241" s="2444"/>
      <c r="AM241" s="6339"/>
      <c r="AN241" s="6340">
        <f t="shared" si="457"/>
        <v>24.44</v>
      </c>
      <c r="AO241" s="4273"/>
      <c r="AP241" s="6313">
        <f t="shared" si="458"/>
        <v>24.44</v>
      </c>
      <c r="AQ241" s="4267"/>
      <c r="AR241" s="2444"/>
      <c r="AS241" s="4273"/>
      <c r="AT241" s="6313">
        <f t="shared" si="466"/>
        <v>24.44</v>
      </c>
      <c r="AU241" s="4267"/>
      <c r="AV241" s="2444">
        <v>2360.6799999999998</v>
      </c>
      <c r="AW241" s="4273"/>
      <c r="AX241" s="6313">
        <f t="shared" si="467"/>
        <v>2385.12</v>
      </c>
      <c r="AY241" s="4267"/>
      <c r="AZ241" s="2444"/>
      <c r="BA241" s="4253"/>
      <c r="BB241" s="6340">
        <f t="shared" si="459"/>
        <v>2360.6799999999998</v>
      </c>
      <c r="BC241" s="4254"/>
      <c r="BD241" s="4200">
        <f t="shared" si="460"/>
        <v>2385.12</v>
      </c>
      <c r="BE241" s="4252"/>
      <c r="BF241" s="6597">
        <f t="shared" si="468"/>
        <v>2385.12</v>
      </c>
      <c r="BG241" s="4590"/>
      <c r="BH241" s="4590"/>
      <c r="BI241" s="4590"/>
      <c r="BJ241" s="4590"/>
    </row>
    <row r="242" spans="1:62" x14ac:dyDescent="0.25">
      <c r="A242" s="154"/>
      <c r="B242" s="3452" t="s">
        <v>1578</v>
      </c>
      <c r="C242" s="4211" t="s">
        <v>876</v>
      </c>
      <c r="D242" s="4211"/>
      <c r="E242" s="4259"/>
      <c r="F242" s="275">
        <v>1715.5</v>
      </c>
      <c r="G242" s="4259"/>
      <c r="H242" s="275"/>
      <c r="I242" s="4260"/>
      <c r="J242" s="7213">
        <f t="shared" si="461"/>
        <v>1715.5</v>
      </c>
      <c r="K242" s="4259"/>
      <c r="L242" s="275"/>
      <c r="M242" s="4253"/>
      <c r="N242" s="4125">
        <f t="shared" si="454"/>
        <v>1715.5</v>
      </c>
      <c r="O242" s="4259"/>
      <c r="P242" s="275"/>
      <c r="Q242" s="4252"/>
      <c r="R242" s="4773">
        <f t="shared" si="462"/>
        <v>1715.5</v>
      </c>
      <c r="S242" s="4259"/>
      <c r="T242" s="275">
        <v>3404.34</v>
      </c>
      <c r="U242" s="4252"/>
      <c r="V242" s="4890">
        <f t="shared" si="463"/>
        <v>5119.84</v>
      </c>
      <c r="W242" s="4259"/>
      <c r="X242" s="275"/>
      <c r="Y242" s="4253"/>
      <c r="Z242" s="446">
        <f t="shared" si="455"/>
        <v>3404.34</v>
      </c>
      <c r="AA242" s="4254"/>
      <c r="AB242" s="4157">
        <f t="shared" si="456"/>
        <v>5119.84</v>
      </c>
      <c r="AC242" s="4259"/>
      <c r="AD242" s="275">
        <v>2508.9099999999989</v>
      </c>
      <c r="AE242" s="4252"/>
      <c r="AF242" s="5333">
        <f t="shared" si="464"/>
        <v>7628.7499999999991</v>
      </c>
      <c r="AG242" s="4259"/>
      <c r="AH242" s="275">
        <v>15.37</v>
      </c>
      <c r="AI242" s="4252"/>
      <c r="AJ242" s="5511">
        <f t="shared" si="465"/>
        <v>7644.119999999999</v>
      </c>
      <c r="AK242" s="4259"/>
      <c r="AL242" s="275"/>
      <c r="AM242" s="4253"/>
      <c r="AN242" s="446">
        <f t="shared" si="457"/>
        <v>2524.2799999999988</v>
      </c>
      <c r="AO242" s="4252"/>
      <c r="AP242" s="5907">
        <f t="shared" si="458"/>
        <v>7644.119999999999</v>
      </c>
      <c r="AQ242" s="4259"/>
      <c r="AR242" s="275"/>
      <c r="AS242" s="4252"/>
      <c r="AT242" s="2399">
        <f t="shared" si="466"/>
        <v>7644.119999999999</v>
      </c>
      <c r="AU242" s="4259"/>
      <c r="AV242" s="275"/>
      <c r="AW242" s="4252"/>
      <c r="AX242" s="6193">
        <f t="shared" si="467"/>
        <v>7644.119999999999</v>
      </c>
      <c r="AY242" s="4259"/>
      <c r="AZ242" s="275"/>
      <c r="BA242" s="4253"/>
      <c r="BB242" s="6340">
        <f t="shared" si="459"/>
        <v>0</v>
      </c>
      <c r="BC242" s="4254"/>
      <c r="BD242" s="4200">
        <f t="shared" si="460"/>
        <v>2524.2799999999988</v>
      </c>
      <c r="BE242" s="4252"/>
      <c r="BF242" s="6597">
        <f t="shared" si="468"/>
        <v>7644.119999999999</v>
      </c>
      <c r="BG242" s="4590"/>
      <c r="BH242" s="4590"/>
      <c r="BI242" s="4590"/>
      <c r="BJ242" s="4590"/>
    </row>
    <row r="243" spans="1:62" ht="15.75" thickBot="1" x14ac:dyDescent="0.3">
      <c r="A243" s="154"/>
      <c r="B243" s="3456" t="s">
        <v>1578</v>
      </c>
      <c r="C243" s="4215" t="s">
        <v>885</v>
      </c>
      <c r="D243" s="4215"/>
      <c r="E243" s="4263"/>
      <c r="F243" s="234">
        <v>4419.5600000000004</v>
      </c>
      <c r="G243" s="4263"/>
      <c r="H243" s="234">
        <v>65.599999999999994</v>
      </c>
      <c r="I243" s="4264"/>
      <c r="J243" s="7213">
        <f t="shared" si="461"/>
        <v>4485.1600000000008</v>
      </c>
      <c r="K243" s="4263"/>
      <c r="L243" s="234"/>
      <c r="M243" s="4253"/>
      <c r="N243" s="4125">
        <f t="shared" si="454"/>
        <v>4485.1600000000008</v>
      </c>
      <c r="O243" s="4263"/>
      <c r="P243" s="234"/>
      <c r="Q243" s="4252"/>
      <c r="R243" s="4773">
        <f t="shared" si="462"/>
        <v>4485.1600000000008</v>
      </c>
      <c r="S243" s="4263"/>
      <c r="T243" s="234">
        <v>2036.4200000000005</v>
      </c>
      <c r="U243" s="4252"/>
      <c r="V243" s="4890">
        <f t="shared" si="463"/>
        <v>6521.5800000000017</v>
      </c>
      <c r="W243" s="4263"/>
      <c r="X243" s="234"/>
      <c r="Y243" s="4253"/>
      <c r="Z243" s="446">
        <f t="shared" si="455"/>
        <v>2036.4200000000005</v>
      </c>
      <c r="AA243" s="4254"/>
      <c r="AB243" s="4157">
        <f t="shared" si="456"/>
        <v>6521.5800000000017</v>
      </c>
      <c r="AC243" s="4263"/>
      <c r="AD243" s="234">
        <v>4623.7000000000007</v>
      </c>
      <c r="AE243" s="4252"/>
      <c r="AF243" s="5333">
        <f t="shared" si="464"/>
        <v>11145.280000000002</v>
      </c>
      <c r="AG243" s="4263"/>
      <c r="AH243" s="234"/>
      <c r="AI243" s="4252"/>
      <c r="AJ243" s="5511">
        <f t="shared" si="465"/>
        <v>11145.280000000002</v>
      </c>
      <c r="AK243" s="4263"/>
      <c r="AL243" s="234"/>
      <c r="AM243" s="4253"/>
      <c r="AN243" s="446">
        <f t="shared" si="457"/>
        <v>4623.7000000000007</v>
      </c>
      <c r="AO243" s="4252"/>
      <c r="AP243" s="5907">
        <f t="shared" si="458"/>
        <v>11145.280000000002</v>
      </c>
      <c r="AQ243" s="4263"/>
      <c r="AR243" s="234"/>
      <c r="AS243" s="4252"/>
      <c r="AT243" s="2399">
        <f t="shared" si="466"/>
        <v>11145.280000000002</v>
      </c>
      <c r="AU243" s="4263"/>
      <c r="AV243" s="234"/>
      <c r="AW243" s="4252"/>
      <c r="AX243" s="6193">
        <f t="shared" si="467"/>
        <v>11145.280000000002</v>
      </c>
      <c r="AY243" s="4263"/>
      <c r="AZ243" s="234"/>
      <c r="BA243" s="4253"/>
      <c r="BB243" s="6340">
        <f t="shared" si="459"/>
        <v>0</v>
      </c>
      <c r="BC243" s="4254"/>
      <c r="BD243" s="4200">
        <f t="shared" si="460"/>
        <v>4623.7000000000007</v>
      </c>
      <c r="BE243" s="4252"/>
      <c r="BF243" s="6597">
        <f t="shared" si="468"/>
        <v>11145.280000000002</v>
      </c>
      <c r="BG243" s="4590"/>
      <c r="BH243" s="4590"/>
      <c r="BI243" s="4590"/>
      <c r="BJ243" s="4590"/>
    </row>
    <row r="244" spans="1:62" ht="15.75" hidden="1" customHeight="1" thickBot="1" x14ac:dyDescent="0.3">
      <c r="A244" s="154"/>
      <c r="B244" s="4265" t="s">
        <v>1585</v>
      </c>
      <c r="C244" s="4266" t="s">
        <v>1398</v>
      </c>
      <c r="D244" s="4266"/>
      <c r="E244" s="4267"/>
      <c r="F244" s="2444"/>
      <c r="G244" s="4267"/>
      <c r="H244" s="2444"/>
      <c r="I244" s="4268"/>
      <c r="J244" s="7213">
        <f t="shared" si="461"/>
        <v>0</v>
      </c>
      <c r="K244" s="4267"/>
      <c r="L244" s="2444"/>
      <c r="M244" s="4253"/>
      <c r="N244" s="4125">
        <f t="shared" si="454"/>
        <v>0</v>
      </c>
      <c r="O244" s="4267"/>
      <c r="P244" s="2444"/>
      <c r="Q244" s="4252"/>
      <c r="R244" s="4773">
        <f t="shared" si="462"/>
        <v>0</v>
      </c>
      <c r="S244" s="4267"/>
      <c r="T244" s="2444"/>
      <c r="U244" s="4252"/>
      <c r="V244" s="4890">
        <f t="shared" si="463"/>
        <v>0</v>
      </c>
      <c r="W244" s="4267"/>
      <c r="X244" s="2444"/>
      <c r="Y244" s="4253"/>
      <c r="Z244" s="446">
        <f t="shared" si="455"/>
        <v>0</v>
      </c>
      <c r="AA244" s="4254"/>
      <c r="AB244" s="4157">
        <f t="shared" si="456"/>
        <v>0</v>
      </c>
      <c r="AC244" s="4267"/>
      <c r="AD244" s="2444"/>
      <c r="AE244" s="4252"/>
      <c r="AF244" s="5333">
        <f t="shared" si="464"/>
        <v>0</v>
      </c>
      <c r="AG244" s="4267"/>
      <c r="AH244" s="2444"/>
      <c r="AI244" s="4252"/>
      <c r="AJ244" s="5511">
        <f t="shared" si="465"/>
        <v>0</v>
      </c>
      <c r="AK244" s="4267"/>
      <c r="AL244" s="2444"/>
      <c r="AM244" s="4253"/>
      <c r="AN244" s="446">
        <f t="shared" si="457"/>
        <v>0</v>
      </c>
      <c r="AO244" s="4252"/>
      <c r="AP244" s="5907">
        <f t="shared" si="458"/>
        <v>0</v>
      </c>
      <c r="AQ244" s="4267"/>
      <c r="AR244" s="2444"/>
      <c r="AS244" s="4252"/>
      <c r="AT244" s="2399">
        <f t="shared" si="466"/>
        <v>0</v>
      </c>
      <c r="AU244" s="4267"/>
      <c r="AV244" s="2444"/>
      <c r="AW244" s="4252"/>
      <c r="AX244" s="6193">
        <f t="shared" si="467"/>
        <v>0</v>
      </c>
      <c r="AY244" s="4267"/>
      <c r="AZ244" s="2444"/>
      <c r="BA244" s="4253"/>
      <c r="BB244" s="6340">
        <f t="shared" si="459"/>
        <v>0</v>
      </c>
      <c r="BC244" s="4254"/>
      <c r="BD244" s="4200">
        <f t="shared" si="460"/>
        <v>0</v>
      </c>
      <c r="BE244" s="4252"/>
      <c r="BF244" s="6597">
        <f t="shared" si="468"/>
        <v>0</v>
      </c>
      <c r="BG244" s="4590"/>
      <c r="BH244" s="4590"/>
      <c r="BI244" s="4590"/>
      <c r="BJ244" s="4590"/>
    </row>
    <row r="245" spans="1:62" x14ac:dyDescent="0.25">
      <c r="A245" s="154"/>
      <c r="B245" s="3452" t="s">
        <v>859</v>
      </c>
      <c r="C245" s="4211" t="s">
        <v>876</v>
      </c>
      <c r="D245" s="4211"/>
      <c r="E245" s="4259"/>
      <c r="F245" s="275"/>
      <c r="G245" s="4259"/>
      <c r="H245" s="275">
        <v>1910</v>
      </c>
      <c r="I245" s="4260"/>
      <c r="J245" s="7213">
        <f t="shared" si="461"/>
        <v>1910</v>
      </c>
      <c r="K245" s="4259"/>
      <c r="L245" s="275"/>
      <c r="M245" s="4253"/>
      <c r="N245" s="4125">
        <f t="shared" si="454"/>
        <v>1910</v>
      </c>
      <c r="O245" s="4259"/>
      <c r="P245" s="275">
        <v>3227.0599999999986</v>
      </c>
      <c r="Q245" s="4252"/>
      <c r="R245" s="4773">
        <f t="shared" si="462"/>
        <v>5137.0599999999986</v>
      </c>
      <c r="S245" s="4259"/>
      <c r="T245" s="275">
        <v>2588.8400000000006</v>
      </c>
      <c r="U245" s="4252"/>
      <c r="V245" s="4890">
        <f t="shared" si="463"/>
        <v>7725.9</v>
      </c>
      <c r="W245" s="4259"/>
      <c r="X245" s="275"/>
      <c r="Y245" s="4253"/>
      <c r="Z245" s="446">
        <f t="shared" si="455"/>
        <v>5815.9</v>
      </c>
      <c r="AA245" s="4254"/>
      <c r="AB245" s="4157">
        <f t="shared" si="456"/>
        <v>7725.9</v>
      </c>
      <c r="AC245" s="4259"/>
      <c r="AD245" s="275"/>
      <c r="AE245" s="4252"/>
      <c r="AF245" s="5333">
        <f t="shared" si="464"/>
        <v>7725.9</v>
      </c>
      <c r="AG245" s="4259"/>
      <c r="AH245" s="275">
        <v>78.19</v>
      </c>
      <c r="AI245" s="4252"/>
      <c r="AJ245" s="5511">
        <f t="shared" si="465"/>
        <v>7804.0899999999992</v>
      </c>
      <c r="AK245" s="4259"/>
      <c r="AL245" s="275"/>
      <c r="AM245" s="4253"/>
      <c r="AN245" s="446">
        <f t="shared" si="457"/>
        <v>78.19</v>
      </c>
      <c r="AO245" s="4252"/>
      <c r="AP245" s="5907">
        <f t="shared" si="458"/>
        <v>7804.0899999999992</v>
      </c>
      <c r="AQ245" s="4259"/>
      <c r="AR245" s="275">
        <v>1792.2799999999997</v>
      </c>
      <c r="AS245" s="4252"/>
      <c r="AT245" s="2399">
        <f t="shared" si="466"/>
        <v>9596.369999999999</v>
      </c>
      <c r="AU245" s="4259"/>
      <c r="AV245" s="275"/>
      <c r="AW245" s="4252"/>
      <c r="AX245" s="6193">
        <f t="shared" si="467"/>
        <v>9596.369999999999</v>
      </c>
      <c r="AY245" s="4259"/>
      <c r="AZ245" s="275"/>
      <c r="BA245" s="4253"/>
      <c r="BB245" s="6340">
        <f t="shared" si="459"/>
        <v>1792.2799999999997</v>
      </c>
      <c r="BC245" s="4254"/>
      <c r="BD245" s="4200">
        <f t="shared" si="460"/>
        <v>1870.4699999999998</v>
      </c>
      <c r="BE245" s="4252"/>
      <c r="BF245" s="6597">
        <f t="shared" si="468"/>
        <v>9596.369999999999</v>
      </c>
      <c r="BG245" s="4590"/>
      <c r="BH245" s="4590"/>
      <c r="BI245" s="4590"/>
      <c r="BJ245" s="4590"/>
    </row>
    <row r="246" spans="1:62" x14ac:dyDescent="0.25">
      <c r="A246" s="154"/>
      <c r="B246" s="851" t="s">
        <v>859</v>
      </c>
      <c r="C246" s="4221" t="s">
        <v>885</v>
      </c>
      <c r="D246" s="4221"/>
      <c r="E246" s="4261"/>
      <c r="F246" s="4145"/>
      <c r="G246" s="4261"/>
      <c r="H246" s="7170">
        <v>4479.3000000000011</v>
      </c>
      <c r="I246" s="4262"/>
      <c r="J246" s="7213">
        <f t="shared" si="461"/>
        <v>4479.3000000000011</v>
      </c>
      <c r="K246" s="4261"/>
      <c r="L246" s="4578">
        <v>194.08000000000004</v>
      </c>
      <c r="M246" s="4253"/>
      <c r="N246" s="4125">
        <f t="shared" si="454"/>
        <v>4673.380000000001</v>
      </c>
      <c r="O246" s="4261"/>
      <c r="P246" s="4790">
        <v>1233.05</v>
      </c>
      <c r="Q246" s="4252"/>
      <c r="R246" s="4773">
        <f t="shared" si="462"/>
        <v>5906.4300000000012</v>
      </c>
      <c r="S246" s="4261"/>
      <c r="T246" s="4901">
        <v>1015.11</v>
      </c>
      <c r="U246" s="4252"/>
      <c r="V246" s="4890">
        <f t="shared" si="463"/>
        <v>6921.5400000000009</v>
      </c>
      <c r="W246" s="4261"/>
      <c r="X246" s="5031"/>
      <c r="Y246" s="4253"/>
      <c r="Z246" s="446">
        <f t="shared" si="455"/>
        <v>2248.16</v>
      </c>
      <c r="AA246" s="4254"/>
      <c r="AB246" s="4157">
        <f t="shared" si="456"/>
        <v>6921.5400000000009</v>
      </c>
      <c r="AC246" s="4261"/>
      <c r="AD246" s="5344"/>
      <c r="AE246" s="4252"/>
      <c r="AF246" s="5333">
        <f t="shared" si="464"/>
        <v>6921.5400000000009</v>
      </c>
      <c r="AG246" s="4261"/>
      <c r="AH246" s="5520">
        <v>63.74</v>
      </c>
      <c r="AI246" s="4252"/>
      <c r="AJ246" s="5511">
        <f t="shared" si="465"/>
        <v>6985.2800000000007</v>
      </c>
      <c r="AK246" s="4261"/>
      <c r="AL246" s="5917"/>
      <c r="AM246" s="4253"/>
      <c r="AN246" s="446">
        <f t="shared" si="457"/>
        <v>63.74</v>
      </c>
      <c r="AO246" s="4252"/>
      <c r="AP246" s="5907">
        <f t="shared" si="458"/>
        <v>6985.2800000000007</v>
      </c>
      <c r="AQ246" s="4261"/>
      <c r="AR246" s="6072">
        <v>3819.6399999999994</v>
      </c>
      <c r="AS246" s="4252"/>
      <c r="AT246" s="2399">
        <f t="shared" si="466"/>
        <v>10804.92</v>
      </c>
      <c r="AU246" s="4261"/>
      <c r="AV246" s="6200"/>
      <c r="AW246" s="4252"/>
      <c r="AX246" s="6193">
        <f t="shared" si="467"/>
        <v>10804.92</v>
      </c>
      <c r="AY246" s="4261"/>
      <c r="AZ246" s="6409"/>
      <c r="BA246" s="4253"/>
      <c r="BB246" s="6340">
        <f t="shared" si="459"/>
        <v>3819.6399999999994</v>
      </c>
      <c r="BC246" s="4254"/>
      <c r="BD246" s="4200">
        <f t="shared" si="460"/>
        <v>3883.3799999999992</v>
      </c>
      <c r="BE246" s="4252"/>
      <c r="BF246" s="6597">
        <f t="shared" si="468"/>
        <v>10804.92</v>
      </c>
      <c r="BG246" s="4590"/>
      <c r="BH246" s="4590"/>
      <c r="BI246" s="4590"/>
      <c r="BJ246" s="4590"/>
    </row>
    <row r="247" spans="1:62" ht="15" hidden="1" customHeight="1" x14ac:dyDescent="0.25">
      <c r="A247" s="154"/>
      <c r="B247" s="851" t="s">
        <v>859</v>
      </c>
      <c r="C247" s="4221" t="s">
        <v>1006</v>
      </c>
      <c r="D247" s="4221"/>
      <c r="E247" s="4261"/>
      <c r="F247" s="4145"/>
      <c r="G247" s="4261"/>
      <c r="H247" s="7170"/>
      <c r="I247" s="4262"/>
      <c r="J247" s="7213">
        <f t="shared" si="461"/>
        <v>0</v>
      </c>
      <c r="K247" s="4261"/>
      <c r="L247" s="4578"/>
      <c r="M247" s="4253"/>
      <c r="N247" s="4125">
        <f t="shared" si="454"/>
        <v>0</v>
      </c>
      <c r="O247" s="4261"/>
      <c r="P247" s="4790"/>
      <c r="Q247" s="4252"/>
      <c r="R247" s="4773">
        <f t="shared" si="462"/>
        <v>0</v>
      </c>
      <c r="S247" s="4261"/>
      <c r="T247" s="4901"/>
      <c r="U247" s="4252"/>
      <c r="V247" s="4890">
        <f t="shared" si="463"/>
        <v>0</v>
      </c>
      <c r="W247" s="4261"/>
      <c r="X247" s="5031"/>
      <c r="Y247" s="4253"/>
      <c r="Z247" s="446">
        <f t="shared" si="455"/>
        <v>0</v>
      </c>
      <c r="AA247" s="4254"/>
      <c r="AB247" s="4157">
        <f t="shared" si="456"/>
        <v>0</v>
      </c>
      <c r="AC247" s="4261"/>
      <c r="AD247" s="5344"/>
      <c r="AE247" s="4252"/>
      <c r="AF247" s="5333">
        <f t="shared" si="464"/>
        <v>0</v>
      </c>
      <c r="AG247" s="4261"/>
      <c r="AH247" s="5520"/>
      <c r="AI247" s="4252"/>
      <c r="AJ247" s="5511">
        <f t="shared" si="465"/>
        <v>0</v>
      </c>
      <c r="AK247" s="4261"/>
      <c r="AL247" s="5917"/>
      <c r="AM247" s="4253"/>
      <c r="AN247" s="446">
        <f t="shared" si="457"/>
        <v>0</v>
      </c>
      <c r="AO247" s="4252"/>
      <c r="AP247" s="5907">
        <f t="shared" si="458"/>
        <v>0</v>
      </c>
      <c r="AQ247" s="4261"/>
      <c r="AR247" s="6072"/>
      <c r="AS247" s="4252"/>
      <c r="AT247" s="2399">
        <f t="shared" si="466"/>
        <v>0</v>
      </c>
      <c r="AU247" s="4261"/>
      <c r="AV247" s="6200"/>
      <c r="AW247" s="4252"/>
      <c r="AX247" s="6193">
        <f t="shared" si="467"/>
        <v>0</v>
      </c>
      <c r="AY247" s="4261"/>
      <c r="AZ247" s="6409"/>
      <c r="BA247" s="4253"/>
      <c r="BB247" s="6340">
        <f t="shared" si="459"/>
        <v>0</v>
      </c>
      <c r="BC247" s="4254"/>
      <c r="BD247" s="4200">
        <f t="shared" si="460"/>
        <v>0</v>
      </c>
      <c r="BE247" s="4252"/>
      <c r="BF247" s="6597">
        <f t="shared" si="468"/>
        <v>0</v>
      </c>
      <c r="BG247" s="4590"/>
      <c r="BH247" s="4590"/>
      <c r="BI247" s="4590"/>
      <c r="BJ247" s="4590"/>
    </row>
    <row r="248" spans="1:62" x14ac:dyDescent="0.25">
      <c r="A248" s="154"/>
      <c r="B248" s="851" t="s">
        <v>859</v>
      </c>
      <c r="C248" s="4221" t="s">
        <v>1007</v>
      </c>
      <c r="D248" s="4221"/>
      <c r="E248" s="4261"/>
      <c r="F248" s="4145"/>
      <c r="G248" s="4261"/>
      <c r="H248" s="7170"/>
      <c r="I248" s="4262"/>
      <c r="J248" s="7213">
        <f t="shared" si="461"/>
        <v>0</v>
      </c>
      <c r="K248" s="4261"/>
      <c r="L248" s="4578"/>
      <c r="M248" s="4253"/>
      <c r="N248" s="4125">
        <f t="shared" si="454"/>
        <v>0</v>
      </c>
      <c r="O248" s="4261"/>
      <c r="P248" s="4790">
        <v>752.5</v>
      </c>
      <c r="Q248" s="4252"/>
      <c r="R248" s="4773">
        <f t="shared" si="462"/>
        <v>752.5</v>
      </c>
      <c r="S248" s="4261"/>
      <c r="T248" s="4901"/>
      <c r="U248" s="4252"/>
      <c r="V248" s="4890">
        <f t="shared" si="463"/>
        <v>752.5</v>
      </c>
      <c r="W248" s="4261"/>
      <c r="X248" s="5031">
        <v>23.87</v>
      </c>
      <c r="Y248" s="4253"/>
      <c r="Z248" s="446">
        <f t="shared" si="455"/>
        <v>776.37</v>
      </c>
      <c r="AA248" s="4254"/>
      <c r="AB248" s="4157">
        <f t="shared" si="456"/>
        <v>776.37</v>
      </c>
      <c r="AC248" s="4261"/>
      <c r="AD248" s="5344"/>
      <c r="AE248" s="4252"/>
      <c r="AF248" s="5333">
        <f t="shared" si="464"/>
        <v>776.37</v>
      </c>
      <c r="AG248" s="4261"/>
      <c r="AH248" s="5520"/>
      <c r="AI248" s="4252"/>
      <c r="AJ248" s="5511">
        <f t="shared" si="465"/>
        <v>776.37</v>
      </c>
      <c r="AK248" s="4261"/>
      <c r="AL248" s="5917"/>
      <c r="AM248" s="4253"/>
      <c r="AN248" s="446">
        <f t="shared" si="457"/>
        <v>0</v>
      </c>
      <c r="AO248" s="4252"/>
      <c r="AP248" s="5907">
        <f t="shared" si="458"/>
        <v>776.37</v>
      </c>
      <c r="AQ248" s="4261"/>
      <c r="AR248" s="6072">
        <v>750.72</v>
      </c>
      <c r="AS248" s="4252"/>
      <c r="AT248" s="2399">
        <f t="shared" si="466"/>
        <v>1527.0900000000001</v>
      </c>
      <c r="AU248" s="4261"/>
      <c r="AV248" s="6200"/>
      <c r="AW248" s="4252"/>
      <c r="AX248" s="6193">
        <f t="shared" si="467"/>
        <v>1527.0900000000001</v>
      </c>
      <c r="AY248" s="4261"/>
      <c r="AZ248" s="6409">
        <v>66.7</v>
      </c>
      <c r="BA248" s="4253"/>
      <c r="BB248" s="6340">
        <f t="shared" si="459"/>
        <v>817.42000000000007</v>
      </c>
      <c r="BC248" s="4254"/>
      <c r="BD248" s="4200">
        <f t="shared" si="460"/>
        <v>817.42000000000007</v>
      </c>
      <c r="BE248" s="4252"/>
      <c r="BF248" s="6597">
        <f t="shared" si="468"/>
        <v>1593.7900000000002</v>
      </c>
      <c r="BG248" s="4590"/>
      <c r="BH248" s="4590"/>
      <c r="BI248" s="4590"/>
      <c r="BJ248" s="4590"/>
    </row>
    <row r="249" spans="1:62" ht="15.75" thickBot="1" x14ac:dyDescent="0.3">
      <c r="A249" s="154"/>
      <c r="B249" s="3456" t="s">
        <v>859</v>
      </c>
      <c r="C249" s="4215" t="s">
        <v>1151</v>
      </c>
      <c r="D249" s="4215"/>
      <c r="E249" s="4263"/>
      <c r="F249" s="234"/>
      <c r="G249" s="4263"/>
      <c r="H249" s="234"/>
      <c r="I249" s="4264"/>
      <c r="J249" s="7213">
        <f t="shared" si="461"/>
        <v>0</v>
      </c>
      <c r="K249" s="4263"/>
      <c r="L249" s="234"/>
      <c r="M249" s="4253"/>
      <c r="N249" s="4125">
        <f t="shared" si="454"/>
        <v>0</v>
      </c>
      <c r="O249" s="4263"/>
      <c r="P249" s="234">
        <v>170.32999999999998</v>
      </c>
      <c r="Q249" s="4252"/>
      <c r="R249" s="4773">
        <f t="shared" si="462"/>
        <v>170.32999999999998</v>
      </c>
      <c r="S249" s="4263"/>
      <c r="T249" s="234"/>
      <c r="U249" s="4252"/>
      <c r="V249" s="4890">
        <f t="shared" si="463"/>
        <v>170.32999999999998</v>
      </c>
      <c r="W249" s="4263"/>
      <c r="X249" s="234"/>
      <c r="Y249" s="4253"/>
      <c r="Z249" s="446">
        <f t="shared" si="455"/>
        <v>170.32999999999998</v>
      </c>
      <c r="AA249" s="4254"/>
      <c r="AB249" s="4157">
        <f t="shared" si="456"/>
        <v>170.32999999999998</v>
      </c>
      <c r="AC249" s="4263"/>
      <c r="AD249" s="234"/>
      <c r="AE249" s="4252"/>
      <c r="AF249" s="5333">
        <f t="shared" si="464"/>
        <v>170.32999999999998</v>
      </c>
      <c r="AG249" s="4263"/>
      <c r="AH249" s="234"/>
      <c r="AI249" s="4252"/>
      <c r="AJ249" s="5511">
        <f t="shared" si="465"/>
        <v>170.32999999999998</v>
      </c>
      <c r="AK249" s="4263"/>
      <c r="AL249" s="234"/>
      <c r="AM249" s="4253"/>
      <c r="AN249" s="446">
        <f t="shared" si="457"/>
        <v>0</v>
      </c>
      <c r="AO249" s="4252"/>
      <c r="AP249" s="5907">
        <f t="shared" si="458"/>
        <v>170.32999999999998</v>
      </c>
      <c r="AQ249" s="4263"/>
      <c r="AR249" s="234"/>
      <c r="AS249" s="4252"/>
      <c r="AT249" s="2399">
        <f t="shared" si="466"/>
        <v>170.32999999999998</v>
      </c>
      <c r="AU249" s="4263"/>
      <c r="AV249" s="234"/>
      <c r="AW249" s="4252"/>
      <c r="AX249" s="6193">
        <f t="shared" si="467"/>
        <v>170.32999999999998</v>
      </c>
      <c r="AY249" s="4263"/>
      <c r="AZ249" s="234"/>
      <c r="BA249" s="4253"/>
      <c r="BB249" s="6340">
        <f t="shared" si="459"/>
        <v>0</v>
      </c>
      <c r="BC249" s="4254"/>
      <c r="BD249" s="4200">
        <f t="shared" si="460"/>
        <v>0</v>
      </c>
      <c r="BE249" s="4252"/>
      <c r="BF249" s="6597">
        <f t="shared" si="468"/>
        <v>170.32999999999998</v>
      </c>
      <c r="BG249" s="4590"/>
      <c r="BH249" s="4590"/>
      <c r="BI249" s="4590"/>
      <c r="BJ249" s="4590"/>
    </row>
    <row r="250" spans="1:62" x14ac:dyDescent="0.25">
      <c r="A250" s="154"/>
      <c r="B250" s="4269" t="s">
        <v>860</v>
      </c>
      <c r="C250" s="4218" t="s">
        <v>876</v>
      </c>
      <c r="D250" s="4218"/>
      <c r="E250" s="4151"/>
      <c r="F250" s="1309">
        <v>2609.8000000000002</v>
      </c>
      <c r="G250" s="5527"/>
      <c r="H250" s="6405">
        <v>2898.2400000000007</v>
      </c>
      <c r="I250" s="4270"/>
      <c r="J250" s="7213">
        <f t="shared" si="461"/>
        <v>5508.0400000000009</v>
      </c>
      <c r="K250" s="4580"/>
      <c r="L250" s="4570">
        <v>3435.2299999999996</v>
      </c>
      <c r="M250" s="446"/>
      <c r="N250" s="4125">
        <f t="shared" si="454"/>
        <v>8943.27</v>
      </c>
      <c r="O250" s="4799"/>
      <c r="P250" s="4772">
        <v>10426.940000000002</v>
      </c>
      <c r="Q250" s="367"/>
      <c r="R250" s="4773">
        <f t="shared" si="462"/>
        <v>19370.210000000003</v>
      </c>
      <c r="S250" s="4906"/>
      <c r="T250" s="4881">
        <v>10751.260000000002</v>
      </c>
      <c r="U250" s="367"/>
      <c r="V250" s="4890">
        <f t="shared" si="463"/>
        <v>30121.470000000005</v>
      </c>
      <c r="W250" s="5036"/>
      <c r="X250" s="5022">
        <v>8107.7900000000018</v>
      </c>
      <c r="Y250" s="446"/>
      <c r="Z250" s="446">
        <f t="shared" si="455"/>
        <v>29285.990000000005</v>
      </c>
      <c r="AA250" s="4271"/>
      <c r="AB250" s="4157">
        <f t="shared" si="456"/>
        <v>38229.260000000009</v>
      </c>
      <c r="AC250" s="5352"/>
      <c r="AD250" s="5332">
        <v>1664.46</v>
      </c>
      <c r="AE250" s="367"/>
      <c r="AF250" s="5333">
        <f t="shared" si="464"/>
        <v>39893.720000000008</v>
      </c>
      <c r="AG250" s="5527"/>
      <c r="AH250" s="5506">
        <v>3044.6000000000004</v>
      </c>
      <c r="AI250" s="367"/>
      <c r="AJ250" s="5511">
        <f t="shared" si="465"/>
        <v>42938.320000000007</v>
      </c>
      <c r="AK250" s="5527"/>
      <c r="AL250" s="5906">
        <v>1882.89</v>
      </c>
      <c r="AM250" s="446"/>
      <c r="AN250" s="446">
        <f t="shared" si="457"/>
        <v>6591.9500000000007</v>
      </c>
      <c r="AO250" s="367"/>
      <c r="AP250" s="5907">
        <f t="shared" si="458"/>
        <v>44821.210000000006</v>
      </c>
      <c r="AQ250" s="5527"/>
      <c r="AR250" s="6062">
        <v>2432.6799999999994</v>
      </c>
      <c r="AS250" s="367"/>
      <c r="AT250" s="2399">
        <f t="shared" si="466"/>
        <v>47253.890000000007</v>
      </c>
      <c r="AU250" s="5527"/>
      <c r="AV250" s="6187">
        <v>6228.5399999999981</v>
      </c>
      <c r="AW250" s="367"/>
      <c r="AX250" s="6193">
        <f t="shared" si="467"/>
        <v>53482.430000000008</v>
      </c>
      <c r="AY250" s="5527"/>
      <c r="AZ250" s="6405">
        <v>5170.2799999999988</v>
      </c>
      <c r="BA250" s="446"/>
      <c r="BB250" s="6340">
        <f t="shared" si="459"/>
        <v>13831.499999999996</v>
      </c>
      <c r="BC250" s="4271"/>
      <c r="BD250" s="4200">
        <f t="shared" si="460"/>
        <v>20423.449999999997</v>
      </c>
      <c r="BE250" s="367"/>
      <c r="BF250" s="6597">
        <f t="shared" si="468"/>
        <v>58652.710000000006</v>
      </c>
      <c r="BG250" s="4590"/>
      <c r="BH250" s="4590"/>
      <c r="BI250" s="4590"/>
      <c r="BJ250" s="4590"/>
    </row>
    <row r="251" spans="1:62" x14ac:dyDescent="0.25">
      <c r="A251" s="154"/>
      <c r="B251" s="4250" t="s">
        <v>860</v>
      </c>
      <c r="C251" s="4212" t="s">
        <v>885</v>
      </c>
      <c r="D251" s="4212"/>
      <c r="E251" s="397"/>
      <c r="F251" s="2400">
        <v>8887.68</v>
      </c>
      <c r="G251" s="397"/>
      <c r="H251" s="7166">
        <v>2634.16</v>
      </c>
      <c r="I251" s="367"/>
      <c r="J251" s="7213">
        <f t="shared" si="461"/>
        <v>11521.84</v>
      </c>
      <c r="K251" s="397"/>
      <c r="L251" s="1971"/>
      <c r="M251" s="446"/>
      <c r="N251" s="4125">
        <f t="shared" si="454"/>
        <v>11521.84</v>
      </c>
      <c r="O251" s="397"/>
      <c r="P251" s="4822">
        <v>6652.66</v>
      </c>
      <c r="Q251" s="367"/>
      <c r="R251" s="4773">
        <f t="shared" si="462"/>
        <v>18174.5</v>
      </c>
      <c r="S251" s="397"/>
      <c r="T251" s="4889">
        <v>3915.7400000000011</v>
      </c>
      <c r="U251" s="367"/>
      <c r="V251" s="4890">
        <f t="shared" si="463"/>
        <v>22090.240000000002</v>
      </c>
      <c r="W251" s="397"/>
      <c r="X251" s="5026">
        <v>2033.5399999999997</v>
      </c>
      <c r="Y251" s="446"/>
      <c r="Z251" s="446">
        <f t="shared" si="455"/>
        <v>12601.94</v>
      </c>
      <c r="AA251" s="4271"/>
      <c r="AB251" s="4157">
        <f t="shared" si="456"/>
        <v>24123.78</v>
      </c>
      <c r="AC251" s="397"/>
      <c r="AD251" s="5337">
        <v>688.44</v>
      </c>
      <c r="AE251" s="367"/>
      <c r="AF251" s="5333">
        <f t="shared" si="464"/>
        <v>24812.219999999998</v>
      </c>
      <c r="AG251" s="397"/>
      <c r="AH251" s="5510">
        <v>744.72</v>
      </c>
      <c r="AI251" s="367"/>
      <c r="AJ251" s="5511">
        <f t="shared" si="465"/>
        <v>25556.94</v>
      </c>
      <c r="AK251" s="397"/>
      <c r="AL251" s="5911">
        <v>6650.8600000000015</v>
      </c>
      <c r="AM251" s="446"/>
      <c r="AN251" s="446">
        <f t="shared" si="457"/>
        <v>8084.0200000000013</v>
      </c>
      <c r="AO251" s="367"/>
      <c r="AP251" s="5907">
        <f t="shared" si="458"/>
        <v>32207.8</v>
      </c>
      <c r="AQ251" s="397"/>
      <c r="AR251" s="6066">
        <v>5250.4900000000025</v>
      </c>
      <c r="AS251" s="367"/>
      <c r="AT251" s="2399">
        <f t="shared" si="466"/>
        <v>37458.29</v>
      </c>
      <c r="AU251" s="397"/>
      <c r="AV251" s="6189">
        <v>5634.82</v>
      </c>
      <c r="AW251" s="367"/>
      <c r="AX251" s="6193">
        <f t="shared" si="467"/>
        <v>43093.11</v>
      </c>
      <c r="AY251" s="397"/>
      <c r="AZ251" s="6401">
        <v>11073.86</v>
      </c>
      <c r="BA251" s="446"/>
      <c r="BB251" s="6340">
        <f t="shared" si="459"/>
        <v>21959.170000000002</v>
      </c>
      <c r="BC251" s="4271"/>
      <c r="BD251" s="4200">
        <f t="shared" si="460"/>
        <v>30043.190000000002</v>
      </c>
      <c r="BE251" s="367"/>
      <c r="BF251" s="6597">
        <f t="shared" si="468"/>
        <v>54166.97</v>
      </c>
      <c r="BG251" s="4590"/>
      <c r="BH251" s="4590"/>
      <c r="BI251" s="4590"/>
      <c r="BJ251" s="4590"/>
    </row>
    <row r="252" spans="1:62" x14ac:dyDescent="0.25">
      <c r="A252" s="154"/>
      <c r="B252" s="4250" t="s">
        <v>860</v>
      </c>
      <c r="C252" s="4212" t="s">
        <v>1151</v>
      </c>
      <c r="D252" s="4212"/>
      <c r="E252" s="4251"/>
      <c r="F252" s="2400">
        <v>14131.059999999992</v>
      </c>
      <c r="G252" s="4251"/>
      <c r="H252" s="7166">
        <v>6163.3799999999992</v>
      </c>
      <c r="I252" s="4252"/>
      <c r="J252" s="7213">
        <f t="shared" si="461"/>
        <v>20294.439999999991</v>
      </c>
      <c r="K252" s="4251"/>
      <c r="L252" s="4574">
        <v>8021.2599999999993</v>
      </c>
      <c r="M252" s="4253"/>
      <c r="N252" s="4125">
        <f t="shared" si="454"/>
        <v>28315.69999999999</v>
      </c>
      <c r="O252" s="4251"/>
      <c r="P252" s="4778">
        <v>6567.83</v>
      </c>
      <c r="Q252" s="4252"/>
      <c r="R252" s="4773">
        <f t="shared" si="462"/>
        <v>34883.529999999992</v>
      </c>
      <c r="S252" s="4251"/>
      <c r="T252" s="4889">
        <v>7894.5399999999991</v>
      </c>
      <c r="U252" s="4252"/>
      <c r="V252" s="4890">
        <f t="shared" si="463"/>
        <v>42778.069999999992</v>
      </c>
      <c r="W252" s="4251"/>
      <c r="X252" s="5026">
        <v>9974.5899999999965</v>
      </c>
      <c r="Y252" s="4253"/>
      <c r="Z252" s="446">
        <f t="shared" si="455"/>
        <v>24436.959999999995</v>
      </c>
      <c r="AA252" s="4254"/>
      <c r="AB252" s="4157">
        <f t="shared" si="456"/>
        <v>52752.659999999989</v>
      </c>
      <c r="AC252" s="4251"/>
      <c r="AD252" s="5337">
        <v>7111.8199999999988</v>
      </c>
      <c r="AE252" s="4252"/>
      <c r="AF252" s="5333">
        <f t="shared" si="464"/>
        <v>59864.479999999989</v>
      </c>
      <c r="AG252" s="4251"/>
      <c r="AH252" s="5510">
        <v>3798.27</v>
      </c>
      <c r="AI252" s="4252"/>
      <c r="AJ252" s="5511">
        <f t="shared" si="465"/>
        <v>63662.749999999985</v>
      </c>
      <c r="AK252" s="4251"/>
      <c r="AL252" s="5911">
        <v>9699.6000000000022</v>
      </c>
      <c r="AM252" s="4253"/>
      <c r="AN252" s="446">
        <f t="shared" si="457"/>
        <v>20609.690000000002</v>
      </c>
      <c r="AO252" s="4252"/>
      <c r="AP252" s="5907">
        <f t="shared" si="458"/>
        <v>73362.349999999991</v>
      </c>
      <c r="AQ252" s="4251"/>
      <c r="AR252" s="6066">
        <v>11362.95</v>
      </c>
      <c r="AS252" s="4252"/>
      <c r="AT252" s="2399">
        <f t="shared" si="466"/>
        <v>84725.299999999988</v>
      </c>
      <c r="AU252" s="4251"/>
      <c r="AV252" s="6189">
        <v>12260.820000000003</v>
      </c>
      <c r="AW252" s="4252"/>
      <c r="AX252" s="6193">
        <f t="shared" si="467"/>
        <v>96986.12</v>
      </c>
      <c r="AY252" s="4251"/>
      <c r="AZ252" s="6401">
        <v>12275.069999999996</v>
      </c>
      <c r="BA252" s="4253"/>
      <c r="BB252" s="6340">
        <f t="shared" si="459"/>
        <v>35898.839999999997</v>
      </c>
      <c r="BC252" s="4254"/>
      <c r="BD252" s="4200">
        <f t="shared" si="460"/>
        <v>56508.53</v>
      </c>
      <c r="BE252" s="4252"/>
      <c r="BF252" s="6597">
        <f t="shared" si="468"/>
        <v>109261.18999999999</v>
      </c>
      <c r="BG252" s="4590"/>
      <c r="BH252" s="4590"/>
      <c r="BI252" s="4590"/>
      <c r="BJ252" s="4590"/>
    </row>
    <row r="253" spans="1:62" x14ac:dyDescent="0.25">
      <c r="A253" s="154"/>
      <c r="B253" s="4250" t="s">
        <v>860</v>
      </c>
      <c r="C253" s="4212" t="s">
        <v>1006</v>
      </c>
      <c r="D253" s="4212"/>
      <c r="E253" s="4251"/>
      <c r="F253" s="2400"/>
      <c r="G253" s="4251"/>
      <c r="H253" s="7166"/>
      <c r="I253" s="4252"/>
      <c r="J253" s="7213">
        <f t="shared" si="461"/>
        <v>0</v>
      </c>
      <c r="K253" s="4251"/>
      <c r="L253" s="4574"/>
      <c r="M253" s="4253"/>
      <c r="N253" s="4125">
        <f t="shared" si="454"/>
        <v>0</v>
      </c>
      <c r="O253" s="4251"/>
      <c r="P253" s="4778"/>
      <c r="Q253" s="4252"/>
      <c r="R253" s="4773">
        <f t="shared" si="462"/>
        <v>0</v>
      </c>
      <c r="S253" s="4251"/>
      <c r="T253" s="4889"/>
      <c r="U253" s="4252"/>
      <c r="V253" s="4890">
        <f t="shared" si="463"/>
        <v>0</v>
      </c>
      <c r="W253" s="4251"/>
      <c r="X253" s="5026"/>
      <c r="Y253" s="4253"/>
      <c r="Z253" s="446">
        <f t="shared" si="455"/>
        <v>0</v>
      </c>
      <c r="AA253" s="4254"/>
      <c r="AB253" s="4157">
        <f t="shared" si="456"/>
        <v>0</v>
      </c>
      <c r="AC253" s="4251"/>
      <c r="AD253" s="5337"/>
      <c r="AE253" s="4252"/>
      <c r="AF253" s="5333">
        <f t="shared" si="464"/>
        <v>0</v>
      </c>
      <c r="AG253" s="4251"/>
      <c r="AH253" s="5510">
        <v>978.90000000000009</v>
      </c>
      <c r="AI253" s="4252"/>
      <c r="AJ253" s="5511">
        <f t="shared" si="465"/>
        <v>978.90000000000009</v>
      </c>
      <c r="AK253" s="4251"/>
      <c r="AL253" s="5911"/>
      <c r="AM253" s="4253"/>
      <c r="AN253" s="446">
        <f t="shared" si="457"/>
        <v>978.90000000000009</v>
      </c>
      <c r="AO253" s="4252"/>
      <c r="AP253" s="5907">
        <f t="shared" si="458"/>
        <v>978.90000000000009</v>
      </c>
      <c r="AQ253" s="4251"/>
      <c r="AR253" s="6066"/>
      <c r="AS253" s="4252"/>
      <c r="AT253" s="2399">
        <f t="shared" si="466"/>
        <v>978.90000000000009</v>
      </c>
      <c r="AU253" s="4251"/>
      <c r="AV253" s="6189">
        <v>1034.1999999999998</v>
      </c>
      <c r="AW253" s="4252"/>
      <c r="AX253" s="6193">
        <f t="shared" si="467"/>
        <v>2013.1</v>
      </c>
      <c r="AY253" s="4251"/>
      <c r="AZ253" s="6401">
        <v>127.24</v>
      </c>
      <c r="BA253" s="4253"/>
      <c r="BB253" s="6340">
        <f t="shared" si="459"/>
        <v>1161.4399999999998</v>
      </c>
      <c r="BC253" s="4254"/>
      <c r="BD253" s="4200">
        <f t="shared" si="460"/>
        <v>2140.34</v>
      </c>
      <c r="BE253" s="4252"/>
      <c r="BF253" s="6597">
        <f t="shared" si="468"/>
        <v>2140.3399999999997</v>
      </c>
      <c r="BG253" s="4590"/>
      <c r="BH253" s="4590"/>
      <c r="BI253" s="4590"/>
      <c r="BJ253" s="4590"/>
    </row>
    <row r="254" spans="1:62" x14ac:dyDescent="0.25">
      <c r="A254" s="154"/>
      <c r="B254" s="4250" t="s">
        <v>860</v>
      </c>
      <c r="C254" s="4212" t="s">
        <v>1007</v>
      </c>
      <c r="D254" s="4212"/>
      <c r="E254" s="4251"/>
      <c r="F254" s="2400">
        <v>883.94</v>
      </c>
      <c r="G254" s="4251"/>
      <c r="H254" s="7166">
        <v>304.10000000000002</v>
      </c>
      <c r="I254" s="4252"/>
      <c r="J254" s="7213">
        <f t="shared" si="461"/>
        <v>1188.04</v>
      </c>
      <c r="K254" s="4251"/>
      <c r="L254" s="4574"/>
      <c r="M254" s="4253"/>
      <c r="N254" s="4125">
        <f t="shared" si="454"/>
        <v>1188.04</v>
      </c>
      <c r="O254" s="4251"/>
      <c r="P254" s="4778">
        <v>1392.94</v>
      </c>
      <c r="Q254" s="4252"/>
      <c r="R254" s="4773">
        <f t="shared" si="462"/>
        <v>2580.98</v>
      </c>
      <c r="S254" s="4251"/>
      <c r="T254" s="4889"/>
      <c r="U254" s="4252"/>
      <c r="V254" s="4890">
        <f t="shared" si="463"/>
        <v>2580.98</v>
      </c>
      <c r="W254" s="4251"/>
      <c r="X254" s="5026">
        <v>251.12</v>
      </c>
      <c r="Y254" s="4253"/>
      <c r="Z254" s="446">
        <f t="shared" si="455"/>
        <v>1644.06</v>
      </c>
      <c r="AA254" s="4254"/>
      <c r="AB254" s="4157">
        <f t="shared" si="456"/>
        <v>2832.1</v>
      </c>
      <c r="AC254" s="4251"/>
      <c r="AD254" s="5337"/>
      <c r="AE254" s="4252"/>
      <c r="AF254" s="5333">
        <f t="shared" si="464"/>
        <v>2832.1</v>
      </c>
      <c r="AG254" s="4251"/>
      <c r="AH254" s="5510"/>
      <c r="AI254" s="4252"/>
      <c r="AJ254" s="5511">
        <f t="shared" si="465"/>
        <v>2832.1</v>
      </c>
      <c r="AK254" s="4251"/>
      <c r="AL254" s="5911"/>
      <c r="AM254" s="4253"/>
      <c r="AN254" s="446">
        <f t="shared" si="457"/>
        <v>0</v>
      </c>
      <c r="AO254" s="4252"/>
      <c r="AP254" s="5907">
        <f t="shared" si="458"/>
        <v>2832.1</v>
      </c>
      <c r="AQ254" s="4251"/>
      <c r="AR254" s="6066"/>
      <c r="AS254" s="4252"/>
      <c r="AT254" s="2399">
        <f t="shared" si="466"/>
        <v>2832.1</v>
      </c>
      <c r="AU254" s="4251"/>
      <c r="AV254" s="6189">
        <v>1620.3600000000001</v>
      </c>
      <c r="AW254" s="4252"/>
      <c r="AX254" s="6193">
        <f t="shared" si="467"/>
        <v>4452.46</v>
      </c>
      <c r="AY254" s="4251"/>
      <c r="AZ254" s="6401"/>
      <c r="BA254" s="4253"/>
      <c r="BB254" s="6340">
        <f t="shared" si="459"/>
        <v>1620.3600000000001</v>
      </c>
      <c r="BC254" s="4254"/>
      <c r="BD254" s="4200">
        <f t="shared" si="460"/>
        <v>1620.3600000000001</v>
      </c>
      <c r="BE254" s="4252"/>
      <c r="BF254" s="6597">
        <f t="shared" si="468"/>
        <v>4452.46</v>
      </c>
      <c r="BG254" s="4590"/>
      <c r="BH254" s="4590"/>
      <c r="BI254" s="4590"/>
      <c r="BJ254" s="4590"/>
    </row>
    <row r="255" spans="1:62" ht="15.75" thickBot="1" x14ac:dyDescent="0.3">
      <c r="A255" s="154"/>
      <c r="B255" s="4255" t="s">
        <v>860</v>
      </c>
      <c r="C255" s="4256" t="s">
        <v>1398</v>
      </c>
      <c r="D255" s="4256"/>
      <c r="E255" s="4257"/>
      <c r="F255" s="3516"/>
      <c r="G255" s="4257"/>
      <c r="H255" s="3516"/>
      <c r="I255" s="4258"/>
      <c r="J255" s="7213">
        <f t="shared" si="461"/>
        <v>0</v>
      </c>
      <c r="K255" s="4257"/>
      <c r="L255" s="3516"/>
      <c r="M255" s="4253"/>
      <c r="N255" s="4568">
        <f t="shared" si="454"/>
        <v>0</v>
      </c>
      <c r="O255" s="4257"/>
      <c r="P255" s="3516"/>
      <c r="Q255" s="4252"/>
      <c r="R255" s="4773">
        <f t="shared" si="462"/>
        <v>0</v>
      </c>
      <c r="S255" s="4257"/>
      <c r="T255" s="3516"/>
      <c r="U255" s="4252"/>
      <c r="V255" s="4890">
        <f t="shared" si="463"/>
        <v>0</v>
      </c>
      <c r="W255" s="4257"/>
      <c r="X255" s="3516"/>
      <c r="Y255" s="4253"/>
      <c r="Z255" s="446">
        <f t="shared" si="455"/>
        <v>0</v>
      </c>
      <c r="AA255" s="4254"/>
      <c r="AB255" s="5021">
        <f t="shared" si="456"/>
        <v>0</v>
      </c>
      <c r="AC255" s="4257"/>
      <c r="AD255" s="3516"/>
      <c r="AE255" s="4252"/>
      <c r="AF255" s="5333">
        <f t="shared" si="464"/>
        <v>0</v>
      </c>
      <c r="AG255" s="4257"/>
      <c r="AH255" s="3516"/>
      <c r="AI255" s="4252"/>
      <c r="AJ255" s="5511">
        <f t="shared" si="465"/>
        <v>0</v>
      </c>
      <c r="AK255" s="4257"/>
      <c r="AL255" s="3516"/>
      <c r="AM255" s="4253"/>
      <c r="AN255" s="446">
        <f t="shared" si="457"/>
        <v>0</v>
      </c>
      <c r="AO255" s="4252"/>
      <c r="AP255" s="5907">
        <f t="shared" si="458"/>
        <v>0</v>
      </c>
      <c r="AQ255" s="4257"/>
      <c r="AR255" s="3516"/>
      <c r="AS255" s="4252"/>
      <c r="AT255" s="2399">
        <f t="shared" si="466"/>
        <v>0</v>
      </c>
      <c r="AU255" s="4257"/>
      <c r="AV255" s="3516"/>
      <c r="AW255" s="4252"/>
      <c r="AX255" s="6193">
        <f t="shared" si="467"/>
        <v>0</v>
      </c>
      <c r="AY255" s="4257"/>
      <c r="AZ255" s="3516"/>
      <c r="BA255" s="4253"/>
      <c r="BB255" s="6340">
        <f t="shared" si="459"/>
        <v>0</v>
      </c>
      <c r="BC255" s="4254"/>
      <c r="BD255" s="4200">
        <f t="shared" si="460"/>
        <v>0</v>
      </c>
      <c r="BE255" s="4252"/>
      <c r="BF255" s="6597">
        <f t="shared" si="468"/>
        <v>0</v>
      </c>
      <c r="BG255" s="4590"/>
      <c r="BH255" s="4590"/>
      <c r="BI255" s="4590"/>
      <c r="BJ255" s="4590"/>
    </row>
    <row r="256" spans="1:62" x14ac:dyDescent="0.25">
      <c r="A256" s="154"/>
      <c r="B256" s="3452" t="s">
        <v>861</v>
      </c>
      <c r="C256" s="4211" t="s">
        <v>876</v>
      </c>
      <c r="D256" s="4211"/>
      <c r="E256" s="4259"/>
      <c r="F256" s="275"/>
      <c r="G256" s="4259"/>
      <c r="H256" s="275">
        <v>5044.369999999999</v>
      </c>
      <c r="I256" s="4260"/>
      <c r="J256" s="7213">
        <f t="shared" si="461"/>
        <v>5044.369999999999</v>
      </c>
      <c r="K256" s="4259"/>
      <c r="L256" s="275">
        <v>3279.6099999999997</v>
      </c>
      <c r="M256" s="4253"/>
      <c r="N256" s="4568">
        <f t="shared" si="454"/>
        <v>8323.98</v>
      </c>
      <c r="O256" s="4259"/>
      <c r="P256" s="275">
        <v>6966.64</v>
      </c>
      <c r="Q256" s="4252"/>
      <c r="R256" s="4773">
        <f t="shared" si="462"/>
        <v>15290.619999999999</v>
      </c>
      <c r="S256" s="4259"/>
      <c r="T256" s="275">
        <v>7378.7300000000014</v>
      </c>
      <c r="U256" s="4252"/>
      <c r="V256" s="4890">
        <f t="shared" si="463"/>
        <v>22669.35</v>
      </c>
      <c r="W256" s="4259"/>
      <c r="X256" s="275">
        <v>5465.0200000000013</v>
      </c>
      <c r="Y256" s="4253"/>
      <c r="Z256" s="446">
        <f t="shared" si="455"/>
        <v>19810.390000000003</v>
      </c>
      <c r="AA256" s="4254"/>
      <c r="AB256" s="4157">
        <f t="shared" si="456"/>
        <v>28134.370000000003</v>
      </c>
      <c r="AC256" s="4259"/>
      <c r="AD256" s="275">
        <v>2033.9599999999991</v>
      </c>
      <c r="AE256" s="4252"/>
      <c r="AF256" s="5333">
        <f t="shared" si="464"/>
        <v>30168.33</v>
      </c>
      <c r="AG256" s="4259"/>
      <c r="AH256" s="275">
        <v>57.82</v>
      </c>
      <c r="AI256" s="4252"/>
      <c r="AJ256" s="5511">
        <f t="shared" si="465"/>
        <v>30226.15</v>
      </c>
      <c r="AK256" s="4259"/>
      <c r="AL256" s="275">
        <v>3863.8500000000004</v>
      </c>
      <c r="AM256" s="4253"/>
      <c r="AN256" s="446">
        <f t="shared" si="457"/>
        <v>5955.6299999999992</v>
      </c>
      <c r="AO256" s="4252"/>
      <c r="AP256" s="5907">
        <f t="shared" si="458"/>
        <v>34090</v>
      </c>
      <c r="AQ256" s="4259"/>
      <c r="AR256" s="275">
        <v>2458.8399999999997</v>
      </c>
      <c r="AS256" s="4252"/>
      <c r="AT256" s="2399">
        <f t="shared" si="466"/>
        <v>36548.839999999997</v>
      </c>
      <c r="AU256" s="4259"/>
      <c r="AV256" s="275">
        <v>4053.6099999999997</v>
      </c>
      <c r="AW256" s="4252"/>
      <c r="AX256" s="6193">
        <f t="shared" si="467"/>
        <v>40602.449999999997</v>
      </c>
      <c r="AY256" s="4259"/>
      <c r="AZ256" s="275">
        <v>2934.5399999999995</v>
      </c>
      <c r="BA256" s="4253"/>
      <c r="BB256" s="6340">
        <f t="shared" si="459"/>
        <v>9446.989999999998</v>
      </c>
      <c r="BC256" s="4254"/>
      <c r="BD256" s="4200">
        <f t="shared" si="460"/>
        <v>15402.619999999997</v>
      </c>
      <c r="BE256" s="4252"/>
      <c r="BF256" s="6597">
        <f t="shared" si="468"/>
        <v>43536.99</v>
      </c>
      <c r="BG256" s="4590"/>
      <c r="BH256" s="4590"/>
      <c r="BI256" s="4590"/>
      <c r="BJ256" s="4590"/>
    </row>
    <row r="257" spans="1:62" x14ac:dyDescent="0.25">
      <c r="A257" s="93"/>
      <c r="B257" s="851" t="s">
        <v>861</v>
      </c>
      <c r="C257" s="4221" t="s">
        <v>885</v>
      </c>
      <c r="D257" s="4221"/>
      <c r="E257" s="4261"/>
      <c r="F257" s="4145">
        <v>1950.9600000000003</v>
      </c>
      <c r="G257" s="4261"/>
      <c r="H257" s="7170">
        <v>5315.61</v>
      </c>
      <c r="I257" s="4262"/>
      <c r="J257" s="7213">
        <f t="shared" si="461"/>
        <v>7266.57</v>
      </c>
      <c r="K257" s="4261"/>
      <c r="L257" s="4578">
        <v>1171.1399999999999</v>
      </c>
      <c r="M257" s="4253"/>
      <c r="N257" s="4568">
        <f t="shared" si="454"/>
        <v>8437.7099999999991</v>
      </c>
      <c r="O257" s="4261"/>
      <c r="P257" s="4790">
        <v>4544.5600000000004</v>
      </c>
      <c r="Q257" s="4252"/>
      <c r="R257" s="4773">
        <f t="shared" si="462"/>
        <v>12982.27</v>
      </c>
      <c r="S257" s="4261"/>
      <c r="T257" s="4901">
        <v>3605.2800000000011</v>
      </c>
      <c r="U257" s="4252"/>
      <c r="V257" s="4890">
        <f t="shared" si="463"/>
        <v>16587.550000000003</v>
      </c>
      <c r="W257" s="4261"/>
      <c r="X257" s="5031">
        <v>4842.5800000000008</v>
      </c>
      <c r="Y257" s="4253"/>
      <c r="Z257" s="446">
        <f t="shared" si="455"/>
        <v>12992.420000000002</v>
      </c>
      <c r="AA257" s="4254"/>
      <c r="AB257" s="4157">
        <f t="shared" si="456"/>
        <v>21430.13</v>
      </c>
      <c r="AC257" s="4261"/>
      <c r="AD257" s="5344">
        <v>2469.6400000000003</v>
      </c>
      <c r="AE257" s="4252"/>
      <c r="AF257" s="5333">
        <f t="shared" si="464"/>
        <v>23899.77</v>
      </c>
      <c r="AG257" s="4261"/>
      <c r="AH257" s="5520"/>
      <c r="AI257" s="4252"/>
      <c r="AJ257" s="5511">
        <f t="shared" si="465"/>
        <v>23899.77</v>
      </c>
      <c r="AK257" s="4261"/>
      <c r="AL257" s="5917">
        <v>4754.3899999999994</v>
      </c>
      <c r="AM257" s="4253"/>
      <c r="AN257" s="446">
        <f t="shared" si="457"/>
        <v>7224.03</v>
      </c>
      <c r="AO257" s="4252"/>
      <c r="AP257" s="5907">
        <f t="shared" si="458"/>
        <v>28654.16</v>
      </c>
      <c r="AQ257" s="4261"/>
      <c r="AR257" s="6072">
        <v>4396.9899999999989</v>
      </c>
      <c r="AS257" s="4252"/>
      <c r="AT257" s="2399">
        <f t="shared" si="466"/>
        <v>33051.15</v>
      </c>
      <c r="AU257" s="4261"/>
      <c r="AV257" s="6200">
        <v>1449.3400000000004</v>
      </c>
      <c r="AW257" s="4252"/>
      <c r="AX257" s="6193">
        <f t="shared" si="467"/>
        <v>34500.490000000005</v>
      </c>
      <c r="AY257" s="4261"/>
      <c r="AZ257" s="6409">
        <v>3645.5499999999993</v>
      </c>
      <c r="BA257" s="4253"/>
      <c r="BB257" s="6340">
        <f t="shared" si="459"/>
        <v>9491.8799999999974</v>
      </c>
      <c r="BC257" s="4254"/>
      <c r="BD257" s="4200">
        <f t="shared" si="460"/>
        <v>16715.909999999996</v>
      </c>
      <c r="BE257" s="4252"/>
      <c r="BF257" s="6597">
        <f t="shared" si="468"/>
        <v>38146.040000000008</v>
      </c>
      <c r="BG257" s="4590"/>
      <c r="BH257" s="4590"/>
      <c r="BI257" s="4590"/>
      <c r="BJ257" s="4590"/>
    </row>
    <row r="258" spans="1:62" x14ac:dyDescent="0.25">
      <c r="A258" s="154"/>
      <c r="B258" s="851" t="s">
        <v>861</v>
      </c>
      <c r="C258" s="4221" t="s">
        <v>1151</v>
      </c>
      <c r="D258" s="4221"/>
      <c r="E258" s="4261"/>
      <c r="F258" s="4145">
        <v>2155.3900000000003</v>
      </c>
      <c r="G258" s="4261"/>
      <c r="H258" s="7170">
        <v>10114.569999999998</v>
      </c>
      <c r="I258" s="4262"/>
      <c r="J258" s="7213">
        <f t="shared" si="461"/>
        <v>12269.96</v>
      </c>
      <c r="K258" s="4261"/>
      <c r="L258" s="4578">
        <v>8005.3700000000008</v>
      </c>
      <c r="M258" s="4253"/>
      <c r="N258" s="4568">
        <f t="shared" si="454"/>
        <v>20275.330000000002</v>
      </c>
      <c r="O258" s="4261"/>
      <c r="P258" s="4790">
        <v>8195.93</v>
      </c>
      <c r="Q258" s="4252"/>
      <c r="R258" s="4773">
        <f t="shared" si="462"/>
        <v>28471.260000000002</v>
      </c>
      <c r="S258" s="4261"/>
      <c r="T258" s="4901">
        <v>7408.1799999999994</v>
      </c>
      <c r="U258" s="4252"/>
      <c r="V258" s="4890">
        <f t="shared" si="463"/>
        <v>35879.440000000002</v>
      </c>
      <c r="W258" s="4261"/>
      <c r="X258" s="5031">
        <v>12735.030000000006</v>
      </c>
      <c r="Y258" s="4253"/>
      <c r="Z258" s="446">
        <f t="shared" si="455"/>
        <v>28339.140000000007</v>
      </c>
      <c r="AA258" s="4254"/>
      <c r="AB258" s="4157">
        <f t="shared" si="456"/>
        <v>48614.470000000008</v>
      </c>
      <c r="AC258" s="4261"/>
      <c r="AD258" s="5344">
        <v>15211.889999999996</v>
      </c>
      <c r="AE258" s="4252"/>
      <c r="AF258" s="5333">
        <f t="shared" si="464"/>
        <v>63826.36</v>
      </c>
      <c r="AG258" s="4261"/>
      <c r="AH258" s="5520">
        <v>63.66</v>
      </c>
      <c r="AI258" s="4252"/>
      <c r="AJ258" s="5511">
        <f t="shared" si="465"/>
        <v>63890.020000000004</v>
      </c>
      <c r="AK258" s="4261"/>
      <c r="AL258" s="5917">
        <v>9978.9400000000023</v>
      </c>
      <c r="AM258" s="4253"/>
      <c r="AN258" s="446">
        <f t="shared" si="457"/>
        <v>25254.489999999998</v>
      </c>
      <c r="AO258" s="4252"/>
      <c r="AP258" s="5907">
        <f t="shared" si="458"/>
        <v>73868.960000000006</v>
      </c>
      <c r="AQ258" s="4261"/>
      <c r="AR258" s="6072">
        <v>11094.81</v>
      </c>
      <c r="AS258" s="4252"/>
      <c r="AT258" s="2399">
        <f t="shared" si="466"/>
        <v>84963.77</v>
      </c>
      <c r="AU258" s="4261"/>
      <c r="AV258" s="6200">
        <v>7065.4400000000023</v>
      </c>
      <c r="AW258" s="4252"/>
      <c r="AX258" s="6193">
        <f t="shared" si="467"/>
        <v>92029.21</v>
      </c>
      <c r="AY258" s="4261"/>
      <c r="AZ258" s="6409">
        <v>13521.100000000002</v>
      </c>
      <c r="BA258" s="4253"/>
      <c r="BB258" s="6340">
        <f t="shared" si="459"/>
        <v>31681.350000000002</v>
      </c>
      <c r="BC258" s="4254"/>
      <c r="BD258" s="4200">
        <f t="shared" si="460"/>
        <v>56935.839999999997</v>
      </c>
      <c r="BE258" s="4252"/>
      <c r="BF258" s="6597">
        <f t="shared" si="468"/>
        <v>105550.31000000001</v>
      </c>
      <c r="BG258" s="4590"/>
      <c r="BH258" s="4590"/>
      <c r="BI258" s="4590"/>
      <c r="BJ258" s="4590"/>
    </row>
    <row r="259" spans="1:62" x14ac:dyDescent="0.25">
      <c r="A259" s="154"/>
      <c r="B259" s="851" t="s">
        <v>861</v>
      </c>
      <c r="C259" s="4221" t="s">
        <v>1006</v>
      </c>
      <c r="D259" s="4221"/>
      <c r="E259" s="4261"/>
      <c r="F259" s="4145"/>
      <c r="G259" s="4261"/>
      <c r="H259" s="7170"/>
      <c r="I259" s="4262"/>
      <c r="J259" s="7213">
        <f t="shared" si="461"/>
        <v>0</v>
      </c>
      <c r="K259" s="4261"/>
      <c r="L259" s="4578"/>
      <c r="M259" s="4253"/>
      <c r="N259" s="4125">
        <f t="shared" si="454"/>
        <v>0</v>
      </c>
      <c r="O259" s="4261"/>
      <c r="P259" s="4790"/>
      <c r="Q259" s="4252"/>
      <c r="R259" s="4773">
        <f t="shared" si="462"/>
        <v>0</v>
      </c>
      <c r="S259" s="4261"/>
      <c r="T259" s="4901"/>
      <c r="U259" s="4252"/>
      <c r="V259" s="4890">
        <f t="shared" si="463"/>
        <v>0</v>
      </c>
      <c r="W259" s="4261"/>
      <c r="X259" s="5031"/>
      <c r="Y259" s="4253"/>
      <c r="Z259" s="446">
        <f t="shared" si="455"/>
        <v>0</v>
      </c>
      <c r="AA259" s="4254"/>
      <c r="AB259" s="4157">
        <f t="shared" si="456"/>
        <v>0</v>
      </c>
      <c r="AC259" s="4261"/>
      <c r="AD259" s="5344">
        <v>503.5</v>
      </c>
      <c r="AE259" s="4252"/>
      <c r="AF259" s="5333">
        <f t="shared" si="464"/>
        <v>503.5</v>
      </c>
      <c r="AG259" s="4261"/>
      <c r="AH259" s="5520"/>
      <c r="AI259" s="4252"/>
      <c r="AJ259" s="5511">
        <f t="shared" si="465"/>
        <v>503.5</v>
      </c>
      <c r="AK259" s="4261"/>
      <c r="AL259" s="5917"/>
      <c r="AM259" s="4253"/>
      <c r="AN259" s="446">
        <f t="shared" si="457"/>
        <v>503.5</v>
      </c>
      <c r="AO259" s="4252"/>
      <c r="AP259" s="5907">
        <f t="shared" si="458"/>
        <v>503.5</v>
      </c>
      <c r="AQ259" s="4261"/>
      <c r="AR259" s="6072">
        <v>502.94</v>
      </c>
      <c r="AS259" s="4252"/>
      <c r="AT259" s="2399">
        <f t="shared" si="466"/>
        <v>1006.44</v>
      </c>
      <c r="AU259" s="4261"/>
      <c r="AV259" s="6200"/>
      <c r="AW259" s="4252"/>
      <c r="AX259" s="6193">
        <f t="shared" si="467"/>
        <v>1006.44</v>
      </c>
      <c r="AY259" s="4261"/>
      <c r="AZ259" s="6409">
        <v>129.5</v>
      </c>
      <c r="BA259" s="4253"/>
      <c r="BB259" s="6340">
        <f t="shared" si="459"/>
        <v>632.44000000000005</v>
      </c>
      <c r="BC259" s="4254"/>
      <c r="BD259" s="4200">
        <f t="shared" si="460"/>
        <v>1135.94</v>
      </c>
      <c r="BE259" s="4252"/>
      <c r="BF259" s="6597">
        <f t="shared" si="468"/>
        <v>1135.94</v>
      </c>
      <c r="BG259" s="4590"/>
      <c r="BH259" s="4590"/>
      <c r="BI259" s="4590"/>
      <c r="BJ259" s="4590"/>
    </row>
    <row r="260" spans="1:62" ht="15.75" thickBot="1" x14ac:dyDescent="0.3">
      <c r="A260" s="93"/>
      <c r="B260" s="3456" t="s">
        <v>861</v>
      </c>
      <c r="C260" s="4215" t="s">
        <v>1007</v>
      </c>
      <c r="D260" s="4215"/>
      <c r="E260" s="4263"/>
      <c r="F260" s="234"/>
      <c r="G260" s="4263"/>
      <c r="H260" s="234">
        <v>562.61999999999989</v>
      </c>
      <c r="I260" s="4264"/>
      <c r="J260" s="7213">
        <f t="shared" si="461"/>
        <v>562.61999999999989</v>
      </c>
      <c r="K260" s="4263"/>
      <c r="L260" s="234">
        <v>749.80000000000007</v>
      </c>
      <c r="M260" s="4253"/>
      <c r="N260" s="4125">
        <f t="shared" si="454"/>
        <v>1312.42</v>
      </c>
      <c r="O260" s="4263"/>
      <c r="P260" s="234"/>
      <c r="Q260" s="4252"/>
      <c r="R260" s="4773">
        <f t="shared" si="462"/>
        <v>1312.42</v>
      </c>
      <c r="S260" s="4263"/>
      <c r="T260" s="234"/>
      <c r="U260" s="4252"/>
      <c r="V260" s="4890">
        <f t="shared" si="463"/>
        <v>1312.42</v>
      </c>
      <c r="W260" s="4263"/>
      <c r="X260" s="234"/>
      <c r="Y260" s="4253"/>
      <c r="Z260" s="446">
        <f t="shared" si="455"/>
        <v>0</v>
      </c>
      <c r="AA260" s="4254"/>
      <c r="AB260" s="4157">
        <f t="shared" si="456"/>
        <v>1312.42</v>
      </c>
      <c r="AC260" s="4263"/>
      <c r="AD260" s="234"/>
      <c r="AE260" s="4252"/>
      <c r="AF260" s="5333">
        <f t="shared" si="464"/>
        <v>1312.42</v>
      </c>
      <c r="AG260" s="4263"/>
      <c r="AH260" s="234"/>
      <c r="AI260" s="4252"/>
      <c r="AJ260" s="5511">
        <f t="shared" si="465"/>
        <v>1312.42</v>
      </c>
      <c r="AK260" s="4263"/>
      <c r="AL260" s="234"/>
      <c r="AM260" s="4253"/>
      <c r="AN260" s="446">
        <f t="shared" si="457"/>
        <v>0</v>
      </c>
      <c r="AO260" s="4252"/>
      <c r="AP260" s="5907">
        <f t="shared" si="458"/>
        <v>1312.42</v>
      </c>
      <c r="AQ260" s="4263"/>
      <c r="AR260" s="234"/>
      <c r="AS260" s="4252"/>
      <c r="AT260" s="2399">
        <f t="shared" si="466"/>
        <v>1312.42</v>
      </c>
      <c r="AU260" s="4263"/>
      <c r="AV260" s="234"/>
      <c r="AW260" s="4252"/>
      <c r="AX260" s="6193">
        <f t="shared" si="467"/>
        <v>1312.42</v>
      </c>
      <c r="AY260" s="4263"/>
      <c r="AZ260" s="234"/>
      <c r="BA260" s="4253"/>
      <c r="BB260" s="6340">
        <f t="shared" si="459"/>
        <v>0</v>
      </c>
      <c r="BC260" s="4254"/>
      <c r="BD260" s="4200">
        <f t="shared" si="460"/>
        <v>0</v>
      </c>
      <c r="BE260" s="4252"/>
      <c r="BF260" s="6597">
        <f t="shared" si="468"/>
        <v>1312.42</v>
      </c>
      <c r="BG260" s="4590"/>
      <c r="BH260" s="4590"/>
      <c r="BI260" s="4590"/>
      <c r="BJ260" s="4590"/>
    </row>
    <row r="261" spans="1:62" x14ac:dyDescent="0.25">
      <c r="A261" s="93"/>
      <c r="B261" s="4269" t="s">
        <v>862</v>
      </c>
      <c r="C261" s="4218" t="s">
        <v>876</v>
      </c>
      <c r="D261" s="4218"/>
      <c r="E261" s="4272"/>
      <c r="F261" s="1309">
        <v>1500.1899999999998</v>
      </c>
      <c r="G261" s="4272"/>
      <c r="H261" s="6405">
        <v>1775.9399999999998</v>
      </c>
      <c r="I261" s="4273"/>
      <c r="J261" s="7213">
        <f t="shared" si="461"/>
        <v>3276.1299999999997</v>
      </c>
      <c r="K261" s="4272"/>
      <c r="L261" s="4570">
        <v>2355.12</v>
      </c>
      <c r="M261" s="4253"/>
      <c r="N261" s="4125">
        <f t="shared" si="454"/>
        <v>5631.25</v>
      </c>
      <c r="O261" s="4272"/>
      <c r="P261" s="4772">
        <v>967.31999999999994</v>
      </c>
      <c r="Q261" s="4252"/>
      <c r="R261" s="4773">
        <f t="shared" si="462"/>
        <v>6598.57</v>
      </c>
      <c r="S261" s="4272"/>
      <c r="T261" s="4881">
        <v>1226.2300000000002</v>
      </c>
      <c r="U261" s="4252"/>
      <c r="V261" s="4890">
        <f t="shared" si="463"/>
        <v>7824.8</v>
      </c>
      <c r="W261" s="4272"/>
      <c r="X261" s="5022">
        <v>3364.7599999999989</v>
      </c>
      <c r="Y261" s="4253"/>
      <c r="Z261" s="446">
        <f t="shared" si="455"/>
        <v>5558.3099999999995</v>
      </c>
      <c r="AA261" s="4254"/>
      <c r="AB261" s="4157">
        <f t="shared" si="456"/>
        <v>11189.56</v>
      </c>
      <c r="AC261" s="4272"/>
      <c r="AD261" s="5332"/>
      <c r="AE261" s="4252"/>
      <c r="AF261" s="5333">
        <f t="shared" si="464"/>
        <v>11189.56</v>
      </c>
      <c r="AG261" s="4272"/>
      <c r="AH261" s="5506">
        <v>15.22</v>
      </c>
      <c r="AI261" s="4252"/>
      <c r="AJ261" s="5511">
        <f t="shared" si="465"/>
        <v>11204.779999999999</v>
      </c>
      <c r="AK261" s="4272"/>
      <c r="AL261" s="5906">
        <v>2248.0099999999998</v>
      </c>
      <c r="AM261" s="4253"/>
      <c r="AN261" s="446">
        <f t="shared" si="457"/>
        <v>2263.2299999999996</v>
      </c>
      <c r="AO261" s="4252"/>
      <c r="AP261" s="5907">
        <f t="shared" si="458"/>
        <v>13452.789999999999</v>
      </c>
      <c r="AQ261" s="4272"/>
      <c r="AR261" s="6062">
        <v>1557.98</v>
      </c>
      <c r="AS261" s="4252"/>
      <c r="AT261" s="2399">
        <f t="shared" si="466"/>
        <v>15010.769999999999</v>
      </c>
      <c r="AU261" s="4272"/>
      <c r="AV261" s="6187">
        <v>1373.02</v>
      </c>
      <c r="AW261" s="4252"/>
      <c r="AX261" s="6193">
        <f t="shared" si="467"/>
        <v>16383.789999999999</v>
      </c>
      <c r="AY261" s="4272"/>
      <c r="AZ261" s="6405"/>
      <c r="BA261" s="4253"/>
      <c r="BB261" s="6340">
        <f t="shared" si="459"/>
        <v>2931</v>
      </c>
      <c r="BC261" s="4254"/>
      <c r="BD261" s="4200">
        <f t="shared" si="460"/>
        <v>5194.2299999999996</v>
      </c>
      <c r="BE261" s="4252"/>
      <c r="BF261" s="6597">
        <f t="shared" si="468"/>
        <v>16383.789999999999</v>
      </c>
      <c r="BG261" s="4590"/>
      <c r="BH261" s="4590"/>
      <c r="BI261" s="4590"/>
      <c r="BJ261" s="4590"/>
    </row>
    <row r="262" spans="1:62" x14ac:dyDescent="0.25">
      <c r="A262" s="93"/>
      <c r="B262" s="4250" t="s">
        <v>862</v>
      </c>
      <c r="C262" s="4212" t="s">
        <v>885</v>
      </c>
      <c r="D262" s="4212"/>
      <c r="E262" s="4251"/>
      <c r="F262" s="2400">
        <v>1812.8199999999997</v>
      </c>
      <c r="G262" s="4251"/>
      <c r="H262" s="7166">
        <v>2023.8499999999997</v>
      </c>
      <c r="I262" s="4252"/>
      <c r="J262" s="7213">
        <f t="shared" si="461"/>
        <v>3836.6699999999992</v>
      </c>
      <c r="K262" s="4251"/>
      <c r="L262" s="4574"/>
      <c r="M262" s="4253"/>
      <c r="N262" s="4125">
        <f t="shared" si="454"/>
        <v>3836.6699999999992</v>
      </c>
      <c r="O262" s="4251"/>
      <c r="P262" s="4778"/>
      <c r="Q262" s="4252"/>
      <c r="R262" s="4773">
        <f t="shared" si="462"/>
        <v>3836.6699999999992</v>
      </c>
      <c r="S262" s="4251"/>
      <c r="T262" s="4889">
        <v>813.88000000000011</v>
      </c>
      <c r="U262" s="4252"/>
      <c r="V262" s="4890">
        <f t="shared" si="463"/>
        <v>4650.5499999999993</v>
      </c>
      <c r="W262" s="4251"/>
      <c r="X262" s="5026">
        <v>2068.9</v>
      </c>
      <c r="Y262" s="4253"/>
      <c r="Z262" s="446">
        <f t="shared" si="455"/>
        <v>2882.78</v>
      </c>
      <c r="AA262" s="4254"/>
      <c r="AB262" s="4157">
        <f t="shared" si="456"/>
        <v>6719.4499999999989</v>
      </c>
      <c r="AC262" s="4251"/>
      <c r="AD262" s="5337"/>
      <c r="AE262" s="4252"/>
      <c r="AF262" s="5333">
        <f t="shared" si="464"/>
        <v>6719.4499999999989</v>
      </c>
      <c r="AG262" s="4251"/>
      <c r="AH262" s="5510"/>
      <c r="AI262" s="4252"/>
      <c r="AJ262" s="5511">
        <f t="shared" si="465"/>
        <v>6719.4499999999989</v>
      </c>
      <c r="AK262" s="4251"/>
      <c r="AL262" s="5911">
        <v>647.38</v>
      </c>
      <c r="AM262" s="4253"/>
      <c r="AN262" s="446">
        <f t="shared" si="457"/>
        <v>647.38</v>
      </c>
      <c r="AO262" s="4252"/>
      <c r="AP262" s="5907">
        <f t="shared" si="458"/>
        <v>7366.829999999999</v>
      </c>
      <c r="AQ262" s="4251"/>
      <c r="AR262" s="6066">
        <v>1597.0900000000001</v>
      </c>
      <c r="AS262" s="4252"/>
      <c r="AT262" s="2399">
        <f t="shared" si="466"/>
        <v>8963.9199999999983</v>
      </c>
      <c r="AU262" s="4251"/>
      <c r="AV262" s="6189"/>
      <c r="AW262" s="4252"/>
      <c r="AX262" s="6193">
        <f t="shared" si="467"/>
        <v>8963.9199999999983</v>
      </c>
      <c r="AY262" s="4251"/>
      <c r="AZ262" s="6401">
        <v>1798.7300000000002</v>
      </c>
      <c r="BA262" s="4253"/>
      <c r="BB262" s="6340">
        <f t="shared" si="459"/>
        <v>3395.8200000000006</v>
      </c>
      <c r="BC262" s="4254"/>
      <c r="BD262" s="4200">
        <f t="shared" si="460"/>
        <v>4043.2000000000007</v>
      </c>
      <c r="BE262" s="4252"/>
      <c r="BF262" s="6597">
        <f t="shared" si="468"/>
        <v>10762.649999999998</v>
      </c>
      <c r="BG262" s="4590"/>
      <c r="BH262" s="4590"/>
      <c r="BI262" s="4590"/>
      <c r="BJ262" s="4590"/>
    </row>
    <row r="263" spans="1:62" x14ac:dyDescent="0.25">
      <c r="A263" s="154"/>
      <c r="B263" s="4250" t="s">
        <v>862</v>
      </c>
      <c r="C263" s="4212" t="s">
        <v>1151</v>
      </c>
      <c r="D263" s="4212"/>
      <c r="E263" s="4251"/>
      <c r="F263" s="2400">
        <v>8244.4799999999977</v>
      </c>
      <c r="G263" s="4251"/>
      <c r="H263" s="7166">
        <v>9649.5299999999952</v>
      </c>
      <c r="I263" s="4252"/>
      <c r="J263" s="7213">
        <f t="shared" si="461"/>
        <v>17894.009999999995</v>
      </c>
      <c r="K263" s="4251"/>
      <c r="L263" s="4574">
        <v>7473.5700000000006</v>
      </c>
      <c r="M263" s="4253"/>
      <c r="N263" s="4125">
        <f t="shared" si="454"/>
        <v>25367.579999999994</v>
      </c>
      <c r="O263" s="4251"/>
      <c r="P263" s="4778">
        <v>7753.16</v>
      </c>
      <c r="Q263" s="4252"/>
      <c r="R263" s="4773">
        <f t="shared" si="462"/>
        <v>33120.739999999991</v>
      </c>
      <c r="S263" s="4251"/>
      <c r="T263" s="4889">
        <v>8531.5600000000013</v>
      </c>
      <c r="U263" s="4252"/>
      <c r="V263" s="4890">
        <f t="shared" si="463"/>
        <v>41652.299999999988</v>
      </c>
      <c r="W263" s="4251"/>
      <c r="X263" s="5026">
        <v>1645.8000000000002</v>
      </c>
      <c r="Y263" s="4253"/>
      <c r="Z263" s="446">
        <f t="shared" si="455"/>
        <v>17930.52</v>
      </c>
      <c r="AA263" s="4254"/>
      <c r="AB263" s="4157">
        <f t="shared" si="456"/>
        <v>43298.099999999991</v>
      </c>
      <c r="AC263" s="4251"/>
      <c r="AD263" s="5337">
        <v>8195.2000000000007</v>
      </c>
      <c r="AE263" s="4252"/>
      <c r="AF263" s="5333">
        <f t="shared" si="464"/>
        <v>51493.299999999988</v>
      </c>
      <c r="AG263" s="4251"/>
      <c r="AH263" s="5510">
        <v>1487.46</v>
      </c>
      <c r="AI263" s="4252"/>
      <c r="AJ263" s="5511">
        <f t="shared" si="465"/>
        <v>52980.759999999987</v>
      </c>
      <c r="AK263" s="4251"/>
      <c r="AL263" s="5911">
        <v>9575.2900000000009</v>
      </c>
      <c r="AM263" s="4253"/>
      <c r="AN263" s="446">
        <f t="shared" si="457"/>
        <v>19257.95</v>
      </c>
      <c r="AO263" s="4252"/>
      <c r="AP263" s="5907">
        <f t="shared" si="458"/>
        <v>62556.049999999988</v>
      </c>
      <c r="AQ263" s="4251"/>
      <c r="AR263" s="6066">
        <v>9671.7299999999977</v>
      </c>
      <c r="AS263" s="4252"/>
      <c r="AT263" s="2399">
        <f>AP263+AR263</f>
        <v>72227.779999999984</v>
      </c>
      <c r="AU263" s="4251"/>
      <c r="AV263" s="6189">
        <v>1823.8900000000003</v>
      </c>
      <c r="AW263" s="4252"/>
      <c r="AX263" s="6193">
        <f>AT263+AV263</f>
        <v>74051.669999999984</v>
      </c>
      <c r="AY263" s="4251"/>
      <c r="AZ263" s="6401">
        <v>6921.8799999999974</v>
      </c>
      <c r="BA263" s="4253"/>
      <c r="BB263" s="6340">
        <f t="shared" si="459"/>
        <v>18417.499999999996</v>
      </c>
      <c r="BC263" s="4254"/>
      <c r="BD263" s="4200">
        <f t="shared" si="460"/>
        <v>37675.449999999997</v>
      </c>
      <c r="BE263" s="4252"/>
      <c r="BF263" s="6597">
        <f t="shared" si="468"/>
        <v>80973.549999999988</v>
      </c>
      <c r="BG263" s="4590"/>
      <c r="BH263" s="4590"/>
      <c r="BI263" s="4590"/>
      <c r="BJ263" s="4590"/>
    </row>
    <row r="264" spans="1:62" ht="15.75" thickBot="1" x14ac:dyDescent="0.3">
      <c r="A264" s="154"/>
      <c r="B264" s="4255" t="s">
        <v>862</v>
      </c>
      <c r="C264" s="4256" t="s">
        <v>1007</v>
      </c>
      <c r="D264" s="4256"/>
      <c r="E264" s="4257"/>
      <c r="F264" s="3516">
        <v>1631.08</v>
      </c>
      <c r="G264" s="4257"/>
      <c r="H264" s="3516"/>
      <c r="I264" s="4258"/>
      <c r="J264" s="3478">
        <f t="shared" ref="J264:J273" si="469">F264+H264</f>
        <v>1631.08</v>
      </c>
      <c r="K264" s="4257"/>
      <c r="L264" s="3516"/>
      <c r="M264" s="4253"/>
      <c r="N264" s="4125">
        <f t="shared" si="454"/>
        <v>1631.08</v>
      </c>
      <c r="O264" s="4257"/>
      <c r="P264" s="3516"/>
      <c r="Q264" s="4252"/>
      <c r="R264" s="4773">
        <f t="shared" si="462"/>
        <v>1631.08</v>
      </c>
      <c r="S264" s="4257"/>
      <c r="T264" s="3516"/>
      <c r="U264" s="4252"/>
      <c r="V264" s="4890">
        <f t="shared" si="463"/>
        <v>1631.08</v>
      </c>
      <c r="W264" s="4257"/>
      <c r="X264" s="3516"/>
      <c r="Y264" s="4253"/>
      <c r="Z264" s="446">
        <f t="shared" si="455"/>
        <v>0</v>
      </c>
      <c r="AA264" s="4254"/>
      <c r="AB264" s="4157">
        <f t="shared" si="456"/>
        <v>1631.08</v>
      </c>
      <c r="AC264" s="4257"/>
      <c r="AD264" s="3516"/>
      <c r="AE264" s="4252"/>
      <c r="AF264" s="5333">
        <f t="shared" si="464"/>
        <v>1631.08</v>
      </c>
      <c r="AG264" s="4257"/>
      <c r="AH264" s="3516"/>
      <c r="AI264" s="4252"/>
      <c r="AJ264" s="5511">
        <f t="shared" si="465"/>
        <v>1631.08</v>
      </c>
      <c r="AK264" s="4257"/>
      <c r="AL264" s="3516"/>
      <c r="AM264" s="4253"/>
      <c r="AN264" s="446">
        <f t="shared" si="457"/>
        <v>0</v>
      </c>
      <c r="AO264" s="4252"/>
      <c r="AP264" s="5907">
        <f t="shared" si="458"/>
        <v>1631.08</v>
      </c>
      <c r="AQ264" s="4257"/>
      <c r="AR264" s="3516"/>
      <c r="AS264" s="4252"/>
      <c r="AT264" s="2399">
        <f t="shared" ref="AT264:AT268" si="470">AP264+AR264</f>
        <v>1631.08</v>
      </c>
      <c r="AU264" s="4257"/>
      <c r="AV264" s="3516"/>
      <c r="AW264" s="4252"/>
      <c r="AX264" s="6193">
        <f t="shared" ref="AX264:AX268" si="471">AT264+AV264</f>
        <v>1631.08</v>
      </c>
      <c r="AY264" s="4257"/>
      <c r="AZ264" s="3516"/>
      <c r="BA264" s="4253"/>
      <c r="BB264" s="6340">
        <f t="shared" si="459"/>
        <v>0</v>
      </c>
      <c r="BC264" s="4254"/>
      <c r="BD264" s="4200">
        <f t="shared" si="460"/>
        <v>0</v>
      </c>
      <c r="BE264" s="4252"/>
      <c r="BF264" s="6597">
        <f t="shared" si="468"/>
        <v>1631.08</v>
      </c>
      <c r="BG264" s="4590"/>
      <c r="BH264" s="4590"/>
      <c r="BI264" s="4590"/>
      <c r="BJ264" s="4590"/>
    </row>
    <row r="265" spans="1:62" ht="15.75" thickBot="1" x14ac:dyDescent="0.3">
      <c r="A265" s="93"/>
      <c r="B265" s="4274" t="s">
        <v>863</v>
      </c>
      <c r="C265" s="4275" t="s">
        <v>876</v>
      </c>
      <c r="D265" s="4275"/>
      <c r="E265" s="4276"/>
      <c r="F265" s="3589"/>
      <c r="G265" s="4276"/>
      <c r="H265" s="3589"/>
      <c r="I265" s="4277"/>
      <c r="J265" s="1875">
        <f t="shared" si="469"/>
        <v>0</v>
      </c>
      <c r="K265" s="4276"/>
      <c r="L265" s="3589"/>
      <c r="M265" s="4253"/>
      <c r="N265" s="4125">
        <f t="shared" si="454"/>
        <v>0</v>
      </c>
      <c r="O265" s="4276"/>
      <c r="P265" s="3589"/>
      <c r="Q265" s="4252"/>
      <c r="R265" s="4773">
        <f t="shared" si="462"/>
        <v>0</v>
      </c>
      <c r="S265" s="4276"/>
      <c r="T265" s="3589"/>
      <c r="U265" s="4252"/>
      <c r="V265" s="4890">
        <f t="shared" si="463"/>
        <v>0</v>
      </c>
      <c r="W265" s="4276"/>
      <c r="X265" s="3589"/>
      <c r="Y265" s="4253"/>
      <c r="Z265" s="446">
        <f t="shared" si="455"/>
        <v>0</v>
      </c>
      <c r="AA265" s="4254"/>
      <c r="AB265" s="4157">
        <f t="shared" si="456"/>
        <v>0</v>
      </c>
      <c r="AC265" s="4276"/>
      <c r="AD265" s="3589"/>
      <c r="AE265" s="4252"/>
      <c r="AF265" s="5333">
        <f t="shared" si="464"/>
        <v>0</v>
      </c>
      <c r="AG265" s="4276"/>
      <c r="AH265" s="3589"/>
      <c r="AI265" s="4252"/>
      <c r="AJ265" s="5511">
        <f t="shared" si="465"/>
        <v>0</v>
      </c>
      <c r="AK265" s="4276"/>
      <c r="AL265" s="3589">
        <v>1460.9100000000005</v>
      </c>
      <c r="AM265" s="4253"/>
      <c r="AN265" s="446">
        <f t="shared" si="457"/>
        <v>1460.9100000000005</v>
      </c>
      <c r="AO265" s="4252"/>
      <c r="AP265" s="5907">
        <f t="shared" si="458"/>
        <v>1460.9100000000005</v>
      </c>
      <c r="AQ265" s="4276"/>
      <c r="AR265" s="3589">
        <v>181.37</v>
      </c>
      <c r="AS265" s="4252"/>
      <c r="AT265" s="2399">
        <f t="shared" si="470"/>
        <v>1642.2800000000007</v>
      </c>
      <c r="AU265" s="4276"/>
      <c r="AV265" s="3589">
        <v>64.36</v>
      </c>
      <c r="AW265" s="4252"/>
      <c r="AX265" s="6193">
        <f t="shared" si="471"/>
        <v>1706.6400000000006</v>
      </c>
      <c r="AY265" s="4276"/>
      <c r="AZ265" s="3589"/>
      <c r="BA265" s="4253"/>
      <c r="BB265" s="6340">
        <f t="shared" si="459"/>
        <v>245.73000000000002</v>
      </c>
      <c r="BC265" s="4254"/>
      <c r="BD265" s="4200">
        <f t="shared" si="460"/>
        <v>1706.6400000000006</v>
      </c>
      <c r="BE265" s="4252"/>
      <c r="BF265" s="6597">
        <f t="shared" si="468"/>
        <v>1706.6400000000006</v>
      </c>
      <c r="BG265" s="4590"/>
      <c r="BH265" s="4590"/>
      <c r="BI265" s="4590"/>
      <c r="BJ265" s="4590"/>
    </row>
    <row r="266" spans="1:62" x14ac:dyDescent="0.25">
      <c r="A266" s="93"/>
      <c r="B266" s="4269" t="s">
        <v>77</v>
      </c>
      <c r="C266" s="4218"/>
      <c r="D266" s="4218"/>
      <c r="E266" s="1205">
        <f>+E17</f>
        <v>0</v>
      </c>
      <c r="F266" s="1205">
        <f>F17</f>
        <v>0</v>
      </c>
      <c r="G266" s="7172">
        <f>+G17</f>
        <v>0</v>
      </c>
      <c r="H266" s="7172">
        <f>H17</f>
        <v>0</v>
      </c>
      <c r="I266" s="2402">
        <f>E266+G266</f>
        <v>0</v>
      </c>
      <c r="J266" s="2402">
        <f t="shared" si="469"/>
        <v>0</v>
      </c>
      <c r="K266" s="1205">
        <f>+K17</f>
        <v>0</v>
      </c>
      <c r="L266" s="1205">
        <f>L17</f>
        <v>0</v>
      </c>
      <c r="M266" s="446">
        <f>E266+G266+K266</f>
        <v>0</v>
      </c>
      <c r="N266" s="4125">
        <f t="shared" si="454"/>
        <v>0</v>
      </c>
      <c r="O266" s="1205">
        <f>+O17</f>
        <v>0</v>
      </c>
      <c r="P266" s="1205">
        <f>P17</f>
        <v>0</v>
      </c>
      <c r="Q266" s="2399">
        <f>M266+O266</f>
        <v>0</v>
      </c>
      <c r="R266" s="4773">
        <f t="shared" si="462"/>
        <v>0</v>
      </c>
      <c r="S266" s="1205">
        <f>+S17</f>
        <v>0</v>
      </c>
      <c r="T266" s="1205">
        <f>T17</f>
        <v>0</v>
      </c>
      <c r="U266" s="4890">
        <f>Q266+S266</f>
        <v>0</v>
      </c>
      <c r="V266" s="4890">
        <f t="shared" si="463"/>
        <v>0</v>
      </c>
      <c r="W266" s="1205">
        <f>+W17</f>
        <v>0</v>
      </c>
      <c r="X266" s="1205">
        <f>X17</f>
        <v>0</v>
      </c>
      <c r="Y266" s="4125">
        <f>O266+S266+W266</f>
        <v>0</v>
      </c>
      <c r="Z266" s="446">
        <f t="shared" si="455"/>
        <v>0</v>
      </c>
      <c r="AA266" s="4157">
        <f>M266+Y266</f>
        <v>0</v>
      </c>
      <c r="AB266" s="4157">
        <f t="shared" si="456"/>
        <v>0</v>
      </c>
      <c r="AC266" s="1205">
        <f>+AC17</f>
        <v>0</v>
      </c>
      <c r="AD266" s="1205">
        <f>AD17</f>
        <v>0</v>
      </c>
      <c r="AE266" s="2399">
        <f>AA266+AC266</f>
        <v>0</v>
      </c>
      <c r="AF266" s="5333">
        <f t="shared" si="464"/>
        <v>0</v>
      </c>
      <c r="AG266" s="5523">
        <f>+AG17</f>
        <v>0</v>
      </c>
      <c r="AH266" s="5523">
        <f>AH17</f>
        <v>0</v>
      </c>
      <c r="AI266" s="2399">
        <f>AE266+AG266</f>
        <v>0</v>
      </c>
      <c r="AJ266" s="5511">
        <f t="shared" si="465"/>
        <v>0</v>
      </c>
      <c r="AK266" s="5923">
        <f>+AK17</f>
        <v>0</v>
      </c>
      <c r="AL266" s="5923">
        <f>AL17</f>
        <v>0</v>
      </c>
      <c r="AM266" s="4125">
        <f>AC266+AG266+AK266</f>
        <v>0</v>
      </c>
      <c r="AN266" s="446">
        <f t="shared" si="457"/>
        <v>0</v>
      </c>
      <c r="AO266" s="2399">
        <f t="shared" si="458"/>
        <v>0</v>
      </c>
      <c r="AP266" s="2399">
        <f t="shared" si="458"/>
        <v>0</v>
      </c>
      <c r="AQ266" s="6079">
        <f>+AQ17</f>
        <v>0</v>
      </c>
      <c r="AR266" s="6079">
        <f>AR17</f>
        <v>0</v>
      </c>
      <c r="AS266" s="2399">
        <f>AO266+AQ266</f>
        <v>0</v>
      </c>
      <c r="AT266" s="2399">
        <f t="shared" si="470"/>
        <v>0</v>
      </c>
      <c r="AU266" s="6202">
        <f>+AU17</f>
        <v>0</v>
      </c>
      <c r="AV266" s="6202">
        <f>AV17</f>
        <v>0</v>
      </c>
      <c r="AW266" s="6193">
        <f>AS266+AU266</f>
        <v>0</v>
      </c>
      <c r="AX266" s="6193">
        <f t="shared" si="471"/>
        <v>0</v>
      </c>
      <c r="AY266" s="6407">
        <f>+AY17</f>
        <v>0</v>
      </c>
      <c r="AZ266" s="6407">
        <f>AZ17</f>
        <v>0</v>
      </c>
      <c r="BA266" s="4125">
        <f>AQ266+AU266+AY266</f>
        <v>0</v>
      </c>
      <c r="BB266" s="446">
        <f t="shared" ref="BB266:BB268" si="472">AR266+AV266+AZ266</f>
        <v>0</v>
      </c>
      <c r="BC266" s="4157">
        <f t="shared" ref="BC266:BC267" si="473">AM266+BA266</f>
        <v>0</v>
      </c>
      <c r="BD266" s="4157">
        <f t="shared" si="460"/>
        <v>0</v>
      </c>
      <c r="BE266" s="2399">
        <f>AW266+AY266</f>
        <v>0</v>
      </c>
      <c r="BF266" s="2399">
        <f t="shared" ref="BF266:BF268" si="474">AX266+AZ266</f>
        <v>0</v>
      </c>
      <c r="BG266" s="4590"/>
      <c r="BH266" s="4590"/>
      <c r="BI266" s="4590"/>
      <c r="BJ266" s="4590"/>
    </row>
    <row r="267" spans="1:62" x14ac:dyDescent="0.25">
      <c r="A267" s="93"/>
      <c r="B267" s="4250" t="s">
        <v>1180</v>
      </c>
      <c r="C267" s="159"/>
      <c r="D267" s="159"/>
      <c r="E267" s="1205">
        <f>+E18</f>
        <v>0</v>
      </c>
      <c r="F267" s="366">
        <f>F18</f>
        <v>0</v>
      </c>
      <c r="G267" s="7172">
        <f>+G18</f>
        <v>0</v>
      </c>
      <c r="H267" s="366">
        <f>H18</f>
        <v>0</v>
      </c>
      <c r="I267" s="367">
        <f t="shared" ref="I267:I268" si="475">E267+G267</f>
        <v>0</v>
      </c>
      <c r="J267" s="367">
        <f t="shared" si="469"/>
        <v>0</v>
      </c>
      <c r="K267" s="1205">
        <f>+K18</f>
        <v>0</v>
      </c>
      <c r="L267" s="366">
        <f>L18</f>
        <v>0</v>
      </c>
      <c r="M267" s="446">
        <f>E267+G267+K267</f>
        <v>0</v>
      </c>
      <c r="N267" s="4125">
        <f t="shared" si="454"/>
        <v>0</v>
      </c>
      <c r="O267" s="1205">
        <f>+O18</f>
        <v>0</v>
      </c>
      <c r="P267" s="366">
        <f>P18</f>
        <v>0</v>
      </c>
      <c r="Q267" s="367">
        <f t="shared" ref="Q267:Q268" si="476">M267+O267</f>
        <v>0</v>
      </c>
      <c r="R267" s="367">
        <f t="shared" ref="R267:R273" si="477">N267+P267</f>
        <v>0</v>
      </c>
      <c r="S267" s="1205">
        <f>+S18</f>
        <v>0</v>
      </c>
      <c r="T267" s="366">
        <f>T18</f>
        <v>0</v>
      </c>
      <c r="U267" s="367">
        <f t="shared" ref="U267:U268" si="478">Q267+S267</f>
        <v>0</v>
      </c>
      <c r="V267" s="367">
        <f t="shared" si="463"/>
        <v>0</v>
      </c>
      <c r="W267" s="1205">
        <f>+W18</f>
        <v>0</v>
      </c>
      <c r="X267" s="366">
        <f>X18</f>
        <v>0</v>
      </c>
      <c r="Y267" s="4125">
        <f>O267+S267+W267</f>
        <v>0</v>
      </c>
      <c r="Z267" s="446">
        <f t="shared" si="455"/>
        <v>0</v>
      </c>
      <c r="AA267" s="4271">
        <f>M267+Y267</f>
        <v>0</v>
      </c>
      <c r="AB267" s="4157">
        <f t="shared" si="456"/>
        <v>0</v>
      </c>
      <c r="AC267" s="1205">
        <f>+AC18</f>
        <v>0</v>
      </c>
      <c r="AD267" s="366">
        <f>AD18</f>
        <v>0</v>
      </c>
      <c r="AE267" s="367">
        <f t="shared" ref="AE267:AE268" si="479">AA267+AC267</f>
        <v>0</v>
      </c>
      <c r="AF267" s="5333">
        <f t="shared" si="464"/>
        <v>0</v>
      </c>
      <c r="AG267" s="5523">
        <f>+AG18</f>
        <v>0</v>
      </c>
      <c r="AH267" s="366">
        <f>AH18</f>
        <v>0</v>
      </c>
      <c r="AI267" s="367">
        <f t="shared" ref="AI267:AI268" si="480">AE267+AG267</f>
        <v>0</v>
      </c>
      <c r="AJ267" s="5511">
        <f t="shared" si="465"/>
        <v>0</v>
      </c>
      <c r="AK267" s="5923">
        <f>+AK18</f>
        <v>0</v>
      </c>
      <c r="AL267" s="366">
        <f>AL18</f>
        <v>0</v>
      </c>
      <c r="AM267" s="4125">
        <f>AC267+AG267+AK267</f>
        <v>0</v>
      </c>
      <c r="AN267" s="446">
        <f t="shared" si="457"/>
        <v>0</v>
      </c>
      <c r="AO267" s="367">
        <f t="shared" si="458"/>
        <v>0</v>
      </c>
      <c r="AP267" s="367">
        <f t="shared" si="458"/>
        <v>0</v>
      </c>
      <c r="AQ267" s="6079">
        <f>+AQ18</f>
        <v>0</v>
      </c>
      <c r="AR267" s="366">
        <f>AR18</f>
        <v>0</v>
      </c>
      <c r="AS267" s="367">
        <f t="shared" ref="AS267:AS268" si="481">AO267+AQ267</f>
        <v>0</v>
      </c>
      <c r="AT267" s="367">
        <f t="shared" si="470"/>
        <v>0</v>
      </c>
      <c r="AU267" s="6202">
        <f>+AU18</f>
        <v>0</v>
      </c>
      <c r="AV267" s="366">
        <f>AV18</f>
        <v>0</v>
      </c>
      <c r="AW267" s="367">
        <f t="shared" ref="AW267:AW268" si="482">AS267+AU267</f>
        <v>0</v>
      </c>
      <c r="AX267" s="367">
        <f t="shared" si="471"/>
        <v>0</v>
      </c>
      <c r="AY267" s="6407">
        <f>+AY18</f>
        <v>0</v>
      </c>
      <c r="AZ267" s="366">
        <f>AZ18</f>
        <v>0</v>
      </c>
      <c r="BA267" s="4125">
        <f>AQ267+AU267+AY267</f>
        <v>0</v>
      </c>
      <c r="BB267" s="446">
        <f t="shared" si="472"/>
        <v>0</v>
      </c>
      <c r="BC267" s="4157">
        <f t="shared" si="473"/>
        <v>0</v>
      </c>
      <c r="BD267" s="4157">
        <f t="shared" si="460"/>
        <v>0</v>
      </c>
      <c r="BE267" s="367">
        <f t="shared" ref="BE267:BE268" si="483">AW267+AY267</f>
        <v>0</v>
      </c>
      <c r="BF267" s="367">
        <f t="shared" si="474"/>
        <v>0</v>
      </c>
      <c r="BG267" s="4590"/>
      <c r="BH267" s="4590"/>
      <c r="BI267" s="4590"/>
      <c r="BJ267" s="4590"/>
    </row>
    <row r="268" spans="1:62" x14ac:dyDescent="0.25">
      <c r="A268" s="93"/>
      <c r="B268" s="449" t="s">
        <v>92</v>
      </c>
      <c r="C268" s="814" t="s">
        <v>50</v>
      </c>
      <c r="D268" s="1971">
        <f>+D19</f>
        <v>900000</v>
      </c>
      <c r="E268" s="1971">
        <f>+E19</f>
        <v>76000</v>
      </c>
      <c r="F268" s="1971">
        <f>SUM(F232:F267)</f>
        <v>60011.209999999992</v>
      </c>
      <c r="G268" s="1971">
        <f>+G19</f>
        <v>79000</v>
      </c>
      <c r="H268" s="1971">
        <f>SUM(H232:H267)</f>
        <v>67347.899999999994</v>
      </c>
      <c r="I268" s="376">
        <f t="shared" si="475"/>
        <v>155000</v>
      </c>
      <c r="J268" s="376">
        <f t="shared" si="469"/>
        <v>127359.10999999999</v>
      </c>
      <c r="K268" s="1971">
        <f>+K19</f>
        <v>48000</v>
      </c>
      <c r="L268" s="1971">
        <f>SUM(L232:L267)</f>
        <v>45346.210000000006</v>
      </c>
      <c r="M268" s="378">
        <f>E268+G268+K268</f>
        <v>203000</v>
      </c>
      <c r="N268" s="378">
        <f>F268+H268+L268</f>
        <v>172705.32</v>
      </c>
      <c r="O268" s="1971">
        <f>+O19</f>
        <v>37500</v>
      </c>
      <c r="P268" s="1971">
        <f>SUM(P232:P267)</f>
        <v>69331.990000000005</v>
      </c>
      <c r="Q268" s="376">
        <f t="shared" si="476"/>
        <v>240500</v>
      </c>
      <c r="R268" s="376">
        <f t="shared" si="477"/>
        <v>242037.31</v>
      </c>
      <c r="S268" s="1971">
        <f>+S19</f>
        <v>80000</v>
      </c>
      <c r="T268" s="1971">
        <f>SUM(T232:T267)</f>
        <v>73713.89</v>
      </c>
      <c r="U268" s="4885">
        <f t="shared" si="478"/>
        <v>320500</v>
      </c>
      <c r="V268" s="4885">
        <f t="shared" si="463"/>
        <v>315751.2</v>
      </c>
      <c r="W268" s="1971">
        <f>+W19</f>
        <v>77500</v>
      </c>
      <c r="X268" s="1971">
        <f>SUM(X232:X267)</f>
        <v>66573.360000000015</v>
      </c>
      <c r="Y268" s="378">
        <f t="shared" ref="Y268" si="484">O268+S268+W268</f>
        <v>195000</v>
      </c>
      <c r="Z268" s="378">
        <f t="shared" si="455"/>
        <v>209619.24000000002</v>
      </c>
      <c r="AA268" s="4160">
        <f>M268+Y268</f>
        <v>398000</v>
      </c>
      <c r="AB268" s="4160">
        <f t="shared" ref="AB268" si="485">N268+Z268</f>
        <v>382324.56000000006</v>
      </c>
      <c r="AC268" s="1971">
        <f>+AC19</f>
        <v>80000</v>
      </c>
      <c r="AD268" s="1971">
        <f>SUM(AD232:AD267)</f>
        <v>64076.469999999987</v>
      </c>
      <c r="AE268" s="376">
        <f t="shared" si="479"/>
        <v>478000</v>
      </c>
      <c r="AF268" s="376">
        <f t="shared" ref="AF268" si="486">AB268+AD268</f>
        <v>446401.03</v>
      </c>
      <c r="AG268" s="1971">
        <f>+AG19</f>
        <v>77500</v>
      </c>
      <c r="AH268" s="1971">
        <f>SUM(AH232:AH267)</f>
        <v>10813.23</v>
      </c>
      <c r="AI268" s="376">
        <f t="shared" si="480"/>
        <v>555500</v>
      </c>
      <c r="AJ268" s="376">
        <f t="shared" ref="AJ268" si="487">AF268+AH268</f>
        <v>457214.26</v>
      </c>
      <c r="AK268" s="1971">
        <f>+AK19</f>
        <v>80000</v>
      </c>
      <c r="AL268" s="1971">
        <f>SUM(AL232:AL267)</f>
        <v>67252.740000000005</v>
      </c>
      <c r="AM268" s="378">
        <f t="shared" ref="AM268" si="488">AC268+AG268+AK268</f>
        <v>237500</v>
      </c>
      <c r="AN268" s="378">
        <f t="shared" si="457"/>
        <v>142142.44</v>
      </c>
      <c r="AO268" s="376">
        <f t="shared" si="458"/>
        <v>635500</v>
      </c>
      <c r="AP268" s="376">
        <f t="shared" si="458"/>
        <v>524467</v>
      </c>
      <c r="AQ268" s="1971">
        <f>+AQ19</f>
        <v>80000</v>
      </c>
      <c r="AR268" s="1971">
        <f>SUM(AR232:AR267)</f>
        <v>70877.679999999993</v>
      </c>
      <c r="AS268" s="376">
        <f t="shared" si="481"/>
        <v>715500</v>
      </c>
      <c r="AT268" s="376">
        <f t="shared" si="470"/>
        <v>595344.67999999993</v>
      </c>
      <c r="AU268" s="1971">
        <f>+AU19</f>
        <v>72500</v>
      </c>
      <c r="AV268" s="1971">
        <f>SUM(AV232:AV267)</f>
        <v>58216.86</v>
      </c>
      <c r="AW268" s="6190">
        <f t="shared" si="482"/>
        <v>788000</v>
      </c>
      <c r="AX268" s="6190">
        <f t="shared" si="471"/>
        <v>653561.53999999992</v>
      </c>
      <c r="AY268" s="1971">
        <f>+AY19</f>
        <v>80000</v>
      </c>
      <c r="AZ268" s="1971">
        <f>SUM(AZ232:AZ267)</f>
        <v>84208.419999999984</v>
      </c>
      <c r="BA268" s="378">
        <f t="shared" ref="BA268" si="489">AQ268+AU268+AY268</f>
        <v>232500</v>
      </c>
      <c r="BB268" s="378">
        <f t="shared" si="472"/>
        <v>213302.95999999996</v>
      </c>
      <c r="BC268" s="4160">
        <f>AM268+BA268</f>
        <v>470000</v>
      </c>
      <c r="BD268" s="4160">
        <f>AN268+BB268</f>
        <v>355445.39999999997</v>
      </c>
      <c r="BE268" s="376">
        <f t="shared" si="483"/>
        <v>868000</v>
      </c>
      <c r="BF268" s="376">
        <f t="shared" si="474"/>
        <v>737769.96</v>
      </c>
      <c r="BG268" s="4590"/>
      <c r="BH268" s="4590"/>
      <c r="BI268" s="4590"/>
      <c r="BJ268" s="4590"/>
    </row>
    <row r="269" spans="1:62" ht="20.25" customHeight="1" x14ac:dyDescent="0.25">
      <c r="A269" s="93"/>
      <c r="B269" s="449" t="s">
        <v>633</v>
      </c>
      <c r="C269" s="642"/>
      <c r="D269" s="642"/>
      <c r="E269" s="1971"/>
      <c r="F269" s="642"/>
      <c r="G269" s="1971"/>
      <c r="H269" s="642"/>
      <c r="I269" s="376"/>
      <c r="J269" s="875">
        <f t="shared" si="469"/>
        <v>0</v>
      </c>
      <c r="K269" s="1971"/>
      <c r="L269" s="642"/>
      <c r="M269" s="378"/>
      <c r="N269" s="876"/>
      <c r="O269" s="1971"/>
      <c r="P269" s="642"/>
      <c r="Q269" s="376"/>
      <c r="R269" s="875"/>
      <c r="S269" s="1971"/>
      <c r="T269" s="642"/>
      <c r="U269" s="4885"/>
      <c r="V269" s="875"/>
      <c r="W269" s="1971"/>
      <c r="X269" s="642"/>
      <c r="Y269" s="378"/>
      <c r="Z269" s="876"/>
      <c r="AA269" s="4160"/>
      <c r="AB269" s="4244"/>
      <c r="AC269" s="1971"/>
      <c r="AD269" s="642"/>
      <c r="AE269" s="376"/>
      <c r="AF269" s="875"/>
      <c r="AG269" s="1971"/>
      <c r="AH269" s="642"/>
      <c r="AI269" s="376"/>
      <c r="AJ269" s="875"/>
      <c r="AK269" s="1971"/>
      <c r="AL269" s="642"/>
      <c r="AM269" s="378"/>
      <c r="AN269" s="876"/>
      <c r="AO269" s="376"/>
      <c r="AP269" s="875"/>
      <c r="AQ269" s="1971"/>
      <c r="AR269" s="642"/>
      <c r="AS269" s="376"/>
      <c r="AT269" s="875"/>
      <c r="AU269" s="1971"/>
      <c r="AV269" s="642"/>
      <c r="AW269" s="6190"/>
      <c r="AX269" s="875"/>
      <c r="AY269" s="1971"/>
      <c r="AZ269" s="642"/>
      <c r="BA269" s="378"/>
      <c r="BB269" s="876"/>
      <c r="BC269" s="4160"/>
      <c r="BD269" s="4244"/>
      <c r="BE269" s="376"/>
      <c r="BF269" s="875"/>
      <c r="BG269" s="4590"/>
      <c r="BH269" s="4590"/>
      <c r="BI269" s="4590"/>
      <c r="BJ269" s="4590"/>
    </row>
    <row r="270" spans="1:62" ht="20.25" customHeight="1" x14ac:dyDescent="0.25">
      <c r="A270" s="93"/>
      <c r="B270" s="4278" t="s">
        <v>2142</v>
      </c>
      <c r="C270" s="159" t="s">
        <v>50</v>
      </c>
      <c r="D270" s="159"/>
      <c r="E270" s="4279"/>
      <c r="F270" s="1970"/>
      <c r="G270" s="4279"/>
      <c r="H270" s="1970"/>
      <c r="I270" s="4280"/>
      <c r="J270" s="2399">
        <f t="shared" si="469"/>
        <v>0</v>
      </c>
      <c r="K270" s="4279"/>
      <c r="L270" s="1970"/>
      <c r="M270" s="4281"/>
      <c r="N270" s="4125">
        <f>F270+H270+L270</f>
        <v>0</v>
      </c>
      <c r="O270" s="4279"/>
      <c r="P270" s="1970"/>
      <c r="Q270" s="4280"/>
      <c r="R270" s="2399">
        <f t="shared" si="477"/>
        <v>0</v>
      </c>
      <c r="S270" s="4279"/>
      <c r="T270" s="1970"/>
      <c r="U270" s="4280"/>
      <c r="V270" s="4890">
        <f t="shared" ref="V270:V273" si="490">R270+T270</f>
        <v>0</v>
      </c>
      <c r="W270" s="4279"/>
      <c r="X270" s="1970"/>
      <c r="Y270" s="4281"/>
      <c r="Z270" s="4125">
        <f t="shared" ref="Z270:Z272" si="491">P270+T270+X270</f>
        <v>0</v>
      </c>
      <c r="AA270" s="4282"/>
      <c r="AB270" s="4157">
        <f>N270+Z270</f>
        <v>0</v>
      </c>
      <c r="AC270" s="4279"/>
      <c r="AD270" s="1970"/>
      <c r="AE270" s="4280"/>
      <c r="AF270" s="2399">
        <f t="shared" ref="AF270:AF273" si="492">AB270+AD270</f>
        <v>0</v>
      </c>
      <c r="AG270" s="4279"/>
      <c r="AH270" s="1970"/>
      <c r="AI270" s="4280"/>
      <c r="AJ270" s="2399">
        <f t="shared" ref="AJ270:AJ273" si="493">AF270+AH270</f>
        <v>0</v>
      </c>
      <c r="AK270" s="4279"/>
      <c r="AL270" s="1970"/>
      <c r="AM270" s="4281"/>
      <c r="AN270" s="4125">
        <f t="shared" ref="AN270:AN272" si="494">AD270+AH270+AL270</f>
        <v>0</v>
      </c>
      <c r="AO270" s="4280"/>
      <c r="AP270" s="2399">
        <f t="shared" si="458"/>
        <v>0</v>
      </c>
      <c r="AQ270" s="4279"/>
      <c r="AR270" s="1970">
        <v>53.43</v>
      </c>
      <c r="AS270" s="4280"/>
      <c r="AT270" s="2399">
        <f t="shared" ref="AT270:AT273" si="495">AP270+AR270</f>
        <v>53.43</v>
      </c>
      <c r="AU270" s="4279"/>
      <c r="AV270" s="1970"/>
      <c r="AW270" s="4280"/>
      <c r="AX270" s="6193">
        <f t="shared" ref="AX270:AX273" si="496">AT270+AV270</f>
        <v>53.43</v>
      </c>
      <c r="AY270" s="4279"/>
      <c r="AZ270" s="1970"/>
      <c r="BA270" s="4281"/>
      <c r="BB270" s="4125">
        <f t="shared" ref="BB270:BB272" si="497">AR270+AV270+AZ270</f>
        <v>53.43</v>
      </c>
      <c r="BC270" s="4282"/>
      <c r="BD270" s="4157">
        <f t="shared" ref="BD270:BD272" si="498">AN270+BB270</f>
        <v>53.43</v>
      </c>
      <c r="BE270" s="4280"/>
      <c r="BF270" s="2399">
        <f t="shared" ref="BF270:BF273" si="499">AX270+AZ270</f>
        <v>53.43</v>
      </c>
      <c r="BG270" s="4590"/>
      <c r="BH270" s="4590"/>
      <c r="BI270" s="4590"/>
      <c r="BJ270" s="4590"/>
    </row>
    <row r="271" spans="1:62" ht="20.25" customHeight="1" x14ac:dyDescent="0.25">
      <c r="A271" s="199"/>
      <c r="B271" s="4278" t="s">
        <v>1366</v>
      </c>
      <c r="C271" s="159" t="s">
        <v>50</v>
      </c>
      <c r="D271" s="159"/>
      <c r="E271" s="4279"/>
      <c r="F271" s="1970"/>
      <c r="G271" s="4279"/>
      <c r="H271" s="1970"/>
      <c r="I271" s="4280"/>
      <c r="J271" s="2399">
        <f t="shared" si="469"/>
        <v>0</v>
      </c>
      <c r="K271" s="4279"/>
      <c r="L271" s="1970"/>
      <c r="M271" s="4281"/>
      <c r="N271" s="4125">
        <f t="shared" ref="N271:N272" si="500">F271+H271+L271</f>
        <v>0</v>
      </c>
      <c r="O271" s="4279"/>
      <c r="P271" s="1970"/>
      <c r="Q271" s="4280"/>
      <c r="R271" s="2399">
        <f t="shared" si="477"/>
        <v>0</v>
      </c>
      <c r="S271" s="4279"/>
      <c r="T271" s="1970"/>
      <c r="U271" s="4280"/>
      <c r="V271" s="4890">
        <f t="shared" si="490"/>
        <v>0</v>
      </c>
      <c r="W271" s="4279"/>
      <c r="X271" s="1970"/>
      <c r="Y271" s="4281"/>
      <c r="Z271" s="4125">
        <f t="shared" si="491"/>
        <v>0</v>
      </c>
      <c r="AA271" s="4282"/>
      <c r="AB271" s="4157">
        <f t="shared" ref="AB271:AB272" si="501">N271+Z271</f>
        <v>0</v>
      </c>
      <c r="AC271" s="4279"/>
      <c r="AD271" s="1970"/>
      <c r="AE271" s="4280"/>
      <c r="AF271" s="2399">
        <f t="shared" si="492"/>
        <v>0</v>
      </c>
      <c r="AG271" s="4279"/>
      <c r="AH271" s="1970"/>
      <c r="AI271" s="4280"/>
      <c r="AJ271" s="2399">
        <f t="shared" si="493"/>
        <v>0</v>
      </c>
      <c r="AK271" s="4279"/>
      <c r="AL271" s="1970"/>
      <c r="AM271" s="4281"/>
      <c r="AN271" s="4125">
        <f t="shared" si="494"/>
        <v>0</v>
      </c>
      <c r="AO271" s="4280"/>
      <c r="AP271" s="2399">
        <f t="shared" si="458"/>
        <v>0</v>
      </c>
      <c r="AQ271" s="4279"/>
      <c r="AR271" s="1970"/>
      <c r="AS271" s="4280"/>
      <c r="AT271" s="2399">
        <f t="shared" si="495"/>
        <v>0</v>
      </c>
      <c r="AU271" s="4279"/>
      <c r="AV271" s="1970"/>
      <c r="AW271" s="4280"/>
      <c r="AX271" s="6193">
        <f t="shared" si="496"/>
        <v>0</v>
      </c>
      <c r="AY271" s="4279"/>
      <c r="AZ271" s="1970"/>
      <c r="BA271" s="4281"/>
      <c r="BB271" s="4125">
        <f t="shared" si="497"/>
        <v>0</v>
      </c>
      <c r="BC271" s="4282"/>
      <c r="BD271" s="4157">
        <f t="shared" si="498"/>
        <v>0</v>
      </c>
      <c r="BE271" s="4280"/>
      <c r="BF271" s="2399">
        <f t="shared" si="499"/>
        <v>0</v>
      </c>
      <c r="BG271" s="4590"/>
      <c r="BH271" s="4590"/>
      <c r="BI271" s="4590"/>
      <c r="BJ271" s="4590"/>
    </row>
    <row r="272" spans="1:62" ht="20.25" customHeight="1" x14ac:dyDescent="0.25">
      <c r="A272" s="199"/>
      <c r="B272" s="4278" t="s">
        <v>1119</v>
      </c>
      <c r="C272" s="159" t="s">
        <v>50</v>
      </c>
      <c r="D272" s="159"/>
      <c r="E272" s="4279"/>
      <c r="F272" s="1970"/>
      <c r="G272" s="4279"/>
      <c r="H272" s="1970"/>
      <c r="I272" s="4280"/>
      <c r="J272" s="2399">
        <f t="shared" si="469"/>
        <v>0</v>
      </c>
      <c r="K272" s="4279"/>
      <c r="L272" s="1970"/>
      <c r="M272" s="4281"/>
      <c r="N272" s="4125">
        <f t="shared" si="500"/>
        <v>0</v>
      </c>
      <c r="O272" s="4279"/>
      <c r="P272" s="1970"/>
      <c r="Q272" s="4280"/>
      <c r="R272" s="2399">
        <f t="shared" si="477"/>
        <v>0</v>
      </c>
      <c r="S272" s="4279"/>
      <c r="T272" s="1970"/>
      <c r="U272" s="4280"/>
      <c r="V272" s="4890">
        <f t="shared" si="490"/>
        <v>0</v>
      </c>
      <c r="W272" s="4279"/>
      <c r="X272" s="1970"/>
      <c r="Y272" s="4281"/>
      <c r="Z272" s="4125">
        <f t="shared" si="491"/>
        <v>0</v>
      </c>
      <c r="AA272" s="4282"/>
      <c r="AB272" s="4157">
        <f t="shared" si="501"/>
        <v>0</v>
      </c>
      <c r="AC272" s="4279"/>
      <c r="AD272" s="1970"/>
      <c r="AE272" s="4280"/>
      <c r="AF272" s="2399">
        <f t="shared" si="492"/>
        <v>0</v>
      </c>
      <c r="AG272" s="4279"/>
      <c r="AH272" s="1970"/>
      <c r="AI272" s="4280"/>
      <c r="AJ272" s="2399">
        <f t="shared" si="493"/>
        <v>0</v>
      </c>
      <c r="AK272" s="4279"/>
      <c r="AL272" s="1970"/>
      <c r="AM272" s="4281"/>
      <c r="AN272" s="4125">
        <f t="shared" si="494"/>
        <v>0</v>
      </c>
      <c r="AO272" s="4280"/>
      <c r="AP272" s="2399">
        <f t="shared" ref="AO272:AP273" si="502">AJ272+AL272</f>
        <v>0</v>
      </c>
      <c r="AQ272" s="4279"/>
      <c r="AR272" s="1970"/>
      <c r="AS272" s="4280"/>
      <c r="AT272" s="2399">
        <f t="shared" si="495"/>
        <v>0</v>
      </c>
      <c r="AU272" s="4279"/>
      <c r="AV272" s="1970"/>
      <c r="AW272" s="4280"/>
      <c r="AX272" s="6193">
        <f t="shared" si="496"/>
        <v>0</v>
      </c>
      <c r="AY272" s="4279"/>
      <c r="AZ272" s="1970"/>
      <c r="BA272" s="4281"/>
      <c r="BB272" s="4125">
        <f t="shared" si="497"/>
        <v>0</v>
      </c>
      <c r="BC272" s="4282"/>
      <c r="BD272" s="4157">
        <f t="shared" si="498"/>
        <v>0</v>
      </c>
      <c r="BE272" s="4280"/>
      <c r="BF272" s="2399">
        <f t="shared" si="499"/>
        <v>0</v>
      </c>
      <c r="BG272" s="4590"/>
      <c r="BH272" s="4590"/>
      <c r="BI272" s="4590"/>
      <c r="BJ272" s="4590"/>
    </row>
    <row r="273" spans="1:62" x14ac:dyDescent="0.25">
      <c r="A273" s="199"/>
      <c r="B273" s="4235" t="s">
        <v>2</v>
      </c>
      <c r="C273" s="814" t="s">
        <v>50</v>
      </c>
      <c r="D273" s="1971">
        <f>+D16</f>
        <v>5000.0000000000009</v>
      </c>
      <c r="E273" s="1971">
        <f>+E16</f>
        <v>454.54545454545456</v>
      </c>
      <c r="F273" s="4283">
        <f>SUM(F270:F272)</f>
        <v>0</v>
      </c>
      <c r="G273" s="1971">
        <f>+G16</f>
        <v>0</v>
      </c>
      <c r="H273" s="4283">
        <f>SUM(H270:H272)</f>
        <v>0</v>
      </c>
      <c r="I273" s="376">
        <f>+I16</f>
        <v>454.54545454545456</v>
      </c>
      <c r="J273" s="4284">
        <f t="shared" si="469"/>
        <v>0</v>
      </c>
      <c r="K273" s="1971">
        <f>+K16</f>
        <v>0</v>
      </c>
      <c r="L273" s="4283">
        <f>SUM(L270:L272)</f>
        <v>0</v>
      </c>
      <c r="M273" s="4285">
        <f>E273+G273+K273</f>
        <v>454.54545454545456</v>
      </c>
      <c r="N273" s="4285">
        <f>F273+H273+L273</f>
        <v>0</v>
      </c>
      <c r="O273" s="1971">
        <f>+O16</f>
        <v>0</v>
      </c>
      <c r="P273" s="4283">
        <f>SUM(P270:P272)</f>
        <v>0</v>
      </c>
      <c r="Q273" s="376">
        <f>+Q16</f>
        <v>454.54545454545456</v>
      </c>
      <c r="R273" s="4284">
        <f t="shared" si="477"/>
        <v>0</v>
      </c>
      <c r="S273" s="1971">
        <f>+S16</f>
        <v>500</v>
      </c>
      <c r="T273" s="4283">
        <f>SUM(T270:T272)</f>
        <v>0</v>
      </c>
      <c r="U273" s="4885">
        <f>+U16</f>
        <v>954.5454545454545</v>
      </c>
      <c r="V273" s="4284">
        <f t="shared" si="490"/>
        <v>0</v>
      </c>
      <c r="W273" s="1971">
        <f>+W16</f>
        <v>500</v>
      </c>
      <c r="X273" s="4283">
        <f>SUM(X270:X272)</f>
        <v>0</v>
      </c>
      <c r="Y273" s="378">
        <f>+Y16</f>
        <v>1000</v>
      </c>
      <c r="Z273" s="4285">
        <f>P273+T273+X273</f>
        <v>0</v>
      </c>
      <c r="AA273" s="4160">
        <f>+AA16</f>
        <v>1454.5454545454545</v>
      </c>
      <c r="AB273" s="4286">
        <f>N273+Z273</f>
        <v>0</v>
      </c>
      <c r="AC273" s="1971">
        <f>+AC16</f>
        <v>500</v>
      </c>
      <c r="AD273" s="4283">
        <f>SUM(AD270:AD272)</f>
        <v>0</v>
      </c>
      <c r="AE273" s="376">
        <f>+AE16</f>
        <v>1954.5454545454545</v>
      </c>
      <c r="AF273" s="4284">
        <f t="shared" si="492"/>
        <v>0</v>
      </c>
      <c r="AG273" s="1971">
        <f>+AG16</f>
        <v>500</v>
      </c>
      <c r="AH273" s="4283">
        <f>SUM(AH270:AH272)</f>
        <v>0</v>
      </c>
      <c r="AI273" s="376">
        <f>+AI16</f>
        <v>2454.5454545454545</v>
      </c>
      <c r="AJ273" s="4284">
        <f t="shared" si="493"/>
        <v>0</v>
      </c>
      <c r="AK273" s="1971">
        <f>+AK16</f>
        <v>500</v>
      </c>
      <c r="AL273" s="4283">
        <f>SUM(AL270:AL272)</f>
        <v>0</v>
      </c>
      <c r="AM273" s="378">
        <f>+AM16</f>
        <v>1500</v>
      </c>
      <c r="AN273" s="4285">
        <f>AD273+AH273+AL273</f>
        <v>0</v>
      </c>
      <c r="AO273" s="376">
        <f t="shared" si="502"/>
        <v>2954.5454545454545</v>
      </c>
      <c r="AP273" s="4284">
        <f t="shared" si="502"/>
        <v>0</v>
      </c>
      <c r="AQ273" s="1971">
        <f>+AQ16</f>
        <v>500</v>
      </c>
      <c r="AR273" s="4283">
        <f>SUM(AR270:AR272)</f>
        <v>53.43</v>
      </c>
      <c r="AS273" s="376">
        <f>+AS16</f>
        <v>3454.5454545454545</v>
      </c>
      <c r="AT273" s="4284">
        <f t="shared" si="495"/>
        <v>53.43</v>
      </c>
      <c r="AU273" s="1971">
        <f>+AU16</f>
        <v>500</v>
      </c>
      <c r="AV273" s="4283">
        <f>SUM(AV270:AV272)</f>
        <v>0</v>
      </c>
      <c r="AW273" s="6190">
        <f>+AW16</f>
        <v>3954.5454545454545</v>
      </c>
      <c r="AX273" s="4284">
        <f t="shared" si="496"/>
        <v>53.43</v>
      </c>
      <c r="AY273" s="1971">
        <f>+AY16</f>
        <v>500</v>
      </c>
      <c r="AZ273" s="4283">
        <f>SUM(AZ270:AZ272)</f>
        <v>0</v>
      </c>
      <c r="BA273" s="378">
        <f>+BA16</f>
        <v>1500</v>
      </c>
      <c r="BB273" s="4285">
        <f>AR273+AV273+AZ273</f>
        <v>53.43</v>
      </c>
      <c r="BC273" s="4160">
        <f>AM273+BA273</f>
        <v>3000</v>
      </c>
      <c r="BD273" s="4160">
        <f>AN273+BB273</f>
        <v>53.43</v>
      </c>
      <c r="BE273" s="376">
        <f>+BE16</f>
        <v>4454.545454545454</v>
      </c>
      <c r="BF273" s="4284">
        <f t="shared" si="499"/>
        <v>53.43</v>
      </c>
      <c r="BG273" s="4590"/>
      <c r="BH273" s="4590"/>
      <c r="BI273" s="4590"/>
      <c r="BJ273" s="4590"/>
    </row>
    <row r="274" spans="1:62" ht="21" hidden="1" customHeight="1" x14ac:dyDescent="0.25">
      <c r="A274" s="199"/>
      <c r="B274" s="4242"/>
      <c r="C274" s="642"/>
      <c r="D274" s="642"/>
      <c r="E274" s="1971"/>
      <c r="F274" s="1348"/>
      <c r="G274" s="1971"/>
      <c r="H274" s="1348"/>
      <c r="I274" s="376"/>
      <c r="J274" s="4243"/>
      <c r="K274" s="1971"/>
      <c r="L274" s="1348"/>
      <c r="M274" s="378"/>
      <c r="N274" s="1738"/>
      <c r="O274" s="1971"/>
      <c r="P274" s="1348"/>
      <c r="Q274" s="376"/>
      <c r="R274" s="4243"/>
      <c r="S274" s="1971"/>
      <c r="T274" s="1348"/>
      <c r="U274" s="4885"/>
      <c r="V274" s="4243"/>
      <c r="W274" s="1971"/>
      <c r="X274" s="1348"/>
      <c r="Y274" s="378"/>
      <c r="Z274" s="1738"/>
      <c r="AA274" s="4160"/>
      <c r="AB274" s="4245"/>
      <c r="AC274" s="1971"/>
      <c r="AD274" s="1348"/>
      <c r="AE274" s="376"/>
      <c r="AF274" s="4243"/>
      <c r="AG274" s="1971"/>
      <c r="AH274" s="1348"/>
      <c r="AI274" s="376"/>
      <c r="AJ274" s="4243"/>
      <c r="AK274" s="1971"/>
      <c r="AL274" s="1348"/>
      <c r="AM274" s="378"/>
      <c r="AN274" s="1738"/>
      <c r="AO274" s="376"/>
      <c r="AP274" s="4243"/>
      <c r="AQ274" s="1971"/>
      <c r="AR274" s="1348"/>
      <c r="AS274" s="376"/>
      <c r="AT274" s="4243"/>
      <c r="AU274" s="1971"/>
      <c r="AV274" s="1348"/>
      <c r="AW274" s="6190"/>
      <c r="AX274" s="4243"/>
      <c r="AY274" s="1971"/>
      <c r="AZ274" s="1348"/>
      <c r="BA274" s="378"/>
      <c r="BB274" s="1738"/>
      <c r="BC274" s="4160"/>
      <c r="BD274" s="4245"/>
      <c r="BE274" s="376"/>
      <c r="BF274" s="4243"/>
      <c r="BG274" s="4590"/>
      <c r="BH274" s="4590"/>
      <c r="BI274" s="4590"/>
      <c r="BJ274" s="4590"/>
    </row>
    <row r="275" spans="1:62" x14ac:dyDescent="0.25">
      <c r="A275" s="199"/>
      <c r="B275" s="4246" t="s">
        <v>321</v>
      </c>
      <c r="C275" s="4156" t="s">
        <v>1161</v>
      </c>
      <c r="D275" s="4156"/>
      <c r="E275" s="4156"/>
      <c r="F275" s="4156"/>
      <c r="G275" s="4156"/>
      <c r="H275" s="4156"/>
      <c r="I275" s="4247"/>
      <c r="J275" s="4247"/>
      <c r="K275" s="4156"/>
      <c r="L275" s="4156"/>
      <c r="M275" s="4248"/>
      <c r="N275" s="4248"/>
      <c r="O275" s="4156"/>
      <c r="P275" s="4156"/>
      <c r="Q275" s="4247"/>
      <c r="R275" s="4247"/>
      <c r="S275" s="4156"/>
      <c r="T275" s="4156"/>
      <c r="U275" s="4247"/>
      <c r="V275" s="4247"/>
      <c r="W275" s="4156"/>
      <c r="X275" s="4156"/>
      <c r="Y275" s="4248"/>
      <c r="Z275" s="4248"/>
      <c r="AA275" s="4249"/>
      <c r="AB275" s="4249"/>
      <c r="AC275" s="4156"/>
      <c r="AD275" s="4156"/>
      <c r="AE275" s="4247"/>
      <c r="AF275" s="4247"/>
      <c r="AG275" s="4156"/>
      <c r="AH275" s="4156"/>
      <c r="AI275" s="4247"/>
      <c r="AJ275" s="4247"/>
      <c r="AK275" s="4156"/>
      <c r="AL275" s="4156"/>
      <c r="AM275" s="4248"/>
      <c r="AN275" s="4248"/>
      <c r="AO275" s="4247"/>
      <c r="AP275" s="4247"/>
      <c r="AQ275" s="4156"/>
      <c r="AR275" s="4156"/>
      <c r="AS275" s="4247"/>
      <c r="AT275" s="4247"/>
      <c r="AU275" s="4156"/>
      <c r="AV275" s="4156"/>
      <c r="AW275" s="4247"/>
      <c r="AX275" s="4247"/>
      <c r="AY275" s="4156"/>
      <c r="AZ275" s="4156"/>
      <c r="BA275" s="4248"/>
      <c r="BB275" s="4248"/>
      <c r="BC275" s="4249"/>
      <c r="BD275" s="4249"/>
      <c r="BE275" s="4247"/>
      <c r="BF275" s="4247"/>
      <c r="BG275" s="4590"/>
      <c r="BH275" s="4590"/>
      <c r="BI275" s="4590"/>
      <c r="BJ275" s="4590"/>
    </row>
    <row r="276" spans="1:62" x14ac:dyDescent="0.25">
      <c r="A276" s="199"/>
      <c r="B276" s="4183" t="s">
        <v>949</v>
      </c>
      <c r="C276" s="4183" t="s">
        <v>905</v>
      </c>
      <c r="D276" s="4183"/>
      <c r="E276" s="7486"/>
      <c r="F276" s="1970"/>
      <c r="G276" s="7486"/>
      <c r="H276" s="1970"/>
      <c r="I276" s="7500"/>
      <c r="J276" s="2399">
        <f t="shared" ref="J276:J355" si="503">F276+H276</f>
        <v>0</v>
      </c>
      <c r="K276" s="7486"/>
      <c r="L276" s="1970"/>
      <c r="M276" s="7530"/>
      <c r="N276" s="4125">
        <f>F276+H276+L276</f>
        <v>0</v>
      </c>
      <c r="O276" s="7486"/>
      <c r="P276" s="1970"/>
      <c r="Q276" s="7500"/>
      <c r="R276" s="2399">
        <f t="shared" ref="R276:R351" si="504">N276+P276</f>
        <v>0</v>
      </c>
      <c r="S276" s="7486"/>
      <c r="T276" s="1970"/>
      <c r="U276" s="7500"/>
      <c r="V276" s="4890">
        <f t="shared" ref="V276:V351" si="505">R276+T276</f>
        <v>0</v>
      </c>
      <c r="W276" s="7486"/>
      <c r="X276" s="1970"/>
      <c r="Y276" s="7530"/>
      <c r="Z276" s="4125">
        <f t="shared" ref="Z276:Z355" si="506">P276+T276+X276</f>
        <v>0</v>
      </c>
      <c r="AA276" s="7515"/>
      <c r="AB276" s="4157">
        <f t="shared" ref="AB276:AB356" si="507">N276+Z276</f>
        <v>0</v>
      </c>
      <c r="AC276" s="7484"/>
      <c r="AD276" s="5386"/>
      <c r="AE276" s="7500"/>
      <c r="AF276" s="2399">
        <f t="shared" ref="AF276:AF372" si="508">AB276+AD276</f>
        <v>0</v>
      </c>
      <c r="AG276" s="7484"/>
      <c r="AH276" s="5386"/>
      <c r="AI276" s="7489"/>
      <c r="AJ276" s="2399">
        <f t="shared" ref="AJ276:AJ344" si="509">AF276+AH276</f>
        <v>0</v>
      </c>
      <c r="AK276" s="7484"/>
      <c r="AL276" s="5386"/>
      <c r="AM276" s="7530"/>
      <c r="AN276" s="4125">
        <f t="shared" ref="AN276:AN357" si="510">AD276+AH276+AL276</f>
        <v>0</v>
      </c>
      <c r="AO276" s="7500"/>
      <c r="AP276" s="2399">
        <f t="shared" ref="AO276:AP372" si="511">AJ276+AL276</f>
        <v>0</v>
      </c>
      <c r="AQ276" s="7484"/>
      <c r="AR276" s="5386"/>
      <c r="AS276" s="7489"/>
      <c r="AT276" s="2399">
        <f t="shared" ref="AT276:AT371" si="512">AP276+AR276</f>
        <v>0</v>
      </c>
      <c r="AU276" s="7484"/>
      <c r="AV276" s="5386"/>
      <c r="AW276" s="7489"/>
      <c r="AX276" s="6193">
        <f t="shared" ref="AX276:AX371" si="513">AT276+AV276</f>
        <v>0</v>
      </c>
      <c r="AY276" s="7484"/>
      <c r="AZ276" s="5386"/>
      <c r="BA276" s="7530"/>
      <c r="BB276" s="4125">
        <f t="shared" ref="BB276:BB339" si="514">AR276+AV276+AZ276</f>
        <v>0</v>
      </c>
      <c r="BC276" s="7515"/>
      <c r="BD276" s="4157">
        <f t="shared" ref="BD276:BD356" si="515">AN276+BB276</f>
        <v>0</v>
      </c>
      <c r="BE276" s="7489"/>
      <c r="BF276" s="2399">
        <f t="shared" ref="BF276:BF371" si="516">AX276+AZ276</f>
        <v>0</v>
      </c>
      <c r="BG276" s="4590"/>
      <c r="BH276" s="4590"/>
      <c r="BI276" s="4590"/>
      <c r="BJ276" s="4590"/>
    </row>
    <row r="277" spans="1:62" x14ac:dyDescent="0.25">
      <c r="A277" s="199"/>
      <c r="B277" s="4183" t="s">
        <v>949</v>
      </c>
      <c r="C277" s="4183" t="s">
        <v>904</v>
      </c>
      <c r="D277" s="4183"/>
      <c r="E277" s="7486"/>
      <c r="F277" s="1970">
        <v>1041.23</v>
      </c>
      <c r="G277" s="7486"/>
      <c r="H277" s="1970">
        <v>945.81</v>
      </c>
      <c r="I277" s="7500"/>
      <c r="J277" s="7213">
        <f t="shared" si="503"/>
        <v>1987.04</v>
      </c>
      <c r="K277" s="7486"/>
      <c r="L277" s="1970"/>
      <c r="M277" s="7530"/>
      <c r="N277" s="4568">
        <f t="shared" ref="N277:N346" si="517">F277+H277+L277</f>
        <v>1987.04</v>
      </c>
      <c r="O277" s="7486"/>
      <c r="P277" s="1970">
        <v>1698.5500000000002</v>
      </c>
      <c r="Q277" s="7500"/>
      <c r="R277" s="4821">
        <f t="shared" si="504"/>
        <v>3685.59</v>
      </c>
      <c r="S277" s="7486"/>
      <c r="T277" s="1970">
        <v>112.93</v>
      </c>
      <c r="U277" s="7500"/>
      <c r="V277" s="4890">
        <f t="shared" si="505"/>
        <v>3798.52</v>
      </c>
      <c r="W277" s="7486"/>
      <c r="X277" s="1970"/>
      <c r="Y277" s="7530"/>
      <c r="Z277" s="4125">
        <f t="shared" si="506"/>
        <v>1811.4800000000002</v>
      </c>
      <c r="AA277" s="7515"/>
      <c r="AB277" s="4157">
        <f t="shared" si="507"/>
        <v>3798.5200000000004</v>
      </c>
      <c r="AC277" s="7484"/>
      <c r="AD277" s="5386"/>
      <c r="AE277" s="7500"/>
      <c r="AF277" s="5333">
        <f t="shared" si="508"/>
        <v>3798.5200000000004</v>
      </c>
      <c r="AG277" s="7484"/>
      <c r="AH277" s="5386">
        <v>63.6</v>
      </c>
      <c r="AI277" s="7490"/>
      <c r="AJ277" s="5511">
        <f t="shared" si="509"/>
        <v>3862.1200000000003</v>
      </c>
      <c r="AK277" s="7484"/>
      <c r="AL277" s="5386"/>
      <c r="AM277" s="7530"/>
      <c r="AN277" s="5903">
        <f t="shared" si="510"/>
        <v>63.6</v>
      </c>
      <c r="AO277" s="7500"/>
      <c r="AP277" s="5907">
        <f t="shared" si="511"/>
        <v>3862.1200000000003</v>
      </c>
      <c r="AQ277" s="7484"/>
      <c r="AR277" s="5386">
        <v>1946.1200000000003</v>
      </c>
      <c r="AS277" s="7490"/>
      <c r="AT277" s="6135">
        <f t="shared" si="512"/>
        <v>5808.2400000000007</v>
      </c>
      <c r="AU277" s="7484"/>
      <c r="AV277" s="5386">
        <v>1544.5499999999997</v>
      </c>
      <c r="AW277" s="7490"/>
      <c r="AX277" s="6193">
        <f t="shared" si="513"/>
        <v>7352.7900000000009</v>
      </c>
      <c r="AY277" s="7484"/>
      <c r="AZ277" s="5386"/>
      <c r="BA277" s="7530"/>
      <c r="BB277" s="6596">
        <f t="shared" si="514"/>
        <v>3490.67</v>
      </c>
      <c r="BC277" s="7515"/>
      <c r="BD277" s="6599">
        <f t="shared" si="515"/>
        <v>3554.27</v>
      </c>
      <c r="BE277" s="7490"/>
      <c r="BF277" s="2399">
        <f t="shared" si="516"/>
        <v>7352.7900000000009</v>
      </c>
      <c r="BG277" s="4590"/>
      <c r="BH277" s="4590"/>
      <c r="BI277" s="4590"/>
      <c r="BJ277" s="4590"/>
    </row>
    <row r="278" spans="1:62" x14ac:dyDescent="0.25">
      <c r="A278" s="199"/>
      <c r="B278" s="4183" t="s">
        <v>1669</v>
      </c>
      <c r="C278" s="4183" t="s">
        <v>904</v>
      </c>
      <c r="D278" s="4183"/>
      <c r="E278" s="7486"/>
      <c r="F278" s="1970">
        <v>156.06</v>
      </c>
      <c r="G278" s="7486"/>
      <c r="H278" s="1970">
        <v>206.14</v>
      </c>
      <c r="I278" s="7500"/>
      <c r="J278" s="7213">
        <f t="shared" si="503"/>
        <v>362.2</v>
      </c>
      <c r="K278" s="7486"/>
      <c r="L278" s="1970">
        <v>149.13</v>
      </c>
      <c r="M278" s="7530"/>
      <c r="N278" s="4568">
        <f t="shared" si="517"/>
        <v>511.33</v>
      </c>
      <c r="O278" s="7486"/>
      <c r="P278" s="1970">
        <v>34.1</v>
      </c>
      <c r="Q278" s="7500"/>
      <c r="R278" s="4821">
        <f t="shared" si="504"/>
        <v>545.42999999999995</v>
      </c>
      <c r="S278" s="7486"/>
      <c r="T278" s="1970">
        <v>263.43</v>
      </c>
      <c r="U278" s="7500"/>
      <c r="V278" s="4890">
        <f t="shared" si="505"/>
        <v>808.8599999999999</v>
      </c>
      <c r="W278" s="7486"/>
      <c r="X278" s="1970"/>
      <c r="Y278" s="7530"/>
      <c r="Z278" s="4125">
        <f t="shared" si="506"/>
        <v>297.53000000000003</v>
      </c>
      <c r="AA278" s="7515"/>
      <c r="AB278" s="4157">
        <f t="shared" si="507"/>
        <v>808.86</v>
      </c>
      <c r="AC278" s="7484"/>
      <c r="AD278" s="5386"/>
      <c r="AE278" s="7500"/>
      <c r="AF278" s="5333">
        <f t="shared" si="508"/>
        <v>808.86</v>
      </c>
      <c r="AG278" s="7484"/>
      <c r="AH278" s="5386"/>
      <c r="AI278" s="7490"/>
      <c r="AJ278" s="5511">
        <f t="shared" si="509"/>
        <v>808.86</v>
      </c>
      <c r="AK278" s="7484"/>
      <c r="AL278" s="5386"/>
      <c r="AM278" s="7530"/>
      <c r="AN278" s="5903">
        <f t="shared" si="510"/>
        <v>0</v>
      </c>
      <c r="AO278" s="7500"/>
      <c r="AP278" s="5907">
        <f t="shared" si="511"/>
        <v>808.86</v>
      </c>
      <c r="AQ278" s="7484"/>
      <c r="AR278" s="5386">
        <v>953.68</v>
      </c>
      <c r="AS278" s="7490"/>
      <c r="AT278" s="6135">
        <f t="shared" si="512"/>
        <v>1762.54</v>
      </c>
      <c r="AU278" s="7484"/>
      <c r="AV278" s="5386">
        <v>250.26</v>
      </c>
      <c r="AW278" s="7490"/>
      <c r="AX278" s="6193">
        <f t="shared" si="513"/>
        <v>2012.8</v>
      </c>
      <c r="AY278" s="7484"/>
      <c r="AZ278" s="5386"/>
      <c r="BA278" s="7530"/>
      <c r="BB278" s="6596">
        <f t="shared" si="514"/>
        <v>1203.94</v>
      </c>
      <c r="BC278" s="7515"/>
      <c r="BD278" s="6599">
        <f t="shared" si="515"/>
        <v>1203.94</v>
      </c>
      <c r="BE278" s="7490"/>
      <c r="BF278" s="6598">
        <f t="shared" si="516"/>
        <v>2012.8</v>
      </c>
      <c r="BG278" s="4590"/>
      <c r="BH278" s="4590"/>
      <c r="BI278" s="4590"/>
      <c r="BJ278" s="4590"/>
    </row>
    <row r="279" spans="1:62" s="6137" customFormat="1" x14ac:dyDescent="0.25">
      <c r="A279" s="199"/>
      <c r="B279" s="6149" t="s">
        <v>2145</v>
      </c>
      <c r="C279" s="6149" t="s">
        <v>904</v>
      </c>
      <c r="D279" s="6149"/>
      <c r="E279" s="7529"/>
      <c r="F279" s="6010"/>
      <c r="G279" s="7529"/>
      <c r="H279" s="6010"/>
      <c r="I279" s="7501"/>
      <c r="J279" s="7213">
        <f t="shared" si="503"/>
        <v>0</v>
      </c>
      <c r="K279" s="7529"/>
      <c r="L279" s="6010"/>
      <c r="M279" s="7531"/>
      <c r="N279" s="6014"/>
      <c r="O279" s="7529"/>
      <c r="P279" s="6010"/>
      <c r="Q279" s="7501"/>
      <c r="R279" s="6012"/>
      <c r="S279" s="7529"/>
      <c r="T279" s="6010"/>
      <c r="U279" s="7501"/>
      <c r="V279" s="6012"/>
      <c r="W279" s="7529"/>
      <c r="X279" s="6010"/>
      <c r="Y279" s="7531"/>
      <c r="Z279" s="6014"/>
      <c r="AA279" s="7516"/>
      <c r="AB279" s="6016"/>
      <c r="AC279" s="7485"/>
      <c r="AD279" s="6010"/>
      <c r="AE279" s="7501"/>
      <c r="AF279" s="6012"/>
      <c r="AG279" s="7485"/>
      <c r="AH279" s="6010"/>
      <c r="AI279" s="7490"/>
      <c r="AJ279" s="6012"/>
      <c r="AK279" s="7485"/>
      <c r="AL279" s="6010"/>
      <c r="AM279" s="7531"/>
      <c r="AN279" s="6014"/>
      <c r="AO279" s="7501"/>
      <c r="AP279" s="6012"/>
      <c r="AQ279" s="7485"/>
      <c r="AR279" s="6010">
        <v>295.81999999999994</v>
      </c>
      <c r="AS279" s="7490"/>
      <c r="AT279" s="6135">
        <f t="shared" si="512"/>
        <v>295.81999999999994</v>
      </c>
      <c r="AU279" s="7485"/>
      <c r="AV279" s="6010"/>
      <c r="AW279" s="7490"/>
      <c r="AX279" s="6193">
        <f t="shared" si="513"/>
        <v>295.81999999999994</v>
      </c>
      <c r="AY279" s="7485"/>
      <c r="AZ279" s="6010"/>
      <c r="BA279" s="7531"/>
      <c r="BB279" s="6596">
        <f t="shared" si="514"/>
        <v>295.81999999999994</v>
      </c>
      <c r="BC279" s="7516"/>
      <c r="BD279" s="6599">
        <f t="shared" si="515"/>
        <v>295.81999999999994</v>
      </c>
      <c r="BE279" s="7490"/>
      <c r="BF279" s="6598">
        <f t="shared" si="516"/>
        <v>295.81999999999994</v>
      </c>
      <c r="BG279" s="4590"/>
      <c r="BH279" s="4590"/>
      <c r="BI279" s="4590"/>
      <c r="BJ279" s="4590"/>
    </row>
    <row r="280" spans="1:62" x14ac:dyDescent="0.25">
      <c r="A280" s="199"/>
      <c r="B280" s="4183" t="s">
        <v>1316</v>
      </c>
      <c r="C280" s="4183" t="s">
        <v>905</v>
      </c>
      <c r="D280" s="4183"/>
      <c r="E280" s="7486"/>
      <c r="F280" s="1970"/>
      <c r="G280" s="7486"/>
      <c r="H280" s="1970"/>
      <c r="I280" s="7500"/>
      <c r="J280" s="7213">
        <f t="shared" si="503"/>
        <v>0</v>
      </c>
      <c r="K280" s="7486"/>
      <c r="L280" s="1970"/>
      <c r="M280" s="7530"/>
      <c r="N280" s="4568">
        <f t="shared" si="517"/>
        <v>0</v>
      </c>
      <c r="O280" s="7486"/>
      <c r="P280" s="1970"/>
      <c r="Q280" s="7500"/>
      <c r="R280" s="4821">
        <f t="shared" si="504"/>
        <v>0</v>
      </c>
      <c r="S280" s="7486"/>
      <c r="T280" s="1970"/>
      <c r="U280" s="7500"/>
      <c r="V280" s="4890">
        <f t="shared" si="505"/>
        <v>0</v>
      </c>
      <c r="W280" s="7486"/>
      <c r="X280" s="1970"/>
      <c r="Y280" s="7530"/>
      <c r="Z280" s="4125">
        <f t="shared" si="506"/>
        <v>0</v>
      </c>
      <c r="AA280" s="7515"/>
      <c r="AB280" s="4157">
        <f t="shared" si="507"/>
        <v>0</v>
      </c>
      <c r="AC280" s="7484"/>
      <c r="AD280" s="5386"/>
      <c r="AE280" s="7500"/>
      <c r="AF280" s="5333">
        <f t="shared" si="508"/>
        <v>0</v>
      </c>
      <c r="AG280" s="7484"/>
      <c r="AH280" s="5386"/>
      <c r="AI280" s="7490"/>
      <c r="AJ280" s="5511">
        <f t="shared" si="509"/>
        <v>0</v>
      </c>
      <c r="AK280" s="7484"/>
      <c r="AL280" s="5386"/>
      <c r="AM280" s="7530"/>
      <c r="AN280" s="5903">
        <f t="shared" si="510"/>
        <v>0</v>
      </c>
      <c r="AO280" s="7500"/>
      <c r="AP280" s="5907">
        <f t="shared" si="511"/>
        <v>0</v>
      </c>
      <c r="AQ280" s="7484"/>
      <c r="AR280" s="5386"/>
      <c r="AS280" s="7490"/>
      <c r="AT280" s="6135">
        <f t="shared" si="512"/>
        <v>0</v>
      </c>
      <c r="AU280" s="7484"/>
      <c r="AV280" s="5386"/>
      <c r="AW280" s="7490"/>
      <c r="AX280" s="6193">
        <f t="shared" si="513"/>
        <v>0</v>
      </c>
      <c r="AY280" s="7484"/>
      <c r="AZ280" s="5386"/>
      <c r="BA280" s="7530"/>
      <c r="BB280" s="6596">
        <f t="shared" si="514"/>
        <v>0</v>
      </c>
      <c r="BC280" s="7515"/>
      <c r="BD280" s="6599">
        <f t="shared" si="515"/>
        <v>0</v>
      </c>
      <c r="BE280" s="7490"/>
      <c r="BF280" s="6598">
        <f t="shared" si="516"/>
        <v>0</v>
      </c>
      <c r="BG280" s="4590"/>
      <c r="BH280" s="4590"/>
      <c r="BI280" s="4590"/>
      <c r="BJ280" s="4590"/>
    </row>
    <row r="281" spans="1:62" x14ac:dyDescent="0.25">
      <c r="A281" s="199"/>
      <c r="B281" s="4183" t="s">
        <v>1316</v>
      </c>
      <c r="C281" s="4183" t="s">
        <v>1317</v>
      </c>
      <c r="D281" s="4183"/>
      <c r="E281" s="7486"/>
      <c r="F281" s="1970"/>
      <c r="G281" s="7486"/>
      <c r="H281" s="1970"/>
      <c r="I281" s="7500"/>
      <c r="J281" s="7213">
        <f t="shared" si="503"/>
        <v>0</v>
      </c>
      <c r="K281" s="7486"/>
      <c r="L281" s="1970"/>
      <c r="M281" s="7530"/>
      <c r="N281" s="4568">
        <f t="shared" si="517"/>
        <v>0</v>
      </c>
      <c r="O281" s="7486"/>
      <c r="P281" s="1970"/>
      <c r="Q281" s="7500"/>
      <c r="R281" s="4821">
        <f t="shared" si="504"/>
        <v>0</v>
      </c>
      <c r="S281" s="7486"/>
      <c r="T281" s="1970"/>
      <c r="U281" s="7500"/>
      <c r="V281" s="4890">
        <f t="shared" si="505"/>
        <v>0</v>
      </c>
      <c r="W281" s="7486"/>
      <c r="X281" s="1970"/>
      <c r="Y281" s="7530"/>
      <c r="Z281" s="4125">
        <f t="shared" si="506"/>
        <v>0</v>
      </c>
      <c r="AA281" s="7515"/>
      <c r="AB281" s="4157">
        <f t="shared" si="507"/>
        <v>0</v>
      </c>
      <c r="AC281" s="7484"/>
      <c r="AD281" s="5386"/>
      <c r="AE281" s="7500"/>
      <c r="AF281" s="5333">
        <f t="shared" si="508"/>
        <v>0</v>
      </c>
      <c r="AG281" s="7484"/>
      <c r="AH281" s="5386"/>
      <c r="AI281" s="7490"/>
      <c r="AJ281" s="5511">
        <f t="shared" si="509"/>
        <v>0</v>
      </c>
      <c r="AK281" s="7484"/>
      <c r="AL281" s="5386"/>
      <c r="AM281" s="7530"/>
      <c r="AN281" s="5903">
        <f t="shared" si="510"/>
        <v>0</v>
      </c>
      <c r="AO281" s="7500"/>
      <c r="AP281" s="5907">
        <f t="shared" si="511"/>
        <v>0</v>
      </c>
      <c r="AQ281" s="7484"/>
      <c r="AR281" s="5386"/>
      <c r="AS281" s="7490"/>
      <c r="AT281" s="6135">
        <f t="shared" si="512"/>
        <v>0</v>
      </c>
      <c r="AU281" s="7484"/>
      <c r="AV281" s="5386"/>
      <c r="AW281" s="7490"/>
      <c r="AX281" s="6193">
        <f t="shared" si="513"/>
        <v>0</v>
      </c>
      <c r="AY281" s="7484"/>
      <c r="AZ281" s="5386">
        <v>1285.21</v>
      </c>
      <c r="BA281" s="7530"/>
      <c r="BB281" s="6596">
        <f t="shared" si="514"/>
        <v>1285.21</v>
      </c>
      <c r="BC281" s="7515"/>
      <c r="BD281" s="6599">
        <f t="shared" si="515"/>
        <v>1285.21</v>
      </c>
      <c r="BE281" s="7490"/>
      <c r="BF281" s="6598">
        <f t="shared" si="516"/>
        <v>1285.21</v>
      </c>
      <c r="BG281" s="4590"/>
      <c r="BH281" s="4590"/>
      <c r="BI281" s="4590"/>
      <c r="BJ281" s="4590"/>
    </row>
    <row r="282" spans="1:62" x14ac:dyDescent="0.25">
      <c r="A282" s="199"/>
      <c r="B282" s="4183" t="s">
        <v>1134</v>
      </c>
      <c r="C282" s="4183" t="s">
        <v>1367</v>
      </c>
      <c r="D282" s="4183"/>
      <c r="E282" s="7486"/>
      <c r="F282" s="1970">
        <v>2660.71</v>
      </c>
      <c r="G282" s="7486"/>
      <c r="H282" s="1970">
        <v>2825.5800000000004</v>
      </c>
      <c r="I282" s="7500"/>
      <c r="J282" s="7213">
        <f t="shared" si="503"/>
        <v>5486.2900000000009</v>
      </c>
      <c r="K282" s="7486"/>
      <c r="L282" s="1970">
        <v>1996.6799999999998</v>
      </c>
      <c r="M282" s="7530"/>
      <c r="N282" s="4568">
        <f t="shared" si="517"/>
        <v>7482.9700000000012</v>
      </c>
      <c r="O282" s="7486"/>
      <c r="P282" s="1970">
        <v>511.98</v>
      </c>
      <c r="Q282" s="7500"/>
      <c r="R282" s="4821">
        <f t="shared" si="504"/>
        <v>7994.9500000000007</v>
      </c>
      <c r="S282" s="7486"/>
      <c r="T282" s="1970">
        <v>55.4</v>
      </c>
      <c r="U282" s="7500"/>
      <c r="V282" s="4890">
        <f t="shared" si="505"/>
        <v>8050.35</v>
      </c>
      <c r="W282" s="7486"/>
      <c r="X282" s="1970">
        <v>1996.3999999999999</v>
      </c>
      <c r="Y282" s="7530"/>
      <c r="Z282" s="4125">
        <f t="shared" si="506"/>
        <v>2563.7799999999997</v>
      </c>
      <c r="AA282" s="7515"/>
      <c r="AB282" s="4157">
        <f t="shared" si="507"/>
        <v>10046.75</v>
      </c>
      <c r="AC282" s="7484"/>
      <c r="AD282" s="5386"/>
      <c r="AE282" s="7500"/>
      <c r="AF282" s="5333">
        <f t="shared" si="508"/>
        <v>10046.75</v>
      </c>
      <c r="AG282" s="7484"/>
      <c r="AH282" s="5386">
        <v>133.44999999999999</v>
      </c>
      <c r="AI282" s="7490"/>
      <c r="AJ282" s="5511">
        <f t="shared" si="509"/>
        <v>10180.200000000001</v>
      </c>
      <c r="AK282" s="7484"/>
      <c r="AL282" s="5386">
        <v>2853.1600000000003</v>
      </c>
      <c r="AM282" s="7530"/>
      <c r="AN282" s="5903">
        <f t="shared" si="510"/>
        <v>2986.61</v>
      </c>
      <c r="AO282" s="7500"/>
      <c r="AP282" s="5907">
        <f t="shared" si="511"/>
        <v>13033.36</v>
      </c>
      <c r="AQ282" s="7484"/>
      <c r="AR282" s="5386">
        <v>2081.46</v>
      </c>
      <c r="AS282" s="7490"/>
      <c r="AT282" s="6135">
        <f t="shared" si="512"/>
        <v>15114.82</v>
      </c>
      <c r="AU282" s="7484"/>
      <c r="AV282" s="5386">
        <v>2829.2000000000003</v>
      </c>
      <c r="AW282" s="7490"/>
      <c r="AX282" s="6193">
        <f t="shared" si="513"/>
        <v>17944.02</v>
      </c>
      <c r="AY282" s="7484"/>
      <c r="AZ282" s="5386">
        <v>2731.17</v>
      </c>
      <c r="BA282" s="7530"/>
      <c r="BB282" s="6596">
        <f t="shared" si="514"/>
        <v>7641.83</v>
      </c>
      <c r="BC282" s="7515"/>
      <c r="BD282" s="6599">
        <f t="shared" si="515"/>
        <v>10628.44</v>
      </c>
      <c r="BE282" s="7490"/>
      <c r="BF282" s="6598">
        <f t="shared" si="516"/>
        <v>20675.190000000002</v>
      </c>
      <c r="BG282" s="4590"/>
      <c r="BH282" s="4590"/>
      <c r="BI282" s="4590"/>
      <c r="BJ282" s="4590"/>
    </row>
    <row r="283" spans="1:62" x14ac:dyDescent="0.25">
      <c r="A283" s="199"/>
      <c r="B283" s="4222" t="s">
        <v>1134</v>
      </c>
      <c r="C283" s="4222" t="s">
        <v>905</v>
      </c>
      <c r="D283" s="4222"/>
      <c r="E283" s="7487"/>
      <c r="F283" s="4150"/>
      <c r="G283" s="7487"/>
      <c r="H283" s="7173"/>
      <c r="I283" s="7502"/>
      <c r="J283" s="7213">
        <f t="shared" si="503"/>
        <v>0</v>
      </c>
      <c r="K283" s="7487"/>
      <c r="L283" s="4579"/>
      <c r="M283" s="7532"/>
      <c r="N283" s="4568">
        <f t="shared" si="517"/>
        <v>0</v>
      </c>
      <c r="O283" s="7487"/>
      <c r="P283" s="4791"/>
      <c r="Q283" s="7502"/>
      <c r="R283" s="4821">
        <f t="shared" si="504"/>
        <v>0</v>
      </c>
      <c r="S283" s="7487"/>
      <c r="T283" s="4902"/>
      <c r="U283" s="7502"/>
      <c r="V283" s="4890">
        <f t="shared" si="505"/>
        <v>0</v>
      </c>
      <c r="W283" s="7487"/>
      <c r="X283" s="5032"/>
      <c r="Y283" s="7532"/>
      <c r="Z283" s="5018">
        <f t="shared" si="506"/>
        <v>0</v>
      </c>
      <c r="AA283" s="7517"/>
      <c r="AB283" s="5021">
        <f t="shared" si="507"/>
        <v>0</v>
      </c>
      <c r="AC283" s="7484"/>
      <c r="AD283" s="5386"/>
      <c r="AE283" s="7502"/>
      <c r="AF283" s="5333">
        <f t="shared" si="508"/>
        <v>0</v>
      </c>
      <c r="AG283" s="7484"/>
      <c r="AH283" s="5386"/>
      <c r="AI283" s="7490"/>
      <c r="AJ283" s="5511">
        <f t="shared" si="509"/>
        <v>0</v>
      </c>
      <c r="AK283" s="7484"/>
      <c r="AL283" s="5386"/>
      <c r="AM283" s="7532"/>
      <c r="AN283" s="5903">
        <f t="shared" si="510"/>
        <v>0</v>
      </c>
      <c r="AO283" s="7502"/>
      <c r="AP283" s="5907">
        <f t="shared" si="511"/>
        <v>0</v>
      </c>
      <c r="AQ283" s="7484"/>
      <c r="AR283" s="5386"/>
      <c r="AS283" s="7490"/>
      <c r="AT283" s="6135">
        <f t="shared" si="512"/>
        <v>0</v>
      </c>
      <c r="AU283" s="7484"/>
      <c r="AV283" s="5386"/>
      <c r="AW283" s="7490"/>
      <c r="AX283" s="6193">
        <f t="shared" si="513"/>
        <v>0</v>
      </c>
      <c r="AY283" s="7484"/>
      <c r="AZ283" s="5386"/>
      <c r="BA283" s="7532"/>
      <c r="BB283" s="6596">
        <f t="shared" si="514"/>
        <v>0</v>
      </c>
      <c r="BC283" s="7517"/>
      <c r="BD283" s="6599">
        <f t="shared" si="515"/>
        <v>0</v>
      </c>
      <c r="BE283" s="7490"/>
      <c r="BF283" s="6598">
        <f t="shared" si="516"/>
        <v>0</v>
      </c>
      <c r="BG283" s="4590"/>
      <c r="BH283" s="4590"/>
      <c r="BI283" s="4590"/>
      <c r="BJ283" s="4590"/>
    </row>
    <row r="284" spans="1:62" x14ac:dyDescent="0.25">
      <c r="A284" s="199"/>
      <c r="B284" s="4226" t="s">
        <v>1735</v>
      </c>
      <c r="C284" s="4226" t="s">
        <v>904</v>
      </c>
      <c r="D284" s="4226"/>
      <c r="E284" s="7488"/>
      <c r="F284" s="2860">
        <v>33.78</v>
      </c>
      <c r="G284" s="7488"/>
      <c r="H284" s="2860"/>
      <c r="I284" s="7503"/>
      <c r="J284" s="7213">
        <f t="shared" si="503"/>
        <v>33.78</v>
      </c>
      <c r="K284" s="7488"/>
      <c r="L284" s="2860">
        <v>191.32</v>
      </c>
      <c r="M284" s="7533"/>
      <c r="N284" s="4568">
        <f t="shared" si="517"/>
        <v>225.1</v>
      </c>
      <c r="O284" s="7488"/>
      <c r="P284" s="2860">
        <v>255.89999999999998</v>
      </c>
      <c r="Q284" s="7503"/>
      <c r="R284" s="4821">
        <f t="shared" si="504"/>
        <v>481</v>
      </c>
      <c r="S284" s="7488"/>
      <c r="T284" s="2860">
        <v>63.62</v>
      </c>
      <c r="U284" s="7503"/>
      <c r="V284" s="4890">
        <f t="shared" si="505"/>
        <v>544.62</v>
      </c>
      <c r="W284" s="7488"/>
      <c r="X284" s="2860">
        <v>91.38</v>
      </c>
      <c r="Y284" s="7533"/>
      <c r="Z284" s="5018">
        <f t="shared" si="506"/>
        <v>410.9</v>
      </c>
      <c r="AA284" s="7518"/>
      <c r="AB284" s="5021">
        <f t="shared" si="507"/>
        <v>636</v>
      </c>
      <c r="AC284" s="7484"/>
      <c r="AD284" s="5386">
        <v>128.13999999999999</v>
      </c>
      <c r="AE284" s="7503"/>
      <c r="AF284" s="5333">
        <f t="shared" si="508"/>
        <v>764.14</v>
      </c>
      <c r="AG284" s="7484"/>
      <c r="AH284" s="5386">
        <v>188.3</v>
      </c>
      <c r="AI284" s="7490"/>
      <c r="AJ284" s="5511">
        <f t="shared" si="509"/>
        <v>952.44</v>
      </c>
      <c r="AK284" s="7484"/>
      <c r="AL284" s="5386"/>
      <c r="AM284" s="7533"/>
      <c r="AN284" s="5903">
        <f t="shared" si="510"/>
        <v>316.44</v>
      </c>
      <c r="AO284" s="7503"/>
      <c r="AP284" s="5907">
        <f t="shared" si="511"/>
        <v>952.44</v>
      </c>
      <c r="AQ284" s="7484"/>
      <c r="AR284" s="5386"/>
      <c r="AS284" s="7490"/>
      <c r="AT284" s="6135">
        <f t="shared" si="512"/>
        <v>952.44</v>
      </c>
      <c r="AU284" s="7484"/>
      <c r="AV284" s="5386"/>
      <c r="AW284" s="7490"/>
      <c r="AX284" s="6193">
        <f t="shared" si="513"/>
        <v>952.44</v>
      </c>
      <c r="AY284" s="7484"/>
      <c r="AZ284" s="5386">
        <v>1390.34</v>
      </c>
      <c r="BA284" s="7533"/>
      <c r="BB284" s="6596">
        <f t="shared" si="514"/>
        <v>1390.34</v>
      </c>
      <c r="BC284" s="7518"/>
      <c r="BD284" s="6599">
        <f t="shared" si="515"/>
        <v>1706.78</v>
      </c>
      <c r="BE284" s="7490"/>
      <c r="BF284" s="6598">
        <f t="shared" si="516"/>
        <v>2342.7799999999997</v>
      </c>
      <c r="BG284" s="4590"/>
      <c r="BH284" s="4590"/>
      <c r="BI284" s="4590"/>
      <c r="BJ284" s="4590"/>
    </row>
    <row r="285" spans="1:62" x14ac:dyDescent="0.25">
      <c r="A285" s="199"/>
      <c r="B285" s="4250" t="s">
        <v>1199</v>
      </c>
      <c r="C285" s="4183" t="s">
        <v>904</v>
      </c>
      <c r="D285" s="4183"/>
      <c r="E285" s="7486"/>
      <c r="F285" s="1970">
        <v>547.42999999999995</v>
      </c>
      <c r="G285" s="7486"/>
      <c r="H285" s="1970">
        <v>1131.1100000000001</v>
      </c>
      <c r="I285" s="7500"/>
      <c r="J285" s="7213">
        <f t="shared" si="503"/>
        <v>1678.54</v>
      </c>
      <c r="K285" s="7486"/>
      <c r="L285" s="1970">
        <v>873.88999999999987</v>
      </c>
      <c r="M285" s="7530"/>
      <c r="N285" s="4568">
        <f t="shared" si="517"/>
        <v>2552.4299999999998</v>
      </c>
      <c r="O285" s="7486"/>
      <c r="P285" s="1970">
        <v>1153.56</v>
      </c>
      <c r="Q285" s="7500"/>
      <c r="R285" s="4821">
        <f t="shared" si="504"/>
        <v>3705.99</v>
      </c>
      <c r="S285" s="7486"/>
      <c r="T285" s="1970"/>
      <c r="U285" s="7500"/>
      <c r="V285" s="4890">
        <f t="shared" si="505"/>
        <v>3705.99</v>
      </c>
      <c r="W285" s="7486"/>
      <c r="X285" s="1970"/>
      <c r="Y285" s="7530"/>
      <c r="Z285" s="5018">
        <f t="shared" si="506"/>
        <v>1153.56</v>
      </c>
      <c r="AA285" s="7515"/>
      <c r="AB285" s="5021">
        <f t="shared" si="507"/>
        <v>3705.99</v>
      </c>
      <c r="AC285" s="7484"/>
      <c r="AD285" s="5386">
        <v>1526.35</v>
      </c>
      <c r="AE285" s="7500"/>
      <c r="AF285" s="5333">
        <f t="shared" si="508"/>
        <v>5232.34</v>
      </c>
      <c r="AG285" s="7484"/>
      <c r="AH285" s="5386">
        <v>91.98</v>
      </c>
      <c r="AI285" s="7490"/>
      <c r="AJ285" s="5511">
        <f t="shared" si="509"/>
        <v>5324.32</v>
      </c>
      <c r="AK285" s="7484"/>
      <c r="AL285" s="5386">
        <v>129.69999999999999</v>
      </c>
      <c r="AM285" s="7530"/>
      <c r="AN285" s="5903">
        <f t="shared" si="510"/>
        <v>1748.03</v>
      </c>
      <c r="AO285" s="7500"/>
      <c r="AP285" s="5907">
        <f t="shared" si="511"/>
        <v>5454.0199999999995</v>
      </c>
      <c r="AQ285" s="7484"/>
      <c r="AR285" s="5386">
        <v>1549.4199999999996</v>
      </c>
      <c r="AS285" s="7490"/>
      <c r="AT285" s="6135">
        <f t="shared" si="512"/>
        <v>7003.4399999999987</v>
      </c>
      <c r="AU285" s="7484"/>
      <c r="AV285" s="5386">
        <v>1346.88</v>
      </c>
      <c r="AW285" s="7490"/>
      <c r="AX285" s="6193">
        <f t="shared" si="513"/>
        <v>8350.32</v>
      </c>
      <c r="AY285" s="7484"/>
      <c r="AZ285" s="5386">
        <v>655.17000000000007</v>
      </c>
      <c r="BA285" s="7530"/>
      <c r="BB285" s="6596">
        <f t="shared" si="514"/>
        <v>3551.47</v>
      </c>
      <c r="BC285" s="7515"/>
      <c r="BD285" s="6599">
        <f t="shared" si="515"/>
        <v>5299.5</v>
      </c>
      <c r="BE285" s="7490"/>
      <c r="BF285" s="6598">
        <f t="shared" si="516"/>
        <v>9005.49</v>
      </c>
      <c r="BG285" s="4590"/>
      <c r="BH285" s="4590"/>
      <c r="BI285" s="4590"/>
      <c r="BJ285" s="4590"/>
    </row>
    <row r="286" spans="1:62" x14ac:dyDescent="0.25">
      <c r="A286" s="199"/>
      <c r="B286" s="4250" t="s">
        <v>1319</v>
      </c>
      <c r="C286" s="4183" t="s">
        <v>1318</v>
      </c>
      <c r="D286" s="4183"/>
      <c r="E286" s="7486"/>
      <c r="F286" s="1970">
        <v>1133.94</v>
      </c>
      <c r="G286" s="7486"/>
      <c r="H286" s="1970">
        <v>178.74</v>
      </c>
      <c r="I286" s="7500"/>
      <c r="J286" s="7213">
        <f t="shared" si="503"/>
        <v>1312.68</v>
      </c>
      <c r="K286" s="7486"/>
      <c r="L286" s="1970">
        <v>1309.76</v>
      </c>
      <c r="M286" s="7530"/>
      <c r="N286" s="4568">
        <f t="shared" si="517"/>
        <v>2622.44</v>
      </c>
      <c r="O286" s="7486"/>
      <c r="P286" s="1970">
        <v>1120.8800000000001</v>
      </c>
      <c r="Q286" s="7500"/>
      <c r="R286" s="4821">
        <f t="shared" si="504"/>
        <v>3743.32</v>
      </c>
      <c r="S286" s="7486"/>
      <c r="T286" s="1970">
        <v>403.3</v>
      </c>
      <c r="U286" s="7500"/>
      <c r="V286" s="4890">
        <f t="shared" si="505"/>
        <v>4146.62</v>
      </c>
      <c r="W286" s="7486"/>
      <c r="X286" s="1970"/>
      <c r="Y286" s="7530"/>
      <c r="Z286" s="5018">
        <f t="shared" si="506"/>
        <v>1524.18</v>
      </c>
      <c r="AA286" s="7515"/>
      <c r="AB286" s="5021">
        <f t="shared" si="507"/>
        <v>4146.62</v>
      </c>
      <c r="AC286" s="7484"/>
      <c r="AD286" s="5386">
        <v>840.25</v>
      </c>
      <c r="AE286" s="7500"/>
      <c r="AF286" s="5333">
        <f t="shared" si="508"/>
        <v>4986.87</v>
      </c>
      <c r="AG286" s="7484"/>
      <c r="AH286" s="5386">
        <v>24.94</v>
      </c>
      <c r="AI286" s="7490"/>
      <c r="AJ286" s="5511">
        <f t="shared" si="509"/>
        <v>5011.8099999999995</v>
      </c>
      <c r="AK286" s="7484"/>
      <c r="AL286" s="5386"/>
      <c r="AM286" s="7530"/>
      <c r="AN286" s="5903">
        <f t="shared" si="510"/>
        <v>865.19</v>
      </c>
      <c r="AO286" s="7500"/>
      <c r="AP286" s="5907">
        <f t="shared" si="511"/>
        <v>5011.8099999999995</v>
      </c>
      <c r="AQ286" s="7484"/>
      <c r="AR286" s="5386">
        <v>510.78999999999996</v>
      </c>
      <c r="AS286" s="7490"/>
      <c r="AT286" s="6135">
        <f t="shared" si="512"/>
        <v>5522.5999999999995</v>
      </c>
      <c r="AU286" s="7484"/>
      <c r="AV286" s="5386">
        <v>1239.29</v>
      </c>
      <c r="AW286" s="7490"/>
      <c r="AX286" s="6193">
        <f t="shared" si="513"/>
        <v>6761.8899999999994</v>
      </c>
      <c r="AY286" s="7484"/>
      <c r="AZ286" s="5386">
        <v>1776.6000000000001</v>
      </c>
      <c r="BA286" s="7530"/>
      <c r="BB286" s="6596">
        <f t="shared" si="514"/>
        <v>3526.6800000000003</v>
      </c>
      <c r="BC286" s="7515"/>
      <c r="BD286" s="6599">
        <f t="shared" si="515"/>
        <v>4391.8700000000008</v>
      </c>
      <c r="BE286" s="7490"/>
      <c r="BF286" s="6598">
        <f t="shared" si="516"/>
        <v>8538.49</v>
      </c>
      <c r="BG286" s="4590"/>
      <c r="BH286" s="4590"/>
      <c r="BI286" s="4590"/>
      <c r="BJ286" s="4590"/>
    </row>
    <row r="287" spans="1:62" x14ac:dyDescent="0.25">
      <c r="A287" s="199"/>
      <c r="B287" s="4250" t="s">
        <v>1656</v>
      </c>
      <c r="C287" s="4183" t="s">
        <v>1318</v>
      </c>
      <c r="D287" s="4183"/>
      <c r="E287" s="7486"/>
      <c r="F287" s="1970"/>
      <c r="G287" s="7486"/>
      <c r="H287" s="1970"/>
      <c r="I287" s="7500"/>
      <c r="J287" s="7213">
        <f t="shared" si="503"/>
        <v>0</v>
      </c>
      <c r="K287" s="7486"/>
      <c r="L287" s="1970"/>
      <c r="M287" s="7530"/>
      <c r="N287" s="4568">
        <f t="shared" si="517"/>
        <v>0</v>
      </c>
      <c r="O287" s="7486"/>
      <c r="P287" s="1970"/>
      <c r="Q287" s="7500"/>
      <c r="R287" s="4821">
        <f t="shared" si="504"/>
        <v>0</v>
      </c>
      <c r="S287" s="7486"/>
      <c r="T287" s="1970"/>
      <c r="U287" s="7500"/>
      <c r="V287" s="4890">
        <f t="shared" si="505"/>
        <v>0</v>
      </c>
      <c r="W287" s="7486"/>
      <c r="X287" s="1970"/>
      <c r="Y287" s="7530"/>
      <c r="Z287" s="5018">
        <f t="shared" si="506"/>
        <v>0</v>
      </c>
      <c r="AA287" s="7515"/>
      <c r="AB287" s="5021">
        <f t="shared" si="507"/>
        <v>0</v>
      </c>
      <c r="AC287" s="7484"/>
      <c r="AD287" s="5386">
        <v>116.53999999999999</v>
      </c>
      <c r="AE287" s="7500"/>
      <c r="AF287" s="5333">
        <f t="shared" si="508"/>
        <v>116.53999999999999</v>
      </c>
      <c r="AG287" s="7484"/>
      <c r="AH287" s="5386"/>
      <c r="AI287" s="7490"/>
      <c r="AJ287" s="5511">
        <f t="shared" si="509"/>
        <v>116.53999999999999</v>
      </c>
      <c r="AK287" s="7484"/>
      <c r="AL287" s="5386"/>
      <c r="AM287" s="7530"/>
      <c r="AN287" s="5903">
        <f t="shared" si="510"/>
        <v>116.53999999999999</v>
      </c>
      <c r="AO287" s="7500"/>
      <c r="AP287" s="5907">
        <f t="shared" si="511"/>
        <v>116.53999999999999</v>
      </c>
      <c r="AQ287" s="7484"/>
      <c r="AR287" s="5386"/>
      <c r="AS287" s="7490"/>
      <c r="AT287" s="6135">
        <f t="shared" si="512"/>
        <v>116.53999999999999</v>
      </c>
      <c r="AU287" s="7484"/>
      <c r="AV287" s="5386"/>
      <c r="AW287" s="7490"/>
      <c r="AX287" s="6193">
        <f t="shared" si="513"/>
        <v>116.53999999999999</v>
      </c>
      <c r="AY287" s="7484"/>
      <c r="AZ287" s="5386"/>
      <c r="BA287" s="7530"/>
      <c r="BB287" s="6596">
        <f t="shared" si="514"/>
        <v>0</v>
      </c>
      <c r="BC287" s="7515"/>
      <c r="BD287" s="6599">
        <f t="shared" si="515"/>
        <v>116.53999999999999</v>
      </c>
      <c r="BE287" s="7490"/>
      <c r="BF287" s="6598">
        <f t="shared" si="516"/>
        <v>116.53999999999999</v>
      </c>
      <c r="BG287" s="4590"/>
      <c r="BH287" s="4590"/>
      <c r="BI287" s="4590"/>
      <c r="BJ287" s="4590"/>
    </row>
    <row r="288" spans="1:62" x14ac:dyDescent="0.25">
      <c r="A288" s="199"/>
      <c r="B288" s="4250" t="s">
        <v>886</v>
      </c>
      <c r="C288" s="4183" t="s">
        <v>1915</v>
      </c>
      <c r="D288" s="4183"/>
      <c r="E288" s="7486"/>
      <c r="F288" s="1970"/>
      <c r="G288" s="7486"/>
      <c r="H288" s="1970">
        <v>128.36000000000001</v>
      </c>
      <c r="I288" s="7500"/>
      <c r="J288" s="7213">
        <f t="shared" si="503"/>
        <v>128.36000000000001</v>
      </c>
      <c r="K288" s="7486"/>
      <c r="L288" s="1970">
        <v>321.64</v>
      </c>
      <c r="M288" s="7530"/>
      <c r="N288" s="4568">
        <f t="shared" si="517"/>
        <v>450</v>
      </c>
      <c r="O288" s="7486"/>
      <c r="P288" s="1970"/>
      <c r="Q288" s="7500"/>
      <c r="R288" s="4821">
        <f t="shared" si="504"/>
        <v>450</v>
      </c>
      <c r="S288" s="7486"/>
      <c r="T288" s="1970"/>
      <c r="U288" s="7500"/>
      <c r="V288" s="4890">
        <f t="shared" si="505"/>
        <v>450</v>
      </c>
      <c r="W288" s="7486"/>
      <c r="X288" s="1970"/>
      <c r="Y288" s="7530"/>
      <c r="Z288" s="5018">
        <f t="shared" si="506"/>
        <v>0</v>
      </c>
      <c r="AA288" s="7515"/>
      <c r="AB288" s="5021">
        <f t="shared" si="507"/>
        <v>450</v>
      </c>
      <c r="AC288" s="7484"/>
      <c r="AD288" s="5386"/>
      <c r="AE288" s="7500"/>
      <c r="AF288" s="5333">
        <f t="shared" si="508"/>
        <v>450</v>
      </c>
      <c r="AG288" s="7484"/>
      <c r="AH288" s="5386"/>
      <c r="AI288" s="7490"/>
      <c r="AJ288" s="5511">
        <f t="shared" si="509"/>
        <v>450</v>
      </c>
      <c r="AK288" s="7484"/>
      <c r="AL288" s="5386"/>
      <c r="AM288" s="7530"/>
      <c r="AN288" s="5903">
        <f t="shared" si="510"/>
        <v>0</v>
      </c>
      <c r="AO288" s="7500"/>
      <c r="AP288" s="5907">
        <f t="shared" si="511"/>
        <v>450</v>
      </c>
      <c r="AQ288" s="7484"/>
      <c r="AR288" s="5386">
        <v>64.539999999999992</v>
      </c>
      <c r="AS288" s="7490"/>
      <c r="AT288" s="6135">
        <f t="shared" si="512"/>
        <v>514.54</v>
      </c>
      <c r="AU288" s="7484"/>
      <c r="AV288" s="5386"/>
      <c r="AW288" s="7490"/>
      <c r="AX288" s="6193">
        <f t="shared" si="513"/>
        <v>514.54</v>
      </c>
      <c r="AY288" s="7484"/>
      <c r="AZ288" s="5386">
        <v>127.24000000000001</v>
      </c>
      <c r="BA288" s="7530"/>
      <c r="BB288" s="6596">
        <f t="shared" si="514"/>
        <v>191.78</v>
      </c>
      <c r="BC288" s="7515"/>
      <c r="BD288" s="6599">
        <f t="shared" si="515"/>
        <v>191.78</v>
      </c>
      <c r="BE288" s="7490"/>
      <c r="BF288" s="6598">
        <f t="shared" si="516"/>
        <v>641.78</v>
      </c>
      <c r="BG288" s="4590"/>
      <c r="BH288" s="4590"/>
      <c r="BI288" s="4590"/>
      <c r="BJ288" s="4590"/>
    </row>
    <row r="289" spans="1:62" x14ac:dyDescent="0.25">
      <c r="A289" s="199"/>
      <c r="B289" s="4250" t="s">
        <v>886</v>
      </c>
      <c r="C289" s="4183" t="s">
        <v>2038</v>
      </c>
      <c r="D289" s="4183"/>
      <c r="E289" s="7486"/>
      <c r="F289" s="1970"/>
      <c r="G289" s="7486"/>
      <c r="H289" s="1970">
        <v>353.88</v>
      </c>
      <c r="I289" s="7500"/>
      <c r="J289" s="7213">
        <f t="shared" si="503"/>
        <v>353.88</v>
      </c>
      <c r="K289" s="7486"/>
      <c r="L289" s="1970"/>
      <c r="M289" s="7530"/>
      <c r="N289" s="4568">
        <f t="shared" si="517"/>
        <v>353.88</v>
      </c>
      <c r="O289" s="7486"/>
      <c r="P289" s="1970"/>
      <c r="Q289" s="7500"/>
      <c r="R289" s="4821">
        <f t="shared" si="504"/>
        <v>353.88</v>
      </c>
      <c r="S289" s="7486"/>
      <c r="T289" s="1970"/>
      <c r="U289" s="7500"/>
      <c r="V289" s="4890">
        <f t="shared" si="505"/>
        <v>353.88</v>
      </c>
      <c r="W289" s="7486"/>
      <c r="X289" s="1970"/>
      <c r="Y289" s="7530"/>
      <c r="Z289" s="5018">
        <f t="shared" si="506"/>
        <v>0</v>
      </c>
      <c r="AA289" s="7515"/>
      <c r="AB289" s="5021">
        <f t="shared" si="507"/>
        <v>353.88</v>
      </c>
      <c r="AC289" s="7484"/>
      <c r="AD289" s="5386"/>
      <c r="AE289" s="7500"/>
      <c r="AF289" s="5333">
        <f t="shared" si="508"/>
        <v>353.88</v>
      </c>
      <c r="AG289" s="7484"/>
      <c r="AH289" s="5386"/>
      <c r="AI289" s="7490"/>
      <c r="AJ289" s="5511">
        <f t="shared" si="509"/>
        <v>353.88</v>
      </c>
      <c r="AK289" s="7484"/>
      <c r="AL289" s="5386">
        <v>564.58000000000004</v>
      </c>
      <c r="AM289" s="7530"/>
      <c r="AN289" s="5903">
        <f t="shared" si="510"/>
        <v>564.58000000000004</v>
      </c>
      <c r="AO289" s="7500"/>
      <c r="AP289" s="5907">
        <f t="shared" si="511"/>
        <v>918.46</v>
      </c>
      <c r="AQ289" s="7484"/>
      <c r="AR289" s="5386">
        <v>463.39</v>
      </c>
      <c r="AS289" s="7490"/>
      <c r="AT289" s="6135">
        <f t="shared" si="512"/>
        <v>1381.85</v>
      </c>
      <c r="AU289" s="7484"/>
      <c r="AV289" s="5386">
        <v>393.40000000000009</v>
      </c>
      <c r="AW289" s="7490"/>
      <c r="AX289" s="6193">
        <f t="shared" si="513"/>
        <v>1775.25</v>
      </c>
      <c r="AY289" s="7484"/>
      <c r="AZ289" s="5386">
        <v>126.44</v>
      </c>
      <c r="BA289" s="7530"/>
      <c r="BB289" s="6596">
        <f t="shared" si="514"/>
        <v>983.23</v>
      </c>
      <c r="BC289" s="7515"/>
      <c r="BD289" s="6599">
        <f t="shared" si="515"/>
        <v>1547.81</v>
      </c>
      <c r="BE289" s="7490"/>
      <c r="BF289" s="6598">
        <f t="shared" si="516"/>
        <v>1901.69</v>
      </c>
      <c r="BG289" s="4590"/>
      <c r="BH289" s="4590"/>
      <c r="BI289" s="4590"/>
      <c r="BJ289" s="4590"/>
    </row>
    <row r="290" spans="1:62" x14ac:dyDescent="0.25">
      <c r="A290" s="199"/>
      <c r="B290" s="4250" t="s">
        <v>886</v>
      </c>
      <c r="C290" s="4183" t="s">
        <v>894</v>
      </c>
      <c r="D290" s="4183"/>
      <c r="E290" s="7486"/>
      <c r="F290" s="1970">
        <v>2731.0299999999997</v>
      </c>
      <c r="G290" s="7486"/>
      <c r="H290" s="1970">
        <v>5850.84</v>
      </c>
      <c r="I290" s="7500"/>
      <c r="J290" s="7213">
        <f t="shared" si="503"/>
        <v>8581.869999999999</v>
      </c>
      <c r="K290" s="7486"/>
      <c r="L290" s="1970">
        <v>2313.75</v>
      </c>
      <c r="M290" s="7530"/>
      <c r="N290" s="4568">
        <f t="shared" si="517"/>
        <v>10895.619999999999</v>
      </c>
      <c r="O290" s="7486"/>
      <c r="P290" s="1970">
        <v>2151</v>
      </c>
      <c r="Q290" s="7500"/>
      <c r="R290" s="4821">
        <f t="shared" si="504"/>
        <v>13046.619999999999</v>
      </c>
      <c r="S290" s="7486"/>
      <c r="T290" s="1970">
        <v>1472.1999999999998</v>
      </c>
      <c r="U290" s="7500"/>
      <c r="V290" s="4890">
        <f t="shared" si="505"/>
        <v>14518.82</v>
      </c>
      <c r="W290" s="7486"/>
      <c r="X290" s="1970">
        <v>4017.670000000001</v>
      </c>
      <c r="Y290" s="7530"/>
      <c r="Z290" s="5018">
        <f t="shared" si="506"/>
        <v>7640.8700000000008</v>
      </c>
      <c r="AA290" s="7515"/>
      <c r="AB290" s="5021">
        <f t="shared" si="507"/>
        <v>18536.489999999998</v>
      </c>
      <c r="AC290" s="7484"/>
      <c r="AD290" s="5386">
        <v>2606.5700000000006</v>
      </c>
      <c r="AE290" s="7500"/>
      <c r="AF290" s="5333">
        <f t="shared" si="508"/>
        <v>21143.059999999998</v>
      </c>
      <c r="AG290" s="7484"/>
      <c r="AH290" s="5386">
        <v>32.29</v>
      </c>
      <c r="AI290" s="7490"/>
      <c r="AJ290" s="5511">
        <f t="shared" si="509"/>
        <v>21175.35</v>
      </c>
      <c r="AK290" s="7484"/>
      <c r="AL290" s="5386">
        <v>4884.6999999999989</v>
      </c>
      <c r="AM290" s="7530"/>
      <c r="AN290" s="5903">
        <f t="shared" si="510"/>
        <v>7523.5599999999995</v>
      </c>
      <c r="AO290" s="7500"/>
      <c r="AP290" s="5907">
        <f t="shared" si="511"/>
        <v>26060.049999999996</v>
      </c>
      <c r="AQ290" s="7484"/>
      <c r="AR290" s="5386">
        <v>2281.7999999999997</v>
      </c>
      <c r="AS290" s="7490"/>
      <c r="AT290" s="6135">
        <f t="shared" si="512"/>
        <v>28341.849999999995</v>
      </c>
      <c r="AU290" s="7484"/>
      <c r="AV290" s="5386">
        <v>3026.6699999999996</v>
      </c>
      <c r="AW290" s="7490"/>
      <c r="AX290" s="6193">
        <f t="shared" si="513"/>
        <v>31368.519999999993</v>
      </c>
      <c r="AY290" s="7484"/>
      <c r="AZ290" s="5386">
        <v>3169.4800000000005</v>
      </c>
      <c r="BA290" s="7530"/>
      <c r="BB290" s="6596">
        <f t="shared" si="514"/>
        <v>8477.9500000000007</v>
      </c>
      <c r="BC290" s="7515"/>
      <c r="BD290" s="6599">
        <f t="shared" si="515"/>
        <v>16001.51</v>
      </c>
      <c r="BE290" s="7490"/>
      <c r="BF290" s="6598">
        <f t="shared" si="516"/>
        <v>34537.999999999993</v>
      </c>
      <c r="BG290" s="4590"/>
      <c r="BH290" s="4590"/>
      <c r="BI290" s="4590"/>
      <c r="BJ290" s="4590"/>
    </row>
    <row r="291" spans="1:62" x14ac:dyDescent="0.25">
      <c r="A291" s="199"/>
      <c r="B291" s="4250" t="s">
        <v>886</v>
      </c>
      <c r="C291" s="4183" t="s">
        <v>893</v>
      </c>
      <c r="D291" s="4183"/>
      <c r="E291" s="7486"/>
      <c r="F291" s="1970">
        <v>513.47</v>
      </c>
      <c r="G291" s="7486"/>
      <c r="H291" s="1970">
        <v>349.44</v>
      </c>
      <c r="I291" s="7500"/>
      <c r="J291" s="7213">
        <f t="shared" si="503"/>
        <v>862.91000000000008</v>
      </c>
      <c r="K291" s="7486"/>
      <c r="L291" s="1970">
        <v>424.05999999999995</v>
      </c>
      <c r="M291" s="7530"/>
      <c r="N291" s="4568">
        <f t="shared" si="517"/>
        <v>1286.97</v>
      </c>
      <c r="O291" s="7486"/>
      <c r="P291" s="1970">
        <v>382.98</v>
      </c>
      <c r="Q291" s="7500"/>
      <c r="R291" s="4821">
        <f t="shared" si="504"/>
        <v>1669.95</v>
      </c>
      <c r="S291" s="7486"/>
      <c r="T291" s="1970">
        <v>442.28</v>
      </c>
      <c r="U291" s="7500"/>
      <c r="V291" s="4890">
        <f t="shared" si="505"/>
        <v>2112.23</v>
      </c>
      <c r="W291" s="7486"/>
      <c r="X291" s="1970"/>
      <c r="Y291" s="7530"/>
      <c r="Z291" s="4125">
        <f t="shared" si="506"/>
        <v>825.26</v>
      </c>
      <c r="AA291" s="7515"/>
      <c r="AB291" s="5021">
        <f t="shared" si="507"/>
        <v>2112.23</v>
      </c>
      <c r="AC291" s="7484"/>
      <c r="AD291" s="5386">
        <v>127.78</v>
      </c>
      <c r="AE291" s="7500"/>
      <c r="AF291" s="5333">
        <f t="shared" si="508"/>
        <v>2240.0100000000002</v>
      </c>
      <c r="AG291" s="7484"/>
      <c r="AH291" s="5386"/>
      <c r="AI291" s="7490"/>
      <c r="AJ291" s="5511">
        <f t="shared" si="509"/>
        <v>2240.0100000000002</v>
      </c>
      <c r="AK291" s="7484"/>
      <c r="AL291" s="5386">
        <v>1274.21</v>
      </c>
      <c r="AM291" s="7530"/>
      <c r="AN291" s="5903">
        <f t="shared" si="510"/>
        <v>1401.99</v>
      </c>
      <c r="AO291" s="7500"/>
      <c r="AP291" s="5907">
        <f t="shared" si="511"/>
        <v>3514.2200000000003</v>
      </c>
      <c r="AQ291" s="7484"/>
      <c r="AR291" s="5386">
        <v>757.14</v>
      </c>
      <c r="AS291" s="7490"/>
      <c r="AT291" s="6135">
        <f t="shared" si="512"/>
        <v>4271.3600000000006</v>
      </c>
      <c r="AU291" s="7484"/>
      <c r="AV291" s="5386">
        <v>504.85999999999996</v>
      </c>
      <c r="AW291" s="7490"/>
      <c r="AX291" s="6193">
        <f t="shared" si="513"/>
        <v>4776.22</v>
      </c>
      <c r="AY291" s="7484"/>
      <c r="AZ291" s="5386">
        <v>1545.6999999999998</v>
      </c>
      <c r="BA291" s="7530"/>
      <c r="BB291" s="6596">
        <f t="shared" si="514"/>
        <v>2807.7</v>
      </c>
      <c r="BC291" s="7515"/>
      <c r="BD291" s="6599">
        <f t="shared" si="515"/>
        <v>4209.6899999999996</v>
      </c>
      <c r="BE291" s="7490"/>
      <c r="BF291" s="6598">
        <f t="shared" si="516"/>
        <v>6321.92</v>
      </c>
      <c r="BG291" s="4590"/>
      <c r="BH291" s="4590"/>
      <c r="BI291" s="4590"/>
      <c r="BJ291" s="4590"/>
    </row>
    <row r="292" spans="1:62" x14ac:dyDescent="0.25">
      <c r="A292" s="199"/>
      <c r="B292" s="4250" t="s">
        <v>886</v>
      </c>
      <c r="C292" s="4183" t="s">
        <v>1898</v>
      </c>
      <c r="D292" s="4183"/>
      <c r="E292" s="7486"/>
      <c r="F292" s="1970">
        <v>104.92</v>
      </c>
      <c r="G292" s="7486"/>
      <c r="H292" s="1970">
        <v>478.81000000000006</v>
      </c>
      <c r="I292" s="7500"/>
      <c r="J292" s="7213">
        <f t="shared" si="503"/>
        <v>583.73</v>
      </c>
      <c r="K292" s="7486"/>
      <c r="L292" s="1970">
        <v>249.36</v>
      </c>
      <c r="M292" s="7530"/>
      <c r="N292" s="4568">
        <f t="shared" si="517"/>
        <v>833.09</v>
      </c>
      <c r="O292" s="7486"/>
      <c r="P292" s="1970">
        <v>816.2399999999999</v>
      </c>
      <c r="Q292" s="7500"/>
      <c r="R292" s="4821">
        <f t="shared" si="504"/>
        <v>1649.33</v>
      </c>
      <c r="S292" s="7486"/>
      <c r="T292" s="1970">
        <v>529.29999999999995</v>
      </c>
      <c r="U292" s="7500"/>
      <c r="V292" s="4890">
        <f t="shared" si="505"/>
        <v>2178.63</v>
      </c>
      <c r="W292" s="7486"/>
      <c r="X292" s="1970">
        <v>62.64</v>
      </c>
      <c r="Y292" s="7530"/>
      <c r="Z292" s="4125">
        <f t="shared" si="506"/>
        <v>1408.18</v>
      </c>
      <c r="AA292" s="7515"/>
      <c r="AB292" s="5021">
        <f t="shared" si="507"/>
        <v>2241.27</v>
      </c>
      <c r="AC292" s="7484"/>
      <c r="AD292" s="5386"/>
      <c r="AE292" s="7500"/>
      <c r="AF292" s="5333">
        <f t="shared" si="508"/>
        <v>2241.27</v>
      </c>
      <c r="AG292" s="7484"/>
      <c r="AH292" s="5386">
        <v>62.54</v>
      </c>
      <c r="AI292" s="7490"/>
      <c r="AJ292" s="5511">
        <f t="shared" si="509"/>
        <v>2303.81</v>
      </c>
      <c r="AK292" s="7484"/>
      <c r="AL292" s="5386">
        <v>177.35</v>
      </c>
      <c r="AM292" s="7530"/>
      <c r="AN292" s="5903">
        <f t="shared" si="510"/>
        <v>239.89</v>
      </c>
      <c r="AO292" s="7500"/>
      <c r="AP292" s="5907">
        <f t="shared" si="511"/>
        <v>2481.16</v>
      </c>
      <c r="AQ292" s="7484"/>
      <c r="AR292" s="5386">
        <v>272.59999999999997</v>
      </c>
      <c r="AS292" s="7490"/>
      <c r="AT292" s="6135">
        <f t="shared" si="512"/>
        <v>2753.7599999999998</v>
      </c>
      <c r="AU292" s="7484"/>
      <c r="AV292" s="5386">
        <v>378.53999999999996</v>
      </c>
      <c r="AW292" s="7490"/>
      <c r="AX292" s="6193">
        <f t="shared" si="513"/>
        <v>3132.2999999999997</v>
      </c>
      <c r="AY292" s="7484"/>
      <c r="AZ292" s="5386">
        <v>456.85</v>
      </c>
      <c r="BA292" s="7530"/>
      <c r="BB292" s="6596">
        <f t="shared" si="514"/>
        <v>1107.9899999999998</v>
      </c>
      <c r="BC292" s="7515"/>
      <c r="BD292" s="6599">
        <f t="shared" si="515"/>
        <v>1347.8799999999997</v>
      </c>
      <c r="BE292" s="7490"/>
      <c r="BF292" s="6598">
        <f t="shared" si="516"/>
        <v>3589.1499999999996</v>
      </c>
      <c r="BG292" s="4590"/>
      <c r="BH292" s="4590"/>
      <c r="BI292" s="4590"/>
      <c r="BJ292" s="4590"/>
    </row>
    <row r="293" spans="1:62" x14ac:dyDescent="0.25">
      <c r="A293" s="199"/>
      <c r="B293" s="4255" t="s">
        <v>886</v>
      </c>
      <c r="C293" s="4287" t="s">
        <v>1899</v>
      </c>
      <c r="D293" s="4287"/>
      <c r="E293" s="7486"/>
      <c r="F293" s="1970">
        <v>596.51</v>
      </c>
      <c r="G293" s="7486"/>
      <c r="H293" s="1970">
        <v>913.68999999999994</v>
      </c>
      <c r="I293" s="7500"/>
      <c r="J293" s="7213">
        <f t="shared" si="503"/>
        <v>1510.1999999999998</v>
      </c>
      <c r="K293" s="7486"/>
      <c r="L293" s="3477">
        <v>453.30000000000007</v>
      </c>
      <c r="M293" s="7530"/>
      <c r="N293" s="4568">
        <f t="shared" si="517"/>
        <v>1963.5</v>
      </c>
      <c r="O293" s="7486"/>
      <c r="P293" s="3477">
        <v>290.39999999999998</v>
      </c>
      <c r="Q293" s="7500"/>
      <c r="R293" s="4821">
        <f t="shared" si="504"/>
        <v>2253.9</v>
      </c>
      <c r="S293" s="7486"/>
      <c r="T293" s="3477">
        <v>296.07</v>
      </c>
      <c r="U293" s="7500"/>
      <c r="V293" s="4890">
        <f t="shared" si="505"/>
        <v>2549.9700000000003</v>
      </c>
      <c r="W293" s="7486"/>
      <c r="X293" s="3477">
        <v>648.20000000000005</v>
      </c>
      <c r="Y293" s="7530"/>
      <c r="Z293" s="4125">
        <f t="shared" si="506"/>
        <v>1234.67</v>
      </c>
      <c r="AA293" s="7515"/>
      <c r="AB293" s="5021">
        <f t="shared" si="507"/>
        <v>3198.17</v>
      </c>
      <c r="AC293" s="7484"/>
      <c r="AD293" s="5386"/>
      <c r="AE293" s="7500"/>
      <c r="AF293" s="5333">
        <f t="shared" si="508"/>
        <v>3198.17</v>
      </c>
      <c r="AG293" s="7484"/>
      <c r="AH293" s="5386">
        <v>96.39</v>
      </c>
      <c r="AI293" s="7490"/>
      <c r="AJ293" s="5511">
        <f t="shared" si="509"/>
        <v>3294.56</v>
      </c>
      <c r="AK293" s="7484"/>
      <c r="AL293" s="5386">
        <v>676.59</v>
      </c>
      <c r="AM293" s="7530"/>
      <c r="AN293" s="5903">
        <f t="shared" si="510"/>
        <v>772.98</v>
      </c>
      <c r="AO293" s="7500"/>
      <c r="AP293" s="5907">
        <f t="shared" si="511"/>
        <v>3971.15</v>
      </c>
      <c r="AQ293" s="7484"/>
      <c r="AR293" s="5386">
        <v>591.23</v>
      </c>
      <c r="AS293" s="7490"/>
      <c r="AT293" s="6135">
        <f t="shared" si="512"/>
        <v>4562.38</v>
      </c>
      <c r="AU293" s="7484"/>
      <c r="AV293" s="5386">
        <v>670.11</v>
      </c>
      <c r="AW293" s="7490"/>
      <c r="AX293" s="6193">
        <f t="shared" si="513"/>
        <v>5232.49</v>
      </c>
      <c r="AY293" s="7484"/>
      <c r="AZ293" s="5386">
        <v>856.25</v>
      </c>
      <c r="BA293" s="7530"/>
      <c r="BB293" s="6596">
        <f t="shared" si="514"/>
        <v>2117.59</v>
      </c>
      <c r="BC293" s="7515"/>
      <c r="BD293" s="6599">
        <f t="shared" si="515"/>
        <v>2890.57</v>
      </c>
      <c r="BE293" s="7490"/>
      <c r="BF293" s="6598">
        <f t="shared" si="516"/>
        <v>6088.74</v>
      </c>
      <c r="BG293" s="4590"/>
      <c r="BH293" s="4590"/>
      <c r="BI293" s="4590"/>
      <c r="BJ293" s="4590"/>
    </row>
    <row r="294" spans="1:62" s="4823" customFormat="1" x14ac:dyDescent="0.25">
      <c r="A294" s="199"/>
      <c r="B294" s="4255" t="s">
        <v>1953</v>
      </c>
      <c r="C294" s="4202" t="s">
        <v>1952</v>
      </c>
      <c r="D294" s="4844"/>
      <c r="E294" s="7543"/>
      <c r="F294" s="4825"/>
      <c r="G294" s="7543"/>
      <c r="H294" s="7173">
        <v>310.14999999999998</v>
      </c>
      <c r="I294" s="7548"/>
      <c r="J294" s="7213">
        <f t="shared" si="503"/>
        <v>310.14999999999998</v>
      </c>
      <c r="K294" s="7484"/>
      <c r="L294" s="4845"/>
      <c r="M294" s="7532"/>
      <c r="N294" s="4824"/>
      <c r="O294" s="7484"/>
      <c r="P294" s="4845">
        <v>300.53000000000003</v>
      </c>
      <c r="Q294" s="7502"/>
      <c r="R294" s="4821">
        <f t="shared" si="504"/>
        <v>300.53000000000003</v>
      </c>
      <c r="S294" s="7484"/>
      <c r="T294" s="4845">
        <v>453.46</v>
      </c>
      <c r="U294" s="7502"/>
      <c r="V294" s="4890">
        <f t="shared" si="505"/>
        <v>753.99</v>
      </c>
      <c r="W294" s="7484"/>
      <c r="X294" s="4845">
        <v>31.84</v>
      </c>
      <c r="Y294" s="7532"/>
      <c r="Z294" s="5018">
        <f t="shared" si="506"/>
        <v>785.83</v>
      </c>
      <c r="AA294" s="7517"/>
      <c r="AB294" s="5021">
        <f t="shared" si="507"/>
        <v>785.83</v>
      </c>
      <c r="AC294" s="7484"/>
      <c r="AD294" s="5386">
        <v>260.12</v>
      </c>
      <c r="AE294" s="7502"/>
      <c r="AF294" s="5333">
        <f t="shared" si="508"/>
        <v>1045.95</v>
      </c>
      <c r="AG294" s="7484"/>
      <c r="AH294" s="5386">
        <v>254.44</v>
      </c>
      <c r="AI294" s="7490"/>
      <c r="AJ294" s="5511">
        <f t="shared" si="509"/>
        <v>1300.3900000000001</v>
      </c>
      <c r="AK294" s="7484"/>
      <c r="AL294" s="5386"/>
      <c r="AM294" s="7532"/>
      <c r="AN294" s="5903">
        <f t="shared" si="510"/>
        <v>514.55999999999995</v>
      </c>
      <c r="AO294" s="7502"/>
      <c r="AP294" s="5907">
        <f t="shared" si="511"/>
        <v>1300.3900000000001</v>
      </c>
      <c r="AQ294" s="7484"/>
      <c r="AR294" s="5386">
        <v>454.44</v>
      </c>
      <c r="AS294" s="7490"/>
      <c r="AT294" s="6135">
        <f t="shared" si="512"/>
        <v>1754.8300000000002</v>
      </c>
      <c r="AU294" s="7484"/>
      <c r="AV294" s="5386">
        <v>463.28999999999996</v>
      </c>
      <c r="AW294" s="7490"/>
      <c r="AX294" s="6193">
        <f t="shared" si="513"/>
        <v>2218.12</v>
      </c>
      <c r="AY294" s="7484"/>
      <c r="AZ294" s="5386">
        <v>859.31999999999994</v>
      </c>
      <c r="BA294" s="7532"/>
      <c r="BB294" s="6596">
        <f t="shared" si="514"/>
        <v>1777.05</v>
      </c>
      <c r="BC294" s="7517"/>
      <c r="BD294" s="6599">
        <f t="shared" si="515"/>
        <v>2291.6099999999997</v>
      </c>
      <c r="BE294" s="7490"/>
      <c r="BF294" s="6598">
        <f t="shared" si="516"/>
        <v>3077.4399999999996</v>
      </c>
      <c r="BG294" s="4590"/>
      <c r="BH294" s="4590"/>
      <c r="BI294" s="4590"/>
      <c r="BJ294" s="4590"/>
    </row>
    <row r="295" spans="1:62" s="4823" customFormat="1" x14ac:dyDescent="0.25">
      <c r="A295" s="199"/>
      <c r="B295" s="4255" t="s">
        <v>1953</v>
      </c>
      <c r="C295" s="4202" t="s">
        <v>1954</v>
      </c>
      <c r="D295" s="4844"/>
      <c r="E295" s="7543"/>
      <c r="F295" s="4825"/>
      <c r="G295" s="7543"/>
      <c r="H295" s="7173">
        <v>3373.38</v>
      </c>
      <c r="I295" s="7548"/>
      <c r="J295" s="7213">
        <f t="shared" si="503"/>
        <v>3373.38</v>
      </c>
      <c r="K295" s="7484"/>
      <c r="L295" s="4845"/>
      <c r="M295" s="7532"/>
      <c r="N295" s="4824"/>
      <c r="O295" s="7484"/>
      <c r="P295" s="4845">
        <v>3284.57</v>
      </c>
      <c r="Q295" s="7502"/>
      <c r="R295" s="4821">
        <f t="shared" si="504"/>
        <v>3284.57</v>
      </c>
      <c r="S295" s="7484"/>
      <c r="T295" s="4845">
        <v>3775.4599999999996</v>
      </c>
      <c r="U295" s="7502"/>
      <c r="V295" s="4890">
        <f t="shared" si="505"/>
        <v>7060.03</v>
      </c>
      <c r="W295" s="7484"/>
      <c r="X295" s="4845">
        <v>126.86</v>
      </c>
      <c r="Y295" s="7532"/>
      <c r="Z295" s="5018">
        <f t="shared" si="506"/>
        <v>7186.8899999999994</v>
      </c>
      <c r="AA295" s="7517"/>
      <c r="AB295" s="5021">
        <f t="shared" si="507"/>
        <v>7186.8899999999994</v>
      </c>
      <c r="AC295" s="7484"/>
      <c r="AD295" s="5386">
        <v>2910.7799999999997</v>
      </c>
      <c r="AE295" s="7502"/>
      <c r="AF295" s="5333">
        <f t="shared" si="508"/>
        <v>10097.669999999998</v>
      </c>
      <c r="AG295" s="7484"/>
      <c r="AH295" s="5386"/>
      <c r="AI295" s="7490"/>
      <c r="AJ295" s="5511">
        <f t="shared" si="509"/>
        <v>10097.669999999998</v>
      </c>
      <c r="AK295" s="7484"/>
      <c r="AL295" s="5386"/>
      <c r="AM295" s="7532"/>
      <c r="AN295" s="5903">
        <f t="shared" si="510"/>
        <v>2910.7799999999997</v>
      </c>
      <c r="AO295" s="7502"/>
      <c r="AP295" s="5907">
        <f t="shared" si="511"/>
        <v>10097.669999999998</v>
      </c>
      <c r="AQ295" s="7484"/>
      <c r="AR295" s="5386">
        <v>3514.2299999999996</v>
      </c>
      <c r="AS295" s="7490"/>
      <c r="AT295" s="6135">
        <f t="shared" si="512"/>
        <v>13611.899999999998</v>
      </c>
      <c r="AU295" s="7484"/>
      <c r="AV295" s="5386">
        <v>98.81</v>
      </c>
      <c r="AW295" s="7490"/>
      <c r="AX295" s="6193">
        <f t="shared" si="513"/>
        <v>13710.709999999997</v>
      </c>
      <c r="AY295" s="7484"/>
      <c r="AZ295" s="5386">
        <v>2484.25</v>
      </c>
      <c r="BA295" s="7532"/>
      <c r="BB295" s="6596">
        <f t="shared" si="514"/>
        <v>6097.2899999999991</v>
      </c>
      <c r="BC295" s="7517"/>
      <c r="BD295" s="6599">
        <f t="shared" si="515"/>
        <v>9008.07</v>
      </c>
      <c r="BE295" s="7490"/>
      <c r="BF295" s="6598">
        <f t="shared" si="516"/>
        <v>16194.959999999997</v>
      </c>
      <c r="BG295" s="4590"/>
      <c r="BH295" s="4590"/>
      <c r="BI295" s="4590"/>
      <c r="BJ295" s="4590"/>
    </row>
    <row r="296" spans="1:62" s="5375" customFormat="1" x14ac:dyDescent="0.25">
      <c r="A296" s="199"/>
      <c r="B296" s="4255" t="s">
        <v>1953</v>
      </c>
      <c r="C296" s="4202" t="s">
        <v>2006</v>
      </c>
      <c r="D296" s="4844"/>
      <c r="E296" s="7543"/>
      <c r="F296" s="5386"/>
      <c r="G296" s="7543"/>
      <c r="H296" s="5386">
        <v>243.01</v>
      </c>
      <c r="I296" s="7548"/>
      <c r="J296" s="7213">
        <f t="shared" si="503"/>
        <v>243.01</v>
      </c>
      <c r="K296" s="7484"/>
      <c r="L296" s="4845"/>
      <c r="M296" s="7534"/>
      <c r="N296" s="5227"/>
      <c r="O296" s="7484"/>
      <c r="P296" s="4845"/>
      <c r="Q296" s="7504"/>
      <c r="R296" s="5225"/>
      <c r="S296" s="7484"/>
      <c r="T296" s="4845"/>
      <c r="U296" s="7504"/>
      <c r="V296" s="5225"/>
      <c r="W296" s="7484"/>
      <c r="X296" s="4845"/>
      <c r="Y296" s="7534"/>
      <c r="Z296" s="5227"/>
      <c r="AA296" s="7519"/>
      <c r="AB296" s="5387"/>
      <c r="AC296" s="7484"/>
      <c r="AD296" s="5386">
        <v>188.64</v>
      </c>
      <c r="AE296" s="7504"/>
      <c r="AF296" s="5374">
        <f t="shared" si="508"/>
        <v>188.64</v>
      </c>
      <c r="AG296" s="7484"/>
      <c r="AH296" s="5386">
        <v>60.98</v>
      </c>
      <c r="AI296" s="7490"/>
      <c r="AJ296" s="5511">
        <f t="shared" si="509"/>
        <v>249.61999999999998</v>
      </c>
      <c r="AK296" s="7484"/>
      <c r="AL296" s="5386"/>
      <c r="AM296" s="7534"/>
      <c r="AN296" s="5903">
        <f t="shared" si="510"/>
        <v>249.61999999999998</v>
      </c>
      <c r="AO296" s="7504"/>
      <c r="AP296" s="5907">
        <f t="shared" si="511"/>
        <v>249.61999999999998</v>
      </c>
      <c r="AQ296" s="7484"/>
      <c r="AR296" s="5386"/>
      <c r="AS296" s="7490"/>
      <c r="AT296" s="6135">
        <f t="shared" si="512"/>
        <v>249.61999999999998</v>
      </c>
      <c r="AU296" s="7484"/>
      <c r="AV296" s="5386"/>
      <c r="AW296" s="7490"/>
      <c r="AX296" s="6193">
        <f t="shared" si="513"/>
        <v>249.61999999999998</v>
      </c>
      <c r="AY296" s="7484"/>
      <c r="AZ296" s="5386"/>
      <c r="BA296" s="7534"/>
      <c r="BB296" s="6596">
        <f t="shared" si="514"/>
        <v>0</v>
      </c>
      <c r="BC296" s="7519"/>
      <c r="BD296" s="6599">
        <f t="shared" si="515"/>
        <v>249.61999999999998</v>
      </c>
      <c r="BE296" s="7490"/>
      <c r="BF296" s="6598">
        <f t="shared" si="516"/>
        <v>249.61999999999998</v>
      </c>
      <c r="BG296" s="4590"/>
      <c r="BH296" s="4590"/>
      <c r="BI296" s="4590"/>
      <c r="BJ296" s="4590"/>
    </row>
    <row r="297" spans="1:62" s="4823" customFormat="1" ht="15.75" thickBot="1" x14ac:dyDescent="0.3">
      <c r="A297" s="199"/>
      <c r="B297" s="4255" t="s">
        <v>1953</v>
      </c>
      <c r="C297" s="4202" t="s">
        <v>1955</v>
      </c>
      <c r="D297" s="4844"/>
      <c r="E297" s="7543"/>
      <c r="F297" s="4825"/>
      <c r="G297" s="7543"/>
      <c r="H297" s="7173">
        <v>310.84000000000003</v>
      </c>
      <c r="I297" s="7548"/>
      <c r="J297" s="7213">
        <f t="shared" si="503"/>
        <v>310.84000000000003</v>
      </c>
      <c r="K297" s="7484"/>
      <c r="L297" s="4845"/>
      <c r="M297" s="7532"/>
      <c r="N297" s="4824"/>
      <c r="O297" s="7484"/>
      <c r="P297" s="4845">
        <v>583.93999999999994</v>
      </c>
      <c r="Q297" s="7502"/>
      <c r="R297" s="4821">
        <f t="shared" si="504"/>
        <v>583.93999999999994</v>
      </c>
      <c r="S297" s="7484"/>
      <c r="T297" s="4845">
        <v>386.3</v>
      </c>
      <c r="U297" s="7502"/>
      <c r="V297" s="4890">
        <f t="shared" si="505"/>
        <v>970.24</v>
      </c>
      <c r="W297" s="7484"/>
      <c r="X297" s="4845">
        <v>113.84</v>
      </c>
      <c r="Y297" s="7532"/>
      <c r="Z297" s="5018">
        <f t="shared" si="506"/>
        <v>1084.08</v>
      </c>
      <c r="AA297" s="7517"/>
      <c r="AB297" s="5021">
        <f t="shared" si="507"/>
        <v>1084.08</v>
      </c>
      <c r="AC297" s="7484"/>
      <c r="AD297" s="5386">
        <v>545.70000000000005</v>
      </c>
      <c r="AE297" s="7502"/>
      <c r="AF297" s="5333">
        <f t="shared" si="508"/>
        <v>1629.78</v>
      </c>
      <c r="AG297" s="7484"/>
      <c r="AH297" s="5386">
        <v>103.64</v>
      </c>
      <c r="AI297" s="7490"/>
      <c r="AJ297" s="5511">
        <f t="shared" si="509"/>
        <v>1733.42</v>
      </c>
      <c r="AK297" s="7484"/>
      <c r="AL297" s="5386"/>
      <c r="AM297" s="7532"/>
      <c r="AN297" s="5903">
        <f t="shared" si="510"/>
        <v>649.34</v>
      </c>
      <c r="AO297" s="7502"/>
      <c r="AP297" s="5907">
        <f t="shared" si="511"/>
        <v>1733.42</v>
      </c>
      <c r="AQ297" s="7484"/>
      <c r="AR297" s="5386">
        <v>435.95</v>
      </c>
      <c r="AS297" s="7490"/>
      <c r="AT297" s="6135">
        <f t="shared" si="512"/>
        <v>2169.37</v>
      </c>
      <c r="AU297" s="7484"/>
      <c r="AV297" s="5386"/>
      <c r="AW297" s="7490"/>
      <c r="AX297" s="6193">
        <f t="shared" si="513"/>
        <v>2169.37</v>
      </c>
      <c r="AY297" s="7484"/>
      <c r="AZ297" s="5386">
        <v>1000.01</v>
      </c>
      <c r="BA297" s="7532"/>
      <c r="BB297" s="6596">
        <f t="shared" si="514"/>
        <v>1435.96</v>
      </c>
      <c r="BC297" s="7517"/>
      <c r="BD297" s="6599">
        <f t="shared" si="515"/>
        <v>2085.3000000000002</v>
      </c>
      <c r="BE297" s="7490"/>
      <c r="BF297" s="6598">
        <f t="shared" si="516"/>
        <v>3169.38</v>
      </c>
      <c r="BG297" s="4590"/>
      <c r="BH297" s="4590"/>
      <c r="BI297" s="4590"/>
      <c r="BJ297" s="4590"/>
    </row>
    <row r="298" spans="1:62" x14ac:dyDescent="0.25">
      <c r="A298" s="199"/>
      <c r="B298" s="3452" t="s">
        <v>887</v>
      </c>
      <c r="C298" s="4176" t="s">
        <v>895</v>
      </c>
      <c r="D298" s="4288"/>
      <c r="E298" s="7543"/>
      <c r="F298" s="1970">
        <v>990.2</v>
      </c>
      <c r="G298" s="7543"/>
      <c r="H298" s="1970">
        <v>1750.8999999999999</v>
      </c>
      <c r="I298" s="7548"/>
      <c r="J298" s="7213">
        <f t="shared" si="503"/>
        <v>2741.1</v>
      </c>
      <c r="K298" s="7484"/>
      <c r="L298" s="4289">
        <v>1981.73</v>
      </c>
      <c r="M298" s="7530"/>
      <c r="N298" s="4568">
        <f t="shared" si="517"/>
        <v>4722.83</v>
      </c>
      <c r="O298" s="7484"/>
      <c r="P298" s="4289">
        <v>1360.5</v>
      </c>
      <c r="Q298" s="7500"/>
      <c r="R298" s="4821">
        <f t="shared" si="504"/>
        <v>6083.33</v>
      </c>
      <c r="S298" s="7484"/>
      <c r="T298" s="4289">
        <v>1059.96</v>
      </c>
      <c r="U298" s="7500"/>
      <c r="V298" s="4890">
        <f t="shared" si="505"/>
        <v>7143.29</v>
      </c>
      <c r="W298" s="7484"/>
      <c r="X298" s="4289">
        <v>1142.05</v>
      </c>
      <c r="Y298" s="7530"/>
      <c r="Z298" s="5018">
        <f t="shared" si="506"/>
        <v>3562.51</v>
      </c>
      <c r="AA298" s="7515"/>
      <c r="AB298" s="4157">
        <f t="shared" si="507"/>
        <v>8285.34</v>
      </c>
      <c r="AC298" s="7484"/>
      <c r="AD298" s="1326">
        <v>1320.6599999999999</v>
      </c>
      <c r="AE298" s="7500"/>
      <c r="AF298" s="5333">
        <f t="shared" si="508"/>
        <v>9606</v>
      </c>
      <c r="AG298" s="7484"/>
      <c r="AH298" s="1326">
        <v>61.6</v>
      </c>
      <c r="AI298" s="7490"/>
      <c r="AJ298" s="5511">
        <f t="shared" si="509"/>
        <v>9667.6</v>
      </c>
      <c r="AK298" s="7484"/>
      <c r="AL298" s="1326">
        <v>1379.73</v>
      </c>
      <c r="AM298" s="7530"/>
      <c r="AN298" s="5903">
        <f t="shared" si="510"/>
        <v>2761.99</v>
      </c>
      <c r="AO298" s="7500"/>
      <c r="AP298" s="5907">
        <f t="shared" si="511"/>
        <v>11047.33</v>
      </c>
      <c r="AQ298" s="7484"/>
      <c r="AR298" s="1326">
        <v>873.01</v>
      </c>
      <c r="AS298" s="7490"/>
      <c r="AT298" s="6135">
        <f t="shared" si="512"/>
        <v>11920.34</v>
      </c>
      <c r="AU298" s="7484"/>
      <c r="AV298" s="1326">
        <v>2569.4</v>
      </c>
      <c r="AW298" s="7490"/>
      <c r="AX298" s="6193">
        <f t="shared" si="513"/>
        <v>14489.74</v>
      </c>
      <c r="AY298" s="7484"/>
      <c r="AZ298" s="1326">
        <v>2274.69</v>
      </c>
      <c r="BA298" s="7530"/>
      <c r="BB298" s="6596">
        <f t="shared" si="514"/>
        <v>5717.1</v>
      </c>
      <c r="BC298" s="7515"/>
      <c r="BD298" s="6599">
        <f t="shared" si="515"/>
        <v>8479.09</v>
      </c>
      <c r="BE298" s="7490"/>
      <c r="BF298" s="6598">
        <f t="shared" si="516"/>
        <v>16764.43</v>
      </c>
      <c r="BG298" s="4590"/>
      <c r="BH298" s="4590"/>
      <c r="BI298" s="4590"/>
      <c r="BJ298" s="4590"/>
    </row>
    <row r="299" spans="1:62" x14ac:dyDescent="0.25">
      <c r="A299" s="199"/>
      <c r="B299" s="851" t="s">
        <v>887</v>
      </c>
      <c r="C299" s="4222" t="s">
        <v>1000</v>
      </c>
      <c r="D299" s="4290"/>
      <c r="E299" s="7543"/>
      <c r="F299" s="1970">
        <v>2145.7000000000003</v>
      </c>
      <c r="G299" s="7543"/>
      <c r="H299" s="1970">
        <v>4487.2999999999993</v>
      </c>
      <c r="I299" s="7548"/>
      <c r="J299" s="7213">
        <f t="shared" si="503"/>
        <v>6633</v>
      </c>
      <c r="K299" s="7484"/>
      <c r="L299" s="1327">
        <v>965.35</v>
      </c>
      <c r="M299" s="7530"/>
      <c r="N299" s="4568">
        <f t="shared" si="517"/>
        <v>7598.35</v>
      </c>
      <c r="O299" s="7484"/>
      <c r="P299" s="1327">
        <v>2394.0100000000002</v>
      </c>
      <c r="Q299" s="7500"/>
      <c r="R299" s="4821">
        <f t="shared" si="504"/>
        <v>9992.36</v>
      </c>
      <c r="S299" s="7484"/>
      <c r="T299" s="1327">
        <v>463.98</v>
      </c>
      <c r="U299" s="7500"/>
      <c r="V299" s="4890">
        <f t="shared" si="505"/>
        <v>10456.34</v>
      </c>
      <c r="W299" s="7484"/>
      <c r="X299" s="1327">
        <v>3526.77</v>
      </c>
      <c r="Y299" s="7530"/>
      <c r="Z299" s="4125">
        <f t="shared" si="506"/>
        <v>6384.76</v>
      </c>
      <c r="AA299" s="7515"/>
      <c r="AB299" s="4157">
        <f t="shared" si="507"/>
        <v>13983.11</v>
      </c>
      <c r="AC299" s="7484"/>
      <c r="AD299" s="1327">
        <v>2926.78</v>
      </c>
      <c r="AE299" s="7500"/>
      <c r="AF299" s="5333">
        <f t="shared" si="508"/>
        <v>16909.89</v>
      </c>
      <c r="AG299" s="7484"/>
      <c r="AH299" s="1327">
        <v>223.36</v>
      </c>
      <c r="AI299" s="7490"/>
      <c r="AJ299" s="5511">
        <f t="shared" si="509"/>
        <v>17133.25</v>
      </c>
      <c r="AK299" s="7484"/>
      <c r="AL299" s="1327">
        <v>1216.8999999999999</v>
      </c>
      <c r="AM299" s="7530"/>
      <c r="AN299" s="5903">
        <f t="shared" si="510"/>
        <v>4367.04</v>
      </c>
      <c r="AO299" s="7500"/>
      <c r="AP299" s="5907">
        <f t="shared" si="511"/>
        <v>18350.150000000001</v>
      </c>
      <c r="AQ299" s="7484"/>
      <c r="AR299" s="1327">
        <v>2114.0400000000004</v>
      </c>
      <c r="AS299" s="7490"/>
      <c r="AT299" s="6135">
        <f t="shared" si="512"/>
        <v>20464.190000000002</v>
      </c>
      <c r="AU299" s="7484"/>
      <c r="AV299" s="1327">
        <v>4217.83</v>
      </c>
      <c r="AW299" s="7490"/>
      <c r="AX299" s="6193">
        <f t="shared" si="513"/>
        <v>24682.020000000004</v>
      </c>
      <c r="AY299" s="7484"/>
      <c r="AZ299" s="1327">
        <v>4399.8499999999995</v>
      </c>
      <c r="BA299" s="7530"/>
      <c r="BB299" s="6596">
        <f t="shared" si="514"/>
        <v>10731.720000000001</v>
      </c>
      <c r="BC299" s="7515"/>
      <c r="BD299" s="6599">
        <f t="shared" si="515"/>
        <v>15098.760000000002</v>
      </c>
      <c r="BE299" s="7490"/>
      <c r="BF299" s="6598">
        <f t="shared" si="516"/>
        <v>29081.870000000003</v>
      </c>
      <c r="BG299" s="4590"/>
      <c r="BH299" s="4590"/>
      <c r="BI299" s="4590"/>
      <c r="BJ299" s="4590"/>
    </row>
    <row r="300" spans="1:62" x14ac:dyDescent="0.25">
      <c r="A300" s="199"/>
      <c r="B300" s="851" t="s">
        <v>887</v>
      </c>
      <c r="C300" s="4222" t="s">
        <v>896</v>
      </c>
      <c r="D300" s="4290"/>
      <c r="E300" s="7543"/>
      <c r="F300" s="1970"/>
      <c r="G300" s="7543"/>
      <c r="H300" s="1970"/>
      <c r="I300" s="7548"/>
      <c r="J300" s="7213">
        <f t="shared" si="503"/>
        <v>0</v>
      </c>
      <c r="K300" s="7484"/>
      <c r="L300" s="1327"/>
      <c r="M300" s="7530"/>
      <c r="N300" s="4568">
        <f t="shared" si="517"/>
        <v>0</v>
      </c>
      <c r="O300" s="7484"/>
      <c r="P300" s="1327"/>
      <c r="Q300" s="7500"/>
      <c r="R300" s="4821">
        <f t="shared" si="504"/>
        <v>0</v>
      </c>
      <c r="S300" s="7484"/>
      <c r="T300" s="1327"/>
      <c r="U300" s="7500"/>
      <c r="V300" s="4890">
        <f t="shared" si="505"/>
        <v>0</v>
      </c>
      <c r="W300" s="7484"/>
      <c r="X300" s="1327"/>
      <c r="Y300" s="7530"/>
      <c r="Z300" s="4125">
        <f t="shared" si="506"/>
        <v>0</v>
      </c>
      <c r="AA300" s="7515"/>
      <c r="AB300" s="4157">
        <f t="shared" si="507"/>
        <v>0</v>
      </c>
      <c r="AC300" s="7484"/>
      <c r="AD300" s="1327"/>
      <c r="AE300" s="7500"/>
      <c r="AF300" s="5333">
        <f t="shared" si="508"/>
        <v>0</v>
      </c>
      <c r="AG300" s="7484"/>
      <c r="AH300" s="1327"/>
      <c r="AI300" s="7490"/>
      <c r="AJ300" s="5511">
        <f t="shared" si="509"/>
        <v>0</v>
      </c>
      <c r="AK300" s="7484"/>
      <c r="AL300" s="1327"/>
      <c r="AM300" s="7530"/>
      <c r="AN300" s="5903">
        <f t="shared" si="510"/>
        <v>0</v>
      </c>
      <c r="AO300" s="7500"/>
      <c r="AP300" s="5907">
        <f t="shared" si="511"/>
        <v>0</v>
      </c>
      <c r="AQ300" s="7484"/>
      <c r="AR300" s="1327"/>
      <c r="AS300" s="7490"/>
      <c r="AT300" s="6135">
        <f t="shared" si="512"/>
        <v>0</v>
      </c>
      <c r="AU300" s="7484"/>
      <c r="AV300" s="1327">
        <v>63.78</v>
      </c>
      <c r="AW300" s="7490"/>
      <c r="AX300" s="6193">
        <f t="shared" si="513"/>
        <v>63.78</v>
      </c>
      <c r="AY300" s="7484"/>
      <c r="AZ300" s="1327"/>
      <c r="BA300" s="7530"/>
      <c r="BB300" s="6596">
        <f t="shared" si="514"/>
        <v>63.78</v>
      </c>
      <c r="BC300" s="7515"/>
      <c r="BD300" s="6599">
        <f t="shared" si="515"/>
        <v>63.78</v>
      </c>
      <c r="BE300" s="7490"/>
      <c r="BF300" s="6598">
        <f t="shared" si="516"/>
        <v>63.78</v>
      </c>
      <c r="BG300" s="4590"/>
      <c r="BH300" s="4590"/>
      <c r="BI300" s="4590"/>
      <c r="BJ300" s="4590"/>
    </row>
    <row r="301" spans="1:62" x14ac:dyDescent="0.25">
      <c r="A301" s="199"/>
      <c r="B301" s="851" t="s">
        <v>887</v>
      </c>
      <c r="C301" s="4222" t="s">
        <v>1879</v>
      </c>
      <c r="D301" s="4290"/>
      <c r="E301" s="7543"/>
      <c r="F301" s="4150">
        <v>4937.1499999999996</v>
      </c>
      <c r="G301" s="7543"/>
      <c r="H301" s="7173">
        <v>5008.1299999999992</v>
      </c>
      <c r="I301" s="7548"/>
      <c r="J301" s="7213">
        <f t="shared" si="503"/>
        <v>9945.2799999999988</v>
      </c>
      <c r="K301" s="7484"/>
      <c r="L301" s="1327">
        <v>1311.87</v>
      </c>
      <c r="M301" s="7532"/>
      <c r="N301" s="4568">
        <f t="shared" si="517"/>
        <v>11257.149999999998</v>
      </c>
      <c r="O301" s="7484"/>
      <c r="P301" s="1327">
        <v>3300.7399999999993</v>
      </c>
      <c r="Q301" s="7502"/>
      <c r="R301" s="4821">
        <f t="shared" si="504"/>
        <v>14557.889999999998</v>
      </c>
      <c r="S301" s="7484"/>
      <c r="T301" s="1327">
        <v>2150</v>
      </c>
      <c r="U301" s="7502"/>
      <c r="V301" s="4890">
        <f t="shared" si="505"/>
        <v>16707.89</v>
      </c>
      <c r="W301" s="7484"/>
      <c r="X301" s="1327">
        <v>5165.6800000000012</v>
      </c>
      <c r="Y301" s="7532"/>
      <c r="Z301" s="5018">
        <f t="shared" si="506"/>
        <v>10616.420000000002</v>
      </c>
      <c r="AA301" s="7517"/>
      <c r="AB301" s="5021">
        <f t="shared" si="507"/>
        <v>21873.57</v>
      </c>
      <c r="AC301" s="7484"/>
      <c r="AD301" s="1327">
        <v>5939.57</v>
      </c>
      <c r="AE301" s="7502"/>
      <c r="AF301" s="5333">
        <f t="shared" si="508"/>
        <v>27813.14</v>
      </c>
      <c r="AG301" s="7484"/>
      <c r="AH301" s="1327">
        <v>1408.79</v>
      </c>
      <c r="AI301" s="7490"/>
      <c r="AJ301" s="5511">
        <f t="shared" si="509"/>
        <v>29221.93</v>
      </c>
      <c r="AK301" s="7484"/>
      <c r="AL301" s="1327">
        <v>2139.14</v>
      </c>
      <c r="AM301" s="7532"/>
      <c r="AN301" s="5903">
        <f t="shared" si="510"/>
        <v>9487.5</v>
      </c>
      <c r="AO301" s="7502"/>
      <c r="AP301" s="5907">
        <f t="shared" si="511"/>
        <v>31361.07</v>
      </c>
      <c r="AQ301" s="7484"/>
      <c r="AR301" s="1327">
        <v>3032.2400000000002</v>
      </c>
      <c r="AS301" s="7490"/>
      <c r="AT301" s="6135">
        <f t="shared" si="512"/>
        <v>34393.31</v>
      </c>
      <c r="AU301" s="7484"/>
      <c r="AV301" s="1327">
        <v>6692.4500000000007</v>
      </c>
      <c r="AW301" s="7490"/>
      <c r="AX301" s="6193">
        <f t="shared" si="513"/>
        <v>41085.759999999995</v>
      </c>
      <c r="AY301" s="7484"/>
      <c r="AZ301" s="1327">
        <v>5959.1599999999989</v>
      </c>
      <c r="BA301" s="7532"/>
      <c r="BB301" s="6596">
        <f t="shared" si="514"/>
        <v>15683.849999999999</v>
      </c>
      <c r="BC301" s="7517"/>
      <c r="BD301" s="6599">
        <f t="shared" si="515"/>
        <v>25171.35</v>
      </c>
      <c r="BE301" s="7490"/>
      <c r="BF301" s="6598">
        <f t="shared" si="516"/>
        <v>47044.919999999991</v>
      </c>
      <c r="BG301" s="4590"/>
      <c r="BH301" s="4590"/>
      <c r="BI301" s="4590"/>
      <c r="BJ301" s="4590"/>
    </row>
    <row r="302" spans="1:62" x14ac:dyDescent="0.25">
      <c r="A302" s="199"/>
      <c r="B302" s="851" t="s">
        <v>887</v>
      </c>
      <c r="C302" s="4222" t="s">
        <v>1882</v>
      </c>
      <c r="D302" s="4290"/>
      <c r="E302" s="7543"/>
      <c r="F302" s="4150">
        <v>450.64</v>
      </c>
      <c r="G302" s="7543"/>
      <c r="H302" s="7173">
        <v>1366.79</v>
      </c>
      <c r="I302" s="7548"/>
      <c r="J302" s="7213">
        <f t="shared" si="503"/>
        <v>1817.4299999999998</v>
      </c>
      <c r="K302" s="7484"/>
      <c r="L302" s="1327">
        <v>1010.9799999999998</v>
      </c>
      <c r="M302" s="7532"/>
      <c r="N302" s="4568">
        <f t="shared" si="517"/>
        <v>2828.41</v>
      </c>
      <c r="O302" s="7484"/>
      <c r="P302" s="1327">
        <v>1364.57</v>
      </c>
      <c r="Q302" s="7502"/>
      <c r="R302" s="4821">
        <f t="shared" si="504"/>
        <v>4192.9799999999996</v>
      </c>
      <c r="S302" s="7484"/>
      <c r="T302" s="1327">
        <v>1973.8400000000001</v>
      </c>
      <c r="U302" s="7502"/>
      <c r="V302" s="4890">
        <f t="shared" si="505"/>
        <v>6166.82</v>
      </c>
      <c r="W302" s="7484"/>
      <c r="X302" s="1327">
        <v>327.19000000000005</v>
      </c>
      <c r="Y302" s="7532"/>
      <c r="Z302" s="5018">
        <f t="shared" si="506"/>
        <v>3665.6</v>
      </c>
      <c r="AA302" s="7517"/>
      <c r="AB302" s="5021">
        <f t="shared" si="507"/>
        <v>6494.01</v>
      </c>
      <c r="AC302" s="7484"/>
      <c r="AD302" s="1327">
        <v>626.42999999999995</v>
      </c>
      <c r="AE302" s="7502"/>
      <c r="AF302" s="5333">
        <f t="shared" si="508"/>
        <v>7120.4400000000005</v>
      </c>
      <c r="AG302" s="7484"/>
      <c r="AH302" s="1327">
        <v>61.2</v>
      </c>
      <c r="AI302" s="7490"/>
      <c r="AJ302" s="5511">
        <f t="shared" si="509"/>
        <v>7181.64</v>
      </c>
      <c r="AK302" s="7484"/>
      <c r="AL302" s="1327">
        <v>962.28</v>
      </c>
      <c r="AM302" s="7532"/>
      <c r="AN302" s="5903">
        <f t="shared" si="510"/>
        <v>1649.9099999999999</v>
      </c>
      <c r="AO302" s="7502"/>
      <c r="AP302" s="5907">
        <f t="shared" si="511"/>
        <v>8143.92</v>
      </c>
      <c r="AQ302" s="7484"/>
      <c r="AR302" s="1327">
        <v>1386.98</v>
      </c>
      <c r="AS302" s="7490"/>
      <c r="AT302" s="6135">
        <f t="shared" si="512"/>
        <v>9530.9</v>
      </c>
      <c r="AU302" s="7484"/>
      <c r="AV302" s="1327">
        <v>773.75000000000011</v>
      </c>
      <c r="AW302" s="7490"/>
      <c r="AX302" s="6193">
        <f t="shared" si="513"/>
        <v>10304.65</v>
      </c>
      <c r="AY302" s="7484"/>
      <c r="AZ302" s="1327">
        <v>807.51</v>
      </c>
      <c r="BA302" s="7532"/>
      <c r="BB302" s="6596">
        <f t="shared" si="514"/>
        <v>2968.24</v>
      </c>
      <c r="BC302" s="7517"/>
      <c r="BD302" s="6599">
        <f t="shared" si="515"/>
        <v>4618.1499999999996</v>
      </c>
      <c r="BE302" s="7490"/>
      <c r="BF302" s="6598">
        <f t="shared" si="516"/>
        <v>11112.16</v>
      </c>
      <c r="BG302" s="4590"/>
      <c r="BH302" s="4590"/>
      <c r="BI302" s="4590"/>
      <c r="BJ302" s="4590"/>
    </row>
    <row r="303" spans="1:62" x14ac:dyDescent="0.25">
      <c r="A303" s="199"/>
      <c r="B303" s="851" t="s">
        <v>887</v>
      </c>
      <c r="C303" s="4222" t="s">
        <v>897</v>
      </c>
      <c r="D303" s="4290"/>
      <c r="E303" s="7543"/>
      <c r="F303" s="1970">
        <v>187</v>
      </c>
      <c r="G303" s="7543"/>
      <c r="H303" s="1970">
        <v>63.74</v>
      </c>
      <c r="I303" s="7548"/>
      <c r="J303" s="7213">
        <f t="shared" si="503"/>
        <v>250.74</v>
      </c>
      <c r="K303" s="7484"/>
      <c r="L303" s="1327">
        <v>66</v>
      </c>
      <c r="M303" s="7530"/>
      <c r="N303" s="4568">
        <f t="shared" si="517"/>
        <v>316.74</v>
      </c>
      <c r="O303" s="7484"/>
      <c r="P303" s="1327">
        <v>323.56</v>
      </c>
      <c r="Q303" s="7500"/>
      <c r="R303" s="4821">
        <f t="shared" si="504"/>
        <v>640.29999999999995</v>
      </c>
      <c r="S303" s="7484"/>
      <c r="T303" s="1327"/>
      <c r="U303" s="7500"/>
      <c r="V303" s="4890">
        <f t="shared" si="505"/>
        <v>640.29999999999995</v>
      </c>
      <c r="W303" s="7484"/>
      <c r="X303" s="1327">
        <v>128.76</v>
      </c>
      <c r="Y303" s="7530"/>
      <c r="Z303" s="5018">
        <f t="shared" si="506"/>
        <v>452.32</v>
      </c>
      <c r="AA303" s="7515"/>
      <c r="AB303" s="5021">
        <f t="shared" si="507"/>
        <v>769.06</v>
      </c>
      <c r="AC303" s="7484"/>
      <c r="AD303" s="1327">
        <v>194.62</v>
      </c>
      <c r="AE303" s="7500"/>
      <c r="AF303" s="5333">
        <f t="shared" si="508"/>
        <v>963.68</v>
      </c>
      <c r="AG303" s="7484"/>
      <c r="AH303" s="1327">
        <v>65</v>
      </c>
      <c r="AI303" s="7490"/>
      <c r="AJ303" s="5511">
        <f t="shared" si="509"/>
        <v>1028.6799999999998</v>
      </c>
      <c r="AK303" s="7484"/>
      <c r="AL303" s="1327"/>
      <c r="AM303" s="7530"/>
      <c r="AN303" s="5903">
        <f t="shared" si="510"/>
        <v>259.62</v>
      </c>
      <c r="AO303" s="7500"/>
      <c r="AP303" s="5907">
        <f t="shared" si="511"/>
        <v>1028.6799999999998</v>
      </c>
      <c r="AQ303" s="7484"/>
      <c r="AR303" s="1327">
        <v>64.28</v>
      </c>
      <c r="AS303" s="7490"/>
      <c r="AT303" s="6135">
        <f t="shared" si="512"/>
        <v>1092.9599999999998</v>
      </c>
      <c r="AU303" s="7484"/>
      <c r="AV303" s="1327"/>
      <c r="AW303" s="7490"/>
      <c r="AX303" s="6193">
        <f t="shared" si="513"/>
        <v>1092.9599999999998</v>
      </c>
      <c r="AY303" s="7484"/>
      <c r="AZ303" s="1327"/>
      <c r="BA303" s="7530"/>
      <c r="BB303" s="6596">
        <f t="shared" si="514"/>
        <v>64.28</v>
      </c>
      <c r="BC303" s="7515"/>
      <c r="BD303" s="6599">
        <f t="shared" si="515"/>
        <v>323.89999999999998</v>
      </c>
      <c r="BE303" s="7490"/>
      <c r="BF303" s="6598">
        <f t="shared" si="516"/>
        <v>1092.9599999999998</v>
      </c>
      <c r="BG303" s="4590"/>
      <c r="BH303" s="4590"/>
      <c r="BI303" s="4590"/>
      <c r="BJ303" s="4590"/>
    </row>
    <row r="304" spans="1:62" ht="15.75" thickBot="1" x14ac:dyDescent="0.3">
      <c r="A304" s="199"/>
      <c r="B304" s="3456" t="s">
        <v>887</v>
      </c>
      <c r="C304" s="4185" t="s">
        <v>2288</v>
      </c>
      <c r="D304" s="4291"/>
      <c r="E304" s="7543"/>
      <c r="F304" s="1970">
        <v>123.78</v>
      </c>
      <c r="G304" s="7543"/>
      <c r="H304" s="1970"/>
      <c r="I304" s="7548"/>
      <c r="J304" s="7213">
        <f t="shared" si="503"/>
        <v>123.78</v>
      </c>
      <c r="K304" s="7484"/>
      <c r="L304" s="4292"/>
      <c r="M304" s="7530"/>
      <c r="N304" s="4568">
        <f t="shared" si="517"/>
        <v>123.78</v>
      </c>
      <c r="O304" s="7484"/>
      <c r="P304" s="4292"/>
      <c r="Q304" s="7500"/>
      <c r="R304" s="4821">
        <f t="shared" si="504"/>
        <v>123.78</v>
      </c>
      <c r="S304" s="7484"/>
      <c r="T304" s="4292"/>
      <c r="U304" s="7500"/>
      <c r="V304" s="4890">
        <f t="shared" si="505"/>
        <v>123.78</v>
      </c>
      <c r="W304" s="7484"/>
      <c r="X304" s="4292"/>
      <c r="Y304" s="7530"/>
      <c r="Z304" s="5018">
        <f t="shared" si="506"/>
        <v>0</v>
      </c>
      <c r="AA304" s="7515"/>
      <c r="AB304" s="5021">
        <f t="shared" si="507"/>
        <v>123.78</v>
      </c>
      <c r="AC304" s="7484"/>
      <c r="AD304" s="4292"/>
      <c r="AE304" s="7500"/>
      <c r="AF304" s="5333">
        <f t="shared" si="508"/>
        <v>123.78</v>
      </c>
      <c r="AG304" s="7484"/>
      <c r="AH304" s="4292"/>
      <c r="AI304" s="7490"/>
      <c r="AJ304" s="5511">
        <f t="shared" si="509"/>
        <v>123.78</v>
      </c>
      <c r="AK304" s="7484"/>
      <c r="AL304" s="4292"/>
      <c r="AM304" s="7530"/>
      <c r="AN304" s="5903">
        <f t="shared" si="510"/>
        <v>0</v>
      </c>
      <c r="AO304" s="7500"/>
      <c r="AP304" s="5907">
        <f t="shared" si="511"/>
        <v>123.78</v>
      </c>
      <c r="AQ304" s="7484"/>
      <c r="AR304" s="4292"/>
      <c r="AS304" s="7490"/>
      <c r="AT304" s="6135">
        <f t="shared" si="512"/>
        <v>123.78</v>
      </c>
      <c r="AU304" s="7484"/>
      <c r="AV304" s="4292"/>
      <c r="AW304" s="7490"/>
      <c r="AX304" s="6193">
        <f t="shared" si="513"/>
        <v>123.78</v>
      </c>
      <c r="AY304" s="7484"/>
      <c r="AZ304" s="4292">
        <v>185.16</v>
      </c>
      <c r="BA304" s="7530"/>
      <c r="BB304" s="6596">
        <f t="shared" si="514"/>
        <v>185.16</v>
      </c>
      <c r="BC304" s="7515"/>
      <c r="BD304" s="6599">
        <f t="shared" si="515"/>
        <v>185.16</v>
      </c>
      <c r="BE304" s="7490"/>
      <c r="BF304" s="6598">
        <f t="shared" si="516"/>
        <v>308.94</v>
      </c>
      <c r="BG304" s="4590"/>
      <c r="BH304" s="4590"/>
      <c r="BI304" s="4590"/>
      <c r="BJ304" s="4590"/>
    </row>
    <row r="305" spans="1:62" x14ac:dyDescent="0.25">
      <c r="A305" s="199"/>
      <c r="B305" s="4269" t="s">
        <v>889</v>
      </c>
      <c r="C305" s="4218" t="s">
        <v>916</v>
      </c>
      <c r="D305" s="4195"/>
      <c r="E305" s="7486"/>
      <c r="F305" s="1970">
        <v>62</v>
      </c>
      <c r="G305" s="7486"/>
      <c r="H305" s="1970"/>
      <c r="I305" s="7500"/>
      <c r="J305" s="7213">
        <f t="shared" si="503"/>
        <v>62</v>
      </c>
      <c r="K305" s="7486"/>
      <c r="L305" s="1205"/>
      <c r="M305" s="7530"/>
      <c r="N305" s="4568">
        <f t="shared" si="517"/>
        <v>62</v>
      </c>
      <c r="O305" s="7486"/>
      <c r="P305" s="1205">
        <v>66</v>
      </c>
      <c r="Q305" s="7500"/>
      <c r="R305" s="4821">
        <f t="shared" si="504"/>
        <v>128</v>
      </c>
      <c r="S305" s="7486"/>
      <c r="T305" s="1205"/>
      <c r="U305" s="7500"/>
      <c r="V305" s="4890">
        <f t="shared" si="505"/>
        <v>128</v>
      </c>
      <c r="W305" s="7486"/>
      <c r="X305" s="1205"/>
      <c r="Y305" s="7530"/>
      <c r="Z305" s="5018">
        <f t="shared" si="506"/>
        <v>66</v>
      </c>
      <c r="AA305" s="7515"/>
      <c r="AB305" s="5021">
        <f t="shared" si="507"/>
        <v>128</v>
      </c>
      <c r="AC305" s="7486"/>
      <c r="AD305" s="1205"/>
      <c r="AE305" s="7500"/>
      <c r="AF305" s="5333">
        <f t="shared" si="508"/>
        <v>128</v>
      </c>
      <c r="AG305" s="7486"/>
      <c r="AH305" s="5523"/>
      <c r="AI305" s="7490"/>
      <c r="AJ305" s="5511">
        <f t="shared" si="509"/>
        <v>128</v>
      </c>
      <c r="AK305" s="7486"/>
      <c r="AL305" s="5923"/>
      <c r="AM305" s="7530"/>
      <c r="AN305" s="5903">
        <f t="shared" si="510"/>
        <v>0</v>
      </c>
      <c r="AO305" s="7500"/>
      <c r="AP305" s="5907">
        <f t="shared" si="511"/>
        <v>128</v>
      </c>
      <c r="AQ305" s="7486"/>
      <c r="AR305" s="6079"/>
      <c r="AS305" s="7490"/>
      <c r="AT305" s="6135">
        <f t="shared" si="512"/>
        <v>128</v>
      </c>
      <c r="AU305" s="7486"/>
      <c r="AV305" s="6202">
        <v>63.44</v>
      </c>
      <c r="AW305" s="7490"/>
      <c r="AX305" s="6193">
        <f t="shared" si="513"/>
        <v>191.44</v>
      </c>
      <c r="AY305" s="7486"/>
      <c r="AZ305" s="6407">
        <v>193.68</v>
      </c>
      <c r="BA305" s="7530"/>
      <c r="BB305" s="6596">
        <f t="shared" si="514"/>
        <v>257.12</v>
      </c>
      <c r="BC305" s="7515"/>
      <c r="BD305" s="6599">
        <f t="shared" si="515"/>
        <v>257.12</v>
      </c>
      <c r="BE305" s="7490"/>
      <c r="BF305" s="6598">
        <f t="shared" si="516"/>
        <v>385.12</v>
      </c>
      <c r="BG305" s="4590"/>
      <c r="BH305" s="4590"/>
      <c r="BI305" s="4590"/>
      <c r="BJ305" s="4590"/>
    </row>
    <row r="306" spans="1:62" x14ac:dyDescent="0.25">
      <c r="A306" s="199"/>
      <c r="B306" s="4293" t="s">
        <v>889</v>
      </c>
      <c r="C306" s="4221" t="s">
        <v>1880</v>
      </c>
      <c r="D306" s="4222"/>
      <c r="E306" s="7487"/>
      <c r="F306" s="4150">
        <v>1902.35</v>
      </c>
      <c r="G306" s="7487"/>
      <c r="H306" s="7173">
        <v>1243.0299999999997</v>
      </c>
      <c r="I306" s="7502"/>
      <c r="J306" s="7213">
        <f t="shared" si="503"/>
        <v>3145.3799999999997</v>
      </c>
      <c r="K306" s="7487"/>
      <c r="L306" s="4579"/>
      <c r="M306" s="7532"/>
      <c r="N306" s="4568">
        <f t="shared" si="517"/>
        <v>3145.3799999999997</v>
      </c>
      <c r="O306" s="7487"/>
      <c r="P306" s="4791">
        <v>709.02</v>
      </c>
      <c r="Q306" s="7502"/>
      <c r="R306" s="4821">
        <f t="shared" si="504"/>
        <v>3854.3999999999996</v>
      </c>
      <c r="S306" s="7487"/>
      <c r="T306" s="4902">
        <v>127.02</v>
      </c>
      <c r="U306" s="7502"/>
      <c r="V306" s="4890">
        <f t="shared" si="505"/>
        <v>3981.4199999999996</v>
      </c>
      <c r="W306" s="7487"/>
      <c r="X306" s="5032">
        <v>1045.8600000000001</v>
      </c>
      <c r="Y306" s="7532"/>
      <c r="Z306" s="5018">
        <f t="shared" si="506"/>
        <v>1881.9</v>
      </c>
      <c r="AA306" s="7517"/>
      <c r="AB306" s="5021">
        <f t="shared" si="507"/>
        <v>5027.28</v>
      </c>
      <c r="AC306" s="7487"/>
      <c r="AD306" s="5345">
        <v>386.34000000000003</v>
      </c>
      <c r="AE306" s="7502"/>
      <c r="AF306" s="5333">
        <f t="shared" si="508"/>
        <v>5413.62</v>
      </c>
      <c r="AG306" s="7487"/>
      <c r="AH306" s="5524">
        <v>714.44</v>
      </c>
      <c r="AI306" s="7490"/>
      <c r="AJ306" s="5511">
        <f t="shared" si="509"/>
        <v>6128.0599999999995</v>
      </c>
      <c r="AK306" s="7487"/>
      <c r="AL306" s="5918">
        <v>1202.04</v>
      </c>
      <c r="AM306" s="7532"/>
      <c r="AN306" s="5903">
        <f t="shared" si="510"/>
        <v>2302.8200000000002</v>
      </c>
      <c r="AO306" s="7502"/>
      <c r="AP306" s="5907">
        <f t="shared" si="511"/>
        <v>7330.0999999999995</v>
      </c>
      <c r="AQ306" s="7487"/>
      <c r="AR306" s="6073">
        <v>1506.35</v>
      </c>
      <c r="AS306" s="7490"/>
      <c r="AT306" s="6135">
        <f t="shared" si="512"/>
        <v>8836.4499999999989</v>
      </c>
      <c r="AU306" s="7487"/>
      <c r="AV306" s="6203">
        <v>711.94999999999993</v>
      </c>
      <c r="AW306" s="7490"/>
      <c r="AX306" s="6193">
        <f t="shared" si="513"/>
        <v>9548.4</v>
      </c>
      <c r="AY306" s="7487"/>
      <c r="AZ306" s="6410">
        <v>1369.45</v>
      </c>
      <c r="BA306" s="7532"/>
      <c r="BB306" s="6596">
        <f t="shared" si="514"/>
        <v>3587.75</v>
      </c>
      <c r="BC306" s="7517"/>
      <c r="BD306" s="6599">
        <f t="shared" si="515"/>
        <v>5890.57</v>
      </c>
      <c r="BE306" s="7490"/>
      <c r="BF306" s="6598">
        <f t="shared" si="516"/>
        <v>10917.85</v>
      </c>
      <c r="BG306" s="4590"/>
      <c r="BH306" s="4590"/>
      <c r="BI306" s="4590"/>
      <c r="BJ306" s="4590"/>
    </row>
    <row r="307" spans="1:62" s="93" customFormat="1" x14ac:dyDescent="0.25">
      <c r="A307" s="199"/>
      <c r="B307" s="4293" t="s">
        <v>889</v>
      </c>
      <c r="C307" s="4221" t="s">
        <v>1883</v>
      </c>
      <c r="D307" s="4222"/>
      <c r="E307" s="7487"/>
      <c r="F307" s="5376">
        <v>743.06</v>
      </c>
      <c r="G307" s="7487"/>
      <c r="H307" s="7173">
        <v>436.43000000000006</v>
      </c>
      <c r="I307" s="7502"/>
      <c r="J307" s="7213">
        <f t="shared" si="503"/>
        <v>1179.49</v>
      </c>
      <c r="K307" s="7487"/>
      <c r="L307" s="5376">
        <v>227.21</v>
      </c>
      <c r="M307" s="7532"/>
      <c r="N307" s="5372">
        <f t="shared" si="517"/>
        <v>1406.7</v>
      </c>
      <c r="O307" s="7487"/>
      <c r="P307" s="5376">
        <v>457.26</v>
      </c>
      <c r="Q307" s="7502"/>
      <c r="R307" s="5374">
        <f t="shared" si="504"/>
        <v>1863.96</v>
      </c>
      <c r="S307" s="7487"/>
      <c r="T307" s="5376">
        <v>252.38</v>
      </c>
      <c r="U307" s="7502"/>
      <c r="V307" s="5374">
        <f t="shared" si="505"/>
        <v>2116.34</v>
      </c>
      <c r="W307" s="7487"/>
      <c r="X307" s="5376">
        <v>260.33999999999997</v>
      </c>
      <c r="Y307" s="7532"/>
      <c r="Z307" s="5372">
        <f t="shared" si="506"/>
        <v>969.98</v>
      </c>
      <c r="AA307" s="7517"/>
      <c r="AB307" s="5373">
        <f t="shared" si="507"/>
        <v>2376.6800000000003</v>
      </c>
      <c r="AC307" s="7487"/>
      <c r="AD307" s="5376">
        <v>326.10000000000002</v>
      </c>
      <c r="AE307" s="7502"/>
      <c r="AF307" s="5374">
        <f t="shared" si="508"/>
        <v>2702.78</v>
      </c>
      <c r="AG307" s="7487"/>
      <c r="AH307" s="5524">
        <v>129.71</v>
      </c>
      <c r="AI307" s="7490"/>
      <c r="AJ307" s="5511">
        <f t="shared" si="509"/>
        <v>2832.4900000000002</v>
      </c>
      <c r="AK307" s="7487"/>
      <c r="AL307" s="5918">
        <v>633.66999999999996</v>
      </c>
      <c r="AM307" s="7532"/>
      <c r="AN307" s="5903">
        <f t="shared" si="510"/>
        <v>1089.48</v>
      </c>
      <c r="AO307" s="7502"/>
      <c r="AP307" s="5907">
        <f t="shared" si="511"/>
        <v>3466.1600000000003</v>
      </c>
      <c r="AQ307" s="7487"/>
      <c r="AR307" s="6073">
        <v>442.3</v>
      </c>
      <c r="AS307" s="7490"/>
      <c r="AT307" s="6135">
        <f t="shared" si="512"/>
        <v>3908.4600000000005</v>
      </c>
      <c r="AU307" s="7487"/>
      <c r="AV307" s="6203">
        <v>514.04999999999995</v>
      </c>
      <c r="AW307" s="7490"/>
      <c r="AX307" s="6193">
        <f t="shared" si="513"/>
        <v>4422.51</v>
      </c>
      <c r="AY307" s="7487"/>
      <c r="AZ307" s="6410">
        <v>263.23</v>
      </c>
      <c r="BA307" s="7532"/>
      <c r="BB307" s="6596">
        <f t="shared" si="514"/>
        <v>1219.58</v>
      </c>
      <c r="BC307" s="7517"/>
      <c r="BD307" s="6599">
        <f t="shared" si="515"/>
        <v>2309.06</v>
      </c>
      <c r="BE307" s="7490"/>
      <c r="BF307" s="6598">
        <f t="shared" si="516"/>
        <v>4685.74</v>
      </c>
      <c r="BG307" s="4590"/>
      <c r="BH307" s="4590"/>
      <c r="BI307" s="4590"/>
      <c r="BJ307" s="4590"/>
    </row>
    <row r="308" spans="1:62" x14ac:dyDescent="0.25">
      <c r="A308" s="199"/>
      <c r="B308" s="4250" t="s">
        <v>889</v>
      </c>
      <c r="C308" s="4212" t="s">
        <v>900</v>
      </c>
      <c r="D308" s="4183"/>
      <c r="E308" s="7486"/>
      <c r="F308" s="1970"/>
      <c r="G308" s="7486"/>
      <c r="H308" s="1970"/>
      <c r="I308" s="7500"/>
      <c r="J308" s="7213">
        <f t="shared" si="503"/>
        <v>0</v>
      </c>
      <c r="K308" s="7486"/>
      <c r="L308" s="1970"/>
      <c r="M308" s="7530"/>
      <c r="N308" s="4568">
        <f t="shared" si="517"/>
        <v>0</v>
      </c>
      <c r="O308" s="7486"/>
      <c r="P308" s="1970"/>
      <c r="Q308" s="7500"/>
      <c r="R308" s="4821">
        <f t="shared" si="504"/>
        <v>0</v>
      </c>
      <c r="S308" s="7486"/>
      <c r="T308" s="1970"/>
      <c r="U308" s="7500"/>
      <c r="V308" s="4890">
        <f t="shared" si="505"/>
        <v>0</v>
      </c>
      <c r="W308" s="7486"/>
      <c r="X308" s="1970">
        <v>62.58</v>
      </c>
      <c r="Y308" s="7530"/>
      <c r="Z308" s="5018">
        <f t="shared" si="506"/>
        <v>62.58</v>
      </c>
      <c r="AA308" s="7515"/>
      <c r="AB308" s="5021">
        <f t="shared" si="507"/>
        <v>62.58</v>
      </c>
      <c r="AC308" s="7486"/>
      <c r="AD308" s="1970"/>
      <c r="AE308" s="7500"/>
      <c r="AF308" s="5333">
        <f t="shared" si="508"/>
        <v>62.58</v>
      </c>
      <c r="AG308" s="7486"/>
      <c r="AH308" s="1970">
        <v>58.84</v>
      </c>
      <c r="AI308" s="7490"/>
      <c r="AJ308" s="5511">
        <f t="shared" si="509"/>
        <v>121.42</v>
      </c>
      <c r="AK308" s="7486"/>
      <c r="AL308" s="1970"/>
      <c r="AM308" s="7530"/>
      <c r="AN308" s="5903">
        <f t="shared" si="510"/>
        <v>58.84</v>
      </c>
      <c r="AO308" s="7500"/>
      <c r="AP308" s="5907">
        <f t="shared" si="511"/>
        <v>121.42</v>
      </c>
      <c r="AQ308" s="7486"/>
      <c r="AR308" s="1970"/>
      <c r="AS308" s="7490"/>
      <c r="AT308" s="6135">
        <f t="shared" si="512"/>
        <v>121.42</v>
      </c>
      <c r="AU308" s="7486"/>
      <c r="AV308" s="1970"/>
      <c r="AW308" s="7490"/>
      <c r="AX308" s="6193">
        <f t="shared" si="513"/>
        <v>121.42</v>
      </c>
      <c r="AY308" s="7486"/>
      <c r="AZ308" s="1970"/>
      <c r="BA308" s="7530"/>
      <c r="BB308" s="6596">
        <f t="shared" si="514"/>
        <v>0</v>
      </c>
      <c r="BC308" s="7515"/>
      <c r="BD308" s="6599">
        <f t="shared" si="515"/>
        <v>58.84</v>
      </c>
      <c r="BE308" s="7490"/>
      <c r="BF308" s="6598">
        <f t="shared" si="516"/>
        <v>121.42</v>
      </c>
      <c r="BG308" s="4590"/>
      <c r="BH308" s="4590"/>
      <c r="BI308" s="4590"/>
      <c r="BJ308" s="4590"/>
    </row>
    <row r="309" spans="1:62" x14ac:dyDescent="0.25">
      <c r="A309" s="199"/>
      <c r="B309" s="4250" t="s">
        <v>888</v>
      </c>
      <c r="C309" s="4212" t="s">
        <v>898</v>
      </c>
      <c r="D309" s="4183"/>
      <c r="E309" s="7486"/>
      <c r="F309" s="1970"/>
      <c r="G309" s="7486"/>
      <c r="H309" s="1970"/>
      <c r="I309" s="7500"/>
      <c r="J309" s="7213">
        <f t="shared" si="503"/>
        <v>0</v>
      </c>
      <c r="K309" s="7486"/>
      <c r="L309" s="1970">
        <v>189.38</v>
      </c>
      <c r="M309" s="7530"/>
      <c r="N309" s="4568">
        <f t="shared" si="517"/>
        <v>189.38</v>
      </c>
      <c r="O309" s="7486"/>
      <c r="P309" s="1970"/>
      <c r="Q309" s="7500"/>
      <c r="R309" s="4821">
        <f t="shared" si="504"/>
        <v>189.38</v>
      </c>
      <c r="S309" s="7486"/>
      <c r="T309" s="1970"/>
      <c r="U309" s="7500"/>
      <c r="V309" s="4890">
        <f t="shared" si="505"/>
        <v>189.38</v>
      </c>
      <c r="W309" s="7486"/>
      <c r="X309" s="1970"/>
      <c r="Y309" s="7530"/>
      <c r="Z309" s="4125">
        <f t="shared" si="506"/>
        <v>0</v>
      </c>
      <c r="AA309" s="7515"/>
      <c r="AB309" s="5021">
        <f t="shared" si="507"/>
        <v>189.38</v>
      </c>
      <c r="AC309" s="7486"/>
      <c r="AD309" s="1970">
        <v>63.94</v>
      </c>
      <c r="AE309" s="7500"/>
      <c r="AF309" s="5333">
        <f t="shared" si="508"/>
        <v>253.32</v>
      </c>
      <c r="AG309" s="7486"/>
      <c r="AH309" s="1970"/>
      <c r="AI309" s="7490"/>
      <c r="AJ309" s="5511">
        <f t="shared" si="509"/>
        <v>253.32</v>
      </c>
      <c r="AK309" s="7486"/>
      <c r="AL309" s="1970"/>
      <c r="AM309" s="7530"/>
      <c r="AN309" s="5903">
        <f t="shared" si="510"/>
        <v>63.94</v>
      </c>
      <c r="AO309" s="7500"/>
      <c r="AP309" s="5907">
        <f t="shared" si="511"/>
        <v>253.32</v>
      </c>
      <c r="AQ309" s="7486"/>
      <c r="AR309" s="1970"/>
      <c r="AS309" s="7490"/>
      <c r="AT309" s="6135">
        <f t="shared" si="512"/>
        <v>253.32</v>
      </c>
      <c r="AU309" s="7486"/>
      <c r="AV309" s="1970"/>
      <c r="AW309" s="7490"/>
      <c r="AX309" s="6193">
        <f t="shared" si="513"/>
        <v>253.32</v>
      </c>
      <c r="AY309" s="7486"/>
      <c r="AZ309" s="1970">
        <v>61.58</v>
      </c>
      <c r="BA309" s="7530"/>
      <c r="BB309" s="6596">
        <f t="shared" si="514"/>
        <v>61.58</v>
      </c>
      <c r="BC309" s="7515"/>
      <c r="BD309" s="6599">
        <f t="shared" si="515"/>
        <v>125.52</v>
      </c>
      <c r="BE309" s="7490"/>
      <c r="BF309" s="6598">
        <f t="shared" si="516"/>
        <v>314.89999999999998</v>
      </c>
      <c r="BG309" s="4590"/>
      <c r="BH309" s="4590"/>
      <c r="BI309" s="4590"/>
      <c r="BJ309" s="4590"/>
    </row>
    <row r="310" spans="1:62" x14ac:dyDescent="0.25">
      <c r="A310" s="199"/>
      <c r="B310" s="4250" t="s">
        <v>888</v>
      </c>
      <c r="C310" s="4212" t="s">
        <v>1772</v>
      </c>
      <c r="D310" s="4183"/>
      <c r="E310" s="7486"/>
      <c r="F310" s="1970">
        <v>2761.6</v>
      </c>
      <c r="G310" s="7486"/>
      <c r="H310" s="1970">
        <v>2538.6099999999997</v>
      </c>
      <c r="I310" s="7500"/>
      <c r="J310" s="7213">
        <f t="shared" si="503"/>
        <v>5300.2099999999991</v>
      </c>
      <c r="K310" s="7486"/>
      <c r="L310" s="1970">
        <v>56.7</v>
      </c>
      <c r="M310" s="7530"/>
      <c r="N310" s="4568">
        <f t="shared" si="517"/>
        <v>5356.9099999999989</v>
      </c>
      <c r="O310" s="7486"/>
      <c r="P310" s="1970">
        <v>2487.9800000000005</v>
      </c>
      <c r="Q310" s="7500"/>
      <c r="R310" s="4821">
        <f t="shared" si="504"/>
        <v>7844.8899999999994</v>
      </c>
      <c r="S310" s="7486"/>
      <c r="T310" s="1970">
        <v>2315.8199999999997</v>
      </c>
      <c r="U310" s="7500"/>
      <c r="V310" s="4890">
        <f t="shared" si="505"/>
        <v>10160.709999999999</v>
      </c>
      <c r="W310" s="7486"/>
      <c r="X310" s="1970">
        <v>2606.14</v>
      </c>
      <c r="Y310" s="7530"/>
      <c r="Z310" s="4125">
        <f t="shared" si="506"/>
        <v>7409.9400000000005</v>
      </c>
      <c r="AA310" s="7515"/>
      <c r="AB310" s="5021">
        <f t="shared" si="507"/>
        <v>12766.849999999999</v>
      </c>
      <c r="AC310" s="7486"/>
      <c r="AD310" s="1970">
        <v>1279.9199999999998</v>
      </c>
      <c r="AE310" s="7500"/>
      <c r="AF310" s="5333">
        <f t="shared" si="508"/>
        <v>14046.769999999999</v>
      </c>
      <c r="AG310" s="7486"/>
      <c r="AH310" s="1970">
        <v>3407.829999999999</v>
      </c>
      <c r="AI310" s="7490"/>
      <c r="AJ310" s="5511">
        <f t="shared" si="509"/>
        <v>17454.599999999999</v>
      </c>
      <c r="AK310" s="7486"/>
      <c r="AL310" s="1970">
        <v>3073.31</v>
      </c>
      <c r="AM310" s="7530"/>
      <c r="AN310" s="5903">
        <f t="shared" si="510"/>
        <v>7761.0599999999995</v>
      </c>
      <c r="AO310" s="7500"/>
      <c r="AP310" s="5907">
        <f t="shared" si="511"/>
        <v>20527.91</v>
      </c>
      <c r="AQ310" s="7486"/>
      <c r="AR310" s="1970">
        <v>1383.46</v>
      </c>
      <c r="AS310" s="7490"/>
      <c r="AT310" s="6135">
        <f t="shared" si="512"/>
        <v>21911.37</v>
      </c>
      <c r="AU310" s="7486"/>
      <c r="AV310" s="1970">
        <v>3222.3399999999997</v>
      </c>
      <c r="AW310" s="7490"/>
      <c r="AX310" s="6193">
        <f t="shared" si="513"/>
        <v>25133.71</v>
      </c>
      <c r="AY310" s="7486"/>
      <c r="AZ310" s="1970">
        <v>2754.67</v>
      </c>
      <c r="BA310" s="7530"/>
      <c r="BB310" s="6596">
        <f t="shared" si="514"/>
        <v>7360.4699999999993</v>
      </c>
      <c r="BC310" s="7515"/>
      <c r="BD310" s="6599">
        <f t="shared" si="515"/>
        <v>15121.529999999999</v>
      </c>
      <c r="BE310" s="7490"/>
      <c r="BF310" s="6598">
        <f t="shared" si="516"/>
        <v>27888.379999999997</v>
      </c>
      <c r="BG310" s="4590"/>
      <c r="BH310" s="4590"/>
      <c r="BI310" s="4590"/>
      <c r="BJ310" s="4590"/>
    </row>
    <row r="311" spans="1:62" x14ac:dyDescent="0.25">
      <c r="A311" s="199"/>
      <c r="B311" s="4293" t="s">
        <v>888</v>
      </c>
      <c r="C311" s="4221" t="s">
        <v>1884</v>
      </c>
      <c r="D311" s="4222"/>
      <c r="E311" s="7487"/>
      <c r="F311" s="4150">
        <v>543.14</v>
      </c>
      <c r="G311" s="7487"/>
      <c r="H311" s="7173">
        <v>435.21000000000004</v>
      </c>
      <c r="I311" s="7502"/>
      <c r="J311" s="7213">
        <f t="shared" si="503"/>
        <v>978.35</v>
      </c>
      <c r="K311" s="7487"/>
      <c r="L311" s="4579">
        <v>63.24</v>
      </c>
      <c r="M311" s="7532"/>
      <c r="N311" s="4568">
        <f t="shared" si="517"/>
        <v>1041.5899999999999</v>
      </c>
      <c r="O311" s="7487"/>
      <c r="P311" s="4791">
        <v>644.64</v>
      </c>
      <c r="Q311" s="7502"/>
      <c r="R311" s="4821">
        <f t="shared" si="504"/>
        <v>1686.23</v>
      </c>
      <c r="S311" s="7487"/>
      <c r="T311" s="4902">
        <v>845.2399999999999</v>
      </c>
      <c r="U311" s="7502"/>
      <c r="V311" s="4890">
        <f t="shared" si="505"/>
        <v>2531.4699999999998</v>
      </c>
      <c r="W311" s="7487"/>
      <c r="X311" s="5032">
        <v>158.19</v>
      </c>
      <c r="Y311" s="7532"/>
      <c r="Z311" s="5018">
        <f t="shared" si="506"/>
        <v>1648.07</v>
      </c>
      <c r="AA311" s="7517"/>
      <c r="AB311" s="5021">
        <f t="shared" si="507"/>
        <v>2689.66</v>
      </c>
      <c r="AC311" s="7487"/>
      <c r="AD311" s="5345">
        <v>348.45</v>
      </c>
      <c r="AE311" s="7502"/>
      <c r="AF311" s="5333">
        <f t="shared" si="508"/>
        <v>3038.1099999999997</v>
      </c>
      <c r="AG311" s="7487"/>
      <c r="AH311" s="5524">
        <v>168.32</v>
      </c>
      <c r="AI311" s="7490"/>
      <c r="AJ311" s="5511">
        <f t="shared" si="509"/>
        <v>3206.43</v>
      </c>
      <c r="AK311" s="7487"/>
      <c r="AL311" s="5918">
        <v>531.04</v>
      </c>
      <c r="AM311" s="7532"/>
      <c r="AN311" s="5903">
        <f t="shared" si="510"/>
        <v>1047.81</v>
      </c>
      <c r="AO311" s="7502"/>
      <c r="AP311" s="5907">
        <f t="shared" si="511"/>
        <v>3737.47</v>
      </c>
      <c r="AQ311" s="7487"/>
      <c r="AR311" s="6073">
        <v>226.13</v>
      </c>
      <c r="AS311" s="7490"/>
      <c r="AT311" s="6135">
        <f t="shared" si="512"/>
        <v>3963.6</v>
      </c>
      <c r="AU311" s="7487"/>
      <c r="AV311" s="6203">
        <v>340.36</v>
      </c>
      <c r="AW311" s="7490"/>
      <c r="AX311" s="6193">
        <f t="shared" si="513"/>
        <v>4303.96</v>
      </c>
      <c r="AY311" s="7487"/>
      <c r="AZ311" s="6410">
        <v>1306.8800000000001</v>
      </c>
      <c r="BA311" s="7532"/>
      <c r="BB311" s="6596">
        <f t="shared" si="514"/>
        <v>1873.3700000000001</v>
      </c>
      <c r="BC311" s="7517"/>
      <c r="BD311" s="6599">
        <f t="shared" si="515"/>
        <v>2921.1800000000003</v>
      </c>
      <c r="BE311" s="7490"/>
      <c r="BF311" s="6598">
        <f t="shared" si="516"/>
        <v>5610.84</v>
      </c>
      <c r="BG311" s="4590"/>
      <c r="BH311" s="4590"/>
      <c r="BI311" s="4590"/>
      <c r="BJ311" s="4590"/>
    </row>
    <row r="312" spans="1:62" x14ac:dyDescent="0.25">
      <c r="A312" s="199"/>
      <c r="B312" s="4250" t="s">
        <v>889</v>
      </c>
      <c r="C312" s="4212" t="s">
        <v>899</v>
      </c>
      <c r="D312" s="4183"/>
      <c r="E312" s="7486"/>
      <c r="F312" s="1970">
        <v>64.62</v>
      </c>
      <c r="G312" s="7486"/>
      <c r="H312" s="1970"/>
      <c r="I312" s="7500"/>
      <c r="J312" s="7213">
        <f t="shared" si="503"/>
        <v>64.62</v>
      </c>
      <c r="K312" s="7486"/>
      <c r="L312" s="1970"/>
      <c r="M312" s="7530"/>
      <c r="N312" s="4568">
        <f t="shared" si="517"/>
        <v>64.62</v>
      </c>
      <c r="O312" s="7486"/>
      <c r="P312" s="1970">
        <v>322.16000000000003</v>
      </c>
      <c r="Q312" s="7500"/>
      <c r="R312" s="4821">
        <f t="shared" si="504"/>
        <v>386.78000000000003</v>
      </c>
      <c r="S312" s="7486"/>
      <c r="T312" s="1970"/>
      <c r="U312" s="7500"/>
      <c r="V312" s="4890">
        <f t="shared" si="505"/>
        <v>386.78000000000003</v>
      </c>
      <c r="W312" s="7486"/>
      <c r="X312" s="1970"/>
      <c r="Y312" s="7530"/>
      <c r="Z312" s="5018">
        <f t="shared" si="506"/>
        <v>322.16000000000003</v>
      </c>
      <c r="AA312" s="7515"/>
      <c r="AB312" s="5021">
        <f t="shared" si="507"/>
        <v>386.78000000000003</v>
      </c>
      <c r="AC312" s="7486"/>
      <c r="AD312" s="1970">
        <v>126.54</v>
      </c>
      <c r="AE312" s="7500"/>
      <c r="AF312" s="5333">
        <f t="shared" si="508"/>
        <v>513.32000000000005</v>
      </c>
      <c r="AG312" s="7486"/>
      <c r="AH312" s="1970"/>
      <c r="AI312" s="7490"/>
      <c r="AJ312" s="5511">
        <f t="shared" si="509"/>
        <v>513.32000000000005</v>
      </c>
      <c r="AK312" s="7486"/>
      <c r="AL312" s="1970"/>
      <c r="AM312" s="7530"/>
      <c r="AN312" s="5903">
        <f t="shared" si="510"/>
        <v>126.54</v>
      </c>
      <c r="AO312" s="7500"/>
      <c r="AP312" s="5907">
        <f t="shared" si="511"/>
        <v>513.32000000000005</v>
      </c>
      <c r="AQ312" s="7486"/>
      <c r="AR312" s="1970"/>
      <c r="AS312" s="7490"/>
      <c r="AT312" s="6135">
        <f t="shared" si="512"/>
        <v>513.32000000000005</v>
      </c>
      <c r="AU312" s="7486"/>
      <c r="AV312" s="1970"/>
      <c r="AW312" s="7490"/>
      <c r="AX312" s="6193">
        <f t="shared" si="513"/>
        <v>513.32000000000005</v>
      </c>
      <c r="AY312" s="7486"/>
      <c r="AZ312" s="1970">
        <v>251.36</v>
      </c>
      <c r="BA312" s="7530"/>
      <c r="BB312" s="6596">
        <f t="shared" si="514"/>
        <v>251.36</v>
      </c>
      <c r="BC312" s="7515"/>
      <c r="BD312" s="6599">
        <f t="shared" si="515"/>
        <v>377.90000000000003</v>
      </c>
      <c r="BE312" s="7490"/>
      <c r="BF312" s="6598">
        <f t="shared" si="516"/>
        <v>764.68000000000006</v>
      </c>
      <c r="BG312" s="4590"/>
      <c r="BH312" s="4590"/>
      <c r="BI312" s="4590"/>
      <c r="BJ312" s="4590"/>
    </row>
    <row r="313" spans="1:62" x14ac:dyDescent="0.25">
      <c r="A313" s="199"/>
      <c r="B313" s="4250" t="s">
        <v>888</v>
      </c>
      <c r="C313" s="4212" t="s">
        <v>1484</v>
      </c>
      <c r="D313" s="4183"/>
      <c r="E313" s="7488"/>
      <c r="F313" s="1970"/>
      <c r="G313" s="7488"/>
      <c r="H313" s="1970"/>
      <c r="I313" s="7503"/>
      <c r="J313" s="7213">
        <f t="shared" si="503"/>
        <v>0</v>
      </c>
      <c r="K313" s="7488"/>
      <c r="L313" s="1970"/>
      <c r="M313" s="7533"/>
      <c r="N313" s="4568">
        <f t="shared" si="517"/>
        <v>0</v>
      </c>
      <c r="O313" s="7488"/>
      <c r="P313" s="1970"/>
      <c r="Q313" s="7503"/>
      <c r="R313" s="4821">
        <f t="shared" si="504"/>
        <v>0</v>
      </c>
      <c r="S313" s="7488"/>
      <c r="T313" s="1970"/>
      <c r="U313" s="7503"/>
      <c r="V313" s="4890">
        <f t="shared" si="505"/>
        <v>0</v>
      </c>
      <c r="W313" s="7488"/>
      <c r="X313" s="1970"/>
      <c r="Y313" s="7533"/>
      <c r="Z313" s="5018">
        <f t="shared" si="506"/>
        <v>0</v>
      </c>
      <c r="AA313" s="7518"/>
      <c r="AB313" s="5021">
        <f t="shared" si="507"/>
        <v>0</v>
      </c>
      <c r="AC313" s="7488"/>
      <c r="AD313" s="1970"/>
      <c r="AE313" s="7503"/>
      <c r="AF313" s="5333">
        <f t="shared" si="508"/>
        <v>0</v>
      </c>
      <c r="AG313" s="7488"/>
      <c r="AH313" s="1970"/>
      <c r="AI313" s="7490"/>
      <c r="AJ313" s="5511">
        <f t="shared" si="509"/>
        <v>0</v>
      </c>
      <c r="AK313" s="7488"/>
      <c r="AL313" s="1970"/>
      <c r="AM313" s="7533"/>
      <c r="AN313" s="5903">
        <f t="shared" si="510"/>
        <v>0</v>
      </c>
      <c r="AO313" s="7503"/>
      <c r="AP313" s="5907">
        <f t="shared" si="511"/>
        <v>0</v>
      </c>
      <c r="AQ313" s="7488"/>
      <c r="AR313" s="1970"/>
      <c r="AS313" s="7490"/>
      <c r="AT313" s="6135">
        <f t="shared" si="512"/>
        <v>0</v>
      </c>
      <c r="AU313" s="7488"/>
      <c r="AV313" s="1970"/>
      <c r="AW313" s="7490"/>
      <c r="AX313" s="6193">
        <f t="shared" si="513"/>
        <v>0</v>
      </c>
      <c r="AY313" s="7488"/>
      <c r="AZ313" s="1970"/>
      <c r="BA313" s="7533"/>
      <c r="BB313" s="6596">
        <f t="shared" si="514"/>
        <v>0</v>
      </c>
      <c r="BC313" s="7518"/>
      <c r="BD313" s="6599">
        <f t="shared" si="515"/>
        <v>0</v>
      </c>
      <c r="BE313" s="7490"/>
      <c r="BF313" s="6598">
        <f t="shared" si="516"/>
        <v>0</v>
      </c>
      <c r="BG313" s="4590"/>
      <c r="BH313" s="4590"/>
      <c r="BI313" s="4590"/>
      <c r="BJ313" s="4590"/>
    </row>
    <row r="314" spans="1:62" x14ac:dyDescent="0.25">
      <c r="A314" s="199"/>
      <c r="B314" s="4293" t="s">
        <v>888</v>
      </c>
      <c r="C314" s="4221" t="s">
        <v>1873</v>
      </c>
      <c r="D314" s="4222"/>
      <c r="E314" s="7487"/>
      <c r="F314" s="4150">
        <v>220.63</v>
      </c>
      <c r="G314" s="7487"/>
      <c r="H314" s="7173">
        <v>255.23</v>
      </c>
      <c r="I314" s="7502"/>
      <c r="J314" s="7213">
        <f t="shared" si="503"/>
        <v>475.86</v>
      </c>
      <c r="K314" s="7487"/>
      <c r="L314" s="4579"/>
      <c r="M314" s="7532"/>
      <c r="N314" s="4568">
        <f t="shared" si="517"/>
        <v>475.86</v>
      </c>
      <c r="O314" s="7487"/>
      <c r="P314" s="4791">
        <v>224.09</v>
      </c>
      <c r="Q314" s="7502"/>
      <c r="R314" s="4821">
        <f t="shared" si="504"/>
        <v>699.95</v>
      </c>
      <c r="S314" s="7487"/>
      <c r="T314" s="4902">
        <v>389.72</v>
      </c>
      <c r="U314" s="7502"/>
      <c r="V314" s="4890">
        <f t="shared" si="505"/>
        <v>1089.67</v>
      </c>
      <c r="W314" s="7487"/>
      <c r="X314" s="5032">
        <v>352.40000000000003</v>
      </c>
      <c r="Y314" s="7532"/>
      <c r="Z314" s="5018">
        <f t="shared" si="506"/>
        <v>966.21</v>
      </c>
      <c r="AA314" s="7517"/>
      <c r="AB314" s="5021">
        <f t="shared" si="507"/>
        <v>1442.0700000000002</v>
      </c>
      <c r="AC314" s="7487"/>
      <c r="AD314" s="5345">
        <v>210.43</v>
      </c>
      <c r="AE314" s="7502"/>
      <c r="AF314" s="5333">
        <f t="shared" si="508"/>
        <v>1652.5000000000002</v>
      </c>
      <c r="AG314" s="7487"/>
      <c r="AH314" s="5524">
        <v>32.130000000000003</v>
      </c>
      <c r="AI314" s="7490"/>
      <c r="AJ314" s="5511">
        <f t="shared" si="509"/>
        <v>1684.6300000000003</v>
      </c>
      <c r="AK314" s="7487"/>
      <c r="AL314" s="5918"/>
      <c r="AM314" s="7532"/>
      <c r="AN314" s="5903">
        <f t="shared" si="510"/>
        <v>242.56</v>
      </c>
      <c r="AO314" s="7502"/>
      <c r="AP314" s="5907">
        <f t="shared" si="511"/>
        <v>1684.6300000000003</v>
      </c>
      <c r="AQ314" s="7487"/>
      <c r="AR314" s="6073"/>
      <c r="AS314" s="7490"/>
      <c r="AT314" s="6135">
        <f t="shared" si="512"/>
        <v>1684.6300000000003</v>
      </c>
      <c r="AU314" s="7487"/>
      <c r="AV314" s="6203">
        <v>266.02999999999997</v>
      </c>
      <c r="AW314" s="7490"/>
      <c r="AX314" s="6193">
        <f t="shared" si="513"/>
        <v>1950.6600000000003</v>
      </c>
      <c r="AY314" s="7487"/>
      <c r="AZ314" s="6410">
        <v>230.43</v>
      </c>
      <c r="BA314" s="7532"/>
      <c r="BB314" s="6596">
        <f t="shared" si="514"/>
        <v>496.46</v>
      </c>
      <c r="BC314" s="7517"/>
      <c r="BD314" s="6599">
        <f t="shared" si="515"/>
        <v>739.02</v>
      </c>
      <c r="BE314" s="7490"/>
      <c r="BF314" s="6598">
        <f t="shared" si="516"/>
        <v>2181.09</v>
      </c>
      <c r="BG314" s="4590"/>
      <c r="BH314" s="4590"/>
      <c r="BI314" s="4590"/>
      <c r="BJ314" s="4590"/>
    </row>
    <row r="315" spans="1:62" ht="15.75" thickBot="1" x14ac:dyDescent="0.3">
      <c r="A315" s="199"/>
      <c r="B315" s="4255" t="s">
        <v>888</v>
      </c>
      <c r="C315" s="4256" t="s">
        <v>1885</v>
      </c>
      <c r="D315" s="4287"/>
      <c r="E315" s="7487"/>
      <c r="F315" s="4150">
        <v>65.52</v>
      </c>
      <c r="G315" s="7487"/>
      <c r="H315" s="7173"/>
      <c r="I315" s="7502"/>
      <c r="J315" s="7213">
        <f t="shared" si="503"/>
        <v>65.52</v>
      </c>
      <c r="K315" s="7487"/>
      <c r="L315" s="3477">
        <v>106.75</v>
      </c>
      <c r="M315" s="7532"/>
      <c r="N315" s="4568">
        <f t="shared" si="517"/>
        <v>172.26999999999998</v>
      </c>
      <c r="O315" s="7487"/>
      <c r="P315" s="3477">
        <v>116.73999999999998</v>
      </c>
      <c r="Q315" s="7502"/>
      <c r="R315" s="4821">
        <f t="shared" si="504"/>
        <v>289.01</v>
      </c>
      <c r="S315" s="7487"/>
      <c r="T315" s="3477">
        <v>275.18</v>
      </c>
      <c r="U315" s="7502"/>
      <c r="V315" s="4890">
        <f t="shared" si="505"/>
        <v>564.19000000000005</v>
      </c>
      <c r="W315" s="7487"/>
      <c r="X315" s="3477"/>
      <c r="Y315" s="7532"/>
      <c r="Z315" s="5018">
        <f t="shared" si="506"/>
        <v>391.91999999999996</v>
      </c>
      <c r="AA315" s="7517"/>
      <c r="AB315" s="5021">
        <f t="shared" si="507"/>
        <v>564.18999999999994</v>
      </c>
      <c r="AC315" s="7487"/>
      <c r="AD315" s="3477">
        <v>96.14</v>
      </c>
      <c r="AE315" s="7502"/>
      <c r="AF315" s="5333">
        <f t="shared" si="508"/>
        <v>660.32999999999993</v>
      </c>
      <c r="AG315" s="7487"/>
      <c r="AH315" s="3477"/>
      <c r="AI315" s="7490"/>
      <c r="AJ315" s="5511">
        <f t="shared" si="509"/>
        <v>660.32999999999993</v>
      </c>
      <c r="AK315" s="7487"/>
      <c r="AL315" s="3477"/>
      <c r="AM315" s="7532"/>
      <c r="AN315" s="5903">
        <f t="shared" si="510"/>
        <v>96.14</v>
      </c>
      <c r="AO315" s="7502"/>
      <c r="AP315" s="5907">
        <f t="shared" si="511"/>
        <v>660.32999999999993</v>
      </c>
      <c r="AQ315" s="7487"/>
      <c r="AR315" s="6080"/>
      <c r="AS315" s="7490"/>
      <c r="AT315" s="6135">
        <f t="shared" si="512"/>
        <v>660.32999999999993</v>
      </c>
      <c r="AU315" s="7487"/>
      <c r="AV315" s="6204">
        <v>40.94</v>
      </c>
      <c r="AW315" s="7490"/>
      <c r="AX315" s="6193">
        <f t="shared" si="513"/>
        <v>701.27</v>
      </c>
      <c r="AY315" s="7487"/>
      <c r="AZ315" s="6411"/>
      <c r="BA315" s="7532"/>
      <c r="BB315" s="6596">
        <f t="shared" si="514"/>
        <v>40.94</v>
      </c>
      <c r="BC315" s="7517"/>
      <c r="BD315" s="6599">
        <f t="shared" si="515"/>
        <v>137.07999999999998</v>
      </c>
      <c r="BE315" s="7490"/>
      <c r="BF315" s="6598">
        <f t="shared" si="516"/>
        <v>701.27</v>
      </c>
      <c r="BG315" s="4590"/>
      <c r="BH315" s="4590"/>
      <c r="BI315" s="4590"/>
      <c r="BJ315" s="4590"/>
    </row>
    <row r="316" spans="1:62" x14ac:dyDescent="0.25">
      <c r="A316" s="199"/>
      <c r="B316" s="3452" t="s">
        <v>903</v>
      </c>
      <c r="C316" s="4176" t="s">
        <v>1967</v>
      </c>
      <c r="D316" s="4288"/>
      <c r="E316" s="7543"/>
      <c r="F316" s="1970">
        <v>1041.25</v>
      </c>
      <c r="G316" s="7543"/>
      <c r="H316" s="1970">
        <v>397.19999999999993</v>
      </c>
      <c r="I316" s="7548"/>
      <c r="J316" s="7213">
        <f t="shared" si="503"/>
        <v>1438.4499999999998</v>
      </c>
      <c r="K316" s="7484"/>
      <c r="L316" s="4289"/>
      <c r="M316" s="7530"/>
      <c r="N316" s="4568">
        <f t="shared" si="517"/>
        <v>1438.4499999999998</v>
      </c>
      <c r="O316" s="7484"/>
      <c r="P316" s="4289">
        <v>447.09999999999997</v>
      </c>
      <c r="Q316" s="7500"/>
      <c r="R316" s="4821">
        <f t="shared" si="504"/>
        <v>1885.5499999999997</v>
      </c>
      <c r="S316" s="7484"/>
      <c r="T316" s="4289">
        <v>292.64999999999998</v>
      </c>
      <c r="U316" s="7500"/>
      <c r="V316" s="4890">
        <f t="shared" si="505"/>
        <v>2178.1999999999998</v>
      </c>
      <c r="W316" s="7484"/>
      <c r="X316" s="4289">
        <v>719.6</v>
      </c>
      <c r="Y316" s="7530"/>
      <c r="Z316" s="4125">
        <f t="shared" si="506"/>
        <v>1459.35</v>
      </c>
      <c r="AA316" s="7515"/>
      <c r="AB316" s="4157">
        <f t="shared" si="507"/>
        <v>2897.7999999999997</v>
      </c>
      <c r="AC316" s="7484"/>
      <c r="AD316" s="4289">
        <v>605.69000000000005</v>
      </c>
      <c r="AE316" s="7500"/>
      <c r="AF316" s="5333">
        <f t="shared" si="508"/>
        <v>3503.49</v>
      </c>
      <c r="AG316" s="7484"/>
      <c r="AH316" s="4289">
        <v>65.48</v>
      </c>
      <c r="AI316" s="7490"/>
      <c r="AJ316" s="5511">
        <f t="shared" si="509"/>
        <v>3568.97</v>
      </c>
      <c r="AK316" s="7484"/>
      <c r="AL316" s="4289">
        <v>702.28999999999985</v>
      </c>
      <c r="AM316" s="7530"/>
      <c r="AN316" s="5903">
        <f t="shared" si="510"/>
        <v>1373.46</v>
      </c>
      <c r="AO316" s="7500"/>
      <c r="AP316" s="5907">
        <f t="shared" si="511"/>
        <v>4271.2599999999993</v>
      </c>
      <c r="AQ316" s="7484"/>
      <c r="AR316" s="4289">
        <v>533.17000000000007</v>
      </c>
      <c r="AS316" s="7490"/>
      <c r="AT316" s="6135">
        <f t="shared" si="512"/>
        <v>4804.4299999999994</v>
      </c>
      <c r="AU316" s="7484"/>
      <c r="AV316" s="4289">
        <v>298.52</v>
      </c>
      <c r="AW316" s="7490"/>
      <c r="AX316" s="6193">
        <f t="shared" si="513"/>
        <v>5102.9499999999989</v>
      </c>
      <c r="AY316" s="7484"/>
      <c r="AZ316" s="4289">
        <v>1596.15</v>
      </c>
      <c r="BA316" s="7530"/>
      <c r="BB316" s="6596">
        <f t="shared" si="514"/>
        <v>2427.84</v>
      </c>
      <c r="BC316" s="7515"/>
      <c r="BD316" s="6599">
        <f t="shared" si="515"/>
        <v>3801.3</v>
      </c>
      <c r="BE316" s="7490"/>
      <c r="BF316" s="6598">
        <f t="shared" si="516"/>
        <v>6699.0999999999985</v>
      </c>
      <c r="BG316" s="4590"/>
      <c r="BH316" s="4590"/>
      <c r="BI316" s="4590"/>
      <c r="BJ316" s="4590"/>
    </row>
    <row r="317" spans="1:62" x14ac:dyDescent="0.25">
      <c r="A317" s="199"/>
      <c r="B317" s="851" t="s">
        <v>903</v>
      </c>
      <c r="C317" s="4222" t="s">
        <v>1415</v>
      </c>
      <c r="D317" s="4290"/>
      <c r="E317" s="7543"/>
      <c r="F317" s="1970"/>
      <c r="G317" s="7543"/>
      <c r="H317" s="1970"/>
      <c r="I317" s="7548"/>
      <c r="J317" s="7213">
        <f t="shared" si="503"/>
        <v>0</v>
      </c>
      <c r="K317" s="7484"/>
      <c r="L317" s="1327"/>
      <c r="M317" s="7530"/>
      <c r="N317" s="4568">
        <f t="shared" si="517"/>
        <v>0</v>
      </c>
      <c r="O317" s="7484"/>
      <c r="P317" s="1327"/>
      <c r="Q317" s="7500"/>
      <c r="R317" s="4821">
        <f t="shared" si="504"/>
        <v>0</v>
      </c>
      <c r="S317" s="7484"/>
      <c r="T317" s="1327"/>
      <c r="U317" s="7500"/>
      <c r="V317" s="4890">
        <f t="shared" si="505"/>
        <v>0</v>
      </c>
      <c r="W317" s="7484"/>
      <c r="X317" s="1327"/>
      <c r="Y317" s="7530"/>
      <c r="Z317" s="4125">
        <f t="shared" si="506"/>
        <v>0</v>
      </c>
      <c r="AA317" s="7515"/>
      <c r="AB317" s="4157">
        <f t="shared" si="507"/>
        <v>0</v>
      </c>
      <c r="AC317" s="7484"/>
      <c r="AD317" s="1327"/>
      <c r="AE317" s="7500"/>
      <c r="AF317" s="5333">
        <f t="shared" si="508"/>
        <v>0</v>
      </c>
      <c r="AG317" s="7484"/>
      <c r="AH317" s="1327"/>
      <c r="AI317" s="7490"/>
      <c r="AJ317" s="5511">
        <f t="shared" si="509"/>
        <v>0</v>
      </c>
      <c r="AK317" s="7484"/>
      <c r="AL317" s="1327"/>
      <c r="AM317" s="7530"/>
      <c r="AN317" s="5903">
        <f t="shared" si="510"/>
        <v>0</v>
      </c>
      <c r="AO317" s="7500"/>
      <c r="AP317" s="5907">
        <f t="shared" si="511"/>
        <v>0</v>
      </c>
      <c r="AQ317" s="7484"/>
      <c r="AR317" s="1327"/>
      <c r="AS317" s="7490"/>
      <c r="AT317" s="6135">
        <f t="shared" si="512"/>
        <v>0</v>
      </c>
      <c r="AU317" s="7484"/>
      <c r="AV317" s="1327"/>
      <c r="AW317" s="7490"/>
      <c r="AX317" s="6193">
        <f t="shared" si="513"/>
        <v>0</v>
      </c>
      <c r="AY317" s="7484"/>
      <c r="AZ317" s="1327"/>
      <c r="BA317" s="7530"/>
      <c r="BB317" s="6596">
        <f t="shared" si="514"/>
        <v>0</v>
      </c>
      <c r="BC317" s="7515"/>
      <c r="BD317" s="6599">
        <f t="shared" si="515"/>
        <v>0</v>
      </c>
      <c r="BE317" s="7490"/>
      <c r="BF317" s="6598">
        <f t="shared" si="516"/>
        <v>0</v>
      </c>
      <c r="BG317" s="4590"/>
      <c r="BH317" s="4590"/>
      <c r="BI317" s="4590"/>
      <c r="BJ317" s="4590"/>
    </row>
    <row r="318" spans="1:62" x14ac:dyDescent="0.25">
      <c r="A318" s="199"/>
      <c r="B318" s="851" t="s">
        <v>890</v>
      </c>
      <c r="C318" s="4222" t="s">
        <v>1638</v>
      </c>
      <c r="D318" s="4290"/>
      <c r="E318" s="7543"/>
      <c r="F318" s="1970">
        <v>887.33</v>
      </c>
      <c r="G318" s="7543"/>
      <c r="H318" s="1970">
        <v>426.17</v>
      </c>
      <c r="I318" s="7548"/>
      <c r="J318" s="7213">
        <f t="shared" si="503"/>
        <v>1313.5</v>
      </c>
      <c r="K318" s="7484"/>
      <c r="L318" s="1327">
        <v>234.76000000000002</v>
      </c>
      <c r="M318" s="7530"/>
      <c r="N318" s="4568">
        <f t="shared" si="517"/>
        <v>1548.26</v>
      </c>
      <c r="O318" s="7484"/>
      <c r="P318" s="1327"/>
      <c r="Q318" s="7500"/>
      <c r="R318" s="4821">
        <f t="shared" si="504"/>
        <v>1548.26</v>
      </c>
      <c r="S318" s="7484"/>
      <c r="T318" s="1327">
        <v>570.8599999999999</v>
      </c>
      <c r="U318" s="7500"/>
      <c r="V318" s="4890">
        <f t="shared" si="505"/>
        <v>2119.12</v>
      </c>
      <c r="W318" s="7484"/>
      <c r="X318" s="1327">
        <v>286.98</v>
      </c>
      <c r="Y318" s="7530"/>
      <c r="Z318" s="4125">
        <f t="shared" si="506"/>
        <v>857.83999999999992</v>
      </c>
      <c r="AA318" s="7515"/>
      <c r="AB318" s="4157">
        <f t="shared" si="507"/>
        <v>2406.1</v>
      </c>
      <c r="AC318" s="7484"/>
      <c r="AD318" s="1327">
        <v>426.98</v>
      </c>
      <c r="AE318" s="7500"/>
      <c r="AF318" s="5333">
        <f t="shared" si="508"/>
        <v>2833.08</v>
      </c>
      <c r="AG318" s="7484"/>
      <c r="AH318" s="1327">
        <v>64.819999999999993</v>
      </c>
      <c r="AI318" s="7490"/>
      <c r="AJ318" s="5511">
        <f t="shared" si="509"/>
        <v>2897.9</v>
      </c>
      <c r="AK318" s="7484"/>
      <c r="AL318" s="1327">
        <v>393.33</v>
      </c>
      <c r="AM318" s="7530"/>
      <c r="AN318" s="5903">
        <f t="shared" si="510"/>
        <v>885.13</v>
      </c>
      <c r="AO318" s="7500"/>
      <c r="AP318" s="5907">
        <f t="shared" si="511"/>
        <v>3291.23</v>
      </c>
      <c r="AQ318" s="7484"/>
      <c r="AR318" s="1327">
        <v>137.19999999999999</v>
      </c>
      <c r="AS318" s="7490"/>
      <c r="AT318" s="6135">
        <f t="shared" si="512"/>
        <v>3428.43</v>
      </c>
      <c r="AU318" s="7484"/>
      <c r="AV318" s="1327">
        <v>229.29</v>
      </c>
      <c r="AW318" s="7490"/>
      <c r="AX318" s="6193">
        <f t="shared" si="513"/>
        <v>3657.72</v>
      </c>
      <c r="AY318" s="7484"/>
      <c r="AZ318" s="1327">
        <v>849.47</v>
      </c>
      <c r="BA318" s="7530"/>
      <c r="BB318" s="6596">
        <f t="shared" si="514"/>
        <v>1215.96</v>
      </c>
      <c r="BC318" s="7515"/>
      <c r="BD318" s="6599">
        <f t="shared" si="515"/>
        <v>2101.09</v>
      </c>
      <c r="BE318" s="7490"/>
      <c r="BF318" s="6598">
        <f t="shared" si="516"/>
        <v>4507.1899999999996</v>
      </c>
      <c r="BG318" s="4590"/>
      <c r="BH318" s="4590"/>
      <c r="BI318" s="4590"/>
      <c r="BJ318" s="4590"/>
    </row>
    <row r="319" spans="1:62" x14ac:dyDescent="0.25">
      <c r="A319" s="199"/>
      <c r="B319" s="4294" t="s">
        <v>890</v>
      </c>
      <c r="C319" s="4222" t="s">
        <v>901</v>
      </c>
      <c r="D319" s="4290"/>
      <c r="E319" s="7543"/>
      <c r="F319" s="1970"/>
      <c r="G319" s="7543"/>
      <c r="H319" s="1970"/>
      <c r="I319" s="7548"/>
      <c r="J319" s="7213">
        <f t="shared" si="503"/>
        <v>0</v>
      </c>
      <c r="K319" s="7484"/>
      <c r="L319" s="1327"/>
      <c r="M319" s="7530"/>
      <c r="N319" s="4568">
        <f t="shared" si="517"/>
        <v>0</v>
      </c>
      <c r="O319" s="7484"/>
      <c r="P319" s="1327"/>
      <c r="Q319" s="7500"/>
      <c r="R319" s="4821">
        <f t="shared" si="504"/>
        <v>0</v>
      </c>
      <c r="S319" s="7484"/>
      <c r="T319" s="1327">
        <v>63.94</v>
      </c>
      <c r="U319" s="7500"/>
      <c r="V319" s="4890">
        <f t="shared" si="505"/>
        <v>63.94</v>
      </c>
      <c r="W319" s="7484"/>
      <c r="X319" s="1327"/>
      <c r="Y319" s="7530"/>
      <c r="Z319" s="4125">
        <f t="shared" si="506"/>
        <v>63.94</v>
      </c>
      <c r="AA319" s="7515"/>
      <c r="AB319" s="4157">
        <f t="shared" si="507"/>
        <v>63.94</v>
      </c>
      <c r="AC319" s="7484"/>
      <c r="AD319" s="1327"/>
      <c r="AE319" s="7500"/>
      <c r="AF319" s="5333">
        <f t="shared" si="508"/>
        <v>63.94</v>
      </c>
      <c r="AG319" s="7484"/>
      <c r="AH319" s="1327">
        <v>63.18</v>
      </c>
      <c r="AI319" s="7490"/>
      <c r="AJ319" s="5511">
        <f t="shared" si="509"/>
        <v>127.12</v>
      </c>
      <c r="AK319" s="7484"/>
      <c r="AL319" s="1327">
        <v>63.28</v>
      </c>
      <c r="AM319" s="7530"/>
      <c r="AN319" s="5903">
        <f t="shared" si="510"/>
        <v>126.46000000000001</v>
      </c>
      <c r="AO319" s="7500"/>
      <c r="AP319" s="5907">
        <f t="shared" si="511"/>
        <v>190.4</v>
      </c>
      <c r="AQ319" s="7484"/>
      <c r="AR319" s="1327"/>
      <c r="AS319" s="7490"/>
      <c r="AT319" s="6135">
        <f t="shared" si="512"/>
        <v>190.4</v>
      </c>
      <c r="AU319" s="7484"/>
      <c r="AV319" s="1327">
        <v>126.03999999999999</v>
      </c>
      <c r="AW319" s="7490"/>
      <c r="AX319" s="6193">
        <f t="shared" si="513"/>
        <v>316.44</v>
      </c>
      <c r="AY319" s="7484"/>
      <c r="AZ319" s="1327"/>
      <c r="BA319" s="7530"/>
      <c r="BB319" s="6596">
        <f t="shared" si="514"/>
        <v>126.03999999999999</v>
      </c>
      <c r="BC319" s="7515"/>
      <c r="BD319" s="6599">
        <f t="shared" si="515"/>
        <v>252.5</v>
      </c>
      <c r="BE319" s="7490"/>
      <c r="BF319" s="6598">
        <f t="shared" si="516"/>
        <v>316.44</v>
      </c>
      <c r="BG319" s="4590"/>
      <c r="BH319" s="4590"/>
      <c r="BI319" s="4590"/>
      <c r="BJ319" s="4590"/>
    </row>
    <row r="320" spans="1:62" x14ac:dyDescent="0.25">
      <c r="A320" s="199"/>
      <c r="B320" s="4294" t="s">
        <v>890</v>
      </c>
      <c r="C320" s="4222" t="s">
        <v>2156</v>
      </c>
      <c r="D320" s="4290"/>
      <c r="E320" s="7543"/>
      <c r="F320" s="1970"/>
      <c r="G320" s="7543"/>
      <c r="H320" s="1970"/>
      <c r="I320" s="7548"/>
      <c r="J320" s="7213">
        <f t="shared" si="503"/>
        <v>0</v>
      </c>
      <c r="K320" s="7484"/>
      <c r="L320" s="1327"/>
      <c r="M320" s="7530"/>
      <c r="N320" s="4568">
        <f t="shared" si="517"/>
        <v>0</v>
      </c>
      <c r="O320" s="7484"/>
      <c r="P320" s="1327"/>
      <c r="Q320" s="7500"/>
      <c r="R320" s="4821">
        <f t="shared" si="504"/>
        <v>0</v>
      </c>
      <c r="S320" s="7484"/>
      <c r="T320" s="1327"/>
      <c r="U320" s="7500"/>
      <c r="V320" s="4890">
        <f t="shared" si="505"/>
        <v>0</v>
      </c>
      <c r="W320" s="7484"/>
      <c r="X320" s="1327"/>
      <c r="Y320" s="7530"/>
      <c r="Z320" s="4125">
        <f t="shared" si="506"/>
        <v>0</v>
      </c>
      <c r="AA320" s="7515"/>
      <c r="AB320" s="4157">
        <f t="shared" si="507"/>
        <v>0</v>
      </c>
      <c r="AC320" s="7484"/>
      <c r="AD320" s="1327"/>
      <c r="AE320" s="7500"/>
      <c r="AF320" s="5333">
        <f t="shared" si="508"/>
        <v>0</v>
      </c>
      <c r="AG320" s="7484"/>
      <c r="AH320" s="1327"/>
      <c r="AI320" s="7490"/>
      <c r="AJ320" s="5511">
        <f t="shared" si="509"/>
        <v>0</v>
      </c>
      <c r="AK320" s="7484"/>
      <c r="AL320" s="1327"/>
      <c r="AM320" s="7530"/>
      <c r="AN320" s="5903">
        <f t="shared" si="510"/>
        <v>0</v>
      </c>
      <c r="AO320" s="7500"/>
      <c r="AP320" s="5907">
        <f t="shared" si="511"/>
        <v>0</v>
      </c>
      <c r="AQ320" s="7484"/>
      <c r="AR320" s="1327"/>
      <c r="AS320" s="7490"/>
      <c r="AT320" s="6135">
        <f t="shared" si="512"/>
        <v>0</v>
      </c>
      <c r="AU320" s="7484"/>
      <c r="AV320" s="1327">
        <v>189.85999999999999</v>
      </c>
      <c r="AW320" s="7490"/>
      <c r="AX320" s="6193">
        <f t="shared" si="513"/>
        <v>189.85999999999999</v>
      </c>
      <c r="AY320" s="7484"/>
      <c r="AZ320" s="1327">
        <v>128.1</v>
      </c>
      <c r="BA320" s="7530"/>
      <c r="BB320" s="6596">
        <f t="shared" si="514"/>
        <v>317.95999999999998</v>
      </c>
      <c r="BC320" s="7515"/>
      <c r="BD320" s="6599">
        <f t="shared" si="515"/>
        <v>317.95999999999998</v>
      </c>
      <c r="BE320" s="7490"/>
      <c r="BF320" s="6598">
        <f t="shared" si="516"/>
        <v>317.95999999999998</v>
      </c>
      <c r="BG320" s="4590"/>
      <c r="BH320" s="4590"/>
      <c r="BI320" s="4590"/>
      <c r="BJ320" s="4590"/>
    </row>
    <row r="321" spans="1:62" x14ac:dyDescent="0.25">
      <c r="A321" s="199"/>
      <c r="B321" s="4294" t="s">
        <v>890</v>
      </c>
      <c r="C321" s="4222" t="s">
        <v>921</v>
      </c>
      <c r="D321" s="4290"/>
      <c r="E321" s="7543"/>
      <c r="F321" s="1970">
        <v>381.6</v>
      </c>
      <c r="G321" s="7543"/>
      <c r="H321" s="1970"/>
      <c r="I321" s="7548"/>
      <c r="J321" s="7213">
        <f t="shared" si="503"/>
        <v>381.6</v>
      </c>
      <c r="K321" s="7484"/>
      <c r="L321" s="1327"/>
      <c r="M321" s="7530"/>
      <c r="N321" s="4568">
        <f t="shared" si="517"/>
        <v>381.6</v>
      </c>
      <c r="O321" s="7484"/>
      <c r="P321" s="1327">
        <v>256.42</v>
      </c>
      <c r="Q321" s="7500"/>
      <c r="R321" s="4821">
        <f t="shared" si="504"/>
        <v>638.02</v>
      </c>
      <c r="S321" s="7484"/>
      <c r="T321" s="1327">
        <v>63.46</v>
      </c>
      <c r="U321" s="7500"/>
      <c r="V321" s="4890">
        <f t="shared" si="505"/>
        <v>701.48</v>
      </c>
      <c r="W321" s="7484"/>
      <c r="X321" s="1327">
        <v>127.28</v>
      </c>
      <c r="Y321" s="7530"/>
      <c r="Z321" s="4125">
        <f t="shared" si="506"/>
        <v>447.15999999999997</v>
      </c>
      <c r="AA321" s="7515"/>
      <c r="AB321" s="4157">
        <f t="shared" si="507"/>
        <v>828.76</v>
      </c>
      <c r="AC321" s="7484"/>
      <c r="AD321" s="1327">
        <v>128.69999999999999</v>
      </c>
      <c r="AE321" s="7500"/>
      <c r="AF321" s="5333">
        <f t="shared" si="508"/>
        <v>957.46</v>
      </c>
      <c r="AG321" s="7484"/>
      <c r="AH321" s="1327">
        <v>65</v>
      </c>
      <c r="AI321" s="7490"/>
      <c r="AJ321" s="5511">
        <f t="shared" si="509"/>
        <v>1022.46</v>
      </c>
      <c r="AK321" s="7484"/>
      <c r="AL321" s="1327">
        <v>65.36</v>
      </c>
      <c r="AM321" s="7530"/>
      <c r="AN321" s="5903">
        <f t="shared" si="510"/>
        <v>259.06</v>
      </c>
      <c r="AO321" s="7500"/>
      <c r="AP321" s="5907">
        <f t="shared" si="511"/>
        <v>1087.82</v>
      </c>
      <c r="AQ321" s="7484"/>
      <c r="AR321" s="1327">
        <v>124.64</v>
      </c>
      <c r="AS321" s="7490"/>
      <c r="AT321" s="6135">
        <f t="shared" si="512"/>
        <v>1212.46</v>
      </c>
      <c r="AU321" s="7484"/>
      <c r="AV321" s="1327"/>
      <c r="AW321" s="7490"/>
      <c r="AX321" s="6193">
        <f t="shared" si="513"/>
        <v>1212.46</v>
      </c>
      <c r="AY321" s="7484"/>
      <c r="AZ321" s="1327"/>
      <c r="BA321" s="7530"/>
      <c r="BB321" s="6596">
        <f t="shared" si="514"/>
        <v>124.64</v>
      </c>
      <c r="BC321" s="7515"/>
      <c r="BD321" s="6599">
        <f t="shared" si="515"/>
        <v>383.7</v>
      </c>
      <c r="BE321" s="7490"/>
      <c r="BF321" s="6598">
        <f t="shared" si="516"/>
        <v>1212.46</v>
      </c>
      <c r="BG321" s="4590"/>
      <c r="BH321" s="4590"/>
      <c r="BI321" s="4590"/>
      <c r="BJ321" s="4590"/>
    </row>
    <row r="322" spans="1:62" x14ac:dyDescent="0.25">
      <c r="A322" s="199"/>
      <c r="B322" s="4294" t="s">
        <v>890</v>
      </c>
      <c r="C322" s="4222" t="s">
        <v>1881</v>
      </c>
      <c r="D322" s="4290"/>
      <c r="E322" s="7543"/>
      <c r="F322" s="4150">
        <v>4820.93</v>
      </c>
      <c r="G322" s="7543"/>
      <c r="H322" s="7173">
        <v>4860.93</v>
      </c>
      <c r="I322" s="7548"/>
      <c r="J322" s="7213">
        <f t="shared" si="503"/>
        <v>9681.86</v>
      </c>
      <c r="K322" s="7484"/>
      <c r="L322" s="1327">
        <v>125.34</v>
      </c>
      <c r="M322" s="7532"/>
      <c r="N322" s="4568">
        <f t="shared" si="517"/>
        <v>9807.2000000000007</v>
      </c>
      <c r="O322" s="7484"/>
      <c r="P322" s="1327">
        <v>2134.7999999999997</v>
      </c>
      <c r="Q322" s="7502"/>
      <c r="R322" s="4821">
        <f t="shared" si="504"/>
        <v>11942</v>
      </c>
      <c r="S322" s="7484"/>
      <c r="T322" s="1327">
        <v>2842.8999999999996</v>
      </c>
      <c r="U322" s="7502"/>
      <c r="V322" s="4890">
        <f t="shared" si="505"/>
        <v>14784.9</v>
      </c>
      <c r="W322" s="7484"/>
      <c r="X322" s="1327">
        <v>4085.7699999999995</v>
      </c>
      <c r="Y322" s="7532"/>
      <c r="Z322" s="5018">
        <f t="shared" si="506"/>
        <v>9063.4699999999975</v>
      </c>
      <c r="AA322" s="7517"/>
      <c r="AB322" s="5021">
        <f t="shared" si="507"/>
        <v>18870.669999999998</v>
      </c>
      <c r="AC322" s="7484"/>
      <c r="AD322" s="1327">
        <v>3452.3299999999995</v>
      </c>
      <c r="AE322" s="7502"/>
      <c r="AF322" s="5333">
        <f t="shared" si="508"/>
        <v>22322.999999999996</v>
      </c>
      <c r="AG322" s="7484"/>
      <c r="AH322" s="1327">
        <v>159.82</v>
      </c>
      <c r="AI322" s="7490"/>
      <c r="AJ322" s="5511">
        <f t="shared" si="509"/>
        <v>22482.819999999996</v>
      </c>
      <c r="AK322" s="7484"/>
      <c r="AL322" s="1327">
        <v>3611.56</v>
      </c>
      <c r="AM322" s="7532"/>
      <c r="AN322" s="5903">
        <f t="shared" si="510"/>
        <v>7223.7099999999991</v>
      </c>
      <c r="AO322" s="7502"/>
      <c r="AP322" s="5907">
        <f t="shared" si="511"/>
        <v>26094.379999999997</v>
      </c>
      <c r="AQ322" s="7484"/>
      <c r="AR322" s="1327">
        <v>4958.55</v>
      </c>
      <c r="AS322" s="7490"/>
      <c r="AT322" s="6135">
        <f t="shared" si="512"/>
        <v>31052.929999999997</v>
      </c>
      <c r="AU322" s="7484"/>
      <c r="AV322" s="1327">
        <v>3605.9599999999996</v>
      </c>
      <c r="AW322" s="7490"/>
      <c r="AX322" s="6193">
        <f t="shared" si="513"/>
        <v>34658.89</v>
      </c>
      <c r="AY322" s="7484"/>
      <c r="AZ322" s="1327">
        <v>4446.3399999999992</v>
      </c>
      <c r="BA322" s="7532"/>
      <c r="BB322" s="6596">
        <f t="shared" si="514"/>
        <v>13010.849999999999</v>
      </c>
      <c r="BC322" s="7517"/>
      <c r="BD322" s="6599">
        <f t="shared" si="515"/>
        <v>20234.559999999998</v>
      </c>
      <c r="BE322" s="7490"/>
      <c r="BF322" s="6598">
        <f t="shared" si="516"/>
        <v>39105.229999999996</v>
      </c>
      <c r="BG322" s="4590"/>
      <c r="BH322" s="4590"/>
      <c r="BI322" s="4590"/>
      <c r="BJ322" s="4590"/>
    </row>
    <row r="323" spans="1:62" x14ac:dyDescent="0.25">
      <c r="A323" s="199"/>
      <c r="B323" s="4294" t="s">
        <v>890</v>
      </c>
      <c r="C323" s="4222" t="s">
        <v>1875</v>
      </c>
      <c r="D323" s="4290"/>
      <c r="E323" s="7543"/>
      <c r="F323" s="4150">
        <v>524.95000000000005</v>
      </c>
      <c r="G323" s="7543"/>
      <c r="H323" s="7173">
        <v>1039.51</v>
      </c>
      <c r="I323" s="7548"/>
      <c r="J323" s="7213">
        <f t="shared" si="503"/>
        <v>1564.46</v>
      </c>
      <c r="K323" s="7484"/>
      <c r="L323" s="1327">
        <v>190.12</v>
      </c>
      <c r="M323" s="7532"/>
      <c r="N323" s="4568">
        <f t="shared" si="517"/>
        <v>1754.58</v>
      </c>
      <c r="O323" s="7484"/>
      <c r="P323" s="1327">
        <v>1571.27</v>
      </c>
      <c r="Q323" s="7502"/>
      <c r="R323" s="4821">
        <f t="shared" si="504"/>
        <v>3325.85</v>
      </c>
      <c r="S323" s="7484"/>
      <c r="T323" s="1327">
        <v>1059.8599999999999</v>
      </c>
      <c r="U323" s="7502"/>
      <c r="V323" s="4890">
        <f t="shared" si="505"/>
        <v>4385.71</v>
      </c>
      <c r="W323" s="7484"/>
      <c r="X323" s="1327">
        <v>455.96000000000004</v>
      </c>
      <c r="Y323" s="7532"/>
      <c r="Z323" s="5018">
        <f t="shared" si="506"/>
        <v>3087.09</v>
      </c>
      <c r="AA323" s="7517"/>
      <c r="AB323" s="5021">
        <f t="shared" si="507"/>
        <v>4841.67</v>
      </c>
      <c r="AC323" s="7484"/>
      <c r="AD323" s="1327">
        <v>599.81999999999994</v>
      </c>
      <c r="AE323" s="7502"/>
      <c r="AF323" s="5333">
        <f t="shared" si="508"/>
        <v>5441.49</v>
      </c>
      <c r="AG323" s="7484"/>
      <c r="AH323" s="1327">
        <v>95.47</v>
      </c>
      <c r="AI323" s="7490"/>
      <c r="AJ323" s="5511">
        <f t="shared" si="509"/>
        <v>5536.96</v>
      </c>
      <c r="AK323" s="7484"/>
      <c r="AL323" s="1327">
        <v>545.05999999999995</v>
      </c>
      <c r="AM323" s="7532"/>
      <c r="AN323" s="5903">
        <f t="shared" si="510"/>
        <v>1240.3499999999999</v>
      </c>
      <c r="AO323" s="7502"/>
      <c r="AP323" s="5907">
        <f t="shared" si="511"/>
        <v>6082.02</v>
      </c>
      <c r="AQ323" s="7484"/>
      <c r="AR323" s="1327">
        <v>503.67999999999995</v>
      </c>
      <c r="AS323" s="7490"/>
      <c r="AT323" s="6135">
        <f t="shared" si="512"/>
        <v>6585.7000000000007</v>
      </c>
      <c r="AU323" s="7484"/>
      <c r="AV323" s="1327">
        <v>943.61999999999989</v>
      </c>
      <c r="AW323" s="7490"/>
      <c r="AX323" s="6193">
        <f t="shared" si="513"/>
        <v>7529.3200000000006</v>
      </c>
      <c r="AY323" s="7484"/>
      <c r="AZ323" s="1327">
        <v>189.32</v>
      </c>
      <c r="BA323" s="7532"/>
      <c r="BB323" s="6596">
        <f t="shared" si="514"/>
        <v>1636.6199999999997</v>
      </c>
      <c r="BC323" s="7517"/>
      <c r="BD323" s="6599">
        <f t="shared" si="515"/>
        <v>2876.9699999999993</v>
      </c>
      <c r="BE323" s="7490"/>
      <c r="BF323" s="6598">
        <f t="shared" si="516"/>
        <v>7718.64</v>
      </c>
      <c r="BG323" s="4590"/>
      <c r="BH323" s="4590"/>
      <c r="BI323" s="4590"/>
      <c r="BJ323" s="4590"/>
    </row>
    <row r="324" spans="1:62" x14ac:dyDescent="0.25">
      <c r="A324" s="199"/>
      <c r="B324" s="851" t="s">
        <v>890</v>
      </c>
      <c r="C324" s="4222" t="s">
        <v>1637</v>
      </c>
      <c r="D324" s="4290"/>
      <c r="E324" s="7543"/>
      <c r="F324" s="1970"/>
      <c r="G324" s="7543"/>
      <c r="H324" s="1970"/>
      <c r="I324" s="7548"/>
      <c r="J324" s="7213">
        <f t="shared" si="503"/>
        <v>0</v>
      </c>
      <c r="K324" s="7484"/>
      <c r="L324" s="1327"/>
      <c r="M324" s="7530"/>
      <c r="N324" s="4568">
        <f t="shared" si="517"/>
        <v>0</v>
      </c>
      <c r="O324" s="7484"/>
      <c r="P324" s="1327"/>
      <c r="Q324" s="7500"/>
      <c r="R324" s="4821">
        <f t="shared" si="504"/>
        <v>0</v>
      </c>
      <c r="S324" s="7484"/>
      <c r="T324" s="1327"/>
      <c r="U324" s="7500"/>
      <c r="V324" s="4890">
        <f t="shared" si="505"/>
        <v>0</v>
      </c>
      <c r="W324" s="7484"/>
      <c r="X324" s="1327"/>
      <c r="Y324" s="7530"/>
      <c r="Z324" s="5018">
        <f t="shared" si="506"/>
        <v>0</v>
      </c>
      <c r="AA324" s="7515"/>
      <c r="AB324" s="5021">
        <f t="shared" si="507"/>
        <v>0</v>
      </c>
      <c r="AC324" s="7484"/>
      <c r="AD324" s="1327"/>
      <c r="AE324" s="7500"/>
      <c r="AF324" s="5333">
        <f t="shared" si="508"/>
        <v>0</v>
      </c>
      <c r="AG324" s="7484"/>
      <c r="AH324" s="1327"/>
      <c r="AI324" s="7490"/>
      <c r="AJ324" s="5511">
        <f t="shared" si="509"/>
        <v>0</v>
      </c>
      <c r="AK324" s="7484"/>
      <c r="AL324" s="1327"/>
      <c r="AM324" s="7530"/>
      <c r="AN324" s="5903">
        <f t="shared" si="510"/>
        <v>0</v>
      </c>
      <c r="AO324" s="7500"/>
      <c r="AP324" s="5907">
        <f t="shared" si="511"/>
        <v>0</v>
      </c>
      <c r="AQ324" s="7484"/>
      <c r="AR324" s="1327"/>
      <c r="AS324" s="7490"/>
      <c r="AT324" s="6135">
        <f t="shared" si="512"/>
        <v>0</v>
      </c>
      <c r="AU324" s="7484"/>
      <c r="AV324" s="1327"/>
      <c r="AW324" s="7490"/>
      <c r="AX324" s="6193">
        <f t="shared" si="513"/>
        <v>0</v>
      </c>
      <c r="AY324" s="7484"/>
      <c r="AZ324" s="1327"/>
      <c r="BA324" s="7530"/>
      <c r="BB324" s="6596">
        <f t="shared" si="514"/>
        <v>0</v>
      </c>
      <c r="BC324" s="7515"/>
      <c r="BD324" s="6599">
        <f t="shared" si="515"/>
        <v>0</v>
      </c>
      <c r="BE324" s="7490"/>
      <c r="BF324" s="6598">
        <f t="shared" si="516"/>
        <v>0</v>
      </c>
      <c r="BG324" s="4590"/>
      <c r="BH324" s="4590"/>
      <c r="BI324" s="4590"/>
      <c r="BJ324" s="4590"/>
    </row>
    <row r="325" spans="1:62" x14ac:dyDescent="0.25">
      <c r="A325" s="199"/>
      <c r="B325" s="851" t="s">
        <v>890</v>
      </c>
      <c r="C325" s="4222" t="s">
        <v>1874</v>
      </c>
      <c r="D325" s="4290"/>
      <c r="E325" s="7543"/>
      <c r="F325" s="4150"/>
      <c r="G325" s="7543"/>
      <c r="H325" s="7173">
        <v>279.39</v>
      </c>
      <c r="I325" s="7548"/>
      <c r="J325" s="7213">
        <f t="shared" si="503"/>
        <v>279.39</v>
      </c>
      <c r="K325" s="7484"/>
      <c r="L325" s="1327">
        <v>51.14</v>
      </c>
      <c r="M325" s="7532"/>
      <c r="N325" s="4568">
        <f t="shared" si="517"/>
        <v>330.53</v>
      </c>
      <c r="O325" s="7484"/>
      <c r="P325" s="1327"/>
      <c r="Q325" s="7502"/>
      <c r="R325" s="4821">
        <f t="shared" si="504"/>
        <v>330.53</v>
      </c>
      <c r="S325" s="7484"/>
      <c r="T325" s="1327"/>
      <c r="U325" s="7502"/>
      <c r="V325" s="4890">
        <f t="shared" si="505"/>
        <v>330.53</v>
      </c>
      <c r="W325" s="7484"/>
      <c r="X325" s="1327">
        <v>202.69</v>
      </c>
      <c r="Y325" s="7532"/>
      <c r="Z325" s="5018">
        <f t="shared" si="506"/>
        <v>202.69</v>
      </c>
      <c r="AA325" s="7517"/>
      <c r="AB325" s="5021">
        <f t="shared" si="507"/>
        <v>533.22</v>
      </c>
      <c r="AC325" s="7484"/>
      <c r="AD325" s="1327">
        <v>289.78999999999996</v>
      </c>
      <c r="AE325" s="7502"/>
      <c r="AF325" s="5333">
        <f t="shared" si="508"/>
        <v>823.01</v>
      </c>
      <c r="AG325" s="7484"/>
      <c r="AH325" s="1327"/>
      <c r="AI325" s="7490"/>
      <c r="AJ325" s="5511">
        <f t="shared" si="509"/>
        <v>823.01</v>
      </c>
      <c r="AK325" s="7484"/>
      <c r="AL325" s="1327"/>
      <c r="AM325" s="7532"/>
      <c r="AN325" s="5903">
        <f t="shared" si="510"/>
        <v>289.78999999999996</v>
      </c>
      <c r="AO325" s="7502"/>
      <c r="AP325" s="5907">
        <f t="shared" si="511"/>
        <v>823.01</v>
      </c>
      <c r="AQ325" s="7484"/>
      <c r="AR325" s="1327">
        <v>173.64000000000001</v>
      </c>
      <c r="AS325" s="7490"/>
      <c r="AT325" s="6135">
        <f t="shared" si="512"/>
        <v>996.65</v>
      </c>
      <c r="AU325" s="7484"/>
      <c r="AV325" s="1327">
        <v>161.25</v>
      </c>
      <c r="AW325" s="7490"/>
      <c r="AX325" s="6193">
        <f t="shared" si="513"/>
        <v>1157.9000000000001</v>
      </c>
      <c r="AY325" s="7484"/>
      <c r="AZ325" s="1327">
        <v>630.47</v>
      </c>
      <c r="BA325" s="7532"/>
      <c r="BB325" s="6596">
        <f t="shared" si="514"/>
        <v>965.36</v>
      </c>
      <c r="BC325" s="7517"/>
      <c r="BD325" s="6599">
        <f t="shared" si="515"/>
        <v>1255.1500000000001</v>
      </c>
      <c r="BE325" s="7490"/>
      <c r="BF325" s="6598">
        <f t="shared" si="516"/>
        <v>1788.3700000000001</v>
      </c>
      <c r="BG325" s="4590"/>
      <c r="BH325" s="4590"/>
      <c r="BI325" s="4590"/>
      <c r="BJ325" s="4590"/>
    </row>
    <row r="326" spans="1:62" ht="15.75" thickBot="1" x14ac:dyDescent="0.3">
      <c r="A326" s="199"/>
      <c r="B326" s="3456" t="s">
        <v>890</v>
      </c>
      <c r="C326" s="4185" t="s">
        <v>1886</v>
      </c>
      <c r="D326" s="4291"/>
      <c r="E326" s="7543"/>
      <c r="F326" s="4150"/>
      <c r="G326" s="7543"/>
      <c r="H326" s="7173"/>
      <c r="I326" s="7548"/>
      <c r="J326" s="7213">
        <f t="shared" si="503"/>
        <v>0</v>
      </c>
      <c r="K326" s="7484"/>
      <c r="L326" s="4292"/>
      <c r="M326" s="7532"/>
      <c r="N326" s="4568">
        <f t="shared" si="517"/>
        <v>0</v>
      </c>
      <c r="O326" s="7484"/>
      <c r="P326" s="4292"/>
      <c r="Q326" s="7502"/>
      <c r="R326" s="4821">
        <f t="shared" si="504"/>
        <v>0</v>
      </c>
      <c r="S326" s="7484"/>
      <c r="T326" s="4292">
        <v>143.71</v>
      </c>
      <c r="U326" s="7502"/>
      <c r="V326" s="4890">
        <f t="shared" si="505"/>
        <v>143.71</v>
      </c>
      <c r="W326" s="7484"/>
      <c r="X326" s="4292">
        <v>338.53000000000003</v>
      </c>
      <c r="Y326" s="7532"/>
      <c r="Z326" s="5018">
        <f t="shared" si="506"/>
        <v>482.24</v>
      </c>
      <c r="AA326" s="7517"/>
      <c r="AB326" s="5021">
        <f t="shared" si="507"/>
        <v>482.24</v>
      </c>
      <c r="AC326" s="7484"/>
      <c r="AD326" s="4292">
        <v>118.91</v>
      </c>
      <c r="AE326" s="7502"/>
      <c r="AF326" s="5333">
        <f t="shared" si="508"/>
        <v>601.15</v>
      </c>
      <c r="AG326" s="7484"/>
      <c r="AH326" s="4292">
        <v>26.84</v>
      </c>
      <c r="AI326" s="7490"/>
      <c r="AJ326" s="5511">
        <f t="shared" si="509"/>
        <v>627.99</v>
      </c>
      <c r="AK326" s="7484"/>
      <c r="AL326" s="4292">
        <v>222.71</v>
      </c>
      <c r="AM326" s="7532"/>
      <c r="AN326" s="5903">
        <f t="shared" si="510"/>
        <v>368.46000000000004</v>
      </c>
      <c r="AO326" s="7502"/>
      <c r="AP326" s="5907">
        <f t="shared" si="511"/>
        <v>850.7</v>
      </c>
      <c r="AQ326" s="7484"/>
      <c r="AR326" s="4292">
        <v>167.10000000000002</v>
      </c>
      <c r="AS326" s="7490"/>
      <c r="AT326" s="6135">
        <f t="shared" si="512"/>
        <v>1017.8000000000001</v>
      </c>
      <c r="AU326" s="7484"/>
      <c r="AV326" s="4292"/>
      <c r="AW326" s="7490"/>
      <c r="AX326" s="6193">
        <f t="shared" si="513"/>
        <v>1017.8000000000001</v>
      </c>
      <c r="AY326" s="7484"/>
      <c r="AZ326" s="4292"/>
      <c r="BA326" s="7532"/>
      <c r="BB326" s="6596">
        <f t="shared" si="514"/>
        <v>167.10000000000002</v>
      </c>
      <c r="BC326" s="7517"/>
      <c r="BD326" s="6599">
        <f t="shared" si="515"/>
        <v>535.56000000000006</v>
      </c>
      <c r="BE326" s="7490"/>
      <c r="BF326" s="6598">
        <f t="shared" si="516"/>
        <v>1017.8000000000001</v>
      </c>
      <c r="BG326" s="4590"/>
      <c r="BH326" s="4590"/>
      <c r="BI326" s="4590"/>
      <c r="BJ326" s="4590"/>
    </row>
    <row r="327" spans="1:62" x14ac:dyDescent="0.25">
      <c r="A327" s="199"/>
      <c r="B327" s="4269" t="s">
        <v>1582</v>
      </c>
      <c r="C327" s="4195" t="s">
        <v>1581</v>
      </c>
      <c r="D327" s="4195"/>
      <c r="E327" s="7486"/>
      <c r="F327" s="1970"/>
      <c r="G327" s="7486"/>
      <c r="H327" s="1970"/>
      <c r="I327" s="7500"/>
      <c r="J327" s="7213">
        <f t="shared" si="503"/>
        <v>0</v>
      </c>
      <c r="K327" s="7486"/>
      <c r="L327" s="1205"/>
      <c r="M327" s="7530"/>
      <c r="N327" s="4568">
        <f t="shared" si="517"/>
        <v>0</v>
      </c>
      <c r="O327" s="7486"/>
      <c r="P327" s="1205"/>
      <c r="Q327" s="7500"/>
      <c r="R327" s="4821">
        <f t="shared" si="504"/>
        <v>0</v>
      </c>
      <c r="S327" s="7486"/>
      <c r="T327" s="1205"/>
      <c r="U327" s="7500"/>
      <c r="V327" s="4890">
        <f t="shared" si="505"/>
        <v>0</v>
      </c>
      <c r="W327" s="7486"/>
      <c r="X327" s="1205"/>
      <c r="Y327" s="7530"/>
      <c r="Z327" s="5018">
        <f t="shared" si="506"/>
        <v>0</v>
      </c>
      <c r="AA327" s="7515"/>
      <c r="AB327" s="5021">
        <f t="shared" si="507"/>
        <v>0</v>
      </c>
      <c r="AC327" s="7486"/>
      <c r="AD327" s="1205"/>
      <c r="AE327" s="7500"/>
      <c r="AF327" s="5333">
        <f t="shared" si="508"/>
        <v>0</v>
      </c>
      <c r="AG327" s="7486"/>
      <c r="AH327" s="5523"/>
      <c r="AI327" s="7490"/>
      <c r="AJ327" s="5511">
        <f t="shared" si="509"/>
        <v>0</v>
      </c>
      <c r="AK327" s="7486"/>
      <c r="AL327" s="5923"/>
      <c r="AM327" s="7530"/>
      <c r="AN327" s="5903">
        <f t="shared" si="510"/>
        <v>0</v>
      </c>
      <c r="AO327" s="7500"/>
      <c r="AP327" s="5907">
        <f t="shared" si="511"/>
        <v>0</v>
      </c>
      <c r="AQ327" s="7486"/>
      <c r="AR327" s="6079"/>
      <c r="AS327" s="7490"/>
      <c r="AT327" s="6135">
        <f t="shared" si="512"/>
        <v>0</v>
      </c>
      <c r="AU327" s="7486"/>
      <c r="AV327" s="6202"/>
      <c r="AW327" s="7490"/>
      <c r="AX327" s="6193">
        <f t="shared" si="513"/>
        <v>0</v>
      </c>
      <c r="AY327" s="7486"/>
      <c r="AZ327" s="6407"/>
      <c r="BA327" s="7530"/>
      <c r="BB327" s="6596">
        <f t="shared" si="514"/>
        <v>0</v>
      </c>
      <c r="BC327" s="7515"/>
      <c r="BD327" s="6599">
        <f t="shared" si="515"/>
        <v>0</v>
      </c>
      <c r="BE327" s="7490"/>
      <c r="BF327" s="6598">
        <f t="shared" si="516"/>
        <v>0</v>
      </c>
      <c r="BG327" s="4590"/>
      <c r="BH327" s="4590"/>
      <c r="BI327" s="4590"/>
      <c r="BJ327" s="4590"/>
    </row>
    <row r="328" spans="1:62" x14ac:dyDescent="0.25">
      <c r="A328" s="199"/>
      <c r="B328" s="4295" t="s">
        <v>1582</v>
      </c>
      <c r="C328" s="4226" t="s">
        <v>1722</v>
      </c>
      <c r="D328" s="4226"/>
      <c r="E328" s="7488"/>
      <c r="F328" s="2860"/>
      <c r="G328" s="7488"/>
      <c r="H328" s="2860"/>
      <c r="I328" s="7503"/>
      <c r="J328" s="7213">
        <f t="shared" si="503"/>
        <v>0</v>
      </c>
      <c r="K328" s="7488"/>
      <c r="L328" s="2860"/>
      <c r="M328" s="7533"/>
      <c r="N328" s="4568">
        <f t="shared" si="517"/>
        <v>0</v>
      </c>
      <c r="O328" s="7488"/>
      <c r="P328" s="2860"/>
      <c r="Q328" s="7503"/>
      <c r="R328" s="4821">
        <f t="shared" si="504"/>
        <v>0</v>
      </c>
      <c r="S328" s="7488"/>
      <c r="T328" s="2860"/>
      <c r="U328" s="7503"/>
      <c r="V328" s="4890">
        <f t="shared" si="505"/>
        <v>0</v>
      </c>
      <c r="W328" s="7488"/>
      <c r="X328" s="2860"/>
      <c r="Y328" s="7533"/>
      <c r="Z328" s="5018">
        <f t="shared" si="506"/>
        <v>0</v>
      </c>
      <c r="AA328" s="7518"/>
      <c r="AB328" s="5021">
        <f t="shared" si="507"/>
        <v>0</v>
      </c>
      <c r="AC328" s="7488"/>
      <c r="AD328" s="2860"/>
      <c r="AE328" s="7503"/>
      <c r="AF328" s="5333">
        <f t="shared" si="508"/>
        <v>0</v>
      </c>
      <c r="AG328" s="7488"/>
      <c r="AH328" s="2860"/>
      <c r="AI328" s="7490"/>
      <c r="AJ328" s="5511">
        <f t="shared" si="509"/>
        <v>0</v>
      </c>
      <c r="AK328" s="7488"/>
      <c r="AL328" s="2860"/>
      <c r="AM328" s="7533"/>
      <c r="AN328" s="5903">
        <f t="shared" si="510"/>
        <v>0</v>
      </c>
      <c r="AO328" s="7503"/>
      <c r="AP328" s="5907">
        <f t="shared" si="511"/>
        <v>0</v>
      </c>
      <c r="AQ328" s="7488"/>
      <c r="AR328" s="2860"/>
      <c r="AS328" s="7490"/>
      <c r="AT328" s="6135">
        <f t="shared" si="512"/>
        <v>0</v>
      </c>
      <c r="AU328" s="7488"/>
      <c r="AV328" s="2860"/>
      <c r="AW328" s="7490"/>
      <c r="AX328" s="6193">
        <f t="shared" si="513"/>
        <v>0</v>
      </c>
      <c r="AY328" s="7488"/>
      <c r="AZ328" s="2860"/>
      <c r="BA328" s="7533"/>
      <c r="BB328" s="6596">
        <f t="shared" si="514"/>
        <v>0</v>
      </c>
      <c r="BC328" s="7518"/>
      <c r="BD328" s="6599">
        <f t="shared" si="515"/>
        <v>0</v>
      </c>
      <c r="BE328" s="7490"/>
      <c r="BF328" s="6598">
        <f t="shared" si="516"/>
        <v>0</v>
      </c>
      <c r="BG328" s="4590"/>
      <c r="BH328" s="4590"/>
      <c r="BI328" s="4590"/>
      <c r="BJ328" s="4590"/>
    </row>
    <row r="329" spans="1:62" x14ac:dyDescent="0.25">
      <c r="A329" s="199"/>
      <c r="B329" s="4293" t="s">
        <v>1582</v>
      </c>
      <c r="C329" s="4222" t="s">
        <v>1876</v>
      </c>
      <c r="D329" s="4222"/>
      <c r="E329" s="7487"/>
      <c r="F329" s="4150">
        <v>31.51</v>
      </c>
      <c r="G329" s="7487"/>
      <c r="H329" s="7173">
        <v>683.91</v>
      </c>
      <c r="I329" s="7502"/>
      <c r="J329" s="7213">
        <f t="shared" si="503"/>
        <v>715.42</v>
      </c>
      <c r="K329" s="7487"/>
      <c r="L329" s="4579">
        <v>33.6</v>
      </c>
      <c r="M329" s="7532"/>
      <c r="N329" s="4568">
        <f t="shared" si="517"/>
        <v>749.02</v>
      </c>
      <c r="O329" s="7487"/>
      <c r="P329" s="4791">
        <v>202.54999999999998</v>
      </c>
      <c r="Q329" s="7502"/>
      <c r="R329" s="4821">
        <f t="shared" si="504"/>
        <v>951.56999999999994</v>
      </c>
      <c r="S329" s="7487"/>
      <c r="T329" s="4902">
        <v>191.1</v>
      </c>
      <c r="U329" s="7502"/>
      <c r="V329" s="4890">
        <f t="shared" si="505"/>
        <v>1142.6699999999998</v>
      </c>
      <c r="W329" s="7487"/>
      <c r="X329" s="5032">
        <v>284.44</v>
      </c>
      <c r="Y329" s="7532"/>
      <c r="Z329" s="5018">
        <f t="shared" si="506"/>
        <v>678.08999999999992</v>
      </c>
      <c r="AA329" s="7517"/>
      <c r="AB329" s="5021">
        <f t="shared" si="507"/>
        <v>1427.11</v>
      </c>
      <c r="AC329" s="7487"/>
      <c r="AD329" s="5345">
        <v>260.91999999999996</v>
      </c>
      <c r="AE329" s="7502"/>
      <c r="AF329" s="5333">
        <f t="shared" si="508"/>
        <v>1688.0299999999997</v>
      </c>
      <c r="AG329" s="7487"/>
      <c r="AH329" s="5524">
        <v>255.37</v>
      </c>
      <c r="AI329" s="7490"/>
      <c r="AJ329" s="5511">
        <f t="shared" si="509"/>
        <v>1943.3999999999996</v>
      </c>
      <c r="AK329" s="7487"/>
      <c r="AL329" s="5918"/>
      <c r="AM329" s="7532"/>
      <c r="AN329" s="5903">
        <f t="shared" si="510"/>
        <v>516.29</v>
      </c>
      <c r="AO329" s="7502"/>
      <c r="AP329" s="5907">
        <f t="shared" si="511"/>
        <v>1943.3999999999996</v>
      </c>
      <c r="AQ329" s="7487"/>
      <c r="AR329" s="6073"/>
      <c r="AS329" s="7490"/>
      <c r="AT329" s="6135">
        <f t="shared" si="512"/>
        <v>1943.3999999999996</v>
      </c>
      <c r="AU329" s="7487"/>
      <c r="AV329" s="6203"/>
      <c r="AW329" s="7490"/>
      <c r="AX329" s="6193">
        <f t="shared" si="513"/>
        <v>1943.3999999999996</v>
      </c>
      <c r="AY329" s="7487"/>
      <c r="AZ329" s="6410">
        <v>774.3</v>
      </c>
      <c r="BA329" s="7532"/>
      <c r="BB329" s="6596">
        <f t="shared" si="514"/>
        <v>774.3</v>
      </c>
      <c r="BC329" s="7517"/>
      <c r="BD329" s="6599">
        <f t="shared" si="515"/>
        <v>1290.5899999999999</v>
      </c>
      <c r="BE329" s="7490"/>
      <c r="BF329" s="6598">
        <f t="shared" si="516"/>
        <v>2717.7</v>
      </c>
      <c r="BG329" s="4590"/>
      <c r="BH329" s="4590"/>
      <c r="BI329" s="4590"/>
      <c r="BJ329" s="4590"/>
    </row>
    <row r="330" spans="1:62" s="4621" customFormat="1" x14ac:dyDescent="0.25">
      <c r="A330" s="199"/>
      <c r="B330" s="4293" t="s">
        <v>1582</v>
      </c>
      <c r="C330" s="4222" t="s">
        <v>1914</v>
      </c>
      <c r="D330" s="4222"/>
      <c r="E330" s="7487"/>
      <c r="F330" s="4622"/>
      <c r="G330" s="7487"/>
      <c r="H330" s="7173"/>
      <c r="I330" s="7502"/>
      <c r="J330" s="7213">
        <f t="shared" si="503"/>
        <v>0</v>
      </c>
      <c r="K330" s="7487"/>
      <c r="L330" s="4622">
        <v>643.62000000000012</v>
      </c>
      <c r="M330" s="7532"/>
      <c r="N330" s="4620">
        <f t="shared" si="517"/>
        <v>643.62000000000012</v>
      </c>
      <c r="O330" s="7487"/>
      <c r="P330" s="4791"/>
      <c r="Q330" s="7502"/>
      <c r="R330" s="4821">
        <f t="shared" si="504"/>
        <v>643.62000000000012</v>
      </c>
      <c r="S330" s="7487"/>
      <c r="T330" s="4902"/>
      <c r="U330" s="7502"/>
      <c r="V330" s="4890">
        <f t="shared" si="505"/>
        <v>643.62000000000012</v>
      </c>
      <c r="W330" s="7487"/>
      <c r="X330" s="5032"/>
      <c r="Y330" s="7532"/>
      <c r="Z330" s="5018">
        <f t="shared" si="506"/>
        <v>0</v>
      </c>
      <c r="AA330" s="7517"/>
      <c r="AB330" s="5021">
        <f t="shared" si="507"/>
        <v>643.62000000000012</v>
      </c>
      <c r="AC330" s="7487"/>
      <c r="AD330" s="5345"/>
      <c r="AE330" s="7502"/>
      <c r="AF330" s="5333">
        <f t="shared" si="508"/>
        <v>643.62000000000012</v>
      </c>
      <c r="AG330" s="7487"/>
      <c r="AH330" s="5524"/>
      <c r="AI330" s="7490"/>
      <c r="AJ330" s="5511">
        <f t="shared" si="509"/>
        <v>643.62000000000012</v>
      </c>
      <c r="AK330" s="7487"/>
      <c r="AL330" s="5918"/>
      <c r="AM330" s="7532"/>
      <c r="AN330" s="5903">
        <f t="shared" si="510"/>
        <v>0</v>
      </c>
      <c r="AO330" s="7502"/>
      <c r="AP330" s="5907">
        <f t="shared" si="511"/>
        <v>643.62000000000012</v>
      </c>
      <c r="AQ330" s="7487"/>
      <c r="AR330" s="6073"/>
      <c r="AS330" s="7490"/>
      <c r="AT330" s="6135">
        <f t="shared" si="512"/>
        <v>643.62000000000012</v>
      </c>
      <c r="AU330" s="7487"/>
      <c r="AV330" s="6203"/>
      <c r="AW330" s="7490"/>
      <c r="AX330" s="6193">
        <f t="shared" si="513"/>
        <v>643.62000000000012</v>
      </c>
      <c r="AY330" s="7487"/>
      <c r="AZ330" s="6410"/>
      <c r="BA330" s="7532"/>
      <c r="BB330" s="6596">
        <f t="shared" si="514"/>
        <v>0</v>
      </c>
      <c r="BC330" s="7517"/>
      <c r="BD330" s="6599">
        <f t="shared" si="515"/>
        <v>0</v>
      </c>
      <c r="BE330" s="7490"/>
      <c r="BF330" s="6598">
        <f t="shared" si="516"/>
        <v>643.62000000000012</v>
      </c>
      <c r="BG330" s="4590"/>
      <c r="BH330" s="4590"/>
      <c r="BI330" s="4590"/>
      <c r="BJ330" s="4590"/>
    </row>
    <row r="331" spans="1:62" x14ac:dyDescent="0.25">
      <c r="A331" s="199"/>
      <c r="B331" s="4293" t="s">
        <v>1582</v>
      </c>
      <c r="C331" s="4222" t="s">
        <v>1887</v>
      </c>
      <c r="D331" s="4222"/>
      <c r="E331" s="7487"/>
      <c r="F331" s="4150">
        <v>74.210000000000008</v>
      </c>
      <c r="G331" s="7487"/>
      <c r="H331" s="7173">
        <v>166.5</v>
      </c>
      <c r="I331" s="7502"/>
      <c r="J331" s="7213">
        <f t="shared" si="503"/>
        <v>240.71</v>
      </c>
      <c r="K331" s="7487"/>
      <c r="L331" s="4579">
        <v>65.12</v>
      </c>
      <c r="M331" s="7532"/>
      <c r="N331" s="4568">
        <f t="shared" si="517"/>
        <v>305.83000000000004</v>
      </c>
      <c r="O331" s="7487"/>
      <c r="P331" s="4791">
        <v>67.58</v>
      </c>
      <c r="Q331" s="7502"/>
      <c r="R331" s="4821">
        <f t="shared" si="504"/>
        <v>373.41</v>
      </c>
      <c r="S331" s="7487"/>
      <c r="T331" s="4902">
        <v>94.58</v>
      </c>
      <c r="U331" s="7502"/>
      <c r="V331" s="4890">
        <f t="shared" si="505"/>
        <v>467.99</v>
      </c>
      <c r="W331" s="7487"/>
      <c r="X331" s="5032">
        <v>170.42000000000002</v>
      </c>
      <c r="Y331" s="7532"/>
      <c r="Z331" s="5018">
        <f t="shared" si="506"/>
        <v>332.58000000000004</v>
      </c>
      <c r="AA331" s="7517"/>
      <c r="AB331" s="5021">
        <f t="shared" si="507"/>
        <v>638.41000000000008</v>
      </c>
      <c r="AC331" s="7487"/>
      <c r="AD331" s="5345">
        <v>32.31</v>
      </c>
      <c r="AE331" s="7502"/>
      <c r="AF331" s="5333">
        <f t="shared" si="508"/>
        <v>670.72</v>
      </c>
      <c r="AG331" s="7487"/>
      <c r="AH331" s="5524">
        <v>73.039999999999992</v>
      </c>
      <c r="AI331" s="7490"/>
      <c r="AJ331" s="5511">
        <f t="shared" si="509"/>
        <v>743.76</v>
      </c>
      <c r="AK331" s="7487"/>
      <c r="AL331" s="5918"/>
      <c r="AM331" s="7532"/>
      <c r="AN331" s="5903">
        <f t="shared" si="510"/>
        <v>105.35</v>
      </c>
      <c r="AO331" s="7502"/>
      <c r="AP331" s="5907">
        <f t="shared" si="511"/>
        <v>743.76</v>
      </c>
      <c r="AQ331" s="7487"/>
      <c r="AR331" s="6073"/>
      <c r="AS331" s="7490"/>
      <c r="AT331" s="6135">
        <f t="shared" si="512"/>
        <v>743.76</v>
      </c>
      <c r="AU331" s="7487"/>
      <c r="AV331" s="6203"/>
      <c r="AW331" s="7490"/>
      <c r="AX331" s="6193">
        <f t="shared" si="513"/>
        <v>743.76</v>
      </c>
      <c r="AY331" s="7487"/>
      <c r="AZ331" s="6410">
        <v>203.84999999999997</v>
      </c>
      <c r="BA331" s="7532"/>
      <c r="BB331" s="6596">
        <f t="shared" si="514"/>
        <v>203.84999999999997</v>
      </c>
      <c r="BC331" s="7517"/>
      <c r="BD331" s="6599">
        <f t="shared" si="515"/>
        <v>309.19999999999993</v>
      </c>
      <c r="BE331" s="7490"/>
      <c r="BF331" s="6598">
        <f t="shared" si="516"/>
        <v>947.6099999999999</v>
      </c>
      <c r="BG331" s="4590"/>
      <c r="BH331" s="4590"/>
      <c r="BI331" s="4590"/>
      <c r="BJ331" s="4590"/>
    </row>
    <row r="332" spans="1:62" x14ac:dyDescent="0.25">
      <c r="A332" s="199"/>
      <c r="B332" s="4296" t="s">
        <v>891</v>
      </c>
      <c r="C332" s="4222" t="s">
        <v>902</v>
      </c>
      <c r="D332" s="4222"/>
      <c r="E332" s="7543"/>
      <c r="F332" s="1970">
        <v>1319.1</v>
      </c>
      <c r="G332" s="7543"/>
      <c r="H332" s="1970">
        <v>2839.33</v>
      </c>
      <c r="I332" s="7500"/>
      <c r="J332" s="7213">
        <f t="shared" si="503"/>
        <v>4158.43</v>
      </c>
      <c r="K332" s="7486"/>
      <c r="L332" s="1970">
        <v>384.02</v>
      </c>
      <c r="M332" s="7530"/>
      <c r="N332" s="4568">
        <f t="shared" si="517"/>
        <v>4542.4500000000007</v>
      </c>
      <c r="O332" s="7486"/>
      <c r="P332" s="1970">
        <v>2622.3900000000003</v>
      </c>
      <c r="Q332" s="7500"/>
      <c r="R332" s="4821">
        <f t="shared" si="504"/>
        <v>7164.8400000000011</v>
      </c>
      <c r="S332" s="7486"/>
      <c r="T332" s="1970">
        <v>1564.48</v>
      </c>
      <c r="U332" s="7500"/>
      <c r="V332" s="4890">
        <f t="shared" si="505"/>
        <v>8729.3200000000015</v>
      </c>
      <c r="W332" s="7486"/>
      <c r="X332" s="1970">
        <v>819.87</v>
      </c>
      <c r="Y332" s="7530"/>
      <c r="Z332" s="5018">
        <f t="shared" si="506"/>
        <v>5006.7400000000007</v>
      </c>
      <c r="AA332" s="7515"/>
      <c r="AB332" s="5021">
        <f t="shared" si="507"/>
        <v>9549.1900000000023</v>
      </c>
      <c r="AC332" s="7486"/>
      <c r="AD332" s="1970">
        <v>884.05</v>
      </c>
      <c r="AE332" s="7500"/>
      <c r="AF332" s="5333">
        <f t="shared" si="508"/>
        <v>10433.240000000002</v>
      </c>
      <c r="AG332" s="7486"/>
      <c r="AH332" s="1970">
        <v>170.34</v>
      </c>
      <c r="AI332" s="7490"/>
      <c r="AJ332" s="5511">
        <f t="shared" si="509"/>
        <v>10603.580000000002</v>
      </c>
      <c r="AK332" s="7486"/>
      <c r="AL332" s="1970"/>
      <c r="AM332" s="7530"/>
      <c r="AN332" s="5903">
        <f t="shared" si="510"/>
        <v>1054.3899999999999</v>
      </c>
      <c r="AO332" s="7500"/>
      <c r="AP332" s="5907">
        <f t="shared" si="511"/>
        <v>10603.580000000002</v>
      </c>
      <c r="AQ332" s="7486"/>
      <c r="AR332" s="1970">
        <v>1598.52</v>
      </c>
      <c r="AS332" s="7490"/>
      <c r="AT332" s="6135">
        <f t="shared" si="512"/>
        <v>12202.100000000002</v>
      </c>
      <c r="AU332" s="7486"/>
      <c r="AV332" s="1970">
        <v>961.41</v>
      </c>
      <c r="AW332" s="7490"/>
      <c r="AX332" s="6193">
        <f t="shared" si="513"/>
        <v>13163.510000000002</v>
      </c>
      <c r="AY332" s="7486"/>
      <c r="AZ332" s="1970">
        <v>4010.89</v>
      </c>
      <c r="BA332" s="7530"/>
      <c r="BB332" s="6596">
        <f t="shared" si="514"/>
        <v>6570.82</v>
      </c>
      <c r="BC332" s="7515"/>
      <c r="BD332" s="6599">
        <f t="shared" si="515"/>
        <v>7625.2099999999991</v>
      </c>
      <c r="BE332" s="7490"/>
      <c r="BF332" s="6598">
        <f t="shared" si="516"/>
        <v>17174.400000000001</v>
      </c>
      <c r="BG332" s="4590"/>
      <c r="BH332" s="4590"/>
      <c r="BI332" s="4590"/>
      <c r="BJ332" s="4590"/>
    </row>
    <row r="333" spans="1:62" x14ac:dyDescent="0.25">
      <c r="A333" s="199"/>
      <c r="B333" s="4296" t="s">
        <v>891</v>
      </c>
      <c r="C333" s="4222" t="s">
        <v>917</v>
      </c>
      <c r="D333" s="4222"/>
      <c r="E333" s="7543"/>
      <c r="F333" s="1970">
        <v>4839.59</v>
      </c>
      <c r="G333" s="7543"/>
      <c r="H333" s="1970">
        <v>4625.6299999999992</v>
      </c>
      <c r="I333" s="7500"/>
      <c r="J333" s="7213">
        <f t="shared" si="503"/>
        <v>9465.2199999999993</v>
      </c>
      <c r="K333" s="7486"/>
      <c r="L333" s="1970">
        <v>1345.33</v>
      </c>
      <c r="M333" s="7530"/>
      <c r="N333" s="4568">
        <f t="shared" si="517"/>
        <v>10810.55</v>
      </c>
      <c r="O333" s="7486"/>
      <c r="P333" s="1970">
        <v>4437.37</v>
      </c>
      <c r="Q333" s="7500"/>
      <c r="R333" s="4821">
        <f t="shared" si="504"/>
        <v>15247.919999999998</v>
      </c>
      <c r="S333" s="7486"/>
      <c r="T333" s="1970">
        <v>4781.49</v>
      </c>
      <c r="U333" s="7500"/>
      <c r="V333" s="4890">
        <f t="shared" si="505"/>
        <v>20029.409999999996</v>
      </c>
      <c r="W333" s="7486"/>
      <c r="X333" s="1970">
        <v>3377.13</v>
      </c>
      <c r="Y333" s="7530"/>
      <c r="Z333" s="5018">
        <f t="shared" si="506"/>
        <v>12595.990000000002</v>
      </c>
      <c r="AA333" s="7515"/>
      <c r="AB333" s="5021">
        <f t="shared" si="507"/>
        <v>23406.54</v>
      </c>
      <c r="AC333" s="7486"/>
      <c r="AD333" s="1970">
        <v>3855.3400000000011</v>
      </c>
      <c r="AE333" s="7500"/>
      <c r="AF333" s="5333">
        <f t="shared" si="508"/>
        <v>27261.88</v>
      </c>
      <c r="AG333" s="7486"/>
      <c r="AH333" s="1970">
        <v>674.23</v>
      </c>
      <c r="AI333" s="7490"/>
      <c r="AJ333" s="5511">
        <f t="shared" si="509"/>
        <v>27936.11</v>
      </c>
      <c r="AK333" s="7486"/>
      <c r="AL333" s="1970">
        <v>299.43</v>
      </c>
      <c r="AM333" s="7530"/>
      <c r="AN333" s="5903">
        <f t="shared" si="510"/>
        <v>4829.0000000000018</v>
      </c>
      <c r="AO333" s="7500"/>
      <c r="AP333" s="5907">
        <f t="shared" si="511"/>
        <v>28235.54</v>
      </c>
      <c r="AQ333" s="7486"/>
      <c r="AR333" s="1970">
        <v>1725.75</v>
      </c>
      <c r="AS333" s="7490"/>
      <c r="AT333" s="6135">
        <f t="shared" si="512"/>
        <v>29961.29</v>
      </c>
      <c r="AU333" s="7486"/>
      <c r="AV333" s="1970">
        <v>1915.58</v>
      </c>
      <c r="AW333" s="7490"/>
      <c r="AX333" s="6193">
        <f t="shared" si="513"/>
        <v>31876.870000000003</v>
      </c>
      <c r="AY333" s="7486"/>
      <c r="AZ333" s="1970">
        <v>8879.4699999999993</v>
      </c>
      <c r="BA333" s="7530"/>
      <c r="BB333" s="6596">
        <f t="shared" si="514"/>
        <v>12520.8</v>
      </c>
      <c r="BC333" s="7515"/>
      <c r="BD333" s="6599">
        <f t="shared" si="515"/>
        <v>17349.800000000003</v>
      </c>
      <c r="BE333" s="7490"/>
      <c r="BF333" s="6598">
        <f t="shared" si="516"/>
        <v>40756.340000000004</v>
      </c>
      <c r="BG333" s="4590"/>
      <c r="BH333" s="4590"/>
      <c r="BI333" s="4590"/>
      <c r="BJ333" s="4590"/>
    </row>
    <row r="334" spans="1:62" x14ac:dyDescent="0.25">
      <c r="A334" s="199"/>
      <c r="B334" s="4296" t="s">
        <v>891</v>
      </c>
      <c r="C334" s="4222" t="s">
        <v>1655</v>
      </c>
      <c r="D334" s="4222"/>
      <c r="E334" s="7543"/>
      <c r="F334" s="1970"/>
      <c r="G334" s="7543"/>
      <c r="H334" s="1970"/>
      <c r="I334" s="7500"/>
      <c r="J334" s="7213">
        <f t="shared" si="503"/>
        <v>0</v>
      </c>
      <c r="K334" s="7486"/>
      <c r="L334" s="1970"/>
      <c r="M334" s="7530"/>
      <c r="N334" s="4568">
        <f t="shared" si="517"/>
        <v>0</v>
      </c>
      <c r="O334" s="7486"/>
      <c r="P334" s="1970"/>
      <c r="Q334" s="7500"/>
      <c r="R334" s="4821">
        <f t="shared" si="504"/>
        <v>0</v>
      </c>
      <c r="S334" s="7486"/>
      <c r="T334" s="1970"/>
      <c r="U334" s="7500"/>
      <c r="V334" s="4890">
        <f t="shared" si="505"/>
        <v>0</v>
      </c>
      <c r="W334" s="7486"/>
      <c r="X334" s="1970"/>
      <c r="Y334" s="7530"/>
      <c r="Z334" s="5018">
        <f t="shared" si="506"/>
        <v>0</v>
      </c>
      <c r="AA334" s="7515"/>
      <c r="AB334" s="5021">
        <f t="shared" si="507"/>
        <v>0</v>
      </c>
      <c r="AC334" s="7486"/>
      <c r="AD334" s="1970"/>
      <c r="AE334" s="7500"/>
      <c r="AF334" s="5333">
        <f t="shared" si="508"/>
        <v>0</v>
      </c>
      <c r="AG334" s="7486"/>
      <c r="AH334" s="1970"/>
      <c r="AI334" s="7490"/>
      <c r="AJ334" s="5511">
        <f t="shared" si="509"/>
        <v>0</v>
      </c>
      <c r="AK334" s="7486"/>
      <c r="AL334" s="1970"/>
      <c r="AM334" s="7530"/>
      <c r="AN334" s="5903">
        <f t="shared" si="510"/>
        <v>0</v>
      </c>
      <c r="AO334" s="7500"/>
      <c r="AP334" s="5907">
        <f t="shared" si="511"/>
        <v>0</v>
      </c>
      <c r="AQ334" s="7486"/>
      <c r="AR334" s="1970"/>
      <c r="AS334" s="7490"/>
      <c r="AT334" s="6135">
        <f t="shared" si="512"/>
        <v>0</v>
      </c>
      <c r="AU334" s="7486"/>
      <c r="AV334" s="1970"/>
      <c r="AW334" s="7490"/>
      <c r="AX334" s="6193">
        <f t="shared" si="513"/>
        <v>0</v>
      </c>
      <c r="AY334" s="7486"/>
      <c r="AZ334" s="1970"/>
      <c r="BA334" s="7530"/>
      <c r="BB334" s="6596">
        <f t="shared" si="514"/>
        <v>0</v>
      </c>
      <c r="BC334" s="7515"/>
      <c r="BD334" s="6599">
        <f t="shared" si="515"/>
        <v>0</v>
      </c>
      <c r="BE334" s="7490"/>
      <c r="BF334" s="6598">
        <f t="shared" si="516"/>
        <v>0</v>
      </c>
      <c r="BG334" s="4590"/>
      <c r="BH334" s="4590"/>
      <c r="BI334" s="4590"/>
      <c r="BJ334" s="4590"/>
    </row>
    <row r="335" spans="1:62" x14ac:dyDescent="0.25">
      <c r="A335" s="199"/>
      <c r="B335" s="4296" t="s">
        <v>891</v>
      </c>
      <c r="C335" s="4222" t="s">
        <v>1878</v>
      </c>
      <c r="D335" s="4222"/>
      <c r="E335" s="7543"/>
      <c r="F335" s="1970"/>
      <c r="G335" s="7543"/>
      <c r="H335" s="1970"/>
      <c r="I335" s="7500"/>
      <c r="J335" s="7213">
        <f t="shared" si="503"/>
        <v>0</v>
      </c>
      <c r="K335" s="7486"/>
      <c r="L335" s="1970"/>
      <c r="M335" s="7530"/>
      <c r="N335" s="4568">
        <f t="shared" si="517"/>
        <v>0</v>
      </c>
      <c r="O335" s="7486"/>
      <c r="P335" s="1970"/>
      <c r="Q335" s="7500"/>
      <c r="R335" s="4821">
        <f t="shared" si="504"/>
        <v>0</v>
      </c>
      <c r="S335" s="7486"/>
      <c r="T335" s="1970"/>
      <c r="U335" s="7500"/>
      <c r="V335" s="4890">
        <f t="shared" si="505"/>
        <v>0</v>
      </c>
      <c r="W335" s="7486"/>
      <c r="X335" s="1970"/>
      <c r="Y335" s="7530"/>
      <c r="Z335" s="5018">
        <f t="shared" si="506"/>
        <v>0</v>
      </c>
      <c r="AA335" s="7515"/>
      <c r="AB335" s="5021">
        <f t="shared" si="507"/>
        <v>0</v>
      </c>
      <c r="AC335" s="7486"/>
      <c r="AD335" s="1970"/>
      <c r="AE335" s="7500"/>
      <c r="AF335" s="5333">
        <f t="shared" si="508"/>
        <v>0</v>
      </c>
      <c r="AG335" s="7486"/>
      <c r="AH335" s="1970"/>
      <c r="AI335" s="7490"/>
      <c r="AJ335" s="5511">
        <f t="shared" si="509"/>
        <v>0</v>
      </c>
      <c r="AK335" s="7486"/>
      <c r="AL335" s="1970"/>
      <c r="AM335" s="7530"/>
      <c r="AN335" s="5903">
        <f t="shared" si="510"/>
        <v>0</v>
      </c>
      <c r="AO335" s="7500"/>
      <c r="AP335" s="5907">
        <f t="shared" si="511"/>
        <v>0</v>
      </c>
      <c r="AQ335" s="7486"/>
      <c r="AR335" s="1970"/>
      <c r="AS335" s="7490"/>
      <c r="AT335" s="6135">
        <f t="shared" si="512"/>
        <v>0</v>
      </c>
      <c r="AU335" s="7486"/>
      <c r="AV335" s="1970"/>
      <c r="AW335" s="7490"/>
      <c r="AX335" s="6193">
        <f t="shared" si="513"/>
        <v>0</v>
      </c>
      <c r="AY335" s="7486"/>
      <c r="AZ335" s="1970"/>
      <c r="BA335" s="7530"/>
      <c r="BB335" s="6596">
        <f t="shared" si="514"/>
        <v>0</v>
      </c>
      <c r="BC335" s="7515"/>
      <c r="BD335" s="6599">
        <f t="shared" si="515"/>
        <v>0</v>
      </c>
      <c r="BE335" s="7490"/>
      <c r="BF335" s="6598">
        <f t="shared" si="516"/>
        <v>0</v>
      </c>
      <c r="BG335" s="4590"/>
      <c r="BH335" s="4590"/>
      <c r="BI335" s="4590"/>
      <c r="BJ335" s="4590"/>
    </row>
    <row r="336" spans="1:62" x14ac:dyDescent="0.25">
      <c r="A336" s="199"/>
      <c r="B336" s="4296" t="s">
        <v>891</v>
      </c>
      <c r="C336" s="4222" t="s">
        <v>1315</v>
      </c>
      <c r="D336" s="4222"/>
      <c r="E336" s="7543"/>
      <c r="F336" s="4150"/>
      <c r="G336" s="7543"/>
      <c r="H336" s="7173"/>
      <c r="I336" s="7502"/>
      <c r="J336" s="7213">
        <f t="shared" si="503"/>
        <v>0</v>
      </c>
      <c r="K336" s="7487"/>
      <c r="L336" s="4579">
        <v>110.52</v>
      </c>
      <c r="M336" s="7532"/>
      <c r="N336" s="4568">
        <f t="shared" si="517"/>
        <v>110.52</v>
      </c>
      <c r="O336" s="7487"/>
      <c r="P336" s="4791">
        <v>38.770000000000003</v>
      </c>
      <c r="Q336" s="7502"/>
      <c r="R336" s="4821">
        <f t="shared" si="504"/>
        <v>149.29</v>
      </c>
      <c r="S336" s="7487"/>
      <c r="T336" s="4902"/>
      <c r="U336" s="7502"/>
      <c r="V336" s="4890">
        <f t="shared" si="505"/>
        <v>149.29</v>
      </c>
      <c r="W336" s="7487"/>
      <c r="X336" s="5032">
        <v>54.3</v>
      </c>
      <c r="Y336" s="7532"/>
      <c r="Z336" s="5018">
        <f t="shared" si="506"/>
        <v>93.07</v>
      </c>
      <c r="AA336" s="7517"/>
      <c r="AB336" s="5021">
        <f t="shared" si="507"/>
        <v>203.58999999999997</v>
      </c>
      <c r="AC336" s="7487"/>
      <c r="AD336" s="5345">
        <v>48.44</v>
      </c>
      <c r="AE336" s="7502"/>
      <c r="AF336" s="5333">
        <f t="shared" si="508"/>
        <v>252.02999999999997</v>
      </c>
      <c r="AG336" s="7487"/>
      <c r="AH336" s="5524"/>
      <c r="AI336" s="7490"/>
      <c r="AJ336" s="5511">
        <f t="shared" si="509"/>
        <v>252.02999999999997</v>
      </c>
      <c r="AK336" s="7487"/>
      <c r="AL336" s="5918">
        <v>565.76</v>
      </c>
      <c r="AM336" s="7532"/>
      <c r="AN336" s="5903">
        <f t="shared" si="510"/>
        <v>614.20000000000005</v>
      </c>
      <c r="AO336" s="7502"/>
      <c r="AP336" s="5907">
        <f t="shared" si="511"/>
        <v>817.79</v>
      </c>
      <c r="AQ336" s="7487"/>
      <c r="AR336" s="6073"/>
      <c r="AS336" s="7490"/>
      <c r="AT336" s="6135">
        <f t="shared" si="512"/>
        <v>817.79</v>
      </c>
      <c r="AU336" s="7487"/>
      <c r="AV336" s="6203">
        <v>119.55000000000001</v>
      </c>
      <c r="AW336" s="7490"/>
      <c r="AX336" s="6193">
        <f t="shared" si="513"/>
        <v>937.33999999999992</v>
      </c>
      <c r="AY336" s="7487"/>
      <c r="AZ336" s="6410">
        <v>883.91000000000008</v>
      </c>
      <c r="BA336" s="7532"/>
      <c r="BB336" s="6596">
        <f t="shared" si="514"/>
        <v>1003.46</v>
      </c>
      <c r="BC336" s="7517"/>
      <c r="BD336" s="6599">
        <f t="shared" si="515"/>
        <v>1617.66</v>
      </c>
      <c r="BE336" s="7490"/>
      <c r="BF336" s="6598">
        <f t="shared" si="516"/>
        <v>1821.25</v>
      </c>
      <c r="BG336" s="4590"/>
      <c r="BH336" s="4590"/>
      <c r="BI336" s="4590"/>
      <c r="BJ336" s="4590"/>
    </row>
    <row r="337" spans="1:62" x14ac:dyDescent="0.25">
      <c r="A337" s="199"/>
      <c r="B337" s="4250" t="s">
        <v>891</v>
      </c>
      <c r="C337" s="4222" t="s">
        <v>1256</v>
      </c>
      <c r="D337" s="4222"/>
      <c r="E337" s="7486"/>
      <c r="F337" s="1970"/>
      <c r="G337" s="7486"/>
      <c r="H337" s="1970"/>
      <c r="I337" s="7500"/>
      <c r="J337" s="7213">
        <f t="shared" si="503"/>
        <v>0</v>
      </c>
      <c r="K337" s="7486"/>
      <c r="L337" s="1970"/>
      <c r="M337" s="7530"/>
      <c r="N337" s="4568">
        <f t="shared" si="517"/>
        <v>0</v>
      </c>
      <c r="O337" s="7486"/>
      <c r="P337" s="1970"/>
      <c r="Q337" s="7500"/>
      <c r="R337" s="4821">
        <f t="shared" si="504"/>
        <v>0</v>
      </c>
      <c r="S337" s="7486"/>
      <c r="T337" s="1970"/>
      <c r="U337" s="7500"/>
      <c r="V337" s="4890">
        <f t="shared" si="505"/>
        <v>0</v>
      </c>
      <c r="W337" s="7486"/>
      <c r="X337" s="1970"/>
      <c r="Y337" s="7530"/>
      <c r="Z337" s="4125">
        <f t="shared" si="506"/>
        <v>0</v>
      </c>
      <c r="AA337" s="7515"/>
      <c r="AB337" s="5021">
        <f t="shared" si="507"/>
        <v>0</v>
      </c>
      <c r="AC337" s="7486"/>
      <c r="AD337" s="1970"/>
      <c r="AE337" s="7500"/>
      <c r="AF337" s="5333">
        <f t="shared" si="508"/>
        <v>0</v>
      </c>
      <c r="AG337" s="7486"/>
      <c r="AH337" s="1970"/>
      <c r="AI337" s="7490"/>
      <c r="AJ337" s="5511">
        <f t="shared" si="509"/>
        <v>0</v>
      </c>
      <c r="AK337" s="7486"/>
      <c r="AL337" s="1970"/>
      <c r="AM337" s="7530"/>
      <c r="AN337" s="5903">
        <f t="shared" si="510"/>
        <v>0</v>
      </c>
      <c r="AO337" s="7500"/>
      <c r="AP337" s="5907">
        <f t="shared" si="511"/>
        <v>0</v>
      </c>
      <c r="AQ337" s="7486"/>
      <c r="AR337" s="1970"/>
      <c r="AS337" s="7490"/>
      <c r="AT337" s="6135">
        <f t="shared" si="512"/>
        <v>0</v>
      </c>
      <c r="AU337" s="7486"/>
      <c r="AV337" s="1970"/>
      <c r="AW337" s="7490"/>
      <c r="AX337" s="6193">
        <f t="shared" si="513"/>
        <v>0</v>
      </c>
      <c r="AY337" s="7486"/>
      <c r="AZ337" s="1970"/>
      <c r="BA337" s="7530"/>
      <c r="BB337" s="6596">
        <f t="shared" si="514"/>
        <v>0</v>
      </c>
      <c r="BC337" s="7515"/>
      <c r="BD337" s="6599">
        <f t="shared" si="515"/>
        <v>0</v>
      </c>
      <c r="BE337" s="7490"/>
      <c r="BF337" s="6598">
        <f t="shared" si="516"/>
        <v>0</v>
      </c>
      <c r="BG337" s="4590"/>
      <c r="BH337" s="4590"/>
      <c r="BI337" s="4590"/>
      <c r="BJ337" s="4590"/>
    </row>
    <row r="338" spans="1:62" x14ac:dyDescent="0.25">
      <c r="A338" s="199"/>
      <c r="B338" s="4250" t="s">
        <v>891</v>
      </c>
      <c r="C338" s="4183" t="s">
        <v>1354</v>
      </c>
      <c r="D338" s="4183"/>
      <c r="E338" s="7486"/>
      <c r="F338" s="1970"/>
      <c r="G338" s="7486"/>
      <c r="H338" s="1970"/>
      <c r="I338" s="7500"/>
      <c r="J338" s="7213">
        <f t="shared" si="503"/>
        <v>0</v>
      </c>
      <c r="K338" s="7486"/>
      <c r="L338" s="1970"/>
      <c r="M338" s="7530"/>
      <c r="N338" s="4568">
        <f t="shared" si="517"/>
        <v>0</v>
      </c>
      <c r="O338" s="7486"/>
      <c r="P338" s="1970"/>
      <c r="Q338" s="7500"/>
      <c r="R338" s="4821">
        <f t="shared" si="504"/>
        <v>0</v>
      </c>
      <c r="S338" s="7486"/>
      <c r="T338" s="1970"/>
      <c r="U338" s="7500"/>
      <c r="V338" s="4890">
        <f t="shared" si="505"/>
        <v>0</v>
      </c>
      <c r="W338" s="7486"/>
      <c r="X338" s="1970"/>
      <c r="Y338" s="7530"/>
      <c r="Z338" s="5018">
        <f t="shared" si="506"/>
        <v>0</v>
      </c>
      <c r="AA338" s="7515"/>
      <c r="AB338" s="5021">
        <f t="shared" si="507"/>
        <v>0</v>
      </c>
      <c r="AC338" s="7486"/>
      <c r="AD338" s="1970"/>
      <c r="AE338" s="7500"/>
      <c r="AF338" s="5333">
        <f t="shared" si="508"/>
        <v>0</v>
      </c>
      <c r="AG338" s="7486"/>
      <c r="AH338" s="1970"/>
      <c r="AI338" s="7490"/>
      <c r="AJ338" s="5511">
        <f t="shared" si="509"/>
        <v>0</v>
      </c>
      <c r="AK338" s="7486"/>
      <c r="AL338" s="1970"/>
      <c r="AM338" s="7530"/>
      <c r="AN338" s="5903">
        <f t="shared" si="510"/>
        <v>0</v>
      </c>
      <c r="AO338" s="7500"/>
      <c r="AP338" s="5907">
        <f t="shared" si="511"/>
        <v>0</v>
      </c>
      <c r="AQ338" s="7486"/>
      <c r="AR338" s="1970"/>
      <c r="AS338" s="7490"/>
      <c r="AT338" s="6135">
        <f t="shared" si="512"/>
        <v>0</v>
      </c>
      <c r="AU338" s="7486"/>
      <c r="AV338" s="1970"/>
      <c r="AW338" s="7490"/>
      <c r="AX338" s="6193">
        <f t="shared" si="513"/>
        <v>0</v>
      </c>
      <c r="AY338" s="7486"/>
      <c r="AZ338" s="1970"/>
      <c r="BA338" s="7530"/>
      <c r="BB338" s="6596">
        <f t="shared" si="514"/>
        <v>0</v>
      </c>
      <c r="BC338" s="7515"/>
      <c r="BD338" s="6599">
        <f t="shared" si="515"/>
        <v>0</v>
      </c>
      <c r="BE338" s="7490"/>
      <c r="BF338" s="6598">
        <f t="shared" si="516"/>
        <v>0</v>
      </c>
      <c r="BG338" s="4590"/>
      <c r="BH338" s="4590"/>
      <c r="BI338" s="4590"/>
      <c r="BJ338" s="4590"/>
    </row>
    <row r="339" spans="1:62" x14ac:dyDescent="0.25">
      <c r="A339" s="199"/>
      <c r="B339" s="4293" t="s">
        <v>891</v>
      </c>
      <c r="C339" s="4222" t="s">
        <v>1877</v>
      </c>
      <c r="D339" s="4222"/>
      <c r="E339" s="7487"/>
      <c r="F339" s="4150">
        <v>126.4</v>
      </c>
      <c r="G339" s="7487"/>
      <c r="H339" s="7173">
        <v>549.79000000000008</v>
      </c>
      <c r="I339" s="7502"/>
      <c r="J339" s="7213">
        <f t="shared" si="503"/>
        <v>676.19</v>
      </c>
      <c r="K339" s="7487"/>
      <c r="L339" s="4579">
        <v>79.05</v>
      </c>
      <c r="M339" s="7532"/>
      <c r="N339" s="4568">
        <f t="shared" si="517"/>
        <v>755.24</v>
      </c>
      <c r="O339" s="7487"/>
      <c r="P339" s="4791">
        <v>270.45</v>
      </c>
      <c r="Q339" s="7502"/>
      <c r="R339" s="4821">
        <f t="shared" si="504"/>
        <v>1025.69</v>
      </c>
      <c r="S339" s="7487"/>
      <c r="T339" s="4902">
        <v>810.25</v>
      </c>
      <c r="U339" s="7502"/>
      <c r="V339" s="4890">
        <f t="shared" si="505"/>
        <v>1835.94</v>
      </c>
      <c r="W339" s="7487"/>
      <c r="X339" s="5032">
        <v>460.52000000000004</v>
      </c>
      <c r="Y339" s="7532"/>
      <c r="Z339" s="5018">
        <f t="shared" si="506"/>
        <v>1541.22</v>
      </c>
      <c r="AA339" s="7517"/>
      <c r="AB339" s="5021">
        <f t="shared" si="507"/>
        <v>2296.46</v>
      </c>
      <c r="AC339" s="7487"/>
      <c r="AD339" s="5345">
        <v>540.63</v>
      </c>
      <c r="AE339" s="7502"/>
      <c r="AF339" s="5333">
        <f t="shared" si="508"/>
        <v>2837.09</v>
      </c>
      <c r="AG339" s="7487"/>
      <c r="AH339" s="5524">
        <v>163.88</v>
      </c>
      <c r="AI339" s="7490"/>
      <c r="AJ339" s="5511">
        <f t="shared" si="509"/>
        <v>3000.9700000000003</v>
      </c>
      <c r="AK339" s="7487"/>
      <c r="AL339" s="5918">
        <v>40.380000000000003</v>
      </c>
      <c r="AM339" s="7532"/>
      <c r="AN339" s="5903">
        <f t="shared" si="510"/>
        <v>744.89</v>
      </c>
      <c r="AO339" s="7502"/>
      <c r="AP339" s="5907">
        <f t="shared" si="511"/>
        <v>3041.3500000000004</v>
      </c>
      <c r="AQ339" s="7487"/>
      <c r="AR339" s="6073">
        <v>613.95999999999992</v>
      </c>
      <c r="AS339" s="7490"/>
      <c r="AT339" s="6135">
        <f t="shared" si="512"/>
        <v>3655.3100000000004</v>
      </c>
      <c r="AU339" s="7487"/>
      <c r="AV339" s="6203">
        <v>185.22</v>
      </c>
      <c r="AW339" s="7490"/>
      <c r="AX339" s="6193">
        <f t="shared" si="513"/>
        <v>3840.53</v>
      </c>
      <c r="AY339" s="7487"/>
      <c r="AZ339" s="6410">
        <v>508.34000000000003</v>
      </c>
      <c r="BA339" s="7532"/>
      <c r="BB339" s="6596">
        <f t="shared" si="514"/>
        <v>1307.52</v>
      </c>
      <c r="BC339" s="7517"/>
      <c r="BD339" s="6599">
        <f t="shared" si="515"/>
        <v>2052.41</v>
      </c>
      <c r="BE339" s="7490"/>
      <c r="BF339" s="6598">
        <f t="shared" si="516"/>
        <v>4348.87</v>
      </c>
      <c r="BG339" s="4590"/>
      <c r="BH339" s="4590"/>
      <c r="BI339" s="4590"/>
      <c r="BJ339" s="4590"/>
    </row>
    <row r="340" spans="1:62" ht="15.75" thickBot="1" x14ac:dyDescent="0.3">
      <c r="A340" s="199"/>
      <c r="B340" s="4255" t="s">
        <v>891</v>
      </c>
      <c r="C340" s="4287" t="s">
        <v>1888</v>
      </c>
      <c r="D340" s="4287"/>
      <c r="E340" s="7487"/>
      <c r="F340" s="4150">
        <v>62.8</v>
      </c>
      <c r="G340" s="7487"/>
      <c r="H340" s="7173">
        <v>328.65000000000003</v>
      </c>
      <c r="I340" s="7502"/>
      <c r="J340" s="7213">
        <f t="shared" si="503"/>
        <v>391.45000000000005</v>
      </c>
      <c r="K340" s="7487"/>
      <c r="L340" s="4579"/>
      <c r="M340" s="7532"/>
      <c r="N340" s="4568">
        <f t="shared" si="517"/>
        <v>391.45000000000005</v>
      </c>
      <c r="O340" s="7487"/>
      <c r="P340" s="4791">
        <v>10.89</v>
      </c>
      <c r="Q340" s="7502"/>
      <c r="R340" s="4821">
        <f t="shared" si="504"/>
        <v>402.34000000000003</v>
      </c>
      <c r="S340" s="7487"/>
      <c r="T340" s="4902">
        <v>296.70999999999998</v>
      </c>
      <c r="U340" s="7502"/>
      <c r="V340" s="4890">
        <f t="shared" si="505"/>
        <v>699.05</v>
      </c>
      <c r="W340" s="7487"/>
      <c r="X340" s="5032">
        <v>166.81</v>
      </c>
      <c r="Y340" s="7532"/>
      <c r="Z340" s="5018">
        <f t="shared" si="506"/>
        <v>474.40999999999997</v>
      </c>
      <c r="AA340" s="7517"/>
      <c r="AB340" s="5021">
        <f t="shared" si="507"/>
        <v>865.86</v>
      </c>
      <c r="AC340" s="7487"/>
      <c r="AD340" s="5345">
        <v>653.04999999999995</v>
      </c>
      <c r="AE340" s="7502"/>
      <c r="AF340" s="5333">
        <f t="shared" si="508"/>
        <v>1518.9099999999999</v>
      </c>
      <c r="AG340" s="7487"/>
      <c r="AH340" s="5524">
        <v>38.369999999999997</v>
      </c>
      <c r="AI340" s="7490"/>
      <c r="AJ340" s="5511">
        <f t="shared" si="509"/>
        <v>1557.2799999999997</v>
      </c>
      <c r="AK340" s="7487"/>
      <c r="AL340" s="5918"/>
      <c r="AM340" s="7532"/>
      <c r="AN340" s="5903">
        <f t="shared" si="510"/>
        <v>691.42</v>
      </c>
      <c r="AO340" s="7502"/>
      <c r="AP340" s="5907">
        <f t="shared" si="511"/>
        <v>1557.2799999999997</v>
      </c>
      <c r="AQ340" s="7487"/>
      <c r="AR340" s="6073">
        <v>370.65999999999997</v>
      </c>
      <c r="AS340" s="7490"/>
      <c r="AT340" s="6135">
        <f t="shared" si="512"/>
        <v>1927.9399999999996</v>
      </c>
      <c r="AU340" s="7487"/>
      <c r="AV340" s="6203">
        <v>128.28</v>
      </c>
      <c r="AW340" s="7490"/>
      <c r="AX340" s="6193">
        <f t="shared" si="513"/>
        <v>2056.2199999999998</v>
      </c>
      <c r="AY340" s="7487"/>
      <c r="AZ340" s="6410">
        <v>629.03</v>
      </c>
      <c r="BA340" s="7532"/>
      <c r="BB340" s="6596">
        <f t="shared" ref="BB340:BB356" si="518">AR340+AV340+AZ340</f>
        <v>1127.9699999999998</v>
      </c>
      <c r="BC340" s="7517"/>
      <c r="BD340" s="6599">
        <f t="shared" si="515"/>
        <v>1819.3899999999999</v>
      </c>
      <c r="BE340" s="7490"/>
      <c r="BF340" s="6598">
        <f t="shared" si="516"/>
        <v>2685.25</v>
      </c>
      <c r="BG340" s="4590"/>
      <c r="BH340" s="4590"/>
      <c r="BI340" s="4590"/>
      <c r="BJ340" s="4590"/>
    </row>
    <row r="341" spans="1:62" x14ac:dyDescent="0.25">
      <c r="A341" s="199"/>
      <c r="B341" s="3452" t="s">
        <v>1653</v>
      </c>
      <c r="C341" s="4176" t="s">
        <v>1654</v>
      </c>
      <c r="D341" s="4288"/>
      <c r="E341" s="7543"/>
      <c r="F341" s="1970"/>
      <c r="G341" s="7543"/>
      <c r="H341" s="1970"/>
      <c r="I341" s="7500"/>
      <c r="J341" s="7213">
        <f t="shared" si="503"/>
        <v>0</v>
      </c>
      <c r="K341" s="7486"/>
      <c r="L341" s="1970"/>
      <c r="M341" s="7530"/>
      <c r="N341" s="4568">
        <f t="shared" si="517"/>
        <v>0</v>
      </c>
      <c r="O341" s="7486"/>
      <c r="P341" s="1970"/>
      <c r="Q341" s="7500"/>
      <c r="R341" s="4821">
        <f t="shared" si="504"/>
        <v>0</v>
      </c>
      <c r="S341" s="7486"/>
      <c r="T341" s="1970"/>
      <c r="U341" s="7500"/>
      <c r="V341" s="4890">
        <f t="shared" si="505"/>
        <v>0</v>
      </c>
      <c r="W341" s="7486"/>
      <c r="X341" s="1970"/>
      <c r="Y341" s="7530"/>
      <c r="Z341" s="5018">
        <f t="shared" si="506"/>
        <v>0</v>
      </c>
      <c r="AA341" s="7515"/>
      <c r="AB341" s="5021">
        <f t="shared" si="507"/>
        <v>0</v>
      </c>
      <c r="AC341" s="7486"/>
      <c r="AD341" s="1970"/>
      <c r="AE341" s="7500"/>
      <c r="AF341" s="5333">
        <f t="shared" si="508"/>
        <v>0</v>
      </c>
      <c r="AG341" s="7486"/>
      <c r="AH341" s="1970"/>
      <c r="AI341" s="7490"/>
      <c r="AJ341" s="5511">
        <f t="shared" si="509"/>
        <v>0</v>
      </c>
      <c r="AK341" s="7486"/>
      <c r="AL341" s="1970"/>
      <c r="AM341" s="7530"/>
      <c r="AN341" s="5903">
        <f t="shared" si="510"/>
        <v>0</v>
      </c>
      <c r="AO341" s="7500"/>
      <c r="AP341" s="5907">
        <f t="shared" si="511"/>
        <v>0</v>
      </c>
      <c r="AQ341" s="7486"/>
      <c r="AR341" s="1970"/>
      <c r="AS341" s="7490"/>
      <c r="AT341" s="6135">
        <f t="shared" si="512"/>
        <v>0</v>
      </c>
      <c r="AU341" s="7486"/>
      <c r="AV341" s="1970"/>
      <c r="AW341" s="7490"/>
      <c r="AX341" s="6193">
        <f t="shared" si="513"/>
        <v>0</v>
      </c>
      <c r="AY341" s="7486"/>
      <c r="AZ341" s="1970"/>
      <c r="BA341" s="7530"/>
      <c r="BB341" s="6596">
        <f t="shared" si="518"/>
        <v>0</v>
      </c>
      <c r="BC341" s="7515"/>
      <c r="BD341" s="6599">
        <f t="shared" si="515"/>
        <v>0</v>
      </c>
      <c r="BE341" s="7490"/>
      <c r="BF341" s="6598">
        <f t="shared" si="516"/>
        <v>0</v>
      </c>
      <c r="BG341" s="4590"/>
      <c r="BH341" s="4590"/>
      <c r="BI341" s="4590"/>
      <c r="BJ341" s="4590"/>
    </row>
    <row r="342" spans="1:62" x14ac:dyDescent="0.25">
      <c r="A342" s="199"/>
      <c r="B342" s="851" t="s">
        <v>1653</v>
      </c>
      <c r="C342" s="4222" t="s">
        <v>1889</v>
      </c>
      <c r="D342" s="4290"/>
      <c r="E342" s="7543"/>
      <c r="F342" s="4150"/>
      <c r="G342" s="7543"/>
      <c r="H342" s="7173"/>
      <c r="I342" s="7502"/>
      <c r="J342" s="7213">
        <f t="shared" si="503"/>
        <v>0</v>
      </c>
      <c r="K342" s="7487"/>
      <c r="L342" s="4579"/>
      <c r="M342" s="7532"/>
      <c r="N342" s="4568">
        <f t="shared" si="517"/>
        <v>0</v>
      </c>
      <c r="O342" s="7487"/>
      <c r="P342" s="4791"/>
      <c r="Q342" s="7502"/>
      <c r="R342" s="4821">
        <f t="shared" si="504"/>
        <v>0</v>
      </c>
      <c r="S342" s="7487"/>
      <c r="T342" s="4902"/>
      <c r="U342" s="7502"/>
      <c r="V342" s="4890">
        <f t="shared" si="505"/>
        <v>0</v>
      </c>
      <c r="W342" s="7487"/>
      <c r="X342" s="5032"/>
      <c r="Y342" s="7532"/>
      <c r="Z342" s="5018">
        <f t="shared" si="506"/>
        <v>0</v>
      </c>
      <c r="AA342" s="7517"/>
      <c r="AB342" s="5021">
        <f t="shared" si="507"/>
        <v>0</v>
      </c>
      <c r="AC342" s="7487"/>
      <c r="AD342" s="5345"/>
      <c r="AE342" s="7502"/>
      <c r="AF342" s="5333">
        <f t="shared" si="508"/>
        <v>0</v>
      </c>
      <c r="AG342" s="7487"/>
      <c r="AH342" s="5524"/>
      <c r="AI342" s="7490"/>
      <c r="AJ342" s="5511">
        <f t="shared" si="509"/>
        <v>0</v>
      </c>
      <c r="AK342" s="7487"/>
      <c r="AL342" s="5918">
        <v>20.079999999999998</v>
      </c>
      <c r="AM342" s="7532"/>
      <c r="AN342" s="5903">
        <f t="shared" si="510"/>
        <v>20.079999999999998</v>
      </c>
      <c r="AO342" s="7502"/>
      <c r="AP342" s="5907">
        <f t="shared" si="511"/>
        <v>20.079999999999998</v>
      </c>
      <c r="AQ342" s="7487"/>
      <c r="AR342" s="6073"/>
      <c r="AS342" s="7490"/>
      <c r="AT342" s="6135">
        <f t="shared" si="512"/>
        <v>20.079999999999998</v>
      </c>
      <c r="AU342" s="7487"/>
      <c r="AV342" s="6203"/>
      <c r="AW342" s="7490"/>
      <c r="AX342" s="6193">
        <f t="shared" si="513"/>
        <v>20.079999999999998</v>
      </c>
      <c r="AY342" s="7487"/>
      <c r="AZ342" s="6410"/>
      <c r="BA342" s="7532"/>
      <c r="BB342" s="6596">
        <f t="shared" si="518"/>
        <v>0</v>
      </c>
      <c r="BC342" s="7517"/>
      <c r="BD342" s="6599">
        <f t="shared" si="515"/>
        <v>20.079999999999998</v>
      </c>
      <c r="BE342" s="7490"/>
      <c r="BF342" s="6598">
        <f t="shared" si="516"/>
        <v>20.079999999999998</v>
      </c>
      <c r="BG342" s="4590"/>
      <c r="BH342" s="4590"/>
      <c r="BI342" s="4590"/>
      <c r="BJ342" s="4590"/>
    </row>
    <row r="343" spans="1:62" x14ac:dyDescent="0.25">
      <c r="A343" s="199"/>
      <c r="B343" s="851" t="s">
        <v>1653</v>
      </c>
      <c r="C343" s="4222" t="s">
        <v>1694</v>
      </c>
      <c r="D343" s="4290"/>
      <c r="E343" s="7543"/>
      <c r="F343" s="1970"/>
      <c r="G343" s="7543"/>
      <c r="H343" s="1970"/>
      <c r="I343" s="7500"/>
      <c r="J343" s="7213">
        <f t="shared" si="503"/>
        <v>0</v>
      </c>
      <c r="K343" s="7486"/>
      <c r="L343" s="1970"/>
      <c r="M343" s="7530"/>
      <c r="N343" s="4568">
        <f t="shared" si="517"/>
        <v>0</v>
      </c>
      <c r="O343" s="7486"/>
      <c r="P343" s="1970"/>
      <c r="Q343" s="7500"/>
      <c r="R343" s="4821">
        <f t="shared" si="504"/>
        <v>0</v>
      </c>
      <c r="S343" s="7486"/>
      <c r="T343" s="1970"/>
      <c r="U343" s="7500"/>
      <c r="V343" s="4890">
        <f t="shared" si="505"/>
        <v>0</v>
      </c>
      <c r="W343" s="7486"/>
      <c r="X343" s="1970"/>
      <c r="Y343" s="7530"/>
      <c r="Z343" s="5018">
        <f t="shared" si="506"/>
        <v>0</v>
      </c>
      <c r="AA343" s="7515"/>
      <c r="AB343" s="5021">
        <f t="shared" si="507"/>
        <v>0</v>
      </c>
      <c r="AC343" s="7486"/>
      <c r="AD343" s="1970"/>
      <c r="AE343" s="7500"/>
      <c r="AF343" s="5333">
        <f t="shared" si="508"/>
        <v>0</v>
      </c>
      <c r="AG343" s="7486"/>
      <c r="AH343" s="1970"/>
      <c r="AI343" s="7490"/>
      <c r="AJ343" s="5511">
        <f t="shared" si="509"/>
        <v>0</v>
      </c>
      <c r="AK343" s="7486"/>
      <c r="AL343" s="1970">
        <v>13.48</v>
      </c>
      <c r="AM343" s="7530"/>
      <c r="AN343" s="5903">
        <f t="shared" si="510"/>
        <v>13.48</v>
      </c>
      <c r="AO343" s="7500"/>
      <c r="AP343" s="5907">
        <f t="shared" si="511"/>
        <v>13.48</v>
      </c>
      <c r="AQ343" s="7486"/>
      <c r="AR343" s="1970"/>
      <c r="AS343" s="7490"/>
      <c r="AT343" s="6135">
        <f t="shared" si="512"/>
        <v>13.48</v>
      </c>
      <c r="AU343" s="7486"/>
      <c r="AV343" s="1970"/>
      <c r="AW343" s="7490"/>
      <c r="AX343" s="6193">
        <f t="shared" si="513"/>
        <v>13.48</v>
      </c>
      <c r="AY343" s="7486"/>
      <c r="AZ343" s="1970"/>
      <c r="BA343" s="7530"/>
      <c r="BB343" s="6596">
        <f t="shared" si="518"/>
        <v>0</v>
      </c>
      <c r="BC343" s="7515"/>
      <c r="BD343" s="6599">
        <f t="shared" si="515"/>
        <v>13.48</v>
      </c>
      <c r="BE343" s="7490"/>
      <c r="BF343" s="6598">
        <f t="shared" si="516"/>
        <v>13.48</v>
      </c>
      <c r="BG343" s="4590"/>
      <c r="BH343" s="4590"/>
      <c r="BI343" s="4590"/>
      <c r="BJ343" s="4590"/>
    </row>
    <row r="344" spans="1:62" ht="15.75" thickBot="1" x14ac:dyDescent="0.3">
      <c r="A344" s="199"/>
      <c r="B344" s="3456" t="s">
        <v>1653</v>
      </c>
      <c r="C344" s="4185" t="s">
        <v>1693</v>
      </c>
      <c r="D344" s="4291"/>
      <c r="E344" s="7543"/>
      <c r="F344" s="1970"/>
      <c r="G344" s="7543"/>
      <c r="H344" s="1970"/>
      <c r="I344" s="7500"/>
      <c r="J344" s="7213">
        <f t="shared" si="503"/>
        <v>0</v>
      </c>
      <c r="K344" s="7486"/>
      <c r="L344" s="1970"/>
      <c r="M344" s="7530"/>
      <c r="N344" s="4568">
        <f t="shared" si="517"/>
        <v>0</v>
      </c>
      <c r="O344" s="7486"/>
      <c r="P344" s="1970"/>
      <c r="Q344" s="7500"/>
      <c r="R344" s="4821">
        <f t="shared" si="504"/>
        <v>0</v>
      </c>
      <c r="S344" s="7486"/>
      <c r="T344" s="1970"/>
      <c r="U344" s="7500"/>
      <c r="V344" s="4890">
        <f t="shared" si="505"/>
        <v>0</v>
      </c>
      <c r="W344" s="7486"/>
      <c r="X344" s="1970"/>
      <c r="Y344" s="7530"/>
      <c r="Z344" s="5018">
        <f t="shared" si="506"/>
        <v>0</v>
      </c>
      <c r="AA344" s="7515"/>
      <c r="AB344" s="5021">
        <f t="shared" si="507"/>
        <v>0</v>
      </c>
      <c r="AC344" s="7486"/>
      <c r="AD344" s="1970"/>
      <c r="AE344" s="7500"/>
      <c r="AF344" s="5333">
        <f t="shared" si="508"/>
        <v>0</v>
      </c>
      <c r="AG344" s="7486"/>
      <c r="AH344" s="1970"/>
      <c r="AI344" s="7490"/>
      <c r="AJ344" s="5511">
        <f t="shared" si="509"/>
        <v>0</v>
      </c>
      <c r="AK344" s="7486"/>
      <c r="AL344" s="1970"/>
      <c r="AM344" s="7530"/>
      <c r="AN344" s="5903">
        <f t="shared" si="510"/>
        <v>0</v>
      </c>
      <c r="AO344" s="7500"/>
      <c r="AP344" s="5907">
        <f t="shared" si="511"/>
        <v>0</v>
      </c>
      <c r="AQ344" s="7486"/>
      <c r="AR344" s="1970"/>
      <c r="AS344" s="7490"/>
      <c r="AT344" s="6135">
        <f t="shared" si="512"/>
        <v>0</v>
      </c>
      <c r="AU344" s="7486"/>
      <c r="AV344" s="1970"/>
      <c r="AW344" s="7490"/>
      <c r="AX344" s="6193">
        <f t="shared" si="513"/>
        <v>0</v>
      </c>
      <c r="AY344" s="7486"/>
      <c r="AZ344" s="1970"/>
      <c r="BA344" s="7530"/>
      <c r="BB344" s="6596">
        <f t="shared" si="518"/>
        <v>0</v>
      </c>
      <c r="BC344" s="7515"/>
      <c r="BD344" s="6599">
        <f t="shared" si="515"/>
        <v>0</v>
      </c>
      <c r="BE344" s="7490"/>
      <c r="BF344" s="6598">
        <f t="shared" si="516"/>
        <v>0</v>
      </c>
      <c r="BG344" s="4590"/>
      <c r="BH344" s="4590"/>
      <c r="BI344" s="4590"/>
      <c r="BJ344" s="4590"/>
    </row>
    <row r="345" spans="1:62" x14ac:dyDescent="0.25">
      <c r="A345" s="1447"/>
      <c r="B345" s="4269" t="s">
        <v>1399</v>
      </c>
      <c r="C345" s="4218" t="s">
        <v>905</v>
      </c>
      <c r="D345" s="4195"/>
      <c r="E345" s="7486"/>
      <c r="F345" s="1970">
        <v>204.03</v>
      </c>
      <c r="G345" s="7486"/>
      <c r="H345" s="1970">
        <v>2531.3500000000004</v>
      </c>
      <c r="I345" s="7500"/>
      <c r="J345" s="7213">
        <f t="shared" si="503"/>
        <v>2735.3800000000006</v>
      </c>
      <c r="K345" s="7486"/>
      <c r="L345" s="1970">
        <v>1061.9000000000001</v>
      </c>
      <c r="M345" s="7530"/>
      <c r="N345" s="4568">
        <f t="shared" si="517"/>
        <v>3797.2800000000007</v>
      </c>
      <c r="O345" s="7486"/>
      <c r="P345" s="1970">
        <v>1217.18</v>
      </c>
      <c r="Q345" s="7500"/>
      <c r="R345" s="4821">
        <f t="shared" si="504"/>
        <v>5014.4600000000009</v>
      </c>
      <c r="S345" s="7486"/>
      <c r="T345" s="1970">
        <v>1811.5099999999998</v>
      </c>
      <c r="U345" s="7500"/>
      <c r="V345" s="4890">
        <f t="shared" si="505"/>
        <v>6825.9700000000012</v>
      </c>
      <c r="W345" s="7486"/>
      <c r="X345" s="1970">
        <v>65.180000000000007</v>
      </c>
      <c r="Y345" s="7530"/>
      <c r="Z345" s="5018">
        <f t="shared" si="506"/>
        <v>3093.8699999999994</v>
      </c>
      <c r="AA345" s="7515"/>
      <c r="AB345" s="5021">
        <f t="shared" si="507"/>
        <v>6891.15</v>
      </c>
      <c r="AC345" s="7486"/>
      <c r="AD345" s="1970">
        <v>2366.84</v>
      </c>
      <c r="AE345" s="7500"/>
      <c r="AF345" s="5333">
        <f t="shared" si="508"/>
        <v>9257.99</v>
      </c>
      <c r="AG345" s="7486"/>
      <c r="AH345" s="1970">
        <v>60.64</v>
      </c>
      <c r="AI345" s="7490"/>
      <c r="AJ345" s="5511">
        <f t="shared" ref="AJ345:AJ353" si="519">AF345+AH345</f>
        <v>9318.6299999999992</v>
      </c>
      <c r="AK345" s="7486"/>
      <c r="AL345" s="1970">
        <v>2870.8099999999995</v>
      </c>
      <c r="AM345" s="7530"/>
      <c r="AN345" s="5903">
        <f t="shared" si="510"/>
        <v>5298.2899999999991</v>
      </c>
      <c r="AO345" s="7500"/>
      <c r="AP345" s="5907">
        <f t="shared" si="511"/>
        <v>12189.439999999999</v>
      </c>
      <c r="AQ345" s="7486"/>
      <c r="AR345" s="1970"/>
      <c r="AS345" s="7490"/>
      <c r="AT345" s="6135">
        <f t="shared" si="512"/>
        <v>12189.439999999999</v>
      </c>
      <c r="AU345" s="7486"/>
      <c r="AV345" s="1970">
        <v>2361.6999999999998</v>
      </c>
      <c r="AW345" s="7490"/>
      <c r="AX345" s="6193">
        <f t="shared" si="513"/>
        <v>14551.14</v>
      </c>
      <c r="AY345" s="7486"/>
      <c r="AZ345" s="1970">
        <v>5353.8899999999994</v>
      </c>
      <c r="BA345" s="7530"/>
      <c r="BB345" s="6596">
        <f t="shared" si="518"/>
        <v>7715.5899999999992</v>
      </c>
      <c r="BC345" s="7515"/>
      <c r="BD345" s="6599">
        <f t="shared" si="515"/>
        <v>13013.879999999997</v>
      </c>
      <c r="BE345" s="7490"/>
      <c r="BF345" s="6598">
        <f t="shared" si="516"/>
        <v>19905.03</v>
      </c>
      <c r="BG345" s="4590"/>
      <c r="BH345" s="4590"/>
      <c r="BI345" s="4590"/>
      <c r="BJ345" s="4590"/>
    </row>
    <row r="346" spans="1:62" s="4621" customFormat="1" x14ac:dyDescent="0.25">
      <c r="A346" s="1447"/>
      <c r="B346" s="4269" t="s">
        <v>1399</v>
      </c>
      <c r="C346" s="4218" t="s">
        <v>1400</v>
      </c>
      <c r="D346" s="4195"/>
      <c r="E346" s="7487"/>
      <c r="F346" s="4622"/>
      <c r="G346" s="7487"/>
      <c r="H346" s="7173"/>
      <c r="I346" s="7502"/>
      <c r="J346" s="7213">
        <f t="shared" si="503"/>
        <v>0</v>
      </c>
      <c r="K346" s="7487"/>
      <c r="L346" s="4622">
        <v>64.040000000000006</v>
      </c>
      <c r="M346" s="7532"/>
      <c r="N346" s="4620">
        <f t="shared" si="517"/>
        <v>64.040000000000006</v>
      </c>
      <c r="O346" s="7487"/>
      <c r="P346" s="4791">
        <v>131.22</v>
      </c>
      <c r="Q346" s="7502"/>
      <c r="R346" s="4821">
        <f t="shared" si="504"/>
        <v>195.26</v>
      </c>
      <c r="S346" s="7487"/>
      <c r="T346" s="4902"/>
      <c r="U346" s="7502"/>
      <c r="V346" s="4890">
        <f t="shared" si="505"/>
        <v>195.26</v>
      </c>
      <c r="W346" s="7487"/>
      <c r="X346" s="5032"/>
      <c r="Y346" s="7532"/>
      <c r="Z346" s="5018">
        <f t="shared" si="506"/>
        <v>131.22</v>
      </c>
      <c r="AA346" s="7517"/>
      <c r="AB346" s="5021">
        <f t="shared" si="507"/>
        <v>195.26</v>
      </c>
      <c r="AC346" s="7487"/>
      <c r="AD346" s="5345"/>
      <c r="AE346" s="7502"/>
      <c r="AF346" s="5333">
        <f t="shared" si="508"/>
        <v>195.26</v>
      </c>
      <c r="AG346" s="7487"/>
      <c r="AH346" s="5524"/>
      <c r="AI346" s="7490"/>
      <c r="AJ346" s="5511">
        <f t="shared" si="519"/>
        <v>195.26</v>
      </c>
      <c r="AK346" s="7487"/>
      <c r="AL346" s="5918"/>
      <c r="AM346" s="7532"/>
      <c r="AN346" s="5903">
        <f t="shared" si="510"/>
        <v>0</v>
      </c>
      <c r="AO346" s="7502"/>
      <c r="AP346" s="5907">
        <f t="shared" si="511"/>
        <v>195.26</v>
      </c>
      <c r="AQ346" s="7487"/>
      <c r="AR346" s="6073"/>
      <c r="AS346" s="7490"/>
      <c r="AT346" s="6135">
        <f t="shared" si="512"/>
        <v>195.26</v>
      </c>
      <c r="AU346" s="7487"/>
      <c r="AV346" s="6203">
        <v>63.5</v>
      </c>
      <c r="AW346" s="7490"/>
      <c r="AX346" s="6193">
        <f t="shared" si="513"/>
        <v>258.76</v>
      </c>
      <c r="AY346" s="7487"/>
      <c r="AZ346" s="6410">
        <v>193.01999999999998</v>
      </c>
      <c r="BA346" s="7532"/>
      <c r="BB346" s="6596">
        <f t="shared" si="518"/>
        <v>256.52</v>
      </c>
      <c r="BC346" s="7517"/>
      <c r="BD346" s="6599">
        <f t="shared" si="515"/>
        <v>256.52</v>
      </c>
      <c r="BE346" s="7490"/>
      <c r="BF346" s="6598">
        <f t="shared" si="516"/>
        <v>451.78</v>
      </c>
      <c r="BG346" s="4590"/>
      <c r="BH346" s="4590"/>
      <c r="BI346" s="4590"/>
      <c r="BJ346" s="4590"/>
    </row>
    <row r="347" spans="1:62" x14ac:dyDescent="0.25">
      <c r="A347" s="1447"/>
      <c r="B347" s="4295" t="s">
        <v>1399</v>
      </c>
      <c r="C347" s="4225" t="s">
        <v>904</v>
      </c>
      <c r="D347" s="4226"/>
      <c r="E347" s="7488"/>
      <c r="F347" s="2860"/>
      <c r="G347" s="7488"/>
      <c r="H347" s="2860"/>
      <c r="I347" s="7503"/>
      <c r="J347" s="7213">
        <f t="shared" si="503"/>
        <v>0</v>
      </c>
      <c r="K347" s="7488"/>
      <c r="L347" s="2860">
        <v>65.52</v>
      </c>
      <c r="M347" s="7533"/>
      <c r="N347" s="4568">
        <f t="shared" ref="N347:N356" si="520">F347+H347+L347</f>
        <v>65.52</v>
      </c>
      <c r="O347" s="7488"/>
      <c r="P347" s="2860"/>
      <c r="Q347" s="7503"/>
      <c r="R347" s="4821">
        <f t="shared" si="504"/>
        <v>65.52</v>
      </c>
      <c r="S347" s="7488"/>
      <c r="T347" s="2860"/>
      <c r="U347" s="7503"/>
      <c r="V347" s="4890">
        <f t="shared" si="505"/>
        <v>65.52</v>
      </c>
      <c r="W347" s="7488"/>
      <c r="X347" s="2860">
        <v>33.82</v>
      </c>
      <c r="Y347" s="7533"/>
      <c r="Z347" s="5018">
        <f t="shared" si="506"/>
        <v>33.82</v>
      </c>
      <c r="AA347" s="7518"/>
      <c r="AB347" s="5021">
        <f t="shared" si="507"/>
        <v>99.34</v>
      </c>
      <c r="AC347" s="7488"/>
      <c r="AD347" s="2860"/>
      <c r="AE347" s="7503"/>
      <c r="AF347" s="5333">
        <f t="shared" si="508"/>
        <v>99.34</v>
      </c>
      <c r="AG347" s="7488"/>
      <c r="AH347" s="2860"/>
      <c r="AI347" s="7490"/>
      <c r="AJ347" s="5511">
        <f t="shared" si="519"/>
        <v>99.34</v>
      </c>
      <c r="AK347" s="7488"/>
      <c r="AL347" s="2860"/>
      <c r="AM347" s="7533"/>
      <c r="AN347" s="5903">
        <f t="shared" si="510"/>
        <v>0</v>
      </c>
      <c r="AO347" s="7503"/>
      <c r="AP347" s="5907">
        <f t="shared" si="511"/>
        <v>99.34</v>
      </c>
      <c r="AQ347" s="7488"/>
      <c r="AR347" s="2860"/>
      <c r="AS347" s="7490"/>
      <c r="AT347" s="6135">
        <f t="shared" si="512"/>
        <v>99.34</v>
      </c>
      <c r="AU347" s="7488"/>
      <c r="AV347" s="2860">
        <v>247.16</v>
      </c>
      <c r="AW347" s="7490"/>
      <c r="AX347" s="6193">
        <f t="shared" si="513"/>
        <v>346.5</v>
      </c>
      <c r="AY347" s="7488"/>
      <c r="AZ347" s="2860">
        <v>234.39</v>
      </c>
      <c r="BA347" s="7533"/>
      <c r="BB347" s="6596">
        <f t="shared" si="518"/>
        <v>481.54999999999995</v>
      </c>
      <c r="BC347" s="7518"/>
      <c r="BD347" s="6599">
        <f t="shared" si="515"/>
        <v>481.54999999999995</v>
      </c>
      <c r="BE347" s="7490"/>
      <c r="BF347" s="6598">
        <f t="shared" si="516"/>
        <v>580.89</v>
      </c>
      <c r="BG347" s="4590"/>
      <c r="BH347" s="4590"/>
      <c r="BI347" s="4590"/>
      <c r="BJ347" s="4590"/>
    </row>
    <row r="348" spans="1:62" x14ac:dyDescent="0.25">
      <c r="A348" s="154"/>
      <c r="B348" s="4250" t="s">
        <v>943</v>
      </c>
      <c r="C348" s="4212" t="s">
        <v>905</v>
      </c>
      <c r="D348" s="4183"/>
      <c r="E348" s="7486"/>
      <c r="F348" s="1970">
        <v>31.31</v>
      </c>
      <c r="G348" s="7486"/>
      <c r="H348" s="1970"/>
      <c r="I348" s="7500"/>
      <c r="J348" s="7213">
        <f t="shared" si="503"/>
        <v>31.31</v>
      </c>
      <c r="K348" s="7486"/>
      <c r="L348" s="1970"/>
      <c r="M348" s="7530"/>
      <c r="N348" s="4568">
        <f t="shared" si="520"/>
        <v>31.31</v>
      </c>
      <c r="O348" s="7486"/>
      <c r="P348" s="1970">
        <v>2061.9800000000005</v>
      </c>
      <c r="Q348" s="7500"/>
      <c r="R348" s="4821">
        <f t="shared" si="504"/>
        <v>2093.2900000000004</v>
      </c>
      <c r="S348" s="7486"/>
      <c r="T348" s="1970">
        <v>3507.420000000001</v>
      </c>
      <c r="U348" s="7500"/>
      <c r="V348" s="4890">
        <f t="shared" si="505"/>
        <v>5600.7100000000009</v>
      </c>
      <c r="W348" s="7486"/>
      <c r="X348" s="1970">
        <v>4816.9299999999994</v>
      </c>
      <c r="Y348" s="7530"/>
      <c r="Z348" s="5018">
        <f t="shared" si="506"/>
        <v>10386.330000000002</v>
      </c>
      <c r="AA348" s="7515"/>
      <c r="AB348" s="5021">
        <f t="shared" si="507"/>
        <v>10417.640000000001</v>
      </c>
      <c r="AC348" s="7486"/>
      <c r="AD348" s="1970">
        <v>1722.3700000000001</v>
      </c>
      <c r="AE348" s="7500"/>
      <c r="AF348" s="5333">
        <f t="shared" si="508"/>
        <v>12140.010000000002</v>
      </c>
      <c r="AG348" s="7486"/>
      <c r="AH348" s="1970">
        <v>32.450000000000003</v>
      </c>
      <c r="AI348" s="7490"/>
      <c r="AJ348" s="5511">
        <f t="shared" si="519"/>
        <v>12172.460000000003</v>
      </c>
      <c r="AK348" s="7486"/>
      <c r="AL348" s="1970">
        <v>2351.0700000000002</v>
      </c>
      <c r="AM348" s="7530"/>
      <c r="AN348" s="5903">
        <f t="shared" si="510"/>
        <v>4105.8900000000003</v>
      </c>
      <c r="AO348" s="7500"/>
      <c r="AP348" s="5907">
        <f t="shared" si="511"/>
        <v>14523.530000000002</v>
      </c>
      <c r="AQ348" s="7486"/>
      <c r="AR348" s="1970">
        <v>1824.69</v>
      </c>
      <c r="AS348" s="7490"/>
      <c r="AT348" s="6135">
        <f t="shared" si="512"/>
        <v>16348.220000000003</v>
      </c>
      <c r="AU348" s="7486"/>
      <c r="AV348" s="1970">
        <v>386.53999999999996</v>
      </c>
      <c r="AW348" s="7490"/>
      <c r="AX348" s="6193">
        <f t="shared" si="513"/>
        <v>16734.760000000002</v>
      </c>
      <c r="AY348" s="7486"/>
      <c r="AZ348" s="1970"/>
      <c r="BA348" s="7530"/>
      <c r="BB348" s="6596">
        <f t="shared" si="518"/>
        <v>2211.23</v>
      </c>
      <c r="BC348" s="7515"/>
      <c r="BD348" s="6599">
        <f t="shared" si="515"/>
        <v>6317.1200000000008</v>
      </c>
      <c r="BE348" s="7490"/>
      <c r="BF348" s="6598">
        <f t="shared" si="516"/>
        <v>16734.760000000002</v>
      </c>
      <c r="BG348" s="4590"/>
      <c r="BH348" s="4590"/>
      <c r="BI348" s="4590"/>
      <c r="BJ348" s="4590"/>
    </row>
    <row r="349" spans="1:62" x14ac:dyDescent="0.25">
      <c r="A349" s="154"/>
      <c r="B349" s="4250" t="s">
        <v>943</v>
      </c>
      <c r="C349" s="4212" t="s">
        <v>904</v>
      </c>
      <c r="D349" s="4183"/>
      <c r="E349" s="7486"/>
      <c r="F349" s="1970"/>
      <c r="G349" s="7486"/>
      <c r="H349" s="1970"/>
      <c r="I349" s="7500"/>
      <c r="J349" s="7213">
        <f t="shared" si="503"/>
        <v>0</v>
      </c>
      <c r="K349" s="7486"/>
      <c r="L349" s="1970"/>
      <c r="M349" s="7530"/>
      <c r="N349" s="4125">
        <f t="shared" si="520"/>
        <v>0</v>
      </c>
      <c r="O349" s="7486"/>
      <c r="P349" s="1970"/>
      <c r="Q349" s="7500"/>
      <c r="R349" s="4821">
        <f t="shared" si="504"/>
        <v>0</v>
      </c>
      <c r="S349" s="7486"/>
      <c r="T349" s="1970"/>
      <c r="U349" s="7500"/>
      <c r="V349" s="4890">
        <f t="shared" si="505"/>
        <v>0</v>
      </c>
      <c r="W349" s="7486"/>
      <c r="X349" s="1970">
        <v>40.93</v>
      </c>
      <c r="Y349" s="7530"/>
      <c r="Z349" s="5018">
        <f t="shared" si="506"/>
        <v>40.93</v>
      </c>
      <c r="AA349" s="7515"/>
      <c r="AB349" s="4157">
        <f t="shared" si="507"/>
        <v>40.93</v>
      </c>
      <c r="AC349" s="7486"/>
      <c r="AD349" s="1970">
        <v>192.18</v>
      </c>
      <c r="AE349" s="7500"/>
      <c r="AF349" s="5333">
        <f t="shared" si="508"/>
        <v>233.11</v>
      </c>
      <c r="AG349" s="7486"/>
      <c r="AH349" s="1970"/>
      <c r="AI349" s="7490"/>
      <c r="AJ349" s="5511">
        <f t="shared" si="519"/>
        <v>233.11</v>
      </c>
      <c r="AK349" s="7486"/>
      <c r="AL349" s="1970"/>
      <c r="AM349" s="7530"/>
      <c r="AN349" s="5903">
        <f t="shared" si="510"/>
        <v>192.18</v>
      </c>
      <c r="AO349" s="7500"/>
      <c r="AP349" s="5907">
        <f t="shared" si="511"/>
        <v>233.11</v>
      </c>
      <c r="AQ349" s="7486"/>
      <c r="AR349" s="1970"/>
      <c r="AS349" s="7490"/>
      <c r="AT349" s="6135">
        <f t="shared" si="512"/>
        <v>233.11</v>
      </c>
      <c r="AU349" s="7486"/>
      <c r="AV349" s="1970"/>
      <c r="AW349" s="7490"/>
      <c r="AX349" s="6193">
        <f t="shared" si="513"/>
        <v>233.11</v>
      </c>
      <c r="AY349" s="7486"/>
      <c r="AZ349" s="1970"/>
      <c r="BA349" s="7530"/>
      <c r="BB349" s="6596">
        <f t="shared" si="518"/>
        <v>0</v>
      </c>
      <c r="BC349" s="7515"/>
      <c r="BD349" s="6599">
        <f t="shared" si="515"/>
        <v>192.18</v>
      </c>
      <c r="BE349" s="7490"/>
      <c r="BF349" s="6598">
        <f t="shared" si="516"/>
        <v>233.11</v>
      </c>
      <c r="BG349" s="4590"/>
      <c r="BH349" s="4590"/>
      <c r="BI349" s="4590"/>
      <c r="BJ349" s="4590"/>
    </row>
    <row r="350" spans="1:62" x14ac:dyDescent="0.25">
      <c r="A350" s="154"/>
      <c r="B350" s="4250" t="s">
        <v>1079</v>
      </c>
      <c r="C350" s="4212" t="s">
        <v>904</v>
      </c>
      <c r="D350" s="4183"/>
      <c r="E350" s="7486"/>
      <c r="F350" s="1970"/>
      <c r="G350" s="7486"/>
      <c r="H350" s="1970"/>
      <c r="I350" s="7500"/>
      <c r="J350" s="7213">
        <f t="shared" si="503"/>
        <v>0</v>
      </c>
      <c r="K350" s="7486"/>
      <c r="L350" s="1970"/>
      <c r="M350" s="7530"/>
      <c r="N350" s="4125">
        <f t="shared" si="520"/>
        <v>0</v>
      </c>
      <c r="O350" s="7486"/>
      <c r="P350" s="1970">
        <v>123.84</v>
      </c>
      <c r="Q350" s="7500"/>
      <c r="R350" s="4821">
        <f t="shared" si="504"/>
        <v>123.84</v>
      </c>
      <c r="S350" s="7486"/>
      <c r="T350" s="1970"/>
      <c r="U350" s="7500"/>
      <c r="V350" s="4890">
        <f t="shared" si="505"/>
        <v>123.84</v>
      </c>
      <c r="W350" s="7486"/>
      <c r="X350" s="1970"/>
      <c r="Y350" s="7530"/>
      <c r="Z350" s="4125">
        <f t="shared" si="506"/>
        <v>123.84</v>
      </c>
      <c r="AA350" s="7515"/>
      <c r="AB350" s="4157">
        <f t="shared" si="507"/>
        <v>123.84</v>
      </c>
      <c r="AC350" s="7486"/>
      <c r="AD350" s="1970"/>
      <c r="AE350" s="7500"/>
      <c r="AF350" s="5333">
        <f t="shared" si="508"/>
        <v>123.84</v>
      </c>
      <c r="AG350" s="7486"/>
      <c r="AH350" s="1970"/>
      <c r="AI350" s="7490"/>
      <c r="AJ350" s="5511">
        <f t="shared" si="519"/>
        <v>123.84</v>
      </c>
      <c r="AK350" s="7486"/>
      <c r="AL350" s="1970"/>
      <c r="AM350" s="7530"/>
      <c r="AN350" s="5903">
        <f t="shared" si="510"/>
        <v>0</v>
      </c>
      <c r="AO350" s="7500"/>
      <c r="AP350" s="5907">
        <f t="shared" si="511"/>
        <v>123.84</v>
      </c>
      <c r="AQ350" s="7486"/>
      <c r="AR350" s="1970"/>
      <c r="AS350" s="7490"/>
      <c r="AT350" s="6135">
        <f t="shared" si="512"/>
        <v>123.84</v>
      </c>
      <c r="AU350" s="7486"/>
      <c r="AV350" s="1970">
        <v>27.63</v>
      </c>
      <c r="AW350" s="7490"/>
      <c r="AX350" s="6193">
        <f t="shared" si="513"/>
        <v>151.47</v>
      </c>
      <c r="AY350" s="7486"/>
      <c r="AZ350" s="1970">
        <v>189.3</v>
      </c>
      <c r="BA350" s="7530"/>
      <c r="BB350" s="6596">
        <f t="shared" si="518"/>
        <v>216.93</v>
      </c>
      <c r="BC350" s="7515"/>
      <c r="BD350" s="6599">
        <f t="shared" si="515"/>
        <v>216.93</v>
      </c>
      <c r="BE350" s="7490"/>
      <c r="BF350" s="6598">
        <f t="shared" si="516"/>
        <v>340.77</v>
      </c>
      <c r="BG350" s="4590"/>
      <c r="BH350" s="4590"/>
      <c r="BI350" s="4590"/>
      <c r="BJ350" s="4590"/>
    </row>
    <row r="351" spans="1:62" x14ac:dyDescent="0.25">
      <c r="A351" s="1448"/>
      <c r="B351" s="4250" t="s">
        <v>1079</v>
      </c>
      <c r="C351" s="4212" t="s">
        <v>905</v>
      </c>
      <c r="D351" s="4183"/>
      <c r="E351" s="7486"/>
      <c r="F351" s="1970">
        <v>5061.2200000000012</v>
      </c>
      <c r="G351" s="7486"/>
      <c r="H351" s="1970">
        <v>3496.87</v>
      </c>
      <c r="I351" s="7500"/>
      <c r="J351" s="7213">
        <f t="shared" si="503"/>
        <v>8558.09</v>
      </c>
      <c r="K351" s="7486"/>
      <c r="L351" s="1970">
        <v>5144.17</v>
      </c>
      <c r="M351" s="7530"/>
      <c r="N351" s="4125">
        <f t="shared" si="520"/>
        <v>13702.26</v>
      </c>
      <c r="O351" s="7486"/>
      <c r="P351" s="1970">
        <v>3586.6999999999994</v>
      </c>
      <c r="Q351" s="7500"/>
      <c r="R351" s="4821">
        <f t="shared" si="504"/>
        <v>17288.96</v>
      </c>
      <c r="S351" s="7486"/>
      <c r="T351" s="1970">
        <v>1635.4700000000003</v>
      </c>
      <c r="U351" s="7500"/>
      <c r="V351" s="4890">
        <f t="shared" si="505"/>
        <v>18924.43</v>
      </c>
      <c r="W351" s="7486"/>
      <c r="X351" s="1970">
        <v>5194.72</v>
      </c>
      <c r="Y351" s="7530"/>
      <c r="Z351" s="4125">
        <f t="shared" si="506"/>
        <v>10416.89</v>
      </c>
      <c r="AA351" s="7515"/>
      <c r="AB351" s="4157">
        <f t="shared" si="507"/>
        <v>24119.15</v>
      </c>
      <c r="AC351" s="7486"/>
      <c r="AD351" s="1970">
        <v>2565.96</v>
      </c>
      <c r="AE351" s="7500"/>
      <c r="AF351" s="5333">
        <f t="shared" si="508"/>
        <v>26685.11</v>
      </c>
      <c r="AG351" s="7486"/>
      <c r="AH351" s="1970">
        <v>5958.0599999999995</v>
      </c>
      <c r="AI351" s="7490"/>
      <c r="AJ351" s="5511">
        <f t="shared" si="519"/>
        <v>32643.17</v>
      </c>
      <c r="AK351" s="7486"/>
      <c r="AL351" s="1970"/>
      <c r="AM351" s="7530"/>
      <c r="AN351" s="5903">
        <f t="shared" si="510"/>
        <v>8524.02</v>
      </c>
      <c r="AO351" s="7500"/>
      <c r="AP351" s="5907">
        <f t="shared" si="511"/>
        <v>32643.17</v>
      </c>
      <c r="AQ351" s="7486"/>
      <c r="AR351" s="1970">
        <v>3856.14</v>
      </c>
      <c r="AS351" s="7490"/>
      <c r="AT351" s="6135">
        <f t="shared" si="512"/>
        <v>36499.31</v>
      </c>
      <c r="AU351" s="7486"/>
      <c r="AV351" s="1970">
        <v>3165.7200000000007</v>
      </c>
      <c r="AW351" s="7490"/>
      <c r="AX351" s="6193">
        <f t="shared" si="513"/>
        <v>39665.03</v>
      </c>
      <c r="AY351" s="7486"/>
      <c r="AZ351" s="1970">
        <v>196.59</v>
      </c>
      <c r="BA351" s="7530"/>
      <c r="BB351" s="6596">
        <f t="shared" si="518"/>
        <v>7218.4500000000007</v>
      </c>
      <c r="BC351" s="7515"/>
      <c r="BD351" s="6599">
        <f t="shared" si="515"/>
        <v>15742.470000000001</v>
      </c>
      <c r="BE351" s="7490"/>
      <c r="BF351" s="6598">
        <f t="shared" si="516"/>
        <v>39861.619999999995</v>
      </c>
      <c r="BG351" s="4590"/>
      <c r="BH351" s="4590"/>
      <c r="BI351" s="4590"/>
      <c r="BJ351" s="4590"/>
    </row>
    <row r="352" spans="1:62" ht="15.75" thickBot="1" x14ac:dyDescent="0.3">
      <c r="A352" s="1448"/>
      <c r="B352" s="4255" t="s">
        <v>1079</v>
      </c>
      <c r="C352" s="4256" t="s">
        <v>1636</v>
      </c>
      <c r="D352" s="4287"/>
      <c r="E352" s="7486"/>
      <c r="F352" s="1970"/>
      <c r="G352" s="7486"/>
      <c r="H352" s="1970">
        <v>305.62</v>
      </c>
      <c r="I352" s="7500"/>
      <c r="J352" s="7213">
        <f t="shared" si="503"/>
        <v>305.62</v>
      </c>
      <c r="K352" s="7486"/>
      <c r="L352" s="1970"/>
      <c r="M352" s="7530"/>
      <c r="N352" s="4125">
        <f t="shared" si="520"/>
        <v>305.62</v>
      </c>
      <c r="O352" s="7486"/>
      <c r="P352" s="1970">
        <v>253.18</v>
      </c>
      <c r="Q352" s="7500"/>
      <c r="R352" s="4821">
        <f t="shared" ref="R352:R356" si="521">N352+P352</f>
        <v>558.79999999999995</v>
      </c>
      <c r="S352" s="7486"/>
      <c r="T352" s="1970">
        <v>1017.1499999999999</v>
      </c>
      <c r="U352" s="7500"/>
      <c r="V352" s="4890">
        <f t="shared" ref="V352:V357" si="522">R352+T352</f>
        <v>1575.9499999999998</v>
      </c>
      <c r="W352" s="7486"/>
      <c r="X352" s="1970">
        <v>358.28</v>
      </c>
      <c r="Y352" s="7530"/>
      <c r="Z352" s="4125">
        <f t="shared" si="506"/>
        <v>1628.61</v>
      </c>
      <c r="AA352" s="7515"/>
      <c r="AB352" s="4157">
        <f t="shared" si="507"/>
        <v>1934.23</v>
      </c>
      <c r="AC352" s="7486"/>
      <c r="AD352" s="1970"/>
      <c r="AE352" s="7500"/>
      <c r="AF352" s="5333">
        <f t="shared" si="508"/>
        <v>1934.23</v>
      </c>
      <c r="AG352" s="7486"/>
      <c r="AH352" s="1970"/>
      <c r="AI352" s="7490"/>
      <c r="AJ352" s="5511">
        <f t="shared" si="519"/>
        <v>1934.23</v>
      </c>
      <c r="AK352" s="7486"/>
      <c r="AL352" s="1970"/>
      <c r="AM352" s="7530"/>
      <c r="AN352" s="5903">
        <f t="shared" si="510"/>
        <v>0</v>
      </c>
      <c r="AO352" s="7500"/>
      <c r="AP352" s="5907">
        <f t="shared" si="511"/>
        <v>1934.23</v>
      </c>
      <c r="AQ352" s="7486"/>
      <c r="AR352" s="1970">
        <v>867.78</v>
      </c>
      <c r="AS352" s="7490"/>
      <c r="AT352" s="6135">
        <f t="shared" si="512"/>
        <v>2802.01</v>
      </c>
      <c r="AU352" s="7486"/>
      <c r="AV352" s="1970"/>
      <c r="AW352" s="7490"/>
      <c r="AX352" s="6193">
        <f t="shared" si="513"/>
        <v>2802.01</v>
      </c>
      <c r="AY352" s="7486"/>
      <c r="AZ352" s="1970"/>
      <c r="BA352" s="7530"/>
      <c r="BB352" s="6596">
        <f t="shared" si="518"/>
        <v>867.78</v>
      </c>
      <c r="BC352" s="7515"/>
      <c r="BD352" s="6599">
        <f t="shared" si="515"/>
        <v>867.78</v>
      </c>
      <c r="BE352" s="7490"/>
      <c r="BF352" s="6598">
        <f t="shared" si="516"/>
        <v>2802.01</v>
      </c>
      <c r="BG352" s="4590"/>
      <c r="BH352" s="4590"/>
      <c r="BI352" s="4590"/>
      <c r="BJ352" s="4590"/>
    </row>
    <row r="353" spans="1:62" x14ac:dyDescent="0.25">
      <c r="A353" s="154"/>
      <c r="B353" s="3452" t="s">
        <v>892</v>
      </c>
      <c r="C353" s="4176" t="s">
        <v>905</v>
      </c>
      <c r="D353" s="4288"/>
      <c r="E353" s="7543"/>
      <c r="F353" s="1970"/>
      <c r="G353" s="7543"/>
      <c r="H353" s="1970"/>
      <c r="I353" s="7500"/>
      <c r="J353" s="7213">
        <f t="shared" si="503"/>
        <v>0</v>
      </c>
      <c r="K353" s="7486"/>
      <c r="L353" s="1970"/>
      <c r="M353" s="7530"/>
      <c r="N353" s="4125">
        <f t="shared" si="520"/>
        <v>0</v>
      </c>
      <c r="O353" s="7486"/>
      <c r="P353" s="1970"/>
      <c r="Q353" s="7500"/>
      <c r="R353" s="4821">
        <f t="shared" si="521"/>
        <v>0</v>
      </c>
      <c r="S353" s="7486"/>
      <c r="T353" s="1970"/>
      <c r="U353" s="7500"/>
      <c r="V353" s="4890">
        <f t="shared" si="522"/>
        <v>0</v>
      </c>
      <c r="W353" s="7486"/>
      <c r="X353" s="1970"/>
      <c r="Y353" s="7530"/>
      <c r="Z353" s="4125">
        <f t="shared" si="506"/>
        <v>0</v>
      </c>
      <c r="AA353" s="7515"/>
      <c r="AB353" s="4157">
        <f t="shared" si="507"/>
        <v>0</v>
      </c>
      <c r="AC353" s="7486"/>
      <c r="AD353" s="1970"/>
      <c r="AE353" s="7500"/>
      <c r="AF353" s="5333">
        <f t="shared" si="508"/>
        <v>0</v>
      </c>
      <c r="AG353" s="7486"/>
      <c r="AH353" s="1970">
        <v>21.75</v>
      </c>
      <c r="AI353" s="7490"/>
      <c r="AJ353" s="5511">
        <f t="shared" si="519"/>
        <v>21.75</v>
      </c>
      <c r="AK353" s="7486"/>
      <c r="AL353" s="1970"/>
      <c r="AM353" s="7530"/>
      <c r="AN353" s="5903">
        <f t="shared" si="510"/>
        <v>21.75</v>
      </c>
      <c r="AO353" s="7500"/>
      <c r="AP353" s="5907">
        <f t="shared" si="511"/>
        <v>21.75</v>
      </c>
      <c r="AQ353" s="7486"/>
      <c r="AR353" s="1970"/>
      <c r="AS353" s="7490"/>
      <c r="AT353" s="6135">
        <f t="shared" si="512"/>
        <v>21.75</v>
      </c>
      <c r="AU353" s="7486"/>
      <c r="AV353" s="1970"/>
      <c r="AW353" s="7490"/>
      <c r="AX353" s="6193">
        <f t="shared" si="513"/>
        <v>21.75</v>
      </c>
      <c r="AY353" s="7486"/>
      <c r="AZ353" s="1970"/>
      <c r="BA353" s="7530"/>
      <c r="BB353" s="6596">
        <f t="shared" si="518"/>
        <v>0</v>
      </c>
      <c r="BC353" s="7515"/>
      <c r="BD353" s="6599">
        <f t="shared" si="515"/>
        <v>21.75</v>
      </c>
      <c r="BE353" s="7490"/>
      <c r="BF353" s="6598">
        <f t="shared" si="516"/>
        <v>21.75</v>
      </c>
      <c r="BG353" s="4590"/>
      <c r="BH353" s="4590"/>
      <c r="BI353" s="4590"/>
      <c r="BJ353" s="4590"/>
    </row>
    <row r="354" spans="1:62" x14ac:dyDescent="0.25">
      <c r="A354" s="154"/>
      <c r="B354" s="851" t="s">
        <v>1583</v>
      </c>
      <c r="C354" s="4222" t="s">
        <v>905</v>
      </c>
      <c r="D354" s="4290"/>
      <c r="E354" s="7543"/>
      <c r="F354" s="1970"/>
      <c r="G354" s="7543"/>
      <c r="H354" s="1970"/>
      <c r="I354" s="7500"/>
      <c r="J354" s="7213">
        <f t="shared" si="503"/>
        <v>0</v>
      </c>
      <c r="K354" s="7486"/>
      <c r="L354" s="1970"/>
      <c r="M354" s="7530"/>
      <c r="N354" s="4125">
        <f t="shared" si="520"/>
        <v>0</v>
      </c>
      <c r="O354" s="7486"/>
      <c r="P354" s="1970"/>
      <c r="Q354" s="7500"/>
      <c r="R354" s="4821">
        <f t="shared" si="521"/>
        <v>0</v>
      </c>
      <c r="S354" s="7486"/>
      <c r="T354" s="1970"/>
      <c r="U354" s="7500"/>
      <c r="V354" s="4890">
        <f t="shared" si="522"/>
        <v>0</v>
      </c>
      <c r="W354" s="7486"/>
      <c r="X354" s="1970"/>
      <c r="Y354" s="7530"/>
      <c r="Z354" s="4125">
        <f t="shared" si="506"/>
        <v>0</v>
      </c>
      <c r="AA354" s="7515"/>
      <c r="AB354" s="4157">
        <f t="shared" si="507"/>
        <v>0</v>
      </c>
      <c r="AC354" s="7486"/>
      <c r="AD354" s="1970">
        <v>1462.65</v>
      </c>
      <c r="AE354" s="7500"/>
      <c r="AF354" s="5333">
        <f t="shared" si="508"/>
        <v>1462.65</v>
      </c>
      <c r="AG354" s="7486"/>
      <c r="AH354" s="1970">
        <v>32.909999999999997</v>
      </c>
      <c r="AI354" s="7490"/>
      <c r="AJ354" s="2399">
        <f t="shared" ref="AJ354:AJ372" si="523">AF354+AH354</f>
        <v>1495.5600000000002</v>
      </c>
      <c r="AK354" s="7486"/>
      <c r="AL354" s="1970"/>
      <c r="AM354" s="7530"/>
      <c r="AN354" s="5903">
        <f t="shared" si="510"/>
        <v>1495.5600000000002</v>
      </c>
      <c r="AO354" s="7500"/>
      <c r="AP354" s="2399">
        <f t="shared" si="511"/>
        <v>1495.5600000000002</v>
      </c>
      <c r="AQ354" s="7486"/>
      <c r="AR354" s="1970"/>
      <c r="AS354" s="7490"/>
      <c r="AT354" s="6135">
        <f t="shared" si="512"/>
        <v>1495.5600000000002</v>
      </c>
      <c r="AU354" s="7486"/>
      <c r="AV354" s="1970"/>
      <c r="AW354" s="7490"/>
      <c r="AX354" s="6193">
        <f t="shared" si="513"/>
        <v>1495.5600000000002</v>
      </c>
      <c r="AY354" s="7486"/>
      <c r="AZ354" s="1970"/>
      <c r="BA354" s="7530"/>
      <c r="BB354" s="6596">
        <f t="shared" si="518"/>
        <v>0</v>
      </c>
      <c r="BC354" s="7515"/>
      <c r="BD354" s="6599">
        <f t="shared" si="515"/>
        <v>1495.5600000000002</v>
      </c>
      <c r="BE354" s="7490"/>
      <c r="BF354" s="6598">
        <f t="shared" si="516"/>
        <v>1495.5600000000002</v>
      </c>
      <c r="BG354" s="4590"/>
      <c r="BH354" s="4590"/>
      <c r="BI354" s="4590"/>
      <c r="BJ354" s="4590"/>
    </row>
    <row r="355" spans="1:62" ht="15.75" thickBot="1" x14ac:dyDescent="0.3">
      <c r="A355" s="154"/>
      <c r="B355" s="3456" t="s">
        <v>1584</v>
      </c>
      <c r="C355" s="4185" t="s">
        <v>904</v>
      </c>
      <c r="D355" s="4291"/>
      <c r="E355" s="7543"/>
      <c r="F355" s="1970"/>
      <c r="G355" s="7543"/>
      <c r="H355" s="1970"/>
      <c r="I355" s="7500"/>
      <c r="J355" s="7213">
        <f t="shared" si="503"/>
        <v>0</v>
      </c>
      <c r="K355" s="7486"/>
      <c r="L355" s="1970"/>
      <c r="M355" s="7530"/>
      <c r="N355" s="4125">
        <f t="shared" si="520"/>
        <v>0</v>
      </c>
      <c r="O355" s="7486"/>
      <c r="P355" s="1970"/>
      <c r="Q355" s="7500"/>
      <c r="R355" s="4821">
        <f t="shared" si="521"/>
        <v>0</v>
      </c>
      <c r="S355" s="7486"/>
      <c r="T355" s="1970"/>
      <c r="U355" s="7500"/>
      <c r="V355" s="4890">
        <f t="shared" si="522"/>
        <v>0</v>
      </c>
      <c r="W355" s="7486"/>
      <c r="X355" s="1970"/>
      <c r="Y355" s="7530"/>
      <c r="Z355" s="4125">
        <f t="shared" si="506"/>
        <v>0</v>
      </c>
      <c r="AA355" s="7515"/>
      <c r="AB355" s="4157">
        <f t="shared" si="507"/>
        <v>0</v>
      </c>
      <c r="AC355" s="7486"/>
      <c r="AD355" s="1970"/>
      <c r="AE355" s="7500"/>
      <c r="AF355" s="5333">
        <f t="shared" si="508"/>
        <v>0</v>
      </c>
      <c r="AG355" s="7486"/>
      <c r="AH355" s="1970"/>
      <c r="AI355" s="7490"/>
      <c r="AJ355" s="2399">
        <f t="shared" si="523"/>
        <v>0</v>
      </c>
      <c r="AK355" s="7486"/>
      <c r="AL355" s="1970"/>
      <c r="AM355" s="7530"/>
      <c r="AN355" s="4125">
        <f t="shared" si="510"/>
        <v>0</v>
      </c>
      <c r="AO355" s="7500"/>
      <c r="AP355" s="2399">
        <f t="shared" si="511"/>
        <v>0</v>
      </c>
      <c r="AQ355" s="7486"/>
      <c r="AR355" s="1970"/>
      <c r="AS355" s="7490"/>
      <c r="AT355" s="6135">
        <f t="shared" si="512"/>
        <v>0</v>
      </c>
      <c r="AU355" s="7486"/>
      <c r="AV355" s="1970"/>
      <c r="AW355" s="7490"/>
      <c r="AX355" s="6193">
        <f t="shared" si="513"/>
        <v>0</v>
      </c>
      <c r="AY355" s="7486"/>
      <c r="AZ355" s="1970"/>
      <c r="BA355" s="7530"/>
      <c r="BB355" s="6596">
        <f t="shared" si="518"/>
        <v>0</v>
      </c>
      <c r="BC355" s="7515"/>
      <c r="BD355" s="6599">
        <f t="shared" si="515"/>
        <v>0</v>
      </c>
      <c r="BE355" s="7490"/>
      <c r="BF355" s="6598">
        <f t="shared" si="516"/>
        <v>0</v>
      </c>
      <c r="BG355" s="4590"/>
      <c r="BH355" s="4590"/>
      <c r="BI355" s="4590"/>
      <c r="BJ355" s="4590"/>
    </row>
    <row r="356" spans="1:62" ht="20.25" customHeight="1" x14ac:dyDescent="0.25">
      <c r="A356" s="154"/>
      <c r="B356" s="4269" t="s">
        <v>1180</v>
      </c>
      <c r="C356" s="235"/>
      <c r="D356" s="235"/>
      <c r="E356" s="7486"/>
      <c r="F356" s="4297">
        <f>F25</f>
        <v>0</v>
      </c>
      <c r="G356" s="7486"/>
      <c r="H356" s="7165">
        <f>H25</f>
        <v>0</v>
      </c>
      <c r="I356" s="7500"/>
      <c r="J356" s="2399">
        <f t="shared" ref="J356" si="524">F356+H356</f>
        <v>0</v>
      </c>
      <c r="K356" s="7486"/>
      <c r="L356" s="4572">
        <f>L25</f>
        <v>0</v>
      </c>
      <c r="M356" s="7530"/>
      <c r="N356" s="4125">
        <f t="shared" si="520"/>
        <v>0</v>
      </c>
      <c r="O356" s="7486"/>
      <c r="P356" s="4776">
        <f>P25</f>
        <v>0</v>
      </c>
      <c r="Q356" s="7500"/>
      <c r="R356" s="4821">
        <f t="shared" si="521"/>
        <v>0</v>
      </c>
      <c r="S356" s="7486"/>
      <c r="T356" s="4886">
        <f>T25</f>
        <v>0</v>
      </c>
      <c r="U356" s="7500"/>
      <c r="V356" s="4890">
        <f t="shared" si="522"/>
        <v>0</v>
      </c>
      <c r="W356" s="7486"/>
      <c r="X356" s="5024">
        <f>X25</f>
        <v>0</v>
      </c>
      <c r="Y356" s="7530"/>
      <c r="Z356" s="4125">
        <f t="shared" ref="Z356:Z357" si="525">P356+T356+X356</f>
        <v>0</v>
      </c>
      <c r="AA356" s="7515"/>
      <c r="AB356" s="4157">
        <f t="shared" si="507"/>
        <v>0</v>
      </c>
      <c r="AC356" s="7486"/>
      <c r="AD356" s="5335">
        <f>AD25</f>
        <v>0</v>
      </c>
      <c r="AE356" s="7500"/>
      <c r="AF356" s="5333">
        <f t="shared" si="508"/>
        <v>0</v>
      </c>
      <c r="AG356" s="7486"/>
      <c r="AH356" s="5508">
        <f>AH25</f>
        <v>0</v>
      </c>
      <c r="AI356" s="7491"/>
      <c r="AJ356" s="2399">
        <f t="shared" si="523"/>
        <v>0</v>
      </c>
      <c r="AK356" s="7486"/>
      <c r="AL356" s="5909">
        <f>AL25</f>
        <v>0</v>
      </c>
      <c r="AM356" s="7530"/>
      <c r="AN356" s="4125">
        <f t="shared" si="510"/>
        <v>0</v>
      </c>
      <c r="AO356" s="7500"/>
      <c r="AP356" s="2399">
        <f t="shared" si="511"/>
        <v>0</v>
      </c>
      <c r="AQ356" s="7486"/>
      <c r="AR356" s="6064">
        <f>AR25</f>
        <v>0</v>
      </c>
      <c r="AS356" s="7491"/>
      <c r="AT356" s="2399">
        <f t="shared" si="512"/>
        <v>0</v>
      </c>
      <c r="AU356" s="7486"/>
      <c r="AV356" s="6186">
        <f>AV25</f>
        <v>0</v>
      </c>
      <c r="AW356" s="7491"/>
      <c r="AX356" s="6193">
        <f t="shared" si="513"/>
        <v>0</v>
      </c>
      <c r="AY356" s="7486"/>
      <c r="AZ356" s="6400">
        <f>AZ25</f>
        <v>0</v>
      </c>
      <c r="BA356" s="7530"/>
      <c r="BB356" s="6596">
        <f t="shared" si="518"/>
        <v>0</v>
      </c>
      <c r="BC356" s="7515"/>
      <c r="BD356" s="6587">
        <f t="shared" si="515"/>
        <v>0</v>
      </c>
      <c r="BE356" s="7491"/>
      <c r="BF356" s="2399">
        <f t="shared" si="516"/>
        <v>0</v>
      </c>
      <c r="BG356" s="4590"/>
      <c r="BH356" s="4590"/>
      <c r="BI356" s="4590"/>
      <c r="BJ356" s="4590"/>
    </row>
    <row r="357" spans="1:62" ht="20.25" customHeight="1" x14ac:dyDescent="0.25">
      <c r="A357" s="154"/>
      <c r="B357" s="4164" t="s">
        <v>121</v>
      </c>
      <c r="C357" s="814" t="s">
        <v>50</v>
      </c>
      <c r="D357" s="1971">
        <f>+D26</f>
        <v>750000</v>
      </c>
      <c r="E357" s="1971">
        <f>+E26</f>
        <v>62000</v>
      </c>
      <c r="F357" s="1971">
        <f>SUM(F276:F356)</f>
        <v>44122.700000000004</v>
      </c>
      <c r="G357" s="1971">
        <f>+G26</f>
        <v>65000</v>
      </c>
      <c r="H357" s="1971">
        <f>SUM(H276:H356)</f>
        <v>57716.000000000007</v>
      </c>
      <c r="I357" s="376">
        <f>E357+G357</f>
        <v>127000</v>
      </c>
      <c r="J357" s="376">
        <f t="shared" ref="J357:J372" si="526">F357+H357</f>
        <v>101838.70000000001</v>
      </c>
      <c r="K357" s="1971">
        <f>+K26</f>
        <v>35000</v>
      </c>
      <c r="L357" s="1971">
        <f>SUM(L276:L356)</f>
        <v>23860.350000000006</v>
      </c>
      <c r="M357" s="378">
        <f>E357+G357+K357</f>
        <v>162000</v>
      </c>
      <c r="N357" s="378">
        <f>F357+H357+L357</f>
        <v>125699.05000000002</v>
      </c>
      <c r="O357" s="1971">
        <f>+O26</f>
        <v>12500</v>
      </c>
      <c r="P357" s="1971">
        <f>SUM(P276:P356)</f>
        <v>45789.59</v>
      </c>
      <c r="Q357" s="376">
        <f>M357+O357</f>
        <v>174500</v>
      </c>
      <c r="R357" s="376">
        <f t="shared" ref="R357:R372" si="527">N357+P357</f>
        <v>171488.64000000001</v>
      </c>
      <c r="S357" s="1971">
        <f>+S26</f>
        <v>49000</v>
      </c>
      <c r="T357" s="1971">
        <f>SUM(T276:T356)</f>
        <v>38854.430000000008</v>
      </c>
      <c r="U357" s="4885">
        <f>Q357+S357</f>
        <v>223500</v>
      </c>
      <c r="V357" s="4885">
        <f t="shared" si="522"/>
        <v>210343.07</v>
      </c>
      <c r="W357" s="1971">
        <f>+W26</f>
        <v>48000</v>
      </c>
      <c r="X357" s="1971">
        <f>SUM(X276:X356)</f>
        <v>43924.94999999999</v>
      </c>
      <c r="Y357" s="378">
        <f t="shared" ref="Y357" si="528">O357+S357+W357</f>
        <v>109500</v>
      </c>
      <c r="Z357" s="378">
        <f t="shared" si="525"/>
        <v>128568.97</v>
      </c>
      <c r="AA357" s="4160">
        <f>M357+Y357</f>
        <v>271500</v>
      </c>
      <c r="AB357" s="4160">
        <f>N357+Z357</f>
        <v>254268.02000000002</v>
      </c>
      <c r="AC357" s="1971">
        <f>+AC26</f>
        <v>54000</v>
      </c>
      <c r="AD357" s="1971">
        <f>SUM(AD276:AD356)</f>
        <v>43303.75</v>
      </c>
      <c r="AE357" s="376">
        <f>AA357+AC357</f>
        <v>325500</v>
      </c>
      <c r="AF357" s="376">
        <f t="shared" si="508"/>
        <v>297571.77</v>
      </c>
      <c r="AG357" s="1971">
        <f>+AG26</f>
        <v>52000</v>
      </c>
      <c r="AH357" s="1971">
        <f>SUM(AH276:AH356)</f>
        <v>15465.42</v>
      </c>
      <c r="AI357" s="376">
        <f>AE357+AG357</f>
        <v>377500</v>
      </c>
      <c r="AJ357" s="376">
        <f t="shared" si="523"/>
        <v>313037.19</v>
      </c>
      <c r="AK357" s="1971">
        <f>+AK26</f>
        <v>54000</v>
      </c>
      <c r="AL357" s="1971">
        <f>SUM(AL276:AL356)</f>
        <v>33463</v>
      </c>
      <c r="AM357" s="378">
        <f t="shared" ref="AM357" si="529">AC357+AG357+AK357</f>
        <v>160000</v>
      </c>
      <c r="AN357" s="378">
        <f t="shared" si="510"/>
        <v>92232.17</v>
      </c>
      <c r="AO357" s="376">
        <f t="shared" si="511"/>
        <v>431500</v>
      </c>
      <c r="AP357" s="376">
        <f t="shared" si="511"/>
        <v>346500.19</v>
      </c>
      <c r="AQ357" s="1971">
        <f>+AQ26</f>
        <v>54000</v>
      </c>
      <c r="AR357" s="1971">
        <f>SUM(AR276:AR356)</f>
        <v>44656.88</v>
      </c>
      <c r="AS357" s="376">
        <f>AO357+AQ357</f>
        <v>485500</v>
      </c>
      <c r="AT357" s="376">
        <f t="shared" si="512"/>
        <v>391157.07</v>
      </c>
      <c r="AU357" s="1971">
        <f>+AU26</f>
        <v>48000</v>
      </c>
      <c r="AV357" s="1971">
        <f>SUM(AV276:AV356)</f>
        <v>47339.010000000009</v>
      </c>
      <c r="AW357" s="6190">
        <f>AS357+AU357</f>
        <v>533500</v>
      </c>
      <c r="AX357" s="6190">
        <f t="shared" si="513"/>
        <v>438496.08</v>
      </c>
      <c r="AY357" s="1971">
        <f>+AY26</f>
        <v>60000</v>
      </c>
      <c r="AZ357" s="1971">
        <f>SUM(AZ276:AZ356)</f>
        <v>68418.509999999995</v>
      </c>
      <c r="BA357" s="378">
        <f t="shared" ref="BA357" si="530">AQ357+AU357+AY357</f>
        <v>162000</v>
      </c>
      <c r="BB357" s="378">
        <f t="shared" ref="BB357" si="531">AR357+AV357+AZ357</f>
        <v>160414.40000000002</v>
      </c>
      <c r="BC357" s="4160">
        <f>AM357+BA357</f>
        <v>322000</v>
      </c>
      <c r="BD357" s="4160">
        <f>AN357+BB357</f>
        <v>252646.57</v>
      </c>
      <c r="BE357" s="376">
        <f>AW357+AY357</f>
        <v>593500</v>
      </c>
      <c r="BF357" s="376">
        <f t="shared" si="516"/>
        <v>506914.59</v>
      </c>
      <c r="BG357" s="4590"/>
      <c r="BH357" s="4590"/>
      <c r="BI357" s="4590"/>
      <c r="BJ357" s="4590"/>
    </row>
    <row r="358" spans="1:62" ht="20.25" customHeight="1" x14ac:dyDescent="0.25">
      <c r="A358" s="154"/>
      <c r="B358" s="449" t="s">
        <v>670</v>
      </c>
      <c r="C358" s="642"/>
      <c r="D358" s="642"/>
      <c r="E358" s="4298"/>
      <c r="F358" s="1348"/>
      <c r="G358" s="4298"/>
      <c r="H358" s="1348"/>
      <c r="I358" s="4299"/>
      <c r="J358" s="2399">
        <f t="shared" si="526"/>
        <v>0</v>
      </c>
      <c r="K358" s="4298"/>
      <c r="L358" s="1348"/>
      <c r="M358" s="906"/>
      <c r="N358" s="4125"/>
      <c r="O358" s="4298"/>
      <c r="P358" s="1348"/>
      <c r="Q358" s="4299"/>
      <c r="R358" s="2399"/>
      <c r="S358" s="4298"/>
      <c r="T358" s="1348"/>
      <c r="U358" s="4299"/>
      <c r="V358" s="4890"/>
      <c r="W358" s="4298"/>
      <c r="X358" s="1348"/>
      <c r="Y358" s="906"/>
      <c r="Z358" s="4125"/>
      <c r="AA358" s="4300"/>
      <c r="AB358" s="4157"/>
      <c r="AC358" s="4298"/>
      <c r="AD358" s="1348"/>
      <c r="AE358" s="4299"/>
      <c r="AF358" s="2399"/>
      <c r="AG358" s="4298"/>
      <c r="AH358" s="1348"/>
      <c r="AI358" s="4299"/>
      <c r="AJ358" s="2399"/>
      <c r="AK358" s="4298"/>
      <c r="AL358" s="1348"/>
      <c r="AM358" s="906"/>
      <c r="AN358" s="4125"/>
      <c r="AO358" s="4299"/>
      <c r="AP358" s="2399"/>
      <c r="AQ358" s="4298"/>
      <c r="AR358" s="1348"/>
      <c r="AS358" s="4299"/>
      <c r="AT358" s="2399">
        <f t="shared" si="512"/>
        <v>0</v>
      </c>
      <c r="AU358" s="4298"/>
      <c r="AV358" s="1348"/>
      <c r="AW358" s="4299"/>
      <c r="AX358" s="6193">
        <f t="shared" si="513"/>
        <v>0</v>
      </c>
      <c r="AY358" s="4298"/>
      <c r="AZ358" s="1348"/>
      <c r="BA358" s="906"/>
      <c r="BB358" s="4125"/>
      <c r="BC358" s="4300"/>
      <c r="BD358" s="4157"/>
      <c r="BE358" s="4299"/>
      <c r="BF358" s="2399">
        <f t="shared" si="516"/>
        <v>0</v>
      </c>
      <c r="BG358" s="4590"/>
      <c r="BH358" s="4590"/>
      <c r="BI358" s="4590"/>
      <c r="BJ358" s="4590"/>
    </row>
    <row r="359" spans="1:62" ht="20.25" customHeight="1" x14ac:dyDescent="0.25">
      <c r="A359" s="93"/>
      <c r="B359" s="4278" t="s">
        <v>1545</v>
      </c>
      <c r="C359" s="159" t="s">
        <v>50</v>
      </c>
      <c r="D359" s="159"/>
      <c r="E359" s="4298"/>
      <c r="F359" s="1970"/>
      <c r="G359" s="4298"/>
      <c r="H359" s="1970"/>
      <c r="I359" s="4299"/>
      <c r="J359" s="2399">
        <f t="shared" si="526"/>
        <v>0</v>
      </c>
      <c r="K359" s="4298"/>
      <c r="L359" s="1970"/>
      <c r="M359" s="906"/>
      <c r="N359" s="4125">
        <f>F359+H359+L359</f>
        <v>0</v>
      </c>
      <c r="O359" s="4298"/>
      <c r="P359" s="1970"/>
      <c r="Q359" s="4299"/>
      <c r="R359" s="2399">
        <f t="shared" si="527"/>
        <v>0</v>
      </c>
      <c r="S359" s="4298"/>
      <c r="T359" s="1970">
        <v>39.61</v>
      </c>
      <c r="U359" s="4299"/>
      <c r="V359" s="4890">
        <f t="shared" ref="V359:V372" si="532">R359+T359</f>
        <v>39.61</v>
      </c>
      <c r="W359" s="4298"/>
      <c r="X359" s="1970"/>
      <c r="Y359" s="906"/>
      <c r="Z359" s="4125">
        <f>P359+T359+X359</f>
        <v>39.61</v>
      </c>
      <c r="AA359" s="4300"/>
      <c r="AB359" s="4157">
        <f t="shared" ref="AB359:AB372" si="533">N359+Z359</f>
        <v>39.61</v>
      </c>
      <c r="AC359" s="4298"/>
      <c r="AD359" s="1970">
        <v>79.66</v>
      </c>
      <c r="AE359" s="4299"/>
      <c r="AF359" s="2399">
        <f t="shared" si="508"/>
        <v>119.27</v>
      </c>
      <c r="AG359" s="4298"/>
      <c r="AH359" s="1970"/>
      <c r="AI359" s="4299"/>
      <c r="AJ359" s="2399">
        <f t="shared" si="523"/>
        <v>119.27</v>
      </c>
      <c r="AK359" s="4298"/>
      <c r="AL359" s="1970"/>
      <c r="AM359" s="906"/>
      <c r="AN359" s="4125">
        <f>AD359+AH359+AL359</f>
        <v>79.66</v>
      </c>
      <c r="AO359" s="4299"/>
      <c r="AP359" s="2399">
        <f t="shared" si="511"/>
        <v>119.27</v>
      </c>
      <c r="AQ359" s="4298"/>
      <c r="AR359" s="1970"/>
      <c r="AS359" s="4299"/>
      <c r="AT359" s="2399">
        <f t="shared" si="512"/>
        <v>119.27</v>
      </c>
      <c r="AU359" s="4298"/>
      <c r="AV359" s="1970"/>
      <c r="AW359" s="4299"/>
      <c r="AX359" s="6193">
        <f t="shared" si="513"/>
        <v>119.27</v>
      </c>
      <c r="AY359" s="4298"/>
      <c r="AZ359" s="1970"/>
      <c r="BA359" s="906"/>
      <c r="BB359" s="4125">
        <f>AR359+AV359+AZ359</f>
        <v>0</v>
      </c>
      <c r="BC359" s="4300"/>
      <c r="BD359" s="4157">
        <f t="shared" ref="BD359:BD371" si="534">AN359+BB359</f>
        <v>79.66</v>
      </c>
      <c r="BE359" s="4299"/>
      <c r="BF359" s="2399">
        <f t="shared" si="516"/>
        <v>119.27</v>
      </c>
      <c r="BG359" s="4590"/>
      <c r="BH359" s="4590"/>
      <c r="BI359" s="4590"/>
      <c r="BJ359" s="4590"/>
    </row>
    <row r="360" spans="1:62" ht="20.25" customHeight="1" x14ac:dyDescent="0.25">
      <c r="A360" s="93"/>
      <c r="B360" s="4250" t="s">
        <v>1992</v>
      </c>
      <c r="C360" s="159" t="s">
        <v>50</v>
      </c>
      <c r="D360" s="159"/>
      <c r="E360" s="4298"/>
      <c r="F360" s="1970"/>
      <c r="G360" s="4298"/>
      <c r="H360" s="1970"/>
      <c r="I360" s="4299"/>
      <c r="J360" s="2399">
        <f t="shared" si="526"/>
        <v>0</v>
      </c>
      <c r="K360" s="4298"/>
      <c r="L360" s="1970"/>
      <c r="M360" s="906"/>
      <c r="N360" s="4125">
        <f t="shared" ref="N360:N371" si="535">F360+H360+L360</f>
        <v>0</v>
      </c>
      <c r="O360" s="4298"/>
      <c r="P360" s="1970"/>
      <c r="Q360" s="4299"/>
      <c r="R360" s="4773">
        <f t="shared" si="527"/>
        <v>0</v>
      </c>
      <c r="S360" s="4298"/>
      <c r="T360" s="1970"/>
      <c r="U360" s="4299"/>
      <c r="V360" s="4890">
        <f t="shared" si="532"/>
        <v>0</v>
      </c>
      <c r="W360" s="4298"/>
      <c r="X360" s="1970">
        <v>38.71</v>
      </c>
      <c r="Y360" s="906"/>
      <c r="Z360" s="4125">
        <f t="shared" ref="Z360:Z371" si="536">P360+T360+X360</f>
        <v>38.71</v>
      </c>
      <c r="AA360" s="4300"/>
      <c r="AB360" s="4157">
        <f t="shared" si="533"/>
        <v>38.71</v>
      </c>
      <c r="AC360" s="4298"/>
      <c r="AD360" s="1970"/>
      <c r="AE360" s="4299"/>
      <c r="AF360" s="5333">
        <f t="shared" si="508"/>
        <v>38.71</v>
      </c>
      <c r="AG360" s="4298"/>
      <c r="AH360" s="1970"/>
      <c r="AI360" s="4299"/>
      <c r="AJ360" s="5511">
        <f t="shared" si="523"/>
        <v>38.71</v>
      </c>
      <c r="AK360" s="4298"/>
      <c r="AL360" s="1970"/>
      <c r="AM360" s="906"/>
      <c r="AN360" s="5903">
        <f t="shared" ref="AN360:AN370" si="537">AD360+AH360+AL360</f>
        <v>0</v>
      </c>
      <c r="AO360" s="4299"/>
      <c r="AP360" s="5907">
        <f t="shared" si="511"/>
        <v>38.71</v>
      </c>
      <c r="AQ360" s="4298"/>
      <c r="AR360" s="1970"/>
      <c r="AS360" s="4299"/>
      <c r="AT360" s="6135">
        <f t="shared" si="512"/>
        <v>38.71</v>
      </c>
      <c r="AU360" s="4298"/>
      <c r="AV360" s="1970"/>
      <c r="AW360" s="4299"/>
      <c r="AX360" s="6193">
        <f t="shared" si="513"/>
        <v>38.71</v>
      </c>
      <c r="AY360" s="4298"/>
      <c r="AZ360" s="1970"/>
      <c r="BA360" s="906"/>
      <c r="BB360" s="6586">
        <f t="shared" ref="BB360:BB370" si="538">AR360+AV360+AZ360</f>
        <v>0</v>
      </c>
      <c r="BC360" s="4300"/>
      <c r="BD360" s="6587">
        <f t="shared" si="534"/>
        <v>0</v>
      </c>
      <c r="BE360" s="4299"/>
      <c r="BF360" s="6589">
        <f t="shared" si="516"/>
        <v>38.71</v>
      </c>
      <c r="BG360" s="4590"/>
      <c r="BH360" s="4590"/>
      <c r="BI360" s="4590"/>
      <c r="BJ360" s="4590"/>
    </row>
    <row r="361" spans="1:62" s="6137" customFormat="1" ht="20.25" customHeight="1" x14ac:dyDescent="0.25">
      <c r="A361" s="93"/>
      <c r="B361" s="6007" t="s">
        <v>2143</v>
      </c>
      <c r="C361" s="6008" t="s">
        <v>50</v>
      </c>
      <c r="D361" s="6008"/>
      <c r="E361" s="6009"/>
      <c r="F361" s="6010"/>
      <c r="G361" s="6009"/>
      <c r="H361" s="6010"/>
      <c r="I361" s="6011"/>
      <c r="J361" s="6012"/>
      <c r="K361" s="6009"/>
      <c r="L361" s="6010"/>
      <c r="M361" s="6013"/>
      <c r="N361" s="6014"/>
      <c r="O361" s="6009"/>
      <c r="P361" s="6010"/>
      <c r="Q361" s="6011"/>
      <c r="R361" s="6012"/>
      <c r="S361" s="6009"/>
      <c r="T361" s="6010"/>
      <c r="U361" s="6011"/>
      <c r="V361" s="6012"/>
      <c r="W361" s="6009"/>
      <c r="X361" s="6010"/>
      <c r="Y361" s="6013"/>
      <c r="Z361" s="6014"/>
      <c r="AA361" s="6015"/>
      <c r="AB361" s="6016"/>
      <c r="AC361" s="6009"/>
      <c r="AD361" s="6010"/>
      <c r="AE361" s="6011"/>
      <c r="AF361" s="6012"/>
      <c r="AG361" s="6009"/>
      <c r="AH361" s="6010"/>
      <c r="AI361" s="6011"/>
      <c r="AJ361" s="6012"/>
      <c r="AK361" s="6009"/>
      <c r="AL361" s="6010"/>
      <c r="AM361" s="6013"/>
      <c r="AN361" s="6014"/>
      <c r="AO361" s="6011"/>
      <c r="AP361" s="6012"/>
      <c r="AQ361" s="6009"/>
      <c r="AR361" s="6010">
        <v>111.25</v>
      </c>
      <c r="AS361" s="6011"/>
      <c r="AT361" s="6135">
        <f t="shared" si="512"/>
        <v>111.25</v>
      </c>
      <c r="AU361" s="6009"/>
      <c r="AV361" s="6010"/>
      <c r="AW361" s="6011"/>
      <c r="AX361" s="6193">
        <f t="shared" si="513"/>
        <v>111.25</v>
      </c>
      <c r="AY361" s="6009"/>
      <c r="AZ361" s="6010"/>
      <c r="BA361" s="6013"/>
      <c r="BB361" s="6586">
        <f t="shared" si="538"/>
        <v>111.25</v>
      </c>
      <c r="BC361" s="6015"/>
      <c r="BD361" s="6587">
        <f t="shared" si="534"/>
        <v>111.25</v>
      </c>
      <c r="BE361" s="6011"/>
      <c r="BF361" s="6589">
        <f t="shared" si="516"/>
        <v>111.25</v>
      </c>
      <c r="BG361" s="4590"/>
      <c r="BH361" s="4590"/>
      <c r="BI361" s="4590"/>
      <c r="BJ361" s="4590"/>
    </row>
    <row r="362" spans="1:62" ht="20.25" customHeight="1" x14ac:dyDescent="0.25">
      <c r="A362" s="93"/>
      <c r="B362" s="4250" t="s">
        <v>1890</v>
      </c>
      <c r="C362" s="159" t="s">
        <v>50</v>
      </c>
      <c r="D362" s="159"/>
      <c r="E362" s="4298"/>
      <c r="F362" s="1970"/>
      <c r="G362" s="4298"/>
      <c r="H362" s="1970"/>
      <c r="I362" s="4299"/>
      <c r="J362" s="2399">
        <f t="shared" si="526"/>
        <v>0</v>
      </c>
      <c r="K362" s="4298"/>
      <c r="L362" s="1970">
        <v>39.82</v>
      </c>
      <c r="M362" s="906"/>
      <c r="N362" s="4125">
        <f t="shared" si="535"/>
        <v>39.82</v>
      </c>
      <c r="O362" s="4298"/>
      <c r="P362" s="1970"/>
      <c r="Q362" s="4299"/>
      <c r="R362" s="4773">
        <f t="shared" si="527"/>
        <v>39.82</v>
      </c>
      <c r="S362" s="4298"/>
      <c r="T362" s="1970"/>
      <c r="U362" s="4299"/>
      <c r="V362" s="4890">
        <f t="shared" si="532"/>
        <v>39.82</v>
      </c>
      <c r="W362" s="4298"/>
      <c r="X362" s="1970">
        <v>39.96</v>
      </c>
      <c r="Y362" s="906"/>
      <c r="Z362" s="4125">
        <f t="shared" si="536"/>
        <v>39.96</v>
      </c>
      <c r="AA362" s="4300"/>
      <c r="AB362" s="4157">
        <f t="shared" si="533"/>
        <v>79.78</v>
      </c>
      <c r="AC362" s="4298"/>
      <c r="AD362" s="1970"/>
      <c r="AE362" s="4299"/>
      <c r="AF362" s="5333">
        <f t="shared" si="508"/>
        <v>79.78</v>
      </c>
      <c r="AG362" s="4298"/>
      <c r="AH362" s="1970"/>
      <c r="AI362" s="4299"/>
      <c r="AJ362" s="5511">
        <f t="shared" si="523"/>
        <v>79.78</v>
      </c>
      <c r="AK362" s="4298"/>
      <c r="AL362" s="1970"/>
      <c r="AM362" s="906"/>
      <c r="AN362" s="5903">
        <f t="shared" si="537"/>
        <v>0</v>
      </c>
      <c r="AO362" s="4299"/>
      <c r="AP362" s="5907">
        <f t="shared" si="511"/>
        <v>79.78</v>
      </c>
      <c r="AQ362" s="4298"/>
      <c r="AR362" s="1970"/>
      <c r="AS362" s="4299"/>
      <c r="AT362" s="6135">
        <f t="shared" si="512"/>
        <v>79.78</v>
      </c>
      <c r="AU362" s="4298"/>
      <c r="AV362" s="1970"/>
      <c r="AW362" s="4299"/>
      <c r="AX362" s="6193">
        <f t="shared" si="513"/>
        <v>79.78</v>
      </c>
      <c r="AY362" s="4298"/>
      <c r="AZ362" s="1970">
        <v>794.61999999999989</v>
      </c>
      <c r="BA362" s="906"/>
      <c r="BB362" s="6586">
        <f t="shared" si="538"/>
        <v>794.61999999999989</v>
      </c>
      <c r="BC362" s="4300"/>
      <c r="BD362" s="6587">
        <f t="shared" si="534"/>
        <v>794.61999999999989</v>
      </c>
      <c r="BE362" s="4299"/>
      <c r="BF362" s="6589">
        <f t="shared" si="516"/>
        <v>874.39999999999986</v>
      </c>
      <c r="BG362" s="4590"/>
      <c r="BH362" s="4590"/>
      <c r="BI362" s="4590"/>
      <c r="BJ362" s="4590"/>
    </row>
    <row r="363" spans="1:62" s="4986" customFormat="1" ht="20.25" customHeight="1" x14ac:dyDescent="0.25">
      <c r="A363" s="93"/>
      <c r="B363" s="4293" t="s">
        <v>1968</v>
      </c>
      <c r="C363" s="4984" t="s">
        <v>50</v>
      </c>
      <c r="D363" s="4797"/>
      <c r="E363" s="5000"/>
      <c r="F363" s="4991"/>
      <c r="G363" s="5000"/>
      <c r="H363" s="7173"/>
      <c r="I363" s="5001"/>
      <c r="J363" s="4988"/>
      <c r="K363" s="5000"/>
      <c r="L363" s="4991"/>
      <c r="M363" s="4836"/>
      <c r="N363" s="4989"/>
      <c r="O363" s="5000"/>
      <c r="P363" s="4991"/>
      <c r="Q363" s="5001"/>
      <c r="R363" s="4988"/>
      <c r="S363" s="5000"/>
      <c r="T363" s="4991">
        <v>64.13</v>
      </c>
      <c r="U363" s="5001"/>
      <c r="V363" s="4988"/>
      <c r="W363" s="5000"/>
      <c r="X363" s="5032">
        <v>39.93</v>
      </c>
      <c r="Y363" s="4836"/>
      <c r="Z363" s="5096">
        <f t="shared" si="536"/>
        <v>104.06</v>
      </c>
      <c r="AA363" s="5002"/>
      <c r="AB363" s="5097">
        <f t="shared" si="533"/>
        <v>104.06</v>
      </c>
      <c r="AC363" s="5000"/>
      <c r="AD363" s="5345"/>
      <c r="AE363" s="5001"/>
      <c r="AF363" s="5333">
        <f t="shared" si="508"/>
        <v>104.06</v>
      </c>
      <c r="AG363" s="5000"/>
      <c r="AH363" s="5524"/>
      <c r="AI363" s="5001"/>
      <c r="AJ363" s="5511">
        <f t="shared" si="523"/>
        <v>104.06</v>
      </c>
      <c r="AK363" s="5000"/>
      <c r="AL363" s="5918"/>
      <c r="AM363" s="4836"/>
      <c r="AN363" s="5903">
        <f t="shared" si="537"/>
        <v>0</v>
      </c>
      <c r="AO363" s="5001"/>
      <c r="AP363" s="5907">
        <f t="shared" si="511"/>
        <v>104.06</v>
      </c>
      <c r="AQ363" s="5000"/>
      <c r="AR363" s="6073">
        <v>120.78999999999999</v>
      </c>
      <c r="AS363" s="5001"/>
      <c r="AT363" s="6135">
        <f t="shared" si="512"/>
        <v>224.85</v>
      </c>
      <c r="AU363" s="5000"/>
      <c r="AV363" s="6203"/>
      <c r="AW363" s="5001"/>
      <c r="AX363" s="6193">
        <f t="shared" si="513"/>
        <v>224.85</v>
      </c>
      <c r="AY363" s="5000"/>
      <c r="AZ363" s="6410"/>
      <c r="BA363" s="4836"/>
      <c r="BB363" s="6586">
        <f t="shared" si="538"/>
        <v>120.78999999999999</v>
      </c>
      <c r="BC363" s="5002"/>
      <c r="BD363" s="6587">
        <f t="shared" si="534"/>
        <v>120.78999999999999</v>
      </c>
      <c r="BE363" s="5001"/>
      <c r="BF363" s="6589">
        <f t="shared" si="516"/>
        <v>224.85</v>
      </c>
      <c r="BG363" s="4590"/>
      <c r="BH363" s="4590"/>
      <c r="BI363" s="4590"/>
      <c r="BJ363" s="4590"/>
    </row>
    <row r="364" spans="1:62" ht="20.25" customHeight="1" x14ac:dyDescent="0.25">
      <c r="A364" s="93"/>
      <c r="B364" s="4250" t="s">
        <v>1995</v>
      </c>
      <c r="C364" s="159" t="s">
        <v>50</v>
      </c>
      <c r="D364" s="159"/>
      <c r="E364" s="4298"/>
      <c r="F364" s="1970"/>
      <c r="G364" s="4298"/>
      <c r="H364" s="1970"/>
      <c r="I364" s="4299"/>
      <c r="J364" s="2399">
        <f t="shared" si="526"/>
        <v>0</v>
      </c>
      <c r="K364" s="4298"/>
      <c r="L364" s="1970"/>
      <c r="M364" s="906"/>
      <c r="N364" s="4125">
        <f t="shared" si="535"/>
        <v>0</v>
      </c>
      <c r="O364" s="4298"/>
      <c r="P364" s="1970"/>
      <c r="Q364" s="4299"/>
      <c r="R364" s="4773">
        <f t="shared" si="527"/>
        <v>0</v>
      </c>
      <c r="S364" s="4298"/>
      <c r="T364" s="1970"/>
      <c r="U364" s="4299"/>
      <c r="V364" s="4890">
        <f t="shared" si="532"/>
        <v>0</v>
      </c>
      <c r="W364" s="4298"/>
      <c r="X364" s="1970">
        <v>35.909999999999997</v>
      </c>
      <c r="Y364" s="906"/>
      <c r="Z364" s="4125">
        <f t="shared" si="536"/>
        <v>35.909999999999997</v>
      </c>
      <c r="AA364" s="4300"/>
      <c r="AB364" s="4157">
        <f t="shared" si="533"/>
        <v>35.909999999999997</v>
      </c>
      <c r="AC364" s="4298"/>
      <c r="AD364" s="1970">
        <v>36.619999999999997</v>
      </c>
      <c r="AE364" s="4299"/>
      <c r="AF364" s="5333">
        <f t="shared" si="508"/>
        <v>72.53</v>
      </c>
      <c r="AG364" s="4298"/>
      <c r="AH364" s="1970"/>
      <c r="AI364" s="4299"/>
      <c r="AJ364" s="5511">
        <f t="shared" si="523"/>
        <v>72.53</v>
      </c>
      <c r="AK364" s="4298"/>
      <c r="AL364" s="1970"/>
      <c r="AM364" s="906"/>
      <c r="AN364" s="5903">
        <f t="shared" si="537"/>
        <v>36.619999999999997</v>
      </c>
      <c r="AO364" s="4299"/>
      <c r="AP364" s="5907">
        <f t="shared" si="511"/>
        <v>72.53</v>
      </c>
      <c r="AQ364" s="4298"/>
      <c r="AR364" s="1970"/>
      <c r="AS364" s="4299"/>
      <c r="AT364" s="6135">
        <f t="shared" si="512"/>
        <v>72.53</v>
      </c>
      <c r="AU364" s="4298"/>
      <c r="AV364" s="1970"/>
      <c r="AW364" s="4299"/>
      <c r="AX364" s="6193">
        <f t="shared" si="513"/>
        <v>72.53</v>
      </c>
      <c r="AY364" s="4298"/>
      <c r="AZ364" s="1970"/>
      <c r="BA364" s="906"/>
      <c r="BB364" s="6586">
        <f t="shared" si="538"/>
        <v>0</v>
      </c>
      <c r="BC364" s="4300"/>
      <c r="BD364" s="6587">
        <f t="shared" si="534"/>
        <v>36.619999999999997</v>
      </c>
      <c r="BE364" s="4299"/>
      <c r="BF364" s="6589">
        <f t="shared" si="516"/>
        <v>72.53</v>
      </c>
      <c r="BG364" s="4590"/>
      <c r="BH364" s="4590"/>
      <c r="BI364" s="4590"/>
      <c r="BJ364" s="4590"/>
    </row>
    <row r="365" spans="1:62" s="6003" customFormat="1" ht="20.25" customHeight="1" x14ac:dyDescent="0.25">
      <c r="A365" s="93"/>
      <c r="B365" s="6007" t="s">
        <v>2039</v>
      </c>
      <c r="C365" s="6008" t="s">
        <v>50</v>
      </c>
      <c r="D365" s="6008"/>
      <c r="E365" s="6009"/>
      <c r="F365" s="6010"/>
      <c r="G365" s="6009"/>
      <c r="H365" s="6010"/>
      <c r="I365" s="6011"/>
      <c r="J365" s="6012"/>
      <c r="K365" s="6009"/>
      <c r="L365" s="6010"/>
      <c r="M365" s="6013"/>
      <c r="N365" s="6014"/>
      <c r="O365" s="6009"/>
      <c r="P365" s="6010"/>
      <c r="Q365" s="6011"/>
      <c r="R365" s="6012"/>
      <c r="S365" s="6009"/>
      <c r="T365" s="6010"/>
      <c r="U365" s="6011"/>
      <c r="V365" s="6012"/>
      <c r="W365" s="6009"/>
      <c r="X365" s="6010"/>
      <c r="Y365" s="6013"/>
      <c r="Z365" s="6014"/>
      <c r="AA365" s="6015"/>
      <c r="AB365" s="6016"/>
      <c r="AC365" s="6009"/>
      <c r="AD365" s="6010"/>
      <c r="AE365" s="6011"/>
      <c r="AF365" s="6012"/>
      <c r="AG365" s="6009"/>
      <c r="AH365" s="6010"/>
      <c r="AI365" s="6011"/>
      <c r="AJ365" s="6002">
        <f t="shared" si="523"/>
        <v>0</v>
      </c>
      <c r="AK365" s="6009"/>
      <c r="AL365" s="6010">
        <v>36.04</v>
      </c>
      <c r="AM365" s="6013"/>
      <c r="AN365" s="6001">
        <f t="shared" si="537"/>
        <v>36.04</v>
      </c>
      <c r="AO365" s="6011"/>
      <c r="AP365" s="6002">
        <f t="shared" si="511"/>
        <v>36.04</v>
      </c>
      <c r="AQ365" s="6009"/>
      <c r="AR365" s="6010"/>
      <c r="AS365" s="6011"/>
      <c r="AT365" s="6135">
        <f t="shared" si="512"/>
        <v>36.04</v>
      </c>
      <c r="AU365" s="6009"/>
      <c r="AV365" s="6010"/>
      <c r="AW365" s="6011"/>
      <c r="AX365" s="6193">
        <f t="shared" si="513"/>
        <v>36.04</v>
      </c>
      <c r="AY365" s="6009"/>
      <c r="AZ365" s="6010"/>
      <c r="BA365" s="6013"/>
      <c r="BB365" s="6586">
        <f t="shared" si="538"/>
        <v>0</v>
      </c>
      <c r="BC365" s="6015"/>
      <c r="BD365" s="6587">
        <f t="shared" si="534"/>
        <v>36.04</v>
      </c>
      <c r="BE365" s="6011"/>
      <c r="BF365" s="6589">
        <f t="shared" si="516"/>
        <v>36.04</v>
      </c>
      <c r="BG365" s="4590"/>
      <c r="BH365" s="4590"/>
      <c r="BI365" s="4590"/>
      <c r="BJ365" s="4590"/>
    </row>
    <row r="366" spans="1:62" s="6137" customFormat="1" ht="20.25" customHeight="1" x14ac:dyDescent="0.25">
      <c r="A366" s="93"/>
      <c r="B366" s="6007" t="s">
        <v>2144</v>
      </c>
      <c r="C366" s="6008" t="s">
        <v>50</v>
      </c>
      <c r="D366" s="6008"/>
      <c r="E366" s="6009"/>
      <c r="F366" s="6010"/>
      <c r="G366" s="6009"/>
      <c r="H366" s="6010"/>
      <c r="I366" s="6011"/>
      <c r="J366" s="6012"/>
      <c r="K366" s="6009"/>
      <c r="L366" s="6010"/>
      <c r="M366" s="6013"/>
      <c r="N366" s="6014"/>
      <c r="O366" s="6009"/>
      <c r="P366" s="6010"/>
      <c r="Q366" s="6011"/>
      <c r="R366" s="6012"/>
      <c r="S366" s="6009"/>
      <c r="T366" s="6010"/>
      <c r="U366" s="6011"/>
      <c r="V366" s="6012"/>
      <c r="W366" s="6009"/>
      <c r="X366" s="6010"/>
      <c r="Y366" s="6013"/>
      <c r="Z366" s="6014"/>
      <c r="AA366" s="6015"/>
      <c r="AB366" s="6016"/>
      <c r="AC366" s="6009"/>
      <c r="AD366" s="6010"/>
      <c r="AE366" s="6011"/>
      <c r="AF366" s="6012"/>
      <c r="AG366" s="6009"/>
      <c r="AH366" s="6010"/>
      <c r="AI366" s="6011"/>
      <c r="AJ366" s="6012"/>
      <c r="AK366" s="6009"/>
      <c r="AL366" s="6010"/>
      <c r="AM366" s="6013"/>
      <c r="AN366" s="6014"/>
      <c r="AO366" s="6011"/>
      <c r="AP366" s="6012"/>
      <c r="AQ366" s="6009"/>
      <c r="AR366" s="6010">
        <v>20.78</v>
      </c>
      <c r="AS366" s="6011"/>
      <c r="AT366" s="6135">
        <f t="shared" si="512"/>
        <v>20.78</v>
      </c>
      <c r="AU366" s="6009"/>
      <c r="AV366" s="6010"/>
      <c r="AW366" s="6011"/>
      <c r="AX366" s="6193">
        <f t="shared" si="513"/>
        <v>20.78</v>
      </c>
      <c r="AY366" s="6009"/>
      <c r="AZ366" s="6010"/>
      <c r="BA366" s="6013"/>
      <c r="BB366" s="6586">
        <f t="shared" si="538"/>
        <v>20.78</v>
      </c>
      <c r="BC366" s="6015"/>
      <c r="BD366" s="6587">
        <f t="shared" si="534"/>
        <v>20.78</v>
      </c>
      <c r="BE366" s="6011"/>
      <c r="BF366" s="6589">
        <f t="shared" si="516"/>
        <v>20.78</v>
      </c>
      <c r="BG366" s="4590"/>
      <c r="BH366" s="4590"/>
      <c r="BI366" s="4590"/>
      <c r="BJ366" s="4590"/>
    </row>
    <row r="367" spans="1:62" ht="20.25" customHeight="1" x14ac:dyDescent="0.25">
      <c r="A367" s="93"/>
      <c r="B367" s="4250" t="s">
        <v>1957</v>
      </c>
      <c r="C367" s="159" t="s">
        <v>50</v>
      </c>
      <c r="D367" s="159"/>
      <c r="E367" s="4298"/>
      <c r="F367" s="1970"/>
      <c r="G367" s="4298"/>
      <c r="H367" s="1970"/>
      <c r="I367" s="4299"/>
      <c r="J367" s="2399">
        <f t="shared" si="526"/>
        <v>0</v>
      </c>
      <c r="K367" s="4298"/>
      <c r="L367" s="1970"/>
      <c r="M367" s="906"/>
      <c r="N367" s="4125">
        <f t="shared" si="535"/>
        <v>0</v>
      </c>
      <c r="O367" s="4298"/>
      <c r="P367" s="1970">
        <v>39</v>
      </c>
      <c r="Q367" s="4299"/>
      <c r="R367" s="4773">
        <f t="shared" si="527"/>
        <v>39</v>
      </c>
      <c r="S367" s="4298"/>
      <c r="T367" s="1970"/>
      <c r="U367" s="4299"/>
      <c r="V367" s="4890">
        <f t="shared" si="532"/>
        <v>39</v>
      </c>
      <c r="W367" s="4298"/>
      <c r="X367" s="1970"/>
      <c r="Y367" s="906"/>
      <c r="Z367" s="4125">
        <f t="shared" si="536"/>
        <v>39</v>
      </c>
      <c r="AA367" s="4300"/>
      <c r="AB367" s="4157">
        <f t="shared" si="533"/>
        <v>39</v>
      </c>
      <c r="AC367" s="4298"/>
      <c r="AD367" s="1970"/>
      <c r="AE367" s="4299"/>
      <c r="AF367" s="5333">
        <f t="shared" si="508"/>
        <v>39</v>
      </c>
      <c r="AG367" s="4298"/>
      <c r="AH367" s="1970"/>
      <c r="AI367" s="4299"/>
      <c r="AJ367" s="5511">
        <f t="shared" si="523"/>
        <v>39</v>
      </c>
      <c r="AK367" s="4298"/>
      <c r="AL367" s="1970">
        <v>39.840000000000003</v>
      </c>
      <c r="AM367" s="906"/>
      <c r="AN367" s="5903">
        <f t="shared" si="537"/>
        <v>39.840000000000003</v>
      </c>
      <c r="AO367" s="4299"/>
      <c r="AP367" s="5907">
        <f t="shared" si="511"/>
        <v>78.84</v>
      </c>
      <c r="AQ367" s="4298"/>
      <c r="AR367" s="1970"/>
      <c r="AS367" s="4299"/>
      <c r="AT367" s="6135">
        <f t="shared" si="512"/>
        <v>78.84</v>
      </c>
      <c r="AU367" s="4298"/>
      <c r="AV367" s="1970"/>
      <c r="AW367" s="4299"/>
      <c r="AX367" s="6193">
        <f t="shared" si="513"/>
        <v>78.84</v>
      </c>
      <c r="AY367" s="4298"/>
      <c r="AZ367" s="1970"/>
      <c r="BA367" s="906"/>
      <c r="BB367" s="6586">
        <f t="shared" si="538"/>
        <v>0</v>
      </c>
      <c r="BC367" s="4300"/>
      <c r="BD367" s="6587">
        <f t="shared" si="534"/>
        <v>39.840000000000003</v>
      </c>
      <c r="BE367" s="4299"/>
      <c r="BF367" s="6589">
        <f t="shared" si="516"/>
        <v>78.84</v>
      </c>
      <c r="BG367" s="4590"/>
      <c r="BH367" s="4590"/>
      <c r="BI367" s="4590"/>
      <c r="BJ367" s="4590"/>
    </row>
    <row r="368" spans="1:62" s="6003" customFormat="1" ht="20.25" customHeight="1" x14ac:dyDescent="0.25">
      <c r="A368" s="93"/>
      <c r="B368" s="6007" t="s">
        <v>2041</v>
      </c>
      <c r="C368" s="6008" t="s">
        <v>50</v>
      </c>
      <c r="D368" s="6008"/>
      <c r="E368" s="6009"/>
      <c r="F368" s="6010"/>
      <c r="G368" s="6009"/>
      <c r="H368" s="6010"/>
      <c r="I368" s="6011"/>
      <c r="J368" s="6012"/>
      <c r="K368" s="6009"/>
      <c r="L368" s="6010"/>
      <c r="M368" s="6013"/>
      <c r="N368" s="6014"/>
      <c r="O368" s="6009"/>
      <c r="P368" s="6010"/>
      <c r="Q368" s="6011"/>
      <c r="R368" s="6012"/>
      <c r="S368" s="6009"/>
      <c r="T368" s="6010"/>
      <c r="U368" s="6011"/>
      <c r="V368" s="6012"/>
      <c r="W368" s="6009"/>
      <c r="X368" s="6010"/>
      <c r="Y368" s="6013"/>
      <c r="Z368" s="6014"/>
      <c r="AA368" s="6015"/>
      <c r="AB368" s="6016"/>
      <c r="AC368" s="6009"/>
      <c r="AD368" s="6010"/>
      <c r="AE368" s="6011"/>
      <c r="AF368" s="6012"/>
      <c r="AG368" s="6009"/>
      <c r="AH368" s="6010"/>
      <c r="AI368" s="6011"/>
      <c r="AJ368" s="6002">
        <f t="shared" si="523"/>
        <v>0</v>
      </c>
      <c r="AK368" s="6009"/>
      <c r="AL368" s="6010">
        <v>38.92</v>
      </c>
      <c r="AM368" s="6013"/>
      <c r="AN368" s="6001">
        <f t="shared" si="537"/>
        <v>38.92</v>
      </c>
      <c r="AO368" s="6011"/>
      <c r="AP368" s="6002">
        <f t="shared" si="511"/>
        <v>38.92</v>
      </c>
      <c r="AQ368" s="6009"/>
      <c r="AR368" s="6010"/>
      <c r="AS368" s="6011"/>
      <c r="AT368" s="6135">
        <f t="shared" si="512"/>
        <v>38.92</v>
      </c>
      <c r="AU368" s="6009"/>
      <c r="AV368" s="6010"/>
      <c r="AW368" s="6011"/>
      <c r="AX368" s="6193">
        <f t="shared" si="513"/>
        <v>38.92</v>
      </c>
      <c r="AY368" s="6009"/>
      <c r="AZ368" s="6010"/>
      <c r="BA368" s="6013"/>
      <c r="BB368" s="6586">
        <f t="shared" si="538"/>
        <v>0</v>
      </c>
      <c r="BC368" s="6015"/>
      <c r="BD368" s="6587">
        <f t="shared" si="534"/>
        <v>38.92</v>
      </c>
      <c r="BE368" s="6011"/>
      <c r="BF368" s="6589">
        <f t="shared" si="516"/>
        <v>38.92</v>
      </c>
      <c r="BG368" s="4590"/>
      <c r="BH368" s="4590"/>
      <c r="BI368" s="4590"/>
      <c r="BJ368" s="4590"/>
    </row>
    <row r="369" spans="1:62" ht="20.25" customHeight="1" x14ac:dyDescent="0.25">
      <c r="A369" s="93"/>
      <c r="B369" s="4250" t="s">
        <v>2040</v>
      </c>
      <c r="C369" s="159" t="s">
        <v>50</v>
      </c>
      <c r="D369" s="159"/>
      <c r="E369" s="4298"/>
      <c r="F369" s="1970"/>
      <c r="G369" s="4298"/>
      <c r="H369" s="1970"/>
      <c r="I369" s="4299"/>
      <c r="J369" s="2399">
        <f t="shared" si="526"/>
        <v>0</v>
      </c>
      <c r="K369" s="4298"/>
      <c r="L369" s="1970"/>
      <c r="M369" s="906"/>
      <c r="N369" s="4125">
        <f t="shared" si="535"/>
        <v>0</v>
      </c>
      <c r="O369" s="4298"/>
      <c r="P369" s="1970"/>
      <c r="Q369" s="4299"/>
      <c r="R369" s="4773">
        <f t="shared" si="527"/>
        <v>0</v>
      </c>
      <c r="S369" s="4298"/>
      <c r="T369" s="1970"/>
      <c r="U369" s="4299"/>
      <c r="V369" s="4890">
        <f t="shared" si="532"/>
        <v>0</v>
      </c>
      <c r="W369" s="4298"/>
      <c r="X369" s="1970"/>
      <c r="Y369" s="906"/>
      <c r="Z369" s="4125">
        <f t="shared" si="536"/>
        <v>0</v>
      </c>
      <c r="AA369" s="4300"/>
      <c r="AB369" s="4157">
        <f t="shared" si="533"/>
        <v>0</v>
      </c>
      <c r="AC369" s="4298"/>
      <c r="AD369" s="1970"/>
      <c r="AE369" s="4299"/>
      <c r="AF369" s="5333">
        <f t="shared" si="508"/>
        <v>0</v>
      </c>
      <c r="AG369" s="4298"/>
      <c r="AH369" s="1970"/>
      <c r="AI369" s="4299"/>
      <c r="AJ369" s="5511">
        <f t="shared" si="523"/>
        <v>0</v>
      </c>
      <c r="AK369" s="4298"/>
      <c r="AL369" s="1970">
        <v>17.64</v>
      </c>
      <c r="AM369" s="906"/>
      <c r="AN369" s="5903">
        <f t="shared" si="537"/>
        <v>17.64</v>
      </c>
      <c r="AO369" s="4299"/>
      <c r="AP369" s="5907">
        <f t="shared" si="511"/>
        <v>17.64</v>
      </c>
      <c r="AQ369" s="4298"/>
      <c r="AR369" s="1970"/>
      <c r="AS369" s="4299"/>
      <c r="AT369" s="6135">
        <f t="shared" si="512"/>
        <v>17.64</v>
      </c>
      <c r="AU369" s="4298"/>
      <c r="AV369" s="1970"/>
      <c r="AW369" s="4299"/>
      <c r="AX369" s="6193">
        <f t="shared" si="513"/>
        <v>17.64</v>
      </c>
      <c r="AY369" s="4298"/>
      <c r="AZ369" s="1970"/>
      <c r="BA369" s="906"/>
      <c r="BB369" s="6586">
        <f t="shared" si="538"/>
        <v>0</v>
      </c>
      <c r="BC369" s="4300"/>
      <c r="BD369" s="6587">
        <f t="shared" si="534"/>
        <v>17.64</v>
      </c>
      <c r="BE369" s="4299"/>
      <c r="BF369" s="2399">
        <f t="shared" si="516"/>
        <v>17.64</v>
      </c>
      <c r="BG369" s="4590"/>
      <c r="BH369" s="4590"/>
      <c r="BI369" s="4590"/>
      <c r="BJ369" s="4590"/>
    </row>
    <row r="370" spans="1:62" ht="20.25" customHeight="1" x14ac:dyDescent="0.25">
      <c r="A370" s="93"/>
      <c r="B370" s="4278" t="s">
        <v>1958</v>
      </c>
      <c r="C370" s="159" t="s">
        <v>50</v>
      </c>
      <c r="D370" s="159"/>
      <c r="E370" s="4298"/>
      <c r="F370" s="1970"/>
      <c r="G370" s="4298"/>
      <c r="H370" s="1970"/>
      <c r="I370" s="4299"/>
      <c r="J370" s="2399">
        <f t="shared" si="526"/>
        <v>0</v>
      </c>
      <c r="K370" s="4298"/>
      <c r="L370" s="1970"/>
      <c r="M370" s="906"/>
      <c r="N370" s="4125">
        <f t="shared" si="535"/>
        <v>0</v>
      </c>
      <c r="O370" s="4298"/>
      <c r="P370" s="1970"/>
      <c r="Q370" s="4299"/>
      <c r="R370" s="4773">
        <f t="shared" si="527"/>
        <v>0</v>
      </c>
      <c r="S370" s="4298"/>
      <c r="T370" s="1970"/>
      <c r="U370" s="4299"/>
      <c r="V370" s="4890">
        <f t="shared" si="532"/>
        <v>0</v>
      </c>
      <c r="W370" s="4298"/>
      <c r="X370" s="1970">
        <v>78.900000000000006</v>
      </c>
      <c r="Y370" s="906"/>
      <c r="Z370" s="4125">
        <f t="shared" si="536"/>
        <v>78.900000000000006</v>
      </c>
      <c r="AA370" s="4300"/>
      <c r="AB370" s="4157">
        <f t="shared" si="533"/>
        <v>78.900000000000006</v>
      </c>
      <c r="AC370" s="4298"/>
      <c r="AD370" s="1970"/>
      <c r="AE370" s="4299"/>
      <c r="AF370" s="5333">
        <f t="shared" si="508"/>
        <v>78.900000000000006</v>
      </c>
      <c r="AG370" s="4298"/>
      <c r="AH370" s="1970"/>
      <c r="AI370" s="4299"/>
      <c r="AJ370" s="2399">
        <f t="shared" si="523"/>
        <v>78.900000000000006</v>
      </c>
      <c r="AK370" s="4298"/>
      <c r="AL370" s="1970"/>
      <c r="AM370" s="906"/>
      <c r="AN370" s="5903">
        <f t="shared" si="537"/>
        <v>0</v>
      </c>
      <c r="AO370" s="4299"/>
      <c r="AP370" s="2399">
        <f t="shared" si="511"/>
        <v>78.900000000000006</v>
      </c>
      <c r="AQ370" s="4298"/>
      <c r="AR370" s="1970"/>
      <c r="AS370" s="4299"/>
      <c r="AT370" s="6135">
        <f t="shared" si="512"/>
        <v>78.900000000000006</v>
      </c>
      <c r="AU370" s="4298"/>
      <c r="AV370" s="1970"/>
      <c r="AW370" s="4299"/>
      <c r="AX370" s="6193">
        <f t="shared" si="513"/>
        <v>78.900000000000006</v>
      </c>
      <c r="AY370" s="4298"/>
      <c r="AZ370" s="1970"/>
      <c r="BA370" s="906"/>
      <c r="BB370" s="6586">
        <f t="shared" si="538"/>
        <v>0</v>
      </c>
      <c r="BC370" s="4300"/>
      <c r="BD370" s="4157">
        <f t="shared" si="534"/>
        <v>0</v>
      </c>
      <c r="BE370" s="4299"/>
      <c r="BF370" s="2399">
        <f t="shared" si="516"/>
        <v>78.900000000000006</v>
      </c>
      <c r="BG370" s="4590"/>
      <c r="BH370" s="4590"/>
      <c r="BI370" s="4590"/>
      <c r="BJ370" s="4590"/>
    </row>
    <row r="371" spans="1:62" ht="20.25" customHeight="1" x14ac:dyDescent="0.25">
      <c r="A371" s="93"/>
      <c r="B371" s="4278" t="s">
        <v>2016</v>
      </c>
      <c r="C371" s="159" t="s">
        <v>50</v>
      </c>
      <c r="D371" s="159"/>
      <c r="E371" s="4298"/>
      <c r="F371" s="1970"/>
      <c r="G371" s="4298"/>
      <c r="H371" s="1970"/>
      <c r="I371" s="4299"/>
      <c r="J371" s="2399">
        <f t="shared" si="526"/>
        <v>0</v>
      </c>
      <c r="K371" s="4298"/>
      <c r="L371" s="1970"/>
      <c r="M371" s="906"/>
      <c r="N371" s="4125">
        <f t="shared" si="535"/>
        <v>0</v>
      </c>
      <c r="O371" s="4298"/>
      <c r="P371" s="1970"/>
      <c r="Q371" s="4299"/>
      <c r="R371" s="4773">
        <f t="shared" si="527"/>
        <v>0</v>
      </c>
      <c r="S371" s="4298"/>
      <c r="T371" s="1970"/>
      <c r="U371" s="4299"/>
      <c r="V371" s="4890">
        <f t="shared" si="532"/>
        <v>0</v>
      </c>
      <c r="W371" s="4298"/>
      <c r="X371" s="1970"/>
      <c r="Y371" s="906"/>
      <c r="Z371" s="4125">
        <f t="shared" si="536"/>
        <v>0</v>
      </c>
      <c r="AA371" s="4300"/>
      <c r="AB371" s="4157">
        <f t="shared" si="533"/>
        <v>0</v>
      </c>
      <c r="AC371" s="4298"/>
      <c r="AD371" s="1970">
        <v>39.799999999999997</v>
      </c>
      <c r="AE371" s="4299"/>
      <c r="AF371" s="5333">
        <f t="shared" si="508"/>
        <v>39.799999999999997</v>
      </c>
      <c r="AG371" s="4298"/>
      <c r="AH371" s="1970"/>
      <c r="AI371" s="4299"/>
      <c r="AJ371" s="2399">
        <f t="shared" si="523"/>
        <v>39.799999999999997</v>
      </c>
      <c r="AK371" s="4298"/>
      <c r="AL371" s="1970"/>
      <c r="AM371" s="906"/>
      <c r="AN371" s="4125">
        <f t="shared" ref="AN371" si="539">AD371+AH371+AL371</f>
        <v>39.799999999999997</v>
      </c>
      <c r="AO371" s="4299"/>
      <c r="AP371" s="2399">
        <f t="shared" si="511"/>
        <v>39.799999999999997</v>
      </c>
      <c r="AQ371" s="4298"/>
      <c r="AR371" s="1970"/>
      <c r="AS371" s="4299"/>
      <c r="AT371" s="6135">
        <f t="shared" si="512"/>
        <v>39.799999999999997</v>
      </c>
      <c r="AU371" s="4298"/>
      <c r="AV371" s="1970"/>
      <c r="AW371" s="4299"/>
      <c r="AX371" s="6193">
        <f t="shared" si="513"/>
        <v>39.799999999999997</v>
      </c>
      <c r="AY371" s="4298"/>
      <c r="AZ371" s="1970"/>
      <c r="BA371" s="906"/>
      <c r="BB371" s="4125">
        <f t="shared" ref="BB371" si="540">AR371+AV371+AZ371</f>
        <v>0</v>
      </c>
      <c r="BC371" s="4300"/>
      <c r="BD371" s="4157">
        <f t="shared" si="534"/>
        <v>39.799999999999997</v>
      </c>
      <c r="BE371" s="4299"/>
      <c r="BF371" s="2399">
        <f t="shared" si="516"/>
        <v>39.799999999999997</v>
      </c>
      <c r="BG371" s="4590"/>
      <c r="BH371" s="4590"/>
      <c r="BI371" s="4590"/>
      <c r="BJ371" s="4590"/>
    </row>
    <row r="372" spans="1:62" ht="20.25" customHeight="1" x14ac:dyDescent="0.25">
      <c r="A372" s="93"/>
      <c r="B372" s="4235" t="s">
        <v>2</v>
      </c>
      <c r="C372" s="814" t="s">
        <v>50</v>
      </c>
      <c r="D372" s="1971">
        <f>+D23</f>
        <v>3000.0000000000009</v>
      </c>
      <c r="E372" s="1971">
        <f>+E23</f>
        <v>272.72727272727275</v>
      </c>
      <c r="F372" s="4283">
        <f>SUM(F359:F370)</f>
        <v>0</v>
      </c>
      <c r="G372" s="1971">
        <f>+G23</f>
        <v>0</v>
      </c>
      <c r="H372" s="4283">
        <f>SUM(H359:H370)</f>
        <v>0</v>
      </c>
      <c r="I372" s="376">
        <f>+I23</f>
        <v>272.72727272727275</v>
      </c>
      <c r="J372" s="4284">
        <f t="shared" si="526"/>
        <v>0</v>
      </c>
      <c r="K372" s="1971">
        <f>+K23</f>
        <v>0</v>
      </c>
      <c r="L372" s="4283">
        <f>SUM(L359:L370)</f>
        <v>39.82</v>
      </c>
      <c r="M372" s="378">
        <f>E372+G372+K372</f>
        <v>272.72727272727275</v>
      </c>
      <c r="N372" s="4285">
        <f>F372+H372+L372</f>
        <v>39.82</v>
      </c>
      <c r="O372" s="1971">
        <f>+O23</f>
        <v>0</v>
      </c>
      <c r="P372" s="4283">
        <f>SUM(P359:P370)</f>
        <v>39</v>
      </c>
      <c r="Q372" s="376">
        <f>+Q23</f>
        <v>272.72727272727275</v>
      </c>
      <c r="R372" s="4774">
        <f t="shared" si="527"/>
        <v>78.819999999999993</v>
      </c>
      <c r="S372" s="1971">
        <f>+S23</f>
        <v>800</v>
      </c>
      <c r="T372" s="4283">
        <f>SUM(T359:T370)</f>
        <v>103.74</v>
      </c>
      <c r="U372" s="4885">
        <f>+U23</f>
        <v>1072.7272727272727</v>
      </c>
      <c r="V372" s="4885">
        <f t="shared" si="532"/>
        <v>182.56</v>
      </c>
      <c r="W372" s="1971">
        <f>+W23</f>
        <v>800</v>
      </c>
      <c r="X372" s="4283">
        <f>SUM(X359:X370)</f>
        <v>233.41</v>
      </c>
      <c r="Y372" s="378">
        <f>O372+S372+W372</f>
        <v>1600</v>
      </c>
      <c r="Z372" s="4285">
        <f>P372+T372+X372</f>
        <v>376.15</v>
      </c>
      <c r="AA372" s="4160">
        <f>+AA23</f>
        <v>1872.7272727272727</v>
      </c>
      <c r="AB372" s="4286">
        <f t="shared" si="533"/>
        <v>415.96999999999997</v>
      </c>
      <c r="AC372" s="1971">
        <f>+AC23</f>
        <v>800</v>
      </c>
      <c r="AD372" s="4283">
        <f>SUM(AD359:AD371)</f>
        <v>156.07999999999998</v>
      </c>
      <c r="AE372" s="376">
        <f>+AE23</f>
        <v>2672.727272727273</v>
      </c>
      <c r="AF372" s="4284">
        <f t="shared" si="508"/>
        <v>572.04999999999995</v>
      </c>
      <c r="AG372" s="1971">
        <f>+AG23</f>
        <v>800</v>
      </c>
      <c r="AH372" s="4283">
        <f>SUM(AH359:AH371)</f>
        <v>0</v>
      </c>
      <c r="AI372" s="376">
        <f>+AI23</f>
        <v>3472.727272727273</v>
      </c>
      <c r="AJ372" s="4284">
        <f t="shared" si="523"/>
        <v>572.04999999999995</v>
      </c>
      <c r="AK372" s="1971">
        <f>+AK23</f>
        <v>800</v>
      </c>
      <c r="AL372" s="4283">
        <f>SUM(AL359:AL371)</f>
        <v>132.44</v>
      </c>
      <c r="AM372" s="378">
        <f>AC372+AG372+AK372</f>
        <v>2400</v>
      </c>
      <c r="AN372" s="4285">
        <f>AD372+AH372+AL372</f>
        <v>288.52</v>
      </c>
      <c r="AO372" s="376">
        <f t="shared" si="511"/>
        <v>4272.727272727273</v>
      </c>
      <c r="AP372" s="4284">
        <f t="shared" ref="AP372" si="541">AJ372+AL372</f>
        <v>704.49</v>
      </c>
      <c r="AQ372" s="1971">
        <f>+AQ23</f>
        <v>800</v>
      </c>
      <c r="AR372" s="4283">
        <f>SUM(AR359:AR371)</f>
        <v>252.82</v>
      </c>
      <c r="AS372" s="376">
        <f>+AS23</f>
        <v>5072.727272727273</v>
      </c>
      <c r="AT372" s="4284">
        <f t="shared" ref="AT372" si="542">AP372+AR372</f>
        <v>957.31</v>
      </c>
      <c r="AU372" s="1971">
        <f>+AU23</f>
        <v>800</v>
      </c>
      <c r="AV372" s="4283">
        <f>SUM(AV359:AV371)</f>
        <v>0</v>
      </c>
      <c r="AW372" s="6190">
        <f>+AW23</f>
        <v>5872.727272727273</v>
      </c>
      <c r="AX372" s="4284">
        <f t="shared" ref="AX372" si="543">AT372+AV372</f>
        <v>957.31</v>
      </c>
      <c r="AY372" s="1971">
        <f>+AY23</f>
        <v>800</v>
      </c>
      <c r="AZ372" s="4283">
        <f>SUM(AZ359:AZ371)</f>
        <v>794.61999999999989</v>
      </c>
      <c r="BA372" s="378">
        <f>AQ372+AU372+AY372</f>
        <v>2400</v>
      </c>
      <c r="BB372" s="4285">
        <f>AR372+AV372+AZ372</f>
        <v>1047.4399999999998</v>
      </c>
      <c r="BC372" s="4160">
        <f>AM372+BA372</f>
        <v>4800</v>
      </c>
      <c r="BD372" s="4160">
        <f>AN372+BB372</f>
        <v>1335.9599999999998</v>
      </c>
      <c r="BE372" s="376">
        <f>+BE23</f>
        <v>6672.727272727273</v>
      </c>
      <c r="BF372" s="4284">
        <f t="shared" ref="BF372" si="544">AX372+AZ372</f>
        <v>1751.9299999999998</v>
      </c>
      <c r="BG372" s="4590"/>
      <c r="BH372" s="4590"/>
      <c r="BI372" s="4590"/>
      <c r="BJ372" s="4590"/>
    </row>
    <row r="373" spans="1:62" ht="20.25" customHeight="1" thickBot="1" x14ac:dyDescent="0.3">
      <c r="A373" s="154"/>
      <c r="B373" s="4301"/>
      <c r="C373" s="4301"/>
      <c r="D373" s="4301"/>
      <c r="E373" s="4301"/>
      <c r="F373" s="4301"/>
      <c r="G373" s="4301"/>
      <c r="H373" s="4301"/>
      <c r="I373" s="4301"/>
      <c r="J373" s="4301"/>
      <c r="K373" s="4301"/>
      <c r="L373" s="4301"/>
      <c r="M373" s="4301"/>
      <c r="N373" s="4301"/>
      <c r="O373" s="4301"/>
      <c r="P373" s="4301"/>
      <c r="Q373" s="4301"/>
      <c r="R373" s="4301"/>
      <c r="S373" s="4301"/>
      <c r="T373" s="4301"/>
      <c r="U373" s="4301"/>
      <c r="V373" s="4301"/>
      <c r="W373" s="4301"/>
      <c r="X373" s="4301"/>
      <c r="Y373" s="4301"/>
      <c r="Z373" s="4301"/>
      <c r="AA373" s="4302"/>
      <c r="AB373" s="4302"/>
      <c r="AC373" s="4301"/>
      <c r="AD373" s="4301"/>
      <c r="AE373" s="4301"/>
      <c r="AF373" s="4301"/>
      <c r="AG373" s="4301"/>
      <c r="AH373" s="4301"/>
      <c r="AI373" s="4301"/>
      <c r="AJ373" s="4301"/>
      <c r="AK373" s="4301"/>
      <c r="AL373" s="4301"/>
      <c r="AM373" s="4301"/>
      <c r="AN373" s="4301"/>
      <c r="AO373" s="4301"/>
      <c r="AP373" s="4301"/>
      <c r="AQ373" s="4301"/>
      <c r="AR373" s="4301"/>
      <c r="AS373" s="4301"/>
      <c r="AT373" s="4301"/>
      <c r="AU373" s="4301"/>
      <c r="AV373" s="4301"/>
      <c r="AW373" s="4301"/>
      <c r="AX373" s="4301"/>
      <c r="AY373" s="4301"/>
      <c r="AZ373" s="4301"/>
      <c r="BA373" s="4301"/>
      <c r="BB373" s="4301"/>
      <c r="BC373" s="4302"/>
      <c r="BD373" s="4302"/>
      <c r="BE373" s="4301"/>
      <c r="BF373" s="4301"/>
      <c r="BG373" s="4590"/>
      <c r="BH373" s="4590"/>
      <c r="BI373" s="4590"/>
      <c r="BJ373" s="4590"/>
    </row>
    <row r="374" spans="1:62" ht="20.25" customHeight="1" x14ac:dyDescent="0.25">
      <c r="A374" s="154"/>
      <c r="B374" s="4303" t="s">
        <v>539</v>
      </c>
      <c r="C374" s="4304"/>
      <c r="D374" s="4304"/>
      <c r="E374" s="4304"/>
      <c r="F374" s="4304"/>
      <c r="G374" s="4304"/>
      <c r="H374" s="4304"/>
      <c r="I374" s="4304"/>
      <c r="J374" s="4304"/>
      <c r="K374" s="4304"/>
      <c r="L374" s="4304"/>
      <c r="M374" s="4304"/>
      <c r="N374" s="4304"/>
      <c r="O374" s="4304"/>
      <c r="P374" s="4304"/>
      <c r="Q374" s="4304"/>
      <c r="R374" s="4304"/>
      <c r="S374" s="4304"/>
      <c r="T374" s="4304"/>
      <c r="U374" s="4304"/>
      <c r="V374" s="4304"/>
      <c r="W374" s="4304"/>
      <c r="X374" s="4304"/>
      <c r="Y374" s="4304"/>
      <c r="Z374" s="4304"/>
      <c r="AA374" s="4305"/>
      <c r="AB374" s="4306"/>
      <c r="AC374" s="4304"/>
      <c r="AD374" s="4304"/>
      <c r="AE374" s="4304"/>
      <c r="AF374" s="4304"/>
      <c r="AG374" s="4304"/>
      <c r="AH374" s="4304"/>
      <c r="AI374" s="4304"/>
      <c r="AJ374" s="4304"/>
      <c r="AK374" s="4304"/>
      <c r="AL374" s="4304"/>
      <c r="AM374" s="4304"/>
      <c r="AN374" s="4304"/>
      <c r="AO374" s="4304"/>
      <c r="AP374" s="4304"/>
      <c r="AQ374" s="4304"/>
      <c r="AR374" s="4304"/>
      <c r="AS374" s="4304"/>
      <c r="AT374" s="4304"/>
      <c r="AU374" s="4304"/>
      <c r="AV374" s="4304"/>
      <c r="AW374" s="4304"/>
      <c r="AX374" s="4304"/>
      <c r="AY374" s="4304"/>
      <c r="AZ374" s="4304"/>
      <c r="BA374" s="4304"/>
      <c r="BB374" s="4304"/>
      <c r="BC374" s="4305"/>
      <c r="BD374" s="4306"/>
      <c r="BE374" s="4304"/>
      <c r="BF374" s="4304"/>
      <c r="BG374" s="4590"/>
      <c r="BH374" s="4590"/>
      <c r="BI374" s="4590"/>
      <c r="BJ374" s="4590"/>
    </row>
    <row r="375" spans="1:62" x14ac:dyDescent="0.25">
      <c r="A375" s="154"/>
      <c r="B375" s="744" t="s">
        <v>1255</v>
      </c>
      <c r="C375" s="2184"/>
      <c r="D375" s="2184"/>
      <c r="E375" s="2184"/>
      <c r="F375" s="2184"/>
      <c r="G375" s="2184"/>
      <c r="H375" s="2184"/>
      <c r="I375" s="2184"/>
      <c r="J375" s="2184"/>
      <c r="K375" s="2184"/>
      <c r="L375" s="2184"/>
      <c r="M375" s="2184"/>
      <c r="N375" s="2184"/>
      <c r="O375" s="2184"/>
      <c r="P375" s="2184"/>
      <c r="Q375" s="2184"/>
      <c r="R375" s="2184"/>
      <c r="S375" s="2184"/>
      <c r="T375" s="2184"/>
      <c r="U375" s="2184"/>
      <c r="V375" s="2184"/>
      <c r="W375" s="2184"/>
      <c r="X375" s="2184"/>
      <c r="Y375" s="2184"/>
      <c r="Z375" s="2184"/>
      <c r="AA375" s="4307"/>
      <c r="AB375" s="4308"/>
      <c r="AC375" s="2184"/>
      <c r="AD375" s="2184"/>
      <c r="AE375" s="2184"/>
      <c r="AF375" s="2184"/>
      <c r="AG375" s="2184"/>
      <c r="AH375" s="2184"/>
      <c r="AI375" s="2184"/>
      <c r="AJ375" s="2184"/>
      <c r="AK375" s="2184"/>
      <c r="AL375" s="2184"/>
      <c r="AM375" s="2184"/>
      <c r="AN375" s="2184"/>
      <c r="AO375" s="2184"/>
      <c r="AP375" s="2184"/>
      <c r="AQ375" s="2184"/>
      <c r="AR375" s="2184"/>
      <c r="AS375" s="2184"/>
      <c r="AT375" s="2184"/>
      <c r="AU375" s="2184"/>
      <c r="AV375" s="2184"/>
      <c r="AW375" s="2184"/>
      <c r="AX375" s="2184"/>
      <c r="AY375" s="2184"/>
      <c r="AZ375" s="2184"/>
      <c r="BA375" s="2184"/>
      <c r="BB375" s="2184"/>
      <c r="BC375" s="4307"/>
      <c r="BD375" s="4308"/>
      <c r="BE375" s="2184"/>
      <c r="BF375" s="2184"/>
      <c r="BG375" s="4590"/>
      <c r="BH375" s="4590"/>
      <c r="BI375" s="4590"/>
      <c r="BJ375" s="4590"/>
    </row>
    <row r="376" spans="1:62" x14ac:dyDescent="0.25">
      <c r="A376" s="154"/>
      <c r="B376" s="744" t="s">
        <v>120</v>
      </c>
      <c r="C376" s="2184"/>
      <c r="D376" s="2184"/>
      <c r="E376" s="2184"/>
      <c r="F376" s="2184"/>
      <c r="G376" s="2184"/>
      <c r="H376" s="2184"/>
      <c r="I376" s="2184"/>
      <c r="J376" s="2184"/>
      <c r="K376" s="2184"/>
      <c r="L376" s="2184"/>
      <c r="M376" s="2184"/>
      <c r="N376" s="2184"/>
      <c r="O376" s="2184"/>
      <c r="P376" s="2184"/>
      <c r="Q376" s="2184"/>
      <c r="R376" s="2184"/>
      <c r="S376" s="2184"/>
      <c r="T376" s="2184"/>
      <c r="U376" s="2184"/>
      <c r="V376" s="2184"/>
      <c r="W376" s="2184"/>
      <c r="X376" s="2184"/>
      <c r="Y376" s="2184"/>
      <c r="Z376" s="2184"/>
      <c r="AA376" s="4307"/>
      <c r="AB376" s="4308"/>
      <c r="AC376" s="2184"/>
      <c r="AD376" s="2184"/>
      <c r="AE376" s="2184"/>
      <c r="AF376" s="2184"/>
      <c r="AG376" s="2184"/>
      <c r="AH376" s="2184"/>
      <c r="AI376" s="2184"/>
      <c r="AJ376" s="2184"/>
      <c r="AK376" s="2184"/>
      <c r="AL376" s="2184"/>
      <c r="AM376" s="2184"/>
      <c r="AN376" s="2184"/>
      <c r="AO376" s="2184"/>
      <c r="AP376" s="2184"/>
      <c r="AQ376" s="2184"/>
      <c r="AR376" s="2184"/>
      <c r="AS376" s="2184"/>
      <c r="AT376" s="2184"/>
      <c r="AU376" s="2184"/>
      <c r="AV376" s="2184"/>
      <c r="AW376" s="2184"/>
      <c r="AX376" s="2184"/>
      <c r="AY376" s="2184"/>
      <c r="AZ376" s="2184"/>
      <c r="BA376" s="2184"/>
      <c r="BB376" s="2184"/>
      <c r="BC376" s="4307"/>
      <c r="BD376" s="4308"/>
      <c r="BE376" s="2184"/>
      <c r="BF376" s="2184"/>
      <c r="BG376" s="4590"/>
      <c r="BH376" s="4590"/>
      <c r="BI376" s="4590"/>
      <c r="BJ376" s="4590"/>
    </row>
    <row r="377" spans="1:62" x14ac:dyDescent="0.25">
      <c r="A377" s="93"/>
      <c r="B377" s="4142" t="s">
        <v>659</v>
      </c>
      <c r="C377" s="159" t="s">
        <v>50</v>
      </c>
      <c r="D377" s="159"/>
      <c r="E377" s="7474"/>
      <c r="F377" s="2400"/>
      <c r="G377" s="7474"/>
      <c r="H377" s="7166"/>
      <c r="I377" s="7505"/>
      <c r="J377" s="2399">
        <f>F377+H377</f>
        <v>0</v>
      </c>
      <c r="K377" s="7474"/>
      <c r="L377" s="4574"/>
      <c r="M377" s="7535"/>
      <c r="N377" s="4980">
        <f>F377+H377+L377</f>
        <v>0</v>
      </c>
      <c r="O377" s="7474"/>
      <c r="P377" s="4778"/>
      <c r="Q377" s="7505"/>
      <c r="R377" s="4854">
        <f t="shared" ref="R377:R409" si="545">N377+P377</f>
        <v>0</v>
      </c>
      <c r="S377" s="7474"/>
      <c r="T377" s="4889">
        <v>2823.7400000000007</v>
      </c>
      <c r="U377" s="7505"/>
      <c r="V377" s="4890">
        <f t="shared" ref="V377:V409" si="546">R377+T377</f>
        <v>2823.7400000000007</v>
      </c>
      <c r="W377" s="7474"/>
      <c r="X377" s="5026"/>
      <c r="Y377" s="7535"/>
      <c r="Z377" s="5020">
        <f t="shared" ref="Z377:Z409" si="547">P377+T377+X377</f>
        <v>2823.7400000000007</v>
      </c>
      <c r="AA377" s="7520"/>
      <c r="AB377" s="4311">
        <f>N377+Z377</f>
        <v>2823.7400000000007</v>
      </c>
      <c r="AC377" s="7474"/>
      <c r="AD377" s="5337">
        <v>2633.36</v>
      </c>
      <c r="AE377" s="7505"/>
      <c r="AF377" s="5374">
        <f t="shared" ref="AF377:AF380" si="548">AB377+AD377</f>
        <v>5457.1</v>
      </c>
      <c r="AG377" s="7474"/>
      <c r="AH377" s="5510"/>
      <c r="AI377" s="4309"/>
      <c r="AJ377" s="5511">
        <f t="shared" ref="AJ377:AJ406" si="549">AF377+AH377</f>
        <v>5457.1</v>
      </c>
      <c r="AK377" s="7474"/>
      <c r="AL377" s="5911"/>
      <c r="AM377" s="7535"/>
      <c r="AN377" s="6006">
        <f t="shared" ref="AN377:AN427" si="550">AD377+AH377+AL377</f>
        <v>2633.36</v>
      </c>
      <c r="AO377" s="7505"/>
      <c r="AP377" s="6005">
        <f t="shared" ref="AO377:AP427" si="551">AJ377+AL377</f>
        <v>5457.1</v>
      </c>
      <c r="AQ377" s="7474"/>
      <c r="AR377" s="1971">
        <v>2758.7400000000007</v>
      </c>
      <c r="AS377" s="4309"/>
      <c r="AT377" s="6135">
        <f t="shared" ref="AT377:AT380" si="552">AP377+AR377</f>
        <v>8215.84</v>
      </c>
      <c r="AU377" s="7474"/>
      <c r="AV377" s="1971"/>
      <c r="AW377" s="4309"/>
      <c r="AX377" s="6193">
        <f t="shared" ref="AX377:AX380" si="553">AT377+AV377</f>
        <v>8215.84</v>
      </c>
      <c r="AY377" s="7474"/>
      <c r="AZ377" s="1971"/>
      <c r="BA377" s="7535"/>
      <c r="BB377" s="6600">
        <f t="shared" ref="BB377:BB407" si="554">AR377+AV377+AZ377</f>
        <v>2758.7400000000007</v>
      </c>
      <c r="BC377" s="7520"/>
      <c r="BD377" s="544">
        <f t="shared" ref="BD377:BD427" si="555">AN377+BB377</f>
        <v>5392.1</v>
      </c>
      <c r="BE377" s="4309"/>
      <c r="BF377" s="6598">
        <f t="shared" ref="BF377:BF406" si="556">AX377+AZ377</f>
        <v>8215.84</v>
      </c>
      <c r="BG377" s="4590"/>
      <c r="BH377" s="4590"/>
      <c r="BI377" s="4590"/>
      <c r="BJ377" s="4590"/>
    </row>
    <row r="378" spans="1:62" x14ac:dyDescent="0.25">
      <c r="A378" s="93"/>
      <c r="B378" s="4310" t="s">
        <v>713</v>
      </c>
      <c r="C378" s="159" t="s">
        <v>50</v>
      </c>
      <c r="D378" s="159"/>
      <c r="E378" s="7474"/>
      <c r="F378" s="1971">
        <v>4343.1200000000008</v>
      </c>
      <c r="G378" s="7474"/>
      <c r="H378" s="1971">
        <v>2814.6399999999994</v>
      </c>
      <c r="I378" s="7505"/>
      <c r="J378" s="4983">
        <f t="shared" ref="J378:J421" si="557">F378+H378</f>
        <v>7157.76</v>
      </c>
      <c r="K378" s="7474"/>
      <c r="L378" s="1971"/>
      <c r="M378" s="7535"/>
      <c r="N378" s="4981">
        <f>F378+H378+L378</f>
        <v>7157.76</v>
      </c>
      <c r="O378" s="7474"/>
      <c r="P378" s="1971"/>
      <c r="Q378" s="7505"/>
      <c r="R378" s="4983">
        <f t="shared" si="545"/>
        <v>7157.76</v>
      </c>
      <c r="S378" s="7474"/>
      <c r="T378" s="1971">
        <v>2823.7400000000007</v>
      </c>
      <c r="U378" s="7505"/>
      <c r="V378" s="4983">
        <f t="shared" si="546"/>
        <v>9981.5</v>
      </c>
      <c r="W378" s="7474"/>
      <c r="X378" s="1971"/>
      <c r="Y378" s="7535"/>
      <c r="Z378" s="378">
        <f t="shared" si="547"/>
        <v>2823.7400000000007</v>
      </c>
      <c r="AA378" s="7520"/>
      <c r="AB378" s="4311">
        <f>N378+Z378</f>
        <v>9981.5</v>
      </c>
      <c r="AC378" s="7474"/>
      <c r="AD378" s="1971">
        <v>2633.36</v>
      </c>
      <c r="AE378" s="7505"/>
      <c r="AF378" s="2399">
        <f t="shared" si="548"/>
        <v>12614.86</v>
      </c>
      <c r="AG378" s="7474"/>
      <c r="AH378" s="1971"/>
      <c r="AI378" s="4309"/>
      <c r="AJ378" s="5511">
        <f t="shared" si="549"/>
        <v>12614.86</v>
      </c>
      <c r="AK378" s="7474"/>
      <c r="AL378" s="1971"/>
      <c r="AM378" s="7535"/>
      <c r="AN378" s="378">
        <f t="shared" si="550"/>
        <v>2633.36</v>
      </c>
      <c r="AO378" s="7505"/>
      <c r="AP378" s="2399">
        <f t="shared" si="551"/>
        <v>12614.86</v>
      </c>
      <c r="AQ378" s="7474"/>
      <c r="AR378" s="1971">
        <v>2758.7400000000007</v>
      </c>
      <c r="AS378" s="4309"/>
      <c r="AT378" s="2399">
        <f t="shared" si="552"/>
        <v>15373.600000000002</v>
      </c>
      <c r="AU378" s="7474"/>
      <c r="AV378" s="1971"/>
      <c r="AW378" s="4309"/>
      <c r="AX378" s="6193">
        <f t="shared" si="553"/>
        <v>15373.600000000002</v>
      </c>
      <c r="AY378" s="7474"/>
      <c r="AZ378" s="1971"/>
      <c r="BA378" s="7535"/>
      <c r="BB378" s="378">
        <f t="shared" si="554"/>
        <v>2758.7400000000007</v>
      </c>
      <c r="BC378" s="7520"/>
      <c r="BD378" s="544">
        <f t="shared" si="555"/>
        <v>5392.1</v>
      </c>
      <c r="BE378" s="4309"/>
      <c r="BF378" s="2399">
        <f t="shared" si="556"/>
        <v>15373.600000000002</v>
      </c>
      <c r="BG378" s="4590"/>
      <c r="BH378" s="4590"/>
      <c r="BI378" s="4590"/>
      <c r="BJ378" s="4590"/>
    </row>
    <row r="379" spans="1:62" x14ac:dyDescent="0.25">
      <c r="A379" s="154"/>
      <c r="B379" s="4312"/>
      <c r="C379" s="205" t="s">
        <v>50</v>
      </c>
      <c r="D379" s="205"/>
      <c r="E379" s="7474"/>
      <c r="F379" s="2400">
        <f>+F38</f>
        <v>0</v>
      </c>
      <c r="G379" s="7474"/>
      <c r="H379" s="7166">
        <f>+H38</f>
        <v>0</v>
      </c>
      <c r="I379" s="7505"/>
      <c r="J379" s="2400">
        <f t="shared" si="557"/>
        <v>0</v>
      </c>
      <c r="K379" s="7474"/>
      <c r="L379" s="4574">
        <f>+L38</f>
        <v>0</v>
      </c>
      <c r="M379" s="7535"/>
      <c r="N379" s="378">
        <f t="shared" ref="N379:N409" si="558">F379+H379+L379</f>
        <v>0</v>
      </c>
      <c r="O379" s="7474"/>
      <c r="P379" s="4778">
        <f>+P38</f>
        <v>0</v>
      </c>
      <c r="Q379" s="7505"/>
      <c r="R379" s="4773">
        <f t="shared" si="545"/>
        <v>0</v>
      </c>
      <c r="S379" s="7474"/>
      <c r="T379" s="4889">
        <f>+T38</f>
        <v>0</v>
      </c>
      <c r="U379" s="7505"/>
      <c r="V379" s="4890">
        <f t="shared" si="546"/>
        <v>0</v>
      </c>
      <c r="W379" s="7474"/>
      <c r="X379" s="5026">
        <f>+X38</f>
        <v>0</v>
      </c>
      <c r="Y379" s="7535"/>
      <c r="Z379" s="5020"/>
      <c r="AA379" s="7520"/>
      <c r="AB379" s="4311"/>
      <c r="AC379" s="7474"/>
      <c r="AD379" s="5337"/>
      <c r="AE379" s="7505"/>
      <c r="AF379" s="2399"/>
      <c r="AG379" s="7474"/>
      <c r="AH379" s="5510"/>
      <c r="AI379" s="4309"/>
      <c r="AJ379" s="5511">
        <f t="shared" si="549"/>
        <v>0</v>
      </c>
      <c r="AK379" s="7474"/>
      <c r="AL379" s="5911"/>
      <c r="AM379" s="7535"/>
      <c r="AN379" s="5904">
        <f t="shared" si="550"/>
        <v>0</v>
      </c>
      <c r="AO379" s="7505"/>
      <c r="AP379" s="5907">
        <f t="shared" si="551"/>
        <v>0</v>
      </c>
      <c r="AQ379" s="7474"/>
      <c r="AR379" s="6066"/>
      <c r="AS379" s="4309"/>
      <c r="AT379" s="2399">
        <f t="shared" si="552"/>
        <v>0</v>
      </c>
      <c r="AU379" s="7474"/>
      <c r="AV379" s="6189"/>
      <c r="AW379" s="4309"/>
      <c r="AX379" s="6193">
        <f t="shared" si="553"/>
        <v>0</v>
      </c>
      <c r="AY379" s="7474"/>
      <c r="AZ379" s="6401"/>
      <c r="BA379" s="7535"/>
      <c r="BB379" s="6600">
        <f t="shared" si="554"/>
        <v>0</v>
      </c>
      <c r="BC379" s="7520"/>
      <c r="BD379" s="544">
        <f t="shared" si="555"/>
        <v>0</v>
      </c>
      <c r="BE379" s="4309"/>
      <c r="BF379" s="6598">
        <f t="shared" si="556"/>
        <v>0</v>
      </c>
      <c r="BG379" s="4590"/>
      <c r="BH379" s="4590"/>
      <c r="BI379" s="4590"/>
      <c r="BJ379" s="4590"/>
    </row>
    <row r="380" spans="1:62" ht="42.75" x14ac:dyDescent="0.25">
      <c r="A380" s="93"/>
      <c r="B380" s="4313" t="s">
        <v>1739</v>
      </c>
      <c r="C380" s="205" t="s">
        <v>50</v>
      </c>
      <c r="D380" s="205"/>
      <c r="E380" s="7474"/>
      <c r="F380" s="2400">
        <f>+F39</f>
        <v>1095.8900000000001</v>
      </c>
      <c r="G380" s="7474"/>
      <c r="H380" s="7166">
        <f>+H39</f>
        <v>1764.77</v>
      </c>
      <c r="I380" s="7505"/>
      <c r="J380" s="2399">
        <f t="shared" si="557"/>
        <v>2860.66</v>
      </c>
      <c r="K380" s="7474"/>
      <c r="L380" s="4574">
        <f>+L39</f>
        <v>2866.62</v>
      </c>
      <c r="M380" s="7535"/>
      <c r="N380" s="378">
        <f t="shared" si="558"/>
        <v>5727.28</v>
      </c>
      <c r="O380" s="7474"/>
      <c r="P380" s="4778">
        <f>+P39</f>
        <v>2363.09</v>
      </c>
      <c r="Q380" s="7505"/>
      <c r="R380" s="4773">
        <f t="shared" si="545"/>
        <v>8090.37</v>
      </c>
      <c r="S380" s="7474"/>
      <c r="T380" s="4889">
        <f>+T39</f>
        <v>3766.74</v>
      </c>
      <c r="U380" s="7505"/>
      <c r="V380" s="4890">
        <f t="shared" si="546"/>
        <v>11857.11</v>
      </c>
      <c r="W380" s="7474"/>
      <c r="X380" s="5026">
        <f>+X39</f>
        <v>4291.22</v>
      </c>
      <c r="Y380" s="7535"/>
      <c r="Z380" s="5020">
        <f t="shared" si="547"/>
        <v>10421.049999999999</v>
      </c>
      <c r="AA380" s="7520"/>
      <c r="AB380" s="4311">
        <f t="shared" ref="AB380:AB409" si="559">N380+Z380</f>
        <v>16148.329999999998</v>
      </c>
      <c r="AC380" s="7474"/>
      <c r="AD380" s="5337">
        <f>+AD39</f>
        <v>3411.6499999999996</v>
      </c>
      <c r="AE380" s="7505"/>
      <c r="AF380" s="2399">
        <f t="shared" si="548"/>
        <v>19559.979999999996</v>
      </c>
      <c r="AG380" s="7474"/>
      <c r="AH380" s="5510">
        <f>+AH39</f>
        <v>5141.4699999999993</v>
      </c>
      <c r="AI380" s="4309"/>
      <c r="AJ380" s="5511">
        <f t="shared" si="549"/>
        <v>24701.449999999997</v>
      </c>
      <c r="AK380" s="7474"/>
      <c r="AL380" s="5911">
        <f>+AL39</f>
        <v>3545.0299999999997</v>
      </c>
      <c r="AM380" s="7535"/>
      <c r="AN380" s="5904">
        <f t="shared" si="550"/>
        <v>12098.149999999998</v>
      </c>
      <c r="AO380" s="7505"/>
      <c r="AP380" s="5907">
        <f t="shared" si="551"/>
        <v>28246.479999999996</v>
      </c>
      <c r="AQ380" s="7474"/>
      <c r="AR380" s="6066">
        <f>+AR39</f>
        <v>3486.44</v>
      </c>
      <c r="AS380" s="4309"/>
      <c r="AT380" s="2399">
        <f t="shared" si="552"/>
        <v>31732.919999999995</v>
      </c>
      <c r="AU380" s="7474"/>
      <c r="AV380" s="6189">
        <f>+AV39</f>
        <v>1080.8899999999999</v>
      </c>
      <c r="AW380" s="4309"/>
      <c r="AX380" s="6193">
        <f t="shared" si="553"/>
        <v>32813.81</v>
      </c>
      <c r="AY380" s="7474"/>
      <c r="AZ380" s="6401">
        <f>+AZ39</f>
        <v>6449.17</v>
      </c>
      <c r="BA380" s="7535"/>
      <c r="BB380" s="6600">
        <f t="shared" si="554"/>
        <v>11016.5</v>
      </c>
      <c r="BC380" s="7520"/>
      <c r="BD380" s="544">
        <f t="shared" si="555"/>
        <v>23114.649999999998</v>
      </c>
      <c r="BE380" s="4309"/>
      <c r="BF380" s="6598">
        <f t="shared" si="556"/>
        <v>39262.979999999996</v>
      </c>
      <c r="BG380" s="4590"/>
      <c r="BH380" s="4590"/>
      <c r="BI380" s="4590"/>
      <c r="BJ380" s="4590"/>
    </row>
    <row r="381" spans="1:62" x14ac:dyDescent="0.25">
      <c r="A381" s="93"/>
      <c r="B381" s="4028" t="s">
        <v>601</v>
      </c>
      <c r="C381" s="205"/>
      <c r="D381" s="205"/>
      <c r="E381" s="7474"/>
      <c r="F381" s="2400"/>
      <c r="G381" s="7474"/>
      <c r="H381" s="7166"/>
      <c r="I381" s="7505"/>
      <c r="J381" s="2399">
        <f t="shared" si="557"/>
        <v>0</v>
      </c>
      <c r="K381" s="7474"/>
      <c r="L381" s="4574"/>
      <c r="M381" s="7535"/>
      <c r="N381" s="378">
        <f t="shared" si="558"/>
        <v>0</v>
      </c>
      <c r="O381" s="7474"/>
      <c r="P381" s="4778"/>
      <c r="Q381" s="7505"/>
      <c r="R381" s="4773">
        <f t="shared" si="545"/>
        <v>0</v>
      </c>
      <c r="S381" s="7474"/>
      <c r="T381" s="4889"/>
      <c r="U381" s="7505"/>
      <c r="V381" s="4890">
        <f t="shared" si="546"/>
        <v>0</v>
      </c>
      <c r="W381" s="7474"/>
      <c r="X381" s="5026"/>
      <c r="Y381" s="7535"/>
      <c r="Z381" s="5020"/>
      <c r="AA381" s="7520"/>
      <c r="AB381" s="4311"/>
      <c r="AC381" s="7474"/>
      <c r="AD381" s="5337"/>
      <c r="AE381" s="7505"/>
      <c r="AF381" s="2399"/>
      <c r="AG381" s="7474"/>
      <c r="AH381" s="5510"/>
      <c r="AI381" s="4309"/>
      <c r="AJ381" s="5511">
        <f t="shared" si="549"/>
        <v>0</v>
      </c>
      <c r="AK381" s="7474"/>
      <c r="AL381" s="5911"/>
      <c r="AM381" s="7535"/>
      <c r="AN381" s="5904">
        <f t="shared" si="550"/>
        <v>0</v>
      </c>
      <c r="AO381" s="7505"/>
      <c r="AP381" s="5907">
        <f t="shared" si="551"/>
        <v>0</v>
      </c>
      <c r="AQ381" s="7474"/>
      <c r="AR381" s="6066"/>
      <c r="AS381" s="4309"/>
      <c r="AT381" s="2399"/>
      <c r="AU381" s="7474"/>
      <c r="AV381" s="6189"/>
      <c r="AW381" s="4309"/>
      <c r="AX381" s="6193"/>
      <c r="AY381" s="7474"/>
      <c r="AZ381" s="6401"/>
      <c r="BA381" s="7535"/>
      <c r="BB381" s="6600">
        <f t="shared" si="554"/>
        <v>0</v>
      </c>
      <c r="BC381" s="7520"/>
      <c r="BD381" s="544">
        <f t="shared" si="555"/>
        <v>0</v>
      </c>
      <c r="BE381" s="4309"/>
      <c r="BF381" s="6598">
        <f t="shared" si="556"/>
        <v>0</v>
      </c>
      <c r="BG381" s="4590"/>
      <c r="BH381" s="4590"/>
      <c r="BI381" s="4590"/>
      <c r="BJ381" s="4590"/>
    </row>
    <row r="382" spans="1:62" x14ac:dyDescent="0.25">
      <c r="A382" s="93"/>
      <c r="B382" s="8" t="s">
        <v>2212</v>
      </c>
      <c r="C382" s="159" t="s">
        <v>50</v>
      </c>
      <c r="D382" s="159"/>
      <c r="E382" s="7474"/>
      <c r="F382" s="2400"/>
      <c r="G382" s="7474"/>
      <c r="H382" s="7166"/>
      <c r="I382" s="7505"/>
      <c r="J382" s="2399">
        <f t="shared" si="557"/>
        <v>0</v>
      </c>
      <c r="K382" s="7474"/>
      <c r="L382" s="4574"/>
      <c r="M382" s="7535"/>
      <c r="N382" s="378">
        <f t="shared" si="558"/>
        <v>0</v>
      </c>
      <c r="O382" s="7474"/>
      <c r="P382" s="4778"/>
      <c r="Q382" s="7505"/>
      <c r="R382" s="4773">
        <f t="shared" si="545"/>
        <v>0</v>
      </c>
      <c r="S382" s="7474"/>
      <c r="T382" s="4889"/>
      <c r="U382" s="7505"/>
      <c r="V382" s="4890">
        <f t="shared" si="546"/>
        <v>0</v>
      </c>
      <c r="W382" s="7474"/>
      <c r="X382" s="5026"/>
      <c r="Y382" s="7535"/>
      <c r="Z382" s="5020">
        <f t="shared" si="547"/>
        <v>0</v>
      </c>
      <c r="AA382" s="7520"/>
      <c r="AB382" s="4311">
        <f t="shared" si="559"/>
        <v>0</v>
      </c>
      <c r="AC382" s="7474"/>
      <c r="AD382" s="5337"/>
      <c r="AE382" s="7505"/>
      <c r="AF382" s="2399">
        <f t="shared" ref="AF382:AF409" si="560">AB382+AD382</f>
        <v>0</v>
      </c>
      <c r="AG382" s="7474"/>
      <c r="AH382" s="5510"/>
      <c r="AI382" s="4314"/>
      <c r="AJ382" s="5511">
        <f t="shared" si="549"/>
        <v>0</v>
      </c>
      <c r="AK382" s="7474"/>
      <c r="AL382" s="5911"/>
      <c r="AM382" s="7535"/>
      <c r="AN382" s="5904">
        <f t="shared" si="550"/>
        <v>0</v>
      </c>
      <c r="AO382" s="7505"/>
      <c r="AP382" s="5907">
        <f t="shared" si="551"/>
        <v>0</v>
      </c>
      <c r="AQ382" s="7474"/>
      <c r="AR382" s="6066"/>
      <c r="AS382" s="4314"/>
      <c r="AT382" s="2399">
        <f t="shared" ref="AT382:AT409" si="561">AP382+AR382</f>
        <v>0</v>
      </c>
      <c r="AU382" s="7474"/>
      <c r="AV382" s="6189"/>
      <c r="AW382" s="4314"/>
      <c r="AX382" s="6193">
        <f t="shared" ref="AX382:AX409" si="562">AT382+AV382</f>
        <v>0</v>
      </c>
      <c r="AY382" s="7474"/>
      <c r="AZ382" s="6401"/>
      <c r="BA382" s="7535"/>
      <c r="BB382" s="6600">
        <f t="shared" si="554"/>
        <v>0</v>
      </c>
      <c r="BC382" s="7520"/>
      <c r="BD382" s="544">
        <f t="shared" si="555"/>
        <v>0</v>
      </c>
      <c r="BE382" s="4314"/>
      <c r="BF382" s="6598">
        <f t="shared" si="556"/>
        <v>0</v>
      </c>
      <c r="BG382" s="4590"/>
      <c r="BH382" s="4590"/>
      <c r="BI382" s="4590"/>
      <c r="BJ382" s="4590"/>
    </row>
    <row r="383" spans="1:62" x14ac:dyDescent="0.25">
      <c r="A383" s="93"/>
      <c r="B383" s="8" t="s">
        <v>2213</v>
      </c>
      <c r="C383" s="159" t="s">
        <v>50</v>
      </c>
      <c r="D383" s="159"/>
      <c r="E383" s="7474"/>
      <c r="F383" s="2400">
        <v>2365.9</v>
      </c>
      <c r="G383" s="7474"/>
      <c r="H383" s="7166">
        <v>3992.5400000000018</v>
      </c>
      <c r="I383" s="7505"/>
      <c r="J383" s="7213">
        <f t="shared" si="557"/>
        <v>6358.4400000000023</v>
      </c>
      <c r="K383" s="7474"/>
      <c r="L383" s="4574">
        <v>5507.7999999999993</v>
      </c>
      <c r="M383" s="7535"/>
      <c r="N383" s="378">
        <f t="shared" si="558"/>
        <v>11866.240000000002</v>
      </c>
      <c r="O383" s="7474"/>
      <c r="P383" s="4778">
        <v>9597.2600000000039</v>
      </c>
      <c r="Q383" s="7505"/>
      <c r="R383" s="4773">
        <f t="shared" si="545"/>
        <v>21463.500000000007</v>
      </c>
      <c r="S383" s="7474"/>
      <c r="T383" s="4889">
        <v>3110.6999999999994</v>
      </c>
      <c r="U383" s="7505"/>
      <c r="V383" s="4890">
        <f t="shared" si="546"/>
        <v>24574.200000000008</v>
      </c>
      <c r="W383" s="7474"/>
      <c r="X383" s="5026">
        <v>8996.239999999998</v>
      </c>
      <c r="Y383" s="7535"/>
      <c r="Z383" s="5020">
        <f t="shared" si="547"/>
        <v>21704.2</v>
      </c>
      <c r="AA383" s="7520"/>
      <c r="AB383" s="4311">
        <f t="shared" si="559"/>
        <v>33570.44</v>
      </c>
      <c r="AC383" s="7474"/>
      <c r="AD383" s="5337">
        <v>62.54</v>
      </c>
      <c r="AE383" s="7505"/>
      <c r="AF383" s="5333">
        <f t="shared" si="560"/>
        <v>33632.980000000003</v>
      </c>
      <c r="AG383" s="7474"/>
      <c r="AH383" s="5510"/>
      <c r="AI383" s="4314"/>
      <c r="AJ383" s="5511">
        <f t="shared" si="549"/>
        <v>33632.980000000003</v>
      </c>
      <c r="AK383" s="7474"/>
      <c r="AL383" s="5911">
        <v>8859.2800000000025</v>
      </c>
      <c r="AM383" s="7535"/>
      <c r="AN383" s="5904">
        <f t="shared" si="550"/>
        <v>8921.8200000000033</v>
      </c>
      <c r="AO383" s="7505"/>
      <c r="AP383" s="5907">
        <f t="shared" si="551"/>
        <v>42492.260000000009</v>
      </c>
      <c r="AQ383" s="7474"/>
      <c r="AR383" s="6066">
        <v>8721.1799999999985</v>
      </c>
      <c r="AS383" s="4314"/>
      <c r="AT383" s="6135">
        <f t="shared" si="561"/>
        <v>51213.44000000001</v>
      </c>
      <c r="AU383" s="7474"/>
      <c r="AV383" s="6189">
        <v>2702.6399999999994</v>
      </c>
      <c r="AW383" s="4314"/>
      <c r="AX383" s="6193">
        <f t="shared" si="562"/>
        <v>53916.080000000009</v>
      </c>
      <c r="AY383" s="7474"/>
      <c r="AZ383" s="6401">
        <v>4630.7600000000011</v>
      </c>
      <c r="BA383" s="7535"/>
      <c r="BB383" s="6600">
        <f t="shared" si="554"/>
        <v>16054.579999999998</v>
      </c>
      <c r="BC383" s="7520"/>
      <c r="BD383" s="544">
        <f t="shared" si="555"/>
        <v>24976.400000000001</v>
      </c>
      <c r="BE383" s="4314"/>
      <c r="BF383" s="6598">
        <f t="shared" si="556"/>
        <v>58546.840000000011</v>
      </c>
      <c r="BG383" s="4590"/>
      <c r="BH383" s="4590"/>
      <c r="BI383" s="4590"/>
      <c r="BJ383" s="4590"/>
    </row>
    <row r="384" spans="1:62" s="5375" customFormat="1" x14ac:dyDescent="0.25">
      <c r="A384" s="93"/>
      <c r="B384" s="8" t="s">
        <v>2220</v>
      </c>
      <c r="C384" s="5385"/>
      <c r="D384" s="5385"/>
      <c r="E384" s="7475"/>
      <c r="F384" s="5230"/>
      <c r="G384" s="7475"/>
      <c r="H384" s="5230"/>
      <c r="I384" s="7506"/>
      <c r="J384" s="7213">
        <f t="shared" si="557"/>
        <v>0</v>
      </c>
      <c r="K384" s="7475"/>
      <c r="L384" s="5230"/>
      <c r="M384" s="7536"/>
      <c r="N384" s="5224"/>
      <c r="O384" s="7475"/>
      <c r="P384" s="5230"/>
      <c r="Q384" s="7506"/>
      <c r="R384" s="5225"/>
      <c r="S384" s="7475"/>
      <c r="T384" s="5230"/>
      <c r="U384" s="7506"/>
      <c r="V384" s="5225"/>
      <c r="W384" s="7475"/>
      <c r="X384" s="5230"/>
      <c r="Y384" s="7536"/>
      <c r="Z384" s="5224"/>
      <c r="AA384" s="7521"/>
      <c r="AB384" s="4311"/>
      <c r="AC384" s="7475"/>
      <c r="AD384" s="5230">
        <v>246.62000000000003</v>
      </c>
      <c r="AE384" s="7506"/>
      <c r="AF384" s="5381">
        <f t="shared" si="560"/>
        <v>246.62000000000003</v>
      </c>
      <c r="AG384" s="7475"/>
      <c r="AH384" s="5230"/>
      <c r="AI384" s="4314"/>
      <c r="AJ384" s="5511">
        <f t="shared" si="549"/>
        <v>246.62000000000003</v>
      </c>
      <c r="AK384" s="7475"/>
      <c r="AL384" s="5230"/>
      <c r="AM384" s="7536"/>
      <c r="AN384" s="5904">
        <f t="shared" si="550"/>
        <v>246.62000000000003</v>
      </c>
      <c r="AO384" s="7506"/>
      <c r="AP384" s="5907">
        <f t="shared" si="551"/>
        <v>246.62000000000003</v>
      </c>
      <c r="AQ384" s="7475"/>
      <c r="AR384" s="5230"/>
      <c r="AS384" s="4314"/>
      <c r="AT384" s="6135">
        <f t="shared" si="561"/>
        <v>246.62000000000003</v>
      </c>
      <c r="AU384" s="7475"/>
      <c r="AV384" s="5230"/>
      <c r="AW384" s="4314"/>
      <c r="AX384" s="6193">
        <f t="shared" si="562"/>
        <v>246.62000000000003</v>
      </c>
      <c r="AY384" s="7475"/>
      <c r="AZ384" s="5230"/>
      <c r="BA384" s="7536"/>
      <c r="BB384" s="6600">
        <f t="shared" si="554"/>
        <v>0</v>
      </c>
      <c r="BC384" s="7521"/>
      <c r="BD384" s="544">
        <f t="shared" si="555"/>
        <v>246.62000000000003</v>
      </c>
      <c r="BE384" s="4314"/>
      <c r="BF384" s="6598">
        <f t="shared" si="556"/>
        <v>246.62000000000003</v>
      </c>
      <c r="BG384" s="4590"/>
      <c r="BH384" s="4590"/>
      <c r="BI384" s="4590"/>
      <c r="BJ384" s="4590"/>
    </row>
    <row r="385" spans="1:62" x14ac:dyDescent="0.25">
      <c r="A385" s="93"/>
      <c r="B385" s="8" t="s">
        <v>2221</v>
      </c>
      <c r="C385" s="159" t="s">
        <v>50</v>
      </c>
      <c r="D385" s="159"/>
      <c r="E385" s="7474"/>
      <c r="F385" s="2400"/>
      <c r="G385" s="7474"/>
      <c r="H385" s="7166"/>
      <c r="I385" s="7505"/>
      <c r="J385" s="7213">
        <f t="shared" si="557"/>
        <v>0</v>
      </c>
      <c r="K385" s="7474"/>
      <c r="L385" s="4574"/>
      <c r="M385" s="7535"/>
      <c r="N385" s="378">
        <f t="shared" si="558"/>
        <v>0</v>
      </c>
      <c r="O385" s="7474"/>
      <c r="P385" s="4778"/>
      <c r="Q385" s="7505"/>
      <c r="R385" s="4773">
        <f t="shared" si="545"/>
        <v>0</v>
      </c>
      <c r="S385" s="7474"/>
      <c r="T385" s="4889"/>
      <c r="U385" s="7505"/>
      <c r="V385" s="4890">
        <f t="shared" si="546"/>
        <v>0</v>
      </c>
      <c r="W385" s="7474"/>
      <c r="X385" s="5026">
        <v>324.59999999999997</v>
      </c>
      <c r="Y385" s="7535"/>
      <c r="Z385" s="5020">
        <f t="shared" si="547"/>
        <v>324.59999999999997</v>
      </c>
      <c r="AA385" s="7520"/>
      <c r="AB385" s="4311">
        <f t="shared" si="559"/>
        <v>324.59999999999997</v>
      </c>
      <c r="AC385" s="7474"/>
      <c r="AD385" s="5337">
        <v>130.32</v>
      </c>
      <c r="AE385" s="7505"/>
      <c r="AF385" s="5333">
        <f t="shared" si="560"/>
        <v>454.91999999999996</v>
      </c>
      <c r="AG385" s="7474"/>
      <c r="AH385" s="5510"/>
      <c r="AI385" s="4314"/>
      <c r="AJ385" s="5511">
        <f t="shared" si="549"/>
        <v>454.91999999999996</v>
      </c>
      <c r="AK385" s="7474"/>
      <c r="AL385" s="5911"/>
      <c r="AM385" s="7535"/>
      <c r="AN385" s="5904">
        <f t="shared" si="550"/>
        <v>130.32</v>
      </c>
      <c r="AO385" s="7505"/>
      <c r="AP385" s="5907">
        <f t="shared" si="551"/>
        <v>454.91999999999996</v>
      </c>
      <c r="AQ385" s="7474"/>
      <c r="AR385" s="6066"/>
      <c r="AS385" s="4314"/>
      <c r="AT385" s="6135">
        <f t="shared" si="561"/>
        <v>454.91999999999996</v>
      </c>
      <c r="AU385" s="7474"/>
      <c r="AV385" s="6189"/>
      <c r="AW385" s="4314"/>
      <c r="AX385" s="6193">
        <f t="shared" si="562"/>
        <v>454.91999999999996</v>
      </c>
      <c r="AY385" s="7474"/>
      <c r="AZ385" s="6401"/>
      <c r="BA385" s="7535"/>
      <c r="BB385" s="6600">
        <f t="shared" si="554"/>
        <v>0</v>
      </c>
      <c r="BC385" s="7520"/>
      <c r="BD385" s="544">
        <f t="shared" si="555"/>
        <v>130.32</v>
      </c>
      <c r="BE385" s="4314"/>
      <c r="BF385" s="6598">
        <f t="shared" si="556"/>
        <v>454.91999999999996</v>
      </c>
      <c r="BG385" s="4590"/>
      <c r="BH385" s="4590"/>
      <c r="BI385" s="4590"/>
      <c r="BJ385" s="4590"/>
    </row>
    <row r="386" spans="1:62" x14ac:dyDescent="0.25">
      <c r="A386" s="93"/>
      <c r="B386" s="8" t="s">
        <v>1544</v>
      </c>
      <c r="C386" s="159" t="s">
        <v>50</v>
      </c>
      <c r="D386" s="159"/>
      <c r="E386" s="7474"/>
      <c r="F386" s="2400"/>
      <c r="G386" s="7474"/>
      <c r="H386" s="7166"/>
      <c r="I386" s="7505"/>
      <c r="J386" s="7213">
        <f t="shared" si="557"/>
        <v>0</v>
      </c>
      <c r="K386" s="7474"/>
      <c r="L386" s="4574">
        <v>587.04</v>
      </c>
      <c r="M386" s="7535"/>
      <c r="N386" s="378">
        <f t="shared" si="558"/>
        <v>587.04</v>
      </c>
      <c r="O386" s="7474"/>
      <c r="P386" s="4778">
        <v>253.7</v>
      </c>
      <c r="Q386" s="7505"/>
      <c r="R386" s="4773">
        <f t="shared" si="545"/>
        <v>840.74</v>
      </c>
      <c r="S386" s="7474"/>
      <c r="T386" s="4889"/>
      <c r="U386" s="7505"/>
      <c r="V386" s="4890">
        <f t="shared" si="546"/>
        <v>840.74</v>
      </c>
      <c r="W386" s="7474"/>
      <c r="X386" s="5026"/>
      <c r="Y386" s="7535"/>
      <c r="Z386" s="5020">
        <f t="shared" si="547"/>
        <v>253.7</v>
      </c>
      <c r="AA386" s="7520"/>
      <c r="AB386" s="4311">
        <f t="shared" si="559"/>
        <v>840.74</v>
      </c>
      <c r="AC386" s="7474"/>
      <c r="AD386" s="5337"/>
      <c r="AE386" s="7505"/>
      <c r="AF386" s="5333">
        <f t="shared" si="560"/>
        <v>840.74</v>
      </c>
      <c r="AG386" s="7474"/>
      <c r="AH386" s="5510"/>
      <c r="AI386" s="4309"/>
      <c r="AJ386" s="5511">
        <f t="shared" si="549"/>
        <v>840.74</v>
      </c>
      <c r="AK386" s="7474"/>
      <c r="AL386" s="5911"/>
      <c r="AM386" s="7535"/>
      <c r="AN386" s="5904">
        <f t="shared" si="550"/>
        <v>0</v>
      </c>
      <c r="AO386" s="7505"/>
      <c r="AP386" s="5907">
        <f t="shared" si="551"/>
        <v>840.74</v>
      </c>
      <c r="AQ386" s="7474"/>
      <c r="AR386" s="6066"/>
      <c r="AS386" s="4309"/>
      <c r="AT386" s="6135">
        <f t="shared" si="561"/>
        <v>840.74</v>
      </c>
      <c r="AU386" s="7474"/>
      <c r="AV386" s="6189"/>
      <c r="AW386" s="4309"/>
      <c r="AX386" s="6193">
        <f t="shared" si="562"/>
        <v>840.74</v>
      </c>
      <c r="AY386" s="7474"/>
      <c r="AZ386" s="6401"/>
      <c r="BA386" s="7535"/>
      <c r="BB386" s="6600">
        <f t="shared" si="554"/>
        <v>0</v>
      </c>
      <c r="BC386" s="7520"/>
      <c r="BD386" s="544">
        <f t="shared" si="555"/>
        <v>0</v>
      </c>
      <c r="BE386" s="4309"/>
      <c r="BF386" s="6598">
        <f t="shared" si="556"/>
        <v>840.74</v>
      </c>
      <c r="BG386" s="4590"/>
      <c r="BH386" s="4590"/>
      <c r="BI386" s="4590"/>
      <c r="BJ386" s="4590"/>
    </row>
    <row r="387" spans="1:62" x14ac:dyDescent="0.25">
      <c r="A387" s="93"/>
      <c r="B387" s="8" t="s">
        <v>1668</v>
      </c>
      <c r="C387" s="159" t="s">
        <v>50</v>
      </c>
      <c r="D387" s="159"/>
      <c r="E387" s="7474"/>
      <c r="F387" s="2400"/>
      <c r="G387" s="7474"/>
      <c r="H387" s="7166"/>
      <c r="I387" s="7505"/>
      <c r="J387" s="7213">
        <f t="shared" si="557"/>
        <v>0</v>
      </c>
      <c r="K387" s="7474"/>
      <c r="L387" s="4574"/>
      <c r="M387" s="7535"/>
      <c r="N387" s="378">
        <f t="shared" si="558"/>
        <v>0</v>
      </c>
      <c r="O387" s="7474"/>
      <c r="P387" s="4778">
        <v>651.16</v>
      </c>
      <c r="Q387" s="7505"/>
      <c r="R387" s="4773">
        <f t="shared" si="545"/>
        <v>651.16</v>
      </c>
      <c r="S387" s="7474"/>
      <c r="T387" s="4889"/>
      <c r="U387" s="7505"/>
      <c r="V387" s="4890">
        <f t="shared" si="546"/>
        <v>651.16</v>
      </c>
      <c r="W387" s="7474"/>
      <c r="X387" s="5026"/>
      <c r="Y387" s="7535"/>
      <c r="Z387" s="5020">
        <f t="shared" si="547"/>
        <v>651.16</v>
      </c>
      <c r="AA387" s="7520"/>
      <c r="AB387" s="4311">
        <f t="shared" si="559"/>
        <v>651.16</v>
      </c>
      <c r="AC387" s="7474"/>
      <c r="AD387" s="5337">
        <v>128.74</v>
      </c>
      <c r="AE387" s="7505"/>
      <c r="AF387" s="5333">
        <f t="shared" si="560"/>
        <v>779.9</v>
      </c>
      <c r="AG387" s="7474"/>
      <c r="AH387" s="5510"/>
      <c r="AI387" s="4309"/>
      <c r="AJ387" s="5511">
        <f t="shared" si="549"/>
        <v>779.9</v>
      </c>
      <c r="AK387" s="7474"/>
      <c r="AL387" s="5911"/>
      <c r="AM387" s="7535"/>
      <c r="AN387" s="5904">
        <f t="shared" si="550"/>
        <v>128.74</v>
      </c>
      <c r="AO387" s="7505"/>
      <c r="AP387" s="5907">
        <f t="shared" si="551"/>
        <v>779.9</v>
      </c>
      <c r="AQ387" s="7474"/>
      <c r="AR387" s="6066"/>
      <c r="AS387" s="4309"/>
      <c r="AT387" s="6135">
        <f t="shared" si="561"/>
        <v>779.9</v>
      </c>
      <c r="AU387" s="7474"/>
      <c r="AV387" s="6189"/>
      <c r="AW387" s="4309"/>
      <c r="AX387" s="6193">
        <f t="shared" si="562"/>
        <v>779.9</v>
      </c>
      <c r="AY387" s="7474"/>
      <c r="AZ387" s="6401"/>
      <c r="BA387" s="7535"/>
      <c r="BB387" s="6600">
        <f t="shared" si="554"/>
        <v>0</v>
      </c>
      <c r="BC387" s="7520"/>
      <c r="BD387" s="544">
        <f t="shared" si="555"/>
        <v>128.74</v>
      </c>
      <c r="BE387" s="4309"/>
      <c r="BF387" s="6598">
        <f t="shared" si="556"/>
        <v>779.9</v>
      </c>
      <c r="BG387" s="4590"/>
      <c r="BH387" s="4590"/>
      <c r="BI387" s="4590"/>
      <c r="BJ387" s="4590"/>
    </row>
    <row r="388" spans="1:62" x14ac:dyDescent="0.25">
      <c r="A388" s="93"/>
      <c r="B388" s="8" t="s">
        <v>2214</v>
      </c>
      <c r="C388" s="159" t="s">
        <v>50</v>
      </c>
      <c r="D388" s="159"/>
      <c r="E388" s="7474"/>
      <c r="F388" s="2400">
        <v>65.319999999999993</v>
      </c>
      <c r="G388" s="7474"/>
      <c r="H388" s="7166"/>
      <c r="I388" s="7505"/>
      <c r="J388" s="7213">
        <f t="shared" si="557"/>
        <v>65.319999999999993</v>
      </c>
      <c r="K388" s="7474"/>
      <c r="L388" s="4574"/>
      <c r="M388" s="7535"/>
      <c r="N388" s="378">
        <f t="shared" si="558"/>
        <v>65.319999999999993</v>
      </c>
      <c r="O388" s="7474"/>
      <c r="P388" s="4778"/>
      <c r="Q388" s="7505"/>
      <c r="R388" s="4773">
        <f t="shared" si="545"/>
        <v>65.319999999999993</v>
      </c>
      <c r="S388" s="7474"/>
      <c r="T388" s="4889"/>
      <c r="U388" s="7505"/>
      <c r="V388" s="4890">
        <f t="shared" si="546"/>
        <v>65.319999999999993</v>
      </c>
      <c r="W388" s="7474"/>
      <c r="X388" s="5026"/>
      <c r="Y388" s="7535"/>
      <c r="Z388" s="5020">
        <f t="shared" si="547"/>
        <v>0</v>
      </c>
      <c r="AA388" s="7520"/>
      <c r="AB388" s="4311">
        <f t="shared" si="559"/>
        <v>65.319999999999993</v>
      </c>
      <c r="AC388" s="7474"/>
      <c r="AD388" s="5337"/>
      <c r="AE388" s="7505"/>
      <c r="AF388" s="5333">
        <f t="shared" si="560"/>
        <v>65.319999999999993</v>
      </c>
      <c r="AG388" s="7474"/>
      <c r="AH388" s="5510"/>
      <c r="AI388" s="4314"/>
      <c r="AJ388" s="5511">
        <f t="shared" si="549"/>
        <v>65.319999999999993</v>
      </c>
      <c r="AK388" s="7474"/>
      <c r="AL388" s="5911"/>
      <c r="AM388" s="7535"/>
      <c r="AN388" s="5904">
        <f t="shared" si="550"/>
        <v>0</v>
      </c>
      <c r="AO388" s="7505"/>
      <c r="AP388" s="5907">
        <f t="shared" si="551"/>
        <v>65.319999999999993</v>
      </c>
      <c r="AQ388" s="7474"/>
      <c r="AR388" s="6066">
        <v>131.38</v>
      </c>
      <c r="AS388" s="4314"/>
      <c r="AT388" s="6135">
        <f t="shared" si="561"/>
        <v>196.7</v>
      </c>
      <c r="AU388" s="7474"/>
      <c r="AV388" s="6189"/>
      <c r="AW388" s="4314"/>
      <c r="AX388" s="6193">
        <f t="shared" si="562"/>
        <v>196.7</v>
      </c>
      <c r="AY388" s="7474"/>
      <c r="AZ388" s="6401">
        <v>2299.2600000000002</v>
      </c>
      <c r="BA388" s="7535"/>
      <c r="BB388" s="6600">
        <f t="shared" si="554"/>
        <v>2430.6400000000003</v>
      </c>
      <c r="BC388" s="7520"/>
      <c r="BD388" s="544">
        <f t="shared" si="555"/>
        <v>2430.6400000000003</v>
      </c>
      <c r="BE388" s="4314"/>
      <c r="BF388" s="6598">
        <f t="shared" si="556"/>
        <v>2495.96</v>
      </c>
      <c r="BG388" s="4590"/>
      <c r="BH388" s="4590"/>
      <c r="BI388" s="4590"/>
      <c r="BJ388" s="4590"/>
    </row>
    <row r="389" spans="1:62" x14ac:dyDescent="0.25">
      <c r="A389" s="93"/>
      <c r="B389" s="8" t="s">
        <v>1282</v>
      </c>
      <c r="C389" s="159" t="s">
        <v>50</v>
      </c>
      <c r="D389" s="159"/>
      <c r="E389" s="7474"/>
      <c r="F389" s="2400"/>
      <c r="G389" s="7474"/>
      <c r="H389" s="7166"/>
      <c r="I389" s="7505"/>
      <c r="J389" s="7213">
        <f t="shared" si="557"/>
        <v>0</v>
      </c>
      <c r="K389" s="7474"/>
      <c r="L389" s="4574"/>
      <c r="M389" s="7535"/>
      <c r="N389" s="378">
        <f t="shared" si="558"/>
        <v>0</v>
      </c>
      <c r="O389" s="7474"/>
      <c r="P389" s="4778"/>
      <c r="Q389" s="7505"/>
      <c r="R389" s="4773">
        <f t="shared" si="545"/>
        <v>0</v>
      </c>
      <c r="S389" s="7474"/>
      <c r="T389" s="4985"/>
      <c r="U389" s="7505"/>
      <c r="V389" s="4890">
        <f t="shared" si="546"/>
        <v>0</v>
      </c>
      <c r="W389" s="7474"/>
      <c r="X389" s="5026"/>
      <c r="Y389" s="7535"/>
      <c r="Z389" s="5020">
        <f t="shared" si="547"/>
        <v>0</v>
      </c>
      <c r="AA389" s="7520"/>
      <c r="AB389" s="4311">
        <f t="shared" si="559"/>
        <v>0</v>
      </c>
      <c r="AC389" s="7474"/>
      <c r="AD389" s="5337"/>
      <c r="AE389" s="7505"/>
      <c r="AF389" s="5333">
        <f t="shared" si="560"/>
        <v>0</v>
      </c>
      <c r="AG389" s="7474"/>
      <c r="AH389" s="5510"/>
      <c r="AI389" s="4314"/>
      <c r="AJ389" s="5511">
        <f t="shared" si="549"/>
        <v>0</v>
      </c>
      <c r="AK389" s="7474"/>
      <c r="AL389" s="5911"/>
      <c r="AM389" s="7535"/>
      <c r="AN389" s="5904">
        <f t="shared" si="550"/>
        <v>0</v>
      </c>
      <c r="AO389" s="7505"/>
      <c r="AP389" s="5907">
        <f t="shared" si="551"/>
        <v>0</v>
      </c>
      <c r="AQ389" s="7474"/>
      <c r="AR389" s="6066"/>
      <c r="AS389" s="4314"/>
      <c r="AT389" s="6135">
        <f t="shared" si="561"/>
        <v>0</v>
      </c>
      <c r="AU389" s="7474"/>
      <c r="AV389" s="6189"/>
      <c r="AW389" s="4314"/>
      <c r="AX389" s="6193">
        <f t="shared" si="562"/>
        <v>0</v>
      </c>
      <c r="AY389" s="7474"/>
      <c r="AZ389" s="6401"/>
      <c r="BA389" s="7535"/>
      <c r="BB389" s="6600">
        <f t="shared" si="554"/>
        <v>0</v>
      </c>
      <c r="BC389" s="7520"/>
      <c r="BD389" s="544">
        <f t="shared" si="555"/>
        <v>0</v>
      </c>
      <c r="BE389" s="4314"/>
      <c r="BF389" s="6598">
        <f t="shared" si="556"/>
        <v>0</v>
      </c>
      <c r="BG389" s="4590"/>
      <c r="BH389" s="4590"/>
      <c r="BI389" s="4590"/>
      <c r="BJ389" s="4590"/>
    </row>
    <row r="390" spans="1:62" x14ac:dyDescent="0.25">
      <c r="A390" s="93"/>
      <c r="B390" s="8" t="s">
        <v>2222</v>
      </c>
      <c r="C390" s="159" t="s">
        <v>50</v>
      </c>
      <c r="D390" s="159"/>
      <c r="E390" s="7474"/>
      <c r="F390" s="2400"/>
      <c r="G390" s="7474"/>
      <c r="H390" s="7166"/>
      <c r="I390" s="7505"/>
      <c r="J390" s="7213">
        <f t="shared" si="557"/>
        <v>0</v>
      </c>
      <c r="K390" s="7474"/>
      <c r="L390" s="4574"/>
      <c r="M390" s="7535"/>
      <c r="N390" s="378">
        <f t="shared" si="558"/>
        <v>0</v>
      </c>
      <c r="O390" s="7474"/>
      <c r="P390" s="4778">
        <v>120.66</v>
      </c>
      <c r="Q390" s="7505"/>
      <c r="R390" s="4773">
        <f t="shared" si="545"/>
        <v>120.66</v>
      </c>
      <c r="S390" s="7474"/>
      <c r="T390" s="4985"/>
      <c r="U390" s="7505"/>
      <c r="V390" s="4890">
        <f t="shared" si="546"/>
        <v>120.66</v>
      </c>
      <c r="W390" s="7474"/>
      <c r="X390" s="5026">
        <v>535.08000000000004</v>
      </c>
      <c r="Y390" s="7535"/>
      <c r="Z390" s="5020">
        <f t="shared" si="547"/>
        <v>655.74</v>
      </c>
      <c r="AA390" s="7520"/>
      <c r="AB390" s="4311">
        <f t="shared" si="559"/>
        <v>655.74</v>
      </c>
      <c r="AC390" s="7474"/>
      <c r="AD390" s="5337">
        <v>327.94</v>
      </c>
      <c r="AE390" s="7505"/>
      <c r="AF390" s="5333">
        <f t="shared" si="560"/>
        <v>983.68000000000006</v>
      </c>
      <c r="AG390" s="7474"/>
      <c r="AH390" s="5510"/>
      <c r="AI390" s="4314"/>
      <c r="AJ390" s="5511">
        <f t="shared" si="549"/>
        <v>983.68000000000006</v>
      </c>
      <c r="AK390" s="7474"/>
      <c r="AL390" s="5911">
        <v>1017.4300000000001</v>
      </c>
      <c r="AM390" s="7535"/>
      <c r="AN390" s="5904">
        <f t="shared" si="550"/>
        <v>1345.3700000000001</v>
      </c>
      <c r="AO390" s="7505"/>
      <c r="AP390" s="5907">
        <f t="shared" si="551"/>
        <v>2001.1100000000001</v>
      </c>
      <c r="AQ390" s="7474"/>
      <c r="AR390" s="6066">
        <v>195.98</v>
      </c>
      <c r="AS390" s="4314"/>
      <c r="AT390" s="6135">
        <f t="shared" si="561"/>
        <v>2197.09</v>
      </c>
      <c r="AU390" s="7474"/>
      <c r="AV390" s="6189">
        <v>195.22</v>
      </c>
      <c r="AW390" s="4314"/>
      <c r="AX390" s="6193">
        <f t="shared" si="562"/>
        <v>2392.31</v>
      </c>
      <c r="AY390" s="7474"/>
      <c r="AZ390" s="6401"/>
      <c r="BA390" s="7535"/>
      <c r="BB390" s="6600">
        <f t="shared" si="554"/>
        <v>391.2</v>
      </c>
      <c r="BC390" s="7520"/>
      <c r="BD390" s="544">
        <f t="shared" si="555"/>
        <v>1736.5700000000002</v>
      </c>
      <c r="BE390" s="4314"/>
      <c r="BF390" s="6598">
        <f t="shared" si="556"/>
        <v>2392.31</v>
      </c>
      <c r="BG390" s="4590"/>
      <c r="BH390" s="4590"/>
      <c r="BI390" s="4590"/>
      <c r="BJ390" s="4590"/>
    </row>
    <row r="391" spans="1:62" x14ac:dyDescent="0.25">
      <c r="A391" s="93"/>
      <c r="B391" s="8" t="s">
        <v>2223</v>
      </c>
      <c r="C391" s="159" t="s">
        <v>50</v>
      </c>
      <c r="D391" s="159"/>
      <c r="E391" s="7474"/>
      <c r="F391" s="2400">
        <v>262.76</v>
      </c>
      <c r="G391" s="7474"/>
      <c r="H391" s="7166"/>
      <c r="I391" s="7505"/>
      <c r="J391" s="7213">
        <f t="shared" si="557"/>
        <v>262.76</v>
      </c>
      <c r="K391" s="7474"/>
      <c r="L391" s="4574">
        <v>98.089999999999989</v>
      </c>
      <c r="M391" s="7535"/>
      <c r="N391" s="378">
        <f t="shared" si="558"/>
        <v>360.84999999999997</v>
      </c>
      <c r="O391" s="7474"/>
      <c r="P391" s="4778"/>
      <c r="Q391" s="7505"/>
      <c r="R391" s="4773">
        <f t="shared" si="545"/>
        <v>360.84999999999997</v>
      </c>
      <c r="S391" s="7474"/>
      <c r="T391" s="4985">
        <v>260.40000000000003</v>
      </c>
      <c r="U391" s="7505"/>
      <c r="V391" s="4890">
        <f t="shared" si="546"/>
        <v>621.25</v>
      </c>
      <c r="W391" s="7474"/>
      <c r="X391" s="5026">
        <v>261.62</v>
      </c>
      <c r="Y391" s="7535"/>
      <c r="Z391" s="5020">
        <f t="shared" si="547"/>
        <v>522.02</v>
      </c>
      <c r="AA391" s="7520"/>
      <c r="AB391" s="4311">
        <f t="shared" si="559"/>
        <v>882.86999999999989</v>
      </c>
      <c r="AC391" s="7474"/>
      <c r="AD391" s="5337"/>
      <c r="AE391" s="7505"/>
      <c r="AF391" s="5333">
        <f t="shared" si="560"/>
        <v>882.86999999999989</v>
      </c>
      <c r="AG391" s="7474"/>
      <c r="AH391" s="5510"/>
      <c r="AI391" s="4314"/>
      <c r="AJ391" s="5511">
        <f t="shared" si="549"/>
        <v>882.86999999999989</v>
      </c>
      <c r="AK391" s="7474"/>
      <c r="AL391" s="5911">
        <v>197.27999999999997</v>
      </c>
      <c r="AM391" s="7535"/>
      <c r="AN391" s="5904">
        <f t="shared" si="550"/>
        <v>197.27999999999997</v>
      </c>
      <c r="AO391" s="7505"/>
      <c r="AP391" s="5907">
        <f t="shared" si="551"/>
        <v>1080.1499999999999</v>
      </c>
      <c r="AQ391" s="7474"/>
      <c r="AR391" s="6066">
        <v>57.32</v>
      </c>
      <c r="AS391" s="4314"/>
      <c r="AT391" s="6135">
        <f t="shared" si="561"/>
        <v>1137.4699999999998</v>
      </c>
      <c r="AU391" s="7474"/>
      <c r="AV391" s="6189">
        <v>65.7</v>
      </c>
      <c r="AW391" s="4314"/>
      <c r="AX391" s="6193">
        <f t="shared" si="562"/>
        <v>1203.1699999999998</v>
      </c>
      <c r="AY391" s="7474"/>
      <c r="AZ391" s="6401">
        <v>131.4</v>
      </c>
      <c r="BA391" s="7535"/>
      <c r="BB391" s="6600">
        <f t="shared" si="554"/>
        <v>254.42000000000002</v>
      </c>
      <c r="BC391" s="7520"/>
      <c r="BD391" s="544">
        <f t="shared" si="555"/>
        <v>451.7</v>
      </c>
      <c r="BE391" s="4314"/>
      <c r="BF391" s="6598">
        <f t="shared" si="556"/>
        <v>1334.57</v>
      </c>
      <c r="BG391" s="4590"/>
      <c r="BH391" s="4590"/>
      <c r="BI391" s="4590"/>
      <c r="BJ391" s="4590"/>
    </row>
    <row r="392" spans="1:62" x14ac:dyDescent="0.25">
      <c r="A392" s="93"/>
      <c r="B392" s="8" t="s">
        <v>549</v>
      </c>
      <c r="C392" s="2878" t="s">
        <v>50</v>
      </c>
      <c r="D392" s="2878"/>
      <c r="E392" s="7476"/>
      <c r="F392" s="2866"/>
      <c r="G392" s="7476"/>
      <c r="H392" s="2866"/>
      <c r="I392" s="7507"/>
      <c r="J392" s="7213">
        <f t="shared" si="557"/>
        <v>0</v>
      </c>
      <c r="K392" s="7476"/>
      <c r="L392" s="2866"/>
      <c r="M392" s="7537"/>
      <c r="N392" s="4569">
        <f t="shared" si="558"/>
        <v>0</v>
      </c>
      <c r="O392" s="7476"/>
      <c r="P392" s="2866"/>
      <c r="Q392" s="7507"/>
      <c r="R392" s="4773">
        <f t="shared" si="545"/>
        <v>0</v>
      </c>
      <c r="S392" s="7476"/>
      <c r="T392" s="2866">
        <v>786.96</v>
      </c>
      <c r="U392" s="7507"/>
      <c r="V392" s="4890">
        <f t="shared" si="546"/>
        <v>786.96</v>
      </c>
      <c r="W392" s="7476"/>
      <c r="X392" s="2866"/>
      <c r="Y392" s="7537"/>
      <c r="Z392" s="5020">
        <f t="shared" si="547"/>
        <v>786.96</v>
      </c>
      <c r="AA392" s="7522"/>
      <c r="AB392" s="4311">
        <f t="shared" si="559"/>
        <v>786.96</v>
      </c>
      <c r="AC392" s="7476"/>
      <c r="AD392" s="2866"/>
      <c r="AE392" s="7507"/>
      <c r="AF392" s="5333">
        <f t="shared" si="560"/>
        <v>786.96</v>
      </c>
      <c r="AG392" s="7476"/>
      <c r="AH392" s="2866"/>
      <c r="AI392" s="4314"/>
      <c r="AJ392" s="5511">
        <f t="shared" si="549"/>
        <v>786.96</v>
      </c>
      <c r="AK392" s="7476"/>
      <c r="AL392" s="2866"/>
      <c r="AM392" s="7537"/>
      <c r="AN392" s="5904">
        <f t="shared" si="550"/>
        <v>0</v>
      </c>
      <c r="AO392" s="7507"/>
      <c r="AP392" s="5907">
        <f t="shared" si="551"/>
        <v>786.96</v>
      </c>
      <c r="AQ392" s="7476"/>
      <c r="AR392" s="2866"/>
      <c r="AS392" s="4314"/>
      <c r="AT392" s="6135">
        <f t="shared" si="561"/>
        <v>786.96</v>
      </c>
      <c r="AU392" s="7476"/>
      <c r="AV392" s="2866"/>
      <c r="AW392" s="4314"/>
      <c r="AX392" s="6193">
        <f t="shared" si="562"/>
        <v>786.96</v>
      </c>
      <c r="AY392" s="7476"/>
      <c r="AZ392" s="2866"/>
      <c r="BA392" s="7537"/>
      <c r="BB392" s="6600">
        <f t="shared" si="554"/>
        <v>0</v>
      </c>
      <c r="BC392" s="7522"/>
      <c r="BD392" s="544">
        <f t="shared" si="555"/>
        <v>0</v>
      </c>
      <c r="BE392" s="4314"/>
      <c r="BF392" s="6598">
        <f t="shared" si="556"/>
        <v>786.96</v>
      </c>
      <c r="BG392" s="4590"/>
      <c r="BH392" s="4590"/>
      <c r="BI392" s="4590"/>
      <c r="BJ392" s="4590"/>
    </row>
    <row r="393" spans="1:62" x14ac:dyDescent="0.25">
      <c r="A393" s="93"/>
      <c r="B393" s="8" t="s">
        <v>2215</v>
      </c>
      <c r="C393" s="159" t="s">
        <v>50</v>
      </c>
      <c r="D393" s="159"/>
      <c r="E393" s="7474"/>
      <c r="F393" s="2400"/>
      <c r="G393" s="7474"/>
      <c r="H393" s="7166">
        <v>3137.7999999999988</v>
      </c>
      <c r="I393" s="7505"/>
      <c r="J393" s="7213">
        <f t="shared" si="557"/>
        <v>3137.7999999999988</v>
      </c>
      <c r="K393" s="7474"/>
      <c r="L393" s="4574"/>
      <c r="M393" s="7535"/>
      <c r="N393" s="378">
        <f t="shared" si="558"/>
        <v>3137.7999999999988</v>
      </c>
      <c r="O393" s="7474"/>
      <c r="P393" s="4778"/>
      <c r="Q393" s="7505"/>
      <c r="R393" s="4773">
        <f t="shared" si="545"/>
        <v>3137.7999999999988</v>
      </c>
      <c r="S393" s="7474"/>
      <c r="T393" s="4985">
        <v>199.35</v>
      </c>
      <c r="U393" s="7505"/>
      <c r="V393" s="4890">
        <f t="shared" si="546"/>
        <v>3337.1499999999987</v>
      </c>
      <c r="W393" s="7474"/>
      <c r="X393" s="5026">
        <v>2808.67</v>
      </c>
      <c r="Y393" s="7535"/>
      <c r="Z393" s="5020">
        <f t="shared" si="547"/>
        <v>3008.02</v>
      </c>
      <c r="AA393" s="7520"/>
      <c r="AB393" s="4311">
        <f t="shared" si="559"/>
        <v>6145.8199999999988</v>
      </c>
      <c r="AC393" s="7474"/>
      <c r="AD393" s="5337">
        <v>3603.4300000000003</v>
      </c>
      <c r="AE393" s="7505"/>
      <c r="AF393" s="5333">
        <f t="shared" si="560"/>
        <v>9749.25</v>
      </c>
      <c r="AG393" s="7474"/>
      <c r="AH393" s="5510">
        <v>989.87</v>
      </c>
      <c r="AI393" s="4314"/>
      <c r="AJ393" s="5511">
        <f t="shared" si="549"/>
        <v>10739.12</v>
      </c>
      <c r="AK393" s="7474"/>
      <c r="AL393" s="5911"/>
      <c r="AM393" s="7535"/>
      <c r="AN393" s="5904">
        <f t="shared" si="550"/>
        <v>4593.3</v>
      </c>
      <c r="AO393" s="7505"/>
      <c r="AP393" s="5907">
        <f t="shared" si="551"/>
        <v>10739.12</v>
      </c>
      <c r="AQ393" s="7474"/>
      <c r="AR393" s="6066">
        <v>9697.2199999999939</v>
      </c>
      <c r="AS393" s="4314"/>
      <c r="AT393" s="6135">
        <f t="shared" si="561"/>
        <v>20436.339999999997</v>
      </c>
      <c r="AU393" s="7474"/>
      <c r="AV393" s="6189"/>
      <c r="AW393" s="4314"/>
      <c r="AX393" s="6193">
        <f t="shared" si="562"/>
        <v>20436.339999999997</v>
      </c>
      <c r="AY393" s="7474"/>
      <c r="AZ393" s="6401">
        <v>980.58</v>
      </c>
      <c r="BA393" s="7535"/>
      <c r="BB393" s="6600">
        <f t="shared" si="554"/>
        <v>10677.799999999994</v>
      </c>
      <c r="BC393" s="7520"/>
      <c r="BD393" s="544">
        <f t="shared" si="555"/>
        <v>15271.099999999995</v>
      </c>
      <c r="BE393" s="4314"/>
      <c r="BF393" s="6598">
        <f t="shared" si="556"/>
        <v>21416.92</v>
      </c>
      <c r="BG393" s="4590"/>
      <c r="BH393" s="4590"/>
      <c r="BI393" s="4590"/>
      <c r="BJ393" s="4590"/>
    </row>
    <row r="394" spans="1:62" s="7027" customFormat="1" x14ac:dyDescent="0.25">
      <c r="A394" s="93"/>
      <c r="B394" s="6530" t="s">
        <v>2225</v>
      </c>
      <c r="C394" s="6531" t="s">
        <v>50</v>
      </c>
      <c r="D394" s="6531"/>
      <c r="E394" s="7477"/>
      <c r="F394" s="6526">
        <v>3480.0599999999995</v>
      </c>
      <c r="G394" s="7477"/>
      <c r="H394" s="6526">
        <v>2051.2200000000003</v>
      </c>
      <c r="I394" s="7508"/>
      <c r="J394" s="7213">
        <f t="shared" si="557"/>
        <v>5531.28</v>
      </c>
      <c r="K394" s="7477"/>
      <c r="L394" s="6526"/>
      <c r="M394" s="7538"/>
      <c r="N394" s="7048"/>
      <c r="O394" s="7477"/>
      <c r="P394" s="6526"/>
      <c r="Q394" s="7508"/>
      <c r="R394" s="6672"/>
      <c r="S394" s="7477"/>
      <c r="T394" s="6526"/>
      <c r="U394" s="7508"/>
      <c r="V394" s="6672"/>
      <c r="W394" s="7477"/>
      <c r="X394" s="6526"/>
      <c r="Y394" s="7538"/>
      <c r="Z394" s="7048"/>
      <c r="AA394" s="7523"/>
      <c r="AB394" s="7049"/>
      <c r="AC394" s="7477"/>
      <c r="AD394" s="6526"/>
      <c r="AE394" s="7508"/>
      <c r="AF394" s="6672"/>
      <c r="AG394" s="7477"/>
      <c r="AH394" s="6526"/>
      <c r="AI394" s="4314"/>
      <c r="AJ394" s="6672"/>
      <c r="AK394" s="7477"/>
      <c r="AL394" s="6526"/>
      <c r="AM394" s="7538"/>
      <c r="AN394" s="7048"/>
      <c r="AO394" s="7508"/>
      <c r="AP394" s="6672"/>
      <c r="AQ394" s="7477"/>
      <c r="AR394" s="6526"/>
      <c r="AS394" s="4314"/>
      <c r="AT394" s="6672"/>
      <c r="AU394" s="7477"/>
      <c r="AV394" s="6526"/>
      <c r="AW394" s="4314"/>
      <c r="AX394" s="6672"/>
      <c r="AY394" s="7477"/>
      <c r="AZ394" s="6526"/>
      <c r="BA394" s="7538"/>
      <c r="BB394" s="7048"/>
      <c r="BC394" s="7523"/>
      <c r="BD394" s="7050"/>
      <c r="BE394" s="4314"/>
      <c r="BF394" s="6672"/>
      <c r="BG394" s="4590"/>
      <c r="BH394" s="4590"/>
      <c r="BI394" s="4590"/>
      <c r="BJ394" s="4590"/>
    </row>
    <row r="395" spans="1:62" x14ac:dyDescent="0.25">
      <c r="A395" s="93"/>
      <c r="B395" s="8" t="s">
        <v>1814</v>
      </c>
      <c r="C395" s="159" t="s">
        <v>50</v>
      </c>
      <c r="D395" s="159"/>
      <c r="E395" s="7474"/>
      <c r="F395" s="2400">
        <v>7528.6699999999983</v>
      </c>
      <c r="G395" s="7474"/>
      <c r="H395" s="7166">
        <v>12969.429999999998</v>
      </c>
      <c r="I395" s="7505"/>
      <c r="J395" s="7213">
        <f t="shared" si="557"/>
        <v>20498.099999999999</v>
      </c>
      <c r="K395" s="7474"/>
      <c r="L395" s="4574">
        <v>7708.9200000000019</v>
      </c>
      <c r="M395" s="7535"/>
      <c r="N395" s="378">
        <f t="shared" si="558"/>
        <v>28207.02</v>
      </c>
      <c r="O395" s="7474"/>
      <c r="P395" s="4778">
        <v>13524.529999999993</v>
      </c>
      <c r="Q395" s="7505"/>
      <c r="R395" s="4773">
        <f t="shared" si="545"/>
        <v>41731.549999999996</v>
      </c>
      <c r="S395" s="7474"/>
      <c r="T395" s="4985">
        <v>21085.600000000006</v>
      </c>
      <c r="U395" s="7505"/>
      <c r="V395" s="4890">
        <f t="shared" si="546"/>
        <v>62817.15</v>
      </c>
      <c r="W395" s="7474"/>
      <c r="X395" s="5026">
        <v>17692.349999999995</v>
      </c>
      <c r="Y395" s="7535"/>
      <c r="Z395" s="5020">
        <f t="shared" si="547"/>
        <v>52302.479999999996</v>
      </c>
      <c r="AA395" s="7520"/>
      <c r="AB395" s="4311">
        <f t="shared" si="559"/>
        <v>80509.5</v>
      </c>
      <c r="AC395" s="7474"/>
      <c r="AD395" s="5337">
        <v>6975.3</v>
      </c>
      <c r="AE395" s="7505"/>
      <c r="AF395" s="5333">
        <f t="shared" si="560"/>
        <v>87484.800000000003</v>
      </c>
      <c r="AG395" s="7474"/>
      <c r="AH395" s="5510">
        <v>4924.8900000000012</v>
      </c>
      <c r="AI395" s="4314"/>
      <c r="AJ395" s="5511">
        <f t="shared" si="549"/>
        <v>92409.69</v>
      </c>
      <c r="AK395" s="7474"/>
      <c r="AL395" s="5911">
        <v>12759.990000000005</v>
      </c>
      <c r="AM395" s="7535"/>
      <c r="AN395" s="5904">
        <f t="shared" si="550"/>
        <v>24660.180000000008</v>
      </c>
      <c r="AO395" s="7505"/>
      <c r="AP395" s="5907">
        <f t="shared" si="551"/>
        <v>105169.68000000001</v>
      </c>
      <c r="AQ395" s="7474"/>
      <c r="AR395" s="6066">
        <v>14199.68</v>
      </c>
      <c r="AS395" s="4314"/>
      <c r="AT395" s="6135">
        <f t="shared" si="561"/>
        <v>119369.36000000002</v>
      </c>
      <c r="AU395" s="7474"/>
      <c r="AV395" s="6189">
        <v>15517.500000000002</v>
      </c>
      <c r="AW395" s="4314"/>
      <c r="AX395" s="6193">
        <f t="shared" si="562"/>
        <v>134886.86000000002</v>
      </c>
      <c r="AY395" s="7474"/>
      <c r="AZ395" s="6401">
        <v>18424.180000000004</v>
      </c>
      <c r="BA395" s="7535"/>
      <c r="BB395" s="6600">
        <f t="shared" si="554"/>
        <v>48141.36</v>
      </c>
      <c r="BC395" s="7520"/>
      <c r="BD395" s="544">
        <f t="shared" si="555"/>
        <v>72801.540000000008</v>
      </c>
      <c r="BE395" s="4314"/>
      <c r="BF395" s="6598">
        <f t="shared" si="556"/>
        <v>153311.04000000001</v>
      </c>
      <c r="BG395" s="4590"/>
      <c r="BH395" s="4590"/>
      <c r="BI395" s="4590"/>
      <c r="BJ395" s="4590"/>
    </row>
    <row r="396" spans="1:62" s="4986" customFormat="1" x14ac:dyDescent="0.25">
      <c r="A396" s="93"/>
      <c r="B396" s="8" t="s">
        <v>2224</v>
      </c>
      <c r="C396" s="4797" t="s">
        <v>50</v>
      </c>
      <c r="D396" s="4797"/>
      <c r="E396" s="7478"/>
      <c r="F396" s="4987"/>
      <c r="G396" s="7478"/>
      <c r="H396" s="7170"/>
      <c r="I396" s="7509"/>
      <c r="J396" s="7213">
        <f t="shared" si="557"/>
        <v>0</v>
      </c>
      <c r="K396" s="7478"/>
      <c r="L396" s="4987"/>
      <c r="M396" s="7539"/>
      <c r="N396" s="4990"/>
      <c r="O396" s="7478"/>
      <c r="P396" s="4987"/>
      <c r="Q396" s="7509"/>
      <c r="R396" s="4988"/>
      <c r="S396" s="7478"/>
      <c r="T396" s="4987">
        <v>1406.0200000000004</v>
      </c>
      <c r="U396" s="7509"/>
      <c r="V396" s="4982">
        <f t="shared" si="546"/>
        <v>1406.0200000000004</v>
      </c>
      <c r="W396" s="7478"/>
      <c r="X396" s="5031"/>
      <c r="Y396" s="7539"/>
      <c r="Z396" s="5020">
        <f t="shared" si="547"/>
        <v>1406.0200000000004</v>
      </c>
      <c r="AA396" s="7524"/>
      <c r="AB396" s="4311">
        <f t="shared" si="559"/>
        <v>1406.0200000000004</v>
      </c>
      <c r="AC396" s="7478"/>
      <c r="AD396" s="5344">
        <v>130.33999999999997</v>
      </c>
      <c r="AE396" s="7509"/>
      <c r="AF396" s="5333">
        <f t="shared" si="560"/>
        <v>1536.3600000000004</v>
      </c>
      <c r="AG396" s="7478"/>
      <c r="AH396" s="5520">
        <v>37.6</v>
      </c>
      <c r="AI396" s="4314"/>
      <c r="AJ396" s="5511">
        <f t="shared" si="549"/>
        <v>1573.9600000000003</v>
      </c>
      <c r="AK396" s="7478"/>
      <c r="AL396" s="5917">
        <v>64.52</v>
      </c>
      <c r="AM396" s="7539"/>
      <c r="AN396" s="5904">
        <f t="shared" si="550"/>
        <v>232.45999999999998</v>
      </c>
      <c r="AO396" s="7509"/>
      <c r="AP396" s="5907">
        <f t="shared" si="551"/>
        <v>1638.4800000000002</v>
      </c>
      <c r="AQ396" s="7478"/>
      <c r="AR396" s="6072"/>
      <c r="AS396" s="4314"/>
      <c r="AT396" s="6135">
        <f t="shared" si="561"/>
        <v>1638.4800000000002</v>
      </c>
      <c r="AU396" s="7478"/>
      <c r="AV396" s="6200"/>
      <c r="AW396" s="4314"/>
      <c r="AX396" s="6193">
        <f t="shared" si="562"/>
        <v>1638.4800000000002</v>
      </c>
      <c r="AY396" s="7478"/>
      <c r="AZ396" s="6409"/>
      <c r="BA396" s="7539"/>
      <c r="BB396" s="6600">
        <f t="shared" si="554"/>
        <v>0</v>
      </c>
      <c r="BC396" s="7524"/>
      <c r="BD396" s="544">
        <f t="shared" si="555"/>
        <v>232.45999999999998</v>
      </c>
      <c r="BE396" s="4314"/>
      <c r="BF396" s="6598">
        <f t="shared" si="556"/>
        <v>1638.4800000000002</v>
      </c>
      <c r="BG396" s="4590"/>
      <c r="BH396" s="4590"/>
      <c r="BI396" s="4590"/>
      <c r="BJ396" s="4590"/>
    </row>
    <row r="397" spans="1:62" x14ac:dyDescent="0.25">
      <c r="A397" s="93"/>
      <c r="B397" s="8" t="s">
        <v>1120</v>
      </c>
      <c r="C397" s="159" t="s">
        <v>50</v>
      </c>
      <c r="D397" s="159"/>
      <c r="E397" s="7474"/>
      <c r="F397" s="2400"/>
      <c r="G397" s="7474"/>
      <c r="H397" s="7166"/>
      <c r="I397" s="7505"/>
      <c r="J397" s="7213">
        <f t="shared" si="557"/>
        <v>0</v>
      </c>
      <c r="K397" s="7474"/>
      <c r="L397" s="4574"/>
      <c r="M397" s="7535"/>
      <c r="N397" s="378">
        <f t="shared" si="558"/>
        <v>0</v>
      </c>
      <c r="O397" s="7474"/>
      <c r="P397" s="4778"/>
      <c r="Q397" s="7505"/>
      <c r="R397" s="4773">
        <f t="shared" si="545"/>
        <v>0</v>
      </c>
      <c r="S397" s="7474"/>
      <c r="T397" s="4985">
        <v>325.15999999999997</v>
      </c>
      <c r="U397" s="7505"/>
      <c r="V397" s="4890">
        <f t="shared" si="546"/>
        <v>325.15999999999997</v>
      </c>
      <c r="W397" s="7474"/>
      <c r="X397" s="5026">
        <v>547.66999999999996</v>
      </c>
      <c r="Y397" s="7535"/>
      <c r="Z397" s="5020">
        <f t="shared" si="547"/>
        <v>872.82999999999993</v>
      </c>
      <c r="AA397" s="7520"/>
      <c r="AB397" s="4311">
        <f t="shared" si="559"/>
        <v>872.82999999999993</v>
      </c>
      <c r="AC397" s="7474"/>
      <c r="AD397" s="5337">
        <v>64.84</v>
      </c>
      <c r="AE397" s="7505"/>
      <c r="AF397" s="5333">
        <f t="shared" si="560"/>
        <v>937.67</v>
      </c>
      <c r="AG397" s="7474"/>
      <c r="AH397" s="5510"/>
      <c r="AI397" s="4314"/>
      <c r="AJ397" s="5511">
        <f t="shared" si="549"/>
        <v>937.67</v>
      </c>
      <c r="AK397" s="7474"/>
      <c r="AL397" s="5911"/>
      <c r="AM397" s="7535"/>
      <c r="AN397" s="5904">
        <f t="shared" si="550"/>
        <v>64.84</v>
      </c>
      <c r="AO397" s="7505"/>
      <c r="AP397" s="5907">
        <f t="shared" si="551"/>
        <v>937.67</v>
      </c>
      <c r="AQ397" s="7474"/>
      <c r="AR397" s="6066">
        <v>392.58000000000004</v>
      </c>
      <c r="AS397" s="4314"/>
      <c r="AT397" s="6135">
        <f t="shared" si="561"/>
        <v>1330.25</v>
      </c>
      <c r="AU397" s="7474"/>
      <c r="AV397" s="6189"/>
      <c r="AW397" s="4314"/>
      <c r="AX397" s="6193">
        <f t="shared" si="562"/>
        <v>1330.25</v>
      </c>
      <c r="AY397" s="7474"/>
      <c r="AZ397" s="6401"/>
      <c r="BA397" s="7535"/>
      <c r="BB397" s="6600">
        <f t="shared" si="554"/>
        <v>392.58000000000004</v>
      </c>
      <c r="BC397" s="7520"/>
      <c r="BD397" s="544">
        <f t="shared" si="555"/>
        <v>457.42000000000007</v>
      </c>
      <c r="BE397" s="4314"/>
      <c r="BF397" s="6598">
        <f t="shared" si="556"/>
        <v>1330.25</v>
      </c>
      <c r="BG397" s="4590"/>
      <c r="BH397" s="4590"/>
      <c r="BI397" s="4590"/>
      <c r="BJ397" s="4590"/>
    </row>
    <row r="398" spans="1:62" x14ac:dyDescent="0.25">
      <c r="A398" s="93"/>
      <c r="B398" s="8" t="s">
        <v>1320</v>
      </c>
      <c r="C398" s="159" t="s">
        <v>50</v>
      </c>
      <c r="D398" s="159"/>
      <c r="E398" s="7474"/>
      <c r="F398" s="2400">
        <v>10390.709999999999</v>
      </c>
      <c r="G398" s="7474"/>
      <c r="H398" s="7166">
        <v>13325.969999999996</v>
      </c>
      <c r="I398" s="7505"/>
      <c r="J398" s="7213">
        <f t="shared" si="557"/>
        <v>23716.679999999993</v>
      </c>
      <c r="K398" s="7474"/>
      <c r="L398" s="4574">
        <v>2920.4200000000014</v>
      </c>
      <c r="M398" s="7535"/>
      <c r="N398" s="378">
        <f t="shared" si="558"/>
        <v>26637.099999999995</v>
      </c>
      <c r="O398" s="7474"/>
      <c r="P398" s="4778">
        <v>14939.519999999999</v>
      </c>
      <c r="Q398" s="7505"/>
      <c r="R398" s="4773">
        <f t="shared" si="545"/>
        <v>41576.619999999995</v>
      </c>
      <c r="S398" s="7474"/>
      <c r="T398" s="4985">
        <v>13639.950000000003</v>
      </c>
      <c r="U398" s="7505"/>
      <c r="V398" s="4890">
        <f t="shared" si="546"/>
        <v>55216.57</v>
      </c>
      <c r="W398" s="7474"/>
      <c r="X398" s="5026">
        <v>11826.700000000003</v>
      </c>
      <c r="Y398" s="7535"/>
      <c r="Z398" s="5020">
        <f t="shared" si="547"/>
        <v>40406.170000000006</v>
      </c>
      <c r="AA398" s="7520"/>
      <c r="AB398" s="4311">
        <f t="shared" si="559"/>
        <v>67043.27</v>
      </c>
      <c r="AC398" s="7474"/>
      <c r="AD398" s="5337">
        <v>196.28</v>
      </c>
      <c r="AE398" s="7505"/>
      <c r="AF398" s="5333">
        <f t="shared" si="560"/>
        <v>67239.55</v>
      </c>
      <c r="AG398" s="7474"/>
      <c r="AH398" s="5510"/>
      <c r="AI398" s="4314"/>
      <c r="AJ398" s="5511">
        <f t="shared" si="549"/>
        <v>67239.55</v>
      </c>
      <c r="AK398" s="7474"/>
      <c r="AL398" s="5911">
        <v>13392.919999999995</v>
      </c>
      <c r="AM398" s="7535"/>
      <c r="AN398" s="5904">
        <f t="shared" si="550"/>
        <v>13589.199999999995</v>
      </c>
      <c r="AO398" s="7505"/>
      <c r="AP398" s="5907">
        <f t="shared" si="551"/>
        <v>80632.47</v>
      </c>
      <c r="AQ398" s="7474"/>
      <c r="AR398" s="6066">
        <v>18569.010000000009</v>
      </c>
      <c r="AS398" s="4314"/>
      <c r="AT398" s="6135">
        <f t="shared" si="561"/>
        <v>99201.48000000001</v>
      </c>
      <c r="AU398" s="7474"/>
      <c r="AV398" s="6189">
        <v>14665.02</v>
      </c>
      <c r="AW398" s="4314"/>
      <c r="AX398" s="6193">
        <f t="shared" si="562"/>
        <v>113866.50000000001</v>
      </c>
      <c r="AY398" s="7474"/>
      <c r="AZ398" s="6401">
        <v>18131.479999999992</v>
      </c>
      <c r="BA398" s="7535"/>
      <c r="BB398" s="6600">
        <f t="shared" si="554"/>
        <v>51365.510000000009</v>
      </c>
      <c r="BC398" s="7520"/>
      <c r="BD398" s="544">
        <f t="shared" si="555"/>
        <v>64954.710000000006</v>
      </c>
      <c r="BE398" s="4314"/>
      <c r="BF398" s="6598">
        <f t="shared" si="556"/>
        <v>131997.98000000001</v>
      </c>
      <c r="BG398" s="4590"/>
      <c r="BH398" s="4590"/>
      <c r="BI398" s="4590"/>
      <c r="BJ398" s="4590"/>
    </row>
    <row r="399" spans="1:62" x14ac:dyDescent="0.25">
      <c r="A399" s="93"/>
      <c r="B399" s="8" t="s">
        <v>2216</v>
      </c>
      <c r="C399" s="159" t="s">
        <v>50</v>
      </c>
      <c r="D399" s="159"/>
      <c r="E399" s="7474"/>
      <c r="F399" s="2400">
        <v>522.98</v>
      </c>
      <c r="G399" s="7474"/>
      <c r="H399" s="7166">
        <v>65.2</v>
      </c>
      <c r="I399" s="7505"/>
      <c r="J399" s="7213">
        <f t="shared" si="557"/>
        <v>588.18000000000006</v>
      </c>
      <c r="K399" s="7474"/>
      <c r="L399" s="4574"/>
      <c r="M399" s="7535"/>
      <c r="N399" s="378">
        <f t="shared" si="558"/>
        <v>588.18000000000006</v>
      </c>
      <c r="O399" s="7474"/>
      <c r="P399" s="4778">
        <v>260.00000000000006</v>
      </c>
      <c r="Q399" s="7505"/>
      <c r="R399" s="4773">
        <f t="shared" si="545"/>
        <v>848.18000000000006</v>
      </c>
      <c r="S399" s="7474"/>
      <c r="T399" s="4985"/>
      <c r="U399" s="7505"/>
      <c r="V399" s="4890">
        <f t="shared" si="546"/>
        <v>848.18000000000006</v>
      </c>
      <c r="W399" s="7474"/>
      <c r="X399" s="5026">
        <v>708.52000000000021</v>
      </c>
      <c r="Y399" s="7535"/>
      <c r="Z399" s="5020">
        <f t="shared" si="547"/>
        <v>968.52000000000021</v>
      </c>
      <c r="AA399" s="7520"/>
      <c r="AB399" s="4311">
        <f t="shared" si="559"/>
        <v>1556.7000000000003</v>
      </c>
      <c r="AC399" s="7474"/>
      <c r="AD399" s="5337"/>
      <c r="AE399" s="7505"/>
      <c r="AF399" s="5333">
        <f t="shared" si="560"/>
        <v>1556.7000000000003</v>
      </c>
      <c r="AG399" s="7474"/>
      <c r="AH399" s="5510"/>
      <c r="AI399" s="4314"/>
      <c r="AJ399" s="5511">
        <f t="shared" si="549"/>
        <v>1556.7000000000003</v>
      </c>
      <c r="AK399" s="7474"/>
      <c r="AL399" s="5911"/>
      <c r="AM399" s="7535"/>
      <c r="AN399" s="5904">
        <f t="shared" si="550"/>
        <v>0</v>
      </c>
      <c r="AO399" s="7505"/>
      <c r="AP399" s="5907">
        <f t="shared" si="551"/>
        <v>1556.7000000000003</v>
      </c>
      <c r="AQ399" s="7474"/>
      <c r="AR399" s="6066"/>
      <c r="AS399" s="4314"/>
      <c r="AT399" s="6135">
        <f t="shared" si="561"/>
        <v>1556.7000000000003</v>
      </c>
      <c r="AU399" s="7474"/>
      <c r="AV399" s="6189"/>
      <c r="AW399" s="4314"/>
      <c r="AX399" s="6193">
        <f t="shared" si="562"/>
        <v>1556.7000000000003</v>
      </c>
      <c r="AY399" s="7474"/>
      <c r="AZ399" s="6401"/>
      <c r="BA399" s="7535"/>
      <c r="BB399" s="6600">
        <f t="shared" si="554"/>
        <v>0</v>
      </c>
      <c r="BC399" s="7520"/>
      <c r="BD399" s="544">
        <f t="shared" si="555"/>
        <v>0</v>
      </c>
      <c r="BE399" s="4314"/>
      <c r="BF399" s="6598">
        <f t="shared" si="556"/>
        <v>1556.7000000000003</v>
      </c>
      <c r="BG399" s="4590"/>
      <c r="BH399" s="4590"/>
      <c r="BI399" s="4590"/>
      <c r="BJ399" s="4590"/>
    </row>
    <row r="400" spans="1:62" x14ac:dyDescent="0.25">
      <c r="A400" s="93"/>
      <c r="B400" s="8" t="s">
        <v>2217</v>
      </c>
      <c r="C400" s="159" t="s">
        <v>50</v>
      </c>
      <c r="D400" s="159"/>
      <c r="E400" s="7474"/>
      <c r="F400" s="2400"/>
      <c r="G400" s="7474"/>
      <c r="H400" s="7166"/>
      <c r="I400" s="7505"/>
      <c r="J400" s="7213">
        <f t="shared" si="557"/>
        <v>0</v>
      </c>
      <c r="K400" s="7474"/>
      <c r="L400" s="4574">
        <v>1633.6200000000003</v>
      </c>
      <c r="M400" s="7535"/>
      <c r="N400" s="378">
        <f t="shared" si="558"/>
        <v>1633.6200000000003</v>
      </c>
      <c r="O400" s="7474"/>
      <c r="P400" s="4778">
        <v>1965.6599999999996</v>
      </c>
      <c r="Q400" s="7505"/>
      <c r="R400" s="4773">
        <f t="shared" si="545"/>
        <v>3599.2799999999997</v>
      </c>
      <c r="S400" s="7474"/>
      <c r="T400" s="4985">
        <v>1167.1600000000001</v>
      </c>
      <c r="U400" s="7505"/>
      <c r="V400" s="4890">
        <f t="shared" si="546"/>
        <v>4766.4399999999996</v>
      </c>
      <c r="W400" s="7474"/>
      <c r="X400" s="5026">
        <v>587.74</v>
      </c>
      <c r="Y400" s="7535"/>
      <c r="Z400" s="5020">
        <f t="shared" si="547"/>
        <v>3720.5599999999995</v>
      </c>
      <c r="AA400" s="7520"/>
      <c r="AB400" s="4311">
        <f t="shared" si="559"/>
        <v>5354.18</v>
      </c>
      <c r="AC400" s="7474"/>
      <c r="AD400" s="5337"/>
      <c r="AE400" s="7505"/>
      <c r="AF400" s="5333">
        <f t="shared" si="560"/>
        <v>5354.18</v>
      </c>
      <c r="AG400" s="7474"/>
      <c r="AH400" s="5510"/>
      <c r="AI400" s="4314"/>
      <c r="AJ400" s="5511">
        <f t="shared" si="549"/>
        <v>5354.18</v>
      </c>
      <c r="AK400" s="7474"/>
      <c r="AL400" s="5911">
        <v>5483.2599999999993</v>
      </c>
      <c r="AM400" s="7535"/>
      <c r="AN400" s="5904">
        <f t="shared" si="550"/>
        <v>5483.2599999999993</v>
      </c>
      <c r="AO400" s="7505"/>
      <c r="AP400" s="5907">
        <f t="shared" si="551"/>
        <v>10837.439999999999</v>
      </c>
      <c r="AQ400" s="7474"/>
      <c r="AR400" s="6066">
        <v>6876.74</v>
      </c>
      <c r="AS400" s="4314"/>
      <c r="AT400" s="6135">
        <f t="shared" si="561"/>
        <v>17714.18</v>
      </c>
      <c r="AU400" s="7474"/>
      <c r="AV400" s="6189">
        <v>2688.38</v>
      </c>
      <c r="AW400" s="4314"/>
      <c r="AX400" s="6193">
        <f t="shared" si="562"/>
        <v>20402.560000000001</v>
      </c>
      <c r="AY400" s="7474"/>
      <c r="AZ400" s="6401">
        <v>3069.28</v>
      </c>
      <c r="BA400" s="7535"/>
      <c r="BB400" s="6600">
        <f t="shared" si="554"/>
        <v>12634.4</v>
      </c>
      <c r="BC400" s="7520"/>
      <c r="BD400" s="544">
        <f t="shared" si="555"/>
        <v>18117.66</v>
      </c>
      <c r="BE400" s="4314"/>
      <c r="BF400" s="6598">
        <f t="shared" si="556"/>
        <v>23471.84</v>
      </c>
      <c r="BG400" s="4590"/>
      <c r="BH400" s="4590"/>
      <c r="BI400" s="4590"/>
      <c r="BJ400" s="4590"/>
    </row>
    <row r="401" spans="1:62" x14ac:dyDescent="0.25">
      <c r="A401" s="93"/>
      <c r="B401" s="8" t="s">
        <v>2218</v>
      </c>
      <c r="C401" s="159" t="s">
        <v>50</v>
      </c>
      <c r="D401" s="159"/>
      <c r="E401" s="7474"/>
      <c r="F401" s="2400"/>
      <c r="G401" s="7474"/>
      <c r="H401" s="7166"/>
      <c r="I401" s="7505"/>
      <c r="J401" s="7213">
        <f t="shared" si="557"/>
        <v>0</v>
      </c>
      <c r="K401" s="7474"/>
      <c r="L401" s="4574"/>
      <c r="M401" s="7535"/>
      <c r="N401" s="378">
        <f t="shared" si="558"/>
        <v>0</v>
      </c>
      <c r="O401" s="7474"/>
      <c r="P401" s="4778"/>
      <c r="Q401" s="7505"/>
      <c r="R401" s="4773">
        <f t="shared" si="545"/>
        <v>0</v>
      </c>
      <c r="S401" s="7474"/>
      <c r="T401" s="4985"/>
      <c r="U401" s="7505"/>
      <c r="V401" s="4890">
        <f t="shared" si="546"/>
        <v>0</v>
      </c>
      <c r="W401" s="7474"/>
      <c r="X401" s="5026"/>
      <c r="Y401" s="7535"/>
      <c r="Z401" s="5020">
        <f t="shared" si="547"/>
        <v>0</v>
      </c>
      <c r="AA401" s="7520"/>
      <c r="AB401" s="4311">
        <f t="shared" si="559"/>
        <v>0</v>
      </c>
      <c r="AC401" s="7474"/>
      <c r="AD401" s="5337"/>
      <c r="AE401" s="7505"/>
      <c r="AF401" s="5333">
        <f t="shared" si="560"/>
        <v>0</v>
      </c>
      <c r="AG401" s="7474"/>
      <c r="AH401" s="5510"/>
      <c r="AI401" s="4314"/>
      <c r="AJ401" s="5511">
        <f t="shared" si="549"/>
        <v>0</v>
      </c>
      <c r="AK401" s="7474"/>
      <c r="AL401" s="5911"/>
      <c r="AM401" s="7535"/>
      <c r="AN401" s="5904">
        <f t="shared" si="550"/>
        <v>0</v>
      </c>
      <c r="AO401" s="7505"/>
      <c r="AP401" s="5907">
        <f t="shared" si="551"/>
        <v>0</v>
      </c>
      <c r="AQ401" s="7474"/>
      <c r="AR401" s="6066"/>
      <c r="AS401" s="4314"/>
      <c r="AT401" s="6135">
        <f t="shared" si="561"/>
        <v>0</v>
      </c>
      <c r="AU401" s="7474"/>
      <c r="AV401" s="6189"/>
      <c r="AW401" s="4314"/>
      <c r="AX401" s="6193">
        <f t="shared" si="562"/>
        <v>0</v>
      </c>
      <c r="AY401" s="7474"/>
      <c r="AZ401" s="6401"/>
      <c r="BA401" s="7535"/>
      <c r="BB401" s="6600">
        <f t="shared" si="554"/>
        <v>0</v>
      </c>
      <c r="BC401" s="7520"/>
      <c r="BD401" s="544">
        <f t="shared" si="555"/>
        <v>0</v>
      </c>
      <c r="BE401" s="4314"/>
      <c r="BF401" s="6598">
        <f t="shared" si="556"/>
        <v>0</v>
      </c>
      <c r="BG401" s="4590"/>
      <c r="BH401" s="4590"/>
      <c r="BI401" s="4590"/>
      <c r="BJ401" s="4590"/>
    </row>
    <row r="402" spans="1:62" x14ac:dyDescent="0.25">
      <c r="A402" s="93"/>
      <c r="B402" s="8" t="s">
        <v>2219</v>
      </c>
      <c r="C402" s="159" t="s">
        <v>50</v>
      </c>
      <c r="D402" s="159"/>
      <c r="E402" s="7474"/>
      <c r="F402" s="2400"/>
      <c r="G402" s="7474"/>
      <c r="H402" s="7166"/>
      <c r="I402" s="7505"/>
      <c r="J402" s="7213">
        <f t="shared" si="557"/>
        <v>0</v>
      </c>
      <c r="K402" s="7474"/>
      <c r="L402" s="4574">
        <v>2618.2200000000003</v>
      </c>
      <c r="M402" s="7535"/>
      <c r="N402" s="378">
        <f t="shared" si="558"/>
        <v>2618.2200000000003</v>
      </c>
      <c r="O402" s="7474"/>
      <c r="P402" s="4778">
        <v>2681.88</v>
      </c>
      <c r="Q402" s="7505"/>
      <c r="R402" s="4773">
        <f t="shared" si="545"/>
        <v>5300.1</v>
      </c>
      <c r="S402" s="7474"/>
      <c r="T402" s="4985">
        <v>1434.5199999999995</v>
      </c>
      <c r="U402" s="7505"/>
      <c r="V402" s="4890">
        <f t="shared" si="546"/>
        <v>6734.62</v>
      </c>
      <c r="W402" s="7474"/>
      <c r="X402" s="5026">
        <v>1180.4999999999998</v>
      </c>
      <c r="Y402" s="7535"/>
      <c r="Z402" s="5020">
        <f t="shared" si="547"/>
        <v>5296.9</v>
      </c>
      <c r="AA402" s="7520"/>
      <c r="AB402" s="4311">
        <f t="shared" si="559"/>
        <v>7915.12</v>
      </c>
      <c r="AC402" s="7474"/>
      <c r="AD402" s="5337"/>
      <c r="AE402" s="7505"/>
      <c r="AF402" s="5333">
        <f t="shared" si="560"/>
        <v>7915.12</v>
      </c>
      <c r="AG402" s="7474"/>
      <c r="AH402" s="5510"/>
      <c r="AI402" s="4314"/>
      <c r="AJ402" s="5511">
        <f t="shared" si="549"/>
        <v>7915.12</v>
      </c>
      <c r="AK402" s="7474"/>
      <c r="AL402" s="5911"/>
      <c r="AM402" s="7535"/>
      <c r="AN402" s="5904">
        <f t="shared" si="550"/>
        <v>0</v>
      </c>
      <c r="AO402" s="7505"/>
      <c r="AP402" s="5907">
        <f t="shared" si="551"/>
        <v>7915.12</v>
      </c>
      <c r="AQ402" s="7474"/>
      <c r="AR402" s="6066"/>
      <c r="AS402" s="4314"/>
      <c r="AT402" s="6135">
        <f t="shared" si="561"/>
        <v>7915.12</v>
      </c>
      <c r="AU402" s="7474"/>
      <c r="AV402" s="6189"/>
      <c r="AW402" s="4314"/>
      <c r="AX402" s="6193">
        <f t="shared" si="562"/>
        <v>7915.12</v>
      </c>
      <c r="AY402" s="7474"/>
      <c r="AZ402" s="6401"/>
      <c r="BA402" s="7535"/>
      <c r="BB402" s="6600">
        <f t="shared" si="554"/>
        <v>0</v>
      </c>
      <c r="BC402" s="7520"/>
      <c r="BD402" s="544">
        <f t="shared" si="555"/>
        <v>0</v>
      </c>
      <c r="BE402" s="4314"/>
      <c r="BF402" s="6598">
        <f t="shared" si="556"/>
        <v>7915.12</v>
      </c>
      <c r="BG402" s="4590"/>
      <c r="BH402" s="4590"/>
      <c r="BI402" s="4590"/>
      <c r="BJ402" s="4590"/>
    </row>
    <row r="403" spans="1:62" s="6483" customFormat="1" x14ac:dyDescent="0.25">
      <c r="A403" s="93"/>
      <c r="B403" s="6511" t="s">
        <v>2289</v>
      </c>
      <c r="C403" s="6492" t="s">
        <v>50</v>
      </c>
      <c r="D403" s="6492"/>
      <c r="E403" s="7479"/>
      <c r="F403" s="6512">
        <v>1627.1200000000001</v>
      </c>
      <c r="G403" s="7479"/>
      <c r="H403" s="6512"/>
      <c r="I403" s="7510"/>
      <c r="J403" s="7213">
        <f t="shared" si="557"/>
        <v>1627.1200000000001</v>
      </c>
      <c r="K403" s="7479"/>
      <c r="L403" s="6512"/>
      <c r="M403" s="7540"/>
      <c r="N403" s="6513"/>
      <c r="O403" s="7479"/>
      <c r="P403" s="6512"/>
      <c r="Q403" s="7510"/>
      <c r="R403" s="6454"/>
      <c r="S403" s="7479"/>
      <c r="T403" s="6512"/>
      <c r="U403" s="7510"/>
      <c r="V403" s="6454"/>
      <c r="W403" s="7479"/>
      <c r="X403" s="6512"/>
      <c r="Y403" s="7540"/>
      <c r="Z403" s="6513"/>
      <c r="AA403" s="7525"/>
      <c r="AB403" s="6514"/>
      <c r="AC403" s="7479"/>
      <c r="AD403" s="6512"/>
      <c r="AE403" s="7510"/>
      <c r="AF403" s="6454"/>
      <c r="AG403" s="7479"/>
      <c r="AH403" s="6512"/>
      <c r="AI403" s="4314"/>
      <c r="AJ403" s="6454"/>
      <c r="AK403" s="7479"/>
      <c r="AL403" s="6512"/>
      <c r="AM403" s="7540"/>
      <c r="AN403" s="6513"/>
      <c r="AO403" s="7510"/>
      <c r="AP403" s="6454"/>
      <c r="AQ403" s="7479"/>
      <c r="AR403" s="6512"/>
      <c r="AS403" s="4314"/>
      <c r="AT403" s="6454"/>
      <c r="AU403" s="7479"/>
      <c r="AV403" s="6512"/>
      <c r="AW403" s="4314"/>
      <c r="AX403" s="6454"/>
      <c r="AY403" s="7479"/>
      <c r="AZ403" s="6512">
        <v>3961.7199999999989</v>
      </c>
      <c r="BA403" s="7540"/>
      <c r="BB403" s="6600">
        <f t="shared" si="554"/>
        <v>3961.7199999999989</v>
      </c>
      <c r="BC403" s="7525"/>
      <c r="BD403" s="544">
        <f t="shared" si="555"/>
        <v>3961.7199999999989</v>
      </c>
      <c r="BE403" s="4314"/>
      <c r="BF403" s="6598">
        <f t="shared" si="556"/>
        <v>3961.7199999999989</v>
      </c>
      <c r="BG403" s="4590"/>
      <c r="BH403" s="4590"/>
      <c r="BI403" s="4590"/>
      <c r="BJ403" s="4590"/>
    </row>
    <row r="404" spans="1:62" x14ac:dyDescent="0.25">
      <c r="A404" s="93"/>
      <c r="B404" s="8" t="s">
        <v>2226</v>
      </c>
      <c r="C404" s="2878" t="s">
        <v>50</v>
      </c>
      <c r="D404" s="2878"/>
      <c r="E404" s="7476"/>
      <c r="F404" s="2866"/>
      <c r="G404" s="7476"/>
      <c r="H404" s="2866">
        <v>261.55999999999995</v>
      </c>
      <c r="I404" s="7507"/>
      <c r="J404" s="7213">
        <f t="shared" si="557"/>
        <v>261.55999999999995</v>
      </c>
      <c r="K404" s="7476"/>
      <c r="L404" s="2866">
        <v>65.3</v>
      </c>
      <c r="M404" s="7537"/>
      <c r="N404" s="4569">
        <f t="shared" si="558"/>
        <v>326.85999999999996</v>
      </c>
      <c r="O404" s="7476"/>
      <c r="P404" s="2866"/>
      <c r="Q404" s="7507"/>
      <c r="R404" s="4773">
        <f t="shared" si="545"/>
        <v>326.85999999999996</v>
      </c>
      <c r="S404" s="7476"/>
      <c r="T404" s="2866"/>
      <c r="U404" s="7507"/>
      <c r="V404" s="4890">
        <f t="shared" si="546"/>
        <v>326.85999999999996</v>
      </c>
      <c r="W404" s="7476"/>
      <c r="X404" s="2866">
        <v>646.91999999999996</v>
      </c>
      <c r="Y404" s="7537"/>
      <c r="Z404" s="5020">
        <f t="shared" si="547"/>
        <v>646.91999999999996</v>
      </c>
      <c r="AA404" s="7522"/>
      <c r="AB404" s="4311">
        <f t="shared" si="559"/>
        <v>973.78</v>
      </c>
      <c r="AC404" s="7476"/>
      <c r="AD404" s="2866">
        <v>60.66</v>
      </c>
      <c r="AE404" s="7507"/>
      <c r="AF404" s="5333">
        <f t="shared" si="560"/>
        <v>1034.44</v>
      </c>
      <c r="AG404" s="7476"/>
      <c r="AH404" s="2866"/>
      <c r="AI404" s="4314"/>
      <c r="AJ404" s="5511">
        <f t="shared" si="549"/>
        <v>1034.44</v>
      </c>
      <c r="AK404" s="7476"/>
      <c r="AL404" s="2866">
        <v>252.42000000000002</v>
      </c>
      <c r="AM404" s="7537"/>
      <c r="AN404" s="5904">
        <f t="shared" si="550"/>
        <v>313.08000000000004</v>
      </c>
      <c r="AO404" s="7507"/>
      <c r="AP404" s="5907">
        <f t="shared" si="551"/>
        <v>1286.8600000000001</v>
      </c>
      <c r="AQ404" s="7476"/>
      <c r="AR404" s="2866"/>
      <c r="AS404" s="4314"/>
      <c r="AT404" s="6135">
        <f t="shared" si="561"/>
        <v>1286.8600000000001</v>
      </c>
      <c r="AU404" s="7476"/>
      <c r="AV404" s="2866"/>
      <c r="AW404" s="4314"/>
      <c r="AX404" s="6193">
        <f t="shared" si="562"/>
        <v>1286.8600000000001</v>
      </c>
      <c r="AY404" s="7476"/>
      <c r="AZ404" s="2866"/>
      <c r="BA404" s="7537"/>
      <c r="BB404" s="6600">
        <f t="shared" si="554"/>
        <v>0</v>
      </c>
      <c r="BC404" s="7522"/>
      <c r="BD404" s="544">
        <f t="shared" si="555"/>
        <v>313.08000000000004</v>
      </c>
      <c r="BE404" s="4314"/>
      <c r="BF404" s="6598">
        <f t="shared" si="556"/>
        <v>1286.8600000000001</v>
      </c>
      <c r="BG404" s="4590"/>
      <c r="BH404" s="4590"/>
      <c r="BI404" s="4590"/>
      <c r="BJ404" s="4590"/>
    </row>
    <row r="405" spans="1:62" x14ac:dyDescent="0.25">
      <c r="A405" s="93"/>
      <c r="B405" s="8" t="s">
        <v>2227</v>
      </c>
      <c r="C405" s="2878" t="s">
        <v>50</v>
      </c>
      <c r="D405" s="2878"/>
      <c r="E405" s="7476"/>
      <c r="F405" s="2866">
        <v>5959.1999999999989</v>
      </c>
      <c r="G405" s="7476"/>
      <c r="H405" s="2866">
        <v>8654.3799999999992</v>
      </c>
      <c r="I405" s="7507"/>
      <c r="J405" s="7213">
        <f t="shared" si="557"/>
        <v>14613.579999999998</v>
      </c>
      <c r="K405" s="7476"/>
      <c r="L405" s="2866"/>
      <c r="M405" s="7537"/>
      <c r="N405" s="4569">
        <f t="shared" si="558"/>
        <v>14613.579999999998</v>
      </c>
      <c r="O405" s="7476"/>
      <c r="P405" s="2866"/>
      <c r="Q405" s="7507"/>
      <c r="R405" s="4773">
        <f t="shared" si="545"/>
        <v>14613.579999999998</v>
      </c>
      <c r="S405" s="7476"/>
      <c r="T405" s="2866"/>
      <c r="U405" s="7507"/>
      <c r="V405" s="4890">
        <f t="shared" si="546"/>
        <v>14613.579999999998</v>
      </c>
      <c r="W405" s="7476"/>
      <c r="X405" s="2866">
        <v>218.51</v>
      </c>
      <c r="Y405" s="7537"/>
      <c r="Z405" s="5020">
        <f t="shared" si="547"/>
        <v>218.51</v>
      </c>
      <c r="AA405" s="7522"/>
      <c r="AB405" s="4311">
        <f t="shared" si="559"/>
        <v>14832.089999999998</v>
      </c>
      <c r="AC405" s="7476"/>
      <c r="AD405" s="2866">
        <v>12871.089999999997</v>
      </c>
      <c r="AE405" s="7507"/>
      <c r="AF405" s="5333">
        <f t="shared" si="560"/>
        <v>27703.179999999993</v>
      </c>
      <c r="AG405" s="7476"/>
      <c r="AH405" s="2866"/>
      <c r="AI405" s="4314"/>
      <c r="AJ405" s="5511">
        <f t="shared" si="549"/>
        <v>27703.179999999993</v>
      </c>
      <c r="AK405" s="7476"/>
      <c r="AL405" s="2866">
        <v>8164.82</v>
      </c>
      <c r="AM405" s="7537"/>
      <c r="AN405" s="5904">
        <f t="shared" si="550"/>
        <v>21035.909999999996</v>
      </c>
      <c r="AO405" s="7507"/>
      <c r="AP405" s="5907">
        <f t="shared" si="551"/>
        <v>35867.999999999993</v>
      </c>
      <c r="AQ405" s="7476"/>
      <c r="AR405" s="2866">
        <v>7659.6999999999989</v>
      </c>
      <c r="AS405" s="4314"/>
      <c r="AT405" s="6135">
        <f t="shared" si="561"/>
        <v>43527.69999999999</v>
      </c>
      <c r="AU405" s="7476"/>
      <c r="AV405" s="2866">
        <v>6727.5</v>
      </c>
      <c r="AW405" s="4314"/>
      <c r="AX405" s="6193">
        <f t="shared" si="562"/>
        <v>50255.19999999999</v>
      </c>
      <c r="AY405" s="7476"/>
      <c r="AZ405" s="2866">
        <v>8280.9000000000015</v>
      </c>
      <c r="BA405" s="7537"/>
      <c r="BB405" s="6600">
        <f t="shared" si="554"/>
        <v>22668.1</v>
      </c>
      <c r="BC405" s="7522"/>
      <c r="BD405" s="544">
        <f t="shared" si="555"/>
        <v>43704.009999999995</v>
      </c>
      <c r="BE405" s="4314"/>
      <c r="BF405" s="6598">
        <f t="shared" si="556"/>
        <v>58536.099999999991</v>
      </c>
      <c r="BG405" s="4590"/>
      <c r="BH405" s="4590"/>
      <c r="BI405" s="4590"/>
      <c r="BJ405" s="4590"/>
    </row>
    <row r="406" spans="1:62" x14ac:dyDescent="0.25">
      <c r="A406" s="93"/>
      <c r="B406" s="8" t="s">
        <v>1586</v>
      </c>
      <c r="C406" s="159" t="s">
        <v>50</v>
      </c>
      <c r="D406" s="159"/>
      <c r="E406" s="7474"/>
      <c r="F406" s="2400">
        <v>655.58</v>
      </c>
      <c r="G406" s="7474"/>
      <c r="H406" s="7166"/>
      <c r="I406" s="7505"/>
      <c r="J406" s="7213">
        <f t="shared" si="557"/>
        <v>655.58</v>
      </c>
      <c r="K406" s="7474"/>
      <c r="L406" s="4574"/>
      <c r="M406" s="7535"/>
      <c r="N406" s="4569">
        <f t="shared" si="558"/>
        <v>655.58</v>
      </c>
      <c r="O406" s="7474"/>
      <c r="P406" s="4778">
        <v>3647</v>
      </c>
      <c r="Q406" s="7505"/>
      <c r="R406" s="4773">
        <f t="shared" si="545"/>
        <v>4302.58</v>
      </c>
      <c r="S406" s="7474"/>
      <c r="T406" s="4985">
        <v>442.97999999999996</v>
      </c>
      <c r="U406" s="7505"/>
      <c r="V406" s="4890">
        <f t="shared" si="546"/>
        <v>4745.5599999999995</v>
      </c>
      <c r="W406" s="7474"/>
      <c r="X406" s="5026"/>
      <c r="Y406" s="7535"/>
      <c r="Z406" s="5020">
        <f t="shared" si="547"/>
        <v>4089.98</v>
      </c>
      <c r="AA406" s="7520"/>
      <c r="AB406" s="4311">
        <f t="shared" si="559"/>
        <v>4745.5600000000004</v>
      </c>
      <c r="AC406" s="7474"/>
      <c r="AD406" s="5337">
        <v>62.79</v>
      </c>
      <c r="AE406" s="7505"/>
      <c r="AF406" s="5333">
        <f t="shared" si="560"/>
        <v>4808.3500000000004</v>
      </c>
      <c r="AG406" s="7474"/>
      <c r="AH406" s="5510">
        <v>69.05</v>
      </c>
      <c r="AI406" s="4309"/>
      <c r="AJ406" s="5511">
        <f t="shared" si="549"/>
        <v>4877.4000000000005</v>
      </c>
      <c r="AK406" s="7474"/>
      <c r="AL406" s="5911"/>
      <c r="AM406" s="7535"/>
      <c r="AN406" s="5904">
        <f t="shared" si="550"/>
        <v>131.84</v>
      </c>
      <c r="AO406" s="7505"/>
      <c r="AP406" s="5907">
        <f t="shared" si="551"/>
        <v>4877.4000000000005</v>
      </c>
      <c r="AQ406" s="7474"/>
      <c r="AR406" s="6066">
        <v>778.53</v>
      </c>
      <c r="AS406" s="4309"/>
      <c r="AT406" s="6135">
        <f t="shared" si="561"/>
        <v>5655.93</v>
      </c>
      <c r="AU406" s="7474"/>
      <c r="AV406" s="6189">
        <v>652.78</v>
      </c>
      <c r="AW406" s="4309"/>
      <c r="AX406" s="6193">
        <f t="shared" si="562"/>
        <v>6308.71</v>
      </c>
      <c r="AY406" s="7474"/>
      <c r="AZ406" s="6401">
        <v>1041.04</v>
      </c>
      <c r="BA406" s="7535"/>
      <c r="BB406" s="6600">
        <f t="shared" si="554"/>
        <v>2472.35</v>
      </c>
      <c r="BC406" s="7520"/>
      <c r="BD406" s="544">
        <f t="shared" si="555"/>
        <v>2604.19</v>
      </c>
      <c r="BE406" s="4309"/>
      <c r="BF406" s="6598">
        <f t="shared" si="556"/>
        <v>7349.75</v>
      </c>
      <c r="BG406" s="4590"/>
      <c r="BH406" s="4590"/>
      <c r="BI406" s="4590"/>
      <c r="BJ406" s="4590"/>
    </row>
    <row r="407" spans="1:62" x14ac:dyDescent="0.25">
      <c r="A407" s="93"/>
      <c r="B407" s="8" t="s">
        <v>2228</v>
      </c>
      <c r="C407" s="159" t="s">
        <v>50</v>
      </c>
      <c r="D407" s="159"/>
      <c r="E407" s="7474"/>
      <c r="F407" s="2400"/>
      <c r="G407" s="7474"/>
      <c r="H407" s="7166"/>
      <c r="I407" s="7505"/>
      <c r="J407" s="7213">
        <f t="shared" si="557"/>
        <v>0</v>
      </c>
      <c r="K407" s="7474"/>
      <c r="L407" s="4574"/>
      <c r="M407" s="7535"/>
      <c r="N407" s="378">
        <f t="shared" si="558"/>
        <v>0</v>
      </c>
      <c r="O407" s="7474"/>
      <c r="P407" s="4778"/>
      <c r="Q407" s="7505"/>
      <c r="R407" s="4773">
        <f t="shared" si="545"/>
        <v>0</v>
      </c>
      <c r="S407" s="7474"/>
      <c r="T407" s="4985">
        <v>564.54999999999995</v>
      </c>
      <c r="U407" s="7505"/>
      <c r="V407" s="4890">
        <f t="shared" si="546"/>
        <v>564.54999999999995</v>
      </c>
      <c r="W407" s="7474"/>
      <c r="X407" s="5026"/>
      <c r="Y407" s="7535"/>
      <c r="Z407" s="5020">
        <f t="shared" si="547"/>
        <v>564.54999999999995</v>
      </c>
      <c r="AA407" s="7520"/>
      <c r="AB407" s="4311">
        <f t="shared" si="559"/>
        <v>564.54999999999995</v>
      </c>
      <c r="AC407" s="7474"/>
      <c r="AD407" s="5337">
        <v>66.599999999999994</v>
      </c>
      <c r="AE407" s="7505"/>
      <c r="AF407" s="2399">
        <f t="shared" si="560"/>
        <v>631.15</v>
      </c>
      <c r="AG407" s="7474"/>
      <c r="AH407" s="5510"/>
      <c r="AI407" s="4309"/>
      <c r="AJ407" s="2399">
        <f t="shared" ref="AJ407:AJ409" si="563">AF407+AH407</f>
        <v>631.15</v>
      </c>
      <c r="AK407" s="7474"/>
      <c r="AL407" s="5911"/>
      <c r="AM407" s="7535"/>
      <c r="AN407" s="5904">
        <f t="shared" si="550"/>
        <v>66.599999999999994</v>
      </c>
      <c r="AO407" s="7505"/>
      <c r="AP407" s="5907">
        <f t="shared" si="551"/>
        <v>631.15</v>
      </c>
      <c r="AQ407" s="7474"/>
      <c r="AR407" s="6066"/>
      <c r="AS407" s="4309"/>
      <c r="AT407" s="6135">
        <f t="shared" si="561"/>
        <v>631.15</v>
      </c>
      <c r="AU407" s="7474"/>
      <c r="AV407" s="6189"/>
      <c r="AW407" s="4309"/>
      <c r="AX407" s="6193">
        <f t="shared" si="562"/>
        <v>631.15</v>
      </c>
      <c r="AY407" s="7474"/>
      <c r="AZ407" s="6401"/>
      <c r="BA407" s="7535"/>
      <c r="BB407" s="6600">
        <f t="shared" si="554"/>
        <v>0</v>
      </c>
      <c r="BC407" s="7520"/>
      <c r="BD407" s="544">
        <f t="shared" si="555"/>
        <v>66.599999999999994</v>
      </c>
      <c r="BE407" s="4309"/>
      <c r="BF407" s="2399">
        <f t="shared" ref="BF407:BF409" si="564">AX407+AZ407</f>
        <v>631.15</v>
      </c>
      <c r="BG407" s="4590"/>
      <c r="BH407" s="4590"/>
      <c r="BI407" s="4590"/>
      <c r="BJ407" s="4590"/>
    </row>
    <row r="408" spans="1:62" x14ac:dyDescent="0.25">
      <c r="A408" s="93"/>
      <c r="B408" s="8" t="s">
        <v>716</v>
      </c>
      <c r="C408" s="159" t="s">
        <v>50</v>
      </c>
      <c r="D408" s="159"/>
      <c r="E408" s="7474"/>
      <c r="F408" s="2400"/>
      <c r="G408" s="7474"/>
      <c r="H408" s="7166">
        <v>978.01999999999987</v>
      </c>
      <c r="I408" s="7505"/>
      <c r="J408" s="7213">
        <f t="shared" si="557"/>
        <v>978.01999999999987</v>
      </c>
      <c r="K408" s="7474"/>
      <c r="L408" s="4574"/>
      <c r="M408" s="7535"/>
      <c r="N408" s="378">
        <f t="shared" si="558"/>
        <v>978.01999999999987</v>
      </c>
      <c r="O408" s="7474"/>
      <c r="P408" s="4778"/>
      <c r="Q408" s="7505"/>
      <c r="R408" s="4773">
        <f t="shared" si="545"/>
        <v>978.01999999999987</v>
      </c>
      <c r="S408" s="7474"/>
      <c r="T408" s="4985">
        <v>2579.8000000000002</v>
      </c>
      <c r="U408" s="7505"/>
      <c r="V408" s="4890">
        <f t="shared" si="546"/>
        <v>3557.82</v>
      </c>
      <c r="W408" s="7474"/>
      <c r="X408" s="5026">
        <v>3541.14</v>
      </c>
      <c r="Y408" s="7535"/>
      <c r="Z408" s="378">
        <f t="shared" si="547"/>
        <v>6120.9400000000005</v>
      </c>
      <c r="AA408" s="7520"/>
      <c r="AB408" s="4311">
        <f t="shared" si="559"/>
        <v>7098.96</v>
      </c>
      <c r="AC408" s="7474"/>
      <c r="AD408" s="5337">
        <v>65.180000000000007</v>
      </c>
      <c r="AE408" s="7505"/>
      <c r="AF408" s="2399">
        <f t="shared" si="560"/>
        <v>7164.14</v>
      </c>
      <c r="AG408" s="7474"/>
      <c r="AH408" s="5510"/>
      <c r="AI408" s="4315"/>
      <c r="AJ408" s="2399">
        <f t="shared" si="563"/>
        <v>7164.14</v>
      </c>
      <c r="AK408" s="7474"/>
      <c r="AL408" s="5911">
        <v>1444.1</v>
      </c>
      <c r="AM408" s="7535"/>
      <c r="AN408" s="378">
        <f t="shared" si="550"/>
        <v>1509.28</v>
      </c>
      <c r="AO408" s="7505"/>
      <c r="AP408" s="2399">
        <f t="shared" si="551"/>
        <v>8608.24</v>
      </c>
      <c r="AQ408" s="7474"/>
      <c r="AR408" s="6066">
        <v>2212.6400000000003</v>
      </c>
      <c r="AS408" s="4315"/>
      <c r="AT408" s="2399">
        <f t="shared" si="561"/>
        <v>10820.880000000001</v>
      </c>
      <c r="AU408" s="7474"/>
      <c r="AV408" s="6189"/>
      <c r="AW408" s="4315"/>
      <c r="AX408" s="6193">
        <f t="shared" si="562"/>
        <v>10820.880000000001</v>
      </c>
      <c r="AY408" s="7474"/>
      <c r="AZ408" s="6401"/>
      <c r="BA408" s="7535"/>
      <c r="BB408" s="378">
        <f t="shared" ref="BB408:BB409" si="565">AR408+AV408+AZ408</f>
        <v>2212.6400000000003</v>
      </c>
      <c r="BC408" s="7520"/>
      <c r="BD408" s="544">
        <f t="shared" si="555"/>
        <v>3721.92</v>
      </c>
      <c r="BE408" s="4315"/>
      <c r="BF408" s="2399">
        <f t="shared" si="564"/>
        <v>10820.880000000001</v>
      </c>
      <c r="BG408" s="4590"/>
      <c r="BH408" s="4590"/>
      <c r="BI408" s="4590"/>
      <c r="BJ408" s="4590"/>
    </row>
    <row r="409" spans="1:62" x14ac:dyDescent="0.25">
      <c r="A409" s="93"/>
      <c r="B409" s="4034" t="s">
        <v>541</v>
      </c>
      <c r="C409" s="814" t="s">
        <v>50</v>
      </c>
      <c r="D409" s="1971">
        <f>+D40</f>
        <v>524798</v>
      </c>
      <c r="E409" s="1971"/>
      <c r="F409" s="1971">
        <f>SUM(F378:F408)</f>
        <v>38297.31</v>
      </c>
      <c r="G409" s="1971"/>
      <c r="H409" s="1971">
        <f>SUM(H378:H408)</f>
        <v>50015.529999999984</v>
      </c>
      <c r="I409" s="376"/>
      <c r="J409" s="7213">
        <f t="shared" si="557"/>
        <v>88312.839999999982</v>
      </c>
      <c r="K409" s="1971"/>
      <c r="L409" s="1971">
        <f>SUM(L378:L408)</f>
        <v>24006.030000000002</v>
      </c>
      <c r="M409" s="378"/>
      <c r="N409" s="378">
        <f t="shared" si="558"/>
        <v>112318.86999999998</v>
      </c>
      <c r="O409" s="1971"/>
      <c r="P409" s="1971">
        <f>SUM(P378:P408)</f>
        <v>50004.459999999992</v>
      </c>
      <c r="Q409" s="376"/>
      <c r="R409" s="376">
        <f t="shared" si="545"/>
        <v>162323.32999999996</v>
      </c>
      <c r="S409" s="1971"/>
      <c r="T409" s="1971">
        <f>SUM(T378:T408)</f>
        <v>53593.630000000026</v>
      </c>
      <c r="U409" s="4885"/>
      <c r="V409" s="4885">
        <f t="shared" si="546"/>
        <v>215916.96</v>
      </c>
      <c r="W409" s="1971"/>
      <c r="X409" s="1971">
        <f>SUM(X378:X408)</f>
        <v>54167.479999999996</v>
      </c>
      <c r="Y409" s="378"/>
      <c r="Z409" s="378">
        <f t="shared" si="547"/>
        <v>157765.57</v>
      </c>
      <c r="AA409" s="4160"/>
      <c r="AB409" s="4311">
        <f t="shared" si="559"/>
        <v>270084.44</v>
      </c>
      <c r="AC409" s="1971"/>
      <c r="AD409" s="1971">
        <f>SUM(AD378:AD408)</f>
        <v>31037.679999999993</v>
      </c>
      <c r="AE409" s="376"/>
      <c r="AF409" s="376">
        <f t="shared" si="560"/>
        <v>301122.12</v>
      </c>
      <c r="AG409" s="1971"/>
      <c r="AH409" s="1971">
        <f>SUM(AH378:AH408)</f>
        <v>11162.88</v>
      </c>
      <c r="AI409" s="376"/>
      <c r="AJ409" s="376">
        <f t="shared" si="563"/>
        <v>312285</v>
      </c>
      <c r="AK409" s="1971"/>
      <c r="AL409" s="1971">
        <f>SUM(AL378:AL408)</f>
        <v>55181.05</v>
      </c>
      <c r="AM409" s="378"/>
      <c r="AN409" s="378">
        <f t="shared" si="550"/>
        <v>97381.609999999986</v>
      </c>
      <c r="AO409" s="376"/>
      <c r="AP409" s="376">
        <f t="shared" si="551"/>
        <v>367466.05</v>
      </c>
      <c r="AQ409" s="1971"/>
      <c r="AR409" s="1971">
        <f>SUM(AR378:AR408)</f>
        <v>75737.14</v>
      </c>
      <c r="AS409" s="376"/>
      <c r="AT409" s="376">
        <f t="shared" si="561"/>
        <v>443203.19</v>
      </c>
      <c r="AU409" s="1971"/>
      <c r="AV409" s="1971">
        <f>SUM(AV378:AV408)</f>
        <v>44295.63</v>
      </c>
      <c r="AW409" s="6190"/>
      <c r="AX409" s="6190">
        <f t="shared" si="562"/>
        <v>487498.82</v>
      </c>
      <c r="AY409" s="1971"/>
      <c r="AZ409" s="1971">
        <f>SUM(AZ378:AZ408)</f>
        <v>67399.77</v>
      </c>
      <c r="BA409" s="378"/>
      <c r="BB409" s="378">
        <f t="shared" si="565"/>
        <v>187432.53999999998</v>
      </c>
      <c r="BC409" s="4160"/>
      <c r="BD409" s="544">
        <f t="shared" si="555"/>
        <v>284814.14999999997</v>
      </c>
      <c r="BE409" s="376">
        <v>462000</v>
      </c>
      <c r="BF409" s="376">
        <f t="shared" si="564"/>
        <v>554898.59</v>
      </c>
      <c r="BG409" s="4590"/>
      <c r="BH409" s="4590"/>
      <c r="BI409" s="4590"/>
      <c r="BJ409" s="4590"/>
    </row>
    <row r="410" spans="1:62" ht="20.25" customHeight="1" x14ac:dyDescent="0.25">
      <c r="A410" s="93"/>
      <c r="B410" s="4028" t="s">
        <v>540</v>
      </c>
      <c r="C410" s="4156"/>
      <c r="D410" s="4156"/>
      <c r="E410" s="4156"/>
      <c r="F410" s="4156"/>
      <c r="G410" s="4156"/>
      <c r="H410" s="4156"/>
      <c r="I410" s="4247"/>
      <c r="J410" s="7213">
        <f t="shared" si="557"/>
        <v>0</v>
      </c>
      <c r="K410" s="4156"/>
      <c r="L410" s="4156"/>
      <c r="M410" s="4248"/>
      <c r="N410" s="4248"/>
      <c r="O410" s="4156"/>
      <c r="P410" s="4156"/>
      <c r="Q410" s="4247"/>
      <c r="R410" s="4247"/>
      <c r="S410" s="4156"/>
      <c r="T410" s="4156"/>
      <c r="U410" s="4247"/>
      <c r="V410" s="4247"/>
      <c r="W410" s="4156"/>
      <c r="X410" s="4156"/>
      <c r="Y410" s="4248"/>
      <c r="Z410" s="4248"/>
      <c r="AA410" s="4249"/>
      <c r="AB410" s="4316"/>
      <c r="AC410" s="4156"/>
      <c r="AD410" s="4156"/>
      <c r="AE410" s="4247"/>
      <c r="AF410" s="4247"/>
      <c r="AG410" s="4156"/>
      <c r="AH410" s="4156"/>
      <c r="AI410" s="4247"/>
      <c r="AJ410" s="4247"/>
      <c r="AK410" s="4156"/>
      <c r="AL410" s="4156"/>
      <c r="AM410" s="4248"/>
      <c r="AN410" s="4248"/>
      <c r="AO410" s="4247"/>
      <c r="AP410" s="4247"/>
      <c r="AQ410" s="4156"/>
      <c r="AR410" s="4156"/>
      <c r="AS410" s="4247"/>
      <c r="AT410" s="4247"/>
      <c r="AU410" s="4156"/>
      <c r="AV410" s="4156"/>
      <c r="AW410" s="4247"/>
      <c r="AX410" s="4247"/>
      <c r="AY410" s="4156"/>
      <c r="AZ410" s="4156"/>
      <c r="BA410" s="4248"/>
      <c r="BB410" s="4248"/>
      <c r="BC410" s="4249"/>
      <c r="BD410" s="4317"/>
      <c r="BE410" s="4247"/>
      <c r="BF410" s="4247"/>
      <c r="BG410" s="4590"/>
      <c r="BH410" s="4590"/>
      <c r="BI410" s="4590"/>
      <c r="BJ410" s="4590"/>
    </row>
    <row r="411" spans="1:62" ht="20.25" hidden="1" customHeight="1" x14ac:dyDescent="0.25">
      <c r="A411" s="154"/>
      <c r="B411" s="4312" t="s">
        <v>1738</v>
      </c>
      <c r="C411" s="159"/>
      <c r="D411" s="159"/>
      <c r="E411" s="4318"/>
      <c r="F411" s="1971">
        <f>+F412+F413+F414</f>
        <v>0</v>
      </c>
      <c r="G411" s="4318"/>
      <c r="H411" s="1971">
        <f>+H412+H413+H414</f>
        <v>0</v>
      </c>
      <c r="I411" s="4247"/>
      <c r="J411" s="7213">
        <f t="shared" si="557"/>
        <v>0</v>
      </c>
      <c r="K411" s="4318"/>
      <c r="L411" s="1971">
        <f>+L412+L413+L414</f>
        <v>0</v>
      </c>
      <c r="M411" s="4248"/>
      <c r="N411" s="378">
        <f t="shared" ref="N411" si="566">F411+H411+L411</f>
        <v>0</v>
      </c>
      <c r="O411" s="4318"/>
      <c r="P411" s="1971">
        <f>+P412+P413+P414</f>
        <v>0</v>
      </c>
      <c r="Q411" s="4247"/>
      <c r="R411" s="376">
        <f>N411+P411</f>
        <v>0</v>
      </c>
      <c r="S411" s="4318"/>
      <c r="T411" s="1971">
        <f>+T412+T413+T414</f>
        <v>0</v>
      </c>
      <c r="U411" s="4247"/>
      <c r="V411" s="4885">
        <f>R411+T411</f>
        <v>0</v>
      </c>
      <c r="W411" s="4318"/>
      <c r="X411" s="1971">
        <f>+X412+X413+X414</f>
        <v>0</v>
      </c>
      <c r="Y411" s="4248"/>
      <c r="Z411" s="378">
        <f t="shared" ref="Z411" si="567">P411+T411+X411</f>
        <v>0</v>
      </c>
      <c r="AA411" s="4249"/>
      <c r="AB411" s="4311">
        <f t="shared" ref="AB411" si="568">N411+Z411</f>
        <v>0</v>
      </c>
      <c r="AC411" s="4318"/>
      <c r="AD411" s="1971">
        <f>+AD412+AD413+AD414</f>
        <v>0</v>
      </c>
      <c r="AE411" s="4247"/>
      <c r="AF411" s="376">
        <f>AB411+AD411</f>
        <v>0</v>
      </c>
      <c r="AG411" s="4318"/>
      <c r="AH411" s="1971">
        <f>+AH412+AH413+AH414</f>
        <v>0</v>
      </c>
      <c r="AI411" s="4247"/>
      <c r="AJ411" s="376">
        <f>AF411+AH411</f>
        <v>0</v>
      </c>
      <c r="AK411" s="4318"/>
      <c r="AL411" s="1971">
        <f>+AL412+AL413+AL414</f>
        <v>0</v>
      </c>
      <c r="AM411" s="4248"/>
      <c r="AN411" s="378">
        <f t="shared" si="550"/>
        <v>0</v>
      </c>
      <c r="AO411" s="4247"/>
      <c r="AP411" s="376">
        <f t="shared" si="551"/>
        <v>0</v>
      </c>
      <c r="AQ411" s="4318"/>
      <c r="AR411" s="1971">
        <f>+AR412+AR413+AR414</f>
        <v>0</v>
      </c>
      <c r="AS411" s="4247"/>
      <c r="AT411" s="376">
        <f>AP411+AR411</f>
        <v>0</v>
      </c>
      <c r="AU411" s="4318"/>
      <c r="AV411" s="1971">
        <f>+AV412+AV413+AV414</f>
        <v>0</v>
      </c>
      <c r="AW411" s="4247"/>
      <c r="AX411" s="6190">
        <f>AT411+AV411</f>
        <v>0</v>
      </c>
      <c r="AY411" s="4318"/>
      <c r="AZ411" s="1971">
        <f>+AZ412+AZ413+AZ414</f>
        <v>0</v>
      </c>
      <c r="BA411" s="4248"/>
      <c r="BB411" s="378">
        <f t="shared" ref="BB411:BB425" si="569">AR411+AV411+AZ411</f>
        <v>0</v>
      </c>
      <c r="BC411" s="4249"/>
      <c r="BD411" s="544">
        <f t="shared" si="555"/>
        <v>0</v>
      </c>
      <c r="BE411" s="4247"/>
      <c r="BF411" s="376">
        <f>AX411+AZ411</f>
        <v>0</v>
      </c>
      <c r="BG411" s="4590"/>
      <c r="BH411" s="4590"/>
      <c r="BI411" s="4590"/>
      <c r="BJ411" s="4590"/>
    </row>
    <row r="412" spans="1:62" ht="18.75" hidden="1" customHeight="1" x14ac:dyDescent="0.25">
      <c r="A412" s="154"/>
      <c r="B412" s="4319" t="s">
        <v>1518</v>
      </c>
      <c r="C412" s="159" t="s">
        <v>50</v>
      </c>
      <c r="D412" s="159"/>
      <c r="E412" s="4318"/>
      <c r="F412" s="2400">
        <v>0</v>
      </c>
      <c r="G412" s="4318"/>
      <c r="H412" s="7166">
        <v>0</v>
      </c>
      <c r="I412" s="4247"/>
      <c r="J412" s="7213">
        <f t="shared" si="557"/>
        <v>0</v>
      </c>
      <c r="K412" s="4318"/>
      <c r="L412" s="4574"/>
      <c r="M412" s="4248"/>
      <c r="N412" s="4125">
        <f t="shared" ref="N412:N420" si="570">F412+H412+L412</f>
        <v>0</v>
      </c>
      <c r="O412" s="4318"/>
      <c r="P412" s="4778"/>
      <c r="Q412" s="4247"/>
      <c r="R412" s="4774">
        <f t="shared" ref="R412:R417" si="571">N412+P412</f>
        <v>0</v>
      </c>
      <c r="S412" s="4318"/>
      <c r="T412" s="4889"/>
      <c r="U412" s="4247"/>
      <c r="V412" s="4885">
        <f t="shared" ref="V412:V417" si="572">R412+T412</f>
        <v>0</v>
      </c>
      <c r="W412" s="4318"/>
      <c r="X412" s="5026"/>
      <c r="Y412" s="4248"/>
      <c r="Z412" s="4125">
        <f t="shared" ref="Z412:Z421" si="573">P412+T412+X412</f>
        <v>0</v>
      </c>
      <c r="AA412" s="4249"/>
      <c r="AB412" s="4311">
        <f t="shared" ref="AB412:AB421" si="574">N412+Z412</f>
        <v>0</v>
      </c>
      <c r="AC412" s="4318"/>
      <c r="AD412" s="5337"/>
      <c r="AE412" s="4247"/>
      <c r="AF412" s="2399">
        <f t="shared" ref="AF412:AF417" si="575">AB412+AD412</f>
        <v>0</v>
      </c>
      <c r="AG412" s="4318"/>
      <c r="AH412" s="5510"/>
      <c r="AI412" s="4247"/>
      <c r="AJ412" s="2399">
        <f t="shared" ref="AJ412:AJ427" si="576">AF412+AH412</f>
        <v>0</v>
      </c>
      <c r="AK412" s="4318"/>
      <c r="AL412" s="5911"/>
      <c r="AM412" s="4248"/>
      <c r="AN412" s="4125">
        <f t="shared" si="550"/>
        <v>0</v>
      </c>
      <c r="AO412" s="4247"/>
      <c r="AP412" s="2399">
        <f t="shared" si="551"/>
        <v>0</v>
      </c>
      <c r="AQ412" s="4318"/>
      <c r="AR412" s="6066"/>
      <c r="AS412" s="4247"/>
      <c r="AT412" s="2399">
        <f t="shared" ref="AT412:AT427" si="577">AP412+AR412</f>
        <v>0</v>
      </c>
      <c r="AU412" s="4318"/>
      <c r="AV412" s="6189"/>
      <c r="AW412" s="4247"/>
      <c r="AX412" s="6193">
        <f t="shared" ref="AX412:AX427" si="578">AT412+AV412</f>
        <v>0</v>
      </c>
      <c r="AY412" s="4318"/>
      <c r="AZ412" s="6401"/>
      <c r="BA412" s="4248"/>
      <c r="BB412" s="4125">
        <f t="shared" si="569"/>
        <v>0</v>
      </c>
      <c r="BC412" s="4249"/>
      <c r="BD412" s="4127">
        <f t="shared" si="555"/>
        <v>0</v>
      </c>
      <c r="BE412" s="4247"/>
      <c r="BF412" s="2399">
        <f t="shared" ref="BF412:BF427" si="579">AX412+AZ412</f>
        <v>0</v>
      </c>
      <c r="BG412" s="4590"/>
      <c r="BH412" s="4590"/>
      <c r="BI412" s="4590"/>
      <c r="BJ412" s="4590"/>
    </row>
    <row r="413" spans="1:62" ht="18.75" hidden="1" customHeight="1" x14ac:dyDescent="0.25">
      <c r="A413" s="154"/>
      <c r="B413" s="4319" t="s">
        <v>1136</v>
      </c>
      <c r="C413" s="159" t="s">
        <v>50</v>
      </c>
      <c r="D413" s="159"/>
      <c r="E413" s="4318"/>
      <c r="F413" s="2400">
        <v>0</v>
      </c>
      <c r="G413" s="4318"/>
      <c r="H413" s="7166">
        <v>0</v>
      </c>
      <c r="I413" s="4247"/>
      <c r="J413" s="7213">
        <f t="shared" si="557"/>
        <v>0</v>
      </c>
      <c r="K413" s="4318"/>
      <c r="L413" s="4574"/>
      <c r="M413" s="4248"/>
      <c r="N413" s="4125">
        <f t="shared" si="570"/>
        <v>0</v>
      </c>
      <c r="O413" s="4318"/>
      <c r="P413" s="4778"/>
      <c r="Q413" s="4247"/>
      <c r="R413" s="4774">
        <f t="shared" si="571"/>
        <v>0</v>
      </c>
      <c r="S413" s="4318"/>
      <c r="T413" s="4889"/>
      <c r="U413" s="4247"/>
      <c r="V413" s="4885">
        <f t="shared" si="572"/>
        <v>0</v>
      </c>
      <c r="W413" s="4318"/>
      <c r="X413" s="5026"/>
      <c r="Y413" s="4248"/>
      <c r="Z413" s="4125">
        <f t="shared" si="573"/>
        <v>0</v>
      </c>
      <c r="AA413" s="4249"/>
      <c r="AB413" s="4311">
        <f t="shared" si="574"/>
        <v>0</v>
      </c>
      <c r="AC413" s="4318"/>
      <c r="AD413" s="5337"/>
      <c r="AE413" s="4247"/>
      <c r="AF413" s="2399">
        <f t="shared" si="575"/>
        <v>0</v>
      </c>
      <c r="AG413" s="4318"/>
      <c r="AH413" s="5510"/>
      <c r="AI413" s="4247"/>
      <c r="AJ413" s="2399">
        <f t="shared" si="576"/>
        <v>0</v>
      </c>
      <c r="AK413" s="4318"/>
      <c r="AL413" s="5911"/>
      <c r="AM413" s="4248"/>
      <c r="AN413" s="4125">
        <f t="shared" si="550"/>
        <v>0</v>
      </c>
      <c r="AO413" s="4247"/>
      <c r="AP413" s="2399">
        <f t="shared" si="551"/>
        <v>0</v>
      </c>
      <c r="AQ413" s="4318"/>
      <c r="AR413" s="6066"/>
      <c r="AS413" s="4247"/>
      <c r="AT413" s="2399">
        <f t="shared" si="577"/>
        <v>0</v>
      </c>
      <c r="AU413" s="4318"/>
      <c r="AV413" s="6189"/>
      <c r="AW413" s="4247"/>
      <c r="AX413" s="6193">
        <f t="shared" si="578"/>
        <v>0</v>
      </c>
      <c r="AY413" s="4318"/>
      <c r="AZ413" s="6401"/>
      <c r="BA413" s="4248"/>
      <c r="BB413" s="4125">
        <f t="shared" si="569"/>
        <v>0</v>
      </c>
      <c r="BC413" s="4249"/>
      <c r="BD413" s="4127">
        <f t="shared" si="555"/>
        <v>0</v>
      </c>
      <c r="BE413" s="4247"/>
      <c r="BF413" s="2399">
        <f t="shared" si="579"/>
        <v>0</v>
      </c>
      <c r="BG413" s="4590"/>
      <c r="BH413" s="4590"/>
      <c r="BI413" s="4590"/>
      <c r="BJ413" s="4590"/>
    </row>
    <row r="414" spans="1:62" ht="18.75" hidden="1" customHeight="1" x14ac:dyDescent="0.25">
      <c r="A414" s="154"/>
      <c r="B414" s="4319" t="s">
        <v>1368</v>
      </c>
      <c r="C414" s="159" t="s">
        <v>50</v>
      </c>
      <c r="D414" s="159"/>
      <c r="E414" s="4318"/>
      <c r="F414" s="2400">
        <v>0</v>
      </c>
      <c r="G414" s="4318"/>
      <c r="H414" s="7166">
        <v>0</v>
      </c>
      <c r="I414" s="4247"/>
      <c r="J414" s="7213">
        <f t="shared" si="557"/>
        <v>0</v>
      </c>
      <c r="K414" s="4318"/>
      <c r="L414" s="4574">
        <v>0</v>
      </c>
      <c r="M414" s="4248"/>
      <c r="N414" s="4125">
        <f t="shared" si="570"/>
        <v>0</v>
      </c>
      <c r="O414" s="4318"/>
      <c r="P414" s="4778">
        <v>0</v>
      </c>
      <c r="Q414" s="4247"/>
      <c r="R414" s="4774">
        <f t="shared" si="571"/>
        <v>0</v>
      </c>
      <c r="S414" s="4318"/>
      <c r="T414" s="4889">
        <v>0</v>
      </c>
      <c r="U414" s="4247"/>
      <c r="V414" s="4885">
        <f t="shared" si="572"/>
        <v>0</v>
      </c>
      <c r="W414" s="4318"/>
      <c r="X414" s="5026">
        <v>0</v>
      </c>
      <c r="Y414" s="4248"/>
      <c r="Z414" s="4125">
        <f t="shared" si="573"/>
        <v>0</v>
      </c>
      <c r="AA414" s="4249"/>
      <c r="AB414" s="4311">
        <f t="shared" si="574"/>
        <v>0</v>
      </c>
      <c r="AC414" s="4318"/>
      <c r="AD414" s="5337">
        <v>0</v>
      </c>
      <c r="AE414" s="4247"/>
      <c r="AF414" s="2399">
        <f t="shared" si="575"/>
        <v>0</v>
      </c>
      <c r="AG414" s="4318"/>
      <c r="AH414" s="5510">
        <v>0</v>
      </c>
      <c r="AI414" s="4247"/>
      <c r="AJ414" s="2399">
        <f t="shared" si="576"/>
        <v>0</v>
      </c>
      <c r="AK414" s="4318"/>
      <c r="AL414" s="5911">
        <v>0</v>
      </c>
      <c r="AM414" s="4248"/>
      <c r="AN414" s="4125">
        <f t="shared" si="550"/>
        <v>0</v>
      </c>
      <c r="AO414" s="4247"/>
      <c r="AP414" s="2399">
        <f t="shared" si="551"/>
        <v>0</v>
      </c>
      <c r="AQ414" s="4318"/>
      <c r="AR414" s="6066">
        <v>0</v>
      </c>
      <c r="AS414" s="4247"/>
      <c r="AT414" s="2399">
        <f t="shared" si="577"/>
        <v>0</v>
      </c>
      <c r="AU414" s="4318"/>
      <c r="AV414" s="6189">
        <v>0</v>
      </c>
      <c r="AW414" s="4247"/>
      <c r="AX414" s="6193">
        <f t="shared" si="578"/>
        <v>0</v>
      </c>
      <c r="AY414" s="4318"/>
      <c r="AZ414" s="6401">
        <v>0</v>
      </c>
      <c r="BA414" s="4248"/>
      <c r="BB414" s="4125">
        <f t="shared" si="569"/>
        <v>0</v>
      </c>
      <c r="BC414" s="4249"/>
      <c r="BD414" s="4127">
        <f t="shared" si="555"/>
        <v>0</v>
      </c>
      <c r="BE414" s="4247"/>
      <c r="BF414" s="4320">
        <f t="shared" si="579"/>
        <v>0</v>
      </c>
      <c r="BG414" s="4590"/>
      <c r="BH414" s="4590"/>
      <c r="BI414" s="4590"/>
      <c r="BJ414" s="4590"/>
    </row>
    <row r="415" spans="1:62" ht="20.25" customHeight="1" x14ac:dyDescent="0.25">
      <c r="A415" s="154"/>
      <c r="B415" s="4312" t="s">
        <v>1645</v>
      </c>
      <c r="C415" s="159" t="s">
        <v>50</v>
      </c>
      <c r="D415" s="159"/>
      <c r="E415" s="4318"/>
      <c r="F415" s="1971">
        <f>+F416+F417</f>
        <v>0</v>
      </c>
      <c r="G415" s="4318"/>
      <c r="H415" s="1971">
        <f>+H416+H417</f>
        <v>940.18000000000006</v>
      </c>
      <c r="I415" s="4247"/>
      <c r="J415" s="7213">
        <f t="shared" si="557"/>
        <v>940.18000000000006</v>
      </c>
      <c r="K415" s="4318"/>
      <c r="L415" s="1971">
        <f>+L416+L417</f>
        <v>1468.38</v>
      </c>
      <c r="M415" s="4248"/>
      <c r="N415" s="378">
        <f t="shared" si="570"/>
        <v>2408.5600000000004</v>
      </c>
      <c r="O415" s="4318"/>
      <c r="P415" s="1971">
        <f>+P416+P417</f>
        <v>0</v>
      </c>
      <c r="Q415" s="4247"/>
      <c r="R415" s="4774">
        <f t="shared" si="571"/>
        <v>2408.5600000000004</v>
      </c>
      <c r="S415" s="4318"/>
      <c r="T415" s="1971">
        <f>+T416+T417</f>
        <v>848.76</v>
      </c>
      <c r="U415" s="4247"/>
      <c r="V415" s="4885">
        <f t="shared" si="572"/>
        <v>3257.3200000000006</v>
      </c>
      <c r="W415" s="4318"/>
      <c r="X415" s="1971">
        <f>+X416+X417</f>
        <v>793.3</v>
      </c>
      <c r="Y415" s="4248"/>
      <c r="Z415" s="378">
        <f t="shared" si="573"/>
        <v>1642.06</v>
      </c>
      <c r="AA415" s="4249"/>
      <c r="AB415" s="4311">
        <f t="shared" si="574"/>
        <v>4050.6200000000003</v>
      </c>
      <c r="AC415" s="4318"/>
      <c r="AD415" s="1971">
        <f>+AD416+AD417</f>
        <v>632.55999999999995</v>
      </c>
      <c r="AE415" s="4247"/>
      <c r="AF415" s="2399">
        <f t="shared" si="575"/>
        <v>4683.18</v>
      </c>
      <c r="AG415" s="4318"/>
      <c r="AH415" s="1971">
        <f>+AH416+AH417</f>
        <v>637</v>
      </c>
      <c r="AI415" s="4247"/>
      <c r="AJ415" s="2399">
        <f t="shared" si="576"/>
        <v>5320.18</v>
      </c>
      <c r="AK415" s="4318"/>
      <c r="AL415" s="1971">
        <f>+AL416+AL417</f>
        <v>367.46</v>
      </c>
      <c r="AM415" s="4248"/>
      <c r="AN415" s="378">
        <f t="shared" si="550"/>
        <v>1637.02</v>
      </c>
      <c r="AO415" s="4247"/>
      <c r="AP415" s="2399">
        <f t="shared" si="551"/>
        <v>5687.64</v>
      </c>
      <c r="AQ415" s="4318"/>
      <c r="AR415" s="1971">
        <f>+AR416+AR417</f>
        <v>0</v>
      </c>
      <c r="AS415" s="4247"/>
      <c r="AT415" s="2399">
        <f t="shared" si="577"/>
        <v>5687.64</v>
      </c>
      <c r="AU415" s="4318"/>
      <c r="AV415" s="1971">
        <f>+AV416+AV417</f>
        <v>0</v>
      </c>
      <c r="AW415" s="4247"/>
      <c r="AX415" s="6193">
        <f t="shared" si="578"/>
        <v>5687.64</v>
      </c>
      <c r="AY415" s="4318"/>
      <c r="AZ415" s="1971">
        <f>+AZ416+AZ417</f>
        <v>516.62</v>
      </c>
      <c r="BA415" s="4248"/>
      <c r="BB415" s="378">
        <f t="shared" si="569"/>
        <v>516.62</v>
      </c>
      <c r="BC415" s="4249"/>
      <c r="BD415" s="544">
        <f t="shared" si="555"/>
        <v>2153.64</v>
      </c>
      <c r="BE415" s="4247"/>
      <c r="BF415" s="2399">
        <f t="shared" si="579"/>
        <v>6204.26</v>
      </c>
      <c r="BG415" s="4590"/>
      <c r="BH415" s="4590"/>
      <c r="BI415" s="4590"/>
      <c r="BJ415" s="4590"/>
    </row>
    <row r="416" spans="1:62" ht="21.2" customHeight="1" x14ac:dyDescent="0.25">
      <c r="A416" s="154"/>
      <c r="B416" s="4319" t="s">
        <v>1350</v>
      </c>
      <c r="C416" s="4141" t="s">
        <v>50</v>
      </c>
      <c r="D416" s="4141"/>
      <c r="E416" s="4318"/>
      <c r="F416" s="2400"/>
      <c r="G416" s="4318"/>
      <c r="H416" s="7166">
        <v>299.72000000000003</v>
      </c>
      <c r="I416" s="4321"/>
      <c r="J416" s="7213">
        <f t="shared" si="557"/>
        <v>299.72000000000003</v>
      </c>
      <c r="K416" s="4318"/>
      <c r="L416" s="4574"/>
      <c r="M416" s="4322"/>
      <c r="N416" s="4125">
        <f t="shared" si="570"/>
        <v>299.72000000000003</v>
      </c>
      <c r="O416" s="4318"/>
      <c r="P416" s="4778"/>
      <c r="Q416" s="4321"/>
      <c r="R416" s="4774">
        <f t="shared" si="571"/>
        <v>299.72000000000003</v>
      </c>
      <c r="S416" s="4318"/>
      <c r="T416" s="4889"/>
      <c r="U416" s="4321"/>
      <c r="V416" s="4885">
        <f t="shared" si="572"/>
        <v>299.72000000000003</v>
      </c>
      <c r="W416" s="4318"/>
      <c r="X416" s="5026"/>
      <c r="Y416" s="4322"/>
      <c r="Z416" s="4125">
        <f t="shared" si="573"/>
        <v>0</v>
      </c>
      <c r="AA416" s="4323"/>
      <c r="AB416" s="2502">
        <f t="shared" si="574"/>
        <v>299.72000000000003</v>
      </c>
      <c r="AC416" s="4318"/>
      <c r="AD416" s="5337"/>
      <c r="AE416" s="4321"/>
      <c r="AF416" s="2399">
        <f t="shared" si="575"/>
        <v>299.72000000000003</v>
      </c>
      <c r="AG416" s="4318"/>
      <c r="AH416" s="5510"/>
      <c r="AI416" s="4321"/>
      <c r="AJ416" s="2399">
        <f t="shared" si="576"/>
        <v>299.72000000000003</v>
      </c>
      <c r="AK416" s="4318"/>
      <c r="AL416" s="5911"/>
      <c r="AM416" s="4322"/>
      <c r="AN416" s="4125">
        <f t="shared" si="550"/>
        <v>0</v>
      </c>
      <c r="AO416" s="4321"/>
      <c r="AP416" s="2399">
        <f t="shared" si="551"/>
        <v>299.72000000000003</v>
      </c>
      <c r="AQ416" s="4318"/>
      <c r="AR416" s="6066"/>
      <c r="AS416" s="4321"/>
      <c r="AT416" s="2399">
        <f t="shared" si="577"/>
        <v>299.72000000000003</v>
      </c>
      <c r="AU416" s="4318"/>
      <c r="AV416" s="6189"/>
      <c r="AW416" s="4321"/>
      <c r="AX416" s="6193">
        <f t="shared" si="578"/>
        <v>299.72000000000003</v>
      </c>
      <c r="AY416" s="4318"/>
      <c r="AZ416" s="6401">
        <v>516.62</v>
      </c>
      <c r="BA416" s="4322"/>
      <c r="BB416" s="4125">
        <f t="shared" si="569"/>
        <v>516.62</v>
      </c>
      <c r="BC416" s="4323"/>
      <c r="BD416" s="4127">
        <f t="shared" si="555"/>
        <v>516.62</v>
      </c>
      <c r="BE416" s="4321"/>
      <c r="BF416" s="2399">
        <f t="shared" si="579"/>
        <v>816.34</v>
      </c>
      <c r="BG416" s="4590"/>
      <c r="BH416" s="4590"/>
      <c r="BI416" s="4590"/>
      <c r="BJ416" s="4590"/>
    </row>
    <row r="417" spans="1:62" ht="30" x14ac:dyDescent="0.25">
      <c r="A417" s="154"/>
      <c r="B417" s="4324" t="s">
        <v>1737</v>
      </c>
      <c r="C417" s="4141" t="s">
        <v>50</v>
      </c>
      <c r="D417" s="4141"/>
      <c r="E417" s="4318"/>
      <c r="F417" s="2400"/>
      <c r="G417" s="4318"/>
      <c r="H417" s="7166">
        <v>640.46</v>
      </c>
      <c r="I417" s="4321"/>
      <c r="J417" s="7213">
        <f t="shared" si="557"/>
        <v>640.46</v>
      </c>
      <c r="K417" s="4318"/>
      <c r="L417" s="4574">
        <v>1468.38</v>
      </c>
      <c r="M417" s="4322"/>
      <c r="N417" s="4125">
        <f t="shared" si="570"/>
        <v>2108.84</v>
      </c>
      <c r="O417" s="4318"/>
      <c r="P417" s="4778"/>
      <c r="Q417" s="4321"/>
      <c r="R417" s="4774">
        <f t="shared" si="571"/>
        <v>2108.84</v>
      </c>
      <c r="S417" s="4318"/>
      <c r="T417" s="4889">
        <v>848.76</v>
      </c>
      <c r="U417" s="4321"/>
      <c r="V417" s="4885">
        <f t="shared" si="572"/>
        <v>2957.6000000000004</v>
      </c>
      <c r="W417" s="4318"/>
      <c r="X417" s="5026">
        <v>793.3</v>
      </c>
      <c r="Y417" s="4322"/>
      <c r="Z417" s="4125">
        <f t="shared" si="573"/>
        <v>1642.06</v>
      </c>
      <c r="AA417" s="4323"/>
      <c r="AB417" s="2502">
        <f t="shared" si="574"/>
        <v>3750.9</v>
      </c>
      <c r="AC417" s="4318"/>
      <c r="AD417" s="5337">
        <v>632.55999999999995</v>
      </c>
      <c r="AE417" s="4321"/>
      <c r="AF417" s="2399">
        <f t="shared" si="575"/>
        <v>4383.46</v>
      </c>
      <c r="AG417" s="4318"/>
      <c r="AH417" s="5510">
        <v>637</v>
      </c>
      <c r="AI417" s="4321"/>
      <c r="AJ417" s="2399">
        <f t="shared" si="576"/>
        <v>5020.46</v>
      </c>
      <c r="AK417" s="4318"/>
      <c r="AL417" s="5911">
        <v>367.46</v>
      </c>
      <c r="AM417" s="4322"/>
      <c r="AN417" s="4125">
        <f t="shared" si="550"/>
        <v>1637.02</v>
      </c>
      <c r="AO417" s="4321"/>
      <c r="AP417" s="2399">
        <f t="shared" si="551"/>
        <v>5387.92</v>
      </c>
      <c r="AQ417" s="4318"/>
      <c r="AR417" s="6066"/>
      <c r="AS417" s="4321"/>
      <c r="AT417" s="2399">
        <f t="shared" si="577"/>
        <v>5387.92</v>
      </c>
      <c r="AU417" s="4318"/>
      <c r="AV417" s="6189"/>
      <c r="AW417" s="4321"/>
      <c r="AX417" s="6193">
        <f t="shared" si="578"/>
        <v>5387.92</v>
      </c>
      <c r="AY417" s="4318"/>
      <c r="AZ417" s="6401"/>
      <c r="BA417" s="4322"/>
      <c r="BB417" s="4125">
        <f t="shared" si="569"/>
        <v>0</v>
      </c>
      <c r="BC417" s="4323"/>
      <c r="BD417" s="4127">
        <f t="shared" si="555"/>
        <v>1637.02</v>
      </c>
      <c r="BE417" s="4321"/>
      <c r="BF417" s="2399">
        <f t="shared" si="579"/>
        <v>5387.92</v>
      </c>
      <c r="BG417" s="4590"/>
      <c r="BH417" s="4590"/>
      <c r="BI417" s="4590"/>
      <c r="BJ417" s="4590"/>
    </row>
    <row r="418" spans="1:62" ht="20.25" customHeight="1" x14ac:dyDescent="0.25">
      <c r="A418" s="154"/>
      <c r="B418" s="4312" t="s">
        <v>636</v>
      </c>
      <c r="C418" s="159" t="s">
        <v>50</v>
      </c>
      <c r="D418" s="159"/>
      <c r="E418" s="4325"/>
      <c r="F418" s="4156"/>
      <c r="G418" s="4325"/>
      <c r="H418" s="4156"/>
      <c r="I418" s="4309"/>
      <c r="J418" s="7213">
        <f t="shared" si="557"/>
        <v>0</v>
      </c>
      <c r="K418" s="4325"/>
      <c r="L418" s="4156"/>
      <c r="M418" s="4326"/>
      <c r="N418" s="4125"/>
      <c r="O418" s="4325"/>
      <c r="P418" s="4156"/>
      <c r="Q418" s="4309"/>
      <c r="R418" s="4247"/>
      <c r="S418" s="4325"/>
      <c r="T418" s="4156"/>
      <c r="U418" s="4309"/>
      <c r="V418" s="4247"/>
      <c r="W418" s="4325"/>
      <c r="X418" s="4156"/>
      <c r="Y418" s="4326"/>
      <c r="Z418" s="4125"/>
      <c r="AA418" s="4327"/>
      <c r="AB418" s="4311"/>
      <c r="AC418" s="4325"/>
      <c r="AD418" s="4156"/>
      <c r="AE418" s="4309"/>
      <c r="AF418" s="2399"/>
      <c r="AG418" s="4325"/>
      <c r="AH418" s="4156"/>
      <c r="AI418" s="4309"/>
      <c r="AJ418" s="2399"/>
      <c r="AK418" s="4325"/>
      <c r="AL418" s="4156"/>
      <c r="AM418" s="4326"/>
      <c r="AN418" s="4125"/>
      <c r="AO418" s="4309"/>
      <c r="AP418" s="2399"/>
      <c r="AQ418" s="4325"/>
      <c r="AR418" s="4156"/>
      <c r="AS418" s="4309"/>
      <c r="AT418" s="2399"/>
      <c r="AU418" s="4325"/>
      <c r="AV418" s="4156"/>
      <c r="AW418" s="4309"/>
      <c r="AX418" s="6193"/>
      <c r="AY418" s="4325"/>
      <c r="AZ418" s="4156"/>
      <c r="BA418" s="4326"/>
      <c r="BB418" s="4125"/>
      <c r="BC418" s="4327"/>
      <c r="BD418" s="4127"/>
      <c r="BE418" s="4309"/>
      <c r="BF418" s="2399"/>
      <c r="BG418" s="4590"/>
      <c r="BH418" s="4590"/>
      <c r="BI418" s="4590"/>
      <c r="BJ418" s="4590"/>
    </row>
    <row r="419" spans="1:62" x14ac:dyDescent="0.25">
      <c r="A419" s="93"/>
      <c r="B419" s="8" t="s">
        <v>1814</v>
      </c>
      <c r="C419" s="159" t="s">
        <v>50</v>
      </c>
      <c r="D419" s="159"/>
      <c r="E419" s="777"/>
      <c r="F419" s="2400">
        <v>126.98</v>
      </c>
      <c r="G419" s="777"/>
      <c r="H419" s="7166"/>
      <c r="I419" s="4309"/>
      <c r="J419" s="7213">
        <f t="shared" si="557"/>
        <v>126.98</v>
      </c>
      <c r="K419" s="777"/>
      <c r="L419" s="4574">
        <v>63.42</v>
      </c>
      <c r="M419" s="4326"/>
      <c r="N419" s="4125">
        <f t="shared" si="570"/>
        <v>190.4</v>
      </c>
      <c r="O419" s="777"/>
      <c r="P419" s="4778">
        <v>2476.8400000000006</v>
      </c>
      <c r="Q419" s="4309"/>
      <c r="R419" s="2399">
        <f t="shared" ref="R419:R427" si="580">N419+P419</f>
        <v>2667.2400000000007</v>
      </c>
      <c r="S419" s="777"/>
      <c r="T419" s="4889">
        <v>2784.4799999999996</v>
      </c>
      <c r="U419" s="4309"/>
      <c r="V419" s="4890">
        <f t="shared" ref="V419:V420" si="581">R419+T419</f>
        <v>5451.72</v>
      </c>
      <c r="W419" s="777"/>
      <c r="X419" s="5026">
        <v>2348.92</v>
      </c>
      <c r="Y419" s="4326"/>
      <c r="Z419" s="4125">
        <f t="shared" si="573"/>
        <v>7610.24</v>
      </c>
      <c r="AA419" s="4327"/>
      <c r="AB419" s="4311">
        <f t="shared" si="574"/>
        <v>7800.6399999999994</v>
      </c>
      <c r="AC419" s="777"/>
      <c r="AD419" s="5337">
        <v>890.42</v>
      </c>
      <c r="AE419" s="4309"/>
      <c r="AF419" s="2399">
        <f t="shared" ref="AF419:AF427" si="582">AB419+AD419</f>
        <v>8691.06</v>
      </c>
      <c r="AG419" s="777"/>
      <c r="AH419" s="5510">
        <v>2592</v>
      </c>
      <c r="AI419" s="4309"/>
      <c r="AJ419" s="2399">
        <f t="shared" si="576"/>
        <v>11283.06</v>
      </c>
      <c r="AK419" s="777"/>
      <c r="AL419" s="5911">
        <v>190.94</v>
      </c>
      <c r="AM419" s="4326"/>
      <c r="AN419" s="4125">
        <f t="shared" si="550"/>
        <v>3673.36</v>
      </c>
      <c r="AO419" s="4309"/>
      <c r="AP419" s="2399">
        <f t="shared" si="551"/>
        <v>11474</v>
      </c>
      <c r="AQ419" s="777"/>
      <c r="AR419" s="6066">
        <v>63.74</v>
      </c>
      <c r="AS419" s="4309"/>
      <c r="AT419" s="2399">
        <f t="shared" si="577"/>
        <v>11537.74</v>
      </c>
      <c r="AU419" s="777"/>
      <c r="AV419" s="6189">
        <v>127.34</v>
      </c>
      <c r="AW419" s="4309"/>
      <c r="AX419" s="6193">
        <f t="shared" si="578"/>
        <v>11665.08</v>
      </c>
      <c r="AY419" s="777"/>
      <c r="AZ419" s="6401">
        <v>380.76000000000005</v>
      </c>
      <c r="BA419" s="4326"/>
      <c r="BB419" s="4125">
        <f t="shared" si="569"/>
        <v>571.84</v>
      </c>
      <c r="BC419" s="4327"/>
      <c r="BD419" s="4127">
        <f t="shared" si="555"/>
        <v>4245.2</v>
      </c>
      <c r="BE419" s="4309"/>
      <c r="BF419" s="2399">
        <f t="shared" si="579"/>
        <v>12045.84</v>
      </c>
      <c r="BG419" s="4590"/>
      <c r="BH419" s="4590"/>
      <c r="BI419" s="4590"/>
      <c r="BJ419" s="4590"/>
    </row>
    <row r="420" spans="1:62" x14ac:dyDescent="0.25">
      <c r="A420" s="93"/>
      <c r="B420" s="8" t="s">
        <v>2215</v>
      </c>
      <c r="C420" s="159" t="s">
        <v>50</v>
      </c>
      <c r="D420" s="159"/>
      <c r="E420" s="777"/>
      <c r="F420" s="2400"/>
      <c r="G420" s="777"/>
      <c r="H420" s="7166"/>
      <c r="I420" s="4309"/>
      <c r="J420" s="7213">
        <f t="shared" si="557"/>
        <v>0</v>
      </c>
      <c r="K420" s="777"/>
      <c r="L420" s="4574"/>
      <c r="M420" s="4326"/>
      <c r="N420" s="4125">
        <f t="shared" si="570"/>
        <v>0</v>
      </c>
      <c r="O420" s="777"/>
      <c r="P420" s="4778"/>
      <c r="Q420" s="4309"/>
      <c r="R420" s="2399">
        <f t="shared" si="580"/>
        <v>0</v>
      </c>
      <c r="S420" s="777"/>
      <c r="T420" s="4889"/>
      <c r="U420" s="4309"/>
      <c r="V420" s="4890">
        <f t="shared" si="581"/>
        <v>0</v>
      </c>
      <c r="W420" s="777"/>
      <c r="X420" s="5026"/>
      <c r="Y420" s="4326"/>
      <c r="Z420" s="4125">
        <f t="shared" si="573"/>
        <v>0</v>
      </c>
      <c r="AA420" s="4327"/>
      <c r="AB420" s="4311">
        <f t="shared" si="574"/>
        <v>0</v>
      </c>
      <c r="AC420" s="777"/>
      <c r="AD420" s="5337">
        <v>386.98</v>
      </c>
      <c r="AE420" s="4309"/>
      <c r="AF420" s="2399">
        <f t="shared" si="582"/>
        <v>386.98</v>
      </c>
      <c r="AG420" s="777"/>
      <c r="AH420" s="5510">
        <v>272.37</v>
      </c>
      <c r="AI420" s="4309"/>
      <c r="AJ420" s="2399">
        <f t="shared" si="576"/>
        <v>659.35</v>
      </c>
      <c r="AK420" s="777"/>
      <c r="AL420" s="5911">
        <v>318.32000000000005</v>
      </c>
      <c r="AM420" s="4326"/>
      <c r="AN420" s="4125">
        <f t="shared" si="550"/>
        <v>977.67000000000007</v>
      </c>
      <c r="AO420" s="4309"/>
      <c r="AP420" s="2399">
        <f t="shared" si="551"/>
        <v>977.67000000000007</v>
      </c>
      <c r="AQ420" s="777"/>
      <c r="AR420" s="6066">
        <v>503.91999999999996</v>
      </c>
      <c r="AS420" s="4309"/>
      <c r="AT420" s="2399">
        <f t="shared" si="577"/>
        <v>1481.5900000000001</v>
      </c>
      <c r="AU420" s="777"/>
      <c r="AV420" s="6189"/>
      <c r="AW420" s="4309"/>
      <c r="AX420" s="6193">
        <f t="shared" si="578"/>
        <v>1481.5900000000001</v>
      </c>
      <c r="AY420" s="777"/>
      <c r="AZ420" s="6401"/>
      <c r="BA420" s="4326"/>
      <c r="BB420" s="4125">
        <f t="shared" si="569"/>
        <v>503.91999999999996</v>
      </c>
      <c r="BC420" s="4327"/>
      <c r="BD420" s="4127">
        <f t="shared" si="555"/>
        <v>1481.5900000000001</v>
      </c>
      <c r="BE420" s="4309"/>
      <c r="BF420" s="2399">
        <f t="shared" si="579"/>
        <v>1481.5900000000001</v>
      </c>
      <c r="BG420" s="4590"/>
      <c r="BH420" s="4590"/>
      <c r="BI420" s="4590"/>
      <c r="BJ420" s="4590"/>
    </row>
    <row r="421" spans="1:62" ht="15" hidden="1" customHeight="1" x14ac:dyDescent="0.25">
      <c r="A421" s="93"/>
      <c r="B421" s="8" t="s">
        <v>1639</v>
      </c>
      <c r="C421" s="159" t="s">
        <v>50</v>
      </c>
      <c r="D421" s="159"/>
      <c r="E421" s="777"/>
      <c r="F421" s="2400"/>
      <c r="G421" s="777"/>
      <c r="H421" s="7166"/>
      <c r="I421" s="4309"/>
      <c r="J421" s="7213">
        <f t="shared" si="557"/>
        <v>0</v>
      </c>
      <c r="K421" s="777"/>
      <c r="L421" s="4574"/>
      <c r="M421" s="4326"/>
      <c r="N421" s="4125">
        <f t="shared" ref="N421:N425" si="583">F421+H421+L421</f>
        <v>0</v>
      </c>
      <c r="O421" s="777"/>
      <c r="P421" s="4778"/>
      <c r="Q421" s="4309"/>
      <c r="R421" s="2399"/>
      <c r="S421" s="777"/>
      <c r="T421" s="4889"/>
      <c r="U421" s="4309"/>
      <c r="V421" s="4890"/>
      <c r="W421" s="777"/>
      <c r="X421" s="5026"/>
      <c r="Y421" s="4326"/>
      <c r="Z421" s="4125">
        <f t="shared" si="573"/>
        <v>0</v>
      </c>
      <c r="AA421" s="4327"/>
      <c r="AB421" s="4311">
        <f t="shared" si="574"/>
        <v>0</v>
      </c>
      <c r="AC421" s="777"/>
      <c r="AD421" s="5337"/>
      <c r="AE421" s="4309"/>
      <c r="AF421" s="2399">
        <f t="shared" si="582"/>
        <v>0</v>
      </c>
      <c r="AG421" s="777"/>
      <c r="AH421" s="5510"/>
      <c r="AI421" s="4309"/>
      <c r="AJ421" s="2399">
        <f t="shared" si="576"/>
        <v>0</v>
      </c>
      <c r="AK421" s="777"/>
      <c r="AL421" s="5911"/>
      <c r="AM421" s="4326"/>
      <c r="AN421" s="4125">
        <f t="shared" si="550"/>
        <v>0</v>
      </c>
      <c r="AO421" s="4309"/>
      <c r="AP421" s="2399">
        <f t="shared" si="551"/>
        <v>0</v>
      </c>
      <c r="AQ421" s="777"/>
      <c r="AR421" s="6066"/>
      <c r="AS421" s="4309"/>
      <c r="AT421" s="2399">
        <f t="shared" si="577"/>
        <v>0</v>
      </c>
      <c r="AU421" s="777"/>
      <c r="AV421" s="6189"/>
      <c r="AW421" s="4309"/>
      <c r="AX421" s="6193">
        <f t="shared" si="578"/>
        <v>0</v>
      </c>
      <c r="AY421" s="777"/>
      <c r="AZ421" s="6401"/>
      <c r="BA421" s="4326"/>
      <c r="BB421" s="4125">
        <f t="shared" si="569"/>
        <v>0</v>
      </c>
      <c r="BC421" s="4327"/>
      <c r="BD421" s="4127">
        <f t="shared" si="555"/>
        <v>0</v>
      </c>
      <c r="BE421" s="4309"/>
      <c r="BF421" s="2399">
        <f t="shared" si="579"/>
        <v>0</v>
      </c>
      <c r="BG421" s="4590"/>
      <c r="BH421" s="4590"/>
      <c r="BI421" s="4590"/>
      <c r="BJ421" s="4590"/>
    </row>
    <row r="422" spans="1:62" x14ac:dyDescent="0.25">
      <c r="A422" s="154"/>
      <c r="B422" s="8" t="s">
        <v>549</v>
      </c>
      <c r="C422" s="159" t="s">
        <v>50</v>
      </c>
      <c r="D422" s="159"/>
      <c r="E422" s="777"/>
      <c r="F422" s="2400"/>
      <c r="G422" s="777"/>
      <c r="H422" s="7166"/>
      <c r="I422" s="4309"/>
      <c r="J422" s="2399">
        <f t="shared" ref="J422:J427" si="584">F422+H422</f>
        <v>0</v>
      </c>
      <c r="K422" s="777"/>
      <c r="L422" s="4574"/>
      <c r="M422" s="4326"/>
      <c r="N422" s="4125">
        <f t="shared" si="583"/>
        <v>0</v>
      </c>
      <c r="O422" s="777"/>
      <c r="P422" s="4778">
        <v>1021.4000000000001</v>
      </c>
      <c r="Q422" s="4309"/>
      <c r="R422" s="2399">
        <f t="shared" si="580"/>
        <v>1021.4000000000001</v>
      </c>
      <c r="S422" s="777"/>
      <c r="T422" s="4889">
        <v>383.84</v>
      </c>
      <c r="U422" s="4309"/>
      <c r="V422" s="4890">
        <f t="shared" ref="V422:V427" si="585">R422+T422</f>
        <v>1405.24</v>
      </c>
      <c r="W422" s="777"/>
      <c r="X422" s="5026"/>
      <c r="Y422" s="4326"/>
      <c r="Z422" s="4125">
        <f t="shared" ref="Z422:Z425" si="586">P422+T422+X422</f>
        <v>1405.24</v>
      </c>
      <c r="AA422" s="4327"/>
      <c r="AB422" s="2502">
        <f t="shared" ref="AB422:AB427" si="587">N422+Z422</f>
        <v>1405.24</v>
      </c>
      <c r="AC422" s="777"/>
      <c r="AD422" s="5337"/>
      <c r="AE422" s="4309"/>
      <c r="AF422" s="2399">
        <f t="shared" si="582"/>
        <v>1405.24</v>
      </c>
      <c r="AG422" s="777"/>
      <c r="AH422" s="5510"/>
      <c r="AI422" s="4309"/>
      <c r="AJ422" s="2399">
        <f t="shared" si="576"/>
        <v>1405.24</v>
      </c>
      <c r="AK422" s="777"/>
      <c r="AL422" s="5911"/>
      <c r="AM422" s="4326"/>
      <c r="AN422" s="4125">
        <f t="shared" si="550"/>
        <v>0</v>
      </c>
      <c r="AO422" s="4309"/>
      <c r="AP422" s="2399">
        <f t="shared" si="551"/>
        <v>1405.24</v>
      </c>
      <c r="AQ422" s="777"/>
      <c r="AR422" s="6066"/>
      <c r="AS422" s="4309"/>
      <c r="AT422" s="2399">
        <f t="shared" si="577"/>
        <v>1405.24</v>
      </c>
      <c r="AU422" s="777"/>
      <c r="AV422" s="6189"/>
      <c r="AW422" s="4309"/>
      <c r="AX422" s="6193">
        <f t="shared" si="578"/>
        <v>1405.24</v>
      </c>
      <c r="AY422" s="777"/>
      <c r="AZ422" s="6401"/>
      <c r="BA422" s="4326"/>
      <c r="BB422" s="4125">
        <f t="shared" si="569"/>
        <v>0</v>
      </c>
      <c r="BC422" s="4327"/>
      <c r="BD422" s="4127">
        <f t="shared" si="555"/>
        <v>0</v>
      </c>
      <c r="BE422" s="4309"/>
      <c r="BF422" s="2399">
        <f t="shared" si="579"/>
        <v>1405.24</v>
      </c>
      <c r="BG422" s="4590"/>
      <c r="BH422" s="4590"/>
      <c r="BI422" s="4590"/>
      <c r="BJ422" s="4590"/>
    </row>
    <row r="423" spans="1:62" x14ac:dyDescent="0.25">
      <c r="A423" s="93"/>
      <c r="B423" s="8" t="s">
        <v>714</v>
      </c>
      <c r="C423" s="159" t="s">
        <v>50</v>
      </c>
      <c r="D423" s="159"/>
      <c r="E423" s="777"/>
      <c r="F423" s="2400"/>
      <c r="G423" s="777"/>
      <c r="H423" s="7166">
        <v>2079.3999999999996</v>
      </c>
      <c r="I423" s="4309"/>
      <c r="J423" s="2399">
        <f t="shared" si="584"/>
        <v>2079.3999999999996</v>
      </c>
      <c r="K423" s="777"/>
      <c r="L423" s="4574">
        <v>1325.6799999999998</v>
      </c>
      <c r="M423" s="4326"/>
      <c r="N423" s="4125">
        <f t="shared" si="583"/>
        <v>3405.0799999999995</v>
      </c>
      <c r="O423" s="777"/>
      <c r="P423" s="4778">
        <v>3235.2399999999993</v>
      </c>
      <c r="Q423" s="4309"/>
      <c r="R423" s="2399">
        <f t="shared" si="580"/>
        <v>6640.3199999999988</v>
      </c>
      <c r="S423" s="777"/>
      <c r="T423" s="4889">
        <v>5126.6800000000012</v>
      </c>
      <c r="U423" s="4309"/>
      <c r="V423" s="4890">
        <f t="shared" si="585"/>
        <v>11767</v>
      </c>
      <c r="W423" s="777"/>
      <c r="X423" s="5026">
        <v>1203.5400000000002</v>
      </c>
      <c r="Y423" s="4326"/>
      <c r="Z423" s="4125">
        <f t="shared" si="586"/>
        <v>9565.4600000000009</v>
      </c>
      <c r="AA423" s="4327"/>
      <c r="AB423" s="2502">
        <f t="shared" si="587"/>
        <v>12970.54</v>
      </c>
      <c r="AC423" s="777"/>
      <c r="AD423" s="5337">
        <v>2134.6400000000003</v>
      </c>
      <c r="AE423" s="4309"/>
      <c r="AF423" s="2399">
        <f t="shared" si="582"/>
        <v>15105.18</v>
      </c>
      <c r="AG423" s="777"/>
      <c r="AH423" s="5510">
        <v>3019.5200000000004</v>
      </c>
      <c r="AI423" s="4309"/>
      <c r="AJ423" s="2399">
        <f t="shared" si="576"/>
        <v>18124.7</v>
      </c>
      <c r="AK423" s="777"/>
      <c r="AL423" s="5911">
        <v>3954.7500000000009</v>
      </c>
      <c r="AM423" s="4326"/>
      <c r="AN423" s="4125">
        <f t="shared" si="550"/>
        <v>9108.9100000000017</v>
      </c>
      <c r="AO423" s="4309"/>
      <c r="AP423" s="2399">
        <f t="shared" si="551"/>
        <v>22079.45</v>
      </c>
      <c r="AQ423" s="777"/>
      <c r="AR423" s="6066">
        <v>10111.370000000001</v>
      </c>
      <c r="AS423" s="4309"/>
      <c r="AT423" s="2399">
        <f t="shared" si="577"/>
        <v>32190.82</v>
      </c>
      <c r="AU423" s="777"/>
      <c r="AV423" s="6189">
        <v>5794.090000000002</v>
      </c>
      <c r="AW423" s="4309"/>
      <c r="AX423" s="6193">
        <f t="shared" si="578"/>
        <v>37984.910000000003</v>
      </c>
      <c r="AY423" s="777"/>
      <c r="AZ423" s="6401">
        <v>374.6</v>
      </c>
      <c r="BA423" s="4326"/>
      <c r="BB423" s="4125">
        <f t="shared" si="569"/>
        <v>16280.060000000003</v>
      </c>
      <c r="BC423" s="4327"/>
      <c r="BD423" s="4127">
        <f t="shared" si="555"/>
        <v>25388.970000000005</v>
      </c>
      <c r="BE423" s="4309"/>
      <c r="BF423" s="2399">
        <f t="shared" si="579"/>
        <v>38359.51</v>
      </c>
      <c r="BG423" s="4590"/>
      <c r="BH423" s="4590"/>
      <c r="BI423" s="4590"/>
      <c r="BJ423" s="4590"/>
    </row>
    <row r="424" spans="1:62" x14ac:dyDescent="0.25">
      <c r="A424" s="93"/>
      <c r="B424" s="8" t="s">
        <v>715</v>
      </c>
      <c r="C424" s="159" t="s">
        <v>50</v>
      </c>
      <c r="D424" s="159"/>
      <c r="E424" s="777"/>
      <c r="F424" s="2400"/>
      <c r="G424" s="777"/>
      <c r="H424" s="7166"/>
      <c r="I424" s="4309"/>
      <c r="J424" s="2399">
        <f t="shared" si="584"/>
        <v>0</v>
      </c>
      <c r="K424" s="777"/>
      <c r="L424" s="4574"/>
      <c r="M424" s="4326"/>
      <c r="N424" s="4125">
        <f t="shared" si="583"/>
        <v>0</v>
      </c>
      <c r="O424" s="777"/>
      <c r="P424" s="4778">
        <v>60.68</v>
      </c>
      <c r="Q424" s="4309"/>
      <c r="R424" s="2399">
        <f t="shared" si="580"/>
        <v>60.68</v>
      </c>
      <c r="S424" s="777"/>
      <c r="T424" s="4889"/>
      <c r="U424" s="4309"/>
      <c r="V424" s="4890">
        <f t="shared" si="585"/>
        <v>60.68</v>
      </c>
      <c r="W424" s="777"/>
      <c r="X424" s="5026"/>
      <c r="Y424" s="4326"/>
      <c r="Z424" s="4125">
        <f t="shared" si="586"/>
        <v>60.68</v>
      </c>
      <c r="AA424" s="4327"/>
      <c r="AB424" s="2502">
        <f t="shared" si="587"/>
        <v>60.68</v>
      </c>
      <c r="AC424" s="777"/>
      <c r="AD424" s="5337"/>
      <c r="AE424" s="4309"/>
      <c r="AF424" s="2399">
        <f t="shared" si="582"/>
        <v>60.68</v>
      </c>
      <c r="AG424" s="777"/>
      <c r="AH424" s="5510"/>
      <c r="AI424" s="4309"/>
      <c r="AJ424" s="2399">
        <f t="shared" si="576"/>
        <v>60.68</v>
      </c>
      <c r="AK424" s="777"/>
      <c r="AL424" s="5911"/>
      <c r="AM424" s="4326"/>
      <c r="AN424" s="4125">
        <f t="shared" si="550"/>
        <v>0</v>
      </c>
      <c r="AO424" s="4309"/>
      <c r="AP424" s="2399">
        <f t="shared" si="551"/>
        <v>60.68</v>
      </c>
      <c r="AQ424" s="777"/>
      <c r="AR424" s="6066"/>
      <c r="AS424" s="4309"/>
      <c r="AT424" s="2399">
        <f t="shared" si="577"/>
        <v>60.68</v>
      </c>
      <c r="AU424" s="777"/>
      <c r="AV424" s="6189"/>
      <c r="AW424" s="4309"/>
      <c r="AX424" s="6193">
        <f t="shared" si="578"/>
        <v>60.68</v>
      </c>
      <c r="AY424" s="777"/>
      <c r="AZ424" s="6401"/>
      <c r="BA424" s="4326"/>
      <c r="BB424" s="4125">
        <f t="shared" si="569"/>
        <v>0</v>
      </c>
      <c r="BC424" s="4327"/>
      <c r="BD424" s="4127">
        <f t="shared" si="555"/>
        <v>0</v>
      </c>
      <c r="BE424" s="4309"/>
      <c r="BF424" s="2399">
        <f t="shared" si="579"/>
        <v>60.68</v>
      </c>
      <c r="BG424" s="4590"/>
      <c r="BH424" s="4590"/>
      <c r="BI424" s="4590"/>
      <c r="BJ424" s="4590"/>
    </row>
    <row r="425" spans="1:62" x14ac:dyDescent="0.25">
      <c r="A425" s="93"/>
      <c r="B425" s="8" t="s">
        <v>716</v>
      </c>
      <c r="C425" s="159" t="s">
        <v>50</v>
      </c>
      <c r="D425" s="159"/>
      <c r="E425" s="777"/>
      <c r="F425" s="2400"/>
      <c r="G425" s="777"/>
      <c r="H425" s="7166"/>
      <c r="I425" s="4309"/>
      <c r="J425" s="2399">
        <f t="shared" si="584"/>
        <v>0</v>
      </c>
      <c r="K425" s="777"/>
      <c r="L425" s="4574"/>
      <c r="M425" s="4326"/>
      <c r="N425" s="4125">
        <f t="shared" si="583"/>
        <v>0</v>
      </c>
      <c r="O425" s="777"/>
      <c r="P425" s="4778">
        <v>693.86</v>
      </c>
      <c r="Q425" s="4309"/>
      <c r="R425" s="2399">
        <f t="shared" si="580"/>
        <v>693.86</v>
      </c>
      <c r="S425" s="777"/>
      <c r="T425" s="4889"/>
      <c r="U425" s="4309"/>
      <c r="V425" s="4890">
        <f t="shared" si="585"/>
        <v>693.86</v>
      </c>
      <c r="W425" s="777"/>
      <c r="X425" s="5026"/>
      <c r="Y425" s="4326"/>
      <c r="Z425" s="4125">
        <f t="shared" si="586"/>
        <v>693.86</v>
      </c>
      <c r="AA425" s="4327"/>
      <c r="AB425" s="2502">
        <f t="shared" si="587"/>
        <v>693.86</v>
      </c>
      <c r="AC425" s="777"/>
      <c r="AD425" s="5337"/>
      <c r="AE425" s="4309"/>
      <c r="AF425" s="2399">
        <f t="shared" si="582"/>
        <v>693.86</v>
      </c>
      <c r="AG425" s="777"/>
      <c r="AH425" s="5510"/>
      <c r="AI425" s="4309"/>
      <c r="AJ425" s="2399">
        <f t="shared" si="576"/>
        <v>693.86</v>
      </c>
      <c r="AK425" s="777"/>
      <c r="AL425" s="5911"/>
      <c r="AM425" s="4326"/>
      <c r="AN425" s="4125">
        <f t="shared" si="550"/>
        <v>0</v>
      </c>
      <c r="AO425" s="4309"/>
      <c r="AP425" s="2399">
        <f t="shared" si="551"/>
        <v>693.86</v>
      </c>
      <c r="AQ425" s="777"/>
      <c r="AR425" s="6066"/>
      <c r="AS425" s="4309"/>
      <c r="AT425" s="2399">
        <f t="shared" si="577"/>
        <v>693.86</v>
      </c>
      <c r="AU425" s="777"/>
      <c r="AV425" s="6189"/>
      <c r="AW425" s="4309"/>
      <c r="AX425" s="6193">
        <f t="shared" si="578"/>
        <v>693.86</v>
      </c>
      <c r="AY425" s="777"/>
      <c r="AZ425" s="6401"/>
      <c r="BA425" s="4326"/>
      <c r="BB425" s="4125">
        <f t="shared" si="569"/>
        <v>0</v>
      </c>
      <c r="BC425" s="4327"/>
      <c r="BD425" s="4127">
        <f t="shared" si="555"/>
        <v>0</v>
      </c>
      <c r="BE425" s="4309"/>
      <c r="BF425" s="2399">
        <f t="shared" si="579"/>
        <v>693.86</v>
      </c>
      <c r="BG425" s="4590"/>
      <c r="BH425" s="4590"/>
      <c r="BI425" s="4590"/>
      <c r="BJ425" s="4590"/>
    </row>
    <row r="426" spans="1:62" ht="20.25" customHeight="1" x14ac:dyDescent="0.25">
      <c r="A426" s="154"/>
      <c r="B426" s="4034" t="s">
        <v>542</v>
      </c>
      <c r="C426" s="814" t="s">
        <v>50</v>
      </c>
      <c r="D426" s="1971">
        <f>+D47</f>
        <v>0</v>
      </c>
      <c r="E426" s="1971"/>
      <c r="F426" s="1971">
        <f>+F411+F415+SUM(F419:F425)</f>
        <v>126.98</v>
      </c>
      <c r="G426" s="1971"/>
      <c r="H426" s="1971">
        <f>+H411+H415+SUM(H419:H425)</f>
        <v>3019.58</v>
      </c>
      <c r="I426" s="376"/>
      <c r="J426" s="376">
        <f t="shared" si="584"/>
        <v>3146.56</v>
      </c>
      <c r="K426" s="1971"/>
      <c r="L426" s="1971">
        <f>+L411+L415+SUM(L419:L425)</f>
        <v>2857.48</v>
      </c>
      <c r="M426" s="378"/>
      <c r="N426" s="378">
        <f>F426+H426+L426</f>
        <v>6004.04</v>
      </c>
      <c r="O426" s="1971"/>
      <c r="P426" s="1971">
        <f>+P411+P415+SUM(P419:P425)</f>
        <v>7488.0199999999995</v>
      </c>
      <c r="Q426" s="376"/>
      <c r="R426" s="376">
        <f t="shared" si="580"/>
        <v>13492.06</v>
      </c>
      <c r="S426" s="1971"/>
      <c r="T426" s="1971">
        <f>+T411+T415+SUM(T419:T425)</f>
        <v>9143.76</v>
      </c>
      <c r="U426" s="4885"/>
      <c r="V426" s="4885">
        <f t="shared" si="585"/>
        <v>22635.82</v>
      </c>
      <c r="W426" s="1971"/>
      <c r="X426" s="1971">
        <f>+X411+X415+SUM(X419:X425)</f>
        <v>4345.76</v>
      </c>
      <c r="Y426" s="378"/>
      <c r="Z426" s="378">
        <f>P426+T426+X426</f>
        <v>20977.54</v>
      </c>
      <c r="AA426" s="4160"/>
      <c r="AB426" s="4311">
        <f t="shared" si="587"/>
        <v>26981.58</v>
      </c>
      <c r="AC426" s="1971"/>
      <c r="AD426" s="1971">
        <f>+AD411+AD415+SUM(AD419:AD425)</f>
        <v>4044.6000000000004</v>
      </c>
      <c r="AE426" s="376"/>
      <c r="AF426" s="376">
        <f t="shared" si="582"/>
        <v>31026.18</v>
      </c>
      <c r="AG426" s="1971"/>
      <c r="AH426" s="1971">
        <f>+AH411+AH415+SUM(AH419:AH425)</f>
        <v>6520.89</v>
      </c>
      <c r="AI426" s="376"/>
      <c r="AJ426" s="376">
        <f t="shared" si="576"/>
        <v>37547.07</v>
      </c>
      <c r="AK426" s="1971"/>
      <c r="AL426" s="1971">
        <f>+AL411+AL415+SUM(AL419:AL425)</f>
        <v>4831.4700000000012</v>
      </c>
      <c r="AM426" s="378"/>
      <c r="AN426" s="378">
        <f t="shared" si="550"/>
        <v>15396.960000000003</v>
      </c>
      <c r="AO426" s="376"/>
      <c r="AP426" s="376">
        <f t="shared" si="551"/>
        <v>42378.54</v>
      </c>
      <c r="AQ426" s="1971"/>
      <c r="AR426" s="1971">
        <f>+AR411+AR415+SUM(AR419:AR425)</f>
        <v>10679.03</v>
      </c>
      <c r="AS426" s="376"/>
      <c r="AT426" s="376">
        <f t="shared" si="577"/>
        <v>53057.57</v>
      </c>
      <c r="AU426" s="1971"/>
      <c r="AV426" s="1971">
        <f>+AV411+AV415+SUM(AV419:AV425)</f>
        <v>5921.4300000000021</v>
      </c>
      <c r="AW426" s="6190"/>
      <c r="AX426" s="6190">
        <f t="shared" si="578"/>
        <v>58979</v>
      </c>
      <c r="AY426" s="1971"/>
      <c r="AZ426" s="1971">
        <f>+AZ411+AZ415+SUM(AZ419:AZ425)</f>
        <v>1271.98</v>
      </c>
      <c r="BA426" s="378"/>
      <c r="BB426" s="378">
        <f>AR426+AV426+AZ426</f>
        <v>17872.440000000002</v>
      </c>
      <c r="BC426" s="4160"/>
      <c r="BD426" s="544">
        <f t="shared" si="555"/>
        <v>33269.400000000009</v>
      </c>
      <c r="BE426" s="376">
        <v>18000</v>
      </c>
      <c r="BF426" s="376">
        <f t="shared" si="579"/>
        <v>60250.98</v>
      </c>
      <c r="BG426" s="4590"/>
      <c r="BH426" s="4590"/>
      <c r="BI426" s="4590"/>
      <c r="BJ426" s="4590"/>
    </row>
    <row r="427" spans="1:62" ht="21" customHeight="1" thickBot="1" x14ac:dyDescent="0.3">
      <c r="A427" s="93"/>
      <c r="B427" s="1769" t="s">
        <v>543</v>
      </c>
      <c r="C427" s="3971" t="s">
        <v>50</v>
      </c>
      <c r="D427" s="4143">
        <f>+D33</f>
        <v>524798</v>
      </c>
      <c r="E427" s="4143">
        <f>+E33</f>
        <v>48499.815368603398</v>
      </c>
      <c r="F427" s="4143">
        <f>+F409+F426</f>
        <v>38424.29</v>
      </c>
      <c r="G427" s="7169">
        <f>+G33</f>
        <v>48499.576671657102</v>
      </c>
      <c r="H427" s="7169">
        <f>+H409+H426</f>
        <v>53035.109999999986</v>
      </c>
      <c r="I427" s="4144">
        <f>+I33</f>
        <v>96999.3920402605</v>
      </c>
      <c r="J427" s="4144">
        <f t="shared" si="584"/>
        <v>91459.4</v>
      </c>
      <c r="K427" s="4577">
        <f>+K33</f>
        <v>29529.067357512999</v>
      </c>
      <c r="L427" s="4577">
        <f>+L409+L426</f>
        <v>26863.510000000002</v>
      </c>
      <c r="M427" s="4149">
        <f>E427+G427+K427</f>
        <v>126528.45939777349</v>
      </c>
      <c r="N427" s="4149">
        <f>F427+H427+L427</f>
        <v>118322.91</v>
      </c>
      <c r="O427" s="4789">
        <f>+O33</f>
        <v>6183.2297063903206</v>
      </c>
      <c r="P427" s="4789">
        <f>+P409+P426</f>
        <v>57492.479999999989</v>
      </c>
      <c r="Q427" s="4144">
        <f>+Q33</f>
        <v>132711.68910416382</v>
      </c>
      <c r="R427" s="4144">
        <f t="shared" si="580"/>
        <v>175815.38999999998</v>
      </c>
      <c r="S427" s="4900">
        <f>+S33</f>
        <v>43452.1764582701</v>
      </c>
      <c r="T427" s="4900">
        <f>+T409+T426</f>
        <v>62737.390000000029</v>
      </c>
      <c r="U427" s="4898">
        <f>+U33</f>
        <v>176163.8655624339</v>
      </c>
      <c r="V427" s="4898">
        <f t="shared" si="585"/>
        <v>238552.78000000003</v>
      </c>
      <c r="W427" s="5030">
        <f>+W33</f>
        <v>35980.785837651099</v>
      </c>
      <c r="X427" s="5030">
        <f>+X409+X426</f>
        <v>58513.24</v>
      </c>
      <c r="Y427" s="4149">
        <f>O427+S427+W427</f>
        <v>85616.192002311524</v>
      </c>
      <c r="Z427" s="4149">
        <f t="shared" ref="Z427" si="588">P427+T427+X427</f>
        <v>178743.11000000002</v>
      </c>
      <c r="AA427" s="4328">
        <f>M427+Y427</f>
        <v>212144.65140008501</v>
      </c>
      <c r="AB427" s="4329">
        <f t="shared" si="587"/>
        <v>297066.02</v>
      </c>
      <c r="AC427" s="5343">
        <f>+AC33</f>
        <v>47341.093867539748</v>
      </c>
      <c r="AD427" s="5343">
        <f>+AD409+AD426</f>
        <v>35082.279999999992</v>
      </c>
      <c r="AE427" s="4144">
        <f>+AE33</f>
        <v>259485.74526762476</v>
      </c>
      <c r="AF427" s="4144">
        <f t="shared" si="582"/>
        <v>332148.3</v>
      </c>
      <c r="AG427" s="5519">
        <f>+AG33</f>
        <v>49680.915573301019</v>
      </c>
      <c r="AH427" s="5519">
        <f>+AH409+AH426</f>
        <v>17683.77</v>
      </c>
      <c r="AI427" s="4144">
        <f>+AI33</f>
        <v>309166.66084092576</v>
      </c>
      <c r="AJ427" s="4144">
        <f t="shared" si="576"/>
        <v>349832.07</v>
      </c>
      <c r="AK427" s="5916">
        <f>+AK33</f>
        <v>45710.062262521606</v>
      </c>
      <c r="AL427" s="5916">
        <f>+AL409+AL426</f>
        <v>60012.520000000004</v>
      </c>
      <c r="AM427" s="4149">
        <f>AC427+AG427+AK427</f>
        <v>142732.0717033624</v>
      </c>
      <c r="AN427" s="4149">
        <f t="shared" si="550"/>
        <v>112778.56999999999</v>
      </c>
      <c r="AO427" s="4144">
        <f t="shared" si="551"/>
        <v>354876.72310344735</v>
      </c>
      <c r="AP427" s="4144">
        <f t="shared" si="551"/>
        <v>409844.59</v>
      </c>
      <c r="AQ427" s="6071">
        <f>+AQ33</f>
        <v>47339.612262521601</v>
      </c>
      <c r="AR427" s="6071">
        <f>+AR409+AR426</f>
        <v>86416.17</v>
      </c>
      <c r="AS427" s="4144">
        <f>+AS33</f>
        <v>402216.33536596893</v>
      </c>
      <c r="AT427" s="4144">
        <f t="shared" si="577"/>
        <v>496260.76</v>
      </c>
      <c r="AU427" s="6199">
        <f>+AU33</f>
        <v>46657.996091741836</v>
      </c>
      <c r="AV427" s="6199">
        <f>+AV409+AV426</f>
        <v>50217.06</v>
      </c>
      <c r="AW427" s="6197">
        <f>+AW33</f>
        <v>448874.33145771077</v>
      </c>
      <c r="AX427" s="6197">
        <f t="shared" si="578"/>
        <v>546477.82000000007</v>
      </c>
      <c r="AY427" s="6408">
        <f>+AY33</f>
        <v>45452.612262521594</v>
      </c>
      <c r="AZ427" s="6408">
        <f>+AZ409+AZ426</f>
        <v>68671.75</v>
      </c>
      <c r="BA427" s="4149">
        <f>AQ427+AU427+AY427</f>
        <v>139450.22061678505</v>
      </c>
      <c r="BB427" s="4149">
        <f t="shared" ref="BB427" si="589">AR427+AV427+AZ427</f>
        <v>205304.97999999998</v>
      </c>
      <c r="BC427" s="4160">
        <f>AM427+BA427</f>
        <v>282182.29232014745</v>
      </c>
      <c r="BD427" s="4147">
        <f t="shared" si="555"/>
        <v>318083.55</v>
      </c>
      <c r="BE427" s="4144">
        <f>+BE33</f>
        <v>494326.94372023235</v>
      </c>
      <c r="BF427" s="4144">
        <f t="shared" si="579"/>
        <v>615149.57000000007</v>
      </c>
      <c r="BG427" s="4590"/>
      <c r="BH427" s="4590"/>
      <c r="BI427" s="4590"/>
      <c r="BJ427" s="4590"/>
    </row>
    <row r="428" spans="1:62" ht="15" hidden="1" customHeight="1" x14ac:dyDescent="0.25">
      <c r="A428" s="7545"/>
      <c r="B428" s="2584"/>
      <c r="C428" s="2584"/>
      <c r="D428" s="2584"/>
      <c r="E428" s="2584"/>
      <c r="F428" s="2584"/>
      <c r="G428" s="2584"/>
      <c r="H428" s="2584"/>
      <c r="I428" s="2584"/>
      <c r="J428" s="2584"/>
      <c r="K428" s="2584"/>
      <c r="L428" s="2584"/>
      <c r="M428" s="2585"/>
      <c r="N428" s="2585"/>
      <c r="O428" s="2584"/>
      <c r="P428" s="2584"/>
      <c r="Q428" s="2584"/>
      <c r="R428" s="2584"/>
      <c r="S428" s="2584"/>
      <c r="T428" s="2584"/>
      <c r="U428" s="2584"/>
      <c r="V428" s="2584"/>
      <c r="W428" s="2584"/>
      <c r="X428" s="2584"/>
      <c r="Y428" s="2585"/>
      <c r="Z428" s="2585"/>
      <c r="AA428" s="2584"/>
      <c r="AB428" s="2584"/>
      <c r="AC428" s="2584"/>
      <c r="AD428" s="2584"/>
      <c r="AE428" s="2584"/>
      <c r="AF428" s="2584"/>
      <c r="AG428" s="2584"/>
      <c r="AH428" s="2584"/>
      <c r="AK428" s="2584"/>
      <c r="AL428" s="2584"/>
      <c r="AM428" s="2585"/>
      <c r="AN428" s="2585"/>
      <c r="AQ428" s="2584"/>
      <c r="AR428" s="2584"/>
      <c r="AU428" s="2584"/>
      <c r="AV428" s="2584"/>
      <c r="AY428" s="2584"/>
      <c r="AZ428" s="2584"/>
      <c r="BA428" s="2585"/>
      <c r="BB428" s="2585"/>
      <c r="BC428" s="2584"/>
      <c r="BD428" s="2584"/>
      <c r="BG428" s="4590"/>
      <c r="BH428" s="4590"/>
      <c r="BI428" s="4590"/>
      <c r="BJ428" s="4590"/>
    </row>
    <row r="429" spans="1:62" ht="15" hidden="1" customHeight="1" x14ac:dyDescent="0.25">
      <c r="A429" s="7545"/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876"/>
      <c r="N429" s="876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876"/>
      <c r="Z429" s="876"/>
      <c r="AA429" s="642"/>
      <c r="AB429" s="642"/>
      <c r="AC429" s="642"/>
      <c r="AD429" s="642"/>
      <c r="AE429" s="642"/>
      <c r="AF429" s="642"/>
      <c r="AG429" s="642"/>
      <c r="AH429" s="642"/>
      <c r="AK429" s="642"/>
      <c r="AL429" s="642"/>
      <c r="AM429" s="876"/>
      <c r="AN429" s="876"/>
      <c r="AQ429" s="642"/>
      <c r="AR429" s="642"/>
      <c r="AU429" s="642"/>
      <c r="AV429" s="642"/>
      <c r="AY429" s="642"/>
      <c r="AZ429" s="642"/>
      <c r="BA429" s="876"/>
      <c r="BB429" s="876"/>
      <c r="BC429" s="642"/>
      <c r="BD429" s="642"/>
      <c r="BG429" s="4590"/>
      <c r="BH429" s="4590"/>
      <c r="BI429" s="4590"/>
      <c r="BJ429" s="4590"/>
    </row>
    <row r="430" spans="1:62" ht="15" hidden="1" customHeight="1" x14ac:dyDescent="0.25">
      <c r="A430" s="7545"/>
      <c r="B430" s="642" t="s">
        <v>1111</v>
      </c>
      <c r="C430" s="642"/>
      <c r="D430" s="642"/>
      <c r="E430" s="1348">
        <f t="shared" ref="E430:AJ430" si="590">+E427-E33</f>
        <v>0</v>
      </c>
      <c r="F430" s="1348">
        <f t="shared" si="590"/>
        <v>0</v>
      </c>
      <c r="G430" s="1348">
        <f t="shared" ref="G430:H430" si="591">+G427-G33</f>
        <v>0</v>
      </c>
      <c r="H430" s="1348">
        <f t="shared" si="591"/>
        <v>0</v>
      </c>
      <c r="I430" s="1348">
        <f t="shared" si="590"/>
        <v>0</v>
      </c>
      <c r="J430" s="1348">
        <f t="shared" si="590"/>
        <v>0</v>
      </c>
      <c r="K430" s="1348">
        <f t="shared" si="590"/>
        <v>0</v>
      </c>
      <c r="L430" s="1348">
        <f t="shared" si="590"/>
        <v>0</v>
      </c>
      <c r="M430" s="1738">
        <f t="shared" si="590"/>
        <v>0</v>
      </c>
      <c r="N430" s="1738">
        <f t="shared" si="590"/>
        <v>0</v>
      </c>
      <c r="O430" s="1348">
        <f t="shared" si="590"/>
        <v>0</v>
      </c>
      <c r="P430" s="1348">
        <f t="shared" si="590"/>
        <v>0</v>
      </c>
      <c r="Q430" s="1348">
        <f t="shared" si="590"/>
        <v>0</v>
      </c>
      <c r="R430" s="1348">
        <f t="shared" si="590"/>
        <v>0</v>
      </c>
      <c r="S430" s="1348">
        <f t="shared" si="590"/>
        <v>0</v>
      </c>
      <c r="T430" s="1348">
        <f t="shared" si="590"/>
        <v>0</v>
      </c>
      <c r="U430" s="1348">
        <f t="shared" si="590"/>
        <v>0</v>
      </c>
      <c r="V430" s="1348">
        <f t="shared" si="590"/>
        <v>0</v>
      </c>
      <c r="W430" s="1348">
        <f t="shared" si="590"/>
        <v>0</v>
      </c>
      <c r="X430" s="1348">
        <f t="shared" si="590"/>
        <v>0</v>
      </c>
      <c r="Y430" s="1738">
        <f t="shared" si="590"/>
        <v>0</v>
      </c>
      <c r="Z430" s="1738">
        <f t="shared" si="590"/>
        <v>0</v>
      </c>
      <c r="AA430" s="1348">
        <f t="shared" si="590"/>
        <v>0</v>
      </c>
      <c r="AB430" s="1348">
        <f t="shared" si="590"/>
        <v>0</v>
      </c>
      <c r="AC430" s="1348">
        <f t="shared" si="590"/>
        <v>0</v>
      </c>
      <c r="AD430" s="1348">
        <f t="shared" si="590"/>
        <v>4.0000000000873115E-2</v>
      </c>
      <c r="AE430" s="1348">
        <f t="shared" si="590"/>
        <v>0</v>
      </c>
      <c r="AF430" s="1348">
        <f t="shared" si="590"/>
        <v>3.9999999979045242E-2</v>
      </c>
      <c r="AG430" s="1348">
        <f t="shared" si="590"/>
        <v>0</v>
      </c>
      <c r="AH430" s="1348">
        <f t="shared" si="590"/>
        <v>0.11999999999898137</v>
      </c>
      <c r="AI430" s="1348">
        <f t="shared" si="590"/>
        <v>0</v>
      </c>
      <c r="AJ430" s="1348">
        <f t="shared" si="590"/>
        <v>0.15999999997438863</v>
      </c>
      <c r="AK430" s="1348">
        <f t="shared" ref="AK430:BF430" si="592">+AK427-AK33</f>
        <v>0</v>
      </c>
      <c r="AL430" s="1348">
        <f t="shared" si="592"/>
        <v>0</v>
      </c>
      <c r="AM430" s="1738">
        <f t="shared" si="592"/>
        <v>0</v>
      </c>
      <c r="AN430" s="1738">
        <f t="shared" si="592"/>
        <v>0.16000000001804437</v>
      </c>
      <c r="AO430" s="1348">
        <f t="shared" si="592"/>
        <v>0</v>
      </c>
      <c r="AP430" s="1348">
        <f t="shared" si="592"/>
        <v>0.15999999997438863</v>
      </c>
      <c r="AQ430" s="1348">
        <f t="shared" si="592"/>
        <v>0</v>
      </c>
      <c r="AR430" s="1348">
        <f t="shared" si="592"/>
        <v>0</v>
      </c>
      <c r="AS430" s="1348">
        <f t="shared" si="592"/>
        <v>0</v>
      </c>
      <c r="AT430" s="1348">
        <f t="shared" si="592"/>
        <v>0.15999999997438863</v>
      </c>
      <c r="AU430" s="1348">
        <f t="shared" si="592"/>
        <v>0</v>
      </c>
      <c r="AV430" s="1348">
        <f t="shared" si="592"/>
        <v>0</v>
      </c>
      <c r="AW430" s="1348">
        <f t="shared" si="592"/>
        <v>0</v>
      </c>
      <c r="AX430" s="1348">
        <f t="shared" si="592"/>
        <v>0.16000000003259629</v>
      </c>
      <c r="AY430" s="1348">
        <f t="shared" ref="AY430:AZ430" si="593">+AY427-AY33</f>
        <v>0</v>
      </c>
      <c r="AZ430" s="1348">
        <f t="shared" si="593"/>
        <v>0</v>
      </c>
      <c r="BA430" s="1738">
        <f t="shared" si="592"/>
        <v>0</v>
      </c>
      <c r="BB430" s="1738">
        <f t="shared" si="592"/>
        <v>0</v>
      </c>
      <c r="BC430" s="1348">
        <f t="shared" si="592"/>
        <v>0</v>
      </c>
      <c r="BD430" s="1348">
        <f t="shared" si="592"/>
        <v>0.15999999997438863</v>
      </c>
      <c r="BE430" s="1348">
        <f t="shared" si="592"/>
        <v>0</v>
      </c>
      <c r="BF430" s="1348">
        <f t="shared" si="592"/>
        <v>0.16000000003259629</v>
      </c>
      <c r="BG430" s="4590"/>
      <c r="BH430" s="4590"/>
      <c r="BI430" s="4590"/>
      <c r="BJ430" s="4590"/>
    </row>
    <row r="431" spans="1:62" ht="15" hidden="1" customHeight="1" x14ac:dyDescent="0.25">
      <c r="A431" s="7545"/>
      <c r="B431" s="642"/>
      <c r="C431" s="642"/>
      <c r="D431" s="642"/>
      <c r="E431" s="1348">
        <f>+E427-E77</f>
        <v>0</v>
      </c>
      <c r="F431" s="1348">
        <f>+F427-F79</f>
        <v>0</v>
      </c>
      <c r="G431" s="1348">
        <f>+G427-G77</f>
        <v>0</v>
      </c>
      <c r="H431" s="1348">
        <f>+H427-H79</f>
        <v>0</v>
      </c>
      <c r="I431" s="1348">
        <f>+I427-I77</f>
        <v>0</v>
      </c>
      <c r="J431" s="1348">
        <f>+J427-J79</f>
        <v>0</v>
      </c>
      <c r="K431" s="1348">
        <f>+K427-K77</f>
        <v>0</v>
      </c>
      <c r="L431" s="1348">
        <f>+L427-L79</f>
        <v>0</v>
      </c>
      <c r="M431" s="1738">
        <f>+M427-M77</f>
        <v>0</v>
      </c>
      <c r="N431" s="1738">
        <f>+N427-N79</f>
        <v>0</v>
      </c>
      <c r="O431" s="1348">
        <f>+O427-O77</f>
        <v>0</v>
      </c>
      <c r="P431" s="1348">
        <f>+P427-P79</f>
        <v>0</v>
      </c>
      <c r="Q431" s="1348">
        <f>+Q427-Q77</f>
        <v>0</v>
      </c>
      <c r="R431" s="1348">
        <f>+R427-R79</f>
        <v>0</v>
      </c>
      <c r="S431" s="1348">
        <f>+S427-S77</f>
        <v>0</v>
      </c>
      <c r="T431" s="1348">
        <f>+T427-T79</f>
        <v>0</v>
      </c>
      <c r="U431" s="1348">
        <f>+U427-U77</f>
        <v>0</v>
      </c>
      <c r="V431" s="1348">
        <f>+V427-V79</f>
        <v>0</v>
      </c>
      <c r="W431" s="1348">
        <f>+W427-W77</f>
        <v>0</v>
      </c>
      <c r="X431" s="1348">
        <f>+X427-X79</f>
        <v>0</v>
      </c>
      <c r="Y431" s="1738">
        <f>+Y427-Y77</f>
        <v>0</v>
      </c>
      <c r="Z431" s="1738">
        <f>+Z427-Z79</f>
        <v>0</v>
      </c>
      <c r="AA431" s="1348">
        <f>+AA427-AA77</f>
        <v>0</v>
      </c>
      <c r="AB431" s="1348">
        <f>+AB427-AB79</f>
        <v>0</v>
      </c>
      <c r="AC431" s="1348">
        <f>+AC427-AC77</f>
        <v>0</v>
      </c>
      <c r="AD431" s="1348">
        <f>+AD427-AD79</f>
        <v>0</v>
      </c>
      <c r="AE431" s="1348">
        <f>+AE427-AE77</f>
        <v>0</v>
      </c>
      <c r="AF431" s="1348">
        <f>+AF427-AF79</f>
        <v>0</v>
      </c>
      <c r="AG431" s="1348">
        <f>+AG427-AG77</f>
        <v>0</v>
      </c>
      <c r="AH431" s="1348">
        <f>+AH427-AH79</f>
        <v>0.11999999999898137</v>
      </c>
      <c r="AI431" s="1348">
        <f>+AI427-AI77</f>
        <v>0</v>
      </c>
      <c r="AJ431" s="1348">
        <f>+AJ427-AJ79</f>
        <v>0.11999999993713573</v>
      </c>
      <c r="AK431" s="1348">
        <f>+AK427-AK77</f>
        <v>0</v>
      </c>
      <c r="AL431" s="1348">
        <f>+AL427-AL79</f>
        <v>0</v>
      </c>
      <c r="AM431" s="1738">
        <f>+AM427-AM77</f>
        <v>0</v>
      </c>
      <c r="AN431" s="1738">
        <f>+AN427-AN79</f>
        <v>0.11999999999534339</v>
      </c>
      <c r="AO431" s="1348">
        <f>+AO427-AO77</f>
        <v>0</v>
      </c>
      <c r="AP431" s="1348">
        <f>+AP427-AP79</f>
        <v>0.11999999993713573</v>
      </c>
      <c r="AQ431" s="1348">
        <f>+AQ427-AQ77</f>
        <v>0</v>
      </c>
      <c r="AR431" s="1348">
        <f>+AR427-AR79</f>
        <v>0.44000000000232831</v>
      </c>
      <c r="AS431" s="1348">
        <f>+AS427-AS77</f>
        <v>0</v>
      </c>
      <c r="AT431" s="1348">
        <f>+AT427-AT79</f>
        <v>0.55999999993946403</v>
      </c>
      <c r="AU431" s="1348">
        <f>+AU427-AU77</f>
        <v>0</v>
      </c>
      <c r="AV431" s="1348">
        <f>+AV427-AV79</f>
        <v>0</v>
      </c>
      <c r="AW431" s="1348">
        <f>+AW427-AW77</f>
        <v>0</v>
      </c>
      <c r="AX431" s="1348">
        <f>+AX427-AX79</f>
        <v>0.55999999993946403</v>
      </c>
      <c r="AY431" s="1348">
        <f>+AY427-AY77</f>
        <v>0</v>
      </c>
      <c r="AZ431" s="1348">
        <f>+AZ427-AZ79</f>
        <v>0</v>
      </c>
      <c r="BA431" s="1738">
        <f>+BA427-BA77</f>
        <v>0</v>
      </c>
      <c r="BB431" s="1738">
        <f>+BB427-BB79</f>
        <v>0.43999999997322448</v>
      </c>
      <c r="BC431" s="1348">
        <f>+BC427-BC77</f>
        <v>0</v>
      </c>
      <c r="BD431" s="1348">
        <f>+BD427-BD79</f>
        <v>0.55999999999767169</v>
      </c>
      <c r="BE431" s="1348">
        <f>+BE427-BE77</f>
        <v>0</v>
      </c>
      <c r="BF431" s="1348">
        <f>+BF427-BF79</f>
        <v>0.55999999993946403</v>
      </c>
      <c r="BG431" s="4590"/>
      <c r="BH431" s="4590"/>
      <c r="BI431" s="4590"/>
      <c r="BJ431" s="4590"/>
    </row>
    <row r="432" spans="1:62" ht="15" hidden="1" customHeight="1" x14ac:dyDescent="0.25">
      <c r="A432" s="7545"/>
      <c r="B432" s="642"/>
      <c r="C432" s="642"/>
      <c r="D432" s="642"/>
      <c r="E432" s="642"/>
      <c r="F432" s="642"/>
      <c r="G432" s="642"/>
      <c r="H432" s="642"/>
      <c r="I432" s="642"/>
      <c r="J432" s="642"/>
      <c r="K432" s="642"/>
      <c r="L432" s="642"/>
      <c r="M432" s="876"/>
      <c r="N432" s="876"/>
      <c r="O432" s="642"/>
      <c r="P432" s="642"/>
      <c r="Q432" s="642"/>
      <c r="R432" s="642"/>
      <c r="S432" s="642"/>
      <c r="T432" s="642"/>
      <c r="U432" s="642"/>
      <c r="V432" s="642"/>
      <c r="W432" s="642"/>
      <c r="X432" s="642"/>
      <c r="Y432" s="876"/>
      <c r="Z432" s="876"/>
      <c r="AA432" s="642"/>
      <c r="AB432" s="642"/>
      <c r="AC432" s="642"/>
      <c r="AD432" s="642"/>
      <c r="AE432" s="642"/>
      <c r="AF432" s="642"/>
      <c r="AG432" s="642"/>
      <c r="AH432" s="642"/>
      <c r="AI432" s="642"/>
      <c r="AJ432" s="642"/>
      <c r="AK432" s="642"/>
      <c r="AL432" s="642"/>
      <c r="AM432" s="876"/>
      <c r="AN432" s="876"/>
      <c r="AO432" s="642"/>
      <c r="AP432" s="642"/>
      <c r="AQ432" s="642"/>
      <c r="AR432" s="642"/>
      <c r="AS432" s="642"/>
      <c r="AT432" s="642"/>
      <c r="AU432" s="642"/>
      <c r="AV432" s="642"/>
      <c r="AW432" s="642"/>
      <c r="AX432" s="642"/>
      <c r="AY432" s="642"/>
      <c r="AZ432" s="642"/>
      <c r="BA432" s="876"/>
      <c r="BB432" s="876"/>
      <c r="BC432" s="642"/>
      <c r="BD432" s="642"/>
      <c r="BE432" s="642"/>
      <c r="BF432" s="642"/>
      <c r="BG432" s="4590"/>
      <c r="BH432" s="4590"/>
      <c r="BI432" s="4590"/>
      <c r="BJ432" s="4590"/>
    </row>
    <row r="433" spans="1:62" ht="15" hidden="1" customHeight="1" x14ac:dyDescent="0.25">
      <c r="A433" s="7545"/>
      <c r="B433" s="642"/>
      <c r="C433" s="642"/>
      <c r="D433" s="642"/>
      <c r="E433" s="642"/>
      <c r="F433" s="642"/>
      <c r="G433" s="642"/>
      <c r="H433" s="642"/>
      <c r="I433" s="642"/>
      <c r="J433" s="642"/>
      <c r="K433" s="642"/>
      <c r="L433" s="642"/>
      <c r="M433" s="876"/>
      <c r="N433" s="876"/>
      <c r="O433" s="642"/>
      <c r="P433" s="642"/>
      <c r="Q433" s="642"/>
      <c r="R433" s="642"/>
      <c r="S433" s="642"/>
      <c r="T433" s="642"/>
      <c r="U433" s="642"/>
      <c r="V433" s="642"/>
      <c r="W433" s="642"/>
      <c r="X433" s="642"/>
      <c r="Y433" s="876"/>
      <c r="Z433" s="876"/>
      <c r="AA433" s="642"/>
      <c r="AB433" s="642"/>
      <c r="AC433" s="642"/>
      <c r="AD433" s="642"/>
      <c r="AE433" s="642"/>
      <c r="AF433" s="642"/>
      <c r="AG433" s="642"/>
      <c r="AH433" s="642"/>
      <c r="AI433" s="642"/>
      <c r="AJ433" s="642"/>
      <c r="AK433" s="642"/>
      <c r="AL433" s="642"/>
      <c r="AM433" s="876"/>
      <c r="AN433" s="876"/>
      <c r="AO433" s="642"/>
      <c r="AP433" s="642"/>
      <c r="AQ433" s="642"/>
      <c r="AR433" s="642"/>
      <c r="AS433" s="642"/>
      <c r="AT433" s="642"/>
      <c r="AU433" s="642"/>
      <c r="AV433" s="642"/>
      <c r="AW433" s="642"/>
      <c r="AX433" s="642"/>
      <c r="AY433" s="642"/>
      <c r="AZ433" s="642"/>
      <c r="BA433" s="876"/>
      <c r="BB433" s="876"/>
      <c r="BC433" s="642"/>
      <c r="BD433" s="642"/>
      <c r="BE433" s="642"/>
      <c r="BF433" s="642"/>
      <c r="BG433" s="4590"/>
      <c r="BH433" s="4590"/>
      <c r="BI433" s="4590"/>
      <c r="BJ433" s="4590"/>
    </row>
    <row r="434" spans="1:62" ht="15" hidden="1" customHeight="1" x14ac:dyDescent="0.25">
      <c r="A434" s="7545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876"/>
      <c r="N434" s="876"/>
      <c r="O434" s="642"/>
      <c r="P434" s="642"/>
      <c r="Q434" s="642"/>
      <c r="R434" s="642"/>
      <c r="S434" s="642"/>
      <c r="T434" s="642"/>
      <c r="U434" s="642"/>
      <c r="V434" s="642"/>
      <c r="W434" s="642"/>
      <c r="X434" s="642"/>
      <c r="Y434" s="876"/>
      <c r="Z434" s="876"/>
      <c r="AA434" s="642"/>
      <c r="AB434" s="642"/>
      <c r="AC434" s="642"/>
      <c r="AD434" s="642"/>
      <c r="AE434" s="642"/>
      <c r="AF434" s="642"/>
      <c r="AG434" s="642"/>
      <c r="AH434" s="642"/>
      <c r="AI434" s="642"/>
      <c r="AJ434" s="642"/>
      <c r="AK434" s="642"/>
      <c r="AL434" s="642"/>
      <c r="AM434" s="876"/>
      <c r="AN434" s="876"/>
      <c r="AO434" s="642"/>
      <c r="AP434" s="642"/>
      <c r="AQ434" s="642"/>
      <c r="AR434" s="642"/>
      <c r="AS434" s="642"/>
      <c r="AT434" s="642"/>
      <c r="AU434" s="642"/>
      <c r="AV434" s="642"/>
      <c r="AW434" s="642"/>
      <c r="AX434" s="642"/>
      <c r="AY434" s="642"/>
      <c r="AZ434" s="642"/>
      <c r="BA434" s="876"/>
      <c r="BB434" s="876"/>
      <c r="BC434" s="642"/>
      <c r="BD434" s="642"/>
      <c r="BE434" s="642"/>
      <c r="BF434" s="642"/>
      <c r="BG434" s="4590"/>
      <c r="BH434" s="4590"/>
      <c r="BI434" s="4590"/>
      <c r="BJ434" s="4590"/>
    </row>
    <row r="435" spans="1:62" ht="15" hidden="1" customHeight="1" x14ac:dyDescent="0.25">
      <c r="A435" s="7546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876"/>
      <c r="N435" s="876"/>
      <c r="O435" s="642"/>
      <c r="P435" s="642"/>
      <c r="Q435" s="642"/>
      <c r="R435" s="642"/>
      <c r="S435" s="642"/>
      <c r="T435" s="642"/>
      <c r="U435" s="642"/>
      <c r="V435" s="642"/>
      <c r="W435" s="642"/>
      <c r="X435" s="642"/>
      <c r="Y435" s="876"/>
      <c r="Z435" s="876"/>
      <c r="AA435" s="642"/>
      <c r="AB435" s="642"/>
      <c r="AC435" s="642"/>
      <c r="AD435" s="642"/>
      <c r="AE435" s="642"/>
      <c r="AF435" s="642"/>
      <c r="AG435" s="642"/>
      <c r="AH435" s="642"/>
      <c r="AI435" s="642"/>
      <c r="AJ435" s="642"/>
      <c r="AK435" s="642"/>
      <c r="AL435" s="642"/>
      <c r="AM435" s="876"/>
      <c r="AN435" s="876"/>
      <c r="AO435" s="642"/>
      <c r="AP435" s="642"/>
      <c r="AQ435" s="642"/>
      <c r="AR435" s="642"/>
      <c r="AS435" s="642"/>
      <c r="AT435" s="642"/>
      <c r="AU435" s="642"/>
      <c r="AV435" s="642"/>
      <c r="AW435" s="642"/>
      <c r="AX435" s="642"/>
      <c r="AY435" s="642"/>
      <c r="AZ435" s="642"/>
      <c r="BA435" s="876"/>
      <c r="BB435" s="876"/>
      <c r="BC435" s="642"/>
      <c r="BD435" s="642"/>
      <c r="BE435" s="642"/>
      <c r="BF435" s="642"/>
      <c r="BG435" s="4590"/>
      <c r="BH435" s="4590"/>
      <c r="BI435" s="4590"/>
      <c r="BJ435" s="4590"/>
    </row>
    <row r="436" spans="1:62" ht="15" hidden="1" customHeight="1" x14ac:dyDescent="0.25">
      <c r="A436" s="154"/>
      <c r="B436" s="642"/>
      <c r="C436" s="642"/>
      <c r="D436" s="642"/>
      <c r="E436" s="1348">
        <f>+E268-E69</f>
        <v>0</v>
      </c>
      <c r="F436" s="1348">
        <f>+F268-F71</f>
        <v>0</v>
      </c>
      <c r="G436" s="1348">
        <f>+G268-G69</f>
        <v>0</v>
      </c>
      <c r="H436" s="1348">
        <f>+H268-H71</f>
        <v>0</v>
      </c>
      <c r="I436" s="1348">
        <f>+I268-I69</f>
        <v>0</v>
      </c>
      <c r="J436" s="1348">
        <f>+J268-J71</f>
        <v>0</v>
      </c>
      <c r="K436" s="1348">
        <f>+K268-K69</f>
        <v>0</v>
      </c>
      <c r="L436" s="1348">
        <f>+L268-L71</f>
        <v>0</v>
      </c>
      <c r="M436" s="1738">
        <f>+M268-M69</f>
        <v>0</v>
      </c>
      <c r="N436" s="1738">
        <f>+N268-N71</f>
        <v>0</v>
      </c>
      <c r="O436" s="1348">
        <f>+O268-O69</f>
        <v>0</v>
      </c>
      <c r="P436" s="1348">
        <f>+P268-P71</f>
        <v>0</v>
      </c>
      <c r="Q436" s="1348">
        <f>+Q268-Q69</f>
        <v>0</v>
      </c>
      <c r="R436" s="1348">
        <f>+R268-R71</f>
        <v>0</v>
      </c>
      <c r="S436" s="1348">
        <f>+S268-S69</f>
        <v>0</v>
      </c>
      <c r="T436" s="1348">
        <f>+T268-T71</f>
        <v>0</v>
      </c>
      <c r="U436" s="1348">
        <f>+U268-U69</f>
        <v>0</v>
      </c>
      <c r="V436" s="1348">
        <f>+V268-V71</f>
        <v>0</v>
      </c>
      <c r="W436" s="1348">
        <f>+W268-W69</f>
        <v>0</v>
      </c>
      <c r="X436" s="1348">
        <f>+X268-X71</f>
        <v>0</v>
      </c>
      <c r="Y436" s="1738">
        <f>+Y268-Y69</f>
        <v>0</v>
      </c>
      <c r="Z436" s="1738">
        <f>+Z268-Z71</f>
        <v>0</v>
      </c>
      <c r="AA436" s="1348">
        <f>+AA268-AA69</f>
        <v>0</v>
      </c>
      <c r="AB436" s="1348">
        <f>+AB268-AB71</f>
        <v>0</v>
      </c>
      <c r="AC436" s="1348">
        <f>+AC268-AC69</f>
        <v>0</v>
      </c>
      <c r="AD436" s="1348">
        <f>+AD268-AD71</f>
        <v>0</v>
      </c>
      <c r="AE436" s="1348">
        <f>+AE268-AE69</f>
        <v>0</v>
      </c>
      <c r="AF436" s="1348">
        <f>+AF268-AF71</f>
        <v>0</v>
      </c>
      <c r="AG436" s="1348">
        <f>+AG268-AG69</f>
        <v>0</v>
      </c>
      <c r="AH436" s="1348">
        <f>+AH268-AH71</f>
        <v>0</v>
      </c>
      <c r="AI436" s="1348">
        <f>+AI268-AI69</f>
        <v>0</v>
      </c>
      <c r="AJ436" s="1348">
        <f>+AJ268-AJ71</f>
        <v>0</v>
      </c>
      <c r="AK436" s="1348">
        <f>+AK268-AK69</f>
        <v>0</v>
      </c>
      <c r="AL436" s="1348">
        <f>+AL268-AL71</f>
        <v>0</v>
      </c>
      <c r="AM436" s="1738">
        <f>+AM268-AM69</f>
        <v>0</v>
      </c>
      <c r="AN436" s="1738">
        <f>+AN268-AN71</f>
        <v>0</v>
      </c>
      <c r="AO436" s="1348">
        <f>+AO268-AO69</f>
        <v>0</v>
      </c>
      <c r="AP436" s="1348">
        <f>+AP268-AP71</f>
        <v>0</v>
      </c>
      <c r="AQ436" s="1348">
        <f>+AQ268-AQ69</f>
        <v>0</v>
      </c>
      <c r="AR436" s="1348">
        <f>+AR268-AR71</f>
        <v>0</v>
      </c>
      <c r="AS436" s="1348">
        <f>+AS268-AS69</f>
        <v>0</v>
      </c>
      <c r="AT436" s="1348">
        <f>+AT268-AT71</f>
        <v>0</v>
      </c>
      <c r="AU436" s="1348">
        <f>+AU268-AU69</f>
        <v>0</v>
      </c>
      <c r="AV436" s="1348">
        <f>+AV268-AV71</f>
        <v>0</v>
      </c>
      <c r="AW436" s="1348">
        <f>+AW268-AW69</f>
        <v>0</v>
      </c>
      <c r="AX436" s="1348">
        <f>+AX268-AX71</f>
        <v>0</v>
      </c>
      <c r="AY436" s="1348">
        <f>+AY268-AY69</f>
        <v>0</v>
      </c>
      <c r="AZ436" s="1348">
        <f>+AZ268-AZ71</f>
        <v>0</v>
      </c>
      <c r="BA436" s="1738">
        <f>+BA268-BA69</f>
        <v>0</v>
      </c>
      <c r="BB436" s="1738">
        <f>+BB268-BB71</f>
        <v>0</v>
      </c>
      <c r="BC436" s="1348">
        <f>+BC268-BC69</f>
        <v>0</v>
      </c>
      <c r="BD436" s="1348">
        <f>+BD268-BD71</f>
        <v>0</v>
      </c>
      <c r="BE436" s="1348">
        <f>+BE268-BE69</f>
        <v>0</v>
      </c>
      <c r="BF436" s="1348">
        <f>+BF268-BF71</f>
        <v>0</v>
      </c>
      <c r="BG436" s="4590"/>
      <c r="BH436" s="4590"/>
      <c r="BI436" s="4590"/>
      <c r="BJ436" s="4590"/>
    </row>
    <row r="437" spans="1:62" ht="15" hidden="1" customHeight="1" x14ac:dyDescent="0.25">
      <c r="A437" s="154"/>
      <c r="B437" s="642"/>
      <c r="C437" s="642"/>
      <c r="D437" s="642"/>
      <c r="E437" s="1348">
        <f t="shared" ref="E437:AJ437" si="594">+E268-E19</f>
        <v>0</v>
      </c>
      <c r="F437" s="1348">
        <f t="shared" si="594"/>
        <v>0</v>
      </c>
      <c r="G437" s="1348">
        <f t="shared" ref="G437:H437" si="595">+G268-G19</f>
        <v>0</v>
      </c>
      <c r="H437" s="1348">
        <f t="shared" si="595"/>
        <v>0</v>
      </c>
      <c r="I437" s="1348">
        <f t="shared" si="594"/>
        <v>0</v>
      </c>
      <c r="J437" s="1348">
        <f t="shared" si="594"/>
        <v>0</v>
      </c>
      <c r="K437" s="1348">
        <f t="shared" si="594"/>
        <v>0</v>
      </c>
      <c r="L437" s="1348">
        <f t="shared" si="594"/>
        <v>0</v>
      </c>
      <c r="M437" s="1738">
        <f t="shared" si="594"/>
        <v>0</v>
      </c>
      <c r="N437" s="1738">
        <f t="shared" si="594"/>
        <v>0</v>
      </c>
      <c r="O437" s="1348">
        <f t="shared" si="594"/>
        <v>0</v>
      </c>
      <c r="P437" s="1348">
        <f t="shared" si="594"/>
        <v>0</v>
      </c>
      <c r="Q437" s="1348">
        <f t="shared" si="594"/>
        <v>0</v>
      </c>
      <c r="R437" s="1348">
        <f t="shared" si="594"/>
        <v>0</v>
      </c>
      <c r="S437" s="1348">
        <f t="shared" si="594"/>
        <v>0</v>
      </c>
      <c r="T437" s="1348">
        <f t="shared" si="594"/>
        <v>0</v>
      </c>
      <c r="U437" s="1348">
        <f t="shared" si="594"/>
        <v>0</v>
      </c>
      <c r="V437" s="1348">
        <f t="shared" si="594"/>
        <v>0</v>
      </c>
      <c r="W437" s="1348">
        <f t="shared" si="594"/>
        <v>0</v>
      </c>
      <c r="X437" s="1348">
        <f t="shared" si="594"/>
        <v>0</v>
      </c>
      <c r="Y437" s="1738">
        <f t="shared" si="594"/>
        <v>0</v>
      </c>
      <c r="Z437" s="1738">
        <f t="shared" si="594"/>
        <v>0</v>
      </c>
      <c r="AA437" s="1348">
        <f t="shared" si="594"/>
        <v>0</v>
      </c>
      <c r="AB437" s="1348">
        <f t="shared" si="594"/>
        <v>0</v>
      </c>
      <c r="AC437" s="1348">
        <f t="shared" si="594"/>
        <v>0</v>
      </c>
      <c r="AD437" s="1348">
        <f t="shared" si="594"/>
        <v>0</v>
      </c>
      <c r="AE437" s="1348">
        <f t="shared" si="594"/>
        <v>0</v>
      </c>
      <c r="AF437" s="1348">
        <f t="shared" si="594"/>
        <v>0</v>
      </c>
      <c r="AG437" s="1348">
        <f t="shared" si="594"/>
        <v>0</v>
      </c>
      <c r="AH437" s="1348">
        <f t="shared" si="594"/>
        <v>0</v>
      </c>
      <c r="AI437" s="1348">
        <f t="shared" si="594"/>
        <v>0</v>
      </c>
      <c r="AJ437" s="1348">
        <f t="shared" si="594"/>
        <v>0</v>
      </c>
      <c r="AK437" s="1348">
        <f t="shared" ref="AK437:BF437" si="596">+AK268-AK19</f>
        <v>0</v>
      </c>
      <c r="AL437" s="1348">
        <f t="shared" si="596"/>
        <v>0</v>
      </c>
      <c r="AM437" s="1738">
        <f t="shared" si="596"/>
        <v>0</v>
      </c>
      <c r="AN437" s="1738">
        <f t="shared" si="596"/>
        <v>0</v>
      </c>
      <c r="AO437" s="1348">
        <f t="shared" si="596"/>
        <v>0</v>
      </c>
      <c r="AP437" s="1348">
        <f t="shared" si="596"/>
        <v>0</v>
      </c>
      <c r="AQ437" s="1348">
        <f t="shared" si="596"/>
        <v>0</v>
      </c>
      <c r="AR437" s="1348">
        <f t="shared" si="596"/>
        <v>0</v>
      </c>
      <c r="AS437" s="1348">
        <f t="shared" si="596"/>
        <v>0</v>
      </c>
      <c r="AT437" s="1348">
        <f t="shared" si="596"/>
        <v>0</v>
      </c>
      <c r="AU437" s="1348">
        <f t="shared" si="596"/>
        <v>0</v>
      </c>
      <c r="AV437" s="1348">
        <f t="shared" si="596"/>
        <v>0</v>
      </c>
      <c r="AW437" s="1348">
        <f t="shared" si="596"/>
        <v>0</v>
      </c>
      <c r="AX437" s="1348">
        <f t="shared" si="596"/>
        <v>0</v>
      </c>
      <c r="AY437" s="1348">
        <f t="shared" ref="AY437:AZ437" si="597">+AY268-AY19</f>
        <v>0</v>
      </c>
      <c r="AZ437" s="1348">
        <f t="shared" si="597"/>
        <v>0</v>
      </c>
      <c r="BA437" s="1738">
        <f t="shared" si="596"/>
        <v>0</v>
      </c>
      <c r="BB437" s="1738">
        <f t="shared" si="596"/>
        <v>0</v>
      </c>
      <c r="BC437" s="1348">
        <f t="shared" si="596"/>
        <v>0</v>
      </c>
      <c r="BD437" s="1348">
        <f t="shared" si="596"/>
        <v>0</v>
      </c>
      <c r="BE437" s="1348">
        <f t="shared" si="596"/>
        <v>0</v>
      </c>
      <c r="BF437" s="1348">
        <f t="shared" si="596"/>
        <v>0</v>
      </c>
      <c r="BG437" s="4590"/>
      <c r="BH437" s="4590"/>
      <c r="BI437" s="4590"/>
      <c r="BJ437" s="4590"/>
    </row>
    <row r="438" spans="1:62" ht="15" hidden="1" customHeight="1" x14ac:dyDescent="0.25">
      <c r="A438" s="154"/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876"/>
      <c r="N438" s="876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876"/>
      <c r="Z438" s="876"/>
      <c r="AA438" s="642"/>
      <c r="AB438" s="642"/>
      <c r="AC438" s="642"/>
      <c r="AD438" s="642"/>
      <c r="AE438" s="642"/>
      <c r="AF438" s="642"/>
      <c r="AG438" s="642"/>
      <c r="AH438" s="642"/>
      <c r="AI438" s="642"/>
      <c r="AJ438" s="642"/>
      <c r="AK438" s="642"/>
      <c r="AL438" s="642"/>
      <c r="AM438" s="876"/>
      <c r="AN438" s="876"/>
      <c r="AO438" s="642"/>
      <c r="AP438" s="642"/>
      <c r="AQ438" s="642"/>
      <c r="AR438" s="642"/>
      <c r="AS438" s="642"/>
      <c r="AT438" s="642"/>
      <c r="AU438" s="642"/>
      <c r="AV438" s="642"/>
      <c r="AW438" s="642"/>
      <c r="AX438" s="642"/>
      <c r="AY438" s="642"/>
      <c r="AZ438" s="642"/>
      <c r="BA438" s="876"/>
      <c r="BB438" s="876"/>
      <c r="BC438" s="642"/>
      <c r="BD438" s="642"/>
      <c r="BE438" s="642"/>
      <c r="BF438" s="642"/>
      <c r="BG438" s="4590"/>
      <c r="BH438" s="4590"/>
      <c r="BI438" s="4590"/>
      <c r="BJ438" s="4590"/>
    </row>
    <row r="439" spans="1:62" ht="15" hidden="1" customHeight="1" x14ac:dyDescent="0.25">
      <c r="A439" s="154"/>
      <c r="B439" s="7542" t="s">
        <v>114</v>
      </c>
      <c r="C439" s="840"/>
      <c r="D439" s="840"/>
      <c r="E439" s="397">
        <f>+E12-E65</f>
        <v>0</v>
      </c>
      <c r="F439" s="397">
        <f>+F12-F67</f>
        <v>0</v>
      </c>
      <c r="G439" s="397">
        <f>+G12-G65</f>
        <v>0</v>
      </c>
      <c r="H439" s="397">
        <f>+H12-H67</f>
        <v>0</v>
      </c>
      <c r="I439" s="397">
        <f>+I12-I65</f>
        <v>0</v>
      </c>
      <c r="J439" s="397">
        <f>+J12-J67</f>
        <v>0</v>
      </c>
      <c r="K439" s="397">
        <f>+K12-K65</f>
        <v>0</v>
      </c>
      <c r="L439" s="397">
        <f>+L12-L67</f>
        <v>0</v>
      </c>
      <c r="M439" s="446">
        <f>+M12-M65</f>
        <v>0</v>
      </c>
      <c r="N439" s="446">
        <f>+N12-N67</f>
        <v>0</v>
      </c>
      <c r="O439" s="397">
        <f>+O12-O65</f>
        <v>0</v>
      </c>
      <c r="P439" s="397">
        <f>+P12-P67</f>
        <v>0</v>
      </c>
      <c r="Q439" s="397">
        <f>+Q12-Q65</f>
        <v>0</v>
      </c>
      <c r="R439" s="397">
        <f>+R12-R67</f>
        <v>0</v>
      </c>
      <c r="S439" s="397">
        <f>+S12-S65</f>
        <v>0</v>
      </c>
      <c r="T439" s="397">
        <f>+T12-T67</f>
        <v>0</v>
      </c>
      <c r="U439" s="397">
        <f>+U12-U65</f>
        <v>0</v>
      </c>
      <c r="V439" s="397">
        <f>+V12-V67</f>
        <v>0</v>
      </c>
      <c r="W439" s="397">
        <f>+W12-W65</f>
        <v>0</v>
      </c>
      <c r="X439" s="397">
        <f>+X12-X67</f>
        <v>0</v>
      </c>
      <c r="Y439" s="446">
        <f>+Y12-Y65</f>
        <v>0</v>
      </c>
      <c r="Z439" s="446">
        <f>+Z12-Z67</f>
        <v>0</v>
      </c>
      <c r="AA439" s="397">
        <f>+AA12-AA65</f>
        <v>0</v>
      </c>
      <c r="AB439" s="397">
        <f>+AB12-AB67</f>
        <v>0</v>
      </c>
      <c r="AC439" s="397">
        <f>+AC12-AC65</f>
        <v>0</v>
      </c>
      <c r="AD439" s="397">
        <f>+AD12-AD67</f>
        <v>0</v>
      </c>
      <c r="AE439" s="397">
        <f>+AE12-AE65</f>
        <v>0</v>
      </c>
      <c r="AF439" s="397">
        <f>+AF12-AF67</f>
        <v>0</v>
      </c>
      <c r="AG439" s="397">
        <f>+AG12-AG65</f>
        <v>0</v>
      </c>
      <c r="AH439" s="397">
        <f>+AH12-AH67</f>
        <v>0</v>
      </c>
      <c r="AI439" s="397">
        <f>+AI12-AI65</f>
        <v>0</v>
      </c>
      <c r="AJ439" s="397">
        <f>+AJ12-AJ67</f>
        <v>0</v>
      </c>
      <c r="AK439" s="397">
        <f>+AK12-AK65</f>
        <v>0</v>
      </c>
      <c r="AL439" s="397">
        <f>+AL12-AL67</f>
        <v>0</v>
      </c>
      <c r="AM439" s="446">
        <f>+AM12-AM65</f>
        <v>0</v>
      </c>
      <c r="AN439" s="446">
        <f>+AN12-AN67</f>
        <v>0</v>
      </c>
      <c r="AO439" s="397">
        <f>+AO12-AO65</f>
        <v>0</v>
      </c>
      <c r="AP439" s="397">
        <f>+AP12-AP67</f>
        <v>0</v>
      </c>
      <c r="AQ439" s="397">
        <f>+AQ12-AQ65</f>
        <v>0</v>
      </c>
      <c r="AR439" s="397">
        <f>+AR12-AR67</f>
        <v>0</v>
      </c>
      <c r="AS439" s="397">
        <f>+AS12-AS65</f>
        <v>0</v>
      </c>
      <c r="AT439" s="397">
        <f>+AT12-AT67</f>
        <v>0</v>
      </c>
      <c r="AU439" s="397">
        <f>+AU12-AU65</f>
        <v>0</v>
      </c>
      <c r="AV439" s="397">
        <f>+AV12-AV67</f>
        <v>0</v>
      </c>
      <c r="AW439" s="397">
        <f>+AW12-AW65</f>
        <v>0</v>
      </c>
      <c r="AX439" s="397">
        <f>+AX12-AX67</f>
        <v>0</v>
      </c>
      <c r="AY439" s="397">
        <f>+AY12-AY65</f>
        <v>0</v>
      </c>
      <c r="AZ439" s="397">
        <f>+AZ12-AZ67</f>
        <v>0</v>
      </c>
      <c r="BA439" s="446">
        <f>+BA12-BA65</f>
        <v>0</v>
      </c>
      <c r="BB439" s="446">
        <f>+BB12-BB67</f>
        <v>0</v>
      </c>
      <c r="BC439" s="397">
        <f>+BC12-BC65</f>
        <v>0</v>
      </c>
      <c r="BD439" s="397">
        <f>+BD12-BD67</f>
        <v>0</v>
      </c>
      <c r="BE439" s="397">
        <f>+BE12-BE65</f>
        <v>0</v>
      </c>
      <c r="BF439" s="397">
        <f>+BF12-BF67</f>
        <v>0</v>
      </c>
      <c r="BG439" s="4590"/>
      <c r="BH439" s="4590"/>
      <c r="BI439" s="4590"/>
      <c r="BJ439" s="4590"/>
    </row>
    <row r="440" spans="1:62" ht="15" hidden="1" customHeight="1" x14ac:dyDescent="0.25">
      <c r="A440" s="154"/>
      <c r="B440" s="7542"/>
      <c r="C440" s="840"/>
      <c r="D440" s="840"/>
      <c r="E440" s="397">
        <f>+E65-E213</f>
        <v>0</v>
      </c>
      <c r="F440" s="397">
        <f>+F67-F213</f>
        <v>0</v>
      </c>
      <c r="G440" s="397">
        <f>+G65-G213</f>
        <v>0</v>
      </c>
      <c r="H440" s="397">
        <f>+H67-H213</f>
        <v>0</v>
      </c>
      <c r="I440" s="397">
        <f>+I65-I213</f>
        <v>0</v>
      </c>
      <c r="J440" s="397">
        <f>+J67-J213</f>
        <v>0</v>
      </c>
      <c r="K440" s="397">
        <f>+K65-K213</f>
        <v>0</v>
      </c>
      <c r="L440" s="397">
        <f>+L67-L213</f>
        <v>0</v>
      </c>
      <c r="M440" s="446">
        <f>+M65-M213</f>
        <v>0</v>
      </c>
      <c r="N440" s="446">
        <f>+N67-N213</f>
        <v>0</v>
      </c>
      <c r="O440" s="397">
        <f>+O65-O213</f>
        <v>0</v>
      </c>
      <c r="P440" s="397">
        <f>+P67-P213</f>
        <v>0</v>
      </c>
      <c r="Q440" s="397">
        <f>+Q65-Q213</f>
        <v>0</v>
      </c>
      <c r="R440" s="397">
        <f>+R67-R213</f>
        <v>0</v>
      </c>
      <c r="S440" s="397">
        <f>+S65-S213</f>
        <v>0</v>
      </c>
      <c r="T440" s="397">
        <f>+T67-T213</f>
        <v>0</v>
      </c>
      <c r="U440" s="397">
        <f>+U65-U213</f>
        <v>0</v>
      </c>
      <c r="V440" s="397">
        <f>+V67-V213</f>
        <v>0</v>
      </c>
      <c r="W440" s="397">
        <f>+W65-W213</f>
        <v>0</v>
      </c>
      <c r="X440" s="397">
        <f>+X67-X213</f>
        <v>0</v>
      </c>
      <c r="Y440" s="446">
        <f>+Y65-Y213</f>
        <v>0</v>
      </c>
      <c r="Z440" s="446">
        <f>+Z67-Z213</f>
        <v>0</v>
      </c>
      <c r="AA440" s="397">
        <f>+AA65-AA213</f>
        <v>0</v>
      </c>
      <c r="AB440" s="397">
        <f>+AB67-AB213</f>
        <v>0</v>
      </c>
      <c r="AC440" s="397">
        <f>+AC65-AC213</f>
        <v>0</v>
      </c>
      <c r="AD440" s="397">
        <f>+AD67-AD213</f>
        <v>0</v>
      </c>
      <c r="AE440" s="397">
        <f>+AE65-AE213</f>
        <v>0</v>
      </c>
      <c r="AF440" s="397">
        <f>+AF67-AF213</f>
        <v>0</v>
      </c>
      <c r="AG440" s="397">
        <f>+AG65-AG213</f>
        <v>0</v>
      </c>
      <c r="AH440" s="397">
        <f>+AH67-AH213</f>
        <v>0</v>
      </c>
      <c r="AI440" s="397">
        <f>+AI65-AI213</f>
        <v>0</v>
      </c>
      <c r="AJ440" s="397">
        <f>+AJ67-AJ213</f>
        <v>0</v>
      </c>
      <c r="AK440" s="397">
        <f>+AK65-AK213</f>
        <v>0</v>
      </c>
      <c r="AL440" s="397">
        <f>+AL67-AL213</f>
        <v>0</v>
      </c>
      <c r="AM440" s="446">
        <f>+AM65-AM213</f>
        <v>0</v>
      </c>
      <c r="AN440" s="446">
        <f>+AN67-AN213</f>
        <v>0</v>
      </c>
      <c r="AO440" s="397">
        <f>+AO65-AO213</f>
        <v>0</v>
      </c>
      <c r="AP440" s="397">
        <f>+AP67-AP213</f>
        <v>0</v>
      </c>
      <c r="AQ440" s="397">
        <f>+AQ65-AQ213</f>
        <v>0</v>
      </c>
      <c r="AR440" s="397">
        <f>+AR67-AR213</f>
        <v>0</v>
      </c>
      <c r="AS440" s="397">
        <f>+AS65-AS213</f>
        <v>0</v>
      </c>
      <c r="AT440" s="397">
        <f>+AT67-AT213</f>
        <v>0</v>
      </c>
      <c r="AU440" s="397">
        <f>+AU65-AU213</f>
        <v>0</v>
      </c>
      <c r="AV440" s="397">
        <f>+AV67-AV213</f>
        <v>0</v>
      </c>
      <c r="AW440" s="397">
        <f>+AW65-AW213</f>
        <v>0</v>
      </c>
      <c r="AX440" s="397">
        <f>+AX67-AX213</f>
        <v>0</v>
      </c>
      <c r="AY440" s="397">
        <f>+AY65-AY213</f>
        <v>0</v>
      </c>
      <c r="AZ440" s="397">
        <f>+AZ67-AZ213</f>
        <v>0</v>
      </c>
      <c r="BA440" s="446">
        <f>+BA65-BA213</f>
        <v>0</v>
      </c>
      <c r="BB440" s="446">
        <f>+BB67-BB213</f>
        <v>0</v>
      </c>
      <c r="BC440" s="397">
        <f>+BC65-BC213</f>
        <v>0</v>
      </c>
      <c r="BD440" s="397">
        <f>+BD67-BD213</f>
        <v>0</v>
      </c>
      <c r="BE440" s="397">
        <f>+BE65-BE213</f>
        <v>0</v>
      </c>
      <c r="BF440" s="397">
        <f>+BF67-BF213</f>
        <v>0</v>
      </c>
      <c r="BG440" s="4590"/>
      <c r="BH440" s="4590"/>
      <c r="BI440" s="4590"/>
      <c r="BJ440" s="4590"/>
    </row>
    <row r="441" spans="1:62" ht="15" hidden="1" customHeight="1" x14ac:dyDescent="0.25">
      <c r="A441" s="154"/>
      <c r="B441" s="7542"/>
      <c r="C441" s="840"/>
      <c r="D441" s="840"/>
      <c r="E441" s="397">
        <f t="shared" ref="E441:AJ441" si="598">+E12-E213</f>
        <v>0</v>
      </c>
      <c r="F441" s="397">
        <f t="shared" si="598"/>
        <v>0</v>
      </c>
      <c r="G441" s="397">
        <f t="shared" ref="G441:H441" si="599">+G12-G213</f>
        <v>0</v>
      </c>
      <c r="H441" s="397">
        <f t="shared" si="599"/>
        <v>0</v>
      </c>
      <c r="I441" s="397">
        <f t="shared" si="598"/>
        <v>0</v>
      </c>
      <c r="J441" s="397">
        <f t="shared" si="598"/>
        <v>0</v>
      </c>
      <c r="K441" s="397">
        <f t="shared" si="598"/>
        <v>0</v>
      </c>
      <c r="L441" s="397">
        <f t="shared" si="598"/>
        <v>0</v>
      </c>
      <c r="M441" s="446">
        <f t="shared" si="598"/>
        <v>0</v>
      </c>
      <c r="N441" s="446">
        <f t="shared" si="598"/>
        <v>0</v>
      </c>
      <c r="O441" s="397">
        <f t="shared" si="598"/>
        <v>0</v>
      </c>
      <c r="P441" s="397">
        <f t="shared" si="598"/>
        <v>0</v>
      </c>
      <c r="Q441" s="397">
        <f t="shared" si="598"/>
        <v>0</v>
      </c>
      <c r="R441" s="397">
        <f t="shared" si="598"/>
        <v>0</v>
      </c>
      <c r="S441" s="397">
        <f t="shared" si="598"/>
        <v>0</v>
      </c>
      <c r="T441" s="397">
        <f t="shared" si="598"/>
        <v>0</v>
      </c>
      <c r="U441" s="397">
        <f t="shared" si="598"/>
        <v>0</v>
      </c>
      <c r="V441" s="397">
        <f t="shared" si="598"/>
        <v>0</v>
      </c>
      <c r="W441" s="397">
        <f t="shared" si="598"/>
        <v>0</v>
      </c>
      <c r="X441" s="397">
        <f t="shared" si="598"/>
        <v>0</v>
      </c>
      <c r="Y441" s="446">
        <f t="shared" si="598"/>
        <v>0</v>
      </c>
      <c r="Z441" s="446">
        <f t="shared" si="598"/>
        <v>0</v>
      </c>
      <c r="AA441" s="397">
        <f t="shared" si="598"/>
        <v>0</v>
      </c>
      <c r="AB441" s="397">
        <f t="shared" si="598"/>
        <v>0</v>
      </c>
      <c r="AC441" s="397">
        <f t="shared" si="598"/>
        <v>0</v>
      </c>
      <c r="AD441" s="397">
        <f t="shared" si="598"/>
        <v>0</v>
      </c>
      <c r="AE441" s="397">
        <f t="shared" si="598"/>
        <v>0</v>
      </c>
      <c r="AF441" s="397">
        <f t="shared" si="598"/>
        <v>0</v>
      </c>
      <c r="AG441" s="397">
        <f t="shared" si="598"/>
        <v>0</v>
      </c>
      <c r="AH441" s="397">
        <f t="shared" si="598"/>
        <v>0</v>
      </c>
      <c r="AI441" s="397">
        <f t="shared" si="598"/>
        <v>0</v>
      </c>
      <c r="AJ441" s="397">
        <f t="shared" si="598"/>
        <v>0</v>
      </c>
      <c r="AK441" s="397">
        <f t="shared" ref="AK441:BF441" si="600">+AK12-AK213</f>
        <v>0</v>
      </c>
      <c r="AL441" s="397">
        <f t="shared" si="600"/>
        <v>0</v>
      </c>
      <c r="AM441" s="446">
        <f t="shared" si="600"/>
        <v>0</v>
      </c>
      <c r="AN441" s="446">
        <f t="shared" si="600"/>
        <v>0</v>
      </c>
      <c r="AO441" s="397">
        <f t="shared" si="600"/>
        <v>0</v>
      </c>
      <c r="AP441" s="397">
        <f t="shared" si="600"/>
        <v>0</v>
      </c>
      <c r="AQ441" s="397">
        <f t="shared" si="600"/>
        <v>0</v>
      </c>
      <c r="AR441" s="397">
        <f t="shared" si="600"/>
        <v>0</v>
      </c>
      <c r="AS441" s="397">
        <f t="shared" si="600"/>
        <v>0</v>
      </c>
      <c r="AT441" s="397">
        <f t="shared" si="600"/>
        <v>0</v>
      </c>
      <c r="AU441" s="397">
        <f t="shared" si="600"/>
        <v>0</v>
      </c>
      <c r="AV441" s="397">
        <f t="shared" si="600"/>
        <v>0</v>
      </c>
      <c r="AW441" s="397">
        <f t="shared" si="600"/>
        <v>0</v>
      </c>
      <c r="AX441" s="397">
        <f t="shared" si="600"/>
        <v>0</v>
      </c>
      <c r="AY441" s="397">
        <f t="shared" ref="AY441:AZ441" si="601">+AY12-AY213</f>
        <v>0</v>
      </c>
      <c r="AZ441" s="397">
        <f t="shared" si="601"/>
        <v>0</v>
      </c>
      <c r="BA441" s="446">
        <f t="shared" si="600"/>
        <v>0</v>
      </c>
      <c r="BB441" s="446">
        <f t="shared" si="600"/>
        <v>0</v>
      </c>
      <c r="BC441" s="397">
        <f t="shared" si="600"/>
        <v>0</v>
      </c>
      <c r="BD441" s="397">
        <f t="shared" si="600"/>
        <v>0</v>
      </c>
      <c r="BE441" s="397">
        <f t="shared" si="600"/>
        <v>0</v>
      </c>
      <c r="BF441" s="397">
        <f t="shared" si="600"/>
        <v>0</v>
      </c>
      <c r="BG441" s="4590"/>
      <c r="BH441" s="4590"/>
      <c r="BI441" s="4590"/>
      <c r="BJ441" s="4590"/>
    </row>
    <row r="442" spans="1:62" ht="15" hidden="1" customHeight="1" x14ac:dyDescent="0.25">
      <c r="A442" s="154"/>
      <c r="B442" s="7542"/>
      <c r="C442" s="900"/>
      <c r="D442" s="900"/>
      <c r="E442" s="900"/>
      <c r="F442" s="366">
        <f>+F9-F229</f>
        <v>0</v>
      </c>
      <c r="G442" s="900"/>
      <c r="H442" s="366">
        <f>+H9-H229</f>
        <v>0</v>
      </c>
      <c r="I442" s="900"/>
      <c r="J442" s="366">
        <f>+J9-J229</f>
        <v>0</v>
      </c>
      <c r="K442" s="900"/>
      <c r="L442" s="366">
        <f>+L9-L229</f>
        <v>0</v>
      </c>
      <c r="M442" s="645"/>
      <c r="N442" s="446">
        <f>+N9-N229</f>
        <v>0</v>
      </c>
      <c r="O442" s="900"/>
      <c r="P442" s="366">
        <f>+P9-P229</f>
        <v>0</v>
      </c>
      <c r="Q442" s="900"/>
      <c r="R442" s="366">
        <f>+R9-R229</f>
        <v>0</v>
      </c>
      <c r="S442" s="900"/>
      <c r="T442" s="366">
        <f>+T9-T229</f>
        <v>0</v>
      </c>
      <c r="U442" s="900"/>
      <c r="V442" s="366">
        <f>+V9-V229</f>
        <v>0</v>
      </c>
      <c r="W442" s="900"/>
      <c r="X442" s="366">
        <f>+X9-X229</f>
        <v>0</v>
      </c>
      <c r="Y442" s="645"/>
      <c r="Z442" s="446">
        <f>+Z9-Z229</f>
        <v>0</v>
      </c>
      <c r="AA442" s="900"/>
      <c r="AB442" s="366">
        <f>+AB9-AB229</f>
        <v>0</v>
      </c>
      <c r="AC442" s="900"/>
      <c r="AD442" s="366">
        <f>+AD9-AD229</f>
        <v>0</v>
      </c>
      <c r="AE442" s="900"/>
      <c r="AF442" s="366">
        <f>+AF9-AF229</f>
        <v>0</v>
      </c>
      <c r="AG442" s="900"/>
      <c r="AH442" s="366">
        <f>+AH9-AH229</f>
        <v>0</v>
      </c>
      <c r="AI442" s="900"/>
      <c r="AJ442" s="366">
        <f>+AJ9-AJ229</f>
        <v>0</v>
      </c>
      <c r="AK442" s="900"/>
      <c r="AL442" s="366">
        <f>+AL9-AL229</f>
        <v>0</v>
      </c>
      <c r="AM442" s="645"/>
      <c r="AN442" s="446">
        <f>+AN9-AN229</f>
        <v>0</v>
      </c>
      <c r="AO442" s="900"/>
      <c r="AP442" s="366">
        <f>+AP9-AP229</f>
        <v>0</v>
      </c>
      <c r="AQ442" s="900"/>
      <c r="AR442" s="366">
        <f>+AR9-AR229</f>
        <v>0</v>
      </c>
      <c r="AS442" s="900"/>
      <c r="AT442" s="366">
        <f>+AT9-AT229</f>
        <v>0</v>
      </c>
      <c r="AU442" s="900"/>
      <c r="AV442" s="366">
        <f>+AV9-AV229</f>
        <v>0</v>
      </c>
      <c r="AW442" s="900"/>
      <c r="AX442" s="366">
        <f>+AX9-AX229</f>
        <v>0</v>
      </c>
      <c r="AY442" s="900"/>
      <c r="AZ442" s="366">
        <f>+AZ9-AZ229</f>
        <v>0</v>
      </c>
      <c r="BA442" s="645"/>
      <c r="BB442" s="446">
        <f>+BB9-BB229</f>
        <v>0</v>
      </c>
      <c r="BC442" s="900"/>
      <c r="BD442" s="366">
        <f>+BD9-BD229</f>
        <v>0</v>
      </c>
      <c r="BE442" s="900"/>
      <c r="BF442" s="366">
        <f>+BF9-BF229</f>
        <v>0</v>
      </c>
      <c r="BG442" s="4590"/>
      <c r="BH442" s="4590"/>
      <c r="BI442" s="4590"/>
      <c r="BJ442" s="4590"/>
    </row>
    <row r="443" spans="1:62" ht="15" hidden="1" customHeight="1" x14ac:dyDescent="0.25">
      <c r="A443" s="154"/>
      <c r="B443" s="7542" t="s">
        <v>1144</v>
      </c>
      <c r="C443" s="271"/>
      <c r="D443" s="271"/>
      <c r="E443" s="366">
        <f>+E19-E69</f>
        <v>0</v>
      </c>
      <c r="F443" s="366">
        <f>+F19-F71</f>
        <v>0</v>
      </c>
      <c r="G443" s="366">
        <f>+G19-G69</f>
        <v>0</v>
      </c>
      <c r="H443" s="366">
        <f>+H19-H71</f>
        <v>0</v>
      </c>
      <c r="I443" s="366">
        <f>+I19-I69</f>
        <v>0</v>
      </c>
      <c r="J443" s="366">
        <f>+J19-J71</f>
        <v>0</v>
      </c>
      <c r="K443" s="366">
        <f>+K19-K69</f>
        <v>0</v>
      </c>
      <c r="L443" s="366">
        <f>+L19-L71</f>
        <v>0</v>
      </c>
      <c r="M443" s="446">
        <f>+M19-M69</f>
        <v>0</v>
      </c>
      <c r="N443" s="446">
        <f>+N19-N71</f>
        <v>0</v>
      </c>
      <c r="O443" s="366">
        <f>+O19-O69</f>
        <v>0</v>
      </c>
      <c r="P443" s="366">
        <f>+P19-P71</f>
        <v>0</v>
      </c>
      <c r="Q443" s="366">
        <f>+Q19-Q69</f>
        <v>0</v>
      </c>
      <c r="R443" s="366">
        <f>+R19-R71</f>
        <v>0</v>
      </c>
      <c r="S443" s="366">
        <f>+S19-S69</f>
        <v>0</v>
      </c>
      <c r="T443" s="366">
        <f>+T19-T71</f>
        <v>0</v>
      </c>
      <c r="U443" s="366">
        <f>+U19-U69</f>
        <v>0</v>
      </c>
      <c r="V443" s="366">
        <f>+V19-V71</f>
        <v>0</v>
      </c>
      <c r="W443" s="366">
        <f>+W19-W69</f>
        <v>0</v>
      </c>
      <c r="X443" s="366">
        <f>+X19-X71</f>
        <v>0</v>
      </c>
      <c r="Y443" s="446">
        <f>+Y19-Y69</f>
        <v>0</v>
      </c>
      <c r="Z443" s="446">
        <f>+Z19-Z71</f>
        <v>0</v>
      </c>
      <c r="AA443" s="366">
        <f>+AA19-AA69</f>
        <v>0</v>
      </c>
      <c r="AB443" s="366">
        <f>+AB19-AB71</f>
        <v>0</v>
      </c>
      <c r="AC443" s="366">
        <f>+AC19-AC69</f>
        <v>0</v>
      </c>
      <c r="AD443" s="366">
        <f>+AD19-AD71</f>
        <v>0</v>
      </c>
      <c r="AE443" s="366">
        <f>+AE19-AE69</f>
        <v>0</v>
      </c>
      <c r="AF443" s="366">
        <f>+AF19-AF71</f>
        <v>0</v>
      </c>
      <c r="AG443" s="366">
        <f>+AG19-AG69</f>
        <v>0</v>
      </c>
      <c r="AH443" s="366">
        <f>+AH19-AH71</f>
        <v>0</v>
      </c>
      <c r="AI443" s="366">
        <f>+AI19-AI69</f>
        <v>0</v>
      </c>
      <c r="AJ443" s="366">
        <f>+AJ19-AJ71</f>
        <v>0</v>
      </c>
      <c r="AK443" s="366">
        <f>+AK19-AK69</f>
        <v>0</v>
      </c>
      <c r="AL443" s="366">
        <f>+AL19-AL71</f>
        <v>0</v>
      </c>
      <c r="AM443" s="446">
        <f>+AM19-AM69</f>
        <v>0</v>
      </c>
      <c r="AN443" s="446">
        <f>+AN19-AN71</f>
        <v>0</v>
      </c>
      <c r="AO443" s="366">
        <f>+AO19-AO69</f>
        <v>0</v>
      </c>
      <c r="AP443" s="366">
        <f>+AP19-AP71</f>
        <v>0</v>
      </c>
      <c r="AQ443" s="366">
        <f>+AQ19-AQ69</f>
        <v>0</v>
      </c>
      <c r="AR443" s="366">
        <f>+AR19-AR71</f>
        <v>0</v>
      </c>
      <c r="AS443" s="366">
        <f>+AS19-AS69</f>
        <v>0</v>
      </c>
      <c r="AT443" s="366">
        <f>+AT19-AT71</f>
        <v>0</v>
      </c>
      <c r="AU443" s="366">
        <f>+AU19-AU69</f>
        <v>0</v>
      </c>
      <c r="AV443" s="366">
        <f>+AV19-AV71</f>
        <v>0</v>
      </c>
      <c r="AW443" s="366">
        <f>+AW19-AW69</f>
        <v>0</v>
      </c>
      <c r="AX443" s="366">
        <f>+AX19-AX71</f>
        <v>0</v>
      </c>
      <c r="AY443" s="366">
        <f>+AY19-AY69</f>
        <v>0</v>
      </c>
      <c r="AZ443" s="366">
        <f>+AZ19-AZ71</f>
        <v>0</v>
      </c>
      <c r="BA443" s="446">
        <f>+BA19-BA69</f>
        <v>0</v>
      </c>
      <c r="BB443" s="446">
        <f>+BB19-BB71</f>
        <v>0</v>
      </c>
      <c r="BC443" s="366">
        <f>+BC19-BC69</f>
        <v>0</v>
      </c>
      <c r="BD443" s="366">
        <f>+BD19-BD71</f>
        <v>0</v>
      </c>
      <c r="BE443" s="366">
        <f>+BE19-BE69</f>
        <v>0</v>
      </c>
      <c r="BF443" s="366">
        <f>+BF19-BF71</f>
        <v>0</v>
      </c>
      <c r="BG443" s="4590"/>
      <c r="BH443" s="4590"/>
      <c r="BI443" s="4590"/>
      <c r="BJ443" s="4590"/>
    </row>
    <row r="444" spans="1:62" ht="21.2" hidden="1" customHeight="1" x14ac:dyDescent="0.25">
      <c r="A444" s="154"/>
      <c r="B444" s="7542"/>
      <c r="C444" s="271"/>
      <c r="D444" s="271"/>
      <c r="E444" s="366">
        <f>+E69-E268</f>
        <v>0</v>
      </c>
      <c r="F444" s="366">
        <f>+F71-F268</f>
        <v>0</v>
      </c>
      <c r="G444" s="366">
        <f>+G69-G268</f>
        <v>0</v>
      </c>
      <c r="H444" s="366">
        <f>+H71-H268</f>
        <v>0</v>
      </c>
      <c r="I444" s="366">
        <f>+I69-I268</f>
        <v>0</v>
      </c>
      <c r="J444" s="366">
        <f>+J71-J268</f>
        <v>0</v>
      </c>
      <c r="K444" s="366">
        <f>+K69-K268</f>
        <v>0</v>
      </c>
      <c r="L444" s="366">
        <f>+L71-L268</f>
        <v>0</v>
      </c>
      <c r="M444" s="446">
        <f>+M69-M268</f>
        <v>0</v>
      </c>
      <c r="N444" s="446">
        <f>+N71-N268</f>
        <v>0</v>
      </c>
      <c r="O444" s="366">
        <f>+O69-O268</f>
        <v>0</v>
      </c>
      <c r="P444" s="366">
        <f>+P71-P268</f>
        <v>0</v>
      </c>
      <c r="Q444" s="366">
        <f>+Q69-Q268</f>
        <v>0</v>
      </c>
      <c r="R444" s="366">
        <f>+R71-R268</f>
        <v>0</v>
      </c>
      <c r="S444" s="366">
        <f>+S69-S268</f>
        <v>0</v>
      </c>
      <c r="T444" s="366">
        <f>+T71-T268</f>
        <v>0</v>
      </c>
      <c r="U444" s="366">
        <f>+U69-U268</f>
        <v>0</v>
      </c>
      <c r="V444" s="366">
        <f>+V71-V268</f>
        <v>0</v>
      </c>
      <c r="W444" s="366">
        <f>+W69-W268</f>
        <v>0</v>
      </c>
      <c r="X444" s="366">
        <f>+X71-X268</f>
        <v>0</v>
      </c>
      <c r="Y444" s="446">
        <f>+Y69-Y268</f>
        <v>0</v>
      </c>
      <c r="Z444" s="446">
        <f>+Z71-Z268</f>
        <v>0</v>
      </c>
      <c r="AA444" s="366">
        <f>+AA69-AA268</f>
        <v>0</v>
      </c>
      <c r="AB444" s="366">
        <f>+AB71-AB268</f>
        <v>0</v>
      </c>
      <c r="AC444" s="366">
        <f>+AC69-AC268</f>
        <v>0</v>
      </c>
      <c r="AD444" s="366">
        <f>+AD71-AD268</f>
        <v>0</v>
      </c>
      <c r="AE444" s="366">
        <f>+AE69-AE268</f>
        <v>0</v>
      </c>
      <c r="AF444" s="366">
        <f>+AF71-AF268</f>
        <v>0</v>
      </c>
      <c r="AG444" s="366">
        <f>+AG69-AG268</f>
        <v>0</v>
      </c>
      <c r="AH444" s="366">
        <f>+AH71-AH268</f>
        <v>0</v>
      </c>
      <c r="AI444" s="366">
        <f>+AI69-AI268</f>
        <v>0</v>
      </c>
      <c r="AJ444" s="366">
        <f>+AJ71-AJ268</f>
        <v>0</v>
      </c>
      <c r="AK444" s="366">
        <f>+AK69-AK268</f>
        <v>0</v>
      </c>
      <c r="AL444" s="366">
        <f>+AL71-AL268</f>
        <v>0</v>
      </c>
      <c r="AM444" s="446">
        <f>+AM69-AM268</f>
        <v>0</v>
      </c>
      <c r="AN444" s="446">
        <f>+AN71-AN268</f>
        <v>0</v>
      </c>
      <c r="AO444" s="366">
        <f>+AO69-AO268</f>
        <v>0</v>
      </c>
      <c r="AP444" s="366">
        <f>+AP71-AP268</f>
        <v>0</v>
      </c>
      <c r="AQ444" s="366">
        <f>+AQ69-AQ268</f>
        <v>0</v>
      </c>
      <c r="AR444" s="366">
        <f>+AR71-AR268</f>
        <v>0</v>
      </c>
      <c r="AS444" s="366">
        <f>+AS69-AS268</f>
        <v>0</v>
      </c>
      <c r="AT444" s="366">
        <f>+AT71-AT268</f>
        <v>0</v>
      </c>
      <c r="AU444" s="366">
        <f>+AU69-AU268</f>
        <v>0</v>
      </c>
      <c r="AV444" s="366">
        <f>+AV71-AV268</f>
        <v>0</v>
      </c>
      <c r="AW444" s="366">
        <f>+AW69-AW268</f>
        <v>0</v>
      </c>
      <c r="AX444" s="366">
        <f>+AX71-AX268</f>
        <v>0</v>
      </c>
      <c r="AY444" s="366">
        <f>+AY69-AY268</f>
        <v>0</v>
      </c>
      <c r="AZ444" s="366">
        <f>+AZ71-AZ268</f>
        <v>0</v>
      </c>
      <c r="BA444" s="446">
        <f>+BA69-BA268</f>
        <v>0</v>
      </c>
      <c r="BB444" s="446">
        <f>+BB71-BB268</f>
        <v>0</v>
      </c>
      <c r="BC444" s="366">
        <f>+BC69-BC268</f>
        <v>0</v>
      </c>
      <c r="BD444" s="366">
        <f>+BD71-BD268</f>
        <v>0</v>
      </c>
      <c r="BE444" s="366">
        <f>+BE69-BE268</f>
        <v>0</v>
      </c>
      <c r="BF444" s="366">
        <f>+BF71-BF268</f>
        <v>0</v>
      </c>
      <c r="BG444" s="4590"/>
      <c r="BH444" s="4590"/>
      <c r="BI444" s="4590"/>
      <c r="BJ444" s="4590"/>
    </row>
    <row r="445" spans="1:62" ht="15" hidden="1" customHeight="1" x14ac:dyDescent="0.25">
      <c r="A445" s="154"/>
      <c r="B445" s="7542"/>
      <c r="C445" s="271"/>
      <c r="D445" s="271"/>
      <c r="E445" s="366">
        <f t="shared" ref="E445:AJ445" si="602">+E19-E268</f>
        <v>0</v>
      </c>
      <c r="F445" s="366">
        <f t="shared" si="602"/>
        <v>0</v>
      </c>
      <c r="G445" s="366">
        <f t="shared" ref="G445:H445" si="603">+G19-G268</f>
        <v>0</v>
      </c>
      <c r="H445" s="366">
        <f t="shared" si="603"/>
        <v>0</v>
      </c>
      <c r="I445" s="366">
        <f t="shared" si="602"/>
        <v>0</v>
      </c>
      <c r="J445" s="366">
        <f t="shared" si="602"/>
        <v>0</v>
      </c>
      <c r="K445" s="366">
        <f t="shared" si="602"/>
        <v>0</v>
      </c>
      <c r="L445" s="366">
        <f t="shared" si="602"/>
        <v>0</v>
      </c>
      <c r="M445" s="446">
        <f t="shared" si="602"/>
        <v>0</v>
      </c>
      <c r="N445" s="446">
        <f t="shared" si="602"/>
        <v>0</v>
      </c>
      <c r="O445" s="366">
        <f t="shared" si="602"/>
        <v>0</v>
      </c>
      <c r="P445" s="366">
        <f t="shared" si="602"/>
        <v>0</v>
      </c>
      <c r="Q445" s="366">
        <f t="shared" si="602"/>
        <v>0</v>
      </c>
      <c r="R445" s="366">
        <f t="shared" si="602"/>
        <v>0</v>
      </c>
      <c r="S445" s="366">
        <f t="shared" si="602"/>
        <v>0</v>
      </c>
      <c r="T445" s="366">
        <f t="shared" si="602"/>
        <v>0</v>
      </c>
      <c r="U445" s="366">
        <f t="shared" si="602"/>
        <v>0</v>
      </c>
      <c r="V445" s="366">
        <f t="shared" si="602"/>
        <v>0</v>
      </c>
      <c r="W445" s="366">
        <f t="shared" si="602"/>
        <v>0</v>
      </c>
      <c r="X445" s="366">
        <f t="shared" si="602"/>
        <v>0</v>
      </c>
      <c r="Y445" s="446">
        <f t="shared" si="602"/>
        <v>0</v>
      </c>
      <c r="Z445" s="446">
        <f t="shared" si="602"/>
        <v>0</v>
      </c>
      <c r="AA445" s="366">
        <f t="shared" si="602"/>
        <v>0</v>
      </c>
      <c r="AB445" s="366">
        <f t="shared" si="602"/>
        <v>0</v>
      </c>
      <c r="AC445" s="366">
        <f t="shared" si="602"/>
        <v>0</v>
      </c>
      <c r="AD445" s="366">
        <f t="shared" si="602"/>
        <v>0</v>
      </c>
      <c r="AE445" s="366">
        <f t="shared" si="602"/>
        <v>0</v>
      </c>
      <c r="AF445" s="366">
        <f t="shared" si="602"/>
        <v>0</v>
      </c>
      <c r="AG445" s="366">
        <f t="shared" si="602"/>
        <v>0</v>
      </c>
      <c r="AH445" s="366">
        <f t="shared" si="602"/>
        <v>0</v>
      </c>
      <c r="AI445" s="366">
        <f t="shared" si="602"/>
        <v>0</v>
      </c>
      <c r="AJ445" s="366">
        <f t="shared" si="602"/>
        <v>0</v>
      </c>
      <c r="AK445" s="366">
        <f t="shared" ref="AK445:BF445" si="604">+AK19-AK268</f>
        <v>0</v>
      </c>
      <c r="AL445" s="366">
        <f t="shared" si="604"/>
        <v>0</v>
      </c>
      <c r="AM445" s="446">
        <f t="shared" si="604"/>
        <v>0</v>
      </c>
      <c r="AN445" s="446">
        <f t="shared" si="604"/>
        <v>0</v>
      </c>
      <c r="AO445" s="366">
        <f t="shared" si="604"/>
        <v>0</v>
      </c>
      <c r="AP445" s="366">
        <f t="shared" si="604"/>
        <v>0</v>
      </c>
      <c r="AQ445" s="366">
        <f t="shared" si="604"/>
        <v>0</v>
      </c>
      <c r="AR445" s="366">
        <f t="shared" si="604"/>
        <v>0</v>
      </c>
      <c r="AS445" s="366">
        <f t="shared" si="604"/>
        <v>0</v>
      </c>
      <c r="AT445" s="366">
        <f t="shared" si="604"/>
        <v>0</v>
      </c>
      <c r="AU445" s="366">
        <f t="shared" si="604"/>
        <v>0</v>
      </c>
      <c r="AV445" s="366">
        <f t="shared" si="604"/>
        <v>0</v>
      </c>
      <c r="AW445" s="366">
        <f t="shared" si="604"/>
        <v>0</v>
      </c>
      <c r="AX445" s="366">
        <f t="shared" si="604"/>
        <v>0</v>
      </c>
      <c r="AY445" s="366">
        <f t="shared" ref="AY445:AZ445" si="605">+AY19-AY268</f>
        <v>0</v>
      </c>
      <c r="AZ445" s="366">
        <f t="shared" si="605"/>
        <v>0</v>
      </c>
      <c r="BA445" s="446">
        <f t="shared" si="604"/>
        <v>0</v>
      </c>
      <c r="BB445" s="446">
        <f t="shared" si="604"/>
        <v>0</v>
      </c>
      <c r="BC445" s="366">
        <f t="shared" si="604"/>
        <v>0</v>
      </c>
      <c r="BD445" s="366">
        <f t="shared" si="604"/>
        <v>0</v>
      </c>
      <c r="BE445" s="366">
        <f t="shared" si="604"/>
        <v>0</v>
      </c>
      <c r="BF445" s="366">
        <f t="shared" si="604"/>
        <v>0</v>
      </c>
      <c r="BG445" s="4590"/>
      <c r="BH445" s="4590"/>
      <c r="BI445" s="4590"/>
      <c r="BJ445" s="4590"/>
    </row>
    <row r="446" spans="1:62" ht="15" hidden="1" customHeight="1" x14ac:dyDescent="0.25">
      <c r="A446" s="154"/>
      <c r="B446" s="7542"/>
      <c r="C446" s="271"/>
      <c r="D446" s="271"/>
      <c r="E446" s="900"/>
      <c r="F446" s="366">
        <f>+F16-F273</f>
        <v>0</v>
      </c>
      <c r="G446" s="900"/>
      <c r="H446" s="366">
        <f>+H16-H273</f>
        <v>0</v>
      </c>
      <c r="I446" s="900"/>
      <c r="J446" s="366">
        <f>+J16-J273</f>
        <v>0</v>
      </c>
      <c r="K446" s="900"/>
      <c r="L446" s="366">
        <f>+L16-L273</f>
        <v>0</v>
      </c>
      <c r="M446" s="645"/>
      <c r="N446" s="366">
        <f>+N16-N273</f>
        <v>0</v>
      </c>
      <c r="O446" s="900"/>
      <c r="P446" s="366">
        <f>+P16-P273</f>
        <v>0</v>
      </c>
      <c r="Q446" s="900"/>
      <c r="R446" s="366">
        <f>+R16-R273</f>
        <v>0</v>
      </c>
      <c r="S446" s="900"/>
      <c r="T446" s="366">
        <f>+T16-T273</f>
        <v>0</v>
      </c>
      <c r="U446" s="900"/>
      <c r="V446" s="366">
        <f>+V16-V273</f>
        <v>0</v>
      </c>
      <c r="W446" s="900"/>
      <c r="X446" s="366">
        <f>+X16-X273</f>
        <v>0</v>
      </c>
      <c r="Y446" s="645"/>
      <c r="Z446" s="366">
        <f>+Z16-Z273</f>
        <v>0</v>
      </c>
      <c r="AA446" s="900"/>
      <c r="AB446" s="366">
        <f>+AB16-AB273</f>
        <v>0</v>
      </c>
      <c r="AC446" s="900"/>
      <c r="AD446" s="366">
        <f>+AD16-AD273</f>
        <v>0</v>
      </c>
      <c r="AE446" s="900"/>
      <c r="AF446" s="366">
        <f>+AF16-AF273</f>
        <v>0</v>
      </c>
      <c r="AG446" s="900"/>
      <c r="AH446" s="366">
        <f>+AH16-AH273</f>
        <v>0</v>
      </c>
      <c r="AI446" s="900"/>
      <c r="AJ446" s="366">
        <f>+AJ16-AJ273</f>
        <v>0</v>
      </c>
      <c r="AK446" s="900"/>
      <c r="AL446" s="366">
        <f>+AL16-AL273</f>
        <v>0</v>
      </c>
      <c r="AM446" s="645"/>
      <c r="AN446" s="366">
        <f>+AN16-AN273</f>
        <v>0</v>
      </c>
      <c r="AO446" s="900"/>
      <c r="AP446" s="366">
        <f>+AP16-AP273</f>
        <v>0</v>
      </c>
      <c r="AQ446" s="900"/>
      <c r="AR446" s="366">
        <f>+AR16-AR273</f>
        <v>0</v>
      </c>
      <c r="AS446" s="900"/>
      <c r="AT446" s="366">
        <f>+AT16-AT273</f>
        <v>0</v>
      </c>
      <c r="AU446" s="900"/>
      <c r="AV446" s="366">
        <f>+AV16-AV273</f>
        <v>0</v>
      </c>
      <c r="AW446" s="900"/>
      <c r="AX446" s="366">
        <f>+AX16-AX273</f>
        <v>0</v>
      </c>
      <c r="AY446" s="900"/>
      <c r="AZ446" s="366">
        <f>+AZ16-AZ273</f>
        <v>0</v>
      </c>
      <c r="BA446" s="645"/>
      <c r="BB446" s="446">
        <f>+BB16-BB273</f>
        <v>0</v>
      </c>
      <c r="BC446" s="900"/>
      <c r="BD446" s="366">
        <f>+BD16-BD273</f>
        <v>0</v>
      </c>
      <c r="BE446" s="900"/>
      <c r="BF446" s="366">
        <f>+BF16-BF273</f>
        <v>0</v>
      </c>
      <c r="BG446" s="4590"/>
      <c r="BH446" s="4590"/>
      <c r="BI446" s="4590"/>
      <c r="BJ446" s="4590"/>
    </row>
    <row r="447" spans="1:62" ht="15" hidden="1" customHeight="1" x14ac:dyDescent="0.25">
      <c r="A447" s="154"/>
      <c r="B447" s="7542" t="s">
        <v>1145</v>
      </c>
      <c r="C447" s="642"/>
      <c r="D447" s="642"/>
      <c r="E447" s="397">
        <f>+E26-E73</f>
        <v>0</v>
      </c>
      <c r="F447" s="397">
        <f>+F26-F75</f>
        <v>0</v>
      </c>
      <c r="G447" s="397">
        <f>+G26-G73</f>
        <v>0</v>
      </c>
      <c r="H447" s="397">
        <f>+H26-H75</f>
        <v>0</v>
      </c>
      <c r="I447" s="397">
        <f>+I26-I73</f>
        <v>0</v>
      </c>
      <c r="J447" s="397">
        <f>+J26-J75</f>
        <v>0</v>
      </c>
      <c r="K447" s="397">
        <f>+K26-K73</f>
        <v>0</v>
      </c>
      <c r="L447" s="397">
        <f>+L26-L75</f>
        <v>0</v>
      </c>
      <c r="M447" s="446">
        <f>+M26-M73</f>
        <v>0</v>
      </c>
      <c r="N447" s="446">
        <f>+N26-N75</f>
        <v>0</v>
      </c>
      <c r="O447" s="397">
        <f>+O26-O73</f>
        <v>0</v>
      </c>
      <c r="P447" s="397">
        <f>+P26-P75</f>
        <v>0</v>
      </c>
      <c r="Q447" s="397">
        <f>+Q26-Q73</f>
        <v>0</v>
      </c>
      <c r="R447" s="397">
        <f>+R26-R75</f>
        <v>0</v>
      </c>
      <c r="S447" s="397">
        <f>+S26-S73</f>
        <v>0</v>
      </c>
      <c r="T447" s="397">
        <f>+T26-T75</f>
        <v>0</v>
      </c>
      <c r="U447" s="397">
        <f>+U26-U73</f>
        <v>0</v>
      </c>
      <c r="V447" s="397">
        <f>+V26-V75</f>
        <v>0</v>
      </c>
      <c r="W447" s="397">
        <f>+W26-W73</f>
        <v>0</v>
      </c>
      <c r="X447" s="397">
        <f>+X26-X75</f>
        <v>0</v>
      </c>
      <c r="Y447" s="446">
        <f>+Y26-Y73</f>
        <v>0</v>
      </c>
      <c r="Z447" s="446">
        <f>+Z26-Z75</f>
        <v>0</v>
      </c>
      <c r="AA447" s="397">
        <f>+AA26-AA73</f>
        <v>0</v>
      </c>
      <c r="AB447" s="397">
        <f>+AB26-AB75</f>
        <v>0</v>
      </c>
      <c r="AC447" s="397">
        <f>+AC26-AC73</f>
        <v>0</v>
      </c>
      <c r="AD447" s="397">
        <f>+AD26-AD75</f>
        <v>0</v>
      </c>
      <c r="AE447" s="397">
        <f>+AE26-AE73</f>
        <v>0</v>
      </c>
      <c r="AF447" s="397">
        <f>+AF26-AF75</f>
        <v>0</v>
      </c>
      <c r="AG447" s="397">
        <f>+AG26-AG73</f>
        <v>0</v>
      </c>
      <c r="AH447" s="397">
        <f>+AH26-AH75</f>
        <v>0</v>
      </c>
      <c r="AI447" s="397">
        <f>+AI26-AI73</f>
        <v>0</v>
      </c>
      <c r="AJ447" s="397">
        <f>+AJ26-AJ75</f>
        <v>0</v>
      </c>
      <c r="AK447" s="397">
        <f>+AK26-AK73</f>
        <v>0</v>
      </c>
      <c r="AL447" s="397">
        <f>+AL26-AL75</f>
        <v>0</v>
      </c>
      <c r="AM447" s="446">
        <f>+AM26-AM73</f>
        <v>0</v>
      </c>
      <c r="AN447" s="446">
        <f>+AN26-AN75</f>
        <v>0</v>
      </c>
      <c r="AO447" s="397">
        <f>+AO26-AO73</f>
        <v>0</v>
      </c>
      <c r="AP447" s="397">
        <f>+AP26-AP75</f>
        <v>0</v>
      </c>
      <c r="AQ447" s="397">
        <f>+AQ26-AQ73</f>
        <v>0</v>
      </c>
      <c r="AR447" s="397">
        <f>+AR26-AR75</f>
        <v>0</v>
      </c>
      <c r="AS447" s="397">
        <f>+AS26-AS73</f>
        <v>0</v>
      </c>
      <c r="AT447" s="397">
        <f>+AT26-AT75</f>
        <v>0</v>
      </c>
      <c r="AU447" s="397">
        <f>+AU26-AU73</f>
        <v>0</v>
      </c>
      <c r="AV447" s="397">
        <f>+AV26-AV75</f>
        <v>0</v>
      </c>
      <c r="AW447" s="397">
        <f>+AW26-AW73</f>
        <v>0</v>
      </c>
      <c r="AX447" s="397">
        <f>+AX26-AX75</f>
        <v>0</v>
      </c>
      <c r="AY447" s="397">
        <f>+AY26-AY73</f>
        <v>0</v>
      </c>
      <c r="AZ447" s="397">
        <f>+AZ26-AZ75</f>
        <v>0</v>
      </c>
      <c r="BA447" s="446">
        <f>+BA26-BA73</f>
        <v>0</v>
      </c>
      <c r="BB447" s="446">
        <f>+BB26-BB75</f>
        <v>0</v>
      </c>
      <c r="BC447" s="397">
        <f>+BC26-BC73</f>
        <v>0</v>
      </c>
      <c r="BD447" s="397">
        <f>+BD26-BD75</f>
        <v>0</v>
      </c>
      <c r="BE447" s="397">
        <f>+BE26-BE73</f>
        <v>0</v>
      </c>
      <c r="BF447" s="397">
        <f>+BF26-BF75</f>
        <v>0</v>
      </c>
      <c r="BG447" s="4590"/>
      <c r="BH447" s="4590"/>
      <c r="BI447" s="4590"/>
      <c r="BJ447" s="4590"/>
    </row>
    <row r="448" spans="1:62" ht="15" hidden="1" customHeight="1" x14ac:dyDescent="0.25">
      <c r="A448" s="154"/>
      <c r="B448" s="7542"/>
      <c r="C448" s="642"/>
      <c r="D448" s="642"/>
      <c r="E448" s="397">
        <f>+E73-E357</f>
        <v>0</v>
      </c>
      <c r="F448" s="397">
        <f>+F75-F357</f>
        <v>0</v>
      </c>
      <c r="G448" s="397">
        <f>+G73-G357</f>
        <v>0</v>
      </c>
      <c r="H448" s="397">
        <f>+H75-H357</f>
        <v>0</v>
      </c>
      <c r="I448" s="397">
        <f>+I73-I357</f>
        <v>0</v>
      </c>
      <c r="J448" s="397">
        <f>+J75-J357</f>
        <v>0</v>
      </c>
      <c r="K448" s="397">
        <f>+K73-K357</f>
        <v>0</v>
      </c>
      <c r="L448" s="397">
        <f>+L75-L357</f>
        <v>0</v>
      </c>
      <c r="M448" s="446">
        <f>+M73-M357</f>
        <v>0</v>
      </c>
      <c r="N448" s="446">
        <f>+N75-N357</f>
        <v>0</v>
      </c>
      <c r="O448" s="397">
        <f>+O73-O357</f>
        <v>0</v>
      </c>
      <c r="P448" s="397">
        <f>+P75-P357</f>
        <v>0</v>
      </c>
      <c r="Q448" s="397">
        <f>+Q73-Q357</f>
        <v>0</v>
      </c>
      <c r="R448" s="397">
        <f>+R75-R357</f>
        <v>0</v>
      </c>
      <c r="S448" s="397">
        <f>+S73-S357</f>
        <v>0</v>
      </c>
      <c r="T448" s="397">
        <f>+T75-T357</f>
        <v>0</v>
      </c>
      <c r="U448" s="397">
        <f>+U73-U357</f>
        <v>0</v>
      </c>
      <c r="V448" s="397">
        <f>+V75-V357</f>
        <v>0</v>
      </c>
      <c r="W448" s="397">
        <f>+W73-W357</f>
        <v>0</v>
      </c>
      <c r="X448" s="397">
        <f>+X75-X357</f>
        <v>0</v>
      </c>
      <c r="Y448" s="446">
        <f>+Y73-Y357</f>
        <v>0</v>
      </c>
      <c r="Z448" s="446">
        <f>+Z75-Z357</f>
        <v>0</v>
      </c>
      <c r="AA448" s="397">
        <f>+AA73-AA357</f>
        <v>0</v>
      </c>
      <c r="AB448" s="397">
        <f>+AB75-AB357</f>
        <v>0</v>
      </c>
      <c r="AC448" s="397">
        <f>+AC73-AC357</f>
        <v>0</v>
      </c>
      <c r="AD448" s="397">
        <f>+AD75-AD357</f>
        <v>0</v>
      </c>
      <c r="AE448" s="397">
        <f>+AE73-AE357</f>
        <v>0</v>
      </c>
      <c r="AF448" s="397">
        <f>+AF75-AF357</f>
        <v>0</v>
      </c>
      <c r="AG448" s="397">
        <f>+AG73-AG357</f>
        <v>0</v>
      </c>
      <c r="AH448" s="397">
        <f>+AH75-AH357</f>
        <v>0</v>
      </c>
      <c r="AI448" s="397">
        <f>+AI73-AI357</f>
        <v>0</v>
      </c>
      <c r="AJ448" s="397">
        <f>+AJ75-AJ357</f>
        <v>0</v>
      </c>
      <c r="AK448" s="397">
        <f>+AK73-AK357</f>
        <v>0</v>
      </c>
      <c r="AL448" s="397">
        <f>+AL75-AL357</f>
        <v>0</v>
      </c>
      <c r="AM448" s="446">
        <f>+AM73-AM357</f>
        <v>0</v>
      </c>
      <c r="AN448" s="446">
        <f>+AN75-AN357</f>
        <v>0</v>
      </c>
      <c r="AO448" s="397">
        <f>+AO73-AO357</f>
        <v>0</v>
      </c>
      <c r="AP448" s="397">
        <f>+AP75-AP357</f>
        <v>0</v>
      </c>
      <c r="AQ448" s="397">
        <f>+AQ73-AQ357</f>
        <v>0</v>
      </c>
      <c r="AR448" s="397">
        <f>+AR75-AR357</f>
        <v>0</v>
      </c>
      <c r="AS448" s="397">
        <f>+AS73-AS357</f>
        <v>0</v>
      </c>
      <c r="AT448" s="397">
        <f>+AT75-AT357</f>
        <v>0</v>
      </c>
      <c r="AU448" s="397">
        <f>+AU73-AU357</f>
        <v>0</v>
      </c>
      <c r="AV448" s="397">
        <f>+AV75-AV357</f>
        <v>0</v>
      </c>
      <c r="AW448" s="397">
        <f>+AW73-AW357</f>
        <v>0</v>
      </c>
      <c r="AX448" s="397">
        <f>+AX75-AX357</f>
        <v>0</v>
      </c>
      <c r="AY448" s="397">
        <f>+AY73-AY357</f>
        <v>0</v>
      </c>
      <c r="AZ448" s="397">
        <f>+AZ75-AZ357</f>
        <v>0</v>
      </c>
      <c r="BA448" s="446">
        <f>+BA73-BA357</f>
        <v>0</v>
      </c>
      <c r="BB448" s="446">
        <f>+BB75-BB357</f>
        <v>0</v>
      </c>
      <c r="BC448" s="397">
        <f>+BC73-BC357</f>
        <v>0</v>
      </c>
      <c r="BD448" s="397">
        <f>+BD75-BD357</f>
        <v>0</v>
      </c>
      <c r="BE448" s="397">
        <f>+BE73-BE357</f>
        <v>0</v>
      </c>
      <c r="BF448" s="397">
        <f>+BF75-BF357</f>
        <v>0</v>
      </c>
      <c r="BG448" s="4590"/>
      <c r="BH448" s="4590"/>
      <c r="BI448" s="4590"/>
      <c r="BJ448" s="4590"/>
    </row>
    <row r="449" spans="1:62" ht="15" hidden="1" customHeight="1" x14ac:dyDescent="0.25">
      <c r="A449" s="154"/>
      <c r="B449" s="7542"/>
      <c r="C449" s="642"/>
      <c r="D449" s="642"/>
      <c r="E449" s="397">
        <f>E26-E357</f>
        <v>0</v>
      </c>
      <c r="F449" s="397">
        <f>+F26-F357</f>
        <v>0</v>
      </c>
      <c r="G449" s="397">
        <f>G26-G357</f>
        <v>0</v>
      </c>
      <c r="H449" s="397">
        <f>+H26-H357</f>
        <v>0</v>
      </c>
      <c r="I449" s="397">
        <f>I26-I357</f>
        <v>0</v>
      </c>
      <c r="J449" s="397">
        <f>+J26-J357</f>
        <v>0</v>
      </c>
      <c r="K449" s="397">
        <f>K26-K357</f>
        <v>0</v>
      </c>
      <c r="L449" s="397">
        <f>+L26-L357</f>
        <v>0</v>
      </c>
      <c r="M449" s="446">
        <f>M26-M357</f>
        <v>0</v>
      </c>
      <c r="N449" s="446">
        <f>+N26-N357</f>
        <v>0</v>
      </c>
      <c r="O449" s="397">
        <f>O26-O357</f>
        <v>0</v>
      </c>
      <c r="P449" s="397">
        <f>+P26-P357</f>
        <v>0</v>
      </c>
      <c r="Q449" s="397">
        <f>Q26-Q357</f>
        <v>0</v>
      </c>
      <c r="R449" s="397">
        <f>+R26-R357</f>
        <v>0</v>
      </c>
      <c r="S449" s="397">
        <f>S26-S357</f>
        <v>0</v>
      </c>
      <c r="T449" s="397">
        <f>+T26-T357</f>
        <v>0</v>
      </c>
      <c r="U449" s="397">
        <f>U26-U357</f>
        <v>0</v>
      </c>
      <c r="V449" s="397">
        <f>+V26-V357</f>
        <v>0</v>
      </c>
      <c r="W449" s="397">
        <f>W26-W357</f>
        <v>0</v>
      </c>
      <c r="X449" s="397">
        <f>+X26-X357</f>
        <v>0</v>
      </c>
      <c r="Y449" s="446">
        <f>Y26-Y357</f>
        <v>0</v>
      </c>
      <c r="Z449" s="446">
        <f>+Z26-Z357</f>
        <v>0</v>
      </c>
      <c r="AA449" s="397">
        <f>AA26-AA357</f>
        <v>0</v>
      </c>
      <c r="AB449" s="397">
        <f>+AB26-AB357</f>
        <v>0</v>
      </c>
      <c r="AC449" s="397">
        <f>AC26-AC357</f>
        <v>0</v>
      </c>
      <c r="AD449" s="397">
        <f>+AD26-AD357</f>
        <v>0</v>
      </c>
      <c r="AE449" s="397">
        <f>AE26-AE357</f>
        <v>0</v>
      </c>
      <c r="AF449" s="397">
        <f>+AF26-AF357</f>
        <v>0</v>
      </c>
      <c r="AG449" s="397">
        <f>AG26-AG357</f>
        <v>0</v>
      </c>
      <c r="AH449" s="397">
        <f>+AH26-AH357</f>
        <v>0</v>
      </c>
      <c r="AI449" s="397">
        <f>AI26-AI357</f>
        <v>0</v>
      </c>
      <c r="AJ449" s="397">
        <f>+AJ26-AJ357</f>
        <v>0</v>
      </c>
      <c r="AK449" s="397">
        <f>AK26-AK357</f>
        <v>0</v>
      </c>
      <c r="AL449" s="397">
        <f>+AL26-AL357</f>
        <v>0</v>
      </c>
      <c r="AM449" s="446">
        <f>AM26-AM357</f>
        <v>0</v>
      </c>
      <c r="AN449" s="446">
        <f>+AN26-AN357</f>
        <v>0</v>
      </c>
      <c r="AO449" s="397">
        <f>AO26-AO357</f>
        <v>0</v>
      </c>
      <c r="AP449" s="397">
        <f>+AP26-AP357</f>
        <v>0</v>
      </c>
      <c r="AQ449" s="397">
        <f>AQ26-AQ357</f>
        <v>0</v>
      </c>
      <c r="AR449" s="397">
        <f>+AR26-AR357</f>
        <v>0</v>
      </c>
      <c r="AS449" s="397">
        <f>AS26-AS357</f>
        <v>0</v>
      </c>
      <c r="AT449" s="397">
        <f>+AT26-AT357</f>
        <v>0</v>
      </c>
      <c r="AU449" s="397">
        <f>AU26-AU357</f>
        <v>0</v>
      </c>
      <c r="AV449" s="397">
        <f>+AV26-AV357</f>
        <v>0</v>
      </c>
      <c r="AW449" s="397">
        <f>AW26-AW357</f>
        <v>0</v>
      </c>
      <c r="AX449" s="397">
        <f>+AX26-AX357</f>
        <v>0</v>
      </c>
      <c r="AY449" s="397">
        <f>AY26-AY357</f>
        <v>0</v>
      </c>
      <c r="AZ449" s="397">
        <f>+AZ26-AZ357</f>
        <v>0</v>
      </c>
      <c r="BA449" s="446">
        <f>BA26-BA357</f>
        <v>0</v>
      </c>
      <c r="BB449" s="446">
        <f>+BB26-BB357</f>
        <v>0</v>
      </c>
      <c r="BC449" s="397">
        <f>BC26-BC357</f>
        <v>0</v>
      </c>
      <c r="BD449" s="397">
        <f>+BD26-BD357</f>
        <v>0</v>
      </c>
      <c r="BE449" s="397">
        <f>BE26-BE357</f>
        <v>0</v>
      </c>
      <c r="BF449" s="397">
        <f>+BF26-BF357</f>
        <v>0</v>
      </c>
      <c r="BG449" s="4590"/>
      <c r="BH449" s="4590"/>
      <c r="BI449" s="4590"/>
      <c r="BJ449" s="4590"/>
    </row>
    <row r="450" spans="1:62" ht="15" hidden="1" customHeight="1" x14ac:dyDescent="0.25">
      <c r="A450" s="154"/>
      <c r="B450" s="7542"/>
      <c r="C450" s="642"/>
      <c r="D450" s="642"/>
      <c r="E450" s="840"/>
      <c r="F450" s="397">
        <f>+F23-F372</f>
        <v>0</v>
      </c>
      <c r="G450" s="840"/>
      <c r="H450" s="397">
        <f>+H23-H372</f>
        <v>0</v>
      </c>
      <c r="I450" s="840"/>
      <c r="J450" s="397">
        <f>+J23-J372</f>
        <v>0</v>
      </c>
      <c r="K450" s="840"/>
      <c r="L450" s="397">
        <f>+L23-L372</f>
        <v>0</v>
      </c>
      <c r="M450" s="645"/>
      <c r="N450" s="446">
        <f>+N23-N372</f>
        <v>0</v>
      </c>
      <c r="O450" s="840"/>
      <c r="P450" s="397">
        <f>+P23-P372</f>
        <v>0</v>
      </c>
      <c r="Q450" s="840"/>
      <c r="R450" s="397">
        <f>+R23-R372</f>
        <v>0</v>
      </c>
      <c r="S450" s="840"/>
      <c r="T450" s="397">
        <f>+T23-T372</f>
        <v>0</v>
      </c>
      <c r="U450" s="840"/>
      <c r="V450" s="397">
        <f>+V23-V372</f>
        <v>0</v>
      </c>
      <c r="W450" s="840"/>
      <c r="X450" s="397">
        <f>+X23-X372</f>
        <v>0</v>
      </c>
      <c r="Y450" s="645"/>
      <c r="Z450" s="446">
        <f>+Z23-Z372</f>
        <v>0</v>
      </c>
      <c r="AA450" s="840"/>
      <c r="AB450" s="397">
        <f>+AB23-AB372</f>
        <v>0</v>
      </c>
      <c r="AC450" s="840"/>
      <c r="AD450" s="397">
        <f>+AD23-AD372</f>
        <v>0</v>
      </c>
      <c r="AE450" s="840"/>
      <c r="AF450" s="397">
        <f>+AF23-AF372</f>
        <v>0</v>
      </c>
      <c r="AG450" s="840"/>
      <c r="AH450" s="397">
        <f>+AH23-AH372</f>
        <v>0</v>
      </c>
      <c r="AI450" s="840"/>
      <c r="AJ450" s="397">
        <f>+AJ23-AJ372</f>
        <v>0</v>
      </c>
      <c r="AK450" s="840"/>
      <c r="AL450" s="397">
        <f>+AL23-AL372</f>
        <v>0</v>
      </c>
      <c r="AM450" s="645"/>
      <c r="AN450" s="446">
        <f>+AN23-AN372</f>
        <v>0</v>
      </c>
      <c r="AO450" s="840"/>
      <c r="AP450" s="397">
        <f>+AP23-AP372</f>
        <v>0</v>
      </c>
      <c r="AQ450" s="840"/>
      <c r="AR450" s="397">
        <f>+AR23-AR372</f>
        <v>0</v>
      </c>
      <c r="AS450" s="840"/>
      <c r="AT450" s="397">
        <f>+AT23-AT372</f>
        <v>0</v>
      </c>
      <c r="AU450" s="840"/>
      <c r="AV450" s="397">
        <f>+AV23-AV372</f>
        <v>0</v>
      </c>
      <c r="AW450" s="840"/>
      <c r="AX450" s="397">
        <f>+AX23-AX372</f>
        <v>0</v>
      </c>
      <c r="AY450" s="840"/>
      <c r="AZ450" s="397">
        <f>+AZ23-AZ372</f>
        <v>0</v>
      </c>
      <c r="BA450" s="645"/>
      <c r="BB450" s="446">
        <f>+BB23-BB372</f>
        <v>0</v>
      </c>
      <c r="BC450" s="840"/>
      <c r="BD450" s="397">
        <f>+BD23-BD372</f>
        <v>0</v>
      </c>
      <c r="BE450" s="840"/>
      <c r="BF450" s="397">
        <f>+BF23-BF372</f>
        <v>0</v>
      </c>
      <c r="BG450" s="4590"/>
      <c r="BH450" s="4590"/>
      <c r="BI450" s="4590"/>
      <c r="BJ450" s="4590"/>
    </row>
    <row r="451" spans="1:62" ht="15" hidden="1" customHeight="1" x14ac:dyDescent="0.25">
      <c r="A451" s="154"/>
      <c r="B451" s="7542" t="s">
        <v>513</v>
      </c>
      <c r="C451" s="840"/>
      <c r="D451" s="840"/>
      <c r="E451" s="397">
        <f>+E33-E77</f>
        <v>0</v>
      </c>
      <c r="F451" s="397">
        <f>+F33-F79</f>
        <v>0</v>
      </c>
      <c r="G451" s="397">
        <f>+G33-G77</f>
        <v>0</v>
      </c>
      <c r="H451" s="397">
        <f>+H33-H79</f>
        <v>0</v>
      </c>
      <c r="I451" s="397">
        <f>+I33-I77</f>
        <v>0</v>
      </c>
      <c r="J451" s="397">
        <f>+J33-J79</f>
        <v>0</v>
      </c>
      <c r="K451" s="397">
        <f>+K33-K77</f>
        <v>0</v>
      </c>
      <c r="L451" s="397">
        <f>+L33-L79</f>
        <v>0</v>
      </c>
      <c r="M451" s="446">
        <f>+M33-M77</f>
        <v>0</v>
      </c>
      <c r="N451" s="446">
        <f>+N33-N79</f>
        <v>0</v>
      </c>
      <c r="O451" s="397">
        <f>+O33-O77</f>
        <v>0</v>
      </c>
      <c r="P451" s="397">
        <f>+P33-P79</f>
        <v>0</v>
      </c>
      <c r="Q451" s="397">
        <f>+Q33-Q77</f>
        <v>0</v>
      </c>
      <c r="R451" s="397">
        <f>+R33-R79</f>
        <v>0</v>
      </c>
      <c r="S451" s="397">
        <f>+S33-S77</f>
        <v>0</v>
      </c>
      <c r="T451" s="397">
        <f>+T33-T79</f>
        <v>0</v>
      </c>
      <c r="U451" s="397">
        <f>+U33-U77</f>
        <v>0</v>
      </c>
      <c r="V451" s="397">
        <f>+V33-V79</f>
        <v>0</v>
      </c>
      <c r="W451" s="397">
        <f>+W33-W77</f>
        <v>0</v>
      </c>
      <c r="X451" s="397">
        <f>+X33-X79</f>
        <v>0</v>
      </c>
      <c r="Y451" s="446">
        <f>+Y33-Y77</f>
        <v>0</v>
      </c>
      <c r="Z451" s="446">
        <f>+Z33-Z79</f>
        <v>0</v>
      </c>
      <c r="AA451" s="397">
        <f>+AA33-AA77</f>
        <v>0</v>
      </c>
      <c r="AB451" s="397">
        <f>+AB33-AB79</f>
        <v>0</v>
      </c>
      <c r="AC451" s="397">
        <f>+AC33-AC77</f>
        <v>0</v>
      </c>
      <c r="AD451" s="397">
        <f>+AD33-AD79</f>
        <v>-4.0000000008149073E-2</v>
      </c>
      <c r="AE451" s="397">
        <f>+AE33-AE77</f>
        <v>0</v>
      </c>
      <c r="AF451" s="397">
        <f>+AF33-AF79</f>
        <v>-4.0000000037252903E-2</v>
      </c>
      <c r="AG451" s="397">
        <f>+AG33-AG77</f>
        <v>0</v>
      </c>
      <c r="AH451" s="397">
        <f>+AH33-AH79</f>
        <v>0</v>
      </c>
      <c r="AI451" s="397">
        <f>+AI33-AI77</f>
        <v>0</v>
      </c>
      <c r="AJ451" s="397">
        <f>+AJ33-AJ79</f>
        <v>-4.0000000037252903E-2</v>
      </c>
      <c r="AK451" s="397">
        <f>+AK33-AK77</f>
        <v>0</v>
      </c>
      <c r="AL451" s="397">
        <f>+AL33-AL79</f>
        <v>0</v>
      </c>
      <c r="AM451" s="446">
        <f>+AM33-AM77</f>
        <v>0</v>
      </c>
      <c r="AN451" s="446">
        <f>+AN33-AN79</f>
        <v>-4.0000000022700988E-2</v>
      </c>
      <c r="AO451" s="397">
        <f>+AO33-AO77</f>
        <v>0</v>
      </c>
      <c r="AP451" s="397">
        <f>+AP33-AP79</f>
        <v>-4.0000000037252903E-2</v>
      </c>
      <c r="AQ451" s="397">
        <f>+AQ33-AQ77</f>
        <v>0</v>
      </c>
      <c r="AR451" s="397">
        <f>+AR33-AR79</f>
        <v>0.44000000000232831</v>
      </c>
      <c r="AS451" s="397">
        <f>+AS33-AS77</f>
        <v>0</v>
      </c>
      <c r="AT451" s="397">
        <f>+AT33-AT79</f>
        <v>0.3999999999650754</v>
      </c>
      <c r="AU451" s="397">
        <f>+AU33-AU77</f>
        <v>0</v>
      </c>
      <c r="AV451" s="397">
        <f>+AV33-AV79</f>
        <v>0</v>
      </c>
      <c r="AW451" s="397">
        <f>+AW33-AW77</f>
        <v>0</v>
      </c>
      <c r="AX451" s="397">
        <f>+AX33-AX79</f>
        <v>0.39999999990686774</v>
      </c>
      <c r="AY451" s="397">
        <f>+AY33-AY77</f>
        <v>0</v>
      </c>
      <c r="AZ451" s="397">
        <f>+AZ33-AZ79</f>
        <v>0</v>
      </c>
      <c r="BA451" s="446">
        <f>+BA33-BA77</f>
        <v>0</v>
      </c>
      <c r="BB451" s="446">
        <f>+BB33-BB79</f>
        <v>0.44000000000232831</v>
      </c>
      <c r="BC451" s="397">
        <f>+BC33-BC77</f>
        <v>0</v>
      </c>
      <c r="BD451" s="397">
        <f>+BD33-BD79</f>
        <v>0.40000000002328306</v>
      </c>
      <c r="BE451" s="397">
        <f>+BE33-BE77</f>
        <v>0</v>
      </c>
      <c r="BF451" s="397">
        <f>+BF33-BF79</f>
        <v>0.39999999990686774</v>
      </c>
      <c r="BG451" s="4590"/>
      <c r="BH451" s="4590"/>
      <c r="BI451" s="4590"/>
      <c r="BJ451" s="4590"/>
    </row>
    <row r="452" spans="1:62" ht="15" hidden="1" customHeight="1" x14ac:dyDescent="0.25">
      <c r="A452" s="154"/>
      <c r="B452" s="7542"/>
      <c r="C452" s="840"/>
      <c r="D452" s="840"/>
      <c r="E452" s="397">
        <f>+E77-E427</f>
        <v>0</v>
      </c>
      <c r="F452" s="397">
        <f>+F79-F427</f>
        <v>0</v>
      </c>
      <c r="G452" s="397">
        <f>+G77-G427</f>
        <v>0</v>
      </c>
      <c r="H452" s="397">
        <f>+H79-H427</f>
        <v>0</v>
      </c>
      <c r="I452" s="397">
        <f>+I77-I427</f>
        <v>0</v>
      </c>
      <c r="J452" s="397">
        <f>+J79-J427</f>
        <v>0</v>
      </c>
      <c r="K452" s="397">
        <f>+K77-K427</f>
        <v>0</v>
      </c>
      <c r="L452" s="397">
        <f>+L79-L427</f>
        <v>0</v>
      </c>
      <c r="M452" s="446">
        <f>+M77-M427</f>
        <v>0</v>
      </c>
      <c r="N452" s="446">
        <f>+N79-N427</f>
        <v>0</v>
      </c>
      <c r="O452" s="397">
        <f>+O77-O427</f>
        <v>0</v>
      </c>
      <c r="P452" s="397">
        <f>+P79-P427</f>
        <v>0</v>
      </c>
      <c r="Q452" s="397">
        <f>+Q77-Q427</f>
        <v>0</v>
      </c>
      <c r="R452" s="397">
        <f>+R79-R427</f>
        <v>0</v>
      </c>
      <c r="S452" s="397">
        <f>+S77-S427</f>
        <v>0</v>
      </c>
      <c r="T452" s="397">
        <f>+T79-T427</f>
        <v>0</v>
      </c>
      <c r="U452" s="397">
        <f>+U77-U427</f>
        <v>0</v>
      </c>
      <c r="V452" s="397">
        <f>+V79-V427</f>
        <v>0</v>
      </c>
      <c r="W452" s="397">
        <f>+W77-W427</f>
        <v>0</v>
      </c>
      <c r="X452" s="397">
        <f>+X79-X427</f>
        <v>0</v>
      </c>
      <c r="Y452" s="446">
        <f>+Y77-Y427</f>
        <v>0</v>
      </c>
      <c r="Z452" s="446">
        <f>+Z79-Z427</f>
        <v>0</v>
      </c>
      <c r="AA452" s="397">
        <f>+AA77-AA427</f>
        <v>0</v>
      </c>
      <c r="AB452" s="397">
        <f>+AB79-AB427</f>
        <v>0</v>
      </c>
      <c r="AC452" s="397">
        <f>+AC77-AC427</f>
        <v>0</v>
      </c>
      <c r="AD452" s="397">
        <f>+AD79-AD427</f>
        <v>0</v>
      </c>
      <c r="AE452" s="397">
        <f>+AE77-AE427</f>
        <v>0</v>
      </c>
      <c r="AF452" s="397">
        <f>+AF79-AF427</f>
        <v>0</v>
      </c>
      <c r="AG452" s="397">
        <f>+AG77-AG427</f>
        <v>0</v>
      </c>
      <c r="AH452" s="397">
        <f>+AH79-AH427</f>
        <v>-0.11999999999898137</v>
      </c>
      <c r="AI452" s="397">
        <f>+AI77-AI427</f>
        <v>0</v>
      </c>
      <c r="AJ452" s="397">
        <f>+AJ79-AJ427</f>
        <v>-0.11999999993713573</v>
      </c>
      <c r="AK452" s="397">
        <f>+AK77-AK427</f>
        <v>0</v>
      </c>
      <c r="AL452" s="397">
        <f>+AL79-AL427</f>
        <v>0</v>
      </c>
      <c r="AM452" s="446">
        <f>+AM77-AM427</f>
        <v>0</v>
      </c>
      <c r="AN452" s="446">
        <f>+AN79-AN427</f>
        <v>-0.11999999999534339</v>
      </c>
      <c r="AO452" s="397">
        <f>+AO77-AO427</f>
        <v>0</v>
      </c>
      <c r="AP452" s="397">
        <f>+AP79-AP427</f>
        <v>-0.11999999993713573</v>
      </c>
      <c r="AQ452" s="397">
        <f>+AQ77-AQ427</f>
        <v>0</v>
      </c>
      <c r="AR452" s="397">
        <f>+AR79-AR427</f>
        <v>-0.44000000000232831</v>
      </c>
      <c r="AS452" s="397">
        <f>+AS77-AS427</f>
        <v>0</v>
      </c>
      <c r="AT452" s="397">
        <f>+AT79-AT427</f>
        <v>-0.55999999993946403</v>
      </c>
      <c r="AU452" s="397">
        <f>+AU77-AU427</f>
        <v>0</v>
      </c>
      <c r="AV452" s="397">
        <f>+AV79-AV427</f>
        <v>0</v>
      </c>
      <c r="AW452" s="397">
        <f>+AW77-AW427</f>
        <v>0</v>
      </c>
      <c r="AX452" s="397">
        <f>+AX79-AX427</f>
        <v>-0.55999999993946403</v>
      </c>
      <c r="AY452" s="397">
        <f>+AY77-AY427</f>
        <v>0</v>
      </c>
      <c r="AZ452" s="397">
        <f>+AZ79-AZ427</f>
        <v>0</v>
      </c>
      <c r="BA452" s="446">
        <f>+BA77-BA427</f>
        <v>0</v>
      </c>
      <c r="BB452" s="446">
        <f>+BB79-BB427</f>
        <v>-0.43999999997322448</v>
      </c>
      <c r="BC452" s="397">
        <f>+BC77-BC427</f>
        <v>0</v>
      </c>
      <c r="BD452" s="397">
        <f>+BD79-BD427</f>
        <v>-0.55999999999767169</v>
      </c>
      <c r="BE452" s="397">
        <f>+BE77-BE427</f>
        <v>0</v>
      </c>
      <c r="BF452" s="397">
        <f>+BF79-BF427</f>
        <v>-0.55999999993946403</v>
      </c>
      <c r="BG452" s="4590"/>
      <c r="BH452" s="4590"/>
      <c r="BI452" s="4590"/>
      <c r="BJ452" s="4590"/>
    </row>
    <row r="453" spans="1:62" ht="15" hidden="1" customHeight="1" x14ac:dyDescent="0.25">
      <c r="A453" s="154"/>
      <c r="B453" s="7542"/>
      <c r="C453" s="840"/>
      <c r="D453" s="840"/>
      <c r="E453" s="397">
        <f t="shared" ref="E453:AJ453" si="606">+E33-E427</f>
        <v>0</v>
      </c>
      <c r="F453" s="397">
        <f t="shared" si="606"/>
        <v>0</v>
      </c>
      <c r="G453" s="397">
        <f t="shared" ref="G453:H453" si="607">+G33-G427</f>
        <v>0</v>
      </c>
      <c r="H453" s="397">
        <f t="shared" si="607"/>
        <v>0</v>
      </c>
      <c r="I453" s="397">
        <f t="shared" si="606"/>
        <v>0</v>
      </c>
      <c r="J453" s="397">
        <f t="shared" si="606"/>
        <v>0</v>
      </c>
      <c r="K453" s="397">
        <f t="shared" si="606"/>
        <v>0</v>
      </c>
      <c r="L453" s="397">
        <f t="shared" si="606"/>
        <v>0</v>
      </c>
      <c r="M453" s="446">
        <f t="shared" si="606"/>
        <v>0</v>
      </c>
      <c r="N453" s="446">
        <f t="shared" si="606"/>
        <v>0</v>
      </c>
      <c r="O453" s="397">
        <f t="shared" si="606"/>
        <v>0</v>
      </c>
      <c r="P453" s="397">
        <f t="shared" si="606"/>
        <v>0</v>
      </c>
      <c r="Q453" s="397">
        <f t="shared" si="606"/>
        <v>0</v>
      </c>
      <c r="R453" s="397">
        <f t="shared" si="606"/>
        <v>0</v>
      </c>
      <c r="S453" s="397">
        <f t="shared" si="606"/>
        <v>0</v>
      </c>
      <c r="T453" s="397">
        <f t="shared" si="606"/>
        <v>0</v>
      </c>
      <c r="U453" s="397">
        <f t="shared" si="606"/>
        <v>0</v>
      </c>
      <c r="V453" s="397">
        <f t="shared" si="606"/>
        <v>0</v>
      </c>
      <c r="W453" s="397">
        <f t="shared" si="606"/>
        <v>0</v>
      </c>
      <c r="X453" s="397">
        <f t="shared" si="606"/>
        <v>0</v>
      </c>
      <c r="Y453" s="446">
        <f t="shared" si="606"/>
        <v>0</v>
      </c>
      <c r="Z453" s="446">
        <f t="shared" si="606"/>
        <v>0</v>
      </c>
      <c r="AA453" s="397">
        <f t="shared" si="606"/>
        <v>0</v>
      </c>
      <c r="AB453" s="397">
        <f t="shared" si="606"/>
        <v>0</v>
      </c>
      <c r="AC453" s="397">
        <f t="shared" si="606"/>
        <v>0</v>
      </c>
      <c r="AD453" s="397">
        <f t="shared" si="606"/>
        <v>-4.0000000000873115E-2</v>
      </c>
      <c r="AE453" s="397">
        <f t="shared" si="606"/>
        <v>0</v>
      </c>
      <c r="AF453" s="397">
        <f t="shared" si="606"/>
        <v>-3.9999999979045242E-2</v>
      </c>
      <c r="AG453" s="397">
        <f t="shared" si="606"/>
        <v>0</v>
      </c>
      <c r="AH453" s="397">
        <f t="shared" si="606"/>
        <v>-0.11999999999898137</v>
      </c>
      <c r="AI453" s="397">
        <f t="shared" si="606"/>
        <v>0</v>
      </c>
      <c r="AJ453" s="397">
        <f t="shared" si="606"/>
        <v>-0.15999999997438863</v>
      </c>
      <c r="AK453" s="397">
        <f t="shared" ref="AK453:BF453" si="608">+AK33-AK427</f>
        <v>0</v>
      </c>
      <c r="AL453" s="397">
        <f t="shared" si="608"/>
        <v>0</v>
      </c>
      <c r="AM453" s="446">
        <f t="shared" si="608"/>
        <v>0</v>
      </c>
      <c r="AN453" s="446">
        <f t="shared" si="608"/>
        <v>-0.16000000001804437</v>
      </c>
      <c r="AO453" s="397">
        <f t="shared" si="608"/>
        <v>0</v>
      </c>
      <c r="AP453" s="397">
        <f t="shared" si="608"/>
        <v>-0.15999999997438863</v>
      </c>
      <c r="AQ453" s="397">
        <f t="shared" si="608"/>
        <v>0</v>
      </c>
      <c r="AR453" s="397">
        <f t="shared" si="608"/>
        <v>0</v>
      </c>
      <c r="AS453" s="397">
        <f t="shared" si="608"/>
        <v>0</v>
      </c>
      <c r="AT453" s="397">
        <f t="shared" si="608"/>
        <v>-0.15999999997438863</v>
      </c>
      <c r="AU453" s="397">
        <f t="shared" si="608"/>
        <v>0</v>
      </c>
      <c r="AV453" s="397">
        <f t="shared" si="608"/>
        <v>0</v>
      </c>
      <c r="AW453" s="397">
        <f t="shared" si="608"/>
        <v>0</v>
      </c>
      <c r="AX453" s="397">
        <f t="shared" si="608"/>
        <v>-0.16000000003259629</v>
      </c>
      <c r="AY453" s="397">
        <f t="shared" ref="AY453:AZ453" si="609">+AY33-AY427</f>
        <v>0</v>
      </c>
      <c r="AZ453" s="397">
        <f t="shared" si="609"/>
        <v>0</v>
      </c>
      <c r="BA453" s="446">
        <f t="shared" si="608"/>
        <v>0</v>
      </c>
      <c r="BB453" s="446">
        <f t="shared" si="608"/>
        <v>0</v>
      </c>
      <c r="BC453" s="397">
        <f t="shared" si="608"/>
        <v>0</v>
      </c>
      <c r="BD453" s="397">
        <f t="shared" si="608"/>
        <v>-0.15999999997438863</v>
      </c>
      <c r="BE453" s="397">
        <f t="shared" si="608"/>
        <v>0</v>
      </c>
      <c r="BF453" s="397">
        <f t="shared" si="608"/>
        <v>-0.16000000003259629</v>
      </c>
      <c r="BG453" s="4590"/>
      <c r="BH453" s="4590"/>
      <c r="BI453" s="4590"/>
      <c r="BJ453" s="4590"/>
    </row>
    <row r="454" spans="1:62" ht="15" hidden="1" customHeight="1" x14ac:dyDescent="0.25">
      <c r="A454" s="154"/>
      <c r="B454" s="7542"/>
      <c r="C454" s="840"/>
      <c r="D454" s="840"/>
      <c r="E454" s="840"/>
      <c r="F454" s="840"/>
      <c r="G454" s="840"/>
      <c r="H454" s="840"/>
      <c r="I454" s="840"/>
      <c r="J454" s="840"/>
      <c r="K454" s="840"/>
      <c r="L454" s="840"/>
      <c r="M454" s="645"/>
      <c r="N454" s="645"/>
      <c r="O454" s="840"/>
      <c r="P454" s="840"/>
      <c r="Q454" s="840"/>
      <c r="R454" s="840"/>
      <c r="S454" s="840"/>
      <c r="T454" s="840"/>
      <c r="U454" s="840"/>
      <c r="V454" s="840"/>
      <c r="W454" s="840"/>
      <c r="X454" s="840"/>
      <c r="Y454" s="645"/>
      <c r="Z454" s="645"/>
      <c r="AA454" s="840"/>
      <c r="AB454" s="840"/>
      <c r="AC454" s="840"/>
      <c r="AD454" s="840"/>
      <c r="AE454" s="840"/>
      <c r="AF454" s="840"/>
      <c r="AG454" s="840"/>
      <c r="AH454" s="840"/>
      <c r="AI454" s="840"/>
      <c r="AJ454" s="840"/>
      <c r="AK454" s="840"/>
      <c r="AL454" s="840"/>
      <c r="AM454" s="645"/>
      <c r="AN454" s="645"/>
      <c r="AO454" s="840"/>
      <c r="AP454" s="840"/>
      <c r="AQ454" s="840"/>
      <c r="AR454" s="840"/>
      <c r="AS454" s="840"/>
      <c r="AT454" s="840"/>
      <c r="AU454" s="840"/>
      <c r="AV454" s="840"/>
      <c r="AW454" s="840"/>
      <c r="AX454" s="840"/>
      <c r="AY454" s="840"/>
      <c r="AZ454" s="840"/>
      <c r="BA454" s="645"/>
      <c r="BB454" s="645"/>
      <c r="BC454" s="840"/>
      <c r="BD454" s="840"/>
      <c r="BE454" s="840"/>
      <c r="BF454" s="840"/>
      <c r="BG454" s="4590"/>
      <c r="BH454" s="4590"/>
      <c r="BI454" s="4590"/>
      <c r="BJ454" s="4590"/>
    </row>
    <row r="455" spans="1:62" ht="21" hidden="1" customHeight="1" x14ac:dyDescent="0.25">
      <c r="A455" s="154"/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876"/>
      <c r="N455" s="876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876"/>
      <c r="Z455" s="876"/>
      <c r="AA455" s="642"/>
      <c r="AB455" s="642"/>
      <c r="AC455" s="642"/>
      <c r="AD455" s="642"/>
      <c r="AE455" s="642"/>
      <c r="AF455" s="642"/>
      <c r="AG455" s="642"/>
      <c r="AH455" s="642"/>
      <c r="AI455" s="642"/>
      <c r="AJ455" s="642"/>
      <c r="AK455" s="642"/>
      <c r="AL455" s="642"/>
      <c r="AM455" s="876"/>
      <c r="AN455" s="876"/>
      <c r="AO455" s="642"/>
      <c r="AP455" s="642"/>
      <c r="AQ455" s="642"/>
      <c r="AR455" s="642"/>
      <c r="AS455" s="642"/>
      <c r="AT455" s="642"/>
      <c r="AU455" s="642"/>
      <c r="AV455" s="642"/>
      <c r="AW455" s="642"/>
      <c r="AX455" s="642"/>
      <c r="AY455" s="642"/>
      <c r="AZ455" s="642"/>
      <c r="BA455" s="876"/>
      <c r="BB455" s="876"/>
      <c r="BC455" s="642"/>
      <c r="BD455" s="642"/>
      <c r="BE455" s="642"/>
      <c r="BF455" s="642"/>
      <c r="BG455" s="4590"/>
      <c r="BH455" s="4590"/>
      <c r="BI455" s="4590"/>
      <c r="BJ455" s="4590"/>
    </row>
    <row r="456" spans="1:62" ht="21" hidden="1" customHeight="1" x14ac:dyDescent="0.25">
      <c r="A456" s="154"/>
      <c r="B456" s="4330" t="s">
        <v>1146</v>
      </c>
      <c r="C456" s="642"/>
      <c r="D456" s="642"/>
      <c r="E456" s="1348">
        <f>+E55-'Maj Despatch Summ'!E12</f>
        <v>0</v>
      </c>
      <c r="F456" s="1348">
        <f>+F55-'Maj Despatch Summ'!F12</f>
        <v>0</v>
      </c>
      <c r="G456" s="1348">
        <f>+G55-'Maj Despatch Summ'!G12</f>
        <v>0</v>
      </c>
      <c r="H456" s="1348">
        <f>+H55-'Maj Despatch Summ'!H12</f>
        <v>0</v>
      </c>
      <c r="I456" s="1348">
        <f>+I55-'Maj Despatch Summ'!I12</f>
        <v>0</v>
      </c>
      <c r="J456" s="1348">
        <f>+J55-'Maj Despatch Summ'!J12</f>
        <v>0</v>
      </c>
      <c r="K456" s="1348">
        <f>+K55-'Maj Despatch Summ'!K12</f>
        <v>-6.7705480614677072E-3</v>
      </c>
      <c r="L456" s="1348">
        <f>+L55-'Maj Despatch Summ'!L12</f>
        <v>0</v>
      </c>
      <c r="M456" s="1738">
        <f>+M55-'Maj Despatch Summ'!M12</f>
        <v>-6.7705480614677072E-3</v>
      </c>
      <c r="N456" s="1738">
        <f>+N55-'Maj Despatch Summ'!N12</f>
        <v>0</v>
      </c>
      <c r="O456" s="1348">
        <f>+O55-'Maj Despatch Summ'!O12</f>
        <v>0.36685418430715799</v>
      </c>
      <c r="P456" s="1348">
        <f>+P55-'Maj Despatch Summ'!P12</f>
        <v>0</v>
      </c>
      <c r="Q456" s="1348">
        <f>+Q55-'Maj Despatch Summ'!Q12</f>
        <v>0.36008363624569029</v>
      </c>
      <c r="R456" s="1348">
        <f>+R55-'Maj Despatch Summ'!R12</f>
        <v>0</v>
      </c>
      <c r="S456" s="1348">
        <f>+S55-'Maj Despatch Summ'!S12</f>
        <v>0</v>
      </c>
      <c r="T456" s="1348">
        <f>+T55-'Maj Despatch Summ'!T12</f>
        <v>0</v>
      </c>
      <c r="U456" s="1348">
        <f>+U55-'Maj Despatch Summ'!U12</f>
        <v>0.36008363624569029</v>
      </c>
      <c r="V456" s="1348">
        <f>+V55-'Maj Despatch Summ'!V12</f>
        <v>0</v>
      </c>
      <c r="W456" s="1348">
        <f>+W55-'Maj Despatch Summ'!W12</f>
        <v>0.19664459599880502</v>
      </c>
      <c r="X456" s="1348">
        <f>+X55-'Maj Despatch Summ'!X12</f>
        <v>-0.48000000001047738</v>
      </c>
      <c r="Y456" s="1738">
        <f>+Y55-'Maj Despatch Summ'!Y12</f>
        <v>0.56349878036417067</v>
      </c>
      <c r="Z456" s="1738">
        <f>+Z55-'Maj Despatch Summ'!Z12</f>
        <v>-0.47999999986495823</v>
      </c>
      <c r="AA456" s="1348">
        <f>+AA55-'Maj Despatch Summ'!AA12</f>
        <v>0.55672823241911829</v>
      </c>
      <c r="AB456" s="1348">
        <f>+AB55-'Maj Despatch Summ'!AB12</f>
        <v>-0.47999999998137355</v>
      </c>
      <c r="AC456" s="1348">
        <f>+AC55-'Maj Despatch Summ'!AC12</f>
        <v>0</v>
      </c>
      <c r="AD456" s="1348">
        <f>+AD55-'Maj Despatch Summ'!AD12</f>
        <v>-4.0000000008149073E-2</v>
      </c>
      <c r="AE456" s="1348">
        <f>+AE55-'Maj Despatch Summ'!AE12</f>
        <v>0.55672823218628764</v>
      </c>
      <c r="AF456" s="1348">
        <f>+AF55-'Maj Despatch Summ'!AF12</f>
        <v>-0.52000000001862645</v>
      </c>
      <c r="AG456" s="1348">
        <f>+AG55-'Maj Despatch Summ'!AG12</f>
        <v>0</v>
      </c>
      <c r="AH456" s="1348">
        <f>+AH55-'Maj Despatch Summ'!AH12</f>
        <v>0</v>
      </c>
      <c r="AI456" s="1348">
        <f>+AI55-'Maj Despatch Summ'!AI12</f>
        <v>0.55672823218628764</v>
      </c>
      <c r="AJ456" s="1348">
        <f>+AJ55-'Maj Despatch Summ'!AJ12</f>
        <v>-0.51999999978579581</v>
      </c>
      <c r="AK456" s="1348">
        <f>+AK55-'Maj Despatch Summ'!AK12</f>
        <v>-3.1605018157279119E-2</v>
      </c>
      <c r="AL456" s="1348">
        <f>+AL55-'Maj Despatch Summ'!AL12</f>
        <v>0.31999999997788109</v>
      </c>
      <c r="AM456" s="1738">
        <f>+AM55-'Maj Despatch Summ'!AM12</f>
        <v>-3.1605018186382949E-2</v>
      </c>
      <c r="AN456" s="1738">
        <f>+AN55-'Maj Despatch Summ'!AN12</f>
        <v>0.27999999996973202</v>
      </c>
      <c r="AO456" s="1348">
        <f>+AO55-'Maj Despatch Summ'!AO12</f>
        <v>0.52512321411632001</v>
      </c>
      <c r="AP456" s="1348">
        <f>+AP55-'Maj Despatch Summ'!AP12</f>
        <v>-0.19999999972060323</v>
      </c>
      <c r="AQ456" s="1348">
        <f>+AQ55-'Maj Despatch Summ'!AQ12</f>
        <v>-0.48160501813981682</v>
      </c>
      <c r="AR456" s="1348">
        <f>+AR55-'Maj Despatch Summ'!AR12</f>
        <v>0</v>
      </c>
      <c r="AS456" s="1348">
        <f>+AS55-'Maj Despatch Summ'!AS12</f>
        <v>4.3518196092918515E-2</v>
      </c>
      <c r="AT456" s="1348">
        <f>+AT55-'Maj Despatch Summ'!AT12</f>
        <v>-0.19999999948777258</v>
      </c>
      <c r="AU456" s="1348">
        <f>+AU55-'Maj Despatch Summ'!AU12</f>
        <v>0</v>
      </c>
      <c r="AV456" s="1348">
        <f>+AV55-'Maj Despatch Summ'!AV12</f>
        <v>0</v>
      </c>
      <c r="AW456" s="1348">
        <f>+AW55-'Maj Despatch Summ'!AW12</f>
        <v>4.3518195860087872E-2</v>
      </c>
      <c r="AX456" s="1348">
        <f>+AX55-'Maj Despatch Summ'!AX12</f>
        <v>-0.19999999948777258</v>
      </c>
      <c r="AY456" s="1348">
        <f>+AY55-'Maj Despatch Summ'!AY12</f>
        <v>-2.7779160649515688E-2</v>
      </c>
      <c r="AZ456" s="1348">
        <f>+AZ55-'Maj Despatch Summ'!AZ12</f>
        <v>0</v>
      </c>
      <c r="BA456" s="1738">
        <f>+BA55-'Maj Despatch Summ'!BA12</f>
        <v>-0.50938417878933251</v>
      </c>
      <c r="BB456" s="1738">
        <f>+BB55-'Maj Despatch Summ'!BB12</f>
        <v>0</v>
      </c>
      <c r="BC456" s="1348">
        <f>+BC55-'Maj Despatch Summ'!BC12</f>
        <v>-0.54098919685930014</v>
      </c>
      <c r="BD456" s="1348">
        <f>+BD55-'Maj Despatch Summ'!BD12</f>
        <v>0.28000000002793968</v>
      </c>
      <c r="BE456" s="1348">
        <f>+BE55-'Maj Despatch Summ'!BE12</f>
        <v>1.5739035326987505E-2</v>
      </c>
      <c r="BF456" s="1348">
        <f>+BF55-'Maj Despatch Summ'!BF12</f>
        <v>-0.19999999925494194</v>
      </c>
      <c r="BG456" s="4590"/>
      <c r="BH456" s="4590"/>
      <c r="BI456" s="4590"/>
      <c r="BJ456" s="4590"/>
    </row>
    <row r="457" spans="1:62" ht="21" hidden="1" customHeight="1" x14ac:dyDescent="0.25">
      <c r="A457" s="154"/>
      <c r="B457" s="642"/>
      <c r="C457" s="642"/>
      <c r="D457" s="642"/>
      <c r="E457" s="1348">
        <f>+E62-'Maj Despatch Summ'!E12</f>
        <v>0</v>
      </c>
      <c r="F457" s="1348">
        <f>+F62-'Maj Despatch Summ'!F12</f>
        <v>0</v>
      </c>
      <c r="G457" s="1348">
        <f>+G62-'Maj Despatch Summ'!G12</f>
        <v>0</v>
      </c>
      <c r="H457" s="1348">
        <f>+H62-'Maj Despatch Summ'!H12</f>
        <v>0</v>
      </c>
      <c r="I457" s="1348">
        <f>+I62-'Maj Despatch Summ'!I12</f>
        <v>0</v>
      </c>
      <c r="J457" s="1348">
        <f>+J62-'Maj Despatch Summ'!J12</f>
        <v>0</v>
      </c>
      <c r="K457" s="1348">
        <f>+K62-'Maj Despatch Summ'!K12</f>
        <v>-6.7705480614677072E-3</v>
      </c>
      <c r="L457" s="1348">
        <f>+L62-'Maj Despatch Summ'!L12</f>
        <v>0</v>
      </c>
      <c r="M457" s="1738">
        <f>+M62-'Maj Despatch Summ'!M12</f>
        <v>-6.7705480614677072E-3</v>
      </c>
      <c r="N457" s="1738">
        <f>+N62-'Maj Despatch Summ'!N12</f>
        <v>0</v>
      </c>
      <c r="O457" s="1348">
        <f>+O62-'Maj Despatch Summ'!O12</f>
        <v>0.36685418430715799</v>
      </c>
      <c r="P457" s="1348">
        <f>+P62-'Maj Despatch Summ'!P12</f>
        <v>0</v>
      </c>
      <c r="Q457" s="1348">
        <f>+Q62-'Maj Despatch Summ'!Q12</f>
        <v>0.36008363624569029</v>
      </c>
      <c r="R457" s="1348">
        <f>+R62-'Maj Despatch Summ'!R12</f>
        <v>0</v>
      </c>
      <c r="S457" s="1348">
        <f>+S62-'Maj Despatch Summ'!S12</f>
        <v>0</v>
      </c>
      <c r="T457" s="1348">
        <f>+T62-'Maj Despatch Summ'!T12</f>
        <v>0</v>
      </c>
      <c r="U457" s="1348">
        <f>+U62-'Maj Despatch Summ'!U12</f>
        <v>0.36008363624569029</v>
      </c>
      <c r="V457" s="1348">
        <f>+V62-'Maj Despatch Summ'!V12</f>
        <v>0</v>
      </c>
      <c r="W457" s="1348">
        <f>+W62-'Maj Despatch Summ'!W12</f>
        <v>0.19664459599880502</v>
      </c>
      <c r="X457" s="1348">
        <f>+X62-'Maj Despatch Summ'!X12</f>
        <v>-0.47999999998137355</v>
      </c>
      <c r="Y457" s="1738">
        <f>+Y62-'Maj Despatch Summ'!Y12</f>
        <v>0.56349878036417067</v>
      </c>
      <c r="Z457" s="1738">
        <f>+Z62-'Maj Despatch Summ'!Z12</f>
        <v>-0.47999999986495823</v>
      </c>
      <c r="AA457" s="1348">
        <f>+AA62-'Maj Despatch Summ'!AA12</f>
        <v>0.55672823241911829</v>
      </c>
      <c r="AB457" s="1348">
        <f>+AB62-'Maj Despatch Summ'!AB12</f>
        <v>-0.47999999998137355</v>
      </c>
      <c r="AC457" s="1348">
        <f>+AC62-'Maj Despatch Summ'!AC12</f>
        <v>0</v>
      </c>
      <c r="AD457" s="1348">
        <f>+AD62-'Maj Despatch Summ'!AD12</f>
        <v>-4.0000000008149073E-2</v>
      </c>
      <c r="AE457" s="1348">
        <f>+AE62-'Maj Despatch Summ'!AE12</f>
        <v>0.55672823218628764</v>
      </c>
      <c r="AF457" s="1348">
        <f>+AF62-'Maj Despatch Summ'!AF12</f>
        <v>-0.52000000001862645</v>
      </c>
      <c r="AG457" s="1348">
        <f>+AG62-'Maj Despatch Summ'!AG12</f>
        <v>0</v>
      </c>
      <c r="AH457" s="1348">
        <f>+AH62-'Maj Despatch Summ'!AH12</f>
        <v>0</v>
      </c>
      <c r="AI457" s="1348">
        <f>+AI62-'Maj Despatch Summ'!AI12</f>
        <v>0.55672823218628764</v>
      </c>
      <c r="AJ457" s="1348">
        <f>+AJ62-'Maj Despatch Summ'!AJ12</f>
        <v>-0.51999999978579581</v>
      </c>
      <c r="AK457" s="1348">
        <f>+AK62-'Maj Despatch Summ'!AK12</f>
        <v>-3.1605018157279119E-2</v>
      </c>
      <c r="AL457" s="1348">
        <f>+AL62-'Maj Despatch Summ'!AL12</f>
        <v>0.32000000000698492</v>
      </c>
      <c r="AM457" s="1738">
        <f>+AM62-'Maj Despatch Summ'!AM12</f>
        <v>-3.1605018186382949E-2</v>
      </c>
      <c r="AN457" s="1738">
        <f>+AN62-'Maj Despatch Summ'!AN12</f>
        <v>0.27999999996973202</v>
      </c>
      <c r="AO457" s="1348">
        <f>+AO62-'Maj Despatch Summ'!AO12</f>
        <v>0.52512321411632001</v>
      </c>
      <c r="AP457" s="1348">
        <f>+AP62-'Maj Despatch Summ'!AP12</f>
        <v>-0.19999999972060323</v>
      </c>
      <c r="AQ457" s="1348">
        <f>+AQ62-'Maj Despatch Summ'!AQ12</f>
        <v>-0.48160501813981682</v>
      </c>
      <c r="AR457" s="1348">
        <f>+AR62-'Maj Despatch Summ'!AR12</f>
        <v>0</v>
      </c>
      <c r="AS457" s="1348">
        <f>+AS62-'Maj Despatch Summ'!AS12</f>
        <v>4.3518196092918515E-2</v>
      </c>
      <c r="AT457" s="1348">
        <f>+AT62-'Maj Despatch Summ'!AT12</f>
        <v>-0.19999999948777258</v>
      </c>
      <c r="AU457" s="1348">
        <f>+AU62-'Maj Despatch Summ'!AU12</f>
        <v>0</v>
      </c>
      <c r="AV457" s="1348">
        <f>+AV62-'Maj Despatch Summ'!AV12</f>
        <v>0</v>
      </c>
      <c r="AW457" s="1348">
        <f>+AW62-'Maj Despatch Summ'!AW12</f>
        <v>4.3518195860087872E-2</v>
      </c>
      <c r="AX457" s="1348">
        <f>+AX62-'Maj Despatch Summ'!AX12</f>
        <v>-0.19999999948777258</v>
      </c>
      <c r="AY457" s="1348">
        <f>+AY62-'Maj Despatch Summ'!AY12</f>
        <v>-2.7779160649515688E-2</v>
      </c>
      <c r="AZ457" s="1348">
        <f>+AZ62-'Maj Despatch Summ'!AZ12</f>
        <v>0</v>
      </c>
      <c r="BA457" s="1738">
        <f>+BA62-'Maj Despatch Summ'!BA12</f>
        <v>-0.50938417878933251</v>
      </c>
      <c r="BB457" s="1738">
        <f>+BB62-'Maj Despatch Summ'!BB12</f>
        <v>0</v>
      </c>
      <c r="BC457" s="1348">
        <f>+BC62-'Maj Despatch Summ'!BC12</f>
        <v>-0.54098919685930014</v>
      </c>
      <c r="BD457" s="1348">
        <f>+BD62-'Maj Despatch Summ'!BD12</f>
        <v>0.28000000002793968</v>
      </c>
      <c r="BE457" s="1348">
        <f>+BE62-'Maj Despatch Summ'!BE12</f>
        <v>1.5739035326987505E-2</v>
      </c>
      <c r="BF457" s="1348">
        <f>+BF62-'Maj Despatch Summ'!BF12</f>
        <v>-0.19999999925494194</v>
      </c>
      <c r="BG457" s="4590"/>
      <c r="BH457" s="4590"/>
      <c r="BI457" s="4590"/>
      <c r="BJ457" s="4590"/>
    </row>
    <row r="458" spans="1:62" ht="21" hidden="1" customHeight="1" x14ac:dyDescent="0.25">
      <c r="A458" s="154"/>
      <c r="B458" s="642"/>
      <c r="C458" s="642"/>
      <c r="D458" s="642"/>
      <c r="E458" s="1348">
        <f t="shared" ref="E458:AJ458" si="610">E426-E47</f>
        <v>0</v>
      </c>
      <c r="F458" s="1348">
        <f t="shared" si="610"/>
        <v>0</v>
      </c>
      <c r="G458" s="1348">
        <f t="shared" ref="G458:H458" si="611">G426-G47</f>
        <v>0</v>
      </c>
      <c r="H458" s="1348">
        <f t="shared" si="611"/>
        <v>0</v>
      </c>
      <c r="I458" s="1348">
        <f t="shared" si="610"/>
        <v>0</v>
      </c>
      <c r="J458" s="1348">
        <f t="shared" si="610"/>
        <v>0</v>
      </c>
      <c r="K458" s="1348">
        <f t="shared" si="610"/>
        <v>0</v>
      </c>
      <c r="L458" s="1348">
        <f t="shared" si="610"/>
        <v>0</v>
      </c>
      <c r="M458" s="1738">
        <f t="shared" si="610"/>
        <v>0</v>
      </c>
      <c r="N458" s="1738">
        <f t="shared" si="610"/>
        <v>0</v>
      </c>
      <c r="O458" s="1348">
        <f t="shared" si="610"/>
        <v>0</v>
      </c>
      <c r="P458" s="1348">
        <f t="shared" si="610"/>
        <v>0</v>
      </c>
      <c r="Q458" s="1348">
        <f t="shared" si="610"/>
        <v>0</v>
      </c>
      <c r="R458" s="1348">
        <f t="shared" si="610"/>
        <v>0</v>
      </c>
      <c r="S458" s="1348">
        <f t="shared" si="610"/>
        <v>0</v>
      </c>
      <c r="T458" s="1348">
        <f t="shared" si="610"/>
        <v>0</v>
      </c>
      <c r="U458" s="1348">
        <f t="shared" si="610"/>
        <v>0</v>
      </c>
      <c r="V458" s="1348">
        <f t="shared" si="610"/>
        <v>0</v>
      </c>
      <c r="W458" s="1348">
        <f t="shared" si="610"/>
        <v>0</v>
      </c>
      <c r="X458" s="1348">
        <f t="shared" si="610"/>
        <v>0</v>
      </c>
      <c r="Y458" s="1738">
        <f t="shared" si="610"/>
        <v>0</v>
      </c>
      <c r="Z458" s="1738">
        <f t="shared" si="610"/>
        <v>0</v>
      </c>
      <c r="AA458" s="1348">
        <f t="shared" si="610"/>
        <v>0</v>
      </c>
      <c r="AB458" s="1348">
        <f t="shared" si="610"/>
        <v>0</v>
      </c>
      <c r="AC458" s="1348">
        <f t="shared" si="610"/>
        <v>0</v>
      </c>
      <c r="AD458" s="1348">
        <f t="shared" si="610"/>
        <v>4.0000000000418368E-2</v>
      </c>
      <c r="AE458" s="1348">
        <f t="shared" si="610"/>
        <v>0</v>
      </c>
      <c r="AF458" s="1348">
        <f t="shared" si="610"/>
        <v>3.9999999997235136E-2</v>
      </c>
      <c r="AG458" s="1348">
        <f t="shared" si="610"/>
        <v>0</v>
      </c>
      <c r="AH458" s="1348">
        <f t="shared" si="610"/>
        <v>0.11999999999989086</v>
      </c>
      <c r="AI458" s="1348">
        <f t="shared" si="610"/>
        <v>0</v>
      </c>
      <c r="AJ458" s="1348">
        <f t="shared" si="610"/>
        <v>0.1599999999962165</v>
      </c>
      <c r="AK458" s="1348">
        <f t="shared" ref="AK458:BD458" si="612">AK426-AK47</f>
        <v>0</v>
      </c>
      <c r="AL458" s="1348">
        <f t="shared" si="612"/>
        <v>0</v>
      </c>
      <c r="AM458" s="1738">
        <f t="shared" si="612"/>
        <v>0</v>
      </c>
      <c r="AN458" s="1738">
        <f t="shared" si="612"/>
        <v>0.16000000000167347</v>
      </c>
      <c r="AO458" s="1348">
        <f t="shared" si="612"/>
        <v>0</v>
      </c>
      <c r="AP458" s="1348">
        <f t="shared" si="612"/>
        <v>0.1599999999962165</v>
      </c>
      <c r="AQ458" s="1348">
        <f t="shared" si="612"/>
        <v>0</v>
      </c>
      <c r="AR458" s="1348">
        <f t="shared" si="612"/>
        <v>0</v>
      </c>
      <c r="AS458" s="1348">
        <f t="shared" si="612"/>
        <v>0</v>
      </c>
      <c r="AT458" s="1348">
        <f t="shared" si="612"/>
        <v>0.1599999999962165</v>
      </c>
      <c r="AU458" s="1348">
        <f t="shared" si="612"/>
        <v>0</v>
      </c>
      <c r="AV458" s="1348">
        <f t="shared" si="612"/>
        <v>0</v>
      </c>
      <c r="AW458" s="1348">
        <f t="shared" si="612"/>
        <v>0</v>
      </c>
      <c r="AX458" s="1348">
        <f t="shared" si="612"/>
        <v>0.1599999999962165</v>
      </c>
      <c r="AY458" s="1348">
        <f t="shared" ref="AY458:AZ458" si="613">AY426-AY47</f>
        <v>0</v>
      </c>
      <c r="AZ458" s="1348">
        <f t="shared" si="613"/>
        <v>0</v>
      </c>
      <c r="BA458" s="1738">
        <f t="shared" si="612"/>
        <v>0</v>
      </c>
      <c r="BB458" s="1738">
        <f t="shared" si="612"/>
        <v>0</v>
      </c>
      <c r="BC458" s="1348">
        <f t="shared" si="612"/>
        <v>0</v>
      </c>
      <c r="BD458" s="1348">
        <f t="shared" si="612"/>
        <v>0.16000000000349246</v>
      </c>
      <c r="BE458" s="1348"/>
      <c r="BF458" s="1348">
        <f>BF426-BF47</f>
        <v>0.1599999999962165</v>
      </c>
      <c r="BG458" s="4590"/>
      <c r="BH458" s="4590"/>
      <c r="BI458" s="4590"/>
      <c r="BJ458" s="4590"/>
    </row>
    <row r="459" spans="1:62" ht="21" hidden="1" customHeight="1" x14ac:dyDescent="0.25">
      <c r="A459" s="154"/>
      <c r="B459" s="642"/>
      <c r="C459" s="642"/>
      <c r="D459" s="642"/>
      <c r="E459" s="642"/>
      <c r="F459" s="1348">
        <f>F409-F40</f>
        <v>0</v>
      </c>
      <c r="G459" s="642"/>
      <c r="H459" s="1348">
        <f>H409-H40</f>
        <v>0</v>
      </c>
      <c r="I459" s="1348">
        <f>I409-I40</f>
        <v>0</v>
      </c>
      <c r="J459" s="1348">
        <f>J409-J40</f>
        <v>0</v>
      </c>
      <c r="K459" s="642"/>
      <c r="L459" s="1348">
        <f>L409-L40</f>
        <v>0</v>
      </c>
      <c r="M459" s="1738">
        <f>M409-M40</f>
        <v>0</v>
      </c>
      <c r="N459" s="1738">
        <f>N409-N40</f>
        <v>0</v>
      </c>
      <c r="O459" s="642"/>
      <c r="P459" s="1348">
        <f>P409-P40</f>
        <v>0</v>
      </c>
      <c r="Q459" s="1348">
        <f>Q409-Q40</f>
        <v>0</v>
      </c>
      <c r="R459" s="1348">
        <f>R409-R40</f>
        <v>0</v>
      </c>
      <c r="S459" s="642"/>
      <c r="T459" s="1348">
        <f>T409-T40</f>
        <v>0</v>
      </c>
      <c r="U459" s="1348">
        <f>U409-U40</f>
        <v>0</v>
      </c>
      <c r="V459" s="1348">
        <f>V409-V40</f>
        <v>0</v>
      </c>
      <c r="W459" s="642"/>
      <c r="X459" s="1348">
        <f>X409-X40</f>
        <v>0</v>
      </c>
      <c r="Y459" s="1738">
        <f>Y409-Y40</f>
        <v>0</v>
      </c>
      <c r="Z459" s="1738">
        <f>Z409-Z40</f>
        <v>0</v>
      </c>
      <c r="AA459" s="1348">
        <f>AA409-AA40</f>
        <v>0</v>
      </c>
      <c r="AB459" s="1348">
        <f>AB409-AB40</f>
        <v>0</v>
      </c>
      <c r="AC459" s="642"/>
      <c r="AD459" s="1348">
        <f>AD409-AD40</f>
        <v>0</v>
      </c>
      <c r="AE459" s="1348">
        <f>AE409-AE40</f>
        <v>0</v>
      </c>
      <c r="AF459" s="1348">
        <f>AF409-AF40</f>
        <v>0</v>
      </c>
      <c r="AG459" s="642"/>
      <c r="AH459" s="1348">
        <f>AH409-AH40</f>
        <v>0</v>
      </c>
      <c r="AI459" s="1348">
        <f>AI409-AI40</f>
        <v>0</v>
      </c>
      <c r="AJ459" s="1348">
        <f>AJ409-AJ40</f>
        <v>0</v>
      </c>
      <c r="AK459" s="642"/>
      <c r="AL459" s="1348">
        <f>AL409-AL40</f>
        <v>0</v>
      </c>
      <c r="AM459" s="1738">
        <f>AM409-AM40</f>
        <v>0</v>
      </c>
      <c r="AN459" s="1738">
        <f>AN409-AN40</f>
        <v>0</v>
      </c>
      <c r="AO459" s="1348">
        <f>AO409-AO40</f>
        <v>0</v>
      </c>
      <c r="AP459" s="1348">
        <f>AP409-AP40</f>
        <v>0</v>
      </c>
      <c r="AQ459" s="642"/>
      <c r="AR459" s="1348">
        <f>AR409-AR40</f>
        <v>0</v>
      </c>
      <c r="AS459" s="1348">
        <f>AS409-AS40</f>
        <v>0</v>
      </c>
      <c r="AT459" s="1348">
        <f>AT409-AT40</f>
        <v>0</v>
      </c>
      <c r="AU459" s="642"/>
      <c r="AV459" s="1348">
        <f t="shared" ref="AV459:BD459" si="614">AV409-AV40</f>
        <v>0</v>
      </c>
      <c r="AW459" s="1348">
        <f t="shared" si="614"/>
        <v>0</v>
      </c>
      <c r="AX459" s="1348">
        <f t="shared" si="614"/>
        <v>0</v>
      </c>
      <c r="AY459" s="642"/>
      <c r="AZ459" s="1348">
        <f t="shared" ref="AZ459" si="615">AZ409-AZ40</f>
        <v>0</v>
      </c>
      <c r="BA459" s="1738">
        <f t="shared" si="614"/>
        <v>0</v>
      </c>
      <c r="BB459" s="1738">
        <f t="shared" si="614"/>
        <v>0</v>
      </c>
      <c r="BC459" s="1348">
        <f t="shared" si="614"/>
        <v>0</v>
      </c>
      <c r="BD459" s="1348">
        <f t="shared" si="614"/>
        <v>0</v>
      </c>
      <c r="BE459" s="1348"/>
      <c r="BF459" s="1348">
        <f>BF409-BF40</f>
        <v>0</v>
      </c>
      <c r="BG459" s="4590"/>
      <c r="BH459" s="4590"/>
      <c r="BI459" s="4590"/>
      <c r="BJ459" s="4590"/>
    </row>
    <row r="460" spans="1:62" ht="21" hidden="1" customHeight="1" x14ac:dyDescent="0.25">
      <c r="A460" s="154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876"/>
      <c r="N460" s="876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876"/>
      <c r="Z460" s="876"/>
      <c r="AA460" s="642"/>
      <c r="AB460" s="642"/>
      <c r="AC460" s="642"/>
      <c r="AD460" s="642"/>
      <c r="AE460" s="642"/>
      <c r="AF460" s="642"/>
      <c r="AG460" s="642"/>
      <c r="AH460" s="642"/>
      <c r="AK460" s="642"/>
      <c r="AL460" s="642"/>
      <c r="AM460" s="876"/>
      <c r="AN460" s="876"/>
      <c r="AQ460" s="642"/>
      <c r="AR460" s="642"/>
      <c r="AU460" s="642"/>
      <c r="AV460" s="642"/>
      <c r="AY460" s="642"/>
      <c r="AZ460" s="642"/>
      <c r="BA460" s="876"/>
      <c r="BB460" s="876"/>
      <c r="BC460" s="642"/>
      <c r="BD460" s="642"/>
      <c r="BG460" s="4590"/>
      <c r="BH460" s="4590"/>
      <c r="BI460" s="4590"/>
      <c r="BJ460" s="4590"/>
    </row>
    <row r="461" spans="1:62" ht="21" hidden="1" customHeight="1" x14ac:dyDescent="0.25">
      <c r="A461" s="154"/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876"/>
      <c r="N461" s="876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876"/>
      <c r="Z461" s="876"/>
      <c r="AA461" s="642"/>
      <c r="AB461" s="642"/>
      <c r="AC461" s="642"/>
      <c r="AD461" s="642"/>
      <c r="AE461" s="642"/>
      <c r="AF461" s="642"/>
      <c r="AG461" s="642"/>
      <c r="AH461" s="642"/>
      <c r="AK461" s="642"/>
      <c r="AL461" s="642"/>
      <c r="AM461" s="876"/>
      <c r="AN461" s="876"/>
      <c r="AQ461" s="642"/>
      <c r="AR461" s="642"/>
      <c r="AU461" s="642"/>
      <c r="AV461" s="642"/>
      <c r="AY461" s="642"/>
      <c r="AZ461" s="642"/>
      <c r="BA461" s="876"/>
      <c r="BB461" s="876"/>
      <c r="BC461" s="642"/>
      <c r="BD461" s="642"/>
      <c r="BG461" s="4590"/>
      <c r="BH461" s="4590"/>
      <c r="BI461" s="4590"/>
      <c r="BJ461" s="4590"/>
    </row>
    <row r="462" spans="1:62" ht="21" hidden="1" customHeight="1" x14ac:dyDescent="0.25">
      <c r="A462" s="154"/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876"/>
      <c r="N462" s="876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876"/>
      <c r="Z462" s="876"/>
      <c r="AA462" s="642"/>
      <c r="AB462" s="642"/>
      <c r="AC462" s="642"/>
      <c r="AD462" s="642"/>
      <c r="AE462" s="642"/>
      <c r="AF462" s="642"/>
      <c r="AG462" s="642"/>
      <c r="AH462" s="642"/>
      <c r="AK462" s="642"/>
      <c r="AL462" s="642"/>
      <c r="AM462" s="876"/>
      <c r="AN462" s="876"/>
      <c r="AQ462" s="642"/>
      <c r="AR462" s="642"/>
      <c r="AU462" s="642"/>
      <c r="AV462" s="642"/>
      <c r="AY462" s="642"/>
      <c r="AZ462" s="642"/>
      <c r="BA462" s="876"/>
      <c r="BB462" s="876"/>
      <c r="BC462" s="642"/>
      <c r="BD462" s="642"/>
      <c r="BG462" s="4590"/>
      <c r="BH462" s="4590"/>
      <c r="BI462" s="4590"/>
      <c r="BJ462" s="4590"/>
    </row>
    <row r="463" spans="1:62" ht="21" hidden="1" customHeight="1" x14ac:dyDescent="0.25">
      <c r="A463" s="154"/>
      <c r="B463" s="642"/>
      <c r="C463" s="642"/>
      <c r="D463" s="642"/>
      <c r="E463" s="642"/>
      <c r="F463" s="642"/>
      <c r="G463" s="642"/>
      <c r="H463" s="642"/>
      <c r="I463" s="642"/>
      <c r="J463" s="642"/>
      <c r="K463" s="642"/>
      <c r="L463" s="642"/>
      <c r="M463" s="876"/>
      <c r="N463" s="876"/>
      <c r="O463" s="642"/>
      <c r="P463" s="642"/>
      <c r="Q463" s="642"/>
      <c r="R463" s="642"/>
      <c r="S463" s="642"/>
      <c r="T463" s="642"/>
      <c r="U463" s="642"/>
      <c r="V463" s="642"/>
      <c r="W463" s="642"/>
      <c r="X463" s="642"/>
      <c r="Y463" s="876"/>
      <c r="Z463" s="876"/>
      <c r="AA463" s="642"/>
      <c r="AB463" s="642"/>
      <c r="AC463" s="642"/>
      <c r="AD463" s="642"/>
      <c r="AE463" s="642"/>
      <c r="AF463" s="642"/>
      <c r="AG463" s="642"/>
      <c r="AH463" s="642"/>
      <c r="AK463" s="642"/>
      <c r="AL463" s="642"/>
      <c r="AM463" s="876"/>
      <c r="AN463" s="876"/>
      <c r="AQ463" s="642"/>
      <c r="AR463" s="642"/>
      <c r="AU463" s="642"/>
      <c r="AV463" s="642"/>
      <c r="AY463" s="642"/>
      <c r="AZ463" s="642"/>
      <c r="BA463" s="876"/>
      <c r="BB463" s="876"/>
      <c r="BC463" s="642"/>
      <c r="BD463" s="642"/>
      <c r="BG463" s="4590"/>
      <c r="BH463" s="4590"/>
      <c r="BI463" s="4590"/>
      <c r="BJ463" s="4590"/>
    </row>
    <row r="464" spans="1:62" ht="21" hidden="1" customHeight="1" x14ac:dyDescent="0.25">
      <c r="A464" s="154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876"/>
      <c r="N464" s="876"/>
      <c r="O464" s="642"/>
      <c r="P464" s="642"/>
      <c r="Q464" s="642"/>
      <c r="R464" s="642"/>
      <c r="S464" s="642"/>
      <c r="T464" s="642"/>
      <c r="U464" s="642"/>
      <c r="V464" s="642"/>
      <c r="W464" s="642"/>
      <c r="X464" s="642"/>
      <c r="Y464" s="876"/>
      <c r="Z464" s="876"/>
      <c r="AA464" s="642"/>
      <c r="AB464" s="642"/>
      <c r="AC464" s="642"/>
      <c r="AD464" s="642"/>
      <c r="AE464" s="642"/>
      <c r="AF464" s="642"/>
      <c r="AG464" s="642"/>
      <c r="AH464" s="642"/>
      <c r="AK464" s="642"/>
      <c r="AL464" s="642"/>
      <c r="AM464" s="876"/>
      <c r="AN464" s="876"/>
      <c r="AQ464" s="642"/>
      <c r="AR464" s="642"/>
      <c r="AU464" s="642"/>
      <c r="AV464" s="642"/>
      <c r="AY464" s="642"/>
      <c r="AZ464" s="642"/>
      <c r="BA464" s="876"/>
      <c r="BB464" s="876"/>
      <c r="BC464" s="642"/>
      <c r="BD464" s="642"/>
      <c r="BG464" s="4590"/>
      <c r="BH464" s="4590"/>
      <c r="BI464" s="4590"/>
      <c r="BJ464" s="4590"/>
    </row>
    <row r="465" spans="1:62" ht="21" hidden="1" customHeight="1" x14ac:dyDescent="0.25">
      <c r="A465" s="154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876"/>
      <c r="N465" s="876"/>
      <c r="O465" s="642"/>
      <c r="P465" s="642"/>
      <c r="Q465" s="642"/>
      <c r="R465" s="642"/>
      <c r="S465" s="642"/>
      <c r="T465" s="642"/>
      <c r="U465" s="642"/>
      <c r="V465" s="642"/>
      <c r="W465" s="642"/>
      <c r="X465" s="642"/>
      <c r="Y465" s="876"/>
      <c r="Z465" s="876"/>
      <c r="AA465" s="642"/>
      <c r="AB465" s="642"/>
      <c r="AC465" s="642"/>
      <c r="AD465" s="642"/>
      <c r="AE465" s="642"/>
      <c r="AF465" s="642"/>
      <c r="AG465" s="642"/>
      <c r="AH465" s="642"/>
      <c r="AK465" s="642"/>
      <c r="AL465" s="642"/>
      <c r="AM465" s="876"/>
      <c r="AN465" s="876"/>
      <c r="AQ465" s="642"/>
      <c r="AR465" s="642"/>
      <c r="AU465" s="642"/>
      <c r="AV465" s="642"/>
      <c r="AY465" s="642"/>
      <c r="AZ465" s="642"/>
      <c r="BA465" s="876"/>
      <c r="BB465" s="876"/>
      <c r="BC465" s="642"/>
      <c r="BD465" s="642"/>
      <c r="BG465" s="4590"/>
      <c r="BH465" s="4590"/>
      <c r="BI465" s="4590"/>
      <c r="BJ465" s="4590"/>
    </row>
    <row r="466" spans="1:62" ht="21" hidden="1" customHeight="1" x14ac:dyDescent="0.25">
      <c r="A466" s="154"/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876"/>
      <c r="N466" s="876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876"/>
      <c r="Z466" s="876"/>
      <c r="AA466" s="642"/>
      <c r="AB466" s="642"/>
      <c r="AC466" s="642"/>
      <c r="AD466" s="642"/>
      <c r="AE466" s="642"/>
      <c r="AF466" s="642"/>
      <c r="AG466" s="642"/>
      <c r="AH466" s="642"/>
      <c r="AK466" s="642"/>
      <c r="AL466" s="642"/>
      <c r="AM466" s="876"/>
      <c r="AN466" s="876"/>
      <c r="AQ466" s="642"/>
      <c r="AR466" s="642"/>
      <c r="AU466" s="642"/>
      <c r="AV466" s="642"/>
      <c r="AY466" s="642"/>
      <c r="AZ466" s="642"/>
      <c r="BA466" s="876"/>
      <c r="BB466" s="876"/>
      <c r="BC466" s="642"/>
      <c r="BD466" s="642"/>
      <c r="BG466" s="4590"/>
      <c r="BH466" s="4590"/>
      <c r="BI466" s="4590"/>
      <c r="BJ466" s="4590"/>
    </row>
    <row r="467" spans="1:62" ht="21" hidden="1" customHeight="1" x14ac:dyDescent="0.25">
      <c r="A467" s="154"/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876"/>
      <c r="N467" s="876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876"/>
      <c r="Z467" s="876"/>
      <c r="AA467" s="642"/>
      <c r="AB467" s="642"/>
      <c r="AC467" s="642"/>
      <c r="AD467" s="642"/>
      <c r="AE467" s="642"/>
      <c r="AF467" s="642"/>
      <c r="AG467" s="642"/>
      <c r="AH467" s="642"/>
      <c r="AK467" s="642"/>
      <c r="AL467" s="642"/>
      <c r="AM467" s="876"/>
      <c r="AN467" s="876"/>
      <c r="AQ467" s="642"/>
      <c r="AR467" s="642"/>
      <c r="AU467" s="642"/>
      <c r="AV467" s="642"/>
      <c r="AY467" s="642"/>
      <c r="AZ467" s="642"/>
      <c r="BA467" s="876"/>
      <c r="BB467" s="876"/>
      <c r="BC467" s="642"/>
      <c r="BD467" s="642"/>
      <c r="BG467" s="4590"/>
      <c r="BH467" s="4590"/>
      <c r="BI467" s="4590"/>
      <c r="BJ467" s="4590"/>
    </row>
    <row r="468" spans="1:62" ht="21" hidden="1" customHeight="1" x14ac:dyDescent="0.25">
      <c r="A468" s="154"/>
      <c r="B468" s="642"/>
      <c r="C468" s="642"/>
      <c r="D468" s="642"/>
      <c r="E468" s="642"/>
      <c r="F468" s="642"/>
      <c r="G468" s="642"/>
      <c r="H468" s="642"/>
      <c r="I468" s="642"/>
      <c r="J468" s="642"/>
      <c r="K468" s="642"/>
      <c r="L468" s="642"/>
      <c r="M468" s="876"/>
      <c r="N468" s="876"/>
      <c r="O468" s="642"/>
      <c r="P468" s="642"/>
      <c r="Q468" s="642"/>
      <c r="R468" s="642"/>
      <c r="S468" s="642"/>
      <c r="T468" s="642"/>
      <c r="U468" s="642"/>
      <c r="V468" s="642"/>
      <c r="W468" s="642"/>
      <c r="X468" s="642"/>
      <c r="Y468" s="876"/>
      <c r="Z468" s="876"/>
      <c r="AA468" s="642"/>
      <c r="AB468" s="642"/>
      <c r="AC468" s="642"/>
      <c r="AD468" s="642"/>
      <c r="AE468" s="642"/>
      <c r="AF468" s="642"/>
      <c r="AG468" s="642"/>
      <c r="AH468" s="642"/>
      <c r="AK468" s="642"/>
      <c r="AL468" s="642"/>
      <c r="AM468" s="876"/>
      <c r="AN468" s="876"/>
      <c r="AQ468" s="642"/>
      <c r="AR468" s="642"/>
      <c r="AU468" s="642"/>
      <c r="AV468" s="642"/>
      <c r="AY468" s="642"/>
      <c r="AZ468" s="642"/>
      <c r="BA468" s="876"/>
      <c r="BB468" s="876"/>
      <c r="BC468" s="642"/>
      <c r="BD468" s="642"/>
      <c r="BG468" s="4590"/>
      <c r="BH468" s="4590"/>
      <c r="BI468" s="4590"/>
      <c r="BJ468" s="4590"/>
    </row>
    <row r="469" spans="1:62" ht="21" hidden="1" customHeight="1" x14ac:dyDescent="0.25">
      <c r="A469" s="154"/>
      <c r="B469" s="642"/>
      <c r="C469" s="642"/>
      <c r="D469" s="642"/>
      <c r="E469" s="642"/>
      <c r="F469" s="642"/>
      <c r="G469" s="642"/>
      <c r="H469" s="642"/>
      <c r="I469" s="642"/>
      <c r="J469" s="642"/>
      <c r="K469" s="642"/>
      <c r="L469" s="642"/>
      <c r="M469" s="876"/>
      <c r="N469" s="876"/>
      <c r="O469" s="642"/>
      <c r="P469" s="642"/>
      <c r="Q469" s="642"/>
      <c r="R469" s="642"/>
      <c r="S469" s="642"/>
      <c r="T469" s="642"/>
      <c r="U469" s="642"/>
      <c r="V469" s="642"/>
      <c r="W469" s="642"/>
      <c r="X469" s="642"/>
      <c r="Y469" s="876"/>
      <c r="Z469" s="876"/>
      <c r="AA469" s="642"/>
      <c r="AB469" s="642"/>
      <c r="AC469" s="642"/>
      <c r="AD469" s="642"/>
      <c r="AE469" s="642"/>
      <c r="AF469" s="642"/>
      <c r="AG469" s="642"/>
      <c r="AH469" s="642"/>
      <c r="AK469" s="642"/>
      <c r="AL469" s="642"/>
      <c r="AM469" s="876"/>
      <c r="AN469" s="876"/>
      <c r="AQ469" s="642"/>
      <c r="AR469" s="642"/>
      <c r="AU469" s="642"/>
      <c r="AV469" s="642"/>
      <c r="AY469" s="642"/>
      <c r="AZ469" s="642"/>
      <c r="BA469" s="876"/>
      <c r="BB469" s="876"/>
      <c r="BC469" s="642"/>
      <c r="BD469" s="642"/>
      <c r="BG469" s="4590"/>
      <c r="BH469" s="4590"/>
      <c r="BI469" s="4590"/>
      <c r="BJ469" s="4590"/>
    </row>
    <row r="470" spans="1:62" ht="21" hidden="1" customHeight="1" x14ac:dyDescent="0.25">
      <c r="A470" s="154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876"/>
      <c r="N470" s="876"/>
      <c r="O470" s="642"/>
      <c r="P470" s="642"/>
      <c r="Q470" s="642"/>
      <c r="R470" s="642"/>
      <c r="S470" s="642"/>
      <c r="T470" s="642"/>
      <c r="U470" s="642"/>
      <c r="V470" s="642"/>
      <c r="W470" s="642"/>
      <c r="X470" s="642"/>
      <c r="Y470" s="876"/>
      <c r="Z470" s="876"/>
      <c r="AA470" s="642"/>
      <c r="AB470" s="642"/>
      <c r="AC470" s="642"/>
      <c r="AD470" s="642"/>
      <c r="AE470" s="642"/>
      <c r="AF470" s="642"/>
      <c r="AG470" s="642"/>
      <c r="AH470" s="642"/>
      <c r="AK470" s="642"/>
      <c r="AL470" s="642"/>
      <c r="AM470" s="876"/>
      <c r="AN470" s="876"/>
      <c r="AQ470" s="642"/>
      <c r="AR470" s="642"/>
      <c r="AU470" s="642"/>
      <c r="AV470" s="642"/>
      <c r="AY470" s="642"/>
      <c r="AZ470" s="642"/>
      <c r="BA470" s="876"/>
      <c r="BB470" s="876"/>
      <c r="BC470" s="642"/>
      <c r="BD470" s="642"/>
      <c r="BG470" s="4590"/>
      <c r="BH470" s="4590"/>
      <c r="BI470" s="4590"/>
      <c r="BJ470" s="4590"/>
    </row>
    <row r="471" spans="1:62" ht="21" hidden="1" customHeight="1" x14ac:dyDescent="0.25">
      <c r="A471" s="154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876"/>
      <c r="N471" s="876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876"/>
      <c r="Z471" s="876"/>
      <c r="AA471" s="642"/>
      <c r="AB471" s="642"/>
      <c r="AC471" s="642"/>
      <c r="AD471" s="642"/>
      <c r="AE471" s="642"/>
      <c r="AF471" s="642"/>
      <c r="AG471" s="642"/>
      <c r="AH471" s="642"/>
      <c r="AK471" s="642"/>
      <c r="AL471" s="642"/>
      <c r="AM471" s="876"/>
      <c r="AN471" s="876"/>
      <c r="AQ471" s="642"/>
      <c r="AR471" s="642"/>
      <c r="AU471" s="642"/>
      <c r="AV471" s="642"/>
      <c r="AY471" s="642"/>
      <c r="AZ471" s="642"/>
      <c r="BA471" s="876"/>
      <c r="BB471" s="876"/>
      <c r="BC471" s="642"/>
      <c r="BD471" s="642"/>
      <c r="BG471" s="4590"/>
      <c r="BH471" s="4590"/>
      <c r="BI471" s="4590"/>
      <c r="BJ471" s="4590"/>
    </row>
    <row r="472" spans="1:62" ht="21" hidden="1" customHeight="1" x14ac:dyDescent="0.25">
      <c r="A472" s="154"/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876"/>
      <c r="N472" s="876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876"/>
      <c r="Z472" s="876"/>
      <c r="AA472" s="642"/>
      <c r="AB472" s="642"/>
      <c r="AC472" s="642"/>
      <c r="AD472" s="642"/>
      <c r="AE472" s="642"/>
      <c r="AF472" s="642"/>
      <c r="AG472" s="642"/>
      <c r="AH472" s="642"/>
      <c r="AK472" s="642"/>
      <c r="AL472" s="642"/>
      <c r="AM472" s="876"/>
      <c r="AN472" s="876"/>
      <c r="AQ472" s="642"/>
      <c r="AR472" s="642"/>
      <c r="AU472" s="642"/>
      <c r="AV472" s="642"/>
      <c r="AY472" s="642"/>
      <c r="AZ472" s="642"/>
      <c r="BA472" s="876"/>
      <c r="BB472" s="876"/>
      <c r="BC472" s="642"/>
      <c r="BD472" s="642"/>
      <c r="BG472" s="4590"/>
      <c r="BH472" s="4590"/>
      <c r="BI472" s="4590"/>
      <c r="BJ472" s="4590"/>
    </row>
    <row r="473" spans="1:62" ht="21" hidden="1" customHeight="1" x14ac:dyDescent="0.25">
      <c r="A473" s="154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876"/>
      <c r="N473" s="876"/>
      <c r="O473" s="642"/>
      <c r="P473" s="642"/>
      <c r="Q473" s="642"/>
      <c r="R473" s="642"/>
      <c r="S473" s="642"/>
      <c r="T473" s="642"/>
      <c r="U473" s="642"/>
      <c r="V473" s="642"/>
      <c r="W473" s="642"/>
      <c r="X473" s="642"/>
      <c r="Y473" s="876"/>
      <c r="Z473" s="876"/>
      <c r="AA473" s="642"/>
      <c r="AB473" s="642"/>
      <c r="AC473" s="642"/>
      <c r="AD473" s="642"/>
      <c r="AE473" s="642"/>
      <c r="AF473" s="642"/>
      <c r="AG473" s="642"/>
      <c r="AH473" s="642"/>
      <c r="AK473" s="642"/>
      <c r="AL473" s="642"/>
      <c r="AM473" s="876"/>
      <c r="AN473" s="876"/>
      <c r="AQ473" s="642"/>
      <c r="AR473" s="642"/>
      <c r="AU473" s="642"/>
      <c r="AV473" s="642"/>
      <c r="AY473" s="642"/>
      <c r="AZ473" s="642"/>
      <c r="BA473" s="876"/>
      <c r="BB473" s="876"/>
      <c r="BC473" s="642"/>
      <c r="BD473" s="642"/>
      <c r="BG473" s="4590"/>
      <c r="BH473" s="4590"/>
      <c r="BI473" s="4590"/>
      <c r="BJ473" s="4590"/>
    </row>
    <row r="474" spans="1:62" ht="21" hidden="1" customHeight="1" x14ac:dyDescent="0.25">
      <c r="A474" s="154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876"/>
      <c r="N474" s="876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876"/>
      <c r="Z474" s="876"/>
      <c r="AA474" s="642"/>
      <c r="AB474" s="642"/>
      <c r="AC474" s="642"/>
      <c r="AD474" s="642"/>
      <c r="AE474" s="642"/>
      <c r="AF474" s="642"/>
      <c r="AG474" s="642"/>
      <c r="AH474" s="642"/>
      <c r="AK474" s="642"/>
      <c r="AL474" s="642"/>
      <c r="AM474" s="876"/>
      <c r="AN474" s="876"/>
      <c r="AQ474" s="642"/>
      <c r="AR474" s="642"/>
      <c r="AU474" s="642"/>
      <c r="AV474" s="642"/>
      <c r="AY474" s="642"/>
      <c r="AZ474" s="642"/>
      <c r="BA474" s="876"/>
      <c r="BB474" s="876"/>
      <c r="BC474" s="642"/>
      <c r="BD474" s="642"/>
      <c r="BG474" s="4590"/>
      <c r="BH474" s="4590"/>
      <c r="BI474" s="4590"/>
      <c r="BJ474" s="4590"/>
    </row>
    <row r="475" spans="1:62" ht="21" hidden="1" customHeight="1" x14ac:dyDescent="0.25">
      <c r="A475" s="154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876"/>
      <c r="N475" s="876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876"/>
      <c r="Z475" s="876"/>
      <c r="AA475" s="642"/>
      <c r="AB475" s="642"/>
      <c r="AC475" s="642"/>
      <c r="AD475" s="642"/>
      <c r="AE475" s="642"/>
      <c r="AF475" s="642"/>
      <c r="AG475" s="642"/>
      <c r="AH475" s="642"/>
      <c r="AK475" s="642"/>
      <c r="AL475" s="642"/>
      <c r="AM475" s="876"/>
      <c r="AN475" s="876"/>
      <c r="AQ475" s="642"/>
      <c r="AR475" s="642"/>
      <c r="AU475" s="642"/>
      <c r="AV475" s="642"/>
      <c r="AY475" s="642"/>
      <c r="AZ475" s="642"/>
      <c r="BA475" s="876"/>
      <c r="BB475" s="876"/>
      <c r="BC475" s="642"/>
      <c r="BD475" s="642"/>
      <c r="BG475" s="4590"/>
      <c r="BH475" s="4590"/>
      <c r="BI475" s="4590"/>
      <c r="BJ475" s="4590"/>
    </row>
    <row r="476" spans="1:62" ht="21" hidden="1" customHeight="1" x14ac:dyDescent="0.25">
      <c r="A476" s="154"/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876"/>
      <c r="N476" s="876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876"/>
      <c r="Z476" s="876"/>
      <c r="AA476" s="642"/>
      <c r="AB476" s="642"/>
      <c r="AC476" s="642"/>
      <c r="AD476" s="642"/>
      <c r="AE476" s="642"/>
      <c r="AF476" s="642"/>
      <c r="AG476" s="642"/>
      <c r="AH476" s="642"/>
      <c r="AK476" s="642"/>
      <c r="AL476" s="642"/>
      <c r="AM476" s="876"/>
      <c r="AN476" s="876"/>
      <c r="AQ476" s="642"/>
      <c r="AR476" s="642"/>
      <c r="AU476" s="642"/>
      <c r="AV476" s="642"/>
      <c r="AY476" s="642"/>
      <c r="AZ476" s="642"/>
      <c r="BA476" s="876"/>
      <c r="BB476" s="876"/>
      <c r="BC476" s="642"/>
      <c r="BD476" s="642"/>
      <c r="BG476" s="4590"/>
      <c r="BH476" s="4590"/>
      <c r="BI476" s="4590"/>
      <c r="BJ476" s="4590"/>
    </row>
    <row r="477" spans="1:62" ht="21" hidden="1" customHeight="1" x14ac:dyDescent="0.25">
      <c r="A477" s="154"/>
      <c r="B477" s="642"/>
      <c r="C477" s="642"/>
      <c r="D477" s="642"/>
      <c r="E477" s="642"/>
      <c r="F477" s="642"/>
      <c r="G477" s="642"/>
      <c r="H477" s="642"/>
      <c r="I477" s="642"/>
      <c r="J477" s="642"/>
      <c r="K477" s="642"/>
      <c r="L477" s="642"/>
      <c r="M477" s="876"/>
      <c r="N477" s="876"/>
      <c r="O477" s="642"/>
      <c r="P477" s="642"/>
      <c r="Q477" s="642"/>
      <c r="R477" s="642"/>
      <c r="S477" s="642"/>
      <c r="T477" s="642"/>
      <c r="U477" s="642"/>
      <c r="V477" s="642"/>
      <c r="W477" s="642"/>
      <c r="X477" s="642"/>
      <c r="Y477" s="876"/>
      <c r="Z477" s="876"/>
      <c r="AA477" s="642"/>
      <c r="AB477" s="642"/>
      <c r="AC477" s="642"/>
      <c r="AD477" s="642"/>
      <c r="AE477" s="642"/>
      <c r="AF477" s="642"/>
      <c r="AG477" s="642"/>
      <c r="AH477" s="642"/>
      <c r="AK477" s="642"/>
      <c r="AL477" s="642"/>
      <c r="AM477" s="876"/>
      <c r="AN477" s="876"/>
      <c r="AQ477" s="642"/>
      <c r="AR477" s="642"/>
      <c r="AU477" s="642"/>
      <c r="AV477" s="642"/>
      <c r="AY477" s="642"/>
      <c r="AZ477" s="642"/>
      <c r="BA477" s="876"/>
      <c r="BB477" s="876"/>
      <c r="BC477" s="642"/>
      <c r="BD477" s="642"/>
      <c r="BG477" s="4590"/>
      <c r="BH477" s="4590"/>
      <c r="BI477" s="4590"/>
      <c r="BJ477" s="4590"/>
    </row>
    <row r="478" spans="1:62" ht="21" hidden="1" customHeight="1" x14ac:dyDescent="0.25">
      <c r="A478" s="154"/>
      <c r="B478" s="642"/>
      <c r="C478" s="642"/>
      <c r="D478" s="642"/>
      <c r="E478" s="642"/>
      <c r="F478" s="642"/>
      <c r="G478" s="642"/>
      <c r="H478" s="642"/>
      <c r="I478" s="642"/>
      <c r="J478" s="642"/>
      <c r="K478" s="642"/>
      <c r="L478" s="642"/>
      <c r="M478" s="876"/>
      <c r="N478" s="876"/>
      <c r="O478" s="642"/>
      <c r="P478" s="642"/>
      <c r="Q478" s="642"/>
      <c r="R478" s="642"/>
      <c r="S478" s="642"/>
      <c r="T478" s="642"/>
      <c r="U478" s="642"/>
      <c r="V478" s="642"/>
      <c r="W478" s="642"/>
      <c r="X478" s="642"/>
      <c r="Y478" s="876"/>
      <c r="Z478" s="876"/>
      <c r="AA478" s="642"/>
      <c r="AB478" s="642"/>
      <c r="AC478" s="642"/>
      <c r="AD478" s="642"/>
      <c r="AE478" s="642"/>
      <c r="AF478" s="642"/>
      <c r="AG478" s="642"/>
      <c r="AH478" s="642"/>
      <c r="AK478" s="642"/>
      <c r="AL478" s="642"/>
      <c r="AM478" s="876"/>
      <c r="AN478" s="876"/>
      <c r="AQ478" s="642"/>
      <c r="AR478" s="642"/>
      <c r="AU478" s="642"/>
      <c r="AV478" s="642"/>
      <c r="AY478" s="642"/>
      <c r="AZ478" s="642"/>
      <c r="BA478" s="876"/>
      <c r="BB478" s="876"/>
      <c r="BC478" s="642"/>
      <c r="BD478" s="642"/>
      <c r="BG478" s="4590"/>
      <c r="BH478" s="4590"/>
      <c r="BI478" s="4590"/>
      <c r="BJ478" s="4590"/>
    </row>
    <row r="479" spans="1:62" ht="21" hidden="1" customHeight="1" x14ac:dyDescent="0.25">
      <c r="A479" s="154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876"/>
      <c r="N479" s="876"/>
      <c r="O479" s="642"/>
      <c r="P479" s="642"/>
      <c r="Q479" s="642"/>
      <c r="R479" s="642"/>
      <c r="S479" s="642"/>
      <c r="T479" s="642"/>
      <c r="U479" s="642"/>
      <c r="V479" s="642"/>
      <c r="W479" s="642"/>
      <c r="X479" s="642"/>
      <c r="Y479" s="876"/>
      <c r="Z479" s="876"/>
      <c r="AA479" s="642"/>
      <c r="AB479" s="642"/>
      <c r="AC479" s="642"/>
      <c r="AD479" s="642"/>
      <c r="AE479" s="642"/>
      <c r="AF479" s="642"/>
      <c r="AG479" s="642"/>
      <c r="AH479" s="642"/>
      <c r="AK479" s="642"/>
      <c r="AL479" s="642"/>
      <c r="AM479" s="876"/>
      <c r="AN479" s="876"/>
      <c r="AQ479" s="642"/>
      <c r="AR479" s="642"/>
      <c r="AU479" s="642"/>
      <c r="AV479" s="642"/>
      <c r="AY479" s="642"/>
      <c r="AZ479" s="642"/>
      <c r="BA479" s="876"/>
      <c r="BB479" s="876"/>
      <c r="BC479" s="642"/>
      <c r="BD479" s="642"/>
      <c r="BG479" s="4590"/>
      <c r="BH479" s="4590"/>
      <c r="BI479" s="4590"/>
      <c r="BJ479" s="4590"/>
    </row>
    <row r="480" spans="1:62" ht="21" hidden="1" customHeight="1" x14ac:dyDescent="0.25">
      <c r="A480" s="154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876"/>
      <c r="N480" s="876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876"/>
      <c r="Z480" s="876"/>
      <c r="AA480" s="642"/>
      <c r="AB480" s="642"/>
      <c r="AC480" s="642"/>
      <c r="AD480" s="642"/>
      <c r="AE480" s="642"/>
      <c r="AF480" s="642"/>
      <c r="AG480" s="642"/>
      <c r="AH480" s="642"/>
      <c r="AK480" s="642"/>
      <c r="AL480" s="642"/>
      <c r="AM480" s="876"/>
      <c r="AN480" s="876"/>
      <c r="AQ480" s="642"/>
      <c r="AR480" s="642"/>
      <c r="AU480" s="642"/>
      <c r="AV480" s="642"/>
      <c r="AY480" s="642"/>
      <c r="AZ480" s="642"/>
      <c r="BA480" s="876"/>
      <c r="BB480" s="876"/>
      <c r="BC480" s="642"/>
      <c r="BD480" s="642"/>
      <c r="BG480" s="4590"/>
      <c r="BH480" s="4590"/>
      <c r="BI480" s="4590"/>
      <c r="BJ480" s="4590"/>
    </row>
    <row r="481" spans="1:62" ht="21" hidden="1" customHeight="1" x14ac:dyDescent="0.25">
      <c r="A481" s="154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876"/>
      <c r="N481" s="876"/>
      <c r="O481" s="642"/>
      <c r="P481" s="642"/>
      <c r="Q481" s="642"/>
      <c r="R481" s="642"/>
      <c r="S481" s="642"/>
      <c r="T481" s="642"/>
      <c r="U481" s="642"/>
      <c r="V481" s="642"/>
      <c r="W481" s="642"/>
      <c r="X481" s="642"/>
      <c r="Y481" s="876"/>
      <c r="Z481" s="876"/>
      <c r="AA481" s="642"/>
      <c r="AB481" s="642"/>
      <c r="AC481" s="642"/>
      <c r="AD481" s="642"/>
      <c r="AE481" s="642"/>
      <c r="AF481" s="642"/>
      <c r="AG481" s="642"/>
      <c r="AH481" s="642"/>
      <c r="AK481" s="642"/>
      <c r="AL481" s="642"/>
      <c r="AM481" s="876"/>
      <c r="AN481" s="876"/>
      <c r="AQ481" s="642"/>
      <c r="AR481" s="642"/>
      <c r="AU481" s="642"/>
      <c r="AV481" s="642"/>
      <c r="AY481" s="642"/>
      <c r="AZ481" s="642"/>
      <c r="BA481" s="876"/>
      <c r="BB481" s="876"/>
      <c r="BC481" s="642"/>
      <c r="BD481" s="642"/>
      <c r="BG481" s="4590"/>
      <c r="BH481" s="4590"/>
      <c r="BI481" s="4590"/>
      <c r="BJ481" s="4590"/>
    </row>
    <row r="482" spans="1:62" ht="21" hidden="1" customHeight="1" x14ac:dyDescent="0.25">
      <c r="A482" s="154"/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876"/>
      <c r="N482" s="876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876"/>
      <c r="Z482" s="876"/>
      <c r="AA482" s="642"/>
      <c r="AB482" s="642"/>
      <c r="AC482" s="642"/>
      <c r="AD482" s="642"/>
      <c r="AE482" s="642"/>
      <c r="AF482" s="642"/>
      <c r="AG482" s="642"/>
      <c r="AH482" s="642"/>
      <c r="AK482" s="642"/>
      <c r="AL482" s="642"/>
      <c r="AM482" s="876"/>
      <c r="AN482" s="876"/>
      <c r="AQ482" s="642"/>
      <c r="AR482" s="642"/>
      <c r="AU482" s="642"/>
      <c r="AV482" s="642"/>
      <c r="AY482" s="642"/>
      <c r="AZ482" s="642"/>
      <c r="BA482" s="876"/>
      <c r="BB482" s="876"/>
      <c r="BC482" s="642"/>
      <c r="BD482" s="642"/>
      <c r="BG482" s="4590"/>
      <c r="BH482" s="4590"/>
      <c r="BI482" s="4590"/>
      <c r="BJ482" s="4590"/>
    </row>
    <row r="483" spans="1:62" ht="21" hidden="1" customHeight="1" x14ac:dyDescent="0.25">
      <c r="A483" s="154"/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876"/>
      <c r="N483" s="876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876"/>
      <c r="Z483" s="876"/>
      <c r="AA483" s="642"/>
      <c r="AB483" s="642"/>
      <c r="AC483" s="642"/>
      <c r="AD483" s="642"/>
      <c r="AE483" s="642"/>
      <c r="AF483" s="642"/>
      <c r="AG483" s="642"/>
      <c r="AH483" s="642"/>
      <c r="AK483" s="642"/>
      <c r="AL483" s="642"/>
      <c r="AM483" s="876"/>
      <c r="AN483" s="876"/>
      <c r="AQ483" s="642"/>
      <c r="AR483" s="642"/>
      <c r="AU483" s="642"/>
      <c r="AV483" s="642"/>
      <c r="AY483" s="642"/>
      <c r="AZ483" s="642"/>
      <c r="BA483" s="876"/>
      <c r="BB483" s="876"/>
      <c r="BC483" s="642"/>
      <c r="BD483" s="642"/>
      <c r="BG483" s="4590"/>
      <c r="BH483" s="4590"/>
      <c r="BI483" s="4590"/>
      <c r="BJ483" s="4590"/>
    </row>
    <row r="484" spans="1:62" ht="21" hidden="1" customHeight="1" x14ac:dyDescent="0.25">
      <c r="A484" s="154"/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876"/>
      <c r="N484" s="876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876"/>
      <c r="Z484" s="876"/>
      <c r="AA484" s="642"/>
      <c r="AB484" s="642"/>
      <c r="AC484" s="642"/>
      <c r="AD484" s="642"/>
      <c r="AE484" s="642"/>
      <c r="AF484" s="642"/>
      <c r="AG484" s="642"/>
      <c r="AH484" s="642"/>
      <c r="AK484" s="642"/>
      <c r="AL484" s="642"/>
      <c r="AM484" s="876"/>
      <c r="AN484" s="876"/>
      <c r="AQ484" s="642"/>
      <c r="AR484" s="642"/>
      <c r="AU484" s="642"/>
      <c r="AV484" s="642"/>
      <c r="AY484" s="642"/>
      <c r="AZ484" s="642"/>
      <c r="BA484" s="876"/>
      <c r="BB484" s="876"/>
      <c r="BC484" s="642"/>
      <c r="BD484" s="642"/>
      <c r="BG484" s="4590"/>
      <c r="BH484" s="4590"/>
      <c r="BI484" s="4590"/>
      <c r="BJ484" s="4590"/>
    </row>
    <row r="485" spans="1:62" ht="21" hidden="1" customHeight="1" x14ac:dyDescent="0.25">
      <c r="A485" s="154"/>
      <c r="B485" s="642"/>
      <c r="C485" s="642"/>
      <c r="D485" s="642"/>
      <c r="E485" s="642"/>
      <c r="F485" s="642"/>
      <c r="G485" s="642"/>
      <c r="H485" s="642"/>
      <c r="I485" s="642"/>
      <c r="J485" s="642"/>
      <c r="K485" s="642"/>
      <c r="L485" s="642"/>
      <c r="M485" s="876"/>
      <c r="N485" s="876"/>
      <c r="O485" s="642"/>
      <c r="P485" s="642"/>
      <c r="Q485" s="642"/>
      <c r="R485" s="642"/>
      <c r="S485" s="642"/>
      <c r="T485" s="642"/>
      <c r="U485" s="642"/>
      <c r="V485" s="642"/>
      <c r="W485" s="642"/>
      <c r="X485" s="642"/>
      <c r="Y485" s="876"/>
      <c r="Z485" s="876"/>
      <c r="AA485" s="642"/>
      <c r="AB485" s="642"/>
      <c r="AC485" s="642"/>
      <c r="AD485" s="642"/>
      <c r="AE485" s="642"/>
      <c r="AF485" s="642"/>
      <c r="AG485" s="642"/>
      <c r="AH485" s="642"/>
      <c r="AK485" s="642"/>
      <c r="AL485" s="642"/>
      <c r="AM485" s="876"/>
      <c r="AN485" s="876"/>
      <c r="AQ485" s="642"/>
      <c r="AR485" s="642"/>
      <c r="AU485" s="642"/>
      <c r="AV485" s="642"/>
      <c r="AY485" s="642"/>
      <c r="AZ485" s="642"/>
      <c r="BA485" s="876"/>
      <c r="BB485" s="876"/>
      <c r="BC485" s="642"/>
      <c r="BD485" s="642"/>
      <c r="BG485" s="4590"/>
      <c r="BH485" s="4590"/>
      <c r="BI485" s="4590"/>
      <c r="BJ485" s="4590"/>
    </row>
    <row r="486" spans="1:62" ht="21" hidden="1" customHeight="1" x14ac:dyDescent="0.25">
      <c r="A486" s="154"/>
      <c r="B486" s="642"/>
      <c r="C486" s="642"/>
      <c r="D486" s="642"/>
      <c r="E486" s="642"/>
      <c r="F486" s="642"/>
      <c r="G486" s="642"/>
      <c r="H486" s="642"/>
      <c r="I486" s="642"/>
      <c r="J486" s="642"/>
      <c r="K486" s="642"/>
      <c r="L486" s="642"/>
      <c r="M486" s="876"/>
      <c r="N486" s="876"/>
      <c r="O486" s="642"/>
      <c r="P486" s="642"/>
      <c r="Q486" s="642"/>
      <c r="R486" s="642"/>
      <c r="S486" s="642"/>
      <c r="T486" s="642"/>
      <c r="U486" s="642"/>
      <c r="V486" s="642"/>
      <c r="W486" s="642"/>
      <c r="X486" s="642"/>
      <c r="Y486" s="876"/>
      <c r="Z486" s="876"/>
      <c r="AA486" s="642"/>
      <c r="AB486" s="642"/>
      <c r="AC486" s="642"/>
      <c r="AD486" s="642"/>
      <c r="AE486" s="642"/>
      <c r="AF486" s="642"/>
      <c r="AG486" s="642"/>
      <c r="AH486" s="642"/>
      <c r="AK486" s="642"/>
      <c r="AL486" s="642"/>
      <c r="AM486" s="876"/>
      <c r="AN486" s="876"/>
      <c r="AQ486" s="642"/>
      <c r="AR486" s="642"/>
      <c r="AU486" s="642"/>
      <c r="AV486" s="642"/>
      <c r="AY486" s="642"/>
      <c r="AZ486" s="642"/>
      <c r="BA486" s="876"/>
      <c r="BB486" s="876"/>
      <c r="BC486" s="642"/>
      <c r="BD486" s="642"/>
      <c r="BG486" s="4590"/>
      <c r="BH486" s="4590"/>
      <c r="BI486" s="4590"/>
      <c r="BJ486" s="4590"/>
    </row>
    <row r="487" spans="1:62" ht="21" hidden="1" customHeight="1" x14ac:dyDescent="0.25">
      <c r="A487" s="154"/>
      <c r="B487" s="642"/>
      <c r="C487" s="642"/>
      <c r="D487" s="642"/>
      <c r="E487" s="642"/>
      <c r="F487" s="642"/>
      <c r="G487" s="642"/>
      <c r="H487" s="642"/>
      <c r="I487" s="642"/>
      <c r="J487" s="642"/>
      <c r="K487" s="642"/>
      <c r="L487" s="642"/>
      <c r="M487" s="876"/>
      <c r="N487" s="876"/>
      <c r="O487" s="642"/>
      <c r="P487" s="642"/>
      <c r="Q487" s="642"/>
      <c r="R487" s="642"/>
      <c r="S487" s="642"/>
      <c r="T487" s="642"/>
      <c r="U487" s="642"/>
      <c r="V487" s="642"/>
      <c r="W487" s="642"/>
      <c r="X487" s="642"/>
      <c r="Y487" s="876"/>
      <c r="Z487" s="876"/>
      <c r="AA487" s="642"/>
      <c r="AB487" s="642"/>
      <c r="AC487" s="642"/>
      <c r="AD487" s="642"/>
      <c r="AE487" s="642"/>
      <c r="AF487" s="642"/>
      <c r="AG487" s="642"/>
      <c r="AH487" s="642"/>
      <c r="AK487" s="642"/>
      <c r="AL487" s="642"/>
      <c r="AM487" s="876"/>
      <c r="AN487" s="876"/>
      <c r="AQ487" s="642"/>
      <c r="AR487" s="642"/>
      <c r="AU487" s="642"/>
      <c r="AV487" s="642"/>
      <c r="AY487" s="642"/>
      <c r="AZ487" s="642"/>
      <c r="BA487" s="876"/>
      <c r="BB487" s="876"/>
      <c r="BC487" s="642"/>
      <c r="BD487" s="642"/>
      <c r="BG487" s="4590"/>
      <c r="BH487" s="4590"/>
      <c r="BI487" s="4590"/>
      <c r="BJ487" s="4590"/>
    </row>
    <row r="488" spans="1:62" ht="21" hidden="1" customHeight="1" x14ac:dyDescent="0.25">
      <c r="A488" s="154"/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876"/>
      <c r="N488" s="876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876"/>
      <c r="Z488" s="876"/>
      <c r="AA488" s="642"/>
      <c r="AB488" s="642"/>
      <c r="AC488" s="642"/>
      <c r="AD488" s="642"/>
      <c r="AE488" s="642"/>
      <c r="AF488" s="642"/>
      <c r="AG488" s="642"/>
      <c r="AH488" s="642"/>
      <c r="AK488" s="642"/>
      <c r="AL488" s="642"/>
      <c r="AM488" s="876"/>
      <c r="AN488" s="876"/>
      <c r="AQ488" s="642"/>
      <c r="AR488" s="642"/>
      <c r="AU488" s="642"/>
      <c r="AV488" s="642"/>
      <c r="AY488" s="642"/>
      <c r="AZ488" s="642"/>
      <c r="BA488" s="876"/>
      <c r="BB488" s="876"/>
      <c r="BC488" s="642"/>
      <c r="BD488" s="642"/>
      <c r="BG488" s="4590"/>
      <c r="BH488" s="4590"/>
      <c r="BI488" s="4590"/>
      <c r="BJ488" s="4590"/>
    </row>
    <row r="489" spans="1:62" ht="21" hidden="1" customHeight="1" x14ac:dyDescent="0.25">
      <c r="A489" s="154"/>
      <c r="B489" s="642"/>
      <c r="C489" s="642"/>
      <c r="D489" s="642"/>
      <c r="E489" s="642"/>
      <c r="F489" s="642"/>
      <c r="G489" s="642"/>
      <c r="H489" s="642"/>
      <c r="I489" s="642"/>
      <c r="J489" s="642"/>
      <c r="K489" s="642"/>
      <c r="L489" s="642"/>
      <c r="M489" s="876"/>
      <c r="N489" s="876"/>
      <c r="O489" s="642"/>
      <c r="P489" s="642"/>
      <c r="Q489" s="642"/>
      <c r="R489" s="642"/>
      <c r="S489" s="642"/>
      <c r="T489" s="642"/>
      <c r="U489" s="642"/>
      <c r="V489" s="642"/>
      <c r="W489" s="642"/>
      <c r="X489" s="642"/>
      <c r="Y489" s="876"/>
      <c r="Z489" s="876"/>
      <c r="AA489" s="642"/>
      <c r="AB489" s="642"/>
      <c r="AC489" s="642"/>
      <c r="AD489" s="642"/>
      <c r="AE489" s="642"/>
      <c r="AF489" s="642"/>
      <c r="AG489" s="642"/>
      <c r="AH489" s="642"/>
      <c r="AK489" s="642"/>
      <c r="AL489" s="642"/>
      <c r="AM489" s="876"/>
      <c r="AN489" s="876"/>
      <c r="AQ489" s="642"/>
      <c r="AR489" s="642"/>
      <c r="AU489" s="642"/>
      <c r="AV489" s="642"/>
      <c r="AY489" s="642"/>
      <c r="AZ489" s="642"/>
      <c r="BA489" s="876"/>
      <c r="BB489" s="876"/>
      <c r="BC489" s="642"/>
      <c r="BD489" s="642"/>
      <c r="BG489" s="4590"/>
      <c r="BH489" s="4590"/>
      <c r="BI489" s="4590"/>
      <c r="BJ489" s="4590"/>
    </row>
    <row r="490" spans="1:62" ht="21" hidden="1" customHeight="1" x14ac:dyDescent="0.25">
      <c r="A490" s="154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876"/>
      <c r="N490" s="876"/>
      <c r="O490" s="642"/>
      <c r="P490" s="642"/>
      <c r="Q490" s="642"/>
      <c r="R490" s="642"/>
      <c r="S490" s="642"/>
      <c r="T490" s="642"/>
      <c r="U490" s="642"/>
      <c r="V490" s="642"/>
      <c r="W490" s="642"/>
      <c r="X490" s="642"/>
      <c r="Y490" s="876"/>
      <c r="Z490" s="876"/>
      <c r="AA490" s="642"/>
      <c r="AB490" s="642"/>
      <c r="AC490" s="642"/>
      <c r="AD490" s="642"/>
      <c r="AE490" s="642"/>
      <c r="AF490" s="642"/>
      <c r="AG490" s="642"/>
      <c r="AH490" s="642"/>
      <c r="AK490" s="642"/>
      <c r="AL490" s="642"/>
      <c r="AM490" s="876"/>
      <c r="AN490" s="876"/>
      <c r="AQ490" s="642"/>
      <c r="AR490" s="642"/>
      <c r="AU490" s="642"/>
      <c r="AV490" s="642"/>
      <c r="AY490" s="642"/>
      <c r="AZ490" s="642"/>
      <c r="BA490" s="876"/>
      <c r="BB490" s="876"/>
      <c r="BC490" s="642"/>
      <c r="BD490" s="642"/>
      <c r="BG490" s="4590"/>
      <c r="BH490" s="4590"/>
      <c r="BI490" s="4590"/>
      <c r="BJ490" s="4590"/>
    </row>
    <row r="491" spans="1:62" ht="21" hidden="1" customHeight="1" x14ac:dyDescent="0.25">
      <c r="A491" s="154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876"/>
      <c r="N491" s="876"/>
      <c r="O491" s="642"/>
      <c r="P491" s="642"/>
      <c r="Q491" s="642"/>
      <c r="R491" s="642"/>
      <c r="S491" s="642"/>
      <c r="T491" s="642"/>
      <c r="U491" s="642"/>
      <c r="V491" s="642"/>
      <c r="W491" s="642"/>
      <c r="X491" s="642"/>
      <c r="Y491" s="876"/>
      <c r="Z491" s="876"/>
      <c r="AA491" s="642"/>
      <c r="AB491" s="642"/>
      <c r="AC491" s="642"/>
      <c r="AD491" s="642"/>
      <c r="AE491" s="642"/>
      <c r="AF491" s="642"/>
      <c r="AG491" s="642"/>
      <c r="AH491" s="642"/>
      <c r="AK491" s="642"/>
      <c r="AL491" s="642"/>
      <c r="AM491" s="876"/>
      <c r="AN491" s="876"/>
      <c r="AQ491" s="642"/>
      <c r="AR491" s="642"/>
      <c r="AU491" s="642"/>
      <c r="AV491" s="642"/>
      <c r="AY491" s="642"/>
      <c r="AZ491" s="642"/>
      <c r="BA491" s="876"/>
      <c r="BB491" s="876"/>
      <c r="BC491" s="642"/>
      <c r="BD491" s="642"/>
      <c r="BG491" s="4590"/>
      <c r="BH491" s="4590"/>
      <c r="BI491" s="4590"/>
      <c r="BJ491" s="4590"/>
    </row>
    <row r="492" spans="1:62" ht="21" hidden="1" customHeight="1" x14ac:dyDescent="0.25">
      <c r="A492" s="154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876"/>
      <c r="N492" s="876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876"/>
      <c r="Z492" s="876"/>
      <c r="AA492" s="642"/>
      <c r="AB492" s="642"/>
      <c r="AC492" s="642"/>
      <c r="AD492" s="642"/>
      <c r="AE492" s="642"/>
      <c r="AF492" s="642"/>
      <c r="AG492" s="642"/>
      <c r="AH492" s="642"/>
      <c r="AK492" s="642"/>
      <c r="AL492" s="642"/>
      <c r="AM492" s="876"/>
      <c r="AN492" s="876"/>
      <c r="AQ492" s="642"/>
      <c r="AR492" s="642"/>
      <c r="AU492" s="642"/>
      <c r="AV492" s="642"/>
      <c r="AY492" s="642"/>
      <c r="AZ492" s="642"/>
      <c r="BA492" s="876"/>
      <c r="BB492" s="876"/>
      <c r="BC492" s="642"/>
      <c r="BD492" s="642"/>
      <c r="BG492" s="4590"/>
      <c r="BH492" s="4590"/>
      <c r="BI492" s="4590"/>
      <c r="BJ492" s="4590"/>
    </row>
    <row r="493" spans="1:62" ht="21" hidden="1" customHeight="1" x14ac:dyDescent="0.25">
      <c r="A493" s="154"/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876"/>
      <c r="N493" s="876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876"/>
      <c r="Z493" s="876"/>
      <c r="AA493" s="642"/>
      <c r="AB493" s="642"/>
      <c r="AC493" s="642"/>
      <c r="AD493" s="642"/>
      <c r="AE493" s="642"/>
      <c r="AF493" s="642"/>
      <c r="AG493" s="642"/>
      <c r="AH493" s="642"/>
      <c r="AK493" s="642"/>
      <c r="AL493" s="642"/>
      <c r="AM493" s="876"/>
      <c r="AN493" s="876"/>
      <c r="AQ493" s="642"/>
      <c r="AR493" s="642"/>
      <c r="AU493" s="642"/>
      <c r="AV493" s="642"/>
      <c r="AY493" s="642"/>
      <c r="AZ493" s="642"/>
      <c r="BA493" s="876"/>
      <c r="BB493" s="876"/>
      <c r="BC493" s="642"/>
      <c r="BD493" s="642"/>
      <c r="BG493" s="4590"/>
      <c r="BH493" s="4590"/>
      <c r="BI493" s="4590"/>
      <c r="BJ493" s="4590"/>
    </row>
    <row r="494" spans="1:62" ht="21" hidden="1" customHeight="1" x14ac:dyDescent="0.25">
      <c r="A494" s="154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876"/>
      <c r="N494" s="876"/>
      <c r="O494" s="642"/>
      <c r="P494" s="642"/>
      <c r="Q494" s="642"/>
      <c r="R494" s="642"/>
      <c r="S494" s="642"/>
      <c r="T494" s="642"/>
      <c r="U494" s="642"/>
      <c r="V494" s="642"/>
      <c r="W494" s="642"/>
      <c r="X494" s="642"/>
      <c r="Y494" s="876"/>
      <c r="Z494" s="876"/>
      <c r="AA494" s="642"/>
      <c r="AB494" s="642"/>
      <c r="AC494" s="642"/>
      <c r="AD494" s="642"/>
      <c r="AE494" s="642"/>
      <c r="AF494" s="642"/>
      <c r="AG494" s="642"/>
      <c r="AH494" s="642"/>
      <c r="AK494" s="642"/>
      <c r="AL494" s="642"/>
      <c r="AM494" s="876"/>
      <c r="AN494" s="876"/>
      <c r="AQ494" s="642"/>
      <c r="AR494" s="642"/>
      <c r="AU494" s="642"/>
      <c r="AV494" s="642"/>
      <c r="AY494" s="642"/>
      <c r="AZ494" s="642"/>
      <c r="BA494" s="876"/>
      <c r="BB494" s="876"/>
      <c r="BC494" s="642"/>
      <c r="BD494" s="642"/>
      <c r="BG494" s="4590"/>
      <c r="BH494" s="4590"/>
      <c r="BI494" s="4590"/>
      <c r="BJ494" s="4590"/>
    </row>
    <row r="495" spans="1:62" ht="21" hidden="1" customHeight="1" x14ac:dyDescent="0.25">
      <c r="A495" s="154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876"/>
      <c r="N495" s="876"/>
      <c r="O495" s="642"/>
      <c r="P495" s="642"/>
      <c r="Q495" s="642"/>
      <c r="R495" s="642"/>
      <c r="S495" s="642"/>
      <c r="T495" s="642"/>
      <c r="U495" s="642"/>
      <c r="V495" s="642"/>
      <c r="W495" s="642"/>
      <c r="X495" s="642"/>
      <c r="Y495" s="876"/>
      <c r="Z495" s="876"/>
      <c r="AA495" s="642"/>
      <c r="AB495" s="642"/>
      <c r="AC495" s="642"/>
      <c r="AD495" s="642"/>
      <c r="AE495" s="642"/>
      <c r="AF495" s="642"/>
      <c r="AG495" s="642"/>
      <c r="AH495" s="642"/>
      <c r="AK495" s="642"/>
      <c r="AL495" s="642"/>
      <c r="AM495" s="876"/>
      <c r="AN495" s="876"/>
      <c r="AQ495" s="642"/>
      <c r="AR495" s="642"/>
      <c r="AU495" s="642"/>
      <c r="AV495" s="642"/>
      <c r="AY495" s="642"/>
      <c r="AZ495" s="642"/>
      <c r="BA495" s="876"/>
      <c r="BB495" s="876"/>
      <c r="BC495" s="642"/>
      <c r="BD495" s="642"/>
      <c r="BG495" s="4590"/>
      <c r="BH495" s="4590"/>
      <c r="BI495" s="4590"/>
      <c r="BJ495" s="4590"/>
    </row>
    <row r="496" spans="1:62" ht="21" hidden="1" customHeight="1" x14ac:dyDescent="0.25">
      <c r="A496" s="154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876"/>
      <c r="N496" s="876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876"/>
      <c r="Z496" s="876"/>
      <c r="AA496" s="642"/>
      <c r="AB496" s="642"/>
      <c r="AC496" s="642"/>
      <c r="AD496" s="642"/>
      <c r="AE496" s="642"/>
      <c r="AF496" s="642"/>
      <c r="AG496" s="642"/>
      <c r="AH496" s="642"/>
      <c r="AK496" s="642"/>
      <c r="AL496" s="642"/>
      <c r="AM496" s="876"/>
      <c r="AN496" s="876"/>
      <c r="AQ496" s="642"/>
      <c r="AR496" s="642"/>
      <c r="AU496" s="642"/>
      <c r="AV496" s="642"/>
      <c r="AY496" s="642"/>
      <c r="AZ496" s="642"/>
      <c r="BA496" s="876"/>
      <c r="BB496" s="876"/>
      <c r="BC496" s="642"/>
      <c r="BD496" s="642"/>
      <c r="BG496" s="4590"/>
      <c r="BH496" s="4590"/>
      <c r="BI496" s="4590"/>
      <c r="BJ496" s="4590"/>
    </row>
    <row r="497" spans="1:62" ht="21" hidden="1" customHeight="1" x14ac:dyDescent="0.25">
      <c r="A497" s="154"/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876"/>
      <c r="N497" s="876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876"/>
      <c r="Z497" s="876"/>
      <c r="AA497" s="642"/>
      <c r="AB497" s="642"/>
      <c r="AC497" s="642"/>
      <c r="AD497" s="642"/>
      <c r="AE497" s="642"/>
      <c r="AF497" s="642"/>
      <c r="AG497" s="642"/>
      <c r="AH497" s="642"/>
      <c r="AK497" s="642"/>
      <c r="AL497" s="642"/>
      <c r="AM497" s="876"/>
      <c r="AN497" s="876"/>
      <c r="AQ497" s="642"/>
      <c r="AR497" s="642"/>
      <c r="AU497" s="642"/>
      <c r="AV497" s="642"/>
      <c r="AY497" s="642"/>
      <c r="AZ497" s="642"/>
      <c r="BA497" s="876"/>
      <c r="BB497" s="876"/>
      <c r="BC497" s="642"/>
      <c r="BD497" s="642"/>
      <c r="BG497" s="4590"/>
      <c r="BH497" s="4590"/>
      <c r="BI497" s="4590"/>
      <c r="BJ497" s="4590"/>
    </row>
    <row r="498" spans="1:62" ht="21" hidden="1" customHeight="1" x14ac:dyDescent="0.25">
      <c r="A498" s="154"/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876"/>
      <c r="N498" s="876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876"/>
      <c r="Z498" s="876"/>
      <c r="AA498" s="642"/>
      <c r="AB498" s="642"/>
      <c r="AC498" s="642"/>
      <c r="AD498" s="642"/>
      <c r="AE498" s="642"/>
      <c r="AF498" s="642"/>
      <c r="AG498" s="642"/>
      <c r="AH498" s="642"/>
      <c r="AK498" s="642"/>
      <c r="AL498" s="642"/>
      <c r="AM498" s="876"/>
      <c r="AN498" s="876"/>
      <c r="AQ498" s="642"/>
      <c r="AR498" s="642"/>
      <c r="AU498" s="642"/>
      <c r="AV498" s="642"/>
      <c r="AY498" s="642"/>
      <c r="AZ498" s="642"/>
      <c r="BA498" s="876"/>
      <c r="BB498" s="876"/>
      <c r="BC498" s="642"/>
      <c r="BD498" s="642"/>
      <c r="BG498" s="4590"/>
      <c r="BH498" s="4590"/>
      <c r="BI498" s="4590"/>
      <c r="BJ498" s="4590"/>
    </row>
    <row r="499" spans="1:62" ht="21" hidden="1" customHeight="1" x14ac:dyDescent="0.25">
      <c r="A499" s="154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876"/>
      <c r="N499" s="876"/>
      <c r="O499" s="642"/>
      <c r="P499" s="642"/>
      <c r="Q499" s="642"/>
      <c r="R499" s="642"/>
      <c r="S499" s="642"/>
      <c r="T499" s="642"/>
      <c r="U499" s="642"/>
      <c r="V499" s="642"/>
      <c r="W499" s="642"/>
      <c r="X499" s="642"/>
      <c r="Y499" s="876"/>
      <c r="Z499" s="876"/>
      <c r="AA499" s="642"/>
      <c r="AB499" s="642"/>
      <c r="AC499" s="642"/>
      <c r="AD499" s="642"/>
      <c r="AE499" s="642"/>
      <c r="AF499" s="642"/>
      <c r="AG499" s="642"/>
      <c r="AH499" s="642"/>
      <c r="AK499" s="642"/>
      <c r="AL499" s="642"/>
      <c r="AM499" s="876"/>
      <c r="AN499" s="876"/>
      <c r="AQ499" s="642"/>
      <c r="AR499" s="642"/>
      <c r="AU499" s="642"/>
      <c r="AV499" s="642"/>
      <c r="AY499" s="642"/>
      <c r="AZ499" s="642"/>
      <c r="BA499" s="876"/>
      <c r="BB499" s="876"/>
      <c r="BC499" s="642"/>
      <c r="BD499" s="642"/>
      <c r="BG499" s="4590"/>
      <c r="BH499" s="4590"/>
      <c r="BI499" s="4590"/>
      <c r="BJ499" s="4590"/>
    </row>
    <row r="500" spans="1:62" ht="21" hidden="1" customHeight="1" x14ac:dyDescent="0.25">
      <c r="A500" s="154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876"/>
      <c r="N500" s="876"/>
      <c r="O500" s="642"/>
      <c r="P500" s="642"/>
      <c r="Q500" s="642"/>
      <c r="R500" s="642"/>
      <c r="S500" s="642"/>
      <c r="T500" s="642"/>
      <c r="U500" s="642"/>
      <c r="V500" s="642"/>
      <c r="W500" s="642"/>
      <c r="X500" s="642"/>
      <c r="Y500" s="876"/>
      <c r="Z500" s="876"/>
      <c r="AA500" s="642"/>
      <c r="AB500" s="642"/>
      <c r="AC500" s="642"/>
      <c r="AD500" s="642"/>
      <c r="AE500" s="642"/>
      <c r="AF500" s="642"/>
      <c r="AG500" s="642"/>
      <c r="AH500" s="642"/>
      <c r="AK500" s="642"/>
      <c r="AL500" s="642"/>
      <c r="AM500" s="876"/>
      <c r="AN500" s="876"/>
      <c r="AQ500" s="642"/>
      <c r="AR500" s="642"/>
      <c r="AU500" s="642"/>
      <c r="AV500" s="642"/>
      <c r="AY500" s="642"/>
      <c r="AZ500" s="642"/>
      <c r="BA500" s="876"/>
      <c r="BB500" s="876"/>
      <c r="BC500" s="642"/>
      <c r="BD500" s="642"/>
      <c r="BG500" s="4590"/>
      <c r="BH500" s="4590"/>
      <c r="BI500" s="4590"/>
      <c r="BJ500" s="4590"/>
    </row>
    <row r="501" spans="1:62" ht="21" hidden="1" customHeight="1" x14ac:dyDescent="0.25">
      <c r="A501" s="154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876"/>
      <c r="N501" s="876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876"/>
      <c r="Z501" s="876"/>
      <c r="AA501" s="642"/>
      <c r="AB501" s="642"/>
      <c r="AC501" s="642"/>
      <c r="AD501" s="642"/>
      <c r="AE501" s="642"/>
      <c r="AF501" s="642"/>
      <c r="AG501" s="642"/>
      <c r="AH501" s="642"/>
      <c r="AK501" s="642"/>
      <c r="AL501" s="642"/>
      <c r="AM501" s="876"/>
      <c r="AN501" s="876"/>
      <c r="AQ501" s="642"/>
      <c r="AR501" s="642"/>
      <c r="AU501" s="642"/>
      <c r="AV501" s="642"/>
      <c r="AY501" s="642"/>
      <c r="AZ501" s="642"/>
      <c r="BA501" s="876"/>
      <c r="BB501" s="876"/>
      <c r="BC501" s="642"/>
      <c r="BD501" s="642"/>
      <c r="BG501" s="4590"/>
      <c r="BH501" s="4590"/>
      <c r="BI501" s="4590"/>
      <c r="BJ501" s="4590"/>
    </row>
    <row r="502" spans="1:62" ht="21" hidden="1" customHeight="1" x14ac:dyDescent="0.25">
      <c r="A502" s="154"/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876"/>
      <c r="N502" s="876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876"/>
      <c r="Z502" s="876"/>
      <c r="AA502" s="642"/>
      <c r="AB502" s="642"/>
      <c r="AC502" s="642"/>
      <c r="AD502" s="642"/>
      <c r="AE502" s="642"/>
      <c r="AF502" s="642"/>
      <c r="AG502" s="642"/>
      <c r="AH502" s="642"/>
      <c r="AK502" s="642"/>
      <c r="AL502" s="642"/>
      <c r="AM502" s="876"/>
      <c r="AN502" s="876"/>
      <c r="AQ502" s="642"/>
      <c r="AR502" s="642"/>
      <c r="AU502" s="642"/>
      <c r="AV502" s="642"/>
      <c r="AY502" s="642"/>
      <c r="AZ502" s="642"/>
      <c r="BA502" s="876"/>
      <c r="BB502" s="876"/>
      <c r="BC502" s="642"/>
      <c r="BD502" s="642"/>
      <c r="BG502" s="4590"/>
      <c r="BH502" s="4590"/>
      <c r="BI502" s="4590"/>
      <c r="BJ502" s="4590"/>
    </row>
    <row r="503" spans="1:62" ht="21" hidden="1" customHeight="1" x14ac:dyDescent="0.25">
      <c r="A503" s="154"/>
      <c r="B503" s="642"/>
      <c r="C503" s="642"/>
      <c r="D503" s="642"/>
      <c r="E503" s="642"/>
      <c r="F503" s="642"/>
      <c r="G503" s="642"/>
      <c r="H503" s="642"/>
      <c r="I503" s="642"/>
      <c r="J503" s="642"/>
      <c r="K503" s="642"/>
      <c r="L503" s="642"/>
      <c r="M503" s="876"/>
      <c r="N503" s="876"/>
      <c r="O503" s="642"/>
      <c r="P503" s="642"/>
      <c r="Q503" s="642"/>
      <c r="R503" s="642"/>
      <c r="S503" s="642"/>
      <c r="T503" s="642"/>
      <c r="U503" s="642"/>
      <c r="V503" s="642"/>
      <c r="W503" s="642"/>
      <c r="X503" s="642"/>
      <c r="Y503" s="876"/>
      <c r="Z503" s="876"/>
      <c r="AA503" s="642"/>
      <c r="AB503" s="642"/>
      <c r="AC503" s="642"/>
      <c r="AD503" s="642"/>
      <c r="AE503" s="642"/>
      <c r="AF503" s="642"/>
      <c r="AG503" s="642"/>
      <c r="AH503" s="642"/>
      <c r="AK503" s="642"/>
      <c r="AL503" s="642"/>
      <c r="AM503" s="876"/>
      <c r="AN503" s="876"/>
      <c r="AQ503" s="642"/>
      <c r="AR503" s="642"/>
      <c r="AU503" s="642"/>
      <c r="AV503" s="642"/>
      <c r="AY503" s="642"/>
      <c r="AZ503" s="642"/>
      <c r="BA503" s="876"/>
      <c r="BB503" s="876"/>
      <c r="BC503" s="642"/>
      <c r="BD503" s="642"/>
      <c r="BG503" s="4590"/>
      <c r="BH503" s="4590"/>
      <c r="BI503" s="4590"/>
      <c r="BJ503" s="4590"/>
    </row>
    <row r="504" spans="1:62" ht="21" hidden="1" customHeight="1" x14ac:dyDescent="0.25">
      <c r="A504" s="154"/>
      <c r="B504" s="642"/>
      <c r="C504" s="642"/>
      <c r="D504" s="642"/>
      <c r="E504" s="642"/>
      <c r="F504" s="642"/>
      <c r="G504" s="642"/>
      <c r="H504" s="642"/>
      <c r="I504" s="642"/>
      <c r="J504" s="642"/>
      <c r="K504" s="642"/>
      <c r="L504" s="642"/>
      <c r="M504" s="876"/>
      <c r="N504" s="876"/>
      <c r="O504" s="642"/>
      <c r="P504" s="642"/>
      <c r="Q504" s="642"/>
      <c r="R504" s="642"/>
      <c r="S504" s="642"/>
      <c r="T504" s="642"/>
      <c r="U504" s="642"/>
      <c r="V504" s="642"/>
      <c r="W504" s="642"/>
      <c r="X504" s="642"/>
      <c r="Y504" s="876"/>
      <c r="Z504" s="876"/>
      <c r="AA504" s="642"/>
      <c r="AB504" s="642"/>
      <c r="AC504" s="642"/>
      <c r="AD504" s="642"/>
      <c r="AE504" s="642"/>
      <c r="AF504" s="642"/>
      <c r="AG504" s="642"/>
      <c r="AH504" s="642"/>
      <c r="AK504" s="642"/>
      <c r="AL504" s="642"/>
      <c r="AM504" s="876"/>
      <c r="AN504" s="876"/>
      <c r="AQ504" s="642"/>
      <c r="AR504" s="642"/>
      <c r="AU504" s="642"/>
      <c r="AV504" s="642"/>
      <c r="AY504" s="642"/>
      <c r="AZ504" s="642"/>
      <c r="BA504" s="876"/>
      <c r="BB504" s="876"/>
      <c r="BC504" s="642"/>
      <c r="BD504" s="642"/>
      <c r="BG504" s="4590"/>
      <c r="BH504" s="4590"/>
      <c r="BI504" s="4590"/>
      <c r="BJ504" s="4590"/>
    </row>
    <row r="505" spans="1:62" ht="21" hidden="1" customHeight="1" x14ac:dyDescent="0.25">
      <c r="A505" s="154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876"/>
      <c r="N505" s="876"/>
      <c r="O505" s="642"/>
      <c r="P505" s="642"/>
      <c r="Q505" s="642"/>
      <c r="R505" s="642"/>
      <c r="S505" s="642"/>
      <c r="T505" s="642"/>
      <c r="U505" s="642"/>
      <c r="V505" s="642"/>
      <c r="W505" s="642"/>
      <c r="X505" s="642"/>
      <c r="Y505" s="876"/>
      <c r="Z505" s="876"/>
      <c r="AA505" s="642"/>
      <c r="AB505" s="642"/>
      <c r="AC505" s="642"/>
      <c r="AD505" s="642"/>
      <c r="AE505" s="642"/>
      <c r="AF505" s="642"/>
      <c r="AG505" s="642"/>
      <c r="AH505" s="642"/>
      <c r="AK505" s="642"/>
      <c r="AL505" s="642"/>
      <c r="AM505" s="876"/>
      <c r="AN505" s="876"/>
      <c r="AQ505" s="642"/>
      <c r="AR505" s="642"/>
      <c r="AU505" s="642"/>
      <c r="AV505" s="642"/>
      <c r="AY505" s="642"/>
      <c r="AZ505" s="642"/>
      <c r="BA505" s="876"/>
      <c r="BB505" s="876"/>
      <c r="BC505" s="642"/>
      <c r="BD505" s="642"/>
      <c r="BG505" s="4590"/>
      <c r="BH505" s="4590"/>
      <c r="BI505" s="4590"/>
      <c r="BJ505" s="4590"/>
    </row>
    <row r="506" spans="1:62" ht="21" hidden="1" customHeight="1" x14ac:dyDescent="0.25">
      <c r="A506" s="154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876"/>
      <c r="N506" s="876"/>
      <c r="O506" s="642"/>
      <c r="P506" s="642"/>
      <c r="Q506" s="642"/>
      <c r="R506" s="642"/>
      <c r="S506" s="642"/>
      <c r="T506" s="642"/>
      <c r="U506" s="642"/>
      <c r="V506" s="642"/>
      <c r="W506" s="642"/>
      <c r="X506" s="642"/>
      <c r="Y506" s="876"/>
      <c r="Z506" s="876"/>
      <c r="AA506" s="642"/>
      <c r="AB506" s="642"/>
      <c r="AC506" s="642"/>
      <c r="AD506" s="642"/>
      <c r="AE506" s="642"/>
      <c r="AF506" s="642"/>
      <c r="AG506" s="642"/>
      <c r="AH506" s="642"/>
      <c r="AK506" s="642"/>
      <c r="AL506" s="642"/>
      <c r="AM506" s="876"/>
      <c r="AN506" s="876"/>
      <c r="AQ506" s="642"/>
      <c r="AR506" s="642"/>
      <c r="AU506" s="642"/>
      <c r="AV506" s="642"/>
      <c r="AY506" s="642"/>
      <c r="AZ506" s="642"/>
      <c r="BA506" s="876"/>
      <c r="BB506" s="876"/>
      <c r="BC506" s="642"/>
      <c r="BD506" s="642"/>
      <c r="BG506" s="4590"/>
      <c r="BH506" s="4590"/>
      <c r="BI506" s="4590"/>
      <c r="BJ506" s="4590"/>
    </row>
    <row r="507" spans="1:62" ht="21" hidden="1" customHeight="1" x14ac:dyDescent="0.25">
      <c r="A507" s="154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876"/>
      <c r="N507" s="876"/>
      <c r="O507" s="642"/>
      <c r="P507" s="642"/>
      <c r="Q507" s="642"/>
      <c r="R507" s="642"/>
      <c r="S507" s="642"/>
      <c r="T507" s="642"/>
      <c r="U507" s="642"/>
      <c r="V507" s="642"/>
      <c r="W507" s="642"/>
      <c r="X507" s="642"/>
      <c r="Y507" s="876"/>
      <c r="Z507" s="876"/>
      <c r="AA507" s="642"/>
      <c r="AB507" s="642"/>
      <c r="AC507" s="642"/>
      <c r="AD507" s="642"/>
      <c r="AE507" s="642"/>
      <c r="AF507" s="642"/>
      <c r="AG507" s="642"/>
      <c r="AH507" s="642"/>
      <c r="AK507" s="642"/>
      <c r="AL507" s="642"/>
      <c r="AM507" s="876"/>
      <c r="AN507" s="876"/>
      <c r="AQ507" s="642"/>
      <c r="AR507" s="642"/>
      <c r="AU507" s="642"/>
      <c r="AV507" s="642"/>
      <c r="AY507" s="642"/>
      <c r="AZ507" s="642"/>
      <c r="BA507" s="876"/>
      <c r="BB507" s="876"/>
      <c r="BC507" s="642"/>
      <c r="BD507" s="642"/>
      <c r="BG507" s="4590"/>
      <c r="BH507" s="4590"/>
      <c r="BI507" s="4590"/>
      <c r="BJ507" s="4590"/>
    </row>
    <row r="508" spans="1:62" ht="21" hidden="1" customHeight="1" x14ac:dyDescent="0.25">
      <c r="A508" s="154"/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876"/>
      <c r="N508" s="876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876"/>
      <c r="Z508" s="876"/>
      <c r="AA508" s="642"/>
      <c r="AB508" s="642"/>
      <c r="AC508" s="642"/>
      <c r="AD508" s="642"/>
      <c r="AE508" s="642"/>
      <c r="AF508" s="642"/>
      <c r="AG508" s="642"/>
      <c r="AH508" s="642"/>
      <c r="AK508" s="642"/>
      <c r="AL508" s="642"/>
      <c r="AM508" s="876"/>
      <c r="AN508" s="876"/>
      <c r="AQ508" s="642"/>
      <c r="AR508" s="642"/>
      <c r="AU508" s="642"/>
      <c r="AV508" s="642"/>
      <c r="AY508" s="642"/>
      <c r="AZ508" s="642"/>
      <c r="BA508" s="876"/>
      <c r="BB508" s="876"/>
      <c r="BC508" s="642"/>
      <c r="BD508" s="642"/>
      <c r="BG508" s="4590"/>
      <c r="BH508" s="4590"/>
      <c r="BI508" s="4590"/>
      <c r="BJ508" s="4590"/>
    </row>
    <row r="509" spans="1:62" ht="21" hidden="1" customHeight="1" x14ac:dyDescent="0.25">
      <c r="A509" s="154"/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876"/>
      <c r="N509" s="876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876"/>
      <c r="Z509" s="876"/>
      <c r="AA509" s="642"/>
      <c r="AB509" s="642"/>
      <c r="AC509" s="642"/>
      <c r="AD509" s="642"/>
      <c r="AE509" s="642"/>
      <c r="AF509" s="642"/>
      <c r="AG509" s="642"/>
      <c r="AH509" s="642"/>
      <c r="AK509" s="642"/>
      <c r="AL509" s="642"/>
      <c r="AM509" s="876"/>
      <c r="AN509" s="876"/>
      <c r="AQ509" s="642"/>
      <c r="AR509" s="642"/>
      <c r="AU509" s="642"/>
      <c r="AV509" s="642"/>
      <c r="AY509" s="642"/>
      <c r="AZ509" s="642"/>
      <c r="BA509" s="876"/>
      <c r="BB509" s="876"/>
      <c r="BC509" s="642"/>
      <c r="BD509" s="642"/>
      <c r="BG509" s="4590"/>
      <c r="BH509" s="4590"/>
      <c r="BI509" s="4590"/>
      <c r="BJ509" s="4590"/>
    </row>
    <row r="510" spans="1:62" ht="21" hidden="1" customHeight="1" x14ac:dyDescent="0.25">
      <c r="A510" s="154"/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876"/>
      <c r="N510" s="876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876"/>
      <c r="Z510" s="876"/>
      <c r="AA510" s="642"/>
      <c r="AB510" s="642"/>
      <c r="AC510" s="642"/>
      <c r="AD510" s="642"/>
      <c r="AE510" s="642"/>
      <c r="AF510" s="642"/>
      <c r="AG510" s="642"/>
      <c r="AH510" s="642"/>
      <c r="AK510" s="642"/>
      <c r="AL510" s="642"/>
      <c r="AM510" s="876"/>
      <c r="AN510" s="876"/>
      <c r="AQ510" s="642"/>
      <c r="AR510" s="642"/>
      <c r="AU510" s="642"/>
      <c r="AV510" s="642"/>
      <c r="AY510" s="642"/>
      <c r="AZ510" s="642"/>
      <c r="BA510" s="876"/>
      <c r="BB510" s="876"/>
      <c r="BC510" s="642"/>
      <c r="BD510" s="642"/>
      <c r="BG510" s="4590"/>
      <c r="BH510" s="4590"/>
      <c r="BI510" s="4590"/>
      <c r="BJ510" s="4590"/>
    </row>
    <row r="511" spans="1:62" ht="21" hidden="1" customHeight="1" x14ac:dyDescent="0.25">
      <c r="A511" s="154"/>
      <c r="B511" s="642"/>
      <c r="C511" s="642"/>
      <c r="D511" s="642"/>
      <c r="E511" s="642"/>
      <c r="F511" s="642"/>
      <c r="G511" s="642"/>
      <c r="H511" s="642"/>
      <c r="I511" s="642"/>
      <c r="J511" s="642"/>
      <c r="K511" s="642"/>
      <c r="L511" s="642"/>
      <c r="M511" s="876"/>
      <c r="N511" s="876"/>
      <c r="O511" s="642"/>
      <c r="P511" s="642"/>
      <c r="Q511" s="642"/>
      <c r="R511" s="642"/>
      <c r="S511" s="642"/>
      <c r="T511" s="642"/>
      <c r="U511" s="642"/>
      <c r="V511" s="642"/>
      <c r="W511" s="642"/>
      <c r="X511" s="642"/>
      <c r="Y511" s="876"/>
      <c r="Z511" s="876"/>
      <c r="AA511" s="642"/>
      <c r="AB511" s="642"/>
      <c r="AC511" s="642"/>
      <c r="AD511" s="642"/>
      <c r="AE511" s="642"/>
      <c r="AF511" s="642"/>
      <c r="AG511" s="642"/>
      <c r="AH511" s="642"/>
      <c r="AK511" s="642"/>
      <c r="AL511" s="642"/>
      <c r="AM511" s="876"/>
      <c r="AN511" s="876"/>
      <c r="AQ511" s="642"/>
      <c r="AR511" s="642"/>
      <c r="AU511" s="642"/>
      <c r="AV511" s="642"/>
      <c r="AY511" s="642"/>
      <c r="AZ511" s="642"/>
      <c r="BA511" s="876"/>
      <c r="BB511" s="876"/>
      <c r="BC511" s="642"/>
      <c r="BD511" s="642"/>
      <c r="BG511" s="4590"/>
      <c r="BH511" s="4590"/>
      <c r="BI511" s="4590"/>
      <c r="BJ511" s="4590"/>
    </row>
    <row r="512" spans="1:62" ht="15" hidden="1" customHeight="1" x14ac:dyDescent="0.25">
      <c r="G512" s="7168"/>
      <c r="H512" s="7168"/>
      <c r="K512" s="4576"/>
      <c r="L512" s="4576"/>
      <c r="O512" s="4780"/>
      <c r="P512" s="4780"/>
      <c r="S512" s="4893"/>
      <c r="T512" s="4893"/>
      <c r="U512" s="4893"/>
      <c r="V512" s="4893"/>
      <c r="W512" s="5028"/>
      <c r="X512" s="5028"/>
      <c r="AC512" s="5339"/>
      <c r="AD512" s="5339"/>
      <c r="AG512" s="5513"/>
      <c r="AH512" s="5513"/>
      <c r="AK512" s="5913"/>
      <c r="AL512" s="5913"/>
      <c r="AQ512" s="6068"/>
      <c r="AR512" s="6068"/>
      <c r="AU512" s="6196"/>
      <c r="AV512" s="6196"/>
      <c r="AY512" s="6404"/>
      <c r="AZ512" s="6404"/>
      <c r="BG512" s="4590"/>
      <c r="BH512" s="4590"/>
      <c r="BI512" s="4590"/>
      <c r="BJ512" s="4590"/>
    </row>
    <row r="513" spans="2:62" ht="15" hidden="1" customHeight="1" x14ac:dyDescent="0.25">
      <c r="G513" s="7168"/>
      <c r="H513" s="7168"/>
      <c r="O513" s="4780"/>
      <c r="P513" s="4780"/>
      <c r="S513" s="4893"/>
      <c r="T513" s="4893"/>
      <c r="U513" s="4893"/>
      <c r="V513" s="4893"/>
      <c r="W513" s="5028"/>
      <c r="X513" s="5028"/>
      <c r="AC513" s="5339"/>
      <c r="AD513" s="5339"/>
      <c r="AG513" s="5513"/>
      <c r="AH513" s="5513"/>
      <c r="AK513" s="5913"/>
      <c r="AL513" s="5913"/>
      <c r="AQ513" s="6068"/>
      <c r="AR513" s="6068"/>
      <c r="AU513" s="6196"/>
      <c r="AV513" s="6196"/>
      <c r="AY513" s="6404"/>
      <c r="AZ513" s="6404"/>
      <c r="BG513" s="4590"/>
      <c r="BH513" s="4590"/>
      <c r="BI513" s="4590"/>
      <c r="BJ513" s="4590"/>
    </row>
    <row r="514" spans="2:62" ht="15" hidden="1" customHeight="1" x14ac:dyDescent="0.25">
      <c r="G514" s="7168"/>
      <c r="H514" s="7168"/>
      <c r="O514" s="4780"/>
      <c r="P514" s="4780"/>
      <c r="S514" s="4893"/>
      <c r="T514" s="4893"/>
      <c r="U514" s="4893"/>
      <c r="V514" s="4893"/>
      <c r="W514" s="5028"/>
      <c r="X514" s="5028"/>
      <c r="AG514" s="5513"/>
      <c r="AH514" s="5513"/>
      <c r="AK514" s="5913"/>
      <c r="AL514" s="5913"/>
      <c r="AQ514" s="6068"/>
      <c r="AR514" s="6068"/>
      <c r="AU514" s="6196"/>
      <c r="AV514" s="6196"/>
      <c r="AY514" s="6404"/>
      <c r="AZ514" s="6404"/>
      <c r="BG514" s="4590"/>
      <c r="BH514" s="4590"/>
      <c r="BI514" s="4590"/>
      <c r="BJ514" s="4590"/>
    </row>
    <row r="515" spans="2:62" ht="15" hidden="1" customHeight="1" x14ac:dyDescent="0.25">
      <c r="G515" s="7168"/>
      <c r="H515" s="7168"/>
      <c r="O515" s="4780"/>
      <c r="P515" s="4780"/>
      <c r="S515" s="4893"/>
      <c r="T515" s="4893"/>
      <c r="U515" s="4893"/>
      <c r="V515" s="4893"/>
      <c r="W515" s="5028"/>
      <c r="X515" s="5028"/>
      <c r="AG515" s="5513"/>
      <c r="AH515" s="5513"/>
      <c r="AK515" s="5913"/>
      <c r="AL515" s="5913"/>
      <c r="AQ515" s="6068"/>
      <c r="AR515" s="6068"/>
      <c r="AU515" s="6196"/>
      <c r="AV515" s="6196"/>
      <c r="AY515" s="6404"/>
      <c r="AZ515" s="6404"/>
      <c r="BG515" s="4590"/>
      <c r="BH515" s="4590"/>
      <c r="BI515" s="4590"/>
      <c r="BJ515" s="4590"/>
    </row>
    <row r="516" spans="2:62" ht="5.25" hidden="1" customHeight="1" x14ac:dyDescent="0.25">
      <c r="G516" s="7168"/>
      <c r="H516" s="7168"/>
      <c r="O516" s="4780"/>
      <c r="P516" s="4780"/>
      <c r="S516" s="4893"/>
      <c r="T516" s="4893"/>
      <c r="U516" s="4893"/>
      <c r="V516" s="4893"/>
      <c r="W516" s="5028"/>
      <c r="X516" s="5028"/>
      <c r="AG516" s="5513"/>
      <c r="AH516" s="5513"/>
      <c r="AK516" s="5913"/>
      <c r="AL516" s="5913"/>
      <c r="AQ516" s="6068"/>
      <c r="AR516" s="6068"/>
      <c r="AU516" s="6196"/>
      <c r="AV516" s="6196"/>
      <c r="AY516" s="6404"/>
      <c r="AZ516" s="6404"/>
      <c r="BG516" s="4590"/>
      <c r="BH516" s="4590"/>
      <c r="BI516" s="4590"/>
      <c r="BJ516" s="4590"/>
    </row>
    <row r="517" spans="2:62" ht="15" hidden="1" customHeight="1" x14ac:dyDescent="0.25">
      <c r="G517" s="7168"/>
      <c r="H517" s="7168"/>
      <c r="O517" s="4780"/>
      <c r="P517" s="4780"/>
      <c r="S517" s="4893"/>
      <c r="T517" s="4893"/>
      <c r="U517" s="4893"/>
      <c r="V517" s="4893"/>
      <c r="W517" s="5028"/>
      <c r="X517" s="5028"/>
      <c r="AG517" s="5513"/>
      <c r="AH517" s="5513"/>
      <c r="AK517" s="5913"/>
      <c r="AL517" s="5913"/>
      <c r="AQ517" s="6068"/>
      <c r="AR517" s="6068"/>
      <c r="AU517" s="6196"/>
      <c r="AV517" s="6196"/>
      <c r="AY517" s="6404"/>
      <c r="AZ517" s="6404"/>
      <c r="BG517" s="4590"/>
      <c r="BH517" s="4590"/>
      <c r="BI517" s="4590"/>
      <c r="BJ517" s="4590"/>
    </row>
    <row r="518" spans="2:62" ht="15" hidden="1" customHeight="1" x14ac:dyDescent="0.25">
      <c r="G518" s="7168"/>
      <c r="H518" s="7168"/>
      <c r="O518" s="4780"/>
      <c r="P518" s="4780"/>
      <c r="W518" s="5028"/>
      <c r="X518" s="5028"/>
      <c r="AG518" s="5513"/>
      <c r="AH518" s="5513"/>
      <c r="AK518" s="5913"/>
      <c r="AL518" s="5913"/>
      <c r="AQ518" s="6068"/>
      <c r="AR518" s="6068"/>
      <c r="AU518" s="6196"/>
      <c r="AV518" s="6196"/>
      <c r="AY518" s="6404"/>
      <c r="AZ518" s="6404"/>
      <c r="BG518" s="4590"/>
      <c r="BH518" s="4590"/>
      <c r="BI518" s="4590"/>
      <c r="BJ518" s="4590"/>
    </row>
    <row r="519" spans="2:62" ht="15" hidden="1" customHeight="1" x14ac:dyDescent="0.25">
      <c r="G519" s="7168"/>
      <c r="H519" s="7168"/>
      <c r="O519" s="4780"/>
      <c r="P519" s="4780"/>
      <c r="W519" s="5028"/>
      <c r="X519" s="5028"/>
      <c r="AG519" s="5513"/>
      <c r="AH519" s="5513"/>
      <c r="AK519" s="5913"/>
      <c r="AL519" s="5913"/>
      <c r="AQ519" s="6068"/>
      <c r="AR519" s="6068"/>
      <c r="AU519" s="6196"/>
      <c r="AV519" s="6196"/>
      <c r="AY519" s="6404"/>
      <c r="AZ519" s="6404"/>
      <c r="BG519" s="4590"/>
      <c r="BH519" s="4590"/>
      <c r="BI519" s="4590"/>
      <c r="BJ519" s="4590"/>
    </row>
    <row r="520" spans="2:62" ht="15" hidden="1" customHeight="1" x14ac:dyDescent="0.25">
      <c r="B520" s="2254" t="s">
        <v>1541</v>
      </c>
      <c r="G520" s="7168"/>
      <c r="H520" s="7168"/>
      <c r="O520" s="4780"/>
      <c r="P520" s="4780"/>
      <c r="W520" s="5028"/>
      <c r="X520" s="5028"/>
      <c r="AG520" s="5513"/>
      <c r="AH520" s="5513"/>
      <c r="AK520" s="5913"/>
      <c r="AL520" s="5913"/>
      <c r="AQ520" s="6068"/>
      <c r="AR520" s="6068"/>
      <c r="AU520" s="6196"/>
      <c r="AV520" s="6196"/>
      <c r="AY520" s="6404"/>
      <c r="AZ520" s="6404"/>
      <c r="BG520" s="4590"/>
      <c r="BH520" s="4590"/>
      <c r="BI520" s="4590"/>
      <c r="BJ520" s="4590"/>
    </row>
    <row r="521" spans="2:62" ht="15" hidden="1" customHeight="1" x14ac:dyDescent="0.25">
      <c r="G521" s="7168"/>
      <c r="H521" s="7168"/>
      <c r="O521" s="4780"/>
      <c r="P521" s="4780"/>
      <c r="AK521" s="5913"/>
      <c r="AL521" s="5913"/>
      <c r="AQ521" s="6068"/>
      <c r="AR521" s="6068"/>
      <c r="AU521" s="6196"/>
      <c r="AV521" s="6196"/>
      <c r="AY521" s="6404"/>
      <c r="AZ521" s="6404"/>
      <c r="BG521" s="4590"/>
      <c r="BH521" s="4590"/>
      <c r="BI521" s="4590"/>
      <c r="BJ521" s="4590"/>
    </row>
    <row r="522" spans="2:62" ht="15" hidden="1" customHeight="1" x14ac:dyDescent="0.25">
      <c r="G522" s="7168"/>
      <c r="H522" s="7168"/>
      <c r="O522" s="4780"/>
      <c r="P522" s="4780"/>
      <c r="AY522" s="6404"/>
      <c r="AZ522" s="6404"/>
      <c r="BG522" s="4590"/>
      <c r="BH522" s="4590"/>
      <c r="BI522" s="4590"/>
      <c r="BJ522" s="4590"/>
    </row>
    <row r="523" spans="2:62" ht="15" hidden="1" customHeight="1" x14ac:dyDescent="0.25">
      <c r="G523" s="7168"/>
      <c r="H523" s="7168"/>
      <c r="BG523" s="4590"/>
      <c r="BH523" s="4590"/>
      <c r="BI523" s="4590"/>
      <c r="BJ523" s="4590"/>
    </row>
    <row r="524" spans="2:62" ht="15" hidden="1" customHeight="1" x14ac:dyDescent="0.25">
      <c r="G524" s="7168"/>
      <c r="H524" s="7168"/>
      <c r="BG524" s="4590"/>
      <c r="BH524" s="4590"/>
      <c r="BI524" s="4590"/>
      <c r="BJ524" s="4590"/>
    </row>
    <row r="525" spans="2:62" s="7118" customFormat="1" x14ac:dyDescent="0.25">
      <c r="B525" s="5172"/>
      <c r="C525" s="5172"/>
      <c r="D525" s="5172"/>
      <c r="E525" s="5172"/>
      <c r="F525" s="5172"/>
      <c r="G525" s="5172"/>
      <c r="H525" s="5172"/>
      <c r="BG525" s="4590"/>
      <c r="BH525" s="4590"/>
      <c r="BI525" s="4590"/>
      <c r="BJ525" s="4590"/>
    </row>
    <row r="526" spans="2:62" s="7118" customFormat="1" x14ac:dyDescent="0.25">
      <c r="B526" s="5172"/>
      <c r="C526" s="5172"/>
      <c r="D526" s="5172"/>
      <c r="E526" s="5172"/>
      <c r="F526" s="5172"/>
      <c r="G526" s="5172"/>
      <c r="H526" s="5172"/>
      <c r="BG526" s="4590"/>
      <c r="BH526" s="4590"/>
      <c r="BI526" s="4590"/>
      <c r="BJ526" s="4590"/>
    </row>
    <row r="527" spans="2:62" s="7118" customFormat="1" x14ac:dyDescent="0.25">
      <c r="B527" s="5172"/>
      <c r="C527" s="5172"/>
      <c r="D527" s="5172"/>
      <c r="E527" s="5172"/>
      <c r="F527" s="5172"/>
      <c r="G527" s="5172"/>
      <c r="H527" s="5172"/>
      <c r="BG527" s="4590"/>
      <c r="BH527" s="4590"/>
      <c r="BI527" s="4590"/>
      <c r="BJ527" s="4590"/>
    </row>
    <row r="528" spans="2:62" x14ac:dyDescent="0.25">
      <c r="B528" s="1020" t="s">
        <v>2305</v>
      </c>
      <c r="C528" s="7116"/>
      <c r="D528" s="7117"/>
      <c r="E528" s="7117"/>
      <c r="F528" s="1970"/>
      <c r="G528" s="7166"/>
      <c r="H528" s="1970"/>
      <c r="I528" s="1970"/>
      <c r="J528" s="1970"/>
      <c r="BG528" s="4590"/>
      <c r="BH528" s="4590"/>
      <c r="BI528" s="4590"/>
      <c r="BJ528" s="4590"/>
    </row>
    <row r="529" spans="2:62" x14ac:dyDescent="0.25">
      <c r="B529" s="1020" t="s">
        <v>1406</v>
      </c>
      <c r="C529" s="7116"/>
      <c r="D529" s="7117"/>
      <c r="E529" s="7117"/>
      <c r="F529" s="1970">
        <v>5959</v>
      </c>
      <c r="G529" s="7166"/>
      <c r="H529" s="1970">
        <v>10028.82</v>
      </c>
      <c r="I529" s="1970"/>
      <c r="J529" s="1970">
        <f>F529+H529</f>
        <v>15987.82</v>
      </c>
      <c r="BG529" s="4590"/>
      <c r="BH529" s="4590"/>
      <c r="BI529" s="4590"/>
      <c r="BJ529" s="4590"/>
    </row>
    <row r="530" spans="2:62" x14ac:dyDescent="0.25">
      <c r="B530" s="1020" t="s">
        <v>1407</v>
      </c>
      <c r="C530" s="7116"/>
      <c r="D530" s="7117"/>
      <c r="E530" s="7117"/>
      <c r="F530" s="1970">
        <v>0</v>
      </c>
      <c r="G530" s="7166"/>
      <c r="H530" s="1970">
        <v>0</v>
      </c>
      <c r="I530" s="1970"/>
      <c r="J530" s="1970">
        <f>F530+H530</f>
        <v>0</v>
      </c>
      <c r="BG530" s="4590"/>
      <c r="BH530" s="4590"/>
      <c r="BI530" s="4590"/>
      <c r="BJ530" s="4590"/>
    </row>
  </sheetData>
  <autoFilter ref="C275:C355"/>
  <mergeCells count="422">
    <mergeCell ref="AQ377:AQ408"/>
    <mergeCell ref="BA73:BA75"/>
    <mergeCell ref="BC73:BC75"/>
    <mergeCell ref="BA77:BA79"/>
    <mergeCell ref="BC77:BC79"/>
    <mergeCell ref="BA81:BA83"/>
    <mergeCell ref="BC81:BC83"/>
    <mergeCell ref="BA276:BA356"/>
    <mergeCell ref="BC276:BC356"/>
    <mergeCell ref="BA377:BA408"/>
    <mergeCell ref="BC377:BC408"/>
    <mergeCell ref="AY73:AY75"/>
    <mergeCell ref="AU377:AU408"/>
    <mergeCell ref="AY377:AY408"/>
    <mergeCell ref="BE73:BE75"/>
    <mergeCell ref="AY77:AY79"/>
    <mergeCell ref="BE77:BE79"/>
    <mergeCell ref="AY81:AY83"/>
    <mergeCell ref="BE81:BE83"/>
    <mergeCell ref="AY276:AY356"/>
    <mergeCell ref="BE276:BE356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76:AO356"/>
    <mergeCell ref="AO377:AO408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76:AK356"/>
    <mergeCell ref="AM276:AM356"/>
    <mergeCell ref="AK377:AK408"/>
    <mergeCell ref="AM377:AM408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76:S356"/>
    <mergeCell ref="U276:U356"/>
    <mergeCell ref="S377:S408"/>
    <mergeCell ref="U377:U408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76:O356"/>
    <mergeCell ref="Q73:Q75"/>
    <mergeCell ref="Q77:Q79"/>
    <mergeCell ref="Q81:Q83"/>
    <mergeCell ref="Q276:Q356"/>
    <mergeCell ref="O377:O408"/>
    <mergeCell ref="Q377:Q408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76:I356"/>
    <mergeCell ref="I3:J3"/>
    <mergeCell ref="I7:I8"/>
    <mergeCell ref="I14:I15"/>
    <mergeCell ref="I21:I22"/>
    <mergeCell ref="I28:I29"/>
    <mergeCell ref="G73:G75"/>
    <mergeCell ref="G77:G79"/>
    <mergeCell ref="G81:G83"/>
    <mergeCell ref="G276:G356"/>
    <mergeCell ref="G3:H3"/>
    <mergeCell ref="G7:G8"/>
    <mergeCell ref="G65:G67"/>
    <mergeCell ref="G69:G71"/>
    <mergeCell ref="A428:A435"/>
    <mergeCell ref="B439:B442"/>
    <mergeCell ref="E377:E408"/>
    <mergeCell ref="D77:D79"/>
    <mergeCell ref="D81:D83"/>
    <mergeCell ref="E77:E79"/>
    <mergeCell ref="E69:E71"/>
    <mergeCell ref="E42:E43"/>
    <mergeCell ref="E50:E51"/>
    <mergeCell ref="B447:B450"/>
    <mergeCell ref="E276:E356"/>
    <mergeCell ref="B451:B454"/>
    <mergeCell ref="B443:B446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377:I408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77:G408"/>
    <mergeCell ref="K77:K79"/>
    <mergeCell ref="M77:M79"/>
    <mergeCell ref="K81:K83"/>
    <mergeCell ref="M81:M83"/>
    <mergeCell ref="K276:K356"/>
    <mergeCell ref="M276:M356"/>
    <mergeCell ref="K377:K408"/>
    <mergeCell ref="M377:M408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76:W356"/>
    <mergeCell ref="Y276:Y356"/>
    <mergeCell ref="W377:W408"/>
    <mergeCell ref="Y377:Y408"/>
    <mergeCell ref="AA69:AA71"/>
    <mergeCell ref="AA73:AA75"/>
    <mergeCell ref="AA77:AA79"/>
    <mergeCell ref="AA81:AA83"/>
    <mergeCell ref="AA276:AA356"/>
    <mergeCell ref="AA377:AA408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76:AC356"/>
    <mergeCell ref="AE276:AE356"/>
    <mergeCell ref="AC377:AC408"/>
    <mergeCell ref="AE377:AE408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76:AI356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377:AG408"/>
    <mergeCell ref="AU73:AU75"/>
    <mergeCell ref="AW73:AW75"/>
    <mergeCell ref="AU77:AU79"/>
    <mergeCell ref="AW77:AW79"/>
    <mergeCell ref="AU81:AU83"/>
    <mergeCell ref="AW81:AW83"/>
    <mergeCell ref="AU276:AU356"/>
    <mergeCell ref="AW276:AW356"/>
    <mergeCell ref="AQ73:AQ75"/>
    <mergeCell ref="AS73:AS75"/>
    <mergeCell ref="AQ77:AQ79"/>
    <mergeCell ref="AS77:AS79"/>
    <mergeCell ref="AQ81:AQ83"/>
    <mergeCell ref="AS81:AS83"/>
    <mergeCell ref="AQ276:AQ356"/>
    <mergeCell ref="AS276:AS356"/>
    <mergeCell ref="AG73:AG75"/>
    <mergeCell ref="AI73:AI75"/>
    <mergeCell ref="AG77:AG79"/>
    <mergeCell ref="AI77:AI79"/>
    <mergeCell ref="AG81:AG83"/>
    <mergeCell ref="AI81:AI83"/>
    <mergeCell ref="AG276:AG356"/>
  </mergeCells>
  <phoneticPr fontId="85" type="noConversion"/>
  <printOptions horizontalCentered="1" verticalCentered="1"/>
  <pageMargins left="0" right="0" top="0" bottom="0" header="0" footer="0"/>
  <pageSetup scale="3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BI115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J10" sqref="BJ10"/>
    </sheetView>
  </sheetViews>
  <sheetFormatPr defaultRowHeight="15" x14ac:dyDescent="0.25"/>
  <cols>
    <col min="2" max="2" width="53.42578125" customWidth="1"/>
    <col min="3" max="3" width="44" customWidth="1"/>
    <col min="4" max="4" width="9.28515625" customWidth="1"/>
    <col min="5" max="5" width="11.5703125" customWidth="1"/>
    <col min="6" max="6" width="7.5703125" customWidth="1"/>
    <col min="7" max="7" width="9.42578125" customWidth="1"/>
    <col min="8" max="8" width="7.5703125" customWidth="1"/>
    <col min="9" max="9" width="9.42578125" customWidth="1"/>
    <col min="10" max="10" width="7.85546875" style="149" hidden="1" customWidth="1"/>
    <col min="11" max="11" width="10.28515625" style="149" hidden="1" customWidth="1"/>
    <col min="12" max="12" width="7.85546875" hidden="1" customWidth="1"/>
    <col min="13" max="13" width="11.42578125" hidden="1" customWidth="1"/>
    <col min="14" max="14" width="7.85546875" hidden="1" customWidth="1"/>
    <col min="15" max="15" width="11.28515625" hidden="1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hidden="1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hidden="1" customWidth="1"/>
    <col min="24" max="24" width="7.85546875" hidden="1" customWidth="1"/>
    <col min="25" max="25" width="11.42578125" hidden="1" customWidth="1"/>
    <col min="26" max="26" width="7.85546875" hidden="1" customWidth="1"/>
    <col min="27" max="27" width="11.5703125" hidden="1" customWidth="1"/>
    <col min="28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1" width="9.140625" hidden="1" customWidth="1"/>
    <col min="52" max="55" width="9.140625" style="3069" hidden="1" customWidth="1"/>
    <col min="56" max="56" width="9.140625" hidden="1" customWidth="1"/>
    <col min="57" max="57" width="11.28515625" hidden="1" customWidth="1"/>
  </cols>
  <sheetData>
    <row r="1" spans="2:61" ht="15.75" thickBot="1" x14ac:dyDescent="0.3">
      <c r="BE1" s="3217"/>
    </row>
    <row r="2" spans="2:61" ht="21.95" customHeight="1" x14ac:dyDescent="0.25">
      <c r="B2" s="1479"/>
      <c r="C2" s="1482"/>
      <c r="D2" s="7577">
        <v>45748</v>
      </c>
      <c r="E2" s="7578"/>
      <c r="F2" s="7577">
        <v>45778</v>
      </c>
      <c r="G2" s="7578"/>
      <c r="H2" s="7554" t="s">
        <v>658</v>
      </c>
      <c r="I2" s="7555"/>
      <c r="J2" s="7552">
        <v>45444</v>
      </c>
      <c r="K2" s="7579"/>
      <c r="L2" s="7556" t="s">
        <v>637</v>
      </c>
      <c r="M2" s="7559"/>
      <c r="N2" s="7552">
        <v>45474</v>
      </c>
      <c r="O2" s="7553"/>
      <c r="P2" s="7554" t="s">
        <v>651</v>
      </c>
      <c r="Q2" s="7555"/>
      <c r="R2" s="7552">
        <v>45505</v>
      </c>
      <c r="S2" s="7553"/>
      <c r="T2" s="7554" t="s">
        <v>836</v>
      </c>
      <c r="U2" s="7555"/>
      <c r="V2" s="7552">
        <v>45536</v>
      </c>
      <c r="W2" s="7553"/>
      <c r="X2" s="7556" t="s">
        <v>660</v>
      </c>
      <c r="Y2" s="7557"/>
      <c r="Z2" s="7558" t="s">
        <v>657</v>
      </c>
      <c r="AA2" s="7558"/>
      <c r="AB2" s="7552">
        <v>45566</v>
      </c>
      <c r="AC2" s="7553"/>
      <c r="AD2" s="7554" t="s">
        <v>1102</v>
      </c>
      <c r="AE2" s="7555"/>
      <c r="AF2" s="7552">
        <v>45597</v>
      </c>
      <c r="AG2" s="7553"/>
      <c r="AH2" s="7554" t="s">
        <v>1666</v>
      </c>
      <c r="AI2" s="7555"/>
      <c r="AJ2" s="7552">
        <v>45627</v>
      </c>
      <c r="AK2" s="7553"/>
      <c r="AL2" s="7556" t="s">
        <v>662</v>
      </c>
      <c r="AM2" s="7559"/>
      <c r="AN2" s="7554" t="s">
        <v>918</v>
      </c>
      <c r="AO2" s="7555"/>
      <c r="AP2" s="7552">
        <v>45658</v>
      </c>
      <c r="AQ2" s="7553"/>
      <c r="AR2" s="7554" t="s">
        <v>1705</v>
      </c>
      <c r="AS2" s="7555"/>
      <c r="AT2" s="7552">
        <v>45689</v>
      </c>
      <c r="AU2" s="7553"/>
      <c r="AV2" s="7554" t="s">
        <v>1715</v>
      </c>
      <c r="AW2" s="7555"/>
      <c r="AX2" s="7552">
        <v>45717</v>
      </c>
      <c r="AY2" s="7553"/>
      <c r="AZ2" s="7556" t="s">
        <v>663</v>
      </c>
      <c r="BA2" s="7557"/>
      <c r="BB2" s="7558" t="s">
        <v>671</v>
      </c>
      <c r="BC2" s="7558"/>
      <c r="BD2" s="7554" t="s">
        <v>1765</v>
      </c>
      <c r="BE2" s="7555"/>
    </row>
    <row r="3" spans="2:61" s="1358" customFormat="1" ht="21.95" customHeight="1" thickBot="1" x14ac:dyDescent="0.3">
      <c r="B3" s="1480"/>
      <c r="C3" s="1483"/>
      <c r="D3" s="1481" t="s">
        <v>1225</v>
      </c>
      <c r="E3" s="1478" t="s">
        <v>1226</v>
      </c>
      <c r="F3" s="1481" t="s">
        <v>1225</v>
      </c>
      <c r="G3" s="1478" t="s">
        <v>1226</v>
      </c>
      <c r="H3" s="1487" t="s">
        <v>1225</v>
      </c>
      <c r="I3" s="1486" t="s">
        <v>1226</v>
      </c>
      <c r="J3" s="1522" t="s">
        <v>1225</v>
      </c>
      <c r="K3" s="2271" t="s">
        <v>1226</v>
      </c>
      <c r="L3" s="2272" t="s">
        <v>1225</v>
      </c>
      <c r="M3" s="2273" t="s">
        <v>1226</v>
      </c>
      <c r="N3" s="1522" t="s">
        <v>1225</v>
      </c>
      <c r="O3" s="1523" t="s">
        <v>1226</v>
      </c>
      <c r="P3" s="1487" t="s">
        <v>1225</v>
      </c>
      <c r="Q3" s="1486" t="s">
        <v>1226</v>
      </c>
      <c r="R3" s="1522" t="s">
        <v>1225</v>
      </c>
      <c r="S3" s="1523" t="s">
        <v>1226</v>
      </c>
      <c r="T3" s="1487" t="s">
        <v>1225</v>
      </c>
      <c r="U3" s="1486" t="s">
        <v>1226</v>
      </c>
      <c r="V3" s="1522" t="s">
        <v>1225</v>
      </c>
      <c r="W3" s="1523" t="s">
        <v>1226</v>
      </c>
      <c r="X3" s="2272" t="s">
        <v>1225</v>
      </c>
      <c r="Y3" s="3267" t="s">
        <v>1226</v>
      </c>
      <c r="Z3" s="3269" t="s">
        <v>1225</v>
      </c>
      <c r="AA3" s="3269" t="s">
        <v>1226</v>
      </c>
      <c r="AB3" s="1522" t="s">
        <v>1225</v>
      </c>
      <c r="AC3" s="1523" t="s">
        <v>1226</v>
      </c>
      <c r="AD3" s="1487" t="s">
        <v>1225</v>
      </c>
      <c r="AE3" s="1486" t="s">
        <v>1226</v>
      </c>
      <c r="AF3" s="1522" t="s">
        <v>1225</v>
      </c>
      <c r="AG3" s="1523" t="s">
        <v>1226</v>
      </c>
      <c r="AH3" s="1487" t="s">
        <v>1225</v>
      </c>
      <c r="AI3" s="1486" t="s">
        <v>1226</v>
      </c>
      <c r="AJ3" s="1522" t="s">
        <v>1225</v>
      </c>
      <c r="AK3" s="1523" t="s">
        <v>1226</v>
      </c>
      <c r="AL3" s="2272" t="s">
        <v>1225</v>
      </c>
      <c r="AM3" s="2273" t="s">
        <v>1226</v>
      </c>
      <c r="AN3" s="1487" t="s">
        <v>1225</v>
      </c>
      <c r="AO3" s="1486" t="s">
        <v>1226</v>
      </c>
      <c r="AP3" s="1522" t="s">
        <v>1225</v>
      </c>
      <c r="AQ3" s="1523" t="s">
        <v>1226</v>
      </c>
      <c r="AR3" s="1487" t="s">
        <v>1225</v>
      </c>
      <c r="AS3" s="1486" t="s">
        <v>1226</v>
      </c>
      <c r="AT3" s="1522" t="s">
        <v>1225</v>
      </c>
      <c r="AU3" s="1523" t="s">
        <v>1226</v>
      </c>
      <c r="AV3" s="1487" t="s">
        <v>1225</v>
      </c>
      <c r="AW3" s="1486" t="s">
        <v>1226</v>
      </c>
      <c r="AX3" s="1522" t="s">
        <v>1225</v>
      </c>
      <c r="AY3" s="1523" t="s">
        <v>1226</v>
      </c>
      <c r="AZ3" s="2272" t="s">
        <v>1225</v>
      </c>
      <c r="BA3" s="3267" t="s">
        <v>1226</v>
      </c>
      <c r="BB3" s="3269" t="s">
        <v>1225</v>
      </c>
      <c r="BC3" s="3269" t="s">
        <v>1226</v>
      </c>
      <c r="BD3" s="1487" t="s">
        <v>1225</v>
      </c>
      <c r="BE3" s="1486" t="s">
        <v>1226</v>
      </c>
    </row>
    <row r="4" spans="2:61" ht="21.95" customHeight="1" thickBot="1" x14ac:dyDescent="0.3">
      <c r="B4" s="7582" t="s">
        <v>1227</v>
      </c>
      <c r="C4" s="1463" t="s">
        <v>1019</v>
      </c>
      <c r="D4" s="1477">
        <v>14.1</v>
      </c>
      <c r="E4" s="1484">
        <v>52558</v>
      </c>
      <c r="F4" s="1477">
        <v>14.2</v>
      </c>
      <c r="G4" s="1484">
        <v>51152</v>
      </c>
      <c r="H4" s="1488">
        <f>+D4+F4</f>
        <v>28.299999999999997</v>
      </c>
      <c r="I4" s="1489">
        <f>+G4+E4</f>
        <v>103710</v>
      </c>
      <c r="J4" s="1477">
        <v>12.3</v>
      </c>
      <c r="K4" s="1484">
        <v>45607</v>
      </c>
      <c r="L4" s="6565">
        <f>+D4+F4+J4</f>
        <v>40.599999999999994</v>
      </c>
      <c r="M4" s="6710">
        <f>+E4+G4+K4</f>
        <v>149317</v>
      </c>
      <c r="N4" s="1477">
        <v>10.6</v>
      </c>
      <c r="O4" s="1484">
        <v>39845</v>
      </c>
      <c r="P4" s="1551">
        <f>L4+N4</f>
        <v>51.199999999999996</v>
      </c>
      <c r="Q4" s="1551">
        <f>M4+O4</f>
        <v>189162</v>
      </c>
      <c r="R4" s="1477">
        <v>11</v>
      </c>
      <c r="S4" s="1484">
        <v>42589</v>
      </c>
      <c r="T4" s="1551">
        <f>P4+R4</f>
        <v>62.199999999999996</v>
      </c>
      <c r="U4" s="1551">
        <f>Q4+S4</f>
        <v>231751</v>
      </c>
      <c r="V4" s="1477">
        <v>12.9</v>
      </c>
      <c r="W4" s="1484">
        <v>48833</v>
      </c>
      <c r="X4" s="6565">
        <f>+N4+R4+V4</f>
        <v>34.5</v>
      </c>
      <c r="Y4" s="6711">
        <f>+O4+S4+W4</f>
        <v>131267</v>
      </c>
      <c r="Z4" s="6567">
        <f>L4+X4</f>
        <v>75.099999999999994</v>
      </c>
      <c r="AA4" s="6563">
        <f>M4+Y4</f>
        <v>280584</v>
      </c>
      <c r="AB4" s="1477">
        <v>10</v>
      </c>
      <c r="AC4" s="1484">
        <v>38742</v>
      </c>
      <c r="AD4" s="1488">
        <f>Z4+AB4</f>
        <v>85.1</v>
      </c>
      <c r="AE4" s="1551">
        <f>AA4+AC4</f>
        <v>319326</v>
      </c>
      <c r="AF4" s="1477">
        <v>0.5</v>
      </c>
      <c r="AG4" s="1484">
        <v>1869</v>
      </c>
      <c r="AH4" s="1488">
        <f>AD4+AF4</f>
        <v>85.6</v>
      </c>
      <c r="AI4" s="1551">
        <f>AE4+AG4</f>
        <v>321195</v>
      </c>
      <c r="AJ4" s="1477">
        <v>6.4</v>
      </c>
      <c r="AK4" s="1484">
        <v>23321</v>
      </c>
      <c r="AL4" s="6565">
        <f>+AB4+AF4+AJ4</f>
        <v>16.899999999999999</v>
      </c>
      <c r="AM4" s="6710">
        <f>+AC4+AG4+AK4</f>
        <v>63932</v>
      </c>
      <c r="AN4" s="1488">
        <f>AH4+AJ4</f>
        <v>92</v>
      </c>
      <c r="AO4" s="1551">
        <f>AI4+AK4</f>
        <v>344516</v>
      </c>
      <c r="AP4" s="1477">
        <v>6.8</v>
      </c>
      <c r="AQ4" s="1484">
        <v>26387</v>
      </c>
      <c r="AR4" s="1488">
        <f>AN4+AP4</f>
        <v>98.8</v>
      </c>
      <c r="AS4" s="1551">
        <f>AO4+AQ4</f>
        <v>370903</v>
      </c>
      <c r="AT4" s="1524">
        <v>8.9</v>
      </c>
      <c r="AU4" s="1484">
        <v>32537</v>
      </c>
      <c r="AV4" s="1488">
        <f>AR4+AT4</f>
        <v>107.7</v>
      </c>
      <c r="AW4" s="1551">
        <f>AS4+AU4</f>
        <v>403440</v>
      </c>
      <c r="AX4" s="1524">
        <v>18.399999999999999</v>
      </c>
      <c r="AY4" s="1484">
        <v>68591</v>
      </c>
      <c r="AZ4" s="6565">
        <f>+AP4+AT4+AX4</f>
        <v>34.099999999999994</v>
      </c>
      <c r="BA4" s="6711">
        <f>+AQ4+AU4+AY4</f>
        <v>127515</v>
      </c>
      <c r="BB4" s="6567">
        <f>AL4+AZ4</f>
        <v>50.999999999999993</v>
      </c>
      <c r="BC4" s="6563">
        <f>AM4+BA4</f>
        <v>191447</v>
      </c>
      <c r="BD4" s="1488">
        <f>AV4+AX4</f>
        <v>126.1</v>
      </c>
      <c r="BE4" s="1551">
        <f>AW4+AY4</f>
        <v>472031</v>
      </c>
      <c r="BF4" s="533"/>
      <c r="BG4" s="533"/>
      <c r="BH4" s="533"/>
      <c r="BI4" s="533"/>
    </row>
    <row r="5" spans="2:61" ht="21.95" customHeight="1" thickBot="1" x14ac:dyDescent="0.3">
      <c r="B5" s="7583"/>
      <c r="C5" s="6712" t="s">
        <v>1020</v>
      </c>
      <c r="D5" s="6713">
        <v>10.6</v>
      </c>
      <c r="E5" s="6714">
        <v>40502</v>
      </c>
      <c r="F5" s="6713">
        <v>13.2</v>
      </c>
      <c r="G5" s="6714">
        <v>47881</v>
      </c>
      <c r="H5" s="1488">
        <f t="shared" ref="H5:H68" si="0">+D5+F5</f>
        <v>23.799999999999997</v>
      </c>
      <c r="I5" s="1489">
        <f t="shared" ref="I5:I68" si="1">+G5+E5</f>
        <v>88383</v>
      </c>
      <c r="J5" s="6713">
        <v>3.7</v>
      </c>
      <c r="K5" s="6714">
        <v>13784</v>
      </c>
      <c r="L5" s="6565">
        <f>+D5+F5+J5</f>
        <v>27.499999999999996</v>
      </c>
      <c r="M5" s="6710">
        <f t="shared" ref="M5:M67" si="2">+E5+G5+K5</f>
        <v>102167</v>
      </c>
      <c r="N5" s="6713">
        <v>4.5</v>
      </c>
      <c r="O5" s="6714">
        <v>17282</v>
      </c>
      <c r="P5" s="1551">
        <f t="shared" ref="P5:Q67" si="3">L5+N5</f>
        <v>31.999999999999996</v>
      </c>
      <c r="Q5" s="1551">
        <f t="shared" si="3"/>
        <v>119449</v>
      </c>
      <c r="R5" s="6713">
        <v>6.8</v>
      </c>
      <c r="S5" s="6714">
        <v>25842</v>
      </c>
      <c r="T5" s="1551">
        <f t="shared" ref="T5:U67" si="4">P5+R5</f>
        <v>38.799999999999997</v>
      </c>
      <c r="U5" s="1551">
        <f t="shared" si="4"/>
        <v>145291</v>
      </c>
      <c r="V5" s="6713">
        <v>12.1</v>
      </c>
      <c r="W5" s="6714">
        <v>46609</v>
      </c>
      <c r="X5" s="6565">
        <f t="shared" ref="X5:Y67" si="5">+N5+R5+V5</f>
        <v>23.4</v>
      </c>
      <c r="Y5" s="6711">
        <f t="shared" si="5"/>
        <v>89733</v>
      </c>
      <c r="Z5" s="6567">
        <f t="shared" ref="Z5:AA67" si="6">L5+X5</f>
        <v>50.899999999999991</v>
      </c>
      <c r="AA5" s="6563">
        <f t="shared" si="6"/>
        <v>191900</v>
      </c>
      <c r="AB5" s="6713">
        <v>9.6</v>
      </c>
      <c r="AC5" s="6714">
        <v>37736</v>
      </c>
      <c r="AD5" s="1488">
        <f t="shared" ref="AD5:AE6" si="7">Z5+AB5</f>
        <v>60.499999999999993</v>
      </c>
      <c r="AE5" s="1551">
        <f t="shared" si="7"/>
        <v>229636</v>
      </c>
      <c r="AF5" s="6713">
        <v>0.7</v>
      </c>
      <c r="AG5" s="6714">
        <v>2579</v>
      </c>
      <c r="AH5" s="1488">
        <f t="shared" ref="AH5:AI6" si="8">AD5+AF5</f>
        <v>61.199999999999996</v>
      </c>
      <c r="AI5" s="1551">
        <f t="shared" si="8"/>
        <v>232215</v>
      </c>
      <c r="AJ5" s="6713">
        <v>4.0999999999999996</v>
      </c>
      <c r="AK5" s="6714">
        <v>15473</v>
      </c>
      <c r="AL5" s="6565">
        <f t="shared" ref="AL5:AM6" si="9">+AB5+AF5+AJ5</f>
        <v>14.399999999999999</v>
      </c>
      <c r="AM5" s="6710">
        <f t="shared" si="9"/>
        <v>55788</v>
      </c>
      <c r="AN5" s="1488">
        <f t="shared" ref="AN5:AO23" si="10">AH5+AJ5</f>
        <v>65.3</v>
      </c>
      <c r="AO5" s="1551">
        <f t="shared" si="10"/>
        <v>247688</v>
      </c>
      <c r="AP5" s="6713">
        <v>8.5</v>
      </c>
      <c r="AQ5" s="6714">
        <v>33896</v>
      </c>
      <c r="AR5" s="1488">
        <f t="shared" ref="AR5:AS6" si="11">AN5+AP5</f>
        <v>73.8</v>
      </c>
      <c r="AS5" s="1551">
        <f t="shared" si="11"/>
        <v>281584</v>
      </c>
      <c r="AT5" s="6715">
        <v>1.9</v>
      </c>
      <c r="AU5" s="6714">
        <v>7535</v>
      </c>
      <c r="AV5" s="1488">
        <f t="shared" ref="AV5:AW6" si="12">AR5+AT5</f>
        <v>75.7</v>
      </c>
      <c r="AW5" s="1551">
        <f t="shared" si="12"/>
        <v>289119</v>
      </c>
      <c r="AX5" s="6715">
        <v>14.9</v>
      </c>
      <c r="AY5" s="6714">
        <v>58029</v>
      </c>
      <c r="AZ5" s="6565">
        <f t="shared" ref="AZ5:BA6" si="13">+AP5+AT5+AX5</f>
        <v>25.3</v>
      </c>
      <c r="BA5" s="6711">
        <f t="shared" si="13"/>
        <v>99460</v>
      </c>
      <c r="BB5" s="6567">
        <f t="shared" ref="BB5:BC6" si="14">AL5+AZ5</f>
        <v>39.700000000000003</v>
      </c>
      <c r="BC5" s="6563">
        <f t="shared" si="14"/>
        <v>155248</v>
      </c>
      <c r="BD5" s="1488">
        <f t="shared" ref="BD5:BE6" si="15">AV5+AX5</f>
        <v>90.600000000000009</v>
      </c>
      <c r="BE5" s="1551">
        <f t="shared" si="15"/>
        <v>347148</v>
      </c>
      <c r="BF5" s="533"/>
      <c r="BG5" s="533"/>
      <c r="BH5" s="533"/>
      <c r="BI5" s="533"/>
    </row>
    <row r="6" spans="2:61" ht="21.95" customHeight="1" thickBot="1" x14ac:dyDescent="0.3">
      <c r="B6" s="7583"/>
      <c r="C6" s="6712" t="s">
        <v>1228</v>
      </c>
      <c r="D6" s="6713">
        <v>0</v>
      </c>
      <c r="E6" s="6714">
        <v>0</v>
      </c>
      <c r="F6" s="6713">
        <v>0</v>
      </c>
      <c r="G6" s="6714">
        <v>0</v>
      </c>
      <c r="H6" s="1488">
        <f t="shared" si="0"/>
        <v>0</v>
      </c>
      <c r="I6" s="1489">
        <f t="shared" si="1"/>
        <v>0</v>
      </c>
      <c r="J6" s="6713">
        <v>0</v>
      </c>
      <c r="K6" s="6714"/>
      <c r="L6" s="6565">
        <f t="shared" ref="L6:L67" si="16">+D6+F6+J6</f>
        <v>0</v>
      </c>
      <c r="M6" s="6710">
        <f t="shared" si="2"/>
        <v>0</v>
      </c>
      <c r="N6" s="6713">
        <v>0</v>
      </c>
      <c r="O6" s="6714">
        <v>0</v>
      </c>
      <c r="P6" s="1551">
        <f t="shared" si="3"/>
        <v>0</v>
      </c>
      <c r="Q6" s="1551">
        <f t="shared" si="3"/>
        <v>0</v>
      </c>
      <c r="R6" s="6713">
        <v>0</v>
      </c>
      <c r="S6" s="6714">
        <v>0</v>
      </c>
      <c r="T6" s="1551">
        <f t="shared" si="4"/>
        <v>0</v>
      </c>
      <c r="U6" s="1551">
        <f t="shared" si="4"/>
        <v>0</v>
      </c>
      <c r="V6" s="6713">
        <v>0</v>
      </c>
      <c r="W6" s="6714">
        <v>0</v>
      </c>
      <c r="X6" s="6565">
        <f t="shared" si="5"/>
        <v>0</v>
      </c>
      <c r="Y6" s="6711">
        <f t="shared" si="5"/>
        <v>0</v>
      </c>
      <c r="Z6" s="6567">
        <f t="shared" si="6"/>
        <v>0</v>
      </c>
      <c r="AA6" s="6563">
        <f t="shared" si="6"/>
        <v>0</v>
      </c>
      <c r="AB6" s="6713">
        <v>0</v>
      </c>
      <c r="AC6" s="6714">
        <v>0</v>
      </c>
      <c r="AD6" s="1488">
        <f t="shared" si="7"/>
        <v>0</v>
      </c>
      <c r="AE6" s="1551">
        <f t="shared" si="7"/>
        <v>0</v>
      </c>
      <c r="AF6" s="6713">
        <v>0</v>
      </c>
      <c r="AG6" s="6714">
        <v>0</v>
      </c>
      <c r="AH6" s="1488">
        <f t="shared" si="8"/>
        <v>0</v>
      </c>
      <c r="AI6" s="1551">
        <f t="shared" si="8"/>
        <v>0</v>
      </c>
      <c r="AJ6" s="6713">
        <v>0</v>
      </c>
      <c r="AK6" s="6714">
        <v>0</v>
      </c>
      <c r="AL6" s="6565">
        <f t="shared" si="9"/>
        <v>0</v>
      </c>
      <c r="AM6" s="6710">
        <f t="shared" si="9"/>
        <v>0</v>
      </c>
      <c r="AN6" s="1488">
        <f t="shared" si="10"/>
        <v>0</v>
      </c>
      <c r="AO6" s="1551">
        <f t="shared" si="10"/>
        <v>0</v>
      </c>
      <c r="AP6" s="6713">
        <v>0</v>
      </c>
      <c r="AQ6" s="6714">
        <v>0</v>
      </c>
      <c r="AR6" s="1488">
        <f t="shared" si="11"/>
        <v>0</v>
      </c>
      <c r="AS6" s="1551">
        <f t="shared" si="11"/>
        <v>0</v>
      </c>
      <c r="AT6" s="6715">
        <v>0</v>
      </c>
      <c r="AU6" s="6714">
        <v>0</v>
      </c>
      <c r="AV6" s="1488">
        <f t="shared" si="12"/>
        <v>0</v>
      </c>
      <c r="AW6" s="1551">
        <f t="shared" si="12"/>
        <v>0</v>
      </c>
      <c r="AX6" s="6715">
        <v>0</v>
      </c>
      <c r="AY6" s="6714">
        <v>0</v>
      </c>
      <c r="AZ6" s="6565">
        <f t="shared" si="13"/>
        <v>0</v>
      </c>
      <c r="BA6" s="6711">
        <f t="shared" si="13"/>
        <v>0</v>
      </c>
      <c r="BB6" s="6567">
        <f t="shared" si="14"/>
        <v>0</v>
      </c>
      <c r="BC6" s="6563">
        <f t="shared" si="14"/>
        <v>0</v>
      </c>
      <c r="BD6" s="1488">
        <f t="shared" si="15"/>
        <v>0</v>
      </c>
      <c r="BE6" s="1551">
        <f t="shared" si="15"/>
        <v>0</v>
      </c>
      <c r="BF6" s="533"/>
      <c r="BG6" s="533"/>
      <c r="BH6" s="533"/>
      <c r="BI6" s="533"/>
    </row>
    <row r="7" spans="2:61" ht="21.95" customHeight="1" thickBot="1" x14ac:dyDescent="0.3">
      <c r="B7" s="7583"/>
      <c r="C7" s="6716" t="s">
        <v>2</v>
      </c>
      <c r="D7" s="6717">
        <f>SUM(D4:D6)</f>
        <v>24.7</v>
      </c>
      <c r="E7" s="6718">
        <f t="shared" ref="E7:BE7" si="17">SUM(E4:E6)</f>
        <v>93060</v>
      </c>
      <c r="F7" s="6717">
        <f>SUM(F4:F6)</f>
        <v>27.4</v>
      </c>
      <c r="G7" s="6718">
        <f t="shared" ref="G7" si="18">SUM(G4:G6)</f>
        <v>99033</v>
      </c>
      <c r="H7" s="1488">
        <f t="shared" si="0"/>
        <v>52.099999999999994</v>
      </c>
      <c r="I7" s="1489">
        <f t="shared" si="1"/>
        <v>192093</v>
      </c>
      <c r="J7" s="6718">
        <f t="shared" si="17"/>
        <v>16</v>
      </c>
      <c r="K7" s="6718">
        <f t="shared" si="17"/>
        <v>59391</v>
      </c>
      <c r="L7" s="6719">
        <f t="shared" si="17"/>
        <v>68.099999999999994</v>
      </c>
      <c r="M7" s="6719">
        <f t="shared" si="17"/>
        <v>251484</v>
      </c>
      <c r="N7" s="6718">
        <f t="shared" si="17"/>
        <v>15.1</v>
      </c>
      <c r="O7" s="6718">
        <f t="shared" si="17"/>
        <v>57127</v>
      </c>
      <c r="P7" s="1551">
        <f t="shared" si="3"/>
        <v>83.199999999999989</v>
      </c>
      <c r="Q7" s="1551">
        <f t="shared" si="3"/>
        <v>308611</v>
      </c>
      <c r="R7" s="6718">
        <f t="shared" ref="R7:S7" si="19">SUM(R4:R6)</f>
        <v>17.8</v>
      </c>
      <c r="S7" s="6718">
        <f t="shared" si="19"/>
        <v>68431</v>
      </c>
      <c r="T7" s="1551">
        <f t="shared" si="4"/>
        <v>100.99999999999999</v>
      </c>
      <c r="U7" s="1551">
        <f t="shared" si="4"/>
        <v>377042</v>
      </c>
      <c r="V7" s="6718">
        <f t="shared" ref="V7:W7" si="20">SUM(V4:V6)</f>
        <v>25</v>
      </c>
      <c r="W7" s="6718">
        <f t="shared" si="20"/>
        <v>95442</v>
      </c>
      <c r="X7" s="6719">
        <f t="shared" si="17"/>
        <v>57.9</v>
      </c>
      <c r="Y7" s="6720">
        <f t="shared" si="17"/>
        <v>221000</v>
      </c>
      <c r="Z7" s="6557">
        <f t="shared" si="17"/>
        <v>125.99999999999999</v>
      </c>
      <c r="AA7" s="6557">
        <f t="shared" si="17"/>
        <v>472484</v>
      </c>
      <c r="AB7" s="6718">
        <f t="shared" si="17"/>
        <v>19.600000000000001</v>
      </c>
      <c r="AC7" s="6718">
        <f t="shared" si="17"/>
        <v>76478</v>
      </c>
      <c r="AD7" s="6718">
        <f t="shared" si="17"/>
        <v>145.6</v>
      </c>
      <c r="AE7" s="6718">
        <f t="shared" si="17"/>
        <v>548962</v>
      </c>
      <c r="AF7" s="6718">
        <f t="shared" si="17"/>
        <v>1.2</v>
      </c>
      <c r="AG7" s="6718">
        <f t="shared" si="17"/>
        <v>4448</v>
      </c>
      <c r="AH7" s="6718">
        <f t="shared" si="17"/>
        <v>146.79999999999998</v>
      </c>
      <c r="AI7" s="6718">
        <f t="shared" si="17"/>
        <v>553410</v>
      </c>
      <c r="AJ7" s="6718">
        <f t="shared" si="17"/>
        <v>10.5</v>
      </c>
      <c r="AK7" s="6718">
        <f t="shared" si="17"/>
        <v>38794</v>
      </c>
      <c r="AL7" s="6718">
        <f t="shared" si="17"/>
        <v>31.299999999999997</v>
      </c>
      <c r="AM7" s="6718">
        <f t="shared" si="17"/>
        <v>119720</v>
      </c>
      <c r="AN7" s="6718">
        <f t="shared" si="17"/>
        <v>157.30000000000001</v>
      </c>
      <c r="AO7" s="6718">
        <f t="shared" si="17"/>
        <v>592204</v>
      </c>
      <c r="AP7" s="6718">
        <f t="shared" si="17"/>
        <v>15.3</v>
      </c>
      <c r="AQ7" s="6718">
        <f t="shared" si="17"/>
        <v>60283</v>
      </c>
      <c r="AR7" s="6718">
        <f t="shared" si="17"/>
        <v>172.6</v>
      </c>
      <c r="AS7" s="6718">
        <f t="shared" si="17"/>
        <v>652487</v>
      </c>
      <c r="AT7" s="6718">
        <f t="shared" si="17"/>
        <v>10.8</v>
      </c>
      <c r="AU7" s="6718">
        <f t="shared" si="17"/>
        <v>40072</v>
      </c>
      <c r="AV7" s="6718">
        <f t="shared" si="17"/>
        <v>183.4</v>
      </c>
      <c r="AW7" s="6718">
        <f t="shared" si="17"/>
        <v>692559</v>
      </c>
      <c r="AX7" s="6718">
        <f t="shared" si="17"/>
        <v>33.299999999999997</v>
      </c>
      <c r="AY7" s="6718">
        <f t="shared" si="17"/>
        <v>126620</v>
      </c>
      <c r="AZ7" s="6718">
        <f t="shared" si="17"/>
        <v>59.399999999999991</v>
      </c>
      <c r="BA7" s="6721">
        <f t="shared" si="17"/>
        <v>226975</v>
      </c>
      <c r="BB7" s="6556">
        <f t="shared" si="17"/>
        <v>90.699999999999989</v>
      </c>
      <c r="BC7" s="6556">
        <f t="shared" si="17"/>
        <v>346695</v>
      </c>
      <c r="BD7" s="6718">
        <f t="shared" si="17"/>
        <v>216.7</v>
      </c>
      <c r="BE7" s="6718">
        <f t="shared" si="17"/>
        <v>819179</v>
      </c>
      <c r="BF7" s="533"/>
      <c r="BG7" s="533"/>
      <c r="BH7" s="533"/>
      <c r="BI7" s="533"/>
    </row>
    <row r="8" spans="2:61" ht="21.95" customHeight="1" thickBot="1" x14ac:dyDescent="0.3">
      <c r="B8" s="7583"/>
      <c r="C8" s="6712" t="s">
        <v>1017</v>
      </c>
      <c r="D8" s="6713">
        <v>20.5</v>
      </c>
      <c r="E8" s="6714">
        <v>78260</v>
      </c>
      <c r="F8" s="6713">
        <v>16</v>
      </c>
      <c r="G8" s="6714">
        <v>61793</v>
      </c>
      <c r="H8" s="1488">
        <f t="shared" si="0"/>
        <v>36.5</v>
      </c>
      <c r="I8" s="1489">
        <f t="shared" si="1"/>
        <v>140053</v>
      </c>
      <c r="J8" s="6713">
        <v>15.8</v>
      </c>
      <c r="K8" s="6714">
        <v>58486</v>
      </c>
      <c r="L8" s="6565">
        <f t="shared" si="16"/>
        <v>52.3</v>
      </c>
      <c r="M8" s="6710">
        <f t="shared" si="2"/>
        <v>198539</v>
      </c>
      <c r="N8" s="6713">
        <v>13.2</v>
      </c>
      <c r="O8" s="6714">
        <v>49313</v>
      </c>
      <c r="P8" s="1551">
        <f t="shared" si="3"/>
        <v>65.5</v>
      </c>
      <c r="Q8" s="1551">
        <f t="shared" si="3"/>
        <v>247852</v>
      </c>
      <c r="R8" s="6713">
        <v>15.4</v>
      </c>
      <c r="S8" s="6714">
        <v>58283</v>
      </c>
      <c r="T8" s="1551">
        <f t="shared" si="4"/>
        <v>80.900000000000006</v>
      </c>
      <c r="U8" s="1551">
        <f t="shared" si="4"/>
        <v>306135</v>
      </c>
      <c r="V8" s="6713">
        <v>17.7</v>
      </c>
      <c r="W8" s="6714">
        <v>65940</v>
      </c>
      <c r="X8" s="6565">
        <f t="shared" si="5"/>
        <v>46.3</v>
      </c>
      <c r="Y8" s="6711">
        <f t="shared" si="5"/>
        <v>173536</v>
      </c>
      <c r="Z8" s="6567">
        <f t="shared" si="6"/>
        <v>98.6</v>
      </c>
      <c r="AA8" s="6563">
        <f t="shared" si="6"/>
        <v>372075</v>
      </c>
      <c r="AB8" s="6713">
        <v>13.5</v>
      </c>
      <c r="AC8" s="6714">
        <v>51202</v>
      </c>
      <c r="AD8" s="1488">
        <f t="shared" ref="AD8:AE12" si="21">Z8+AB8</f>
        <v>112.1</v>
      </c>
      <c r="AE8" s="1551">
        <f t="shared" si="21"/>
        <v>423277</v>
      </c>
      <c r="AF8" s="6713">
        <v>1.2</v>
      </c>
      <c r="AG8" s="6714">
        <v>4448</v>
      </c>
      <c r="AH8" s="1488">
        <f t="shared" ref="AH8:AI12" si="22">AD8+AF8</f>
        <v>113.3</v>
      </c>
      <c r="AI8" s="1551">
        <f t="shared" si="22"/>
        <v>427725</v>
      </c>
      <c r="AJ8" s="6713">
        <v>7.6</v>
      </c>
      <c r="AK8" s="6714">
        <v>27576</v>
      </c>
      <c r="AL8" s="6565">
        <f t="shared" ref="AL8:AM12" si="23">+AB8+AF8+AJ8</f>
        <v>22.299999999999997</v>
      </c>
      <c r="AM8" s="6710">
        <f t="shared" si="23"/>
        <v>83226</v>
      </c>
      <c r="AN8" s="1488">
        <f t="shared" si="10"/>
        <v>120.89999999999999</v>
      </c>
      <c r="AO8" s="1551">
        <f t="shared" si="10"/>
        <v>455301</v>
      </c>
      <c r="AP8" s="6713">
        <v>11.3</v>
      </c>
      <c r="AQ8" s="6714">
        <v>43446</v>
      </c>
      <c r="AR8" s="1488">
        <f t="shared" ref="AR8:AS12" si="24">AN8+AP8</f>
        <v>132.19999999999999</v>
      </c>
      <c r="AS8" s="1551">
        <f t="shared" si="24"/>
        <v>498747</v>
      </c>
      <c r="AT8" s="6715">
        <v>9.8000000000000007</v>
      </c>
      <c r="AU8" s="6714">
        <v>35811</v>
      </c>
      <c r="AV8" s="1488">
        <f t="shared" ref="AV8:AW12" si="25">AR8+AT8</f>
        <v>142</v>
      </c>
      <c r="AW8" s="1551">
        <f t="shared" si="25"/>
        <v>534558</v>
      </c>
      <c r="AX8" s="6715">
        <v>24.7</v>
      </c>
      <c r="AY8" s="6714">
        <v>92324</v>
      </c>
      <c r="AZ8" s="6565">
        <f t="shared" ref="AZ8:BA12" si="26">+AP8+AT8+AX8</f>
        <v>45.8</v>
      </c>
      <c r="BA8" s="6711">
        <f t="shared" si="26"/>
        <v>171581</v>
      </c>
      <c r="BB8" s="6567">
        <f t="shared" ref="BB8:BC12" si="27">AL8+AZ8</f>
        <v>68.099999999999994</v>
      </c>
      <c r="BC8" s="6563">
        <f t="shared" si="27"/>
        <v>254807</v>
      </c>
      <c r="BD8" s="1488">
        <f t="shared" ref="BD8:BE12" si="28">AV8+AX8</f>
        <v>166.7</v>
      </c>
      <c r="BE8" s="1551">
        <f t="shared" si="28"/>
        <v>626882</v>
      </c>
      <c r="BF8" s="533"/>
      <c r="BG8" s="533"/>
      <c r="BH8" s="533"/>
      <c r="BI8" s="533"/>
    </row>
    <row r="9" spans="2:61" ht="21.95" customHeight="1" thickBot="1" x14ac:dyDescent="0.3">
      <c r="B9" s="7584"/>
      <c r="C9" s="1467" t="s">
        <v>1018</v>
      </c>
      <c r="D9" s="6722">
        <v>4.2</v>
      </c>
      <c r="E9" s="6723">
        <v>14800</v>
      </c>
      <c r="F9" s="6722">
        <v>11.4</v>
      </c>
      <c r="G9" s="6723">
        <v>37239</v>
      </c>
      <c r="H9" s="1488">
        <f t="shared" si="0"/>
        <v>15.600000000000001</v>
      </c>
      <c r="I9" s="1489">
        <f t="shared" si="1"/>
        <v>52039</v>
      </c>
      <c r="J9" s="6722">
        <v>0.2</v>
      </c>
      <c r="K9" s="6723">
        <v>905</v>
      </c>
      <c r="L9" s="6565">
        <f t="shared" si="16"/>
        <v>15.8</v>
      </c>
      <c r="M9" s="6710">
        <f t="shared" si="2"/>
        <v>52944</v>
      </c>
      <c r="N9" s="6722">
        <v>2</v>
      </c>
      <c r="O9" s="6723">
        <v>7815</v>
      </c>
      <c r="P9" s="1551">
        <f t="shared" si="3"/>
        <v>17.8</v>
      </c>
      <c r="Q9" s="1551">
        <f t="shared" si="3"/>
        <v>60759</v>
      </c>
      <c r="R9" s="6722">
        <v>2.4</v>
      </c>
      <c r="S9" s="6723">
        <v>10148</v>
      </c>
      <c r="T9" s="1551">
        <f t="shared" si="4"/>
        <v>20.2</v>
      </c>
      <c r="U9" s="1551">
        <f t="shared" si="4"/>
        <v>70907</v>
      </c>
      <c r="V9" s="6722">
        <v>7.3</v>
      </c>
      <c r="W9" s="6723">
        <v>29501</v>
      </c>
      <c r="X9" s="6565">
        <f t="shared" si="5"/>
        <v>11.7</v>
      </c>
      <c r="Y9" s="6711">
        <f t="shared" si="5"/>
        <v>47464</v>
      </c>
      <c r="Z9" s="6567">
        <f t="shared" si="6"/>
        <v>27.5</v>
      </c>
      <c r="AA9" s="6563">
        <f t="shared" si="6"/>
        <v>100408</v>
      </c>
      <c r="AB9" s="6722">
        <v>6.2</v>
      </c>
      <c r="AC9" s="6723">
        <v>25276</v>
      </c>
      <c r="AD9" s="1488">
        <f t="shared" si="21"/>
        <v>33.700000000000003</v>
      </c>
      <c r="AE9" s="1551">
        <f t="shared" si="21"/>
        <v>125684</v>
      </c>
      <c r="AF9" s="6722">
        <v>0</v>
      </c>
      <c r="AG9" s="6723">
        <v>0</v>
      </c>
      <c r="AH9" s="1488">
        <f t="shared" si="22"/>
        <v>33.700000000000003</v>
      </c>
      <c r="AI9" s="1551">
        <f t="shared" si="22"/>
        <v>125684</v>
      </c>
      <c r="AJ9" s="6722">
        <v>2.9</v>
      </c>
      <c r="AK9" s="6723">
        <v>11251</v>
      </c>
      <c r="AL9" s="6565">
        <f t="shared" si="23"/>
        <v>9.1</v>
      </c>
      <c r="AM9" s="6710">
        <f t="shared" si="23"/>
        <v>36527</v>
      </c>
      <c r="AN9" s="1488">
        <f t="shared" si="10"/>
        <v>36.6</v>
      </c>
      <c r="AO9" s="1551">
        <f t="shared" si="10"/>
        <v>136935</v>
      </c>
      <c r="AP9" s="6722">
        <v>4</v>
      </c>
      <c r="AQ9" s="6723">
        <v>16837</v>
      </c>
      <c r="AR9" s="1488">
        <f t="shared" si="24"/>
        <v>40.6</v>
      </c>
      <c r="AS9" s="1551">
        <f t="shared" si="24"/>
        <v>153772</v>
      </c>
      <c r="AT9" s="6724">
        <v>0.9</v>
      </c>
      <c r="AU9" s="6723">
        <v>4260</v>
      </c>
      <c r="AV9" s="1488">
        <f t="shared" si="25"/>
        <v>41.5</v>
      </c>
      <c r="AW9" s="1551">
        <f t="shared" si="25"/>
        <v>158032</v>
      </c>
      <c r="AX9" s="6724">
        <v>8.5</v>
      </c>
      <c r="AY9" s="6723">
        <v>34296</v>
      </c>
      <c r="AZ9" s="6565">
        <f t="shared" si="26"/>
        <v>13.4</v>
      </c>
      <c r="BA9" s="6711">
        <f t="shared" si="26"/>
        <v>55393</v>
      </c>
      <c r="BB9" s="6567">
        <f t="shared" si="27"/>
        <v>22.5</v>
      </c>
      <c r="BC9" s="6563">
        <f t="shared" si="27"/>
        <v>91920</v>
      </c>
      <c r="BD9" s="1488">
        <f t="shared" si="28"/>
        <v>50</v>
      </c>
      <c r="BE9" s="1551">
        <f t="shared" si="28"/>
        <v>192328</v>
      </c>
      <c r="BF9" s="533"/>
      <c r="BG9" s="533"/>
      <c r="BH9" s="533"/>
      <c r="BI9" s="533"/>
    </row>
    <row r="10" spans="2:61" ht="21.95" customHeight="1" thickBot="1" x14ac:dyDescent="0.3">
      <c r="B10" s="7582" t="s">
        <v>1229</v>
      </c>
      <c r="C10" s="1463" t="s">
        <v>1019</v>
      </c>
      <c r="D10" s="1477">
        <v>58.9</v>
      </c>
      <c r="E10" s="1484">
        <v>221633</v>
      </c>
      <c r="F10" s="1477">
        <v>60.8</v>
      </c>
      <c r="G10" s="1484">
        <v>214121</v>
      </c>
      <c r="H10" s="1488">
        <f t="shared" si="0"/>
        <v>119.69999999999999</v>
      </c>
      <c r="I10" s="1489">
        <f t="shared" si="1"/>
        <v>435754</v>
      </c>
      <c r="J10" s="1477">
        <v>42.6</v>
      </c>
      <c r="K10" s="1484">
        <v>157553</v>
      </c>
      <c r="L10" s="6565">
        <f t="shared" si="16"/>
        <v>162.29999999999998</v>
      </c>
      <c r="M10" s="6710">
        <f t="shared" si="2"/>
        <v>593307</v>
      </c>
      <c r="N10" s="1477">
        <v>52.5</v>
      </c>
      <c r="O10" s="1484">
        <v>199312</v>
      </c>
      <c r="P10" s="1551">
        <f t="shared" si="3"/>
        <v>214.79999999999998</v>
      </c>
      <c r="Q10" s="1551">
        <f t="shared" si="3"/>
        <v>792619</v>
      </c>
      <c r="R10" s="1477">
        <v>45.9</v>
      </c>
      <c r="S10" s="1484">
        <v>178671</v>
      </c>
      <c r="T10" s="1551">
        <f t="shared" si="4"/>
        <v>260.7</v>
      </c>
      <c r="U10" s="1551">
        <f t="shared" si="4"/>
        <v>971290</v>
      </c>
      <c r="V10" s="1477">
        <v>48.1</v>
      </c>
      <c r="W10" s="1484">
        <v>183558</v>
      </c>
      <c r="X10" s="6565">
        <f t="shared" si="5"/>
        <v>146.5</v>
      </c>
      <c r="Y10" s="6711">
        <f t="shared" si="5"/>
        <v>561541</v>
      </c>
      <c r="Z10" s="6567">
        <f t="shared" si="6"/>
        <v>308.79999999999995</v>
      </c>
      <c r="AA10" s="6563">
        <f t="shared" si="6"/>
        <v>1154848</v>
      </c>
      <c r="AB10" s="1477">
        <v>59.9</v>
      </c>
      <c r="AC10" s="1484">
        <v>229255</v>
      </c>
      <c r="AD10" s="1488">
        <f t="shared" si="21"/>
        <v>368.69999999999993</v>
      </c>
      <c r="AE10" s="1551">
        <f t="shared" si="21"/>
        <v>1384103</v>
      </c>
      <c r="AF10" s="1477">
        <v>34.5</v>
      </c>
      <c r="AG10" s="1484">
        <v>130110</v>
      </c>
      <c r="AH10" s="1488">
        <f t="shared" si="22"/>
        <v>403.19999999999993</v>
      </c>
      <c r="AI10" s="1551">
        <f t="shared" si="22"/>
        <v>1514213</v>
      </c>
      <c r="AJ10" s="1477">
        <v>60.6</v>
      </c>
      <c r="AK10" s="1484">
        <v>221782</v>
      </c>
      <c r="AL10" s="6565">
        <f t="shared" si="23"/>
        <v>155</v>
      </c>
      <c r="AM10" s="6710">
        <f t="shared" si="23"/>
        <v>581147</v>
      </c>
      <c r="AN10" s="1488">
        <f t="shared" si="10"/>
        <v>463.79999999999995</v>
      </c>
      <c r="AO10" s="1551">
        <f t="shared" si="10"/>
        <v>1735995</v>
      </c>
      <c r="AP10" s="1477">
        <v>56.2</v>
      </c>
      <c r="AQ10" s="1484">
        <v>217262</v>
      </c>
      <c r="AR10" s="1488">
        <f t="shared" si="24"/>
        <v>520</v>
      </c>
      <c r="AS10" s="1551">
        <f t="shared" si="24"/>
        <v>1953257</v>
      </c>
      <c r="AT10" s="1524">
        <v>59.3</v>
      </c>
      <c r="AU10" s="1484">
        <v>224403</v>
      </c>
      <c r="AV10" s="1488">
        <f t="shared" si="25"/>
        <v>579.29999999999995</v>
      </c>
      <c r="AW10" s="1551">
        <f t="shared" si="25"/>
        <v>2177660</v>
      </c>
      <c r="AX10" s="1524">
        <v>74.599999999999994</v>
      </c>
      <c r="AY10" s="1484">
        <v>281870</v>
      </c>
      <c r="AZ10" s="6565">
        <f t="shared" si="26"/>
        <v>190.1</v>
      </c>
      <c r="BA10" s="6711">
        <f t="shared" si="26"/>
        <v>723535</v>
      </c>
      <c r="BB10" s="6567">
        <f t="shared" si="27"/>
        <v>345.1</v>
      </c>
      <c r="BC10" s="6563">
        <f t="shared" si="27"/>
        <v>1304682</v>
      </c>
      <c r="BD10" s="1488">
        <f t="shared" si="28"/>
        <v>653.9</v>
      </c>
      <c r="BE10" s="1551">
        <f t="shared" si="28"/>
        <v>2459530</v>
      </c>
      <c r="BF10" s="533"/>
      <c r="BG10" s="533"/>
      <c r="BH10" s="533"/>
      <c r="BI10" s="533"/>
    </row>
    <row r="11" spans="2:61" ht="21.95" customHeight="1" thickBot="1" x14ac:dyDescent="0.3">
      <c r="B11" s="7583"/>
      <c r="C11" s="6712" t="s">
        <v>1020</v>
      </c>
      <c r="D11" s="6713">
        <v>12.4</v>
      </c>
      <c r="E11" s="6725">
        <v>45947</v>
      </c>
      <c r="F11" s="6713">
        <v>12.8</v>
      </c>
      <c r="G11" s="6725">
        <v>37438</v>
      </c>
      <c r="H11" s="1488">
        <f t="shared" si="0"/>
        <v>25.200000000000003</v>
      </c>
      <c r="I11" s="1489">
        <f t="shared" si="1"/>
        <v>83385</v>
      </c>
      <c r="J11" s="6713">
        <v>7.3</v>
      </c>
      <c r="K11" s="6714">
        <v>27649</v>
      </c>
      <c r="L11" s="6565">
        <f t="shared" si="16"/>
        <v>32.5</v>
      </c>
      <c r="M11" s="6710">
        <f t="shared" si="2"/>
        <v>111034</v>
      </c>
      <c r="N11" s="6713">
        <v>20.5</v>
      </c>
      <c r="O11" s="6714">
        <v>80789</v>
      </c>
      <c r="P11" s="1551">
        <f t="shared" si="3"/>
        <v>53</v>
      </c>
      <c r="Q11" s="1551">
        <f t="shared" si="3"/>
        <v>191823</v>
      </c>
      <c r="R11" s="6713">
        <v>13.2</v>
      </c>
      <c r="S11" s="6714">
        <v>51167</v>
      </c>
      <c r="T11" s="1551">
        <f t="shared" si="4"/>
        <v>66.2</v>
      </c>
      <c r="U11" s="1551">
        <f t="shared" si="4"/>
        <v>242990</v>
      </c>
      <c r="V11" s="6713">
        <v>12.9</v>
      </c>
      <c r="W11" s="6714">
        <v>49570</v>
      </c>
      <c r="X11" s="6565">
        <f t="shared" si="5"/>
        <v>46.6</v>
      </c>
      <c r="Y11" s="6711">
        <f t="shared" si="5"/>
        <v>181526</v>
      </c>
      <c r="Z11" s="6567">
        <f t="shared" si="6"/>
        <v>79.099999999999994</v>
      </c>
      <c r="AA11" s="6563">
        <f t="shared" si="6"/>
        <v>292560</v>
      </c>
      <c r="AB11" s="6713">
        <v>10.4</v>
      </c>
      <c r="AC11" s="6714">
        <v>40992</v>
      </c>
      <c r="AD11" s="1488">
        <f t="shared" si="21"/>
        <v>89.5</v>
      </c>
      <c r="AE11" s="1551">
        <f t="shared" si="21"/>
        <v>333552</v>
      </c>
      <c r="AF11" s="6713">
        <v>1.3</v>
      </c>
      <c r="AG11" s="6714">
        <v>5255</v>
      </c>
      <c r="AH11" s="1488">
        <f t="shared" si="22"/>
        <v>90.8</v>
      </c>
      <c r="AI11" s="1551">
        <f t="shared" si="22"/>
        <v>338807</v>
      </c>
      <c r="AJ11" s="6713">
        <v>6.9</v>
      </c>
      <c r="AK11" s="6714">
        <v>25576</v>
      </c>
      <c r="AL11" s="6565">
        <f t="shared" si="23"/>
        <v>18.600000000000001</v>
      </c>
      <c r="AM11" s="6710">
        <f t="shared" si="23"/>
        <v>71823</v>
      </c>
      <c r="AN11" s="1488">
        <f t="shared" si="10"/>
        <v>97.7</v>
      </c>
      <c r="AO11" s="1551">
        <f t="shared" si="10"/>
        <v>364383</v>
      </c>
      <c r="AP11" s="6713">
        <v>9.5</v>
      </c>
      <c r="AQ11" s="6714">
        <v>38129</v>
      </c>
      <c r="AR11" s="1488">
        <f t="shared" si="24"/>
        <v>107.2</v>
      </c>
      <c r="AS11" s="1551">
        <f t="shared" si="24"/>
        <v>402512</v>
      </c>
      <c r="AT11" s="6715">
        <v>3.1</v>
      </c>
      <c r="AU11" s="6714">
        <v>12054</v>
      </c>
      <c r="AV11" s="1488">
        <f t="shared" si="25"/>
        <v>110.3</v>
      </c>
      <c r="AW11" s="1551">
        <f t="shared" si="25"/>
        <v>414566</v>
      </c>
      <c r="AX11" s="6715">
        <v>4.0999999999999996</v>
      </c>
      <c r="AY11" s="6714">
        <v>16178</v>
      </c>
      <c r="AZ11" s="6565">
        <f t="shared" si="26"/>
        <v>16.7</v>
      </c>
      <c r="BA11" s="6711">
        <f t="shared" si="26"/>
        <v>66361</v>
      </c>
      <c r="BB11" s="6567">
        <f t="shared" si="27"/>
        <v>35.299999999999997</v>
      </c>
      <c r="BC11" s="6563">
        <f t="shared" si="27"/>
        <v>138184</v>
      </c>
      <c r="BD11" s="1488">
        <f t="shared" si="28"/>
        <v>114.39999999999999</v>
      </c>
      <c r="BE11" s="1551">
        <f t="shared" si="28"/>
        <v>430744</v>
      </c>
      <c r="BF11" s="533"/>
      <c r="BG11" s="533"/>
      <c r="BH11" s="533"/>
      <c r="BI11" s="533"/>
    </row>
    <row r="12" spans="2:61" ht="21.95" customHeight="1" thickBot="1" x14ac:dyDescent="0.3">
      <c r="B12" s="7583"/>
      <c r="C12" s="6712" t="s">
        <v>1228</v>
      </c>
      <c r="D12" s="6713">
        <v>5</v>
      </c>
      <c r="E12" s="6714">
        <v>15518</v>
      </c>
      <c r="F12" s="6713">
        <v>1</v>
      </c>
      <c r="G12" s="6714">
        <v>3081</v>
      </c>
      <c r="H12" s="1488">
        <f t="shared" si="0"/>
        <v>6</v>
      </c>
      <c r="I12" s="1489">
        <f t="shared" si="1"/>
        <v>18599</v>
      </c>
      <c r="J12" s="6713">
        <v>0</v>
      </c>
      <c r="K12" s="6714"/>
      <c r="L12" s="6565">
        <f t="shared" si="16"/>
        <v>6</v>
      </c>
      <c r="M12" s="6710">
        <f t="shared" si="2"/>
        <v>18599</v>
      </c>
      <c r="N12" s="6713">
        <v>1</v>
      </c>
      <c r="O12" s="6714">
        <v>3740</v>
      </c>
      <c r="P12" s="1551">
        <f t="shared" si="3"/>
        <v>7</v>
      </c>
      <c r="Q12" s="1551">
        <f t="shared" si="3"/>
        <v>22339</v>
      </c>
      <c r="R12" s="6713">
        <v>8</v>
      </c>
      <c r="S12" s="6714">
        <v>32414</v>
      </c>
      <c r="T12" s="1551">
        <f t="shared" si="4"/>
        <v>15</v>
      </c>
      <c r="U12" s="1551">
        <f t="shared" si="4"/>
        <v>54753</v>
      </c>
      <c r="V12" s="6713">
        <v>6</v>
      </c>
      <c r="W12" s="6714">
        <v>23532</v>
      </c>
      <c r="X12" s="6565">
        <f t="shared" si="5"/>
        <v>15</v>
      </c>
      <c r="Y12" s="6711">
        <f t="shared" si="5"/>
        <v>59686</v>
      </c>
      <c r="Z12" s="6567">
        <f t="shared" si="6"/>
        <v>21</v>
      </c>
      <c r="AA12" s="6563">
        <f t="shared" si="6"/>
        <v>78285</v>
      </c>
      <c r="AB12" s="6713">
        <v>5</v>
      </c>
      <c r="AC12" s="6714">
        <v>19718</v>
      </c>
      <c r="AD12" s="1488">
        <f t="shared" si="21"/>
        <v>26</v>
      </c>
      <c r="AE12" s="1551">
        <f t="shared" si="21"/>
        <v>98003</v>
      </c>
      <c r="AF12" s="6713">
        <v>0</v>
      </c>
      <c r="AG12" s="6714">
        <v>0</v>
      </c>
      <c r="AH12" s="1488">
        <f t="shared" si="22"/>
        <v>26</v>
      </c>
      <c r="AI12" s="1551">
        <f t="shared" si="22"/>
        <v>98003</v>
      </c>
      <c r="AJ12" s="6713">
        <v>1</v>
      </c>
      <c r="AK12" s="6714">
        <v>3730</v>
      </c>
      <c r="AL12" s="6565">
        <f t="shared" si="23"/>
        <v>6</v>
      </c>
      <c r="AM12" s="6710">
        <f t="shared" si="23"/>
        <v>23448</v>
      </c>
      <c r="AN12" s="1488">
        <f t="shared" si="10"/>
        <v>27</v>
      </c>
      <c r="AO12" s="1551">
        <f t="shared" si="10"/>
        <v>101733</v>
      </c>
      <c r="AP12" s="6713">
        <v>0</v>
      </c>
      <c r="AQ12" s="6714">
        <v>0</v>
      </c>
      <c r="AR12" s="1488">
        <f t="shared" si="24"/>
        <v>27</v>
      </c>
      <c r="AS12" s="1551">
        <f t="shared" si="24"/>
        <v>101733</v>
      </c>
      <c r="AT12" s="6715">
        <v>2</v>
      </c>
      <c r="AU12" s="6714">
        <v>6684</v>
      </c>
      <c r="AV12" s="1488">
        <f t="shared" si="25"/>
        <v>29</v>
      </c>
      <c r="AW12" s="1551">
        <f t="shared" si="25"/>
        <v>108417</v>
      </c>
      <c r="AX12" s="6715">
        <v>2</v>
      </c>
      <c r="AY12" s="6714">
        <v>7139</v>
      </c>
      <c r="AZ12" s="6565">
        <f t="shared" si="26"/>
        <v>4</v>
      </c>
      <c r="BA12" s="6711">
        <f t="shared" si="26"/>
        <v>13823</v>
      </c>
      <c r="BB12" s="6567">
        <f t="shared" si="27"/>
        <v>10</v>
      </c>
      <c r="BC12" s="6563">
        <f t="shared" si="27"/>
        <v>37271</v>
      </c>
      <c r="BD12" s="1488">
        <f t="shared" si="28"/>
        <v>31</v>
      </c>
      <c r="BE12" s="1551">
        <f t="shared" si="28"/>
        <v>115556</v>
      </c>
      <c r="BF12" s="533"/>
      <c r="BG12" s="533"/>
      <c r="BH12" s="533"/>
      <c r="BI12" s="533"/>
    </row>
    <row r="13" spans="2:61" ht="21.95" customHeight="1" thickBot="1" x14ac:dyDescent="0.3">
      <c r="B13" s="7583"/>
      <c r="C13" s="6716" t="s">
        <v>2</v>
      </c>
      <c r="D13" s="6718">
        <f>SUM(D10:D12)</f>
        <v>76.3</v>
      </c>
      <c r="E13" s="6718">
        <f t="shared" ref="E13:BE13" si="29">SUM(E10:E12)</f>
        <v>283098</v>
      </c>
      <c r="F13" s="6718">
        <f>SUM(F10:F12)</f>
        <v>74.599999999999994</v>
      </c>
      <c r="G13" s="6718">
        <f t="shared" ref="G13" si="30">SUM(G10:G12)</f>
        <v>254640</v>
      </c>
      <c r="H13" s="1488">
        <f t="shared" si="0"/>
        <v>150.89999999999998</v>
      </c>
      <c r="I13" s="1489">
        <f t="shared" si="1"/>
        <v>537738</v>
      </c>
      <c r="J13" s="6718">
        <f t="shared" si="29"/>
        <v>49.9</v>
      </c>
      <c r="K13" s="6718">
        <f t="shared" si="29"/>
        <v>185202</v>
      </c>
      <c r="L13" s="6719">
        <f t="shared" si="29"/>
        <v>200.79999999999998</v>
      </c>
      <c r="M13" s="6719">
        <f t="shared" si="29"/>
        <v>722940</v>
      </c>
      <c r="N13" s="6718">
        <f t="shared" si="29"/>
        <v>74</v>
      </c>
      <c r="O13" s="6718">
        <f t="shared" si="29"/>
        <v>283841</v>
      </c>
      <c r="P13" s="1551">
        <f t="shared" si="3"/>
        <v>274.79999999999995</v>
      </c>
      <c r="Q13" s="1551">
        <f t="shared" si="3"/>
        <v>1006781</v>
      </c>
      <c r="R13" s="6718">
        <f t="shared" ref="R13:S13" si="31">SUM(R10:R12)</f>
        <v>67.099999999999994</v>
      </c>
      <c r="S13" s="6718">
        <f t="shared" si="31"/>
        <v>262252</v>
      </c>
      <c r="T13" s="1551">
        <f t="shared" si="4"/>
        <v>341.9</v>
      </c>
      <c r="U13" s="1551">
        <f t="shared" si="4"/>
        <v>1269033</v>
      </c>
      <c r="V13" s="6718">
        <f t="shared" ref="V13:W13" si="32">SUM(V10:V12)</f>
        <v>67</v>
      </c>
      <c r="W13" s="6718">
        <f t="shared" si="32"/>
        <v>256660</v>
      </c>
      <c r="X13" s="6719">
        <f t="shared" si="29"/>
        <v>208.1</v>
      </c>
      <c r="Y13" s="6720">
        <f t="shared" si="29"/>
        <v>802753</v>
      </c>
      <c r="Z13" s="6557">
        <f t="shared" si="29"/>
        <v>408.9</v>
      </c>
      <c r="AA13" s="6557">
        <f t="shared" si="29"/>
        <v>1525693</v>
      </c>
      <c r="AB13" s="6718">
        <f t="shared" si="29"/>
        <v>75.3</v>
      </c>
      <c r="AC13" s="6718">
        <f t="shared" si="29"/>
        <v>289965</v>
      </c>
      <c r="AD13" s="6718">
        <f t="shared" si="29"/>
        <v>484.19999999999993</v>
      </c>
      <c r="AE13" s="6718">
        <f t="shared" si="29"/>
        <v>1815658</v>
      </c>
      <c r="AF13" s="6718">
        <f t="shared" si="29"/>
        <v>35.799999999999997</v>
      </c>
      <c r="AG13" s="6718">
        <f t="shared" si="29"/>
        <v>135365</v>
      </c>
      <c r="AH13" s="6718">
        <f t="shared" si="29"/>
        <v>520</v>
      </c>
      <c r="AI13" s="6718">
        <f t="shared" si="29"/>
        <v>1951023</v>
      </c>
      <c r="AJ13" s="6718">
        <f t="shared" si="29"/>
        <v>68.5</v>
      </c>
      <c r="AK13" s="6718">
        <f t="shared" si="29"/>
        <v>251088</v>
      </c>
      <c r="AL13" s="6718">
        <f t="shared" si="29"/>
        <v>179.6</v>
      </c>
      <c r="AM13" s="6718">
        <f t="shared" si="29"/>
        <v>676418</v>
      </c>
      <c r="AN13" s="6718">
        <f t="shared" si="29"/>
        <v>588.5</v>
      </c>
      <c r="AO13" s="6718">
        <f t="shared" si="29"/>
        <v>2202111</v>
      </c>
      <c r="AP13" s="6718">
        <f t="shared" si="29"/>
        <v>65.7</v>
      </c>
      <c r="AQ13" s="6718">
        <f t="shared" si="29"/>
        <v>255391</v>
      </c>
      <c r="AR13" s="6718">
        <f t="shared" si="29"/>
        <v>654.20000000000005</v>
      </c>
      <c r="AS13" s="6718">
        <f t="shared" si="29"/>
        <v>2457502</v>
      </c>
      <c r="AT13" s="6718">
        <f t="shared" si="29"/>
        <v>64.400000000000006</v>
      </c>
      <c r="AU13" s="6718">
        <f t="shared" si="29"/>
        <v>243141</v>
      </c>
      <c r="AV13" s="6718">
        <f t="shared" si="29"/>
        <v>718.59999999999991</v>
      </c>
      <c r="AW13" s="6718">
        <f t="shared" si="29"/>
        <v>2700643</v>
      </c>
      <c r="AX13" s="6718">
        <f t="shared" si="29"/>
        <v>80.699999999999989</v>
      </c>
      <c r="AY13" s="6718">
        <f t="shared" si="29"/>
        <v>305187</v>
      </c>
      <c r="AZ13" s="6718">
        <f t="shared" si="29"/>
        <v>210.79999999999998</v>
      </c>
      <c r="BA13" s="6721">
        <f t="shared" si="29"/>
        <v>803719</v>
      </c>
      <c r="BB13" s="6556">
        <f t="shared" si="29"/>
        <v>390.40000000000003</v>
      </c>
      <c r="BC13" s="6556">
        <f t="shared" si="29"/>
        <v>1480137</v>
      </c>
      <c r="BD13" s="6718">
        <f t="shared" si="29"/>
        <v>799.3</v>
      </c>
      <c r="BE13" s="6718">
        <f t="shared" si="29"/>
        <v>3005830</v>
      </c>
      <c r="BF13" s="533"/>
      <c r="BG13" s="533"/>
      <c r="BH13" s="533"/>
      <c r="BI13" s="533"/>
    </row>
    <row r="14" spans="2:61" ht="21.95" customHeight="1" thickBot="1" x14ac:dyDescent="0.3">
      <c r="B14" s="7583"/>
      <c r="C14" s="6712" t="s">
        <v>1017</v>
      </c>
      <c r="D14" s="6713">
        <v>61.5</v>
      </c>
      <c r="E14" s="6714">
        <v>231475</v>
      </c>
      <c r="F14" s="6713">
        <v>43</v>
      </c>
      <c r="G14" s="6714">
        <v>157366</v>
      </c>
      <c r="H14" s="1488">
        <f t="shared" si="0"/>
        <v>104.5</v>
      </c>
      <c r="I14" s="1489">
        <f t="shared" si="1"/>
        <v>388841</v>
      </c>
      <c r="J14" s="6713">
        <v>48.2</v>
      </c>
      <c r="K14" s="6714">
        <v>178395</v>
      </c>
      <c r="L14" s="6565">
        <f t="shared" si="16"/>
        <v>152.69999999999999</v>
      </c>
      <c r="M14" s="6710">
        <f t="shared" si="2"/>
        <v>567236</v>
      </c>
      <c r="N14" s="6713">
        <v>60.9</v>
      </c>
      <c r="O14" s="6714">
        <v>229766</v>
      </c>
      <c r="P14" s="1551">
        <f t="shared" si="3"/>
        <v>213.6</v>
      </c>
      <c r="Q14" s="1551">
        <f t="shared" si="3"/>
        <v>797002</v>
      </c>
      <c r="R14" s="6713">
        <v>50.6</v>
      </c>
      <c r="S14" s="6714">
        <v>192732</v>
      </c>
      <c r="T14" s="1551">
        <f t="shared" si="4"/>
        <v>264.2</v>
      </c>
      <c r="U14" s="1551">
        <f t="shared" si="4"/>
        <v>989734</v>
      </c>
      <c r="V14" s="6713">
        <v>42.3</v>
      </c>
      <c r="W14" s="6714">
        <v>156414</v>
      </c>
      <c r="X14" s="6565">
        <f t="shared" si="5"/>
        <v>153.80000000000001</v>
      </c>
      <c r="Y14" s="6711">
        <f t="shared" si="5"/>
        <v>578912</v>
      </c>
      <c r="Z14" s="6567">
        <f t="shared" si="6"/>
        <v>306.5</v>
      </c>
      <c r="AA14" s="6563">
        <f t="shared" si="6"/>
        <v>1146148</v>
      </c>
      <c r="AB14" s="6713">
        <v>50.5</v>
      </c>
      <c r="AC14" s="6714">
        <v>189847</v>
      </c>
      <c r="AD14" s="1488">
        <f t="shared" ref="AD14:AE20" si="33">Z14+AB14</f>
        <v>357</v>
      </c>
      <c r="AE14" s="1551">
        <f t="shared" si="33"/>
        <v>1335995</v>
      </c>
      <c r="AF14" s="6713">
        <v>34.799999999999997</v>
      </c>
      <c r="AG14" s="6714">
        <v>131320</v>
      </c>
      <c r="AH14" s="1488">
        <f t="shared" ref="AH14:AI20" si="34">AD14+AF14</f>
        <v>391.8</v>
      </c>
      <c r="AI14" s="1551">
        <f t="shared" si="34"/>
        <v>1467315</v>
      </c>
      <c r="AJ14" s="6713">
        <v>59.4</v>
      </c>
      <c r="AK14" s="6714">
        <v>215217</v>
      </c>
      <c r="AL14" s="6565">
        <f t="shared" ref="AL14:AM20" si="35">+AB14+AF14+AJ14</f>
        <v>144.69999999999999</v>
      </c>
      <c r="AM14" s="6710">
        <f t="shared" si="35"/>
        <v>536384</v>
      </c>
      <c r="AN14" s="1488">
        <f t="shared" si="10"/>
        <v>451.2</v>
      </c>
      <c r="AO14" s="1551">
        <f t="shared" si="10"/>
        <v>1682532</v>
      </c>
      <c r="AP14" s="6713">
        <v>53.7</v>
      </c>
      <c r="AQ14" s="6714">
        <v>206132</v>
      </c>
      <c r="AR14" s="1488">
        <f t="shared" ref="AR14:AS20" si="36">AN14+AP14</f>
        <v>504.9</v>
      </c>
      <c r="AS14" s="1551">
        <f t="shared" si="36"/>
        <v>1888664</v>
      </c>
      <c r="AT14" s="6715">
        <v>58.3</v>
      </c>
      <c r="AU14" s="6714">
        <v>216779</v>
      </c>
      <c r="AV14" s="1488">
        <f t="shared" ref="AV14:AW20" si="37">AR14+AT14</f>
        <v>563.19999999999993</v>
      </c>
      <c r="AW14" s="1551">
        <f t="shared" si="37"/>
        <v>2105443</v>
      </c>
      <c r="AX14" s="6715">
        <v>59.3</v>
      </c>
      <c r="AY14" s="6714">
        <v>218777</v>
      </c>
      <c r="AZ14" s="6565">
        <f t="shared" ref="AZ14:BA20" si="38">+AP14+AT14+AX14</f>
        <v>171.3</v>
      </c>
      <c r="BA14" s="6711">
        <f t="shared" si="38"/>
        <v>641688</v>
      </c>
      <c r="BB14" s="6567">
        <f t="shared" ref="BB14:BC20" si="39">AL14+AZ14</f>
        <v>316</v>
      </c>
      <c r="BC14" s="6563">
        <f t="shared" si="39"/>
        <v>1178072</v>
      </c>
      <c r="BD14" s="1488">
        <f t="shared" ref="BD14:BE20" si="40">AV14+AX14</f>
        <v>622.49999999999989</v>
      </c>
      <c r="BE14" s="1551">
        <f t="shared" si="40"/>
        <v>2324220</v>
      </c>
      <c r="BF14" s="533"/>
      <c r="BG14" s="533"/>
      <c r="BH14" s="533"/>
      <c r="BI14" s="533"/>
    </row>
    <row r="15" spans="2:61" ht="21.95" customHeight="1" thickBot="1" x14ac:dyDescent="0.3">
      <c r="B15" s="7584"/>
      <c r="C15" s="1467" t="s">
        <v>1018</v>
      </c>
      <c r="D15" s="6722">
        <v>14.8</v>
      </c>
      <c r="E15" s="6723">
        <v>51623</v>
      </c>
      <c r="F15" s="6722">
        <v>31.6</v>
      </c>
      <c r="G15" s="6723">
        <v>97275</v>
      </c>
      <c r="H15" s="1488">
        <f t="shared" si="0"/>
        <v>46.400000000000006</v>
      </c>
      <c r="I15" s="1489">
        <f t="shared" si="1"/>
        <v>148898</v>
      </c>
      <c r="J15" s="6722">
        <v>1.8</v>
      </c>
      <c r="K15" s="6723">
        <v>6807</v>
      </c>
      <c r="L15" s="6565">
        <f t="shared" si="16"/>
        <v>48.2</v>
      </c>
      <c r="M15" s="6710">
        <f t="shared" si="2"/>
        <v>155705</v>
      </c>
      <c r="N15" s="6722">
        <v>13</v>
      </c>
      <c r="O15" s="6723">
        <v>54075</v>
      </c>
      <c r="P15" s="1551">
        <f t="shared" si="3"/>
        <v>61.2</v>
      </c>
      <c r="Q15" s="1551">
        <f t="shared" si="3"/>
        <v>209780</v>
      </c>
      <c r="R15" s="6722">
        <v>16.600000000000001</v>
      </c>
      <c r="S15" s="6723">
        <v>69520</v>
      </c>
      <c r="T15" s="1551">
        <f t="shared" si="4"/>
        <v>77.800000000000011</v>
      </c>
      <c r="U15" s="1551">
        <f t="shared" si="4"/>
        <v>279300</v>
      </c>
      <c r="V15" s="6722">
        <v>24.7</v>
      </c>
      <c r="W15" s="6723">
        <v>100246</v>
      </c>
      <c r="X15" s="6565">
        <f t="shared" si="5"/>
        <v>54.3</v>
      </c>
      <c r="Y15" s="6711">
        <f t="shared" si="5"/>
        <v>223841</v>
      </c>
      <c r="Z15" s="6567">
        <f t="shared" si="6"/>
        <v>102.5</v>
      </c>
      <c r="AA15" s="6563">
        <f t="shared" si="6"/>
        <v>379546</v>
      </c>
      <c r="AB15" s="6722">
        <v>24.8</v>
      </c>
      <c r="AC15" s="6723">
        <v>100188</v>
      </c>
      <c r="AD15" s="1488">
        <f t="shared" si="33"/>
        <v>127.3</v>
      </c>
      <c r="AE15" s="1551">
        <f t="shared" si="33"/>
        <v>479734</v>
      </c>
      <c r="AF15" s="6722">
        <v>1</v>
      </c>
      <c r="AG15" s="6723">
        <v>4046</v>
      </c>
      <c r="AH15" s="1488">
        <f t="shared" si="34"/>
        <v>128.30000000000001</v>
      </c>
      <c r="AI15" s="1551">
        <f t="shared" si="34"/>
        <v>483780</v>
      </c>
      <c r="AJ15" s="6722">
        <v>9.1</v>
      </c>
      <c r="AK15" s="6723">
        <v>35871</v>
      </c>
      <c r="AL15" s="6565">
        <f t="shared" si="35"/>
        <v>34.9</v>
      </c>
      <c r="AM15" s="6710">
        <f t="shared" si="35"/>
        <v>140105</v>
      </c>
      <c r="AN15" s="1488">
        <f t="shared" si="10"/>
        <v>137.4</v>
      </c>
      <c r="AO15" s="1551">
        <f t="shared" si="10"/>
        <v>519651</v>
      </c>
      <c r="AP15" s="6722">
        <v>12</v>
      </c>
      <c r="AQ15" s="6723">
        <v>49259</v>
      </c>
      <c r="AR15" s="1488">
        <f t="shared" si="36"/>
        <v>149.4</v>
      </c>
      <c r="AS15" s="1551">
        <f t="shared" si="36"/>
        <v>568910</v>
      </c>
      <c r="AT15" s="6724">
        <v>6.1</v>
      </c>
      <c r="AU15" s="6723">
        <v>26362</v>
      </c>
      <c r="AV15" s="1488">
        <f t="shared" si="37"/>
        <v>155.5</v>
      </c>
      <c r="AW15" s="1551">
        <f t="shared" si="37"/>
        <v>595272</v>
      </c>
      <c r="AX15" s="6724">
        <v>21.5</v>
      </c>
      <c r="AY15" s="6723">
        <v>86409</v>
      </c>
      <c r="AZ15" s="6565">
        <f t="shared" si="38"/>
        <v>39.6</v>
      </c>
      <c r="BA15" s="6711">
        <f t="shared" si="38"/>
        <v>162030</v>
      </c>
      <c r="BB15" s="6567">
        <f t="shared" si="39"/>
        <v>74.5</v>
      </c>
      <c r="BC15" s="6563">
        <f t="shared" si="39"/>
        <v>302135</v>
      </c>
      <c r="BD15" s="1488">
        <f t="shared" si="40"/>
        <v>177</v>
      </c>
      <c r="BE15" s="1551">
        <f t="shared" si="40"/>
        <v>681681</v>
      </c>
      <c r="BF15" s="533"/>
      <c r="BG15" s="533"/>
      <c r="BH15" s="533"/>
      <c r="BI15" s="533"/>
    </row>
    <row r="16" spans="2:61" s="5172" customFormat="1" ht="21.95" customHeight="1" thickBot="1" x14ac:dyDescent="0.3">
      <c r="B16" s="7569" t="s">
        <v>1321</v>
      </c>
      <c r="C16" s="7109" t="s">
        <v>2336</v>
      </c>
      <c r="D16" s="7112">
        <v>17</v>
      </c>
      <c r="E16" s="7113">
        <v>69320</v>
      </c>
      <c r="F16" s="7112">
        <v>20</v>
      </c>
      <c r="G16" s="7113">
        <v>82611</v>
      </c>
      <c r="H16" s="1488">
        <f t="shared" si="0"/>
        <v>37</v>
      </c>
      <c r="I16" s="1489">
        <f t="shared" si="1"/>
        <v>151931</v>
      </c>
      <c r="J16" s="7112"/>
      <c r="K16" s="7113"/>
      <c r="L16" s="6565"/>
      <c r="M16" s="6710"/>
      <c r="N16" s="7112"/>
      <c r="O16" s="7113"/>
      <c r="P16" s="1551"/>
      <c r="Q16" s="1551"/>
      <c r="R16" s="7112"/>
      <c r="S16" s="7113"/>
      <c r="T16" s="1551"/>
      <c r="U16" s="1551"/>
      <c r="V16" s="7112"/>
      <c r="W16" s="7113"/>
      <c r="X16" s="6565"/>
      <c r="Y16" s="6711"/>
      <c r="Z16" s="6567"/>
      <c r="AA16" s="6563"/>
      <c r="AB16" s="7112"/>
      <c r="AC16" s="7113"/>
      <c r="AD16" s="1488"/>
      <c r="AE16" s="1551"/>
      <c r="AF16" s="7112"/>
      <c r="AG16" s="7113"/>
      <c r="AH16" s="1488"/>
      <c r="AI16" s="1551"/>
      <c r="AJ16" s="7112"/>
      <c r="AK16" s="7113"/>
      <c r="AL16" s="6565"/>
      <c r="AM16" s="6710"/>
      <c r="AN16" s="1488"/>
      <c r="AO16" s="1551"/>
      <c r="AP16" s="7112"/>
      <c r="AQ16" s="7113"/>
      <c r="AR16" s="1488"/>
      <c r="AS16" s="1551"/>
      <c r="AT16" s="7114"/>
      <c r="AU16" s="7113"/>
      <c r="AV16" s="1488"/>
      <c r="AW16" s="1551"/>
      <c r="AX16" s="7114"/>
      <c r="AY16" s="7113"/>
      <c r="AZ16" s="6565"/>
      <c r="BA16" s="6711"/>
      <c r="BB16" s="6567"/>
      <c r="BC16" s="6563"/>
      <c r="BD16" s="1488"/>
      <c r="BE16" s="1551"/>
      <c r="BF16" s="533"/>
      <c r="BG16" s="533"/>
      <c r="BH16" s="533"/>
      <c r="BI16" s="533"/>
    </row>
    <row r="17" spans="2:61" s="5172" customFormat="1" ht="21.95" customHeight="1" thickBot="1" x14ac:dyDescent="0.3">
      <c r="B17" s="7570"/>
      <c r="C17" s="7109" t="s">
        <v>1321</v>
      </c>
      <c r="D17" s="7112">
        <v>12</v>
      </c>
      <c r="E17" s="7113">
        <v>49705</v>
      </c>
      <c r="F17" s="7112">
        <v>16</v>
      </c>
      <c r="G17" s="7113">
        <v>60403</v>
      </c>
      <c r="H17" s="1488">
        <f t="shared" si="0"/>
        <v>28</v>
      </c>
      <c r="I17" s="1489">
        <f t="shared" si="1"/>
        <v>110108</v>
      </c>
      <c r="J17" s="7112"/>
      <c r="K17" s="7113"/>
      <c r="L17" s="6565"/>
      <c r="M17" s="6710"/>
      <c r="N17" s="7112"/>
      <c r="O17" s="7113"/>
      <c r="P17" s="1551"/>
      <c r="Q17" s="1551"/>
      <c r="R17" s="7112"/>
      <c r="S17" s="7113"/>
      <c r="T17" s="1551"/>
      <c r="U17" s="1551"/>
      <c r="V17" s="7112"/>
      <c r="W17" s="7113"/>
      <c r="X17" s="6565"/>
      <c r="Y17" s="6711"/>
      <c r="Z17" s="6567"/>
      <c r="AA17" s="6563"/>
      <c r="AB17" s="7112"/>
      <c r="AC17" s="7113"/>
      <c r="AD17" s="1488"/>
      <c r="AE17" s="1551"/>
      <c r="AF17" s="7112"/>
      <c r="AG17" s="7113"/>
      <c r="AH17" s="1488"/>
      <c r="AI17" s="1551"/>
      <c r="AJ17" s="7112"/>
      <c r="AK17" s="7113"/>
      <c r="AL17" s="6565"/>
      <c r="AM17" s="6710"/>
      <c r="AN17" s="1488"/>
      <c r="AO17" s="1551"/>
      <c r="AP17" s="7112"/>
      <c r="AQ17" s="7113"/>
      <c r="AR17" s="1488"/>
      <c r="AS17" s="1551"/>
      <c r="AT17" s="7114"/>
      <c r="AU17" s="7113"/>
      <c r="AV17" s="1488"/>
      <c r="AW17" s="1551"/>
      <c r="AX17" s="7114"/>
      <c r="AY17" s="7113"/>
      <c r="AZ17" s="6565"/>
      <c r="BA17" s="6711"/>
      <c r="BB17" s="6567"/>
      <c r="BC17" s="6563"/>
      <c r="BD17" s="1488"/>
      <c r="BE17" s="1551"/>
      <c r="BF17" s="533"/>
      <c r="BG17" s="533"/>
      <c r="BH17" s="533"/>
      <c r="BI17" s="533"/>
    </row>
    <row r="18" spans="2:61" s="5172" customFormat="1" ht="21.95" customHeight="1" thickBot="1" x14ac:dyDescent="0.3">
      <c r="B18" s="7111"/>
      <c r="C18" s="7110"/>
      <c r="D18" s="7112"/>
      <c r="E18" s="7113"/>
      <c r="F18" s="7112"/>
      <c r="G18" s="7113"/>
      <c r="H18" s="1488"/>
      <c r="I18" s="1489"/>
      <c r="J18" s="7112"/>
      <c r="K18" s="7113"/>
      <c r="L18" s="6565"/>
      <c r="M18" s="6710"/>
      <c r="N18" s="7112"/>
      <c r="O18" s="7113"/>
      <c r="P18" s="1551"/>
      <c r="Q18" s="1551"/>
      <c r="R18" s="7112"/>
      <c r="S18" s="7113"/>
      <c r="T18" s="1551"/>
      <c r="U18" s="1551"/>
      <c r="V18" s="7112"/>
      <c r="W18" s="7113"/>
      <c r="X18" s="6565"/>
      <c r="Y18" s="6711"/>
      <c r="Z18" s="6567"/>
      <c r="AA18" s="6563"/>
      <c r="AB18" s="7112"/>
      <c r="AC18" s="7113"/>
      <c r="AD18" s="1488"/>
      <c r="AE18" s="1551"/>
      <c r="AF18" s="7112"/>
      <c r="AG18" s="7113"/>
      <c r="AH18" s="1488"/>
      <c r="AI18" s="1551"/>
      <c r="AJ18" s="7112"/>
      <c r="AK18" s="7113"/>
      <c r="AL18" s="6565"/>
      <c r="AM18" s="6710"/>
      <c r="AN18" s="1488"/>
      <c r="AO18" s="1551"/>
      <c r="AP18" s="7112"/>
      <c r="AQ18" s="7113"/>
      <c r="AR18" s="1488"/>
      <c r="AS18" s="1551"/>
      <c r="AT18" s="7114"/>
      <c r="AU18" s="7113"/>
      <c r="AV18" s="1488"/>
      <c r="AW18" s="1551"/>
      <c r="AX18" s="7114"/>
      <c r="AY18" s="7113"/>
      <c r="AZ18" s="6565"/>
      <c r="BA18" s="6711"/>
      <c r="BB18" s="6567"/>
      <c r="BC18" s="6563"/>
      <c r="BD18" s="1488"/>
      <c r="BE18" s="1551"/>
      <c r="BF18" s="533"/>
      <c r="BG18" s="533"/>
      <c r="BH18" s="533"/>
      <c r="BI18" s="533"/>
    </row>
    <row r="19" spans="2:61" ht="21.95" customHeight="1" thickBot="1" x14ac:dyDescent="0.3">
      <c r="B19" s="7564" t="s">
        <v>1230</v>
      </c>
      <c r="C19" s="1463" t="s">
        <v>1022</v>
      </c>
      <c r="D19" s="1477">
        <v>6</v>
      </c>
      <c r="E19" s="1484">
        <v>24753</v>
      </c>
      <c r="F19" s="1477">
        <v>7</v>
      </c>
      <c r="G19" s="1484">
        <v>28976</v>
      </c>
      <c r="H19" s="1488">
        <f t="shared" si="0"/>
        <v>13</v>
      </c>
      <c r="I19" s="1489">
        <f t="shared" si="1"/>
        <v>53729</v>
      </c>
      <c r="J19" s="1477">
        <v>5</v>
      </c>
      <c r="K19" s="1484">
        <v>20572</v>
      </c>
      <c r="L19" s="6565">
        <f t="shared" si="16"/>
        <v>18</v>
      </c>
      <c r="M19" s="6710">
        <f t="shared" si="2"/>
        <v>74301</v>
      </c>
      <c r="N19" s="1477">
        <v>8</v>
      </c>
      <c r="O19" s="1484">
        <v>32805</v>
      </c>
      <c r="P19" s="1551">
        <f t="shared" si="3"/>
        <v>26</v>
      </c>
      <c r="Q19" s="1551">
        <f t="shared" si="3"/>
        <v>107106</v>
      </c>
      <c r="R19" s="1477">
        <v>7</v>
      </c>
      <c r="S19" s="1484">
        <v>28834</v>
      </c>
      <c r="T19" s="1551">
        <f t="shared" si="4"/>
        <v>33</v>
      </c>
      <c r="U19" s="1551">
        <f t="shared" si="4"/>
        <v>135940</v>
      </c>
      <c r="V19" s="1477">
        <v>7</v>
      </c>
      <c r="W19" s="1484">
        <v>28767</v>
      </c>
      <c r="X19" s="6565">
        <f t="shared" si="5"/>
        <v>22</v>
      </c>
      <c r="Y19" s="6711">
        <f t="shared" si="5"/>
        <v>90406</v>
      </c>
      <c r="Z19" s="6567">
        <f t="shared" si="6"/>
        <v>40</v>
      </c>
      <c r="AA19" s="6563">
        <f t="shared" si="6"/>
        <v>164707</v>
      </c>
      <c r="AB19" s="1477">
        <v>9</v>
      </c>
      <c r="AC19" s="1484">
        <v>37254</v>
      </c>
      <c r="AD19" s="1488">
        <f t="shared" si="33"/>
        <v>49</v>
      </c>
      <c r="AE19" s="1551">
        <f t="shared" si="33"/>
        <v>201961</v>
      </c>
      <c r="AF19" s="1477">
        <v>0</v>
      </c>
      <c r="AG19" s="1484">
        <v>0</v>
      </c>
      <c r="AH19" s="1488">
        <f t="shared" si="34"/>
        <v>49</v>
      </c>
      <c r="AI19" s="1551">
        <f t="shared" si="34"/>
        <v>201961</v>
      </c>
      <c r="AJ19" s="1477">
        <v>4</v>
      </c>
      <c r="AK19" s="1484">
        <v>16520</v>
      </c>
      <c r="AL19" s="6565">
        <f t="shared" si="35"/>
        <v>13</v>
      </c>
      <c r="AM19" s="6710">
        <f t="shared" si="35"/>
        <v>53774</v>
      </c>
      <c r="AN19" s="1488">
        <f t="shared" si="10"/>
        <v>53</v>
      </c>
      <c r="AO19" s="1551">
        <f t="shared" si="10"/>
        <v>218481</v>
      </c>
      <c r="AP19" s="1477">
        <v>11</v>
      </c>
      <c r="AQ19" s="1484">
        <v>45255</v>
      </c>
      <c r="AR19" s="1488">
        <f t="shared" si="36"/>
        <v>64</v>
      </c>
      <c r="AS19" s="1551">
        <f t="shared" si="36"/>
        <v>263736</v>
      </c>
      <c r="AT19" s="1524">
        <v>6</v>
      </c>
      <c r="AU19" s="1484">
        <v>24764</v>
      </c>
      <c r="AV19" s="1488">
        <f t="shared" si="37"/>
        <v>70</v>
      </c>
      <c r="AW19" s="1551">
        <f t="shared" si="37"/>
        <v>288500</v>
      </c>
      <c r="AX19" s="1524">
        <v>10</v>
      </c>
      <c r="AY19" s="1484">
        <v>41398</v>
      </c>
      <c r="AZ19" s="6565">
        <f t="shared" si="38"/>
        <v>27</v>
      </c>
      <c r="BA19" s="6711">
        <f t="shared" si="38"/>
        <v>111417</v>
      </c>
      <c r="BB19" s="6567">
        <f t="shared" si="39"/>
        <v>40</v>
      </c>
      <c r="BC19" s="6563">
        <f t="shared" si="39"/>
        <v>165191</v>
      </c>
      <c r="BD19" s="1488">
        <f t="shared" si="40"/>
        <v>80</v>
      </c>
      <c r="BE19" s="1551">
        <f t="shared" si="40"/>
        <v>329898</v>
      </c>
      <c r="BF19" s="533"/>
      <c r="BG19" s="533"/>
      <c r="BH19" s="533"/>
      <c r="BI19" s="533"/>
    </row>
    <row r="20" spans="2:61" ht="21.95" customHeight="1" thickBot="1" x14ac:dyDescent="0.3">
      <c r="B20" s="7565"/>
      <c r="C20" s="6712" t="s">
        <v>1023</v>
      </c>
      <c r="D20" s="6713">
        <v>9</v>
      </c>
      <c r="E20" s="6714">
        <v>35195</v>
      </c>
      <c r="F20" s="6713">
        <v>9</v>
      </c>
      <c r="G20" s="6714">
        <v>34601</v>
      </c>
      <c r="H20" s="1488">
        <f t="shared" si="0"/>
        <v>18</v>
      </c>
      <c r="I20" s="1489">
        <f t="shared" si="1"/>
        <v>69796</v>
      </c>
      <c r="J20" s="6713">
        <v>5</v>
      </c>
      <c r="K20" s="6714">
        <v>18963</v>
      </c>
      <c r="L20" s="6565">
        <f t="shared" si="16"/>
        <v>23</v>
      </c>
      <c r="M20" s="6710">
        <f t="shared" si="2"/>
        <v>88759</v>
      </c>
      <c r="N20" s="6713">
        <v>11</v>
      </c>
      <c r="O20" s="6714">
        <v>42305</v>
      </c>
      <c r="P20" s="1551">
        <f t="shared" si="3"/>
        <v>34</v>
      </c>
      <c r="Q20" s="1551">
        <f t="shared" si="3"/>
        <v>131064</v>
      </c>
      <c r="R20" s="6713">
        <v>9</v>
      </c>
      <c r="S20" s="6714">
        <v>33696</v>
      </c>
      <c r="T20" s="1551">
        <f t="shared" si="4"/>
        <v>43</v>
      </c>
      <c r="U20" s="1551">
        <f t="shared" si="4"/>
        <v>164760</v>
      </c>
      <c r="V20" s="6713">
        <v>9</v>
      </c>
      <c r="W20" s="6714">
        <v>34571</v>
      </c>
      <c r="X20" s="6565">
        <f t="shared" si="5"/>
        <v>29</v>
      </c>
      <c r="Y20" s="6711">
        <f t="shared" si="5"/>
        <v>110572</v>
      </c>
      <c r="Z20" s="6567">
        <f t="shared" si="6"/>
        <v>52</v>
      </c>
      <c r="AA20" s="6563">
        <f t="shared" si="6"/>
        <v>199331</v>
      </c>
      <c r="AB20" s="6713">
        <v>7</v>
      </c>
      <c r="AC20" s="6714">
        <v>25788</v>
      </c>
      <c r="AD20" s="1488">
        <f t="shared" si="33"/>
        <v>59</v>
      </c>
      <c r="AE20" s="1551">
        <f t="shared" si="33"/>
        <v>225119</v>
      </c>
      <c r="AF20" s="6713">
        <v>0</v>
      </c>
      <c r="AG20" s="6714">
        <v>0</v>
      </c>
      <c r="AH20" s="1488">
        <f t="shared" si="34"/>
        <v>59</v>
      </c>
      <c r="AI20" s="1551">
        <f t="shared" si="34"/>
        <v>225119</v>
      </c>
      <c r="AJ20" s="6713">
        <v>9</v>
      </c>
      <c r="AK20" s="6714">
        <v>34379</v>
      </c>
      <c r="AL20" s="6565">
        <f t="shared" si="35"/>
        <v>16</v>
      </c>
      <c r="AM20" s="6710">
        <f t="shared" si="35"/>
        <v>60167</v>
      </c>
      <c r="AN20" s="1488">
        <f t="shared" si="10"/>
        <v>68</v>
      </c>
      <c r="AO20" s="1551">
        <f t="shared" si="10"/>
        <v>259498</v>
      </c>
      <c r="AP20" s="6713">
        <v>6</v>
      </c>
      <c r="AQ20" s="6714">
        <v>23614</v>
      </c>
      <c r="AR20" s="1488">
        <f t="shared" si="36"/>
        <v>74</v>
      </c>
      <c r="AS20" s="1551">
        <f t="shared" si="36"/>
        <v>283112</v>
      </c>
      <c r="AT20" s="6715">
        <v>6</v>
      </c>
      <c r="AU20" s="6714">
        <v>23130</v>
      </c>
      <c r="AV20" s="1488">
        <f t="shared" si="37"/>
        <v>80</v>
      </c>
      <c r="AW20" s="1551">
        <f t="shared" si="37"/>
        <v>306242</v>
      </c>
      <c r="AX20" s="6715">
        <v>7</v>
      </c>
      <c r="AY20" s="6714">
        <v>26679</v>
      </c>
      <c r="AZ20" s="6565">
        <f t="shared" si="38"/>
        <v>19</v>
      </c>
      <c r="BA20" s="6711">
        <f t="shared" si="38"/>
        <v>73423</v>
      </c>
      <c r="BB20" s="6567">
        <f t="shared" si="39"/>
        <v>35</v>
      </c>
      <c r="BC20" s="6563">
        <f t="shared" si="39"/>
        <v>133590</v>
      </c>
      <c r="BD20" s="1488">
        <f t="shared" si="40"/>
        <v>87</v>
      </c>
      <c r="BE20" s="1551">
        <f t="shared" si="40"/>
        <v>332921</v>
      </c>
      <c r="BF20" s="533"/>
      <c r="BG20" s="533"/>
      <c r="BH20" s="533"/>
      <c r="BI20" s="533"/>
    </row>
    <row r="21" spans="2:61" ht="21.95" customHeight="1" thickBot="1" x14ac:dyDescent="0.3">
      <c r="B21" s="7566"/>
      <c r="C21" s="6726" t="s">
        <v>2</v>
      </c>
      <c r="D21" s="6727">
        <f>SUM(D19:D20)</f>
        <v>15</v>
      </c>
      <c r="E21" s="6727">
        <f t="shared" ref="E21:BE21" si="41">SUM(E19:E20)</f>
        <v>59948</v>
      </c>
      <c r="F21" s="6727">
        <f>SUM(F19:F20)</f>
        <v>16</v>
      </c>
      <c r="G21" s="6727">
        <f t="shared" ref="G21" si="42">SUM(G19:G20)</f>
        <v>63577</v>
      </c>
      <c r="H21" s="1488">
        <f t="shared" si="0"/>
        <v>31</v>
      </c>
      <c r="I21" s="1489">
        <f t="shared" si="1"/>
        <v>123525</v>
      </c>
      <c r="J21" s="6727">
        <f t="shared" si="41"/>
        <v>10</v>
      </c>
      <c r="K21" s="6727">
        <f t="shared" si="41"/>
        <v>39535</v>
      </c>
      <c r="L21" s="6728">
        <f t="shared" si="41"/>
        <v>41</v>
      </c>
      <c r="M21" s="6728">
        <f t="shared" si="41"/>
        <v>163060</v>
      </c>
      <c r="N21" s="6727">
        <f t="shared" si="41"/>
        <v>19</v>
      </c>
      <c r="O21" s="6727">
        <f t="shared" si="41"/>
        <v>75110</v>
      </c>
      <c r="P21" s="1551">
        <f t="shared" si="3"/>
        <v>60</v>
      </c>
      <c r="Q21" s="1551">
        <f t="shared" si="3"/>
        <v>238170</v>
      </c>
      <c r="R21" s="6727">
        <f t="shared" ref="R21:S21" si="43">SUM(R19:R20)</f>
        <v>16</v>
      </c>
      <c r="S21" s="6727">
        <f t="shared" si="43"/>
        <v>62530</v>
      </c>
      <c r="T21" s="1551">
        <f t="shared" si="4"/>
        <v>76</v>
      </c>
      <c r="U21" s="1551">
        <f t="shared" si="4"/>
        <v>300700</v>
      </c>
      <c r="V21" s="6727">
        <f t="shared" ref="V21:W21" si="44">SUM(V19:V20)</f>
        <v>16</v>
      </c>
      <c r="W21" s="6727">
        <f t="shared" si="44"/>
        <v>63338</v>
      </c>
      <c r="X21" s="6728">
        <f t="shared" si="41"/>
        <v>51</v>
      </c>
      <c r="Y21" s="6729">
        <f t="shared" si="41"/>
        <v>200978</v>
      </c>
      <c r="Z21" s="6557">
        <f t="shared" si="41"/>
        <v>92</v>
      </c>
      <c r="AA21" s="6557">
        <f t="shared" si="41"/>
        <v>364038</v>
      </c>
      <c r="AB21" s="6727">
        <f t="shared" si="41"/>
        <v>16</v>
      </c>
      <c r="AC21" s="6727">
        <f t="shared" si="41"/>
        <v>63042</v>
      </c>
      <c r="AD21" s="6727">
        <f t="shared" si="41"/>
        <v>108</v>
      </c>
      <c r="AE21" s="6727">
        <f t="shared" si="41"/>
        <v>427080</v>
      </c>
      <c r="AF21" s="6727">
        <f t="shared" si="41"/>
        <v>0</v>
      </c>
      <c r="AG21" s="6727">
        <f t="shared" si="41"/>
        <v>0</v>
      </c>
      <c r="AH21" s="6727">
        <f t="shared" si="41"/>
        <v>108</v>
      </c>
      <c r="AI21" s="6727">
        <f t="shared" si="41"/>
        <v>427080</v>
      </c>
      <c r="AJ21" s="6727">
        <f t="shared" si="41"/>
        <v>13</v>
      </c>
      <c r="AK21" s="6727">
        <f t="shared" si="41"/>
        <v>50899</v>
      </c>
      <c r="AL21" s="6727">
        <f t="shared" si="41"/>
        <v>29</v>
      </c>
      <c r="AM21" s="6727">
        <f t="shared" si="41"/>
        <v>113941</v>
      </c>
      <c r="AN21" s="6727">
        <f t="shared" si="41"/>
        <v>121</v>
      </c>
      <c r="AO21" s="6727">
        <f t="shared" si="41"/>
        <v>477979</v>
      </c>
      <c r="AP21" s="6727">
        <f t="shared" si="41"/>
        <v>17</v>
      </c>
      <c r="AQ21" s="6727">
        <f t="shared" si="41"/>
        <v>68869</v>
      </c>
      <c r="AR21" s="6727">
        <f t="shared" si="41"/>
        <v>138</v>
      </c>
      <c r="AS21" s="6727">
        <f t="shared" si="41"/>
        <v>546848</v>
      </c>
      <c r="AT21" s="6727">
        <f t="shared" si="41"/>
        <v>12</v>
      </c>
      <c r="AU21" s="6727">
        <f t="shared" si="41"/>
        <v>47894</v>
      </c>
      <c r="AV21" s="6727">
        <f t="shared" si="41"/>
        <v>150</v>
      </c>
      <c r="AW21" s="6727">
        <f t="shared" si="41"/>
        <v>594742</v>
      </c>
      <c r="AX21" s="6727">
        <f t="shared" si="41"/>
        <v>17</v>
      </c>
      <c r="AY21" s="6727">
        <f t="shared" si="41"/>
        <v>68077</v>
      </c>
      <c r="AZ21" s="6727">
        <f t="shared" si="41"/>
        <v>46</v>
      </c>
      <c r="BA21" s="6730">
        <f t="shared" si="41"/>
        <v>184840</v>
      </c>
      <c r="BB21" s="6556">
        <f t="shared" si="41"/>
        <v>75</v>
      </c>
      <c r="BC21" s="6556">
        <f t="shared" si="41"/>
        <v>298781</v>
      </c>
      <c r="BD21" s="6727">
        <f t="shared" si="41"/>
        <v>167</v>
      </c>
      <c r="BE21" s="6727">
        <f t="shared" si="41"/>
        <v>662819</v>
      </c>
      <c r="BF21" s="533"/>
      <c r="BG21" s="533"/>
      <c r="BH21" s="533"/>
      <c r="BI21" s="533"/>
    </row>
    <row r="22" spans="2:61" ht="21.95" hidden="1" customHeight="1" thickBot="1" x14ac:dyDescent="0.3">
      <c r="B22" s="7564" t="s">
        <v>1231</v>
      </c>
      <c r="C22" s="1612" t="s">
        <v>1022</v>
      </c>
      <c r="D22" s="1477">
        <v>0</v>
      </c>
      <c r="E22" s="1484">
        <v>0</v>
      </c>
      <c r="F22" s="1477">
        <v>0</v>
      </c>
      <c r="G22" s="1484">
        <v>0</v>
      </c>
      <c r="H22" s="1488">
        <f t="shared" si="0"/>
        <v>0</v>
      </c>
      <c r="I22" s="1489">
        <f t="shared" si="1"/>
        <v>0</v>
      </c>
      <c r="J22" s="1477">
        <v>0</v>
      </c>
      <c r="K22" s="1484">
        <v>0</v>
      </c>
      <c r="L22" s="6565">
        <f t="shared" si="16"/>
        <v>0</v>
      </c>
      <c r="M22" s="6710">
        <f t="shared" si="2"/>
        <v>0</v>
      </c>
      <c r="N22" s="1477">
        <v>0</v>
      </c>
      <c r="O22" s="1484">
        <v>0</v>
      </c>
      <c r="P22" s="1551">
        <f t="shared" si="3"/>
        <v>0</v>
      </c>
      <c r="Q22" s="1551">
        <f t="shared" si="3"/>
        <v>0</v>
      </c>
      <c r="R22" s="1477">
        <v>0</v>
      </c>
      <c r="S22" s="1484">
        <v>0</v>
      </c>
      <c r="T22" s="1551">
        <f t="shared" si="4"/>
        <v>0</v>
      </c>
      <c r="U22" s="1551">
        <f t="shared" si="4"/>
        <v>0</v>
      </c>
      <c r="V22" s="1477">
        <v>0</v>
      </c>
      <c r="W22" s="1484">
        <v>0</v>
      </c>
      <c r="X22" s="6565">
        <f t="shared" si="5"/>
        <v>0</v>
      </c>
      <c r="Y22" s="6711">
        <f t="shared" si="5"/>
        <v>0</v>
      </c>
      <c r="Z22" s="6567">
        <f t="shared" si="6"/>
        <v>0</v>
      </c>
      <c r="AA22" s="6563">
        <f t="shared" si="6"/>
        <v>0</v>
      </c>
      <c r="AB22" s="1477"/>
      <c r="AC22" s="1484"/>
      <c r="AD22" s="2193">
        <f t="shared" ref="AD22:AE25" si="45">Z22+AB22</f>
        <v>0</v>
      </c>
      <c r="AE22" s="1551">
        <f t="shared" si="45"/>
        <v>0</v>
      </c>
      <c r="AF22" s="1477"/>
      <c r="AG22" s="1484"/>
      <c r="AH22" s="2193">
        <f t="shared" ref="AH22:AI25" si="46">AD22+AF22</f>
        <v>0</v>
      </c>
      <c r="AI22" s="1551">
        <f t="shared" si="46"/>
        <v>0</v>
      </c>
      <c r="AJ22" s="1477">
        <v>0</v>
      </c>
      <c r="AK22" s="1484">
        <v>0</v>
      </c>
      <c r="AL22" s="6565">
        <f t="shared" ref="AL22:AM25" si="47">+AB22+AF22+AJ22</f>
        <v>0</v>
      </c>
      <c r="AM22" s="6710">
        <f t="shared" si="47"/>
        <v>0</v>
      </c>
      <c r="AN22" s="1488">
        <f t="shared" si="10"/>
        <v>0</v>
      </c>
      <c r="AO22" s="1551">
        <f t="shared" si="10"/>
        <v>0</v>
      </c>
      <c r="AP22" s="1477">
        <v>0</v>
      </c>
      <c r="AQ22" s="1484">
        <v>0</v>
      </c>
      <c r="AR22" s="2193">
        <f t="shared" ref="AR22:AS25" si="48">AN22+AP22</f>
        <v>0</v>
      </c>
      <c r="AS22" s="1551">
        <f t="shared" si="48"/>
        <v>0</v>
      </c>
      <c r="AT22" s="1524">
        <v>0</v>
      </c>
      <c r="AU22" s="1484">
        <v>0</v>
      </c>
      <c r="AV22" s="2193">
        <f t="shared" ref="AV22:AW25" si="49">AR22+AT22</f>
        <v>0</v>
      </c>
      <c r="AW22" s="1551">
        <f t="shared" si="49"/>
        <v>0</v>
      </c>
      <c r="AX22" s="1524"/>
      <c r="AY22" s="1484"/>
      <c r="AZ22" s="6565">
        <f t="shared" ref="AZ22:BA25" si="50">+AP22+AT22+AX22</f>
        <v>0</v>
      </c>
      <c r="BA22" s="6711">
        <f t="shared" si="50"/>
        <v>0</v>
      </c>
      <c r="BB22" s="6567">
        <f t="shared" ref="BB22:BC25" si="51">AL22+AZ22</f>
        <v>0</v>
      </c>
      <c r="BC22" s="6563">
        <f t="shared" si="51"/>
        <v>0</v>
      </c>
      <c r="BD22" s="1488">
        <f t="shared" ref="BD22:BE25" si="52">AV22+AX22</f>
        <v>0</v>
      </c>
      <c r="BE22" s="1551">
        <f t="shared" si="52"/>
        <v>0</v>
      </c>
      <c r="BF22" s="533"/>
      <c r="BG22" s="533"/>
      <c r="BH22" s="533"/>
      <c r="BI22" s="533"/>
    </row>
    <row r="23" spans="2:61" ht="21.95" hidden="1" customHeight="1" thickBot="1" x14ac:dyDescent="0.3">
      <c r="B23" s="7565"/>
      <c r="C23" s="6731" t="s">
        <v>1023</v>
      </c>
      <c r="D23" s="6713">
        <v>0</v>
      </c>
      <c r="E23" s="6714">
        <v>0</v>
      </c>
      <c r="F23" s="6713">
        <v>0</v>
      </c>
      <c r="G23" s="6714">
        <v>0</v>
      </c>
      <c r="H23" s="1488">
        <f t="shared" si="0"/>
        <v>0</v>
      </c>
      <c r="I23" s="1489">
        <f t="shared" si="1"/>
        <v>0</v>
      </c>
      <c r="J23" s="6713">
        <v>0</v>
      </c>
      <c r="K23" s="6714"/>
      <c r="L23" s="6565">
        <f t="shared" si="16"/>
        <v>0</v>
      </c>
      <c r="M23" s="6710">
        <f t="shared" si="2"/>
        <v>0</v>
      </c>
      <c r="N23" s="6713"/>
      <c r="O23" s="6714"/>
      <c r="P23" s="1551">
        <f t="shared" si="3"/>
        <v>0</v>
      </c>
      <c r="Q23" s="1551">
        <f t="shared" si="3"/>
        <v>0</v>
      </c>
      <c r="R23" s="6713">
        <v>0</v>
      </c>
      <c r="S23" s="6714">
        <v>0</v>
      </c>
      <c r="T23" s="1551">
        <f t="shared" si="4"/>
        <v>0</v>
      </c>
      <c r="U23" s="1551">
        <f t="shared" si="4"/>
        <v>0</v>
      </c>
      <c r="V23" s="6713">
        <v>0</v>
      </c>
      <c r="W23" s="6714">
        <v>0</v>
      </c>
      <c r="X23" s="6565">
        <f t="shared" si="5"/>
        <v>0</v>
      </c>
      <c r="Y23" s="6711">
        <f t="shared" si="5"/>
        <v>0</v>
      </c>
      <c r="Z23" s="6567">
        <f t="shared" si="6"/>
        <v>0</v>
      </c>
      <c r="AA23" s="6563">
        <f t="shared" si="6"/>
        <v>0</v>
      </c>
      <c r="AB23" s="6713"/>
      <c r="AC23" s="6714"/>
      <c r="AD23" s="2193">
        <f t="shared" si="45"/>
        <v>0</v>
      </c>
      <c r="AE23" s="1551">
        <f t="shared" si="45"/>
        <v>0</v>
      </c>
      <c r="AF23" s="6713"/>
      <c r="AG23" s="6714"/>
      <c r="AH23" s="2193">
        <f t="shared" si="46"/>
        <v>0</v>
      </c>
      <c r="AI23" s="1551">
        <f t="shared" si="46"/>
        <v>0</v>
      </c>
      <c r="AJ23" s="6713">
        <v>0</v>
      </c>
      <c r="AK23" s="6714">
        <v>0</v>
      </c>
      <c r="AL23" s="6565">
        <f t="shared" si="47"/>
        <v>0</v>
      </c>
      <c r="AM23" s="6710">
        <f t="shared" si="47"/>
        <v>0</v>
      </c>
      <c r="AN23" s="1488">
        <f t="shared" si="10"/>
        <v>0</v>
      </c>
      <c r="AO23" s="1551">
        <f t="shared" si="10"/>
        <v>0</v>
      </c>
      <c r="AP23" s="6713">
        <v>0</v>
      </c>
      <c r="AQ23" s="6714">
        <v>0</v>
      </c>
      <c r="AR23" s="2193">
        <f t="shared" si="48"/>
        <v>0</v>
      </c>
      <c r="AS23" s="1551">
        <f t="shared" si="48"/>
        <v>0</v>
      </c>
      <c r="AT23" s="6715">
        <v>0</v>
      </c>
      <c r="AU23" s="6714">
        <v>0</v>
      </c>
      <c r="AV23" s="2193">
        <f t="shared" si="49"/>
        <v>0</v>
      </c>
      <c r="AW23" s="1551">
        <f t="shared" si="49"/>
        <v>0</v>
      </c>
      <c r="AX23" s="6715"/>
      <c r="AY23" s="6714"/>
      <c r="AZ23" s="6565">
        <f t="shared" si="50"/>
        <v>0</v>
      </c>
      <c r="BA23" s="6711">
        <f t="shared" si="50"/>
        <v>0</v>
      </c>
      <c r="BB23" s="6567">
        <f t="shared" si="51"/>
        <v>0</v>
      </c>
      <c r="BC23" s="6563">
        <f t="shared" si="51"/>
        <v>0</v>
      </c>
      <c r="BD23" s="1488">
        <f t="shared" si="52"/>
        <v>0</v>
      </c>
      <c r="BE23" s="1551">
        <f t="shared" si="52"/>
        <v>0</v>
      </c>
      <c r="BF23" s="533"/>
      <c r="BG23" s="533"/>
      <c r="BH23" s="533"/>
      <c r="BI23" s="533"/>
    </row>
    <row r="24" spans="2:61" ht="21.95" customHeight="1" thickBot="1" x14ac:dyDescent="0.3">
      <c r="B24" s="7565"/>
      <c r="C24" s="6731" t="s">
        <v>1129</v>
      </c>
      <c r="D24" s="6713">
        <v>0</v>
      </c>
      <c r="E24" s="6714">
        <v>0</v>
      </c>
      <c r="F24" s="6713"/>
      <c r="G24" s="6714"/>
      <c r="H24" s="1488">
        <f t="shared" si="0"/>
        <v>0</v>
      </c>
      <c r="I24" s="1489">
        <f t="shared" si="1"/>
        <v>0</v>
      </c>
      <c r="J24" s="6713">
        <v>0</v>
      </c>
      <c r="K24" s="6714"/>
      <c r="L24" s="6565">
        <f t="shared" si="16"/>
        <v>0</v>
      </c>
      <c r="M24" s="6710">
        <f t="shared" si="2"/>
        <v>0</v>
      </c>
      <c r="N24" s="6713"/>
      <c r="O24" s="6714"/>
      <c r="P24" s="1551">
        <f t="shared" si="3"/>
        <v>0</v>
      </c>
      <c r="Q24" s="1551">
        <f t="shared" si="3"/>
        <v>0</v>
      </c>
      <c r="R24" s="6713">
        <v>2</v>
      </c>
      <c r="S24" s="6714">
        <v>8034</v>
      </c>
      <c r="T24" s="1551">
        <f t="shared" si="4"/>
        <v>2</v>
      </c>
      <c r="U24" s="1551">
        <f t="shared" si="4"/>
        <v>8034</v>
      </c>
      <c r="V24" s="6713">
        <v>0</v>
      </c>
      <c r="W24" s="6714">
        <v>0</v>
      </c>
      <c r="X24" s="6565">
        <f t="shared" si="5"/>
        <v>2</v>
      </c>
      <c r="Y24" s="6711">
        <f t="shared" si="5"/>
        <v>8034</v>
      </c>
      <c r="Z24" s="6567">
        <f t="shared" si="6"/>
        <v>2</v>
      </c>
      <c r="AA24" s="6563">
        <f t="shared" si="6"/>
        <v>8034</v>
      </c>
      <c r="AB24" s="6713"/>
      <c r="AC24" s="6714"/>
      <c r="AD24" s="2194">
        <f t="shared" si="45"/>
        <v>2</v>
      </c>
      <c r="AE24" s="1551">
        <f t="shared" si="45"/>
        <v>8034</v>
      </c>
      <c r="AF24" s="6713"/>
      <c r="AG24" s="6714"/>
      <c r="AH24" s="2194">
        <f t="shared" si="46"/>
        <v>2</v>
      </c>
      <c r="AI24" s="1551">
        <f t="shared" si="46"/>
        <v>8034</v>
      </c>
      <c r="AJ24" s="6713">
        <v>0</v>
      </c>
      <c r="AK24" s="6714">
        <v>0</v>
      </c>
      <c r="AL24" s="6565">
        <f t="shared" si="47"/>
        <v>0</v>
      </c>
      <c r="AM24" s="6710">
        <f t="shared" si="47"/>
        <v>0</v>
      </c>
      <c r="AN24" s="1488">
        <f t="shared" ref="AN24:AO39" si="53">AH24+AJ24</f>
        <v>2</v>
      </c>
      <c r="AO24" s="1551">
        <f t="shared" si="53"/>
        <v>8034</v>
      </c>
      <c r="AP24" s="6713">
        <v>0</v>
      </c>
      <c r="AQ24" s="6714">
        <v>0</v>
      </c>
      <c r="AR24" s="2194">
        <f t="shared" si="48"/>
        <v>2</v>
      </c>
      <c r="AS24" s="1551">
        <f t="shared" si="48"/>
        <v>8034</v>
      </c>
      <c r="AT24" s="6715">
        <v>0</v>
      </c>
      <c r="AU24" s="6714">
        <v>0</v>
      </c>
      <c r="AV24" s="2194">
        <f t="shared" si="49"/>
        <v>2</v>
      </c>
      <c r="AW24" s="1551">
        <f t="shared" si="49"/>
        <v>8034</v>
      </c>
      <c r="AX24" s="6715"/>
      <c r="AY24" s="6714"/>
      <c r="AZ24" s="6565">
        <f t="shared" si="50"/>
        <v>0</v>
      </c>
      <c r="BA24" s="6711">
        <f t="shared" si="50"/>
        <v>0</v>
      </c>
      <c r="BB24" s="6567">
        <f t="shared" si="51"/>
        <v>0</v>
      </c>
      <c r="BC24" s="6563">
        <f t="shared" si="51"/>
        <v>0</v>
      </c>
      <c r="BD24" s="1488">
        <f t="shared" si="52"/>
        <v>2</v>
      </c>
      <c r="BE24" s="1551">
        <f t="shared" si="52"/>
        <v>8034</v>
      </c>
      <c r="BF24" s="533"/>
      <c r="BG24" s="533"/>
      <c r="BH24" s="533"/>
      <c r="BI24" s="533"/>
    </row>
    <row r="25" spans="2:61" ht="21.95" customHeight="1" thickBot="1" x14ac:dyDescent="0.3">
      <c r="B25" s="7566"/>
      <c r="C25" s="6732" t="s">
        <v>1289</v>
      </c>
      <c r="D25" s="6733">
        <v>1</v>
      </c>
      <c r="E25" s="6734">
        <v>4151</v>
      </c>
      <c r="F25" s="6733"/>
      <c r="G25" s="6734"/>
      <c r="H25" s="1488">
        <f t="shared" si="0"/>
        <v>1</v>
      </c>
      <c r="I25" s="1489">
        <f t="shared" si="1"/>
        <v>4151</v>
      </c>
      <c r="J25" s="6733">
        <v>0</v>
      </c>
      <c r="K25" s="6734"/>
      <c r="L25" s="6565">
        <f t="shared" si="16"/>
        <v>1</v>
      </c>
      <c r="M25" s="6710">
        <f t="shared" si="2"/>
        <v>4151</v>
      </c>
      <c r="N25" s="6733"/>
      <c r="O25" s="6734"/>
      <c r="P25" s="1551">
        <f t="shared" si="3"/>
        <v>1</v>
      </c>
      <c r="Q25" s="1551">
        <f t="shared" si="3"/>
        <v>4151</v>
      </c>
      <c r="R25" s="6733">
        <v>1</v>
      </c>
      <c r="S25" s="6734">
        <v>4028</v>
      </c>
      <c r="T25" s="1551">
        <f t="shared" si="4"/>
        <v>2</v>
      </c>
      <c r="U25" s="1551">
        <f t="shared" si="4"/>
        <v>8179</v>
      </c>
      <c r="V25" s="6733">
        <v>1</v>
      </c>
      <c r="W25" s="6734">
        <v>4051</v>
      </c>
      <c r="X25" s="6565">
        <f t="shared" si="5"/>
        <v>2</v>
      </c>
      <c r="Y25" s="6711">
        <f t="shared" si="5"/>
        <v>8079</v>
      </c>
      <c r="Z25" s="6567">
        <f t="shared" si="6"/>
        <v>3</v>
      </c>
      <c r="AA25" s="6563">
        <f t="shared" si="6"/>
        <v>12230</v>
      </c>
      <c r="AB25" s="6733"/>
      <c r="AC25" s="6734"/>
      <c r="AD25" s="6572">
        <f t="shared" si="45"/>
        <v>3</v>
      </c>
      <c r="AE25" s="1551">
        <f t="shared" si="45"/>
        <v>12230</v>
      </c>
      <c r="AF25" s="6733"/>
      <c r="AG25" s="6734"/>
      <c r="AH25" s="6572">
        <f t="shared" si="46"/>
        <v>3</v>
      </c>
      <c r="AI25" s="1551">
        <f t="shared" si="46"/>
        <v>12230</v>
      </c>
      <c r="AJ25" s="6733">
        <v>1</v>
      </c>
      <c r="AK25" s="6734">
        <v>4066</v>
      </c>
      <c r="AL25" s="6565">
        <f t="shared" si="47"/>
        <v>1</v>
      </c>
      <c r="AM25" s="6710">
        <f t="shared" si="47"/>
        <v>4066</v>
      </c>
      <c r="AN25" s="1488">
        <f t="shared" si="53"/>
        <v>4</v>
      </c>
      <c r="AO25" s="1551">
        <f t="shared" si="53"/>
        <v>16296</v>
      </c>
      <c r="AP25" s="6733">
        <v>1</v>
      </c>
      <c r="AQ25" s="6734">
        <v>4041</v>
      </c>
      <c r="AR25" s="6572">
        <f t="shared" si="48"/>
        <v>5</v>
      </c>
      <c r="AS25" s="1551">
        <f t="shared" si="48"/>
        <v>20337</v>
      </c>
      <c r="AT25" s="6735">
        <v>1</v>
      </c>
      <c r="AU25" s="6734">
        <v>4044</v>
      </c>
      <c r="AV25" s="6572">
        <f t="shared" si="49"/>
        <v>6</v>
      </c>
      <c r="AW25" s="1551">
        <f t="shared" si="49"/>
        <v>24381</v>
      </c>
      <c r="AX25" s="6735"/>
      <c r="AY25" s="6734"/>
      <c r="AZ25" s="6565">
        <f t="shared" si="50"/>
        <v>2</v>
      </c>
      <c r="BA25" s="6711">
        <f t="shared" si="50"/>
        <v>8085</v>
      </c>
      <c r="BB25" s="6567">
        <f t="shared" si="51"/>
        <v>3</v>
      </c>
      <c r="BC25" s="6563">
        <f t="shared" si="51"/>
        <v>12151</v>
      </c>
      <c r="BD25" s="1488">
        <f t="shared" si="52"/>
        <v>6</v>
      </c>
      <c r="BE25" s="1551">
        <f t="shared" si="52"/>
        <v>24381</v>
      </c>
      <c r="BF25" s="533"/>
      <c r="BG25" s="533"/>
      <c r="BH25" s="533"/>
      <c r="BI25" s="533"/>
    </row>
    <row r="26" spans="2:61" ht="21.95" customHeight="1" thickBot="1" x14ac:dyDescent="0.3">
      <c r="B26" s="7567"/>
      <c r="C26" s="1613" t="s">
        <v>2</v>
      </c>
      <c r="D26" s="6736">
        <f>SUM(D22:D25)</f>
        <v>1</v>
      </c>
      <c r="E26" s="6736">
        <f t="shared" ref="E26:BE26" si="54">SUM(E22:E25)</f>
        <v>4151</v>
      </c>
      <c r="F26" s="6736">
        <f>SUM(F22:F25)</f>
        <v>0</v>
      </c>
      <c r="G26" s="6736">
        <f t="shared" ref="G26" si="55">SUM(G22:G25)</f>
        <v>0</v>
      </c>
      <c r="H26" s="1488">
        <f t="shared" si="0"/>
        <v>1</v>
      </c>
      <c r="I26" s="1489">
        <f t="shared" si="1"/>
        <v>4151</v>
      </c>
      <c r="J26" s="6736">
        <f t="shared" si="54"/>
        <v>0</v>
      </c>
      <c r="K26" s="6736">
        <f t="shared" si="54"/>
        <v>0</v>
      </c>
      <c r="L26" s="6737">
        <f t="shared" si="54"/>
        <v>1</v>
      </c>
      <c r="M26" s="6737">
        <f t="shared" si="54"/>
        <v>4151</v>
      </c>
      <c r="N26" s="6736">
        <f t="shared" si="54"/>
        <v>0</v>
      </c>
      <c r="O26" s="6736">
        <f t="shared" si="54"/>
        <v>0</v>
      </c>
      <c r="P26" s="1551">
        <f t="shared" si="3"/>
        <v>1</v>
      </c>
      <c r="Q26" s="1551">
        <f t="shared" si="3"/>
        <v>4151</v>
      </c>
      <c r="R26" s="6736">
        <f t="shared" ref="R26:S26" si="56">SUM(R22:R25)</f>
        <v>3</v>
      </c>
      <c r="S26" s="6736">
        <f t="shared" si="56"/>
        <v>12062</v>
      </c>
      <c r="T26" s="1551">
        <f t="shared" si="4"/>
        <v>4</v>
      </c>
      <c r="U26" s="1551">
        <f t="shared" si="4"/>
        <v>16213</v>
      </c>
      <c r="V26" s="6736">
        <f t="shared" ref="V26:W26" si="57">SUM(V22:V25)</f>
        <v>1</v>
      </c>
      <c r="W26" s="6736">
        <f t="shared" si="57"/>
        <v>4051</v>
      </c>
      <c r="X26" s="6737">
        <f t="shared" si="54"/>
        <v>4</v>
      </c>
      <c r="Y26" s="6738">
        <f t="shared" si="54"/>
        <v>16113</v>
      </c>
      <c r="Z26" s="6557">
        <f t="shared" si="54"/>
        <v>5</v>
      </c>
      <c r="AA26" s="6557">
        <f t="shared" si="54"/>
        <v>20264</v>
      </c>
      <c r="AB26" s="6736">
        <f t="shared" si="54"/>
        <v>0</v>
      </c>
      <c r="AC26" s="6736">
        <f t="shared" si="54"/>
        <v>0</v>
      </c>
      <c r="AD26" s="6736">
        <f t="shared" si="54"/>
        <v>5</v>
      </c>
      <c r="AE26" s="6736">
        <f t="shared" si="54"/>
        <v>20264</v>
      </c>
      <c r="AF26" s="6736">
        <f t="shared" si="54"/>
        <v>0</v>
      </c>
      <c r="AG26" s="6736">
        <f t="shared" si="54"/>
        <v>0</v>
      </c>
      <c r="AH26" s="6736">
        <f t="shared" si="54"/>
        <v>5</v>
      </c>
      <c r="AI26" s="6736">
        <f t="shared" si="54"/>
        <v>20264</v>
      </c>
      <c r="AJ26" s="6736">
        <f t="shared" si="54"/>
        <v>1</v>
      </c>
      <c r="AK26" s="6736">
        <f t="shared" si="54"/>
        <v>4066</v>
      </c>
      <c r="AL26" s="6736">
        <f t="shared" si="54"/>
        <v>1</v>
      </c>
      <c r="AM26" s="6736">
        <f t="shared" si="54"/>
        <v>4066</v>
      </c>
      <c r="AN26" s="6736">
        <f t="shared" si="54"/>
        <v>6</v>
      </c>
      <c r="AO26" s="6736">
        <f t="shared" si="54"/>
        <v>24330</v>
      </c>
      <c r="AP26" s="6736">
        <f t="shared" si="54"/>
        <v>1</v>
      </c>
      <c r="AQ26" s="6736">
        <f t="shared" si="54"/>
        <v>4041</v>
      </c>
      <c r="AR26" s="6736">
        <f t="shared" si="54"/>
        <v>7</v>
      </c>
      <c r="AS26" s="6736">
        <f t="shared" si="54"/>
        <v>28371</v>
      </c>
      <c r="AT26" s="6736">
        <f t="shared" si="54"/>
        <v>1</v>
      </c>
      <c r="AU26" s="6736">
        <f t="shared" si="54"/>
        <v>4044</v>
      </c>
      <c r="AV26" s="6736">
        <f t="shared" si="54"/>
        <v>8</v>
      </c>
      <c r="AW26" s="6736">
        <f t="shared" si="54"/>
        <v>32415</v>
      </c>
      <c r="AX26" s="6736">
        <f t="shared" si="54"/>
        <v>0</v>
      </c>
      <c r="AY26" s="6736">
        <f t="shared" si="54"/>
        <v>0</v>
      </c>
      <c r="AZ26" s="6736">
        <f t="shared" si="54"/>
        <v>2</v>
      </c>
      <c r="BA26" s="6739">
        <f t="shared" si="54"/>
        <v>8085</v>
      </c>
      <c r="BB26" s="6556">
        <f t="shared" si="54"/>
        <v>3</v>
      </c>
      <c r="BC26" s="6556">
        <f t="shared" si="54"/>
        <v>12151</v>
      </c>
      <c r="BD26" s="6736">
        <f t="shared" si="54"/>
        <v>8</v>
      </c>
      <c r="BE26" s="6736">
        <f t="shared" si="54"/>
        <v>32415</v>
      </c>
      <c r="BF26" s="533"/>
      <c r="BG26" s="533"/>
      <c r="BH26" s="533"/>
      <c r="BI26" s="533"/>
    </row>
    <row r="27" spans="2:61" ht="21.95" customHeight="1" thickBot="1" x14ac:dyDescent="0.3">
      <c r="B27" s="7568" t="s">
        <v>1232</v>
      </c>
      <c r="C27" s="1614" t="s">
        <v>1233</v>
      </c>
      <c r="D27" s="1465">
        <v>1</v>
      </c>
      <c r="E27" s="1466">
        <v>4038</v>
      </c>
      <c r="F27" s="1465">
        <v>2</v>
      </c>
      <c r="G27" s="1466">
        <v>6631</v>
      </c>
      <c r="H27" s="1488">
        <f t="shared" si="0"/>
        <v>3</v>
      </c>
      <c r="I27" s="1489">
        <f t="shared" si="1"/>
        <v>10669</v>
      </c>
      <c r="J27" s="1465">
        <v>1</v>
      </c>
      <c r="K27" s="1466">
        <v>4097</v>
      </c>
      <c r="L27" s="6565">
        <f t="shared" si="16"/>
        <v>4</v>
      </c>
      <c r="M27" s="6710">
        <f t="shared" si="2"/>
        <v>14766</v>
      </c>
      <c r="N27" s="1465">
        <v>0</v>
      </c>
      <c r="O27" s="1466">
        <v>0</v>
      </c>
      <c r="P27" s="1551">
        <f t="shared" si="3"/>
        <v>4</v>
      </c>
      <c r="Q27" s="1551">
        <f t="shared" si="3"/>
        <v>14766</v>
      </c>
      <c r="R27" s="1465">
        <v>1</v>
      </c>
      <c r="S27" s="1466">
        <v>4090</v>
      </c>
      <c r="T27" s="1551">
        <f t="shared" si="4"/>
        <v>5</v>
      </c>
      <c r="U27" s="1551">
        <f t="shared" si="4"/>
        <v>18856</v>
      </c>
      <c r="V27" s="1465">
        <v>1</v>
      </c>
      <c r="W27" s="1466">
        <v>3842</v>
      </c>
      <c r="X27" s="6565">
        <f t="shared" si="5"/>
        <v>2</v>
      </c>
      <c r="Y27" s="6711">
        <f t="shared" si="5"/>
        <v>7932</v>
      </c>
      <c r="Z27" s="6567">
        <f t="shared" si="6"/>
        <v>6</v>
      </c>
      <c r="AA27" s="6563">
        <f t="shared" si="6"/>
        <v>22698</v>
      </c>
      <c r="AB27" s="1465">
        <v>1</v>
      </c>
      <c r="AC27" s="1466">
        <v>4059</v>
      </c>
      <c r="AD27" s="1488">
        <f t="shared" ref="AD27:AE31" si="58">Z27+AB27</f>
        <v>7</v>
      </c>
      <c r="AE27" s="1551">
        <f t="shared" si="58"/>
        <v>26757</v>
      </c>
      <c r="AF27" s="1465">
        <v>0</v>
      </c>
      <c r="AG27" s="1466">
        <v>0</v>
      </c>
      <c r="AH27" s="1488">
        <f t="shared" ref="AH27:AI31" si="59">AD27+AF27</f>
        <v>7</v>
      </c>
      <c r="AI27" s="1551">
        <f t="shared" si="59"/>
        <v>26757</v>
      </c>
      <c r="AJ27" s="1465">
        <v>1</v>
      </c>
      <c r="AK27" s="1466">
        <v>2825</v>
      </c>
      <c r="AL27" s="6565">
        <f t="shared" ref="AL27:AM31" si="60">+AB27+AF27+AJ27</f>
        <v>2</v>
      </c>
      <c r="AM27" s="6710">
        <f t="shared" si="60"/>
        <v>6884</v>
      </c>
      <c r="AN27" s="1488">
        <f t="shared" si="53"/>
        <v>8</v>
      </c>
      <c r="AO27" s="1551">
        <f t="shared" si="53"/>
        <v>29582</v>
      </c>
      <c r="AP27" s="1465">
        <v>0</v>
      </c>
      <c r="AQ27" s="1466">
        <v>0</v>
      </c>
      <c r="AR27" s="1488">
        <f t="shared" ref="AR27:AS31" si="61">AN27+AP27</f>
        <v>8</v>
      </c>
      <c r="AS27" s="1551">
        <f t="shared" si="61"/>
        <v>29582</v>
      </c>
      <c r="AT27" s="1526">
        <v>1</v>
      </c>
      <c r="AU27" s="1466">
        <v>3992</v>
      </c>
      <c r="AV27" s="1488">
        <f t="shared" ref="AV27:AW31" si="62">AR27+AT27</f>
        <v>9</v>
      </c>
      <c r="AW27" s="1551">
        <f t="shared" si="62"/>
        <v>33574</v>
      </c>
      <c r="AX27" s="1526">
        <v>1</v>
      </c>
      <c r="AY27" s="1466">
        <v>3886</v>
      </c>
      <c r="AZ27" s="6565">
        <f t="shared" ref="AZ27:BA31" si="63">+AP27+AT27+AX27</f>
        <v>2</v>
      </c>
      <c r="BA27" s="6711">
        <f t="shared" si="63"/>
        <v>7878</v>
      </c>
      <c r="BB27" s="6567">
        <f t="shared" ref="BB27:BC31" si="64">AL27+AZ27</f>
        <v>4</v>
      </c>
      <c r="BC27" s="6563">
        <f t="shared" si="64"/>
        <v>14762</v>
      </c>
      <c r="BD27" s="1488">
        <f t="shared" ref="BD27:BE31" si="65">AV27+AX27</f>
        <v>10</v>
      </c>
      <c r="BE27" s="1551">
        <f t="shared" si="65"/>
        <v>37460</v>
      </c>
      <c r="BF27" s="533"/>
      <c r="BG27" s="533"/>
      <c r="BH27" s="533"/>
      <c r="BI27" s="533"/>
    </row>
    <row r="28" spans="2:61" ht="21.95" hidden="1" customHeight="1" thickBot="1" x14ac:dyDescent="0.3">
      <c r="B28" s="7561"/>
      <c r="C28" s="6731" t="s">
        <v>1234</v>
      </c>
      <c r="D28" s="6740">
        <v>0</v>
      </c>
      <c r="E28" s="6741">
        <v>0</v>
      </c>
      <c r="F28" s="6740"/>
      <c r="G28" s="6741"/>
      <c r="H28" s="1488">
        <f t="shared" si="0"/>
        <v>0</v>
      </c>
      <c r="I28" s="1489">
        <f t="shared" si="1"/>
        <v>0</v>
      </c>
      <c r="J28" s="6740"/>
      <c r="K28" s="6741"/>
      <c r="L28" s="6565">
        <f t="shared" si="16"/>
        <v>0</v>
      </c>
      <c r="M28" s="6710">
        <f t="shared" si="2"/>
        <v>0</v>
      </c>
      <c r="N28" s="6740">
        <v>0</v>
      </c>
      <c r="O28" s="6741">
        <v>0</v>
      </c>
      <c r="P28" s="1551">
        <f t="shared" si="3"/>
        <v>0</v>
      </c>
      <c r="Q28" s="1551">
        <f t="shared" si="3"/>
        <v>0</v>
      </c>
      <c r="R28" s="6740">
        <v>0</v>
      </c>
      <c r="S28" s="6741">
        <v>0</v>
      </c>
      <c r="T28" s="1551">
        <f t="shared" si="4"/>
        <v>0</v>
      </c>
      <c r="U28" s="1551">
        <f t="shared" si="4"/>
        <v>0</v>
      </c>
      <c r="V28" s="6740"/>
      <c r="W28" s="6741"/>
      <c r="X28" s="6565">
        <f t="shared" si="5"/>
        <v>0</v>
      </c>
      <c r="Y28" s="6711">
        <f t="shared" si="5"/>
        <v>0</v>
      </c>
      <c r="Z28" s="6567">
        <f t="shared" si="6"/>
        <v>0</v>
      </c>
      <c r="AA28" s="6563">
        <f t="shared" si="6"/>
        <v>0</v>
      </c>
      <c r="AB28" s="6740"/>
      <c r="AC28" s="6741"/>
      <c r="AD28" s="1488">
        <f t="shared" si="58"/>
        <v>0</v>
      </c>
      <c r="AE28" s="1551">
        <f t="shared" si="58"/>
        <v>0</v>
      </c>
      <c r="AF28" s="6740"/>
      <c r="AG28" s="6741"/>
      <c r="AH28" s="1488">
        <f t="shared" si="59"/>
        <v>0</v>
      </c>
      <c r="AI28" s="1551">
        <f t="shared" si="59"/>
        <v>0</v>
      </c>
      <c r="AJ28" s="6740"/>
      <c r="AK28" s="6741"/>
      <c r="AL28" s="6565">
        <f t="shared" si="60"/>
        <v>0</v>
      </c>
      <c r="AM28" s="6710">
        <f t="shared" si="60"/>
        <v>0</v>
      </c>
      <c r="AN28" s="1488">
        <f t="shared" si="53"/>
        <v>0</v>
      </c>
      <c r="AO28" s="1551">
        <f t="shared" si="53"/>
        <v>0</v>
      </c>
      <c r="AP28" s="6740"/>
      <c r="AQ28" s="6741"/>
      <c r="AR28" s="1488">
        <f t="shared" si="61"/>
        <v>0</v>
      </c>
      <c r="AS28" s="1551">
        <f t="shared" si="61"/>
        <v>0</v>
      </c>
      <c r="AT28" s="6715"/>
      <c r="AU28" s="6741"/>
      <c r="AV28" s="1488">
        <f t="shared" si="62"/>
        <v>0</v>
      </c>
      <c r="AW28" s="1551">
        <f t="shared" si="62"/>
        <v>0</v>
      </c>
      <c r="AX28" s="6715"/>
      <c r="AY28" s="6741"/>
      <c r="AZ28" s="6565">
        <f t="shared" si="63"/>
        <v>0</v>
      </c>
      <c r="BA28" s="6711">
        <f t="shared" si="63"/>
        <v>0</v>
      </c>
      <c r="BB28" s="6567">
        <f t="shared" si="64"/>
        <v>0</v>
      </c>
      <c r="BC28" s="6563">
        <f t="shared" si="64"/>
        <v>0</v>
      </c>
      <c r="BD28" s="1488">
        <f t="shared" si="65"/>
        <v>0</v>
      </c>
      <c r="BE28" s="1551">
        <f t="shared" si="65"/>
        <v>0</v>
      </c>
      <c r="BF28" s="533"/>
      <c r="BG28" s="533"/>
      <c r="BH28" s="533"/>
      <c r="BI28" s="533"/>
    </row>
    <row r="29" spans="2:61" ht="21.95" customHeight="1" thickBot="1" x14ac:dyDescent="0.3">
      <c r="B29" s="7561"/>
      <c r="C29" s="6731" t="s">
        <v>1021</v>
      </c>
      <c r="D29" s="6713">
        <v>4</v>
      </c>
      <c r="E29" s="6714">
        <v>15454</v>
      </c>
      <c r="F29" s="6713">
        <v>3</v>
      </c>
      <c r="G29" s="6714">
        <v>11998</v>
      </c>
      <c r="H29" s="1488">
        <f t="shared" si="0"/>
        <v>7</v>
      </c>
      <c r="I29" s="1489">
        <f t="shared" si="1"/>
        <v>27452</v>
      </c>
      <c r="J29" s="6713">
        <v>3</v>
      </c>
      <c r="K29" s="6714">
        <v>11395</v>
      </c>
      <c r="L29" s="6565">
        <f t="shared" si="16"/>
        <v>10</v>
      </c>
      <c r="M29" s="6710">
        <f t="shared" si="2"/>
        <v>38847</v>
      </c>
      <c r="N29" s="6713">
        <v>5</v>
      </c>
      <c r="O29" s="6714">
        <v>19275</v>
      </c>
      <c r="P29" s="1551">
        <f t="shared" si="3"/>
        <v>15</v>
      </c>
      <c r="Q29" s="1551">
        <f t="shared" si="3"/>
        <v>58122</v>
      </c>
      <c r="R29" s="6713">
        <v>5</v>
      </c>
      <c r="S29" s="6714">
        <v>19124</v>
      </c>
      <c r="T29" s="1551">
        <f t="shared" si="4"/>
        <v>20</v>
      </c>
      <c r="U29" s="1551">
        <f t="shared" si="4"/>
        <v>77246</v>
      </c>
      <c r="V29" s="6713">
        <v>2</v>
      </c>
      <c r="W29" s="6714">
        <v>7884</v>
      </c>
      <c r="X29" s="6565">
        <f t="shared" si="5"/>
        <v>12</v>
      </c>
      <c r="Y29" s="6711">
        <f t="shared" si="5"/>
        <v>46283</v>
      </c>
      <c r="Z29" s="6567">
        <f t="shared" si="6"/>
        <v>22</v>
      </c>
      <c r="AA29" s="6563">
        <f t="shared" si="6"/>
        <v>85130</v>
      </c>
      <c r="AB29" s="6713">
        <v>5</v>
      </c>
      <c r="AC29" s="6714">
        <v>19669</v>
      </c>
      <c r="AD29" s="1488">
        <f t="shared" si="58"/>
        <v>27</v>
      </c>
      <c r="AE29" s="1551">
        <f t="shared" si="58"/>
        <v>104799</v>
      </c>
      <c r="AF29" s="6713">
        <v>0</v>
      </c>
      <c r="AG29" s="6714">
        <v>0</v>
      </c>
      <c r="AH29" s="1488">
        <f t="shared" si="59"/>
        <v>27</v>
      </c>
      <c r="AI29" s="1551">
        <f t="shared" si="59"/>
        <v>104799</v>
      </c>
      <c r="AJ29" s="6713">
        <v>2</v>
      </c>
      <c r="AK29" s="6714">
        <v>8001</v>
      </c>
      <c r="AL29" s="6565">
        <f t="shared" si="60"/>
        <v>7</v>
      </c>
      <c r="AM29" s="6710">
        <f t="shared" si="60"/>
        <v>27670</v>
      </c>
      <c r="AN29" s="1488">
        <f t="shared" si="53"/>
        <v>29</v>
      </c>
      <c r="AO29" s="1551">
        <f t="shared" si="53"/>
        <v>112800</v>
      </c>
      <c r="AP29" s="6713">
        <v>2</v>
      </c>
      <c r="AQ29" s="6714">
        <v>7849</v>
      </c>
      <c r="AR29" s="1488">
        <f t="shared" si="61"/>
        <v>31</v>
      </c>
      <c r="AS29" s="1551">
        <f t="shared" si="61"/>
        <v>120649</v>
      </c>
      <c r="AT29" s="6715">
        <v>7</v>
      </c>
      <c r="AU29" s="6714">
        <v>27533</v>
      </c>
      <c r="AV29" s="1488">
        <f t="shared" si="62"/>
        <v>38</v>
      </c>
      <c r="AW29" s="1551">
        <f t="shared" si="62"/>
        <v>148182</v>
      </c>
      <c r="AX29" s="6715">
        <v>6</v>
      </c>
      <c r="AY29" s="6714">
        <v>23696</v>
      </c>
      <c r="AZ29" s="6565">
        <f t="shared" si="63"/>
        <v>15</v>
      </c>
      <c r="BA29" s="6711">
        <f t="shared" si="63"/>
        <v>59078</v>
      </c>
      <c r="BB29" s="6567">
        <f t="shared" si="64"/>
        <v>22</v>
      </c>
      <c r="BC29" s="6563">
        <f t="shared" si="64"/>
        <v>86748</v>
      </c>
      <c r="BD29" s="1488">
        <f t="shared" si="65"/>
        <v>44</v>
      </c>
      <c r="BE29" s="1551">
        <f t="shared" si="65"/>
        <v>171878</v>
      </c>
      <c r="BF29" s="533"/>
      <c r="BG29" s="533"/>
      <c r="BH29" s="533"/>
      <c r="BI29" s="533"/>
    </row>
    <row r="30" spans="2:61" ht="21.95" customHeight="1" thickBot="1" x14ac:dyDescent="0.3">
      <c r="B30" s="7561"/>
      <c r="C30" s="6731" t="s">
        <v>1235</v>
      </c>
      <c r="D30" s="6713">
        <v>0</v>
      </c>
      <c r="E30" s="6714">
        <v>0</v>
      </c>
      <c r="F30" s="6713">
        <v>0</v>
      </c>
      <c r="G30" s="6714">
        <v>0</v>
      </c>
      <c r="H30" s="1488">
        <f t="shared" si="0"/>
        <v>0</v>
      </c>
      <c r="I30" s="1489">
        <f t="shared" si="1"/>
        <v>0</v>
      </c>
      <c r="J30" s="6713">
        <v>0</v>
      </c>
      <c r="K30" s="6714"/>
      <c r="L30" s="6565">
        <f t="shared" si="16"/>
        <v>0</v>
      </c>
      <c r="M30" s="6710">
        <f t="shared" si="2"/>
        <v>0</v>
      </c>
      <c r="N30" s="6713">
        <v>0</v>
      </c>
      <c r="O30" s="6714">
        <v>0</v>
      </c>
      <c r="P30" s="1551">
        <f t="shared" si="3"/>
        <v>0</v>
      </c>
      <c r="Q30" s="1551">
        <f t="shared" si="3"/>
        <v>0</v>
      </c>
      <c r="R30" s="6713">
        <v>0</v>
      </c>
      <c r="S30" s="6714">
        <v>0</v>
      </c>
      <c r="T30" s="1551">
        <f t="shared" si="4"/>
        <v>0</v>
      </c>
      <c r="U30" s="1551">
        <f t="shared" si="4"/>
        <v>0</v>
      </c>
      <c r="V30" s="6713">
        <v>0</v>
      </c>
      <c r="W30" s="6714">
        <v>0</v>
      </c>
      <c r="X30" s="6565">
        <f t="shared" si="5"/>
        <v>0</v>
      </c>
      <c r="Y30" s="6711">
        <f t="shared" si="5"/>
        <v>0</v>
      </c>
      <c r="Z30" s="6567">
        <f t="shared" si="6"/>
        <v>0</v>
      </c>
      <c r="AA30" s="6563">
        <f t="shared" si="6"/>
        <v>0</v>
      </c>
      <c r="AB30" s="6713">
        <v>1</v>
      </c>
      <c r="AC30" s="6714">
        <v>4084</v>
      </c>
      <c r="AD30" s="1488">
        <f t="shared" si="58"/>
        <v>1</v>
      </c>
      <c r="AE30" s="1551">
        <f t="shared" si="58"/>
        <v>4084</v>
      </c>
      <c r="AF30" s="6713">
        <v>0</v>
      </c>
      <c r="AG30" s="6714">
        <v>0</v>
      </c>
      <c r="AH30" s="1488">
        <f t="shared" si="59"/>
        <v>1</v>
      </c>
      <c r="AI30" s="1551">
        <f t="shared" si="59"/>
        <v>4084</v>
      </c>
      <c r="AJ30" s="6713">
        <v>1</v>
      </c>
      <c r="AK30" s="6714">
        <v>4094</v>
      </c>
      <c r="AL30" s="6565">
        <f t="shared" si="60"/>
        <v>2</v>
      </c>
      <c r="AM30" s="6710">
        <f t="shared" si="60"/>
        <v>8178</v>
      </c>
      <c r="AN30" s="1488">
        <f t="shared" si="53"/>
        <v>2</v>
      </c>
      <c r="AO30" s="1551">
        <f t="shared" si="53"/>
        <v>8178</v>
      </c>
      <c r="AP30" s="6713">
        <v>1</v>
      </c>
      <c r="AQ30" s="6714">
        <v>4090</v>
      </c>
      <c r="AR30" s="1488">
        <f t="shared" si="61"/>
        <v>3</v>
      </c>
      <c r="AS30" s="1551">
        <f t="shared" si="61"/>
        <v>12268</v>
      </c>
      <c r="AT30" s="6715">
        <v>0</v>
      </c>
      <c r="AU30" s="6714">
        <v>0</v>
      </c>
      <c r="AV30" s="1488">
        <f t="shared" si="62"/>
        <v>3</v>
      </c>
      <c r="AW30" s="1551">
        <f t="shared" si="62"/>
        <v>12268</v>
      </c>
      <c r="AX30" s="6715">
        <v>0</v>
      </c>
      <c r="AY30" s="6714">
        <v>0</v>
      </c>
      <c r="AZ30" s="6565">
        <f t="shared" si="63"/>
        <v>1</v>
      </c>
      <c r="BA30" s="6711">
        <f t="shared" si="63"/>
        <v>4090</v>
      </c>
      <c r="BB30" s="6567">
        <f t="shared" si="64"/>
        <v>3</v>
      </c>
      <c r="BC30" s="6563">
        <f t="shared" si="64"/>
        <v>12268</v>
      </c>
      <c r="BD30" s="1488">
        <f t="shared" si="65"/>
        <v>3</v>
      </c>
      <c r="BE30" s="1551">
        <f t="shared" si="65"/>
        <v>12268</v>
      </c>
      <c r="BF30" s="533"/>
      <c r="BG30" s="533"/>
      <c r="BH30" s="533"/>
      <c r="BI30" s="533"/>
    </row>
    <row r="31" spans="2:61" ht="21.95" customHeight="1" thickBot="1" x14ac:dyDescent="0.3">
      <c r="B31" s="7561"/>
      <c r="C31" s="6731" t="s">
        <v>1236</v>
      </c>
      <c r="D31" s="6713">
        <v>0</v>
      </c>
      <c r="E31" s="6714">
        <v>0</v>
      </c>
      <c r="F31" s="6713">
        <v>0</v>
      </c>
      <c r="G31" s="6714">
        <v>0</v>
      </c>
      <c r="H31" s="1488">
        <f t="shared" si="0"/>
        <v>0</v>
      </c>
      <c r="I31" s="1489">
        <f t="shared" si="1"/>
        <v>0</v>
      </c>
      <c r="J31" s="6713">
        <v>1</v>
      </c>
      <c r="K31" s="6714">
        <v>3987</v>
      </c>
      <c r="L31" s="6565">
        <f t="shared" si="16"/>
        <v>1</v>
      </c>
      <c r="M31" s="6710">
        <f t="shared" si="2"/>
        <v>3987</v>
      </c>
      <c r="N31" s="6713">
        <v>2</v>
      </c>
      <c r="O31" s="6714">
        <v>7832</v>
      </c>
      <c r="P31" s="1551">
        <f t="shared" si="3"/>
        <v>3</v>
      </c>
      <c r="Q31" s="1551">
        <f t="shared" si="3"/>
        <v>11819</v>
      </c>
      <c r="R31" s="6713">
        <v>0</v>
      </c>
      <c r="S31" s="6714">
        <v>0</v>
      </c>
      <c r="T31" s="1551">
        <f t="shared" si="4"/>
        <v>3</v>
      </c>
      <c r="U31" s="1551">
        <f t="shared" si="4"/>
        <v>11819</v>
      </c>
      <c r="V31" s="6713">
        <v>1</v>
      </c>
      <c r="W31" s="6714">
        <v>3829</v>
      </c>
      <c r="X31" s="6565">
        <f t="shared" si="5"/>
        <v>3</v>
      </c>
      <c r="Y31" s="6711">
        <f t="shared" si="5"/>
        <v>11661</v>
      </c>
      <c r="Z31" s="6567">
        <f t="shared" si="6"/>
        <v>4</v>
      </c>
      <c r="AA31" s="6563">
        <f t="shared" si="6"/>
        <v>15648</v>
      </c>
      <c r="AB31" s="6713">
        <v>1</v>
      </c>
      <c r="AC31" s="6714">
        <v>4022</v>
      </c>
      <c r="AD31" s="1488">
        <f t="shared" si="58"/>
        <v>5</v>
      </c>
      <c r="AE31" s="1551">
        <f t="shared" si="58"/>
        <v>19670</v>
      </c>
      <c r="AF31" s="6713">
        <v>1</v>
      </c>
      <c r="AG31" s="6714">
        <v>3841</v>
      </c>
      <c r="AH31" s="1488">
        <f t="shared" si="59"/>
        <v>6</v>
      </c>
      <c r="AI31" s="1551">
        <f t="shared" si="59"/>
        <v>23511</v>
      </c>
      <c r="AJ31" s="6713">
        <v>0</v>
      </c>
      <c r="AK31" s="6714">
        <v>0</v>
      </c>
      <c r="AL31" s="6565">
        <f t="shared" si="60"/>
        <v>2</v>
      </c>
      <c r="AM31" s="6710">
        <f t="shared" si="60"/>
        <v>7863</v>
      </c>
      <c r="AN31" s="1488">
        <f t="shared" si="53"/>
        <v>6</v>
      </c>
      <c r="AO31" s="1551">
        <f t="shared" si="53"/>
        <v>23511</v>
      </c>
      <c r="AP31" s="6713">
        <v>1</v>
      </c>
      <c r="AQ31" s="6714">
        <v>3952</v>
      </c>
      <c r="AR31" s="1488">
        <f t="shared" si="61"/>
        <v>7</v>
      </c>
      <c r="AS31" s="1551">
        <f t="shared" si="61"/>
        <v>27463</v>
      </c>
      <c r="AT31" s="6715">
        <v>1</v>
      </c>
      <c r="AU31" s="6714">
        <v>3774</v>
      </c>
      <c r="AV31" s="1488">
        <f t="shared" si="62"/>
        <v>8</v>
      </c>
      <c r="AW31" s="1551">
        <f t="shared" si="62"/>
        <v>31237</v>
      </c>
      <c r="AX31" s="6715">
        <v>0</v>
      </c>
      <c r="AY31" s="6714">
        <v>0</v>
      </c>
      <c r="AZ31" s="6565">
        <f t="shared" si="63"/>
        <v>2</v>
      </c>
      <c r="BA31" s="6711">
        <f t="shared" si="63"/>
        <v>7726</v>
      </c>
      <c r="BB31" s="6567">
        <f t="shared" si="64"/>
        <v>4</v>
      </c>
      <c r="BC31" s="6563">
        <f t="shared" si="64"/>
        <v>15589</v>
      </c>
      <c r="BD31" s="1488">
        <f t="shared" si="65"/>
        <v>8</v>
      </c>
      <c r="BE31" s="1551">
        <f t="shared" si="65"/>
        <v>31237</v>
      </c>
      <c r="BF31" s="533"/>
      <c r="BG31" s="533"/>
      <c r="BH31" s="533"/>
      <c r="BI31" s="533"/>
    </row>
    <row r="32" spans="2:61" ht="21.95" customHeight="1" thickBot="1" x14ac:dyDescent="0.3">
      <c r="B32" s="7563"/>
      <c r="C32" s="1613" t="s">
        <v>2</v>
      </c>
      <c r="D32" s="6736">
        <f>SUM(D27:D31)</f>
        <v>5</v>
      </c>
      <c r="E32" s="6736">
        <f t="shared" ref="E32:BE32" si="66">SUM(E27:E31)</f>
        <v>19492</v>
      </c>
      <c r="F32" s="6736">
        <f>SUM(F27:F31)</f>
        <v>5</v>
      </c>
      <c r="G32" s="6736">
        <f t="shared" ref="G32" si="67">SUM(G27:G31)</f>
        <v>18629</v>
      </c>
      <c r="H32" s="1488">
        <f t="shared" si="0"/>
        <v>10</v>
      </c>
      <c r="I32" s="1489">
        <f t="shared" si="1"/>
        <v>38121</v>
      </c>
      <c r="J32" s="6736">
        <f t="shared" si="66"/>
        <v>5</v>
      </c>
      <c r="K32" s="6736">
        <f t="shared" si="66"/>
        <v>19479</v>
      </c>
      <c r="L32" s="6737">
        <f t="shared" si="66"/>
        <v>15</v>
      </c>
      <c r="M32" s="6737">
        <f t="shared" si="66"/>
        <v>57600</v>
      </c>
      <c r="N32" s="6736">
        <f t="shared" si="66"/>
        <v>7</v>
      </c>
      <c r="O32" s="6736">
        <f t="shared" si="66"/>
        <v>27107</v>
      </c>
      <c r="P32" s="1551">
        <f t="shared" si="3"/>
        <v>22</v>
      </c>
      <c r="Q32" s="1551">
        <f t="shared" si="3"/>
        <v>84707</v>
      </c>
      <c r="R32" s="6736">
        <f t="shared" ref="R32:S32" si="68">SUM(R27:R31)</f>
        <v>6</v>
      </c>
      <c r="S32" s="6736">
        <f t="shared" si="68"/>
        <v>23214</v>
      </c>
      <c r="T32" s="1551">
        <f t="shared" si="4"/>
        <v>28</v>
      </c>
      <c r="U32" s="1551">
        <f t="shared" si="4"/>
        <v>107921</v>
      </c>
      <c r="V32" s="6736">
        <f t="shared" ref="V32:W32" si="69">SUM(V27:V31)</f>
        <v>4</v>
      </c>
      <c r="W32" s="6736">
        <f t="shared" si="69"/>
        <v>15555</v>
      </c>
      <c r="X32" s="6737">
        <f t="shared" si="66"/>
        <v>17</v>
      </c>
      <c r="Y32" s="6738">
        <f t="shared" si="66"/>
        <v>65876</v>
      </c>
      <c r="Z32" s="6557">
        <f t="shared" si="66"/>
        <v>32</v>
      </c>
      <c r="AA32" s="6557">
        <f t="shared" si="66"/>
        <v>123476</v>
      </c>
      <c r="AB32" s="6736">
        <f t="shared" si="66"/>
        <v>8</v>
      </c>
      <c r="AC32" s="6736">
        <f t="shared" si="66"/>
        <v>31834</v>
      </c>
      <c r="AD32" s="6736">
        <f t="shared" si="66"/>
        <v>40</v>
      </c>
      <c r="AE32" s="6736">
        <f t="shared" si="66"/>
        <v>155310</v>
      </c>
      <c r="AF32" s="6736">
        <f t="shared" si="66"/>
        <v>1</v>
      </c>
      <c r="AG32" s="6736">
        <f t="shared" si="66"/>
        <v>3841</v>
      </c>
      <c r="AH32" s="6736">
        <f t="shared" si="66"/>
        <v>41</v>
      </c>
      <c r="AI32" s="6736">
        <f t="shared" si="66"/>
        <v>159151</v>
      </c>
      <c r="AJ32" s="6736">
        <f t="shared" si="66"/>
        <v>4</v>
      </c>
      <c r="AK32" s="6736">
        <f t="shared" si="66"/>
        <v>14920</v>
      </c>
      <c r="AL32" s="6736">
        <f t="shared" si="66"/>
        <v>13</v>
      </c>
      <c r="AM32" s="6736">
        <f t="shared" si="66"/>
        <v>50595</v>
      </c>
      <c r="AN32" s="6736">
        <f t="shared" si="66"/>
        <v>45</v>
      </c>
      <c r="AO32" s="6736">
        <f t="shared" si="66"/>
        <v>174071</v>
      </c>
      <c r="AP32" s="6736">
        <f t="shared" si="66"/>
        <v>4</v>
      </c>
      <c r="AQ32" s="6736">
        <f t="shared" si="66"/>
        <v>15891</v>
      </c>
      <c r="AR32" s="6736">
        <f t="shared" si="66"/>
        <v>49</v>
      </c>
      <c r="AS32" s="6736">
        <f t="shared" si="66"/>
        <v>189962</v>
      </c>
      <c r="AT32" s="6736">
        <f t="shared" si="66"/>
        <v>9</v>
      </c>
      <c r="AU32" s="6736">
        <f t="shared" si="66"/>
        <v>35299</v>
      </c>
      <c r="AV32" s="6736">
        <f t="shared" si="66"/>
        <v>58</v>
      </c>
      <c r="AW32" s="6736">
        <f t="shared" si="66"/>
        <v>225261</v>
      </c>
      <c r="AX32" s="6736">
        <f t="shared" si="66"/>
        <v>7</v>
      </c>
      <c r="AY32" s="6736">
        <f t="shared" si="66"/>
        <v>27582</v>
      </c>
      <c r="AZ32" s="6736">
        <f t="shared" si="66"/>
        <v>20</v>
      </c>
      <c r="BA32" s="6739">
        <f t="shared" si="66"/>
        <v>78772</v>
      </c>
      <c r="BB32" s="6556">
        <f t="shared" si="66"/>
        <v>33</v>
      </c>
      <c r="BC32" s="6556">
        <f t="shared" si="66"/>
        <v>129367</v>
      </c>
      <c r="BD32" s="6736">
        <f t="shared" si="66"/>
        <v>65</v>
      </c>
      <c r="BE32" s="6736">
        <f t="shared" si="66"/>
        <v>252843</v>
      </c>
      <c r="BF32" s="533"/>
      <c r="BG32" s="533"/>
      <c r="BH32" s="533"/>
      <c r="BI32" s="533"/>
    </row>
    <row r="33" spans="2:61" ht="21.95" customHeight="1" thickBot="1" x14ac:dyDescent="0.3">
      <c r="B33" s="7560" t="s">
        <v>1237</v>
      </c>
      <c r="C33" s="1612" t="s">
        <v>1021</v>
      </c>
      <c r="D33" s="1477">
        <v>7</v>
      </c>
      <c r="E33" s="1484">
        <v>27201</v>
      </c>
      <c r="F33" s="1477">
        <v>4</v>
      </c>
      <c r="G33" s="1484">
        <v>15831</v>
      </c>
      <c r="H33" s="1488">
        <f t="shared" si="0"/>
        <v>11</v>
      </c>
      <c r="I33" s="1489">
        <f t="shared" si="1"/>
        <v>43032</v>
      </c>
      <c r="J33" s="1477">
        <v>5</v>
      </c>
      <c r="K33" s="1484">
        <v>18997</v>
      </c>
      <c r="L33" s="6565">
        <f t="shared" si="16"/>
        <v>16</v>
      </c>
      <c r="M33" s="6710">
        <f t="shared" si="2"/>
        <v>62029</v>
      </c>
      <c r="N33" s="1477">
        <v>5</v>
      </c>
      <c r="O33" s="1484">
        <v>18857</v>
      </c>
      <c r="P33" s="1551">
        <f t="shared" si="3"/>
        <v>21</v>
      </c>
      <c r="Q33" s="1551">
        <f t="shared" si="3"/>
        <v>80886</v>
      </c>
      <c r="R33" s="1477">
        <v>4</v>
      </c>
      <c r="S33" s="1484">
        <v>15593</v>
      </c>
      <c r="T33" s="1551">
        <f t="shared" si="4"/>
        <v>25</v>
      </c>
      <c r="U33" s="1551">
        <f t="shared" si="4"/>
        <v>96479</v>
      </c>
      <c r="V33" s="1477">
        <v>6</v>
      </c>
      <c r="W33" s="1484">
        <v>23406</v>
      </c>
      <c r="X33" s="6565">
        <f t="shared" si="5"/>
        <v>15</v>
      </c>
      <c r="Y33" s="6711">
        <f t="shared" si="5"/>
        <v>57856</v>
      </c>
      <c r="Z33" s="6567">
        <f t="shared" si="6"/>
        <v>31</v>
      </c>
      <c r="AA33" s="6563">
        <f t="shared" si="6"/>
        <v>119885</v>
      </c>
      <c r="AB33" s="1477">
        <v>7</v>
      </c>
      <c r="AC33" s="1484">
        <v>27469</v>
      </c>
      <c r="AD33" s="1488">
        <f t="shared" ref="AD33:AE35" si="70">Z33+AB33</f>
        <v>38</v>
      </c>
      <c r="AE33" s="1551">
        <f t="shared" si="70"/>
        <v>147354</v>
      </c>
      <c r="AF33" s="1477">
        <v>1</v>
      </c>
      <c r="AG33" s="1484">
        <v>3949</v>
      </c>
      <c r="AH33" s="1488">
        <f t="shared" ref="AH33:AI35" si="71">AD33+AF33</f>
        <v>39</v>
      </c>
      <c r="AI33" s="1551">
        <f t="shared" si="71"/>
        <v>151303</v>
      </c>
      <c r="AJ33" s="1477">
        <v>3</v>
      </c>
      <c r="AK33" s="1484">
        <v>11762</v>
      </c>
      <c r="AL33" s="6565">
        <f t="shared" ref="AL33:AM35" si="72">+AB33+AF33+AJ33</f>
        <v>11</v>
      </c>
      <c r="AM33" s="6710">
        <f t="shared" si="72"/>
        <v>43180</v>
      </c>
      <c r="AN33" s="1488">
        <f t="shared" si="53"/>
        <v>42</v>
      </c>
      <c r="AO33" s="1551">
        <f t="shared" si="53"/>
        <v>163065</v>
      </c>
      <c r="AP33" s="1477">
        <v>3</v>
      </c>
      <c r="AQ33" s="1484">
        <v>11742</v>
      </c>
      <c r="AR33" s="1488">
        <f t="shared" ref="AR33:AS35" si="73">AN33+AP33</f>
        <v>45</v>
      </c>
      <c r="AS33" s="1551">
        <f t="shared" si="73"/>
        <v>174807</v>
      </c>
      <c r="AT33" s="1524">
        <v>4</v>
      </c>
      <c r="AU33" s="1484">
        <v>15829</v>
      </c>
      <c r="AV33" s="1488">
        <f t="shared" ref="AV33:AW35" si="74">AR33+AT33</f>
        <v>49</v>
      </c>
      <c r="AW33" s="1551">
        <f t="shared" si="74"/>
        <v>190636</v>
      </c>
      <c r="AX33" s="1524">
        <v>4</v>
      </c>
      <c r="AY33" s="1484">
        <v>15959</v>
      </c>
      <c r="AZ33" s="6565">
        <f t="shared" ref="AZ33:BA35" si="75">+AP33+AT33+AX33</f>
        <v>11</v>
      </c>
      <c r="BA33" s="6711">
        <f t="shared" si="75"/>
        <v>43530</v>
      </c>
      <c r="BB33" s="6567">
        <f t="shared" ref="BB33:BC35" si="76">AL33+AZ33</f>
        <v>22</v>
      </c>
      <c r="BC33" s="6563">
        <f t="shared" si="76"/>
        <v>86710</v>
      </c>
      <c r="BD33" s="1488">
        <f t="shared" ref="BD33:BE35" si="77">AV33+AX33</f>
        <v>53</v>
      </c>
      <c r="BE33" s="1551">
        <f t="shared" si="77"/>
        <v>206595</v>
      </c>
      <c r="BF33" s="533"/>
      <c r="BG33" s="533"/>
      <c r="BH33" s="533"/>
      <c r="BI33" s="533"/>
    </row>
    <row r="34" spans="2:61" ht="21.95" customHeight="1" thickBot="1" x14ac:dyDescent="0.3">
      <c r="B34" s="7561"/>
      <c r="C34" s="6712" t="s">
        <v>1235</v>
      </c>
      <c r="D34" s="6713">
        <v>2</v>
      </c>
      <c r="E34" s="6714">
        <v>8111</v>
      </c>
      <c r="F34" s="6713">
        <v>1</v>
      </c>
      <c r="G34" s="6714">
        <v>4163</v>
      </c>
      <c r="H34" s="1488">
        <f t="shared" si="0"/>
        <v>3</v>
      </c>
      <c r="I34" s="1489">
        <f t="shared" si="1"/>
        <v>12274</v>
      </c>
      <c r="J34" s="6713">
        <v>0</v>
      </c>
      <c r="K34" s="6714"/>
      <c r="L34" s="6565">
        <f t="shared" si="16"/>
        <v>3</v>
      </c>
      <c r="M34" s="6710">
        <f t="shared" si="2"/>
        <v>12274</v>
      </c>
      <c r="N34" s="6713">
        <v>0</v>
      </c>
      <c r="O34" s="6714">
        <v>0</v>
      </c>
      <c r="P34" s="1551">
        <f t="shared" si="3"/>
        <v>3</v>
      </c>
      <c r="Q34" s="1551">
        <f t="shared" si="3"/>
        <v>12274</v>
      </c>
      <c r="R34" s="6713">
        <v>0</v>
      </c>
      <c r="S34" s="6714">
        <v>0</v>
      </c>
      <c r="T34" s="1551">
        <f t="shared" si="4"/>
        <v>3</v>
      </c>
      <c r="U34" s="1551">
        <f t="shared" si="4"/>
        <v>12274</v>
      </c>
      <c r="V34" s="6713">
        <v>0</v>
      </c>
      <c r="W34" s="6714">
        <v>0</v>
      </c>
      <c r="X34" s="6565">
        <f t="shared" si="5"/>
        <v>0</v>
      </c>
      <c r="Y34" s="6711">
        <f t="shared" si="5"/>
        <v>0</v>
      </c>
      <c r="Z34" s="6567">
        <f t="shared" si="6"/>
        <v>3</v>
      </c>
      <c r="AA34" s="6563">
        <f t="shared" si="6"/>
        <v>12274</v>
      </c>
      <c r="AB34" s="6713">
        <v>0</v>
      </c>
      <c r="AC34" s="6714">
        <v>0</v>
      </c>
      <c r="AD34" s="1488">
        <f t="shared" si="70"/>
        <v>3</v>
      </c>
      <c r="AE34" s="1551">
        <f t="shared" si="70"/>
        <v>12274</v>
      </c>
      <c r="AF34" s="6713">
        <v>0</v>
      </c>
      <c r="AG34" s="6714">
        <v>0</v>
      </c>
      <c r="AH34" s="1488">
        <f t="shared" si="71"/>
        <v>3</v>
      </c>
      <c r="AI34" s="1551">
        <f t="shared" si="71"/>
        <v>12274</v>
      </c>
      <c r="AJ34" s="6713">
        <v>0</v>
      </c>
      <c r="AK34" s="6714">
        <v>0</v>
      </c>
      <c r="AL34" s="6565">
        <f t="shared" si="72"/>
        <v>0</v>
      </c>
      <c r="AM34" s="6710">
        <f t="shared" si="72"/>
        <v>0</v>
      </c>
      <c r="AN34" s="1488">
        <f t="shared" si="53"/>
        <v>3</v>
      </c>
      <c r="AO34" s="1551">
        <f t="shared" si="53"/>
        <v>12274</v>
      </c>
      <c r="AP34" s="6713">
        <v>2</v>
      </c>
      <c r="AQ34" s="6714">
        <v>8241</v>
      </c>
      <c r="AR34" s="1488">
        <f t="shared" si="73"/>
        <v>5</v>
      </c>
      <c r="AS34" s="1551">
        <f t="shared" si="73"/>
        <v>20515</v>
      </c>
      <c r="AT34" s="6715">
        <v>1</v>
      </c>
      <c r="AU34" s="6714">
        <v>4101</v>
      </c>
      <c r="AV34" s="1488">
        <f t="shared" si="74"/>
        <v>6</v>
      </c>
      <c r="AW34" s="1551">
        <f t="shared" si="74"/>
        <v>24616</v>
      </c>
      <c r="AX34" s="6715">
        <v>0</v>
      </c>
      <c r="AY34" s="6714">
        <v>0</v>
      </c>
      <c r="AZ34" s="6565">
        <f t="shared" si="75"/>
        <v>3</v>
      </c>
      <c r="BA34" s="6711">
        <f t="shared" si="75"/>
        <v>12342</v>
      </c>
      <c r="BB34" s="6567">
        <f t="shared" si="76"/>
        <v>3</v>
      </c>
      <c r="BC34" s="6563">
        <f t="shared" si="76"/>
        <v>12342</v>
      </c>
      <c r="BD34" s="1488">
        <f t="shared" si="77"/>
        <v>6</v>
      </c>
      <c r="BE34" s="1551">
        <f t="shared" si="77"/>
        <v>24616</v>
      </c>
      <c r="BF34" s="533"/>
      <c r="BG34" s="533"/>
      <c r="BH34" s="533"/>
      <c r="BI34" s="533"/>
    </row>
    <row r="35" spans="2:61" s="2269" customFormat="1" ht="21.95" hidden="1" customHeight="1" thickBot="1" x14ac:dyDescent="0.3">
      <c r="B35" s="7562"/>
      <c r="C35" s="6731" t="s">
        <v>1236</v>
      </c>
      <c r="D35" s="6733">
        <v>0</v>
      </c>
      <c r="E35" s="6734">
        <v>0</v>
      </c>
      <c r="F35" s="6733">
        <v>0</v>
      </c>
      <c r="G35" s="6734">
        <v>0</v>
      </c>
      <c r="H35" s="1488">
        <f t="shared" si="0"/>
        <v>0</v>
      </c>
      <c r="I35" s="1489">
        <f t="shared" si="1"/>
        <v>0</v>
      </c>
      <c r="J35" s="6733"/>
      <c r="K35" s="6734"/>
      <c r="L35" s="6565">
        <f t="shared" si="16"/>
        <v>0</v>
      </c>
      <c r="M35" s="6710">
        <f t="shared" si="2"/>
        <v>0</v>
      </c>
      <c r="N35" s="6733">
        <v>0</v>
      </c>
      <c r="O35" s="6734">
        <v>0</v>
      </c>
      <c r="P35" s="1551">
        <f t="shared" si="3"/>
        <v>0</v>
      </c>
      <c r="Q35" s="1551">
        <f t="shared" si="3"/>
        <v>0</v>
      </c>
      <c r="R35" s="6733">
        <v>0</v>
      </c>
      <c r="S35" s="6734">
        <v>0</v>
      </c>
      <c r="T35" s="1551">
        <f t="shared" si="4"/>
        <v>0</v>
      </c>
      <c r="U35" s="1551">
        <f t="shared" si="4"/>
        <v>0</v>
      </c>
      <c r="V35" s="6733">
        <v>0</v>
      </c>
      <c r="W35" s="6734">
        <v>0</v>
      </c>
      <c r="X35" s="6565">
        <f t="shared" si="5"/>
        <v>0</v>
      </c>
      <c r="Y35" s="6711">
        <f t="shared" si="5"/>
        <v>0</v>
      </c>
      <c r="Z35" s="6567">
        <f t="shared" si="6"/>
        <v>0</v>
      </c>
      <c r="AA35" s="6563">
        <f t="shared" si="6"/>
        <v>0</v>
      </c>
      <c r="AB35" s="6733">
        <v>0</v>
      </c>
      <c r="AC35" s="6734">
        <v>0</v>
      </c>
      <c r="AD35" s="1488">
        <f t="shared" si="70"/>
        <v>0</v>
      </c>
      <c r="AE35" s="1551">
        <f t="shared" si="70"/>
        <v>0</v>
      </c>
      <c r="AF35" s="6733">
        <v>0</v>
      </c>
      <c r="AG35" s="6734">
        <v>0</v>
      </c>
      <c r="AH35" s="1488">
        <f t="shared" si="71"/>
        <v>0</v>
      </c>
      <c r="AI35" s="1551">
        <f t="shared" si="71"/>
        <v>0</v>
      </c>
      <c r="AJ35" s="6733">
        <v>0</v>
      </c>
      <c r="AK35" s="6734">
        <v>0</v>
      </c>
      <c r="AL35" s="6565">
        <f t="shared" si="72"/>
        <v>0</v>
      </c>
      <c r="AM35" s="6710">
        <f t="shared" si="72"/>
        <v>0</v>
      </c>
      <c r="AN35" s="1488">
        <f t="shared" si="53"/>
        <v>0</v>
      </c>
      <c r="AO35" s="1551">
        <f t="shared" si="53"/>
        <v>0</v>
      </c>
      <c r="AP35" s="6733">
        <v>0</v>
      </c>
      <c r="AQ35" s="6734">
        <v>0</v>
      </c>
      <c r="AR35" s="1488">
        <f t="shared" si="73"/>
        <v>0</v>
      </c>
      <c r="AS35" s="1551">
        <f t="shared" si="73"/>
        <v>0</v>
      </c>
      <c r="AT35" s="6715">
        <v>0</v>
      </c>
      <c r="AU35" s="6734">
        <v>0</v>
      </c>
      <c r="AV35" s="1488">
        <f t="shared" si="74"/>
        <v>0</v>
      </c>
      <c r="AW35" s="1551">
        <f t="shared" si="74"/>
        <v>0</v>
      </c>
      <c r="AX35" s="6715">
        <v>0</v>
      </c>
      <c r="AY35" s="6734">
        <v>0</v>
      </c>
      <c r="AZ35" s="6565">
        <f t="shared" si="75"/>
        <v>0</v>
      </c>
      <c r="BA35" s="6711">
        <f t="shared" si="75"/>
        <v>0</v>
      </c>
      <c r="BB35" s="6567">
        <f t="shared" si="76"/>
        <v>0</v>
      </c>
      <c r="BC35" s="6563">
        <f t="shared" si="76"/>
        <v>0</v>
      </c>
      <c r="BD35" s="1488">
        <f t="shared" si="77"/>
        <v>0</v>
      </c>
      <c r="BE35" s="1551">
        <f t="shared" si="77"/>
        <v>0</v>
      </c>
      <c r="BF35" s="533"/>
      <c r="BG35" s="533"/>
      <c r="BH35" s="533"/>
      <c r="BI35" s="533"/>
    </row>
    <row r="36" spans="2:61" ht="21.95" customHeight="1" thickBot="1" x14ac:dyDescent="0.3">
      <c r="B36" s="7563"/>
      <c r="C36" s="1464" t="s">
        <v>2</v>
      </c>
      <c r="D36" s="6736">
        <f>SUM(D33:D35)</f>
        <v>9</v>
      </c>
      <c r="E36" s="6736">
        <f t="shared" ref="E36:BE36" si="78">SUM(E33:E35)</f>
        <v>35312</v>
      </c>
      <c r="F36" s="6736">
        <f>SUM(F33:F35)</f>
        <v>5</v>
      </c>
      <c r="G36" s="6736">
        <f t="shared" ref="G36" si="79">SUM(G33:G35)</f>
        <v>19994</v>
      </c>
      <c r="H36" s="1488">
        <f t="shared" si="0"/>
        <v>14</v>
      </c>
      <c r="I36" s="1489">
        <f t="shared" si="1"/>
        <v>55306</v>
      </c>
      <c r="J36" s="6736">
        <f t="shared" si="78"/>
        <v>5</v>
      </c>
      <c r="K36" s="6736">
        <f t="shared" si="78"/>
        <v>18997</v>
      </c>
      <c r="L36" s="6737">
        <f t="shared" si="78"/>
        <v>19</v>
      </c>
      <c r="M36" s="6737">
        <f t="shared" si="78"/>
        <v>74303</v>
      </c>
      <c r="N36" s="6736">
        <f t="shared" si="78"/>
        <v>5</v>
      </c>
      <c r="O36" s="6736">
        <f t="shared" si="78"/>
        <v>18857</v>
      </c>
      <c r="P36" s="1551">
        <f t="shared" si="3"/>
        <v>24</v>
      </c>
      <c r="Q36" s="1551">
        <f t="shared" si="3"/>
        <v>93160</v>
      </c>
      <c r="R36" s="6736">
        <f t="shared" ref="R36:S36" si="80">SUM(R33:R35)</f>
        <v>4</v>
      </c>
      <c r="S36" s="6736">
        <f t="shared" si="80"/>
        <v>15593</v>
      </c>
      <c r="T36" s="1551">
        <f t="shared" si="4"/>
        <v>28</v>
      </c>
      <c r="U36" s="1551">
        <f t="shared" si="4"/>
        <v>108753</v>
      </c>
      <c r="V36" s="6736">
        <f t="shared" ref="V36:W36" si="81">SUM(V33:V35)</f>
        <v>6</v>
      </c>
      <c r="W36" s="6736">
        <f t="shared" si="81"/>
        <v>23406</v>
      </c>
      <c r="X36" s="6737">
        <f t="shared" si="78"/>
        <v>15</v>
      </c>
      <c r="Y36" s="6738">
        <f t="shared" si="78"/>
        <v>57856</v>
      </c>
      <c r="Z36" s="6557">
        <f t="shared" si="78"/>
        <v>34</v>
      </c>
      <c r="AA36" s="6557">
        <f t="shared" si="78"/>
        <v>132159</v>
      </c>
      <c r="AB36" s="6736">
        <f t="shared" si="78"/>
        <v>7</v>
      </c>
      <c r="AC36" s="6736">
        <f t="shared" si="78"/>
        <v>27469</v>
      </c>
      <c r="AD36" s="6736">
        <f t="shared" si="78"/>
        <v>41</v>
      </c>
      <c r="AE36" s="6736">
        <f t="shared" si="78"/>
        <v>159628</v>
      </c>
      <c r="AF36" s="6736">
        <f t="shared" si="78"/>
        <v>1</v>
      </c>
      <c r="AG36" s="6736">
        <f t="shared" si="78"/>
        <v>3949</v>
      </c>
      <c r="AH36" s="6736">
        <f t="shared" si="78"/>
        <v>42</v>
      </c>
      <c r="AI36" s="6736">
        <f t="shared" si="78"/>
        <v>163577</v>
      </c>
      <c r="AJ36" s="6736">
        <f t="shared" si="78"/>
        <v>3</v>
      </c>
      <c r="AK36" s="6736">
        <f t="shared" si="78"/>
        <v>11762</v>
      </c>
      <c r="AL36" s="6736">
        <f t="shared" si="78"/>
        <v>11</v>
      </c>
      <c r="AM36" s="6736">
        <f t="shared" si="78"/>
        <v>43180</v>
      </c>
      <c r="AN36" s="6736">
        <f t="shared" si="78"/>
        <v>45</v>
      </c>
      <c r="AO36" s="6736">
        <f t="shared" si="78"/>
        <v>175339</v>
      </c>
      <c r="AP36" s="6736">
        <f t="shared" si="78"/>
        <v>5</v>
      </c>
      <c r="AQ36" s="6736">
        <f t="shared" si="78"/>
        <v>19983</v>
      </c>
      <c r="AR36" s="6736">
        <f t="shared" si="78"/>
        <v>50</v>
      </c>
      <c r="AS36" s="6736">
        <f t="shared" si="78"/>
        <v>195322</v>
      </c>
      <c r="AT36" s="6736">
        <f t="shared" si="78"/>
        <v>5</v>
      </c>
      <c r="AU36" s="6736">
        <f t="shared" si="78"/>
        <v>19930</v>
      </c>
      <c r="AV36" s="6736">
        <f t="shared" si="78"/>
        <v>55</v>
      </c>
      <c r="AW36" s="6736">
        <f t="shared" si="78"/>
        <v>215252</v>
      </c>
      <c r="AX36" s="6736">
        <f t="shared" si="78"/>
        <v>4</v>
      </c>
      <c r="AY36" s="6736">
        <f t="shared" si="78"/>
        <v>15959</v>
      </c>
      <c r="AZ36" s="6736">
        <f t="shared" si="78"/>
        <v>14</v>
      </c>
      <c r="BA36" s="6739">
        <f t="shared" si="78"/>
        <v>55872</v>
      </c>
      <c r="BB36" s="6556">
        <f t="shared" si="78"/>
        <v>25</v>
      </c>
      <c r="BC36" s="6556">
        <f t="shared" si="78"/>
        <v>99052</v>
      </c>
      <c r="BD36" s="6736">
        <f t="shared" si="78"/>
        <v>59</v>
      </c>
      <c r="BE36" s="6736">
        <f t="shared" si="78"/>
        <v>231211</v>
      </c>
      <c r="BF36" s="533"/>
      <c r="BG36" s="533"/>
      <c r="BH36" s="533"/>
      <c r="BI36" s="533"/>
    </row>
    <row r="37" spans="2:61" ht="21.95" customHeight="1" thickBot="1" x14ac:dyDescent="0.3">
      <c r="B37" s="7574" t="s">
        <v>1238</v>
      </c>
      <c r="C37" s="1463" t="s">
        <v>1239</v>
      </c>
      <c r="D37" s="1477">
        <v>11</v>
      </c>
      <c r="E37" s="1484">
        <v>43009</v>
      </c>
      <c r="F37" s="1477">
        <v>14</v>
      </c>
      <c r="G37" s="1484">
        <v>55133</v>
      </c>
      <c r="H37" s="1488">
        <f t="shared" si="0"/>
        <v>25</v>
      </c>
      <c r="I37" s="1489">
        <f t="shared" si="1"/>
        <v>98142</v>
      </c>
      <c r="J37" s="1477">
        <v>14.7</v>
      </c>
      <c r="K37" s="1484">
        <v>57081</v>
      </c>
      <c r="L37" s="6565">
        <f t="shared" si="16"/>
        <v>39.700000000000003</v>
      </c>
      <c r="M37" s="6710">
        <f t="shared" si="2"/>
        <v>155223</v>
      </c>
      <c r="N37" s="1477">
        <v>17.2</v>
      </c>
      <c r="O37" s="1484">
        <v>65714</v>
      </c>
      <c r="P37" s="1551">
        <f t="shared" si="3"/>
        <v>56.900000000000006</v>
      </c>
      <c r="Q37" s="1551">
        <f t="shared" si="3"/>
        <v>220937</v>
      </c>
      <c r="R37" s="1477">
        <v>13.6</v>
      </c>
      <c r="S37" s="1484">
        <v>50920</v>
      </c>
      <c r="T37" s="1551">
        <f t="shared" si="4"/>
        <v>70.5</v>
      </c>
      <c r="U37" s="1551">
        <f t="shared" si="4"/>
        <v>271857</v>
      </c>
      <c r="V37" s="1477">
        <v>13.8</v>
      </c>
      <c r="W37" s="1484">
        <v>54086</v>
      </c>
      <c r="X37" s="6565">
        <f t="shared" si="5"/>
        <v>44.599999999999994</v>
      </c>
      <c r="Y37" s="6711">
        <f t="shared" si="5"/>
        <v>170720</v>
      </c>
      <c r="Z37" s="6567">
        <f t="shared" si="6"/>
        <v>84.3</v>
      </c>
      <c r="AA37" s="6563">
        <f t="shared" si="6"/>
        <v>325943</v>
      </c>
      <c r="AB37" s="1477">
        <v>14</v>
      </c>
      <c r="AC37" s="1484">
        <v>55460</v>
      </c>
      <c r="AD37" s="1488">
        <f t="shared" ref="AD37:AE45" si="82">Z37+AB37</f>
        <v>98.3</v>
      </c>
      <c r="AE37" s="1551">
        <f t="shared" si="82"/>
        <v>381403</v>
      </c>
      <c r="AF37" s="1477">
        <v>9.6999999999999993</v>
      </c>
      <c r="AG37" s="1484">
        <v>37126</v>
      </c>
      <c r="AH37" s="1488">
        <f t="shared" ref="AH37:AI45" si="83">AD37+AF37</f>
        <v>108</v>
      </c>
      <c r="AI37" s="1551">
        <f t="shared" si="83"/>
        <v>418529</v>
      </c>
      <c r="AJ37" s="1477">
        <v>13.7</v>
      </c>
      <c r="AK37" s="1484">
        <v>54121</v>
      </c>
      <c r="AL37" s="6565">
        <f t="shared" ref="AL37:AM45" si="84">+AB37+AF37+AJ37</f>
        <v>37.4</v>
      </c>
      <c r="AM37" s="6710">
        <f t="shared" si="84"/>
        <v>146707</v>
      </c>
      <c r="AN37" s="1488">
        <f t="shared" si="53"/>
        <v>121.7</v>
      </c>
      <c r="AO37" s="1551">
        <f t="shared" si="53"/>
        <v>472650</v>
      </c>
      <c r="AP37" s="1477">
        <v>15.7</v>
      </c>
      <c r="AQ37" s="1484">
        <v>66011</v>
      </c>
      <c r="AR37" s="1488">
        <f t="shared" ref="AR37:AS45" si="85">AN37+AP37</f>
        <v>137.4</v>
      </c>
      <c r="AS37" s="1551">
        <f t="shared" si="85"/>
        <v>538661</v>
      </c>
      <c r="AT37" s="1524">
        <v>13.5</v>
      </c>
      <c r="AU37" s="1484">
        <v>53546</v>
      </c>
      <c r="AV37" s="1488">
        <f t="shared" ref="AV37:AW45" si="86">AR37+AT37</f>
        <v>150.9</v>
      </c>
      <c r="AW37" s="1551">
        <f t="shared" si="86"/>
        <v>592207</v>
      </c>
      <c r="AX37" s="1524">
        <v>8.5</v>
      </c>
      <c r="AY37" s="1484">
        <v>52750</v>
      </c>
      <c r="AZ37" s="6565">
        <f t="shared" ref="AZ37:BA45" si="87">+AP37+AT37+AX37</f>
        <v>37.700000000000003</v>
      </c>
      <c r="BA37" s="6711">
        <f t="shared" si="87"/>
        <v>172307</v>
      </c>
      <c r="BB37" s="6567">
        <f t="shared" ref="BB37:BC45" si="88">AL37+AZ37</f>
        <v>75.099999999999994</v>
      </c>
      <c r="BC37" s="6563">
        <f t="shared" si="88"/>
        <v>319014</v>
      </c>
      <c r="BD37" s="1488">
        <f t="shared" ref="BD37:BE45" si="89">AV37+AX37</f>
        <v>159.4</v>
      </c>
      <c r="BE37" s="1551">
        <f t="shared" si="89"/>
        <v>644957</v>
      </c>
      <c r="BF37" s="533"/>
      <c r="BG37" s="533"/>
      <c r="BH37" s="533"/>
      <c r="BI37" s="533"/>
    </row>
    <row r="38" spans="2:61" ht="21.95" customHeight="1" thickBot="1" x14ac:dyDescent="0.3">
      <c r="B38" s="7575"/>
      <c r="C38" s="6712" t="s">
        <v>1240</v>
      </c>
      <c r="D38" s="6713">
        <v>3</v>
      </c>
      <c r="E38" s="6714">
        <v>11237</v>
      </c>
      <c r="F38" s="6713">
        <v>4</v>
      </c>
      <c r="G38" s="6714">
        <v>15810</v>
      </c>
      <c r="H38" s="1488">
        <f t="shared" si="0"/>
        <v>7</v>
      </c>
      <c r="I38" s="1489">
        <f t="shared" si="1"/>
        <v>27047</v>
      </c>
      <c r="J38" s="6713">
        <v>2</v>
      </c>
      <c r="K38" s="6714">
        <v>7909</v>
      </c>
      <c r="L38" s="6565">
        <f t="shared" si="16"/>
        <v>9</v>
      </c>
      <c r="M38" s="6710">
        <f t="shared" si="2"/>
        <v>34956</v>
      </c>
      <c r="N38" s="6713">
        <v>3</v>
      </c>
      <c r="O38" s="6714">
        <v>11652</v>
      </c>
      <c r="P38" s="1551">
        <f t="shared" si="3"/>
        <v>12</v>
      </c>
      <c r="Q38" s="1551">
        <f t="shared" si="3"/>
        <v>46608</v>
      </c>
      <c r="R38" s="6713">
        <v>2</v>
      </c>
      <c r="S38" s="6714">
        <v>11527</v>
      </c>
      <c r="T38" s="1551">
        <f t="shared" si="4"/>
        <v>14</v>
      </c>
      <c r="U38" s="1551">
        <f t="shared" si="4"/>
        <v>58135</v>
      </c>
      <c r="V38" s="6713">
        <v>2</v>
      </c>
      <c r="W38" s="6714">
        <v>7912</v>
      </c>
      <c r="X38" s="6565">
        <f t="shared" si="5"/>
        <v>7</v>
      </c>
      <c r="Y38" s="6711">
        <f t="shared" si="5"/>
        <v>31091</v>
      </c>
      <c r="Z38" s="6567">
        <f t="shared" si="6"/>
        <v>16</v>
      </c>
      <c r="AA38" s="6563">
        <f t="shared" si="6"/>
        <v>66047</v>
      </c>
      <c r="AB38" s="6713">
        <v>3</v>
      </c>
      <c r="AC38" s="6714">
        <v>11591</v>
      </c>
      <c r="AD38" s="1488">
        <f t="shared" si="82"/>
        <v>19</v>
      </c>
      <c r="AE38" s="1551">
        <f t="shared" si="82"/>
        <v>77638</v>
      </c>
      <c r="AF38" s="6713">
        <v>2.2999999999999998</v>
      </c>
      <c r="AG38" s="6714">
        <v>9181</v>
      </c>
      <c r="AH38" s="1488">
        <f t="shared" si="83"/>
        <v>21.3</v>
      </c>
      <c r="AI38" s="1551">
        <f t="shared" si="83"/>
        <v>86819</v>
      </c>
      <c r="AJ38" s="6713">
        <v>1.8</v>
      </c>
      <c r="AK38" s="6714">
        <v>10907</v>
      </c>
      <c r="AL38" s="6565">
        <f t="shared" si="84"/>
        <v>7.1</v>
      </c>
      <c r="AM38" s="6710">
        <f t="shared" si="84"/>
        <v>31679</v>
      </c>
      <c r="AN38" s="1488">
        <f t="shared" si="53"/>
        <v>23.1</v>
      </c>
      <c r="AO38" s="1551">
        <f t="shared" si="53"/>
        <v>97726</v>
      </c>
      <c r="AP38" s="6713">
        <v>2</v>
      </c>
      <c r="AQ38" s="6714">
        <v>7734</v>
      </c>
      <c r="AR38" s="1488">
        <f t="shared" si="85"/>
        <v>25.1</v>
      </c>
      <c r="AS38" s="1551">
        <f t="shared" si="85"/>
        <v>105460</v>
      </c>
      <c r="AT38" s="6715">
        <v>2</v>
      </c>
      <c r="AU38" s="6714">
        <v>7786</v>
      </c>
      <c r="AV38" s="1488">
        <f t="shared" si="86"/>
        <v>27.1</v>
      </c>
      <c r="AW38" s="1551">
        <f t="shared" si="86"/>
        <v>113246</v>
      </c>
      <c r="AX38" s="6715">
        <v>2.2000000000000002</v>
      </c>
      <c r="AY38" s="6714">
        <v>12217</v>
      </c>
      <c r="AZ38" s="6565">
        <f t="shared" si="87"/>
        <v>6.2</v>
      </c>
      <c r="BA38" s="6711">
        <f t="shared" si="87"/>
        <v>27737</v>
      </c>
      <c r="BB38" s="6567">
        <f t="shared" si="88"/>
        <v>13.3</v>
      </c>
      <c r="BC38" s="6563">
        <f t="shared" si="88"/>
        <v>59416</v>
      </c>
      <c r="BD38" s="1488">
        <f t="shared" si="89"/>
        <v>29.3</v>
      </c>
      <c r="BE38" s="1551">
        <f t="shared" si="89"/>
        <v>125463</v>
      </c>
      <c r="BF38" s="533"/>
      <c r="BG38" s="533"/>
      <c r="BH38" s="533"/>
      <c r="BI38" s="533"/>
    </row>
    <row r="39" spans="2:61" s="1359" customFormat="1" ht="21.95" customHeight="1" thickBot="1" x14ac:dyDescent="0.3">
      <c r="B39" s="7575"/>
      <c r="C39" s="6712" t="s">
        <v>1241</v>
      </c>
      <c r="D39" s="6713">
        <v>0</v>
      </c>
      <c r="E39" s="6714">
        <v>0</v>
      </c>
      <c r="F39" s="6713">
        <v>0</v>
      </c>
      <c r="G39" s="6714">
        <v>0</v>
      </c>
      <c r="H39" s="1488">
        <f t="shared" si="0"/>
        <v>0</v>
      </c>
      <c r="I39" s="1489">
        <f t="shared" si="1"/>
        <v>0</v>
      </c>
      <c r="J39" s="6713">
        <v>0</v>
      </c>
      <c r="K39" s="6714"/>
      <c r="L39" s="6565">
        <f t="shared" si="16"/>
        <v>0</v>
      </c>
      <c r="M39" s="6710">
        <f t="shared" si="2"/>
        <v>0</v>
      </c>
      <c r="N39" s="6713">
        <v>0</v>
      </c>
      <c r="O39" s="6714">
        <v>0</v>
      </c>
      <c r="P39" s="1551">
        <f t="shared" si="3"/>
        <v>0</v>
      </c>
      <c r="Q39" s="1551">
        <f t="shared" si="3"/>
        <v>0</v>
      </c>
      <c r="R39" s="6713">
        <v>0</v>
      </c>
      <c r="S39" s="6714">
        <v>0</v>
      </c>
      <c r="T39" s="1551">
        <f t="shared" si="4"/>
        <v>0</v>
      </c>
      <c r="U39" s="1551">
        <f t="shared" si="4"/>
        <v>0</v>
      </c>
      <c r="V39" s="6713">
        <v>2</v>
      </c>
      <c r="W39" s="6714">
        <v>7353</v>
      </c>
      <c r="X39" s="6565">
        <f t="shared" si="5"/>
        <v>2</v>
      </c>
      <c r="Y39" s="6711">
        <f t="shared" si="5"/>
        <v>7353</v>
      </c>
      <c r="Z39" s="6567">
        <f t="shared" si="6"/>
        <v>2</v>
      </c>
      <c r="AA39" s="6563">
        <f t="shared" si="6"/>
        <v>7353</v>
      </c>
      <c r="AB39" s="6713">
        <v>1.6</v>
      </c>
      <c r="AC39" s="6714">
        <v>6144</v>
      </c>
      <c r="AD39" s="1488">
        <f t="shared" si="82"/>
        <v>3.6</v>
      </c>
      <c r="AE39" s="1551">
        <f t="shared" si="82"/>
        <v>13497</v>
      </c>
      <c r="AF39" s="6713">
        <v>1</v>
      </c>
      <c r="AG39" s="6714">
        <v>3860</v>
      </c>
      <c r="AH39" s="1488">
        <f t="shared" si="83"/>
        <v>4.5999999999999996</v>
      </c>
      <c r="AI39" s="1551">
        <f t="shared" si="83"/>
        <v>17357</v>
      </c>
      <c r="AJ39" s="6713">
        <v>0</v>
      </c>
      <c r="AK39" s="6714">
        <v>0</v>
      </c>
      <c r="AL39" s="6565">
        <f t="shared" si="84"/>
        <v>2.6</v>
      </c>
      <c r="AM39" s="6710">
        <f t="shared" si="84"/>
        <v>10004</v>
      </c>
      <c r="AN39" s="1488">
        <f t="shared" si="53"/>
        <v>4.5999999999999996</v>
      </c>
      <c r="AO39" s="1551">
        <f t="shared" si="53"/>
        <v>17357</v>
      </c>
      <c r="AP39" s="6713">
        <v>0</v>
      </c>
      <c r="AQ39" s="6714">
        <v>0</v>
      </c>
      <c r="AR39" s="1488">
        <f t="shared" si="85"/>
        <v>4.5999999999999996</v>
      </c>
      <c r="AS39" s="1551">
        <f t="shared" si="85"/>
        <v>17357</v>
      </c>
      <c r="AT39" s="6715">
        <v>0</v>
      </c>
      <c r="AU39" s="6714">
        <v>0</v>
      </c>
      <c r="AV39" s="1488">
        <f t="shared" si="86"/>
        <v>4.5999999999999996</v>
      </c>
      <c r="AW39" s="1551">
        <f t="shared" si="86"/>
        <v>17357</v>
      </c>
      <c r="AX39" s="6715">
        <v>1.5</v>
      </c>
      <c r="AY39" s="6714">
        <v>5976</v>
      </c>
      <c r="AZ39" s="6565">
        <f t="shared" si="87"/>
        <v>1.5</v>
      </c>
      <c r="BA39" s="6711">
        <f t="shared" si="87"/>
        <v>5976</v>
      </c>
      <c r="BB39" s="6567">
        <f t="shared" si="88"/>
        <v>4.0999999999999996</v>
      </c>
      <c r="BC39" s="6563">
        <f t="shared" si="88"/>
        <v>15980</v>
      </c>
      <c r="BD39" s="1488">
        <f t="shared" si="89"/>
        <v>6.1</v>
      </c>
      <c r="BE39" s="1551">
        <f t="shared" si="89"/>
        <v>23333</v>
      </c>
      <c r="BF39" s="533"/>
      <c r="BG39" s="533"/>
      <c r="BH39" s="533"/>
      <c r="BI39" s="533"/>
    </row>
    <row r="40" spans="2:61" s="1359" customFormat="1" ht="21.95" hidden="1" customHeight="1" thickBot="1" x14ac:dyDescent="0.3">
      <c r="B40" s="7575"/>
      <c r="C40" s="6731" t="s">
        <v>1290</v>
      </c>
      <c r="D40" s="6713">
        <v>0</v>
      </c>
      <c r="E40" s="6714">
        <v>0</v>
      </c>
      <c r="F40" s="6713"/>
      <c r="G40" s="6714"/>
      <c r="H40" s="1488">
        <f t="shared" si="0"/>
        <v>0</v>
      </c>
      <c r="I40" s="1489">
        <f t="shared" si="1"/>
        <v>0</v>
      </c>
      <c r="J40" s="6713">
        <v>0</v>
      </c>
      <c r="K40" s="6714"/>
      <c r="L40" s="6565">
        <f t="shared" si="16"/>
        <v>0</v>
      </c>
      <c r="M40" s="6710">
        <f t="shared" si="2"/>
        <v>0</v>
      </c>
      <c r="N40" s="6713">
        <v>0</v>
      </c>
      <c r="O40" s="6714">
        <v>0</v>
      </c>
      <c r="P40" s="1551">
        <f t="shared" si="3"/>
        <v>0</v>
      </c>
      <c r="Q40" s="1551">
        <f t="shared" si="3"/>
        <v>0</v>
      </c>
      <c r="R40" s="6713">
        <v>0</v>
      </c>
      <c r="S40" s="6714">
        <v>0</v>
      </c>
      <c r="T40" s="1551">
        <f t="shared" si="4"/>
        <v>0</v>
      </c>
      <c r="U40" s="1551">
        <f t="shared" si="4"/>
        <v>0</v>
      </c>
      <c r="V40" s="6713">
        <v>0</v>
      </c>
      <c r="W40" s="6714">
        <v>0</v>
      </c>
      <c r="X40" s="6565">
        <f t="shared" si="5"/>
        <v>0</v>
      </c>
      <c r="Y40" s="6711">
        <f t="shared" si="5"/>
        <v>0</v>
      </c>
      <c r="Z40" s="6567">
        <f t="shared" si="6"/>
        <v>0</v>
      </c>
      <c r="AA40" s="6563">
        <f t="shared" si="6"/>
        <v>0</v>
      </c>
      <c r="AB40" s="6713">
        <v>0</v>
      </c>
      <c r="AC40" s="6714">
        <v>0</v>
      </c>
      <c r="AD40" s="1488">
        <f t="shared" si="82"/>
        <v>0</v>
      </c>
      <c r="AE40" s="1551">
        <f t="shared" si="82"/>
        <v>0</v>
      </c>
      <c r="AF40" s="6713">
        <v>0</v>
      </c>
      <c r="AG40" s="6714">
        <v>0</v>
      </c>
      <c r="AH40" s="1488">
        <f t="shared" si="83"/>
        <v>0</v>
      </c>
      <c r="AI40" s="1551">
        <f t="shared" si="83"/>
        <v>0</v>
      </c>
      <c r="AJ40" s="6713">
        <v>0</v>
      </c>
      <c r="AK40" s="6714">
        <v>0</v>
      </c>
      <c r="AL40" s="6565">
        <f t="shared" si="84"/>
        <v>0</v>
      </c>
      <c r="AM40" s="6710">
        <f t="shared" si="84"/>
        <v>0</v>
      </c>
      <c r="AN40" s="1488">
        <f t="shared" ref="AN40:AO55" si="90">AH40+AJ40</f>
        <v>0</v>
      </c>
      <c r="AO40" s="1551">
        <f t="shared" si="90"/>
        <v>0</v>
      </c>
      <c r="AP40" s="6713">
        <v>0</v>
      </c>
      <c r="AQ40" s="6714">
        <v>0</v>
      </c>
      <c r="AR40" s="1488">
        <f t="shared" si="85"/>
        <v>0</v>
      </c>
      <c r="AS40" s="1551">
        <f t="shared" si="85"/>
        <v>0</v>
      </c>
      <c r="AT40" s="6715">
        <v>0</v>
      </c>
      <c r="AU40" s="6714">
        <v>0</v>
      </c>
      <c r="AV40" s="1488">
        <f t="shared" si="86"/>
        <v>0</v>
      </c>
      <c r="AW40" s="1551">
        <f t="shared" si="86"/>
        <v>0</v>
      </c>
      <c r="AX40" s="6715">
        <v>0</v>
      </c>
      <c r="AY40" s="6714">
        <v>0</v>
      </c>
      <c r="AZ40" s="6565">
        <f t="shared" si="87"/>
        <v>0</v>
      </c>
      <c r="BA40" s="6711">
        <f t="shared" si="87"/>
        <v>0</v>
      </c>
      <c r="BB40" s="6567">
        <f t="shared" si="88"/>
        <v>0</v>
      </c>
      <c r="BC40" s="6563">
        <f t="shared" si="88"/>
        <v>0</v>
      </c>
      <c r="BD40" s="1488">
        <f t="shared" si="89"/>
        <v>0</v>
      </c>
      <c r="BE40" s="1551">
        <f t="shared" si="89"/>
        <v>0</v>
      </c>
      <c r="BF40" s="533"/>
      <c r="BG40" s="533"/>
      <c r="BH40" s="533"/>
      <c r="BI40" s="533"/>
    </row>
    <row r="41" spans="2:61" s="1359" customFormat="1" ht="21.95" customHeight="1" thickBot="1" x14ac:dyDescent="0.3">
      <c r="B41" s="7575"/>
      <c r="C41" s="6731" t="s">
        <v>1242</v>
      </c>
      <c r="D41" s="6713">
        <v>4</v>
      </c>
      <c r="E41" s="6714">
        <v>14972</v>
      </c>
      <c r="F41" s="6713">
        <v>4</v>
      </c>
      <c r="G41" s="6714">
        <v>15821</v>
      </c>
      <c r="H41" s="1488">
        <f t="shared" si="0"/>
        <v>8</v>
      </c>
      <c r="I41" s="1489">
        <f t="shared" si="1"/>
        <v>30793</v>
      </c>
      <c r="J41" s="6713">
        <v>2.2999999999999998</v>
      </c>
      <c r="K41" s="6714">
        <v>8770</v>
      </c>
      <c r="L41" s="6565">
        <f t="shared" si="16"/>
        <v>10.3</v>
      </c>
      <c r="M41" s="6710">
        <f t="shared" si="2"/>
        <v>39563</v>
      </c>
      <c r="N41" s="6713">
        <v>3.1</v>
      </c>
      <c r="O41" s="6714">
        <v>11746</v>
      </c>
      <c r="P41" s="1551">
        <f t="shared" si="3"/>
        <v>13.4</v>
      </c>
      <c r="Q41" s="1551">
        <f t="shared" si="3"/>
        <v>51309</v>
      </c>
      <c r="R41" s="6713">
        <v>2.5</v>
      </c>
      <c r="S41" s="6714">
        <v>8848</v>
      </c>
      <c r="T41" s="1551">
        <f t="shared" si="4"/>
        <v>15.9</v>
      </c>
      <c r="U41" s="1551">
        <f t="shared" si="4"/>
        <v>60157</v>
      </c>
      <c r="V41" s="6713">
        <v>4.2</v>
      </c>
      <c r="W41" s="6714">
        <v>15863</v>
      </c>
      <c r="X41" s="6565">
        <f t="shared" si="5"/>
        <v>9.8000000000000007</v>
      </c>
      <c r="Y41" s="6711">
        <f t="shared" si="5"/>
        <v>36457</v>
      </c>
      <c r="Z41" s="6567">
        <f t="shared" si="6"/>
        <v>20.100000000000001</v>
      </c>
      <c r="AA41" s="6563">
        <f t="shared" si="6"/>
        <v>76020</v>
      </c>
      <c r="AB41" s="6713">
        <v>2</v>
      </c>
      <c r="AC41" s="6714">
        <v>7559</v>
      </c>
      <c r="AD41" s="1488">
        <f t="shared" si="82"/>
        <v>22.1</v>
      </c>
      <c r="AE41" s="1551">
        <f t="shared" si="82"/>
        <v>83579</v>
      </c>
      <c r="AF41" s="6713">
        <v>3</v>
      </c>
      <c r="AG41" s="6714">
        <v>11166</v>
      </c>
      <c r="AH41" s="1488">
        <f t="shared" si="83"/>
        <v>25.1</v>
      </c>
      <c r="AI41" s="1551">
        <f t="shared" si="83"/>
        <v>94745</v>
      </c>
      <c r="AJ41" s="6713">
        <v>2.5</v>
      </c>
      <c r="AK41" s="6714">
        <v>9650</v>
      </c>
      <c r="AL41" s="6565">
        <f t="shared" si="84"/>
        <v>7.5</v>
      </c>
      <c r="AM41" s="6710">
        <f t="shared" si="84"/>
        <v>28375</v>
      </c>
      <c r="AN41" s="1488">
        <f t="shared" si="90"/>
        <v>27.6</v>
      </c>
      <c r="AO41" s="1551">
        <f t="shared" si="90"/>
        <v>104395</v>
      </c>
      <c r="AP41" s="6713">
        <v>3</v>
      </c>
      <c r="AQ41" s="6714">
        <v>11726</v>
      </c>
      <c r="AR41" s="1488">
        <f t="shared" si="85"/>
        <v>30.6</v>
      </c>
      <c r="AS41" s="1551">
        <f t="shared" si="85"/>
        <v>116121</v>
      </c>
      <c r="AT41" s="6715">
        <v>2</v>
      </c>
      <c r="AU41" s="6714">
        <v>7770</v>
      </c>
      <c r="AV41" s="1488">
        <f t="shared" si="86"/>
        <v>32.6</v>
      </c>
      <c r="AW41" s="1551">
        <f t="shared" si="86"/>
        <v>123891</v>
      </c>
      <c r="AX41" s="6715">
        <v>1</v>
      </c>
      <c r="AY41" s="6714">
        <v>4017</v>
      </c>
      <c r="AZ41" s="6565">
        <f t="shared" si="87"/>
        <v>6</v>
      </c>
      <c r="BA41" s="6711">
        <f t="shared" si="87"/>
        <v>23513</v>
      </c>
      <c r="BB41" s="6567">
        <f t="shared" si="88"/>
        <v>13.5</v>
      </c>
      <c r="BC41" s="6563">
        <f t="shared" si="88"/>
        <v>51888</v>
      </c>
      <c r="BD41" s="1488">
        <f t="shared" si="89"/>
        <v>33.6</v>
      </c>
      <c r="BE41" s="1551">
        <f t="shared" si="89"/>
        <v>127908</v>
      </c>
      <c r="BF41" s="533"/>
      <c r="BG41" s="533"/>
      <c r="BH41" s="533"/>
      <c r="BI41" s="533"/>
    </row>
    <row r="42" spans="2:61" s="1359" customFormat="1" ht="21.95" customHeight="1" thickBot="1" x14ac:dyDescent="0.3">
      <c r="B42" s="7575"/>
      <c r="C42" s="6731" t="s">
        <v>1243</v>
      </c>
      <c r="D42" s="6713">
        <v>7</v>
      </c>
      <c r="E42" s="6714">
        <v>26618</v>
      </c>
      <c r="F42" s="6713">
        <v>5</v>
      </c>
      <c r="G42" s="6714">
        <v>19520</v>
      </c>
      <c r="H42" s="1488">
        <f t="shared" si="0"/>
        <v>12</v>
      </c>
      <c r="I42" s="1489">
        <f t="shared" si="1"/>
        <v>46138</v>
      </c>
      <c r="J42" s="6713">
        <v>3</v>
      </c>
      <c r="K42" s="6714">
        <v>11656</v>
      </c>
      <c r="L42" s="6565">
        <f t="shared" si="16"/>
        <v>15</v>
      </c>
      <c r="M42" s="6710">
        <f t="shared" si="2"/>
        <v>57794</v>
      </c>
      <c r="N42" s="6713">
        <v>3.7</v>
      </c>
      <c r="O42" s="6714">
        <v>18523</v>
      </c>
      <c r="P42" s="1551">
        <f t="shared" si="3"/>
        <v>18.7</v>
      </c>
      <c r="Q42" s="1551">
        <f t="shared" si="3"/>
        <v>76317</v>
      </c>
      <c r="R42" s="6713">
        <v>4</v>
      </c>
      <c r="S42" s="6714">
        <v>15592</v>
      </c>
      <c r="T42" s="1551">
        <f t="shared" si="4"/>
        <v>22.7</v>
      </c>
      <c r="U42" s="1551">
        <f t="shared" si="4"/>
        <v>91909</v>
      </c>
      <c r="V42" s="6713">
        <v>5</v>
      </c>
      <c r="W42" s="6714">
        <v>19306</v>
      </c>
      <c r="X42" s="6565">
        <f t="shared" si="5"/>
        <v>12.7</v>
      </c>
      <c r="Y42" s="6711">
        <f t="shared" si="5"/>
        <v>53421</v>
      </c>
      <c r="Z42" s="6567">
        <f t="shared" si="6"/>
        <v>27.7</v>
      </c>
      <c r="AA42" s="6563">
        <f t="shared" si="6"/>
        <v>111215</v>
      </c>
      <c r="AB42" s="6713">
        <v>4.4000000000000004</v>
      </c>
      <c r="AC42" s="6714">
        <v>16175</v>
      </c>
      <c r="AD42" s="1488">
        <f t="shared" si="82"/>
        <v>32.1</v>
      </c>
      <c r="AE42" s="1551">
        <f t="shared" si="82"/>
        <v>127390</v>
      </c>
      <c r="AF42" s="6713">
        <v>5</v>
      </c>
      <c r="AG42" s="6714">
        <v>19336</v>
      </c>
      <c r="AH42" s="1488">
        <f t="shared" si="83"/>
        <v>37.1</v>
      </c>
      <c r="AI42" s="1551">
        <f t="shared" si="83"/>
        <v>146726</v>
      </c>
      <c r="AJ42" s="6713">
        <v>5</v>
      </c>
      <c r="AK42" s="6714">
        <v>19436</v>
      </c>
      <c r="AL42" s="6565">
        <f t="shared" si="84"/>
        <v>14.4</v>
      </c>
      <c r="AM42" s="6710">
        <f t="shared" si="84"/>
        <v>54947</v>
      </c>
      <c r="AN42" s="1488">
        <f t="shared" si="90"/>
        <v>42.1</v>
      </c>
      <c r="AO42" s="1551">
        <f t="shared" si="90"/>
        <v>166162</v>
      </c>
      <c r="AP42" s="6713">
        <v>6.3</v>
      </c>
      <c r="AQ42" s="6714">
        <v>24202</v>
      </c>
      <c r="AR42" s="1488">
        <f t="shared" si="85"/>
        <v>48.4</v>
      </c>
      <c r="AS42" s="1551">
        <f t="shared" si="85"/>
        <v>190364</v>
      </c>
      <c r="AT42" s="6715">
        <v>4.5</v>
      </c>
      <c r="AU42" s="6714">
        <v>16911</v>
      </c>
      <c r="AV42" s="1488">
        <f t="shared" si="86"/>
        <v>52.9</v>
      </c>
      <c r="AW42" s="1551">
        <f t="shared" si="86"/>
        <v>207275</v>
      </c>
      <c r="AX42" s="6715">
        <v>4</v>
      </c>
      <c r="AY42" s="6714">
        <v>15403</v>
      </c>
      <c r="AZ42" s="6565">
        <f t="shared" si="87"/>
        <v>14.8</v>
      </c>
      <c r="BA42" s="6711">
        <f t="shared" si="87"/>
        <v>56516</v>
      </c>
      <c r="BB42" s="6567">
        <f t="shared" si="88"/>
        <v>29.200000000000003</v>
      </c>
      <c r="BC42" s="6563">
        <f t="shared" si="88"/>
        <v>111463</v>
      </c>
      <c r="BD42" s="1488">
        <f t="shared" si="89"/>
        <v>56.9</v>
      </c>
      <c r="BE42" s="1551">
        <f t="shared" si="89"/>
        <v>222678</v>
      </c>
      <c r="BF42" s="533"/>
      <c r="BG42" s="533"/>
      <c r="BH42" s="533"/>
      <c r="BI42" s="533"/>
    </row>
    <row r="43" spans="2:61" s="1359" customFormat="1" ht="21.95" hidden="1" customHeight="1" thickBot="1" x14ac:dyDescent="0.3">
      <c r="B43" s="7575"/>
      <c r="C43" s="6731" t="s">
        <v>1244</v>
      </c>
      <c r="D43" s="6713">
        <v>0</v>
      </c>
      <c r="E43" s="6714">
        <v>0</v>
      </c>
      <c r="F43" s="6713"/>
      <c r="G43" s="6714"/>
      <c r="H43" s="1488">
        <f t="shared" si="0"/>
        <v>0</v>
      </c>
      <c r="I43" s="1489">
        <f t="shared" si="1"/>
        <v>0</v>
      </c>
      <c r="J43" s="6713"/>
      <c r="K43" s="6714"/>
      <c r="L43" s="6565">
        <f t="shared" si="16"/>
        <v>0</v>
      </c>
      <c r="M43" s="6710">
        <f t="shared" si="2"/>
        <v>0</v>
      </c>
      <c r="N43" s="6713">
        <v>0</v>
      </c>
      <c r="O43" s="6714">
        <v>0</v>
      </c>
      <c r="P43" s="1551">
        <f t="shared" si="3"/>
        <v>0</v>
      </c>
      <c r="Q43" s="1551">
        <f t="shared" si="3"/>
        <v>0</v>
      </c>
      <c r="R43" s="6713">
        <v>0</v>
      </c>
      <c r="S43" s="6714">
        <v>0</v>
      </c>
      <c r="T43" s="1551">
        <f t="shared" si="4"/>
        <v>0</v>
      </c>
      <c r="U43" s="1551">
        <f t="shared" si="4"/>
        <v>0</v>
      </c>
      <c r="V43" s="6713"/>
      <c r="W43" s="6714"/>
      <c r="X43" s="6565">
        <f t="shared" si="5"/>
        <v>0</v>
      </c>
      <c r="Y43" s="6711">
        <f t="shared" si="5"/>
        <v>0</v>
      </c>
      <c r="Z43" s="6567">
        <f t="shared" si="6"/>
        <v>0</v>
      </c>
      <c r="AA43" s="6563">
        <f t="shared" si="6"/>
        <v>0</v>
      </c>
      <c r="AB43" s="6713"/>
      <c r="AC43" s="6714"/>
      <c r="AD43" s="1488">
        <f t="shared" si="82"/>
        <v>0</v>
      </c>
      <c r="AE43" s="1551">
        <f t="shared" si="82"/>
        <v>0</v>
      </c>
      <c r="AF43" s="6713"/>
      <c r="AG43" s="6714"/>
      <c r="AH43" s="1488">
        <f t="shared" si="83"/>
        <v>0</v>
      </c>
      <c r="AI43" s="1551">
        <f t="shared" si="83"/>
        <v>0</v>
      </c>
      <c r="AJ43" s="6713"/>
      <c r="AK43" s="6714"/>
      <c r="AL43" s="6565">
        <f t="shared" si="84"/>
        <v>0</v>
      </c>
      <c r="AM43" s="6710">
        <f t="shared" si="84"/>
        <v>0</v>
      </c>
      <c r="AN43" s="1488">
        <f t="shared" si="90"/>
        <v>0</v>
      </c>
      <c r="AO43" s="1551">
        <f t="shared" si="90"/>
        <v>0</v>
      </c>
      <c r="AP43" s="6713"/>
      <c r="AQ43" s="6714"/>
      <c r="AR43" s="1488">
        <f t="shared" si="85"/>
        <v>0</v>
      </c>
      <c r="AS43" s="1551">
        <f t="shared" si="85"/>
        <v>0</v>
      </c>
      <c r="AT43" s="6715"/>
      <c r="AU43" s="6714"/>
      <c r="AV43" s="1488">
        <f t="shared" si="86"/>
        <v>0</v>
      </c>
      <c r="AW43" s="1551">
        <f t="shared" si="86"/>
        <v>0</v>
      </c>
      <c r="AX43" s="6715"/>
      <c r="AY43" s="6714"/>
      <c r="AZ43" s="6565">
        <f t="shared" si="87"/>
        <v>0</v>
      </c>
      <c r="BA43" s="6711">
        <f t="shared" si="87"/>
        <v>0</v>
      </c>
      <c r="BB43" s="6567">
        <f t="shared" si="88"/>
        <v>0</v>
      </c>
      <c r="BC43" s="6563">
        <f t="shared" si="88"/>
        <v>0</v>
      </c>
      <c r="BD43" s="1488">
        <f t="shared" si="89"/>
        <v>0</v>
      </c>
      <c r="BE43" s="1551">
        <f t="shared" si="89"/>
        <v>0</v>
      </c>
      <c r="BF43" s="533"/>
      <c r="BG43" s="533"/>
      <c r="BH43" s="533"/>
      <c r="BI43" s="533"/>
    </row>
    <row r="44" spans="2:61" s="1359" customFormat="1" ht="21.95" customHeight="1" thickBot="1" x14ac:dyDescent="0.3">
      <c r="B44" s="7575"/>
      <c r="C44" s="6731" t="s">
        <v>1245</v>
      </c>
      <c r="D44" s="6713">
        <v>0</v>
      </c>
      <c r="E44" s="6714">
        <v>68</v>
      </c>
      <c r="F44" s="6713">
        <v>0</v>
      </c>
      <c r="G44" s="6714">
        <v>0</v>
      </c>
      <c r="H44" s="1488">
        <f t="shared" si="0"/>
        <v>0</v>
      </c>
      <c r="I44" s="1489">
        <f t="shared" si="1"/>
        <v>68</v>
      </c>
      <c r="J44" s="6713">
        <v>2</v>
      </c>
      <c r="K44" s="6714">
        <v>7902</v>
      </c>
      <c r="L44" s="6565">
        <f t="shared" si="16"/>
        <v>2</v>
      </c>
      <c r="M44" s="6710">
        <f t="shared" si="2"/>
        <v>7970</v>
      </c>
      <c r="N44" s="6713">
        <v>3</v>
      </c>
      <c r="O44" s="6714">
        <v>11579</v>
      </c>
      <c r="P44" s="1551">
        <f t="shared" si="3"/>
        <v>5</v>
      </c>
      <c r="Q44" s="1551">
        <f t="shared" si="3"/>
        <v>19549</v>
      </c>
      <c r="R44" s="6713">
        <v>1</v>
      </c>
      <c r="S44" s="6714">
        <v>3297</v>
      </c>
      <c r="T44" s="1551">
        <f t="shared" si="4"/>
        <v>6</v>
      </c>
      <c r="U44" s="1551">
        <f t="shared" si="4"/>
        <v>22846</v>
      </c>
      <c r="V44" s="6713">
        <v>2</v>
      </c>
      <c r="W44" s="6714">
        <v>7710</v>
      </c>
      <c r="X44" s="6565">
        <f t="shared" si="5"/>
        <v>6</v>
      </c>
      <c r="Y44" s="6711">
        <f t="shared" si="5"/>
        <v>22586</v>
      </c>
      <c r="Z44" s="6567">
        <f t="shared" si="6"/>
        <v>8</v>
      </c>
      <c r="AA44" s="6563">
        <f t="shared" si="6"/>
        <v>30556</v>
      </c>
      <c r="AB44" s="6713">
        <v>1</v>
      </c>
      <c r="AC44" s="6714">
        <v>7662</v>
      </c>
      <c r="AD44" s="1488">
        <f t="shared" si="82"/>
        <v>9</v>
      </c>
      <c r="AE44" s="1551">
        <f t="shared" si="82"/>
        <v>38218</v>
      </c>
      <c r="AF44" s="6713">
        <v>2</v>
      </c>
      <c r="AG44" s="6714">
        <v>7643</v>
      </c>
      <c r="AH44" s="1488">
        <f t="shared" si="83"/>
        <v>11</v>
      </c>
      <c r="AI44" s="1551">
        <f t="shared" si="83"/>
        <v>45861</v>
      </c>
      <c r="AJ44" s="6713">
        <v>1</v>
      </c>
      <c r="AK44" s="6714">
        <v>3426</v>
      </c>
      <c r="AL44" s="6565">
        <f t="shared" si="84"/>
        <v>4</v>
      </c>
      <c r="AM44" s="6710">
        <f t="shared" si="84"/>
        <v>18731</v>
      </c>
      <c r="AN44" s="1488">
        <f t="shared" si="90"/>
        <v>12</v>
      </c>
      <c r="AO44" s="1551">
        <f t="shared" si="90"/>
        <v>49287</v>
      </c>
      <c r="AP44" s="6713">
        <v>0</v>
      </c>
      <c r="AQ44" s="6714">
        <v>0</v>
      </c>
      <c r="AR44" s="1488">
        <f t="shared" si="85"/>
        <v>12</v>
      </c>
      <c r="AS44" s="1551">
        <f t="shared" si="85"/>
        <v>49287</v>
      </c>
      <c r="AT44" s="6715">
        <v>0</v>
      </c>
      <c r="AU44" s="6714">
        <v>0</v>
      </c>
      <c r="AV44" s="1488">
        <f t="shared" si="86"/>
        <v>12</v>
      </c>
      <c r="AW44" s="1551">
        <f t="shared" si="86"/>
        <v>49287</v>
      </c>
      <c r="AX44" s="6715">
        <v>2</v>
      </c>
      <c r="AY44" s="6714">
        <v>7801</v>
      </c>
      <c r="AZ44" s="6565">
        <f t="shared" si="87"/>
        <v>2</v>
      </c>
      <c r="BA44" s="6711">
        <f t="shared" si="87"/>
        <v>7801</v>
      </c>
      <c r="BB44" s="6567">
        <f t="shared" si="88"/>
        <v>6</v>
      </c>
      <c r="BC44" s="6563">
        <f t="shared" si="88"/>
        <v>26532</v>
      </c>
      <c r="BD44" s="1488">
        <f t="shared" si="89"/>
        <v>14</v>
      </c>
      <c r="BE44" s="1551">
        <f t="shared" si="89"/>
        <v>57088</v>
      </c>
      <c r="BF44" s="533"/>
      <c r="BG44" s="533"/>
      <c r="BH44" s="533"/>
      <c r="BI44" s="533"/>
    </row>
    <row r="45" spans="2:61" s="1359" customFormat="1" ht="21.95" hidden="1" customHeight="1" thickBot="1" x14ac:dyDescent="0.3">
      <c r="B45" s="7575"/>
      <c r="C45" s="6731" t="s">
        <v>1376</v>
      </c>
      <c r="D45" s="6713">
        <v>0</v>
      </c>
      <c r="E45" s="6714">
        <v>0</v>
      </c>
      <c r="F45" s="6713">
        <v>0</v>
      </c>
      <c r="G45" s="6714">
        <v>0</v>
      </c>
      <c r="H45" s="1488">
        <f t="shared" si="0"/>
        <v>0</v>
      </c>
      <c r="I45" s="1489">
        <f t="shared" si="1"/>
        <v>0</v>
      </c>
      <c r="J45" s="6713">
        <v>0</v>
      </c>
      <c r="K45" s="6714"/>
      <c r="L45" s="6565">
        <f t="shared" si="16"/>
        <v>0</v>
      </c>
      <c r="M45" s="6710">
        <f t="shared" si="2"/>
        <v>0</v>
      </c>
      <c r="N45" s="6713">
        <v>0</v>
      </c>
      <c r="O45" s="6714">
        <v>0</v>
      </c>
      <c r="P45" s="1551">
        <f t="shared" si="3"/>
        <v>0</v>
      </c>
      <c r="Q45" s="1551">
        <f t="shared" si="3"/>
        <v>0</v>
      </c>
      <c r="R45" s="6713">
        <v>0</v>
      </c>
      <c r="S45" s="6714">
        <v>0</v>
      </c>
      <c r="T45" s="1551">
        <f t="shared" si="4"/>
        <v>0</v>
      </c>
      <c r="U45" s="1551">
        <f t="shared" si="4"/>
        <v>0</v>
      </c>
      <c r="V45" s="6713">
        <v>0</v>
      </c>
      <c r="W45" s="6714">
        <v>0</v>
      </c>
      <c r="X45" s="6565">
        <f t="shared" si="5"/>
        <v>0</v>
      </c>
      <c r="Y45" s="6711">
        <f t="shared" si="5"/>
        <v>0</v>
      </c>
      <c r="Z45" s="6567">
        <f t="shared" si="6"/>
        <v>0</v>
      </c>
      <c r="AA45" s="6563">
        <f t="shared" si="6"/>
        <v>0</v>
      </c>
      <c r="AB45" s="6713">
        <v>0</v>
      </c>
      <c r="AC45" s="6714">
        <v>0</v>
      </c>
      <c r="AD45" s="1488">
        <f t="shared" si="82"/>
        <v>0</v>
      </c>
      <c r="AE45" s="1551">
        <f t="shared" si="82"/>
        <v>0</v>
      </c>
      <c r="AF45" s="6713">
        <v>0</v>
      </c>
      <c r="AG45" s="6714">
        <v>0</v>
      </c>
      <c r="AH45" s="1488">
        <f t="shared" si="83"/>
        <v>0</v>
      </c>
      <c r="AI45" s="1551">
        <f t="shared" si="83"/>
        <v>0</v>
      </c>
      <c r="AJ45" s="6713">
        <v>0</v>
      </c>
      <c r="AK45" s="6714">
        <v>0</v>
      </c>
      <c r="AL45" s="6565">
        <f t="shared" si="84"/>
        <v>0</v>
      </c>
      <c r="AM45" s="6710">
        <f t="shared" si="84"/>
        <v>0</v>
      </c>
      <c r="AN45" s="1488">
        <f t="shared" si="90"/>
        <v>0</v>
      </c>
      <c r="AO45" s="1551">
        <f t="shared" si="90"/>
        <v>0</v>
      </c>
      <c r="AP45" s="6713">
        <v>0</v>
      </c>
      <c r="AQ45" s="6714">
        <v>0</v>
      </c>
      <c r="AR45" s="1488">
        <f t="shared" si="85"/>
        <v>0</v>
      </c>
      <c r="AS45" s="1551">
        <f t="shared" si="85"/>
        <v>0</v>
      </c>
      <c r="AT45" s="6715">
        <v>0</v>
      </c>
      <c r="AU45" s="6714">
        <v>0</v>
      </c>
      <c r="AV45" s="1488">
        <f t="shared" si="86"/>
        <v>0</v>
      </c>
      <c r="AW45" s="1551">
        <f t="shared" si="86"/>
        <v>0</v>
      </c>
      <c r="AX45" s="6715">
        <v>0</v>
      </c>
      <c r="AY45" s="6714">
        <v>0</v>
      </c>
      <c r="AZ45" s="6565">
        <f t="shared" si="87"/>
        <v>0</v>
      </c>
      <c r="BA45" s="6711">
        <f t="shared" si="87"/>
        <v>0</v>
      </c>
      <c r="BB45" s="6567">
        <f t="shared" si="88"/>
        <v>0</v>
      </c>
      <c r="BC45" s="6563">
        <f t="shared" si="88"/>
        <v>0</v>
      </c>
      <c r="BD45" s="1488">
        <f t="shared" si="89"/>
        <v>0</v>
      </c>
      <c r="BE45" s="1551">
        <f t="shared" si="89"/>
        <v>0</v>
      </c>
      <c r="BF45" s="533"/>
      <c r="BG45" s="533"/>
      <c r="BH45" s="533"/>
      <c r="BI45" s="533"/>
    </row>
    <row r="46" spans="2:61" s="1359" customFormat="1" ht="21.95" customHeight="1" thickBot="1" x14ac:dyDescent="0.3">
      <c r="B46" s="7575"/>
      <c r="C46" s="6742" t="s">
        <v>2</v>
      </c>
      <c r="D46" s="6743">
        <f>SUM(D37:D45)</f>
        <v>25</v>
      </c>
      <c r="E46" s="6743">
        <f t="shared" ref="E46:BE46" si="91">SUM(E37:E45)</f>
        <v>95904</v>
      </c>
      <c r="F46" s="6743">
        <f>SUM(F37:F45)</f>
        <v>27</v>
      </c>
      <c r="G46" s="6743">
        <f t="shared" ref="G46" si="92">SUM(G37:G45)</f>
        <v>106284</v>
      </c>
      <c r="H46" s="1488">
        <f t="shared" si="0"/>
        <v>52</v>
      </c>
      <c r="I46" s="1489">
        <f t="shared" si="1"/>
        <v>202188</v>
      </c>
      <c r="J46" s="6743">
        <f t="shared" si="91"/>
        <v>24</v>
      </c>
      <c r="K46" s="6743">
        <f t="shared" si="91"/>
        <v>93318</v>
      </c>
      <c r="L46" s="6744">
        <f t="shared" si="91"/>
        <v>76</v>
      </c>
      <c r="M46" s="6744">
        <f t="shared" si="91"/>
        <v>295506</v>
      </c>
      <c r="N46" s="6743">
        <f t="shared" si="91"/>
        <v>30</v>
      </c>
      <c r="O46" s="6743">
        <f t="shared" si="91"/>
        <v>119214</v>
      </c>
      <c r="P46" s="1551">
        <f t="shared" si="3"/>
        <v>106</v>
      </c>
      <c r="Q46" s="1551">
        <f t="shared" si="3"/>
        <v>414720</v>
      </c>
      <c r="R46" s="6743">
        <f t="shared" ref="R46:S46" si="93">SUM(R37:R45)</f>
        <v>23.1</v>
      </c>
      <c r="S46" s="6743">
        <f t="shared" si="93"/>
        <v>90184</v>
      </c>
      <c r="T46" s="1551">
        <f t="shared" si="4"/>
        <v>129.1</v>
      </c>
      <c r="U46" s="1551">
        <f t="shared" si="4"/>
        <v>504904</v>
      </c>
      <c r="V46" s="6743">
        <f t="shared" ref="V46:W46" si="94">SUM(V37:V45)</f>
        <v>29</v>
      </c>
      <c r="W46" s="6743">
        <f t="shared" si="94"/>
        <v>112230</v>
      </c>
      <c r="X46" s="6744">
        <f t="shared" si="91"/>
        <v>82.1</v>
      </c>
      <c r="Y46" s="6745">
        <f t="shared" si="91"/>
        <v>321628</v>
      </c>
      <c r="Z46" s="6557">
        <f t="shared" si="91"/>
        <v>158.1</v>
      </c>
      <c r="AA46" s="6557">
        <f t="shared" si="91"/>
        <v>617134</v>
      </c>
      <c r="AB46" s="6743">
        <f t="shared" si="91"/>
        <v>26</v>
      </c>
      <c r="AC46" s="6743">
        <f t="shared" si="91"/>
        <v>104591</v>
      </c>
      <c r="AD46" s="6743">
        <f t="shared" si="91"/>
        <v>184.1</v>
      </c>
      <c r="AE46" s="6743">
        <f t="shared" si="91"/>
        <v>721725</v>
      </c>
      <c r="AF46" s="6743">
        <f t="shared" si="91"/>
        <v>23</v>
      </c>
      <c r="AG46" s="6743">
        <f t="shared" si="91"/>
        <v>88312</v>
      </c>
      <c r="AH46" s="6743">
        <f t="shared" si="91"/>
        <v>207.1</v>
      </c>
      <c r="AI46" s="6743">
        <f t="shared" si="91"/>
        <v>810037</v>
      </c>
      <c r="AJ46" s="6743">
        <f t="shared" si="91"/>
        <v>24</v>
      </c>
      <c r="AK46" s="6743">
        <f t="shared" si="91"/>
        <v>97540</v>
      </c>
      <c r="AL46" s="6743">
        <f t="shared" si="91"/>
        <v>73</v>
      </c>
      <c r="AM46" s="6743">
        <f t="shared" si="91"/>
        <v>290443</v>
      </c>
      <c r="AN46" s="6743">
        <f t="shared" si="91"/>
        <v>231.1</v>
      </c>
      <c r="AO46" s="6743">
        <f t="shared" si="91"/>
        <v>907577</v>
      </c>
      <c r="AP46" s="6743">
        <f t="shared" si="91"/>
        <v>27</v>
      </c>
      <c r="AQ46" s="6743">
        <f t="shared" si="91"/>
        <v>109673</v>
      </c>
      <c r="AR46" s="6743">
        <f t="shared" si="91"/>
        <v>258.10000000000002</v>
      </c>
      <c r="AS46" s="6743">
        <f t="shared" si="91"/>
        <v>1017250</v>
      </c>
      <c r="AT46" s="6743">
        <f t="shared" si="91"/>
        <v>22</v>
      </c>
      <c r="AU46" s="6743">
        <f t="shared" si="91"/>
        <v>86013</v>
      </c>
      <c r="AV46" s="6743">
        <f t="shared" si="91"/>
        <v>280.09999999999997</v>
      </c>
      <c r="AW46" s="6743">
        <f t="shared" si="91"/>
        <v>1103263</v>
      </c>
      <c r="AX46" s="6743">
        <f t="shared" si="91"/>
        <v>19.2</v>
      </c>
      <c r="AY46" s="6743">
        <f t="shared" si="91"/>
        <v>98164</v>
      </c>
      <c r="AZ46" s="6743">
        <f t="shared" si="91"/>
        <v>68.2</v>
      </c>
      <c r="BA46" s="6746">
        <f t="shared" si="91"/>
        <v>293850</v>
      </c>
      <c r="BB46" s="6747">
        <f t="shared" si="91"/>
        <v>141.19999999999999</v>
      </c>
      <c r="BC46" s="6747">
        <f t="shared" si="91"/>
        <v>584293</v>
      </c>
      <c r="BD46" s="6748">
        <f t="shared" si="91"/>
        <v>299.3</v>
      </c>
      <c r="BE46" s="6743">
        <f t="shared" si="91"/>
        <v>1201427</v>
      </c>
      <c r="BF46" s="533"/>
      <c r="BG46" s="533"/>
      <c r="BH46" s="533"/>
      <c r="BI46" s="533"/>
    </row>
    <row r="47" spans="2:61" s="1359" customFormat="1" ht="21.95" customHeight="1" thickBot="1" x14ac:dyDescent="0.3">
      <c r="B47" s="7575"/>
      <c r="C47" s="6731" t="s">
        <v>1246</v>
      </c>
      <c r="D47" s="6713">
        <v>21</v>
      </c>
      <c r="E47" s="6714">
        <v>79885</v>
      </c>
      <c r="F47" s="6713">
        <v>15</v>
      </c>
      <c r="G47" s="6714">
        <v>58396</v>
      </c>
      <c r="H47" s="1488">
        <f t="shared" si="0"/>
        <v>36</v>
      </c>
      <c r="I47" s="1489">
        <f t="shared" si="1"/>
        <v>138281</v>
      </c>
      <c r="J47" s="6713">
        <v>19</v>
      </c>
      <c r="K47" s="6714">
        <v>73341</v>
      </c>
      <c r="L47" s="6565">
        <f t="shared" si="16"/>
        <v>55</v>
      </c>
      <c r="M47" s="6710">
        <f t="shared" si="2"/>
        <v>211622</v>
      </c>
      <c r="N47" s="6713">
        <v>22</v>
      </c>
      <c r="O47" s="6714">
        <v>87638</v>
      </c>
      <c r="P47" s="1551">
        <f t="shared" si="3"/>
        <v>77</v>
      </c>
      <c r="Q47" s="1551">
        <f t="shared" si="3"/>
        <v>299260</v>
      </c>
      <c r="R47" s="6713">
        <v>18.100000000000001</v>
      </c>
      <c r="S47" s="6714">
        <v>66463</v>
      </c>
      <c r="T47" s="1551">
        <f t="shared" si="4"/>
        <v>95.1</v>
      </c>
      <c r="U47" s="1551">
        <f t="shared" si="4"/>
        <v>365723</v>
      </c>
      <c r="V47" s="6713">
        <v>20</v>
      </c>
      <c r="W47" s="6714">
        <v>76405</v>
      </c>
      <c r="X47" s="6565">
        <f t="shared" si="5"/>
        <v>60.1</v>
      </c>
      <c r="Y47" s="6711">
        <f t="shared" si="5"/>
        <v>230506</v>
      </c>
      <c r="Z47" s="6567">
        <f t="shared" si="6"/>
        <v>115.1</v>
      </c>
      <c r="AA47" s="6563">
        <f t="shared" si="6"/>
        <v>442128</v>
      </c>
      <c r="AB47" s="6713">
        <v>15</v>
      </c>
      <c r="AC47" s="6714">
        <v>60387</v>
      </c>
      <c r="AD47" s="1488">
        <f t="shared" ref="AD47:AE61" si="95">Z47+AB47</f>
        <v>130.1</v>
      </c>
      <c r="AE47" s="1551">
        <f t="shared" si="95"/>
        <v>502515</v>
      </c>
      <c r="AF47" s="6713">
        <v>17</v>
      </c>
      <c r="AG47" s="6714">
        <v>64194</v>
      </c>
      <c r="AH47" s="1488">
        <f t="shared" ref="AH47:AI61" si="96">AD47+AF47</f>
        <v>147.1</v>
      </c>
      <c r="AI47" s="1551">
        <f t="shared" si="96"/>
        <v>566709</v>
      </c>
      <c r="AJ47" s="6713">
        <v>15</v>
      </c>
      <c r="AK47" s="6714">
        <v>57349</v>
      </c>
      <c r="AL47" s="6565">
        <f t="shared" ref="AL47:AM61" si="97">+AB47+AF47+AJ47</f>
        <v>47</v>
      </c>
      <c r="AM47" s="6710">
        <f t="shared" si="97"/>
        <v>181930</v>
      </c>
      <c r="AN47" s="1488">
        <f t="shared" si="90"/>
        <v>162.1</v>
      </c>
      <c r="AO47" s="1551">
        <f t="shared" si="90"/>
        <v>624058</v>
      </c>
      <c r="AP47" s="6713">
        <v>17</v>
      </c>
      <c r="AQ47" s="6714">
        <v>69453</v>
      </c>
      <c r="AR47" s="1488">
        <f t="shared" ref="AR47:AS61" si="98">AN47+AP47</f>
        <v>179.1</v>
      </c>
      <c r="AS47" s="1551">
        <f t="shared" si="98"/>
        <v>693511</v>
      </c>
      <c r="AT47" s="6715">
        <v>12</v>
      </c>
      <c r="AU47" s="6714">
        <v>45854</v>
      </c>
      <c r="AV47" s="1488">
        <f t="shared" ref="AV47:AW61" si="99">AR47+AT47</f>
        <v>191.1</v>
      </c>
      <c r="AW47" s="1551">
        <f t="shared" si="99"/>
        <v>739365</v>
      </c>
      <c r="AX47" s="6715">
        <v>18.2</v>
      </c>
      <c r="AY47" s="6714">
        <v>70066</v>
      </c>
      <c r="AZ47" s="6565">
        <f t="shared" ref="AZ47:BA61" si="100">+AP47+AT47+AX47</f>
        <v>47.2</v>
      </c>
      <c r="BA47" s="6711">
        <f t="shared" si="100"/>
        <v>185373</v>
      </c>
      <c r="BB47" s="6567">
        <f t="shared" ref="BB47:BC61" si="101">AL47+AZ47</f>
        <v>94.2</v>
      </c>
      <c r="BC47" s="6563">
        <f t="shared" si="101"/>
        <v>367303</v>
      </c>
      <c r="BD47" s="1488">
        <f t="shared" ref="BD47:BE61" si="102">AV47+AX47</f>
        <v>209.29999999999998</v>
      </c>
      <c r="BE47" s="1551">
        <f t="shared" si="102"/>
        <v>809431</v>
      </c>
      <c r="BF47" s="533"/>
      <c r="BG47" s="533"/>
      <c r="BH47" s="533"/>
      <c r="BI47" s="533"/>
    </row>
    <row r="48" spans="2:61" s="1359" customFormat="1" ht="21.95" customHeight="1" thickBot="1" x14ac:dyDescent="0.3">
      <c r="B48" s="7575"/>
      <c r="C48" s="6731" t="s">
        <v>1247</v>
      </c>
      <c r="D48" s="6713">
        <v>4</v>
      </c>
      <c r="E48" s="6714">
        <v>16019</v>
      </c>
      <c r="F48" s="6713">
        <v>12</v>
      </c>
      <c r="G48" s="6714">
        <v>47888</v>
      </c>
      <c r="H48" s="1488">
        <f t="shared" si="0"/>
        <v>16</v>
      </c>
      <c r="I48" s="1489">
        <f t="shared" si="1"/>
        <v>63907</v>
      </c>
      <c r="J48" s="6713">
        <v>5</v>
      </c>
      <c r="K48" s="6714">
        <v>19978</v>
      </c>
      <c r="L48" s="6565">
        <f t="shared" si="16"/>
        <v>21</v>
      </c>
      <c r="M48" s="6710">
        <f t="shared" si="2"/>
        <v>83885</v>
      </c>
      <c r="N48" s="6713">
        <v>8</v>
      </c>
      <c r="O48" s="6714">
        <v>31576</v>
      </c>
      <c r="P48" s="1551">
        <f t="shared" si="3"/>
        <v>29</v>
      </c>
      <c r="Q48" s="1551">
        <f t="shared" si="3"/>
        <v>115461</v>
      </c>
      <c r="R48" s="6713">
        <v>6</v>
      </c>
      <c r="S48" s="6714">
        <v>23720</v>
      </c>
      <c r="T48" s="1551">
        <f t="shared" si="4"/>
        <v>35</v>
      </c>
      <c r="U48" s="1551">
        <f t="shared" si="4"/>
        <v>139181</v>
      </c>
      <c r="V48" s="6713">
        <v>9</v>
      </c>
      <c r="W48" s="6714">
        <v>35824</v>
      </c>
      <c r="X48" s="6565">
        <f t="shared" si="5"/>
        <v>23</v>
      </c>
      <c r="Y48" s="6711">
        <f t="shared" si="5"/>
        <v>91120</v>
      </c>
      <c r="Z48" s="6567">
        <f t="shared" si="6"/>
        <v>44</v>
      </c>
      <c r="AA48" s="6563">
        <f t="shared" si="6"/>
        <v>175005</v>
      </c>
      <c r="AB48" s="6713">
        <v>11</v>
      </c>
      <c r="AC48" s="6714">
        <v>44204</v>
      </c>
      <c r="AD48" s="1488">
        <f t="shared" si="95"/>
        <v>55</v>
      </c>
      <c r="AE48" s="1551">
        <f t="shared" si="95"/>
        <v>219209</v>
      </c>
      <c r="AF48" s="6713">
        <v>6</v>
      </c>
      <c r="AG48" s="6714">
        <v>24118</v>
      </c>
      <c r="AH48" s="1488">
        <f t="shared" si="96"/>
        <v>61</v>
      </c>
      <c r="AI48" s="1551">
        <f t="shared" si="96"/>
        <v>243327</v>
      </c>
      <c r="AJ48" s="6713">
        <v>10</v>
      </c>
      <c r="AK48" s="6714">
        <v>40191</v>
      </c>
      <c r="AL48" s="6565">
        <f t="shared" si="97"/>
        <v>27</v>
      </c>
      <c r="AM48" s="6710">
        <f t="shared" si="97"/>
        <v>108513</v>
      </c>
      <c r="AN48" s="1488">
        <f t="shared" si="90"/>
        <v>71</v>
      </c>
      <c r="AO48" s="1551">
        <f t="shared" si="90"/>
        <v>283518</v>
      </c>
      <c r="AP48" s="6713">
        <v>10</v>
      </c>
      <c r="AQ48" s="6714">
        <v>40219</v>
      </c>
      <c r="AR48" s="1488">
        <f t="shared" si="98"/>
        <v>81</v>
      </c>
      <c r="AS48" s="1551">
        <f t="shared" si="98"/>
        <v>323737</v>
      </c>
      <c r="AT48" s="6715">
        <v>10</v>
      </c>
      <c r="AU48" s="6714">
        <v>40159</v>
      </c>
      <c r="AV48" s="1488">
        <f t="shared" si="99"/>
        <v>91</v>
      </c>
      <c r="AW48" s="1551">
        <f t="shared" si="99"/>
        <v>363896</v>
      </c>
      <c r="AX48" s="6715">
        <v>7</v>
      </c>
      <c r="AY48" s="6714">
        <v>28097</v>
      </c>
      <c r="AZ48" s="6565">
        <f t="shared" si="100"/>
        <v>27</v>
      </c>
      <c r="BA48" s="6711">
        <f t="shared" si="100"/>
        <v>108475</v>
      </c>
      <c r="BB48" s="6567">
        <f t="shared" si="101"/>
        <v>54</v>
      </c>
      <c r="BC48" s="6563">
        <f t="shared" si="101"/>
        <v>216988</v>
      </c>
      <c r="BD48" s="1488">
        <f t="shared" si="102"/>
        <v>98</v>
      </c>
      <c r="BE48" s="1551">
        <f t="shared" si="102"/>
        <v>391993</v>
      </c>
      <c r="BF48" s="533"/>
      <c r="BG48" s="533"/>
      <c r="BH48" s="533"/>
      <c r="BI48" s="533"/>
    </row>
    <row r="49" spans="2:61" s="1359" customFormat="1" ht="21.95" hidden="1" customHeight="1" thickBot="1" x14ac:dyDescent="0.3">
      <c r="B49" s="7576"/>
      <c r="C49" s="1611" t="s">
        <v>1248</v>
      </c>
      <c r="D49" s="6722">
        <v>0</v>
      </c>
      <c r="E49" s="6723">
        <v>0</v>
      </c>
      <c r="F49" s="6722">
        <v>0</v>
      </c>
      <c r="G49" s="6723">
        <v>0</v>
      </c>
      <c r="H49" s="1488">
        <f t="shared" si="0"/>
        <v>0</v>
      </c>
      <c r="I49" s="1489">
        <f t="shared" si="1"/>
        <v>0</v>
      </c>
      <c r="J49" s="6722">
        <v>0</v>
      </c>
      <c r="K49" s="6723"/>
      <c r="L49" s="6565">
        <f t="shared" si="16"/>
        <v>0</v>
      </c>
      <c r="M49" s="6710">
        <f t="shared" si="2"/>
        <v>0</v>
      </c>
      <c r="N49" s="6722">
        <v>0</v>
      </c>
      <c r="O49" s="6723">
        <v>0</v>
      </c>
      <c r="P49" s="1551">
        <f t="shared" si="3"/>
        <v>0</v>
      </c>
      <c r="Q49" s="1551">
        <f t="shared" si="3"/>
        <v>0</v>
      </c>
      <c r="R49" s="6722">
        <v>0</v>
      </c>
      <c r="S49" s="6723">
        <v>0</v>
      </c>
      <c r="T49" s="1551">
        <f t="shared" si="4"/>
        <v>0</v>
      </c>
      <c r="U49" s="1551">
        <f t="shared" si="4"/>
        <v>0</v>
      </c>
      <c r="V49" s="6722">
        <v>0</v>
      </c>
      <c r="W49" s="6723">
        <v>0</v>
      </c>
      <c r="X49" s="6565">
        <f t="shared" si="5"/>
        <v>0</v>
      </c>
      <c r="Y49" s="6711">
        <f t="shared" si="5"/>
        <v>0</v>
      </c>
      <c r="Z49" s="6567">
        <f t="shared" si="6"/>
        <v>0</v>
      </c>
      <c r="AA49" s="6563">
        <f t="shared" si="6"/>
        <v>0</v>
      </c>
      <c r="AB49" s="6722">
        <v>0</v>
      </c>
      <c r="AC49" s="6723">
        <v>0</v>
      </c>
      <c r="AD49" s="1488">
        <f t="shared" si="95"/>
        <v>0</v>
      </c>
      <c r="AE49" s="1551">
        <f t="shared" si="95"/>
        <v>0</v>
      </c>
      <c r="AF49" s="6722">
        <v>0</v>
      </c>
      <c r="AG49" s="6723">
        <v>0</v>
      </c>
      <c r="AH49" s="1488">
        <f t="shared" si="96"/>
        <v>0</v>
      </c>
      <c r="AI49" s="1551">
        <f t="shared" si="96"/>
        <v>0</v>
      </c>
      <c r="AJ49" s="6722">
        <v>0</v>
      </c>
      <c r="AK49" s="6723">
        <v>0</v>
      </c>
      <c r="AL49" s="6565">
        <f t="shared" si="97"/>
        <v>0</v>
      </c>
      <c r="AM49" s="6710">
        <f t="shared" si="97"/>
        <v>0</v>
      </c>
      <c r="AN49" s="1488">
        <f t="shared" si="90"/>
        <v>0</v>
      </c>
      <c r="AO49" s="1551">
        <f t="shared" si="90"/>
        <v>0</v>
      </c>
      <c r="AP49" s="6722">
        <v>0</v>
      </c>
      <c r="AQ49" s="6723">
        <v>0</v>
      </c>
      <c r="AR49" s="1488">
        <f t="shared" si="98"/>
        <v>0</v>
      </c>
      <c r="AS49" s="1551">
        <f t="shared" si="98"/>
        <v>0</v>
      </c>
      <c r="AT49" s="6724">
        <v>0</v>
      </c>
      <c r="AU49" s="6723">
        <v>0</v>
      </c>
      <c r="AV49" s="1488">
        <f t="shared" si="99"/>
        <v>0</v>
      </c>
      <c r="AW49" s="1551">
        <f t="shared" si="99"/>
        <v>0</v>
      </c>
      <c r="AX49" s="6724">
        <v>0</v>
      </c>
      <c r="AY49" s="6723">
        <v>0</v>
      </c>
      <c r="AZ49" s="6565">
        <f t="shared" si="100"/>
        <v>0</v>
      </c>
      <c r="BA49" s="6711">
        <f t="shared" si="100"/>
        <v>0</v>
      </c>
      <c r="BB49" s="6567">
        <f t="shared" si="101"/>
        <v>0</v>
      </c>
      <c r="BC49" s="6563">
        <f t="shared" si="101"/>
        <v>0</v>
      </c>
      <c r="BD49" s="1488">
        <f t="shared" si="102"/>
        <v>0</v>
      </c>
      <c r="BE49" s="1551">
        <f t="shared" si="102"/>
        <v>0</v>
      </c>
      <c r="BF49" s="533"/>
      <c r="BG49" s="533"/>
      <c r="BH49" s="533"/>
      <c r="BI49" s="533"/>
    </row>
    <row r="50" spans="2:61" s="1359" customFormat="1" ht="21.95" customHeight="1" thickBot="1" x14ac:dyDescent="0.3">
      <c r="B50" s="4714" t="s">
        <v>1249</v>
      </c>
      <c r="C50" s="4715" t="s">
        <v>1024</v>
      </c>
      <c r="D50" s="2412">
        <v>2</v>
      </c>
      <c r="E50" s="2411">
        <v>7722</v>
      </c>
      <c r="F50" s="2412">
        <v>1</v>
      </c>
      <c r="G50" s="2411">
        <v>2902</v>
      </c>
      <c r="H50" s="1488">
        <f t="shared" si="0"/>
        <v>3</v>
      </c>
      <c r="I50" s="1489">
        <f t="shared" si="1"/>
        <v>10624</v>
      </c>
      <c r="J50" s="2412">
        <v>0</v>
      </c>
      <c r="K50" s="2411"/>
      <c r="L50" s="6749">
        <f t="shared" si="16"/>
        <v>3</v>
      </c>
      <c r="M50" s="6750">
        <f t="shared" si="2"/>
        <v>10624</v>
      </c>
      <c r="N50" s="2412">
        <v>0</v>
      </c>
      <c r="O50" s="2411">
        <v>0</v>
      </c>
      <c r="P50" s="1551">
        <f t="shared" si="3"/>
        <v>3</v>
      </c>
      <c r="Q50" s="1551">
        <f t="shared" si="3"/>
        <v>10624</v>
      </c>
      <c r="R50" s="2412">
        <v>0</v>
      </c>
      <c r="S50" s="2411">
        <v>0</v>
      </c>
      <c r="T50" s="1551">
        <f t="shared" si="4"/>
        <v>3</v>
      </c>
      <c r="U50" s="1551">
        <f t="shared" si="4"/>
        <v>10624</v>
      </c>
      <c r="V50" s="2412">
        <v>0</v>
      </c>
      <c r="W50" s="2411">
        <v>0</v>
      </c>
      <c r="X50" s="6749">
        <f t="shared" si="5"/>
        <v>0</v>
      </c>
      <c r="Y50" s="6751">
        <f t="shared" si="5"/>
        <v>0</v>
      </c>
      <c r="Z50" s="6752">
        <f t="shared" si="6"/>
        <v>3</v>
      </c>
      <c r="AA50" s="6753">
        <f t="shared" si="6"/>
        <v>10624</v>
      </c>
      <c r="AB50" s="2412">
        <v>0</v>
      </c>
      <c r="AC50" s="2411">
        <v>0</v>
      </c>
      <c r="AD50" s="2413">
        <f t="shared" si="95"/>
        <v>3</v>
      </c>
      <c r="AE50" s="2414">
        <f t="shared" si="95"/>
        <v>10624</v>
      </c>
      <c r="AF50" s="2412">
        <v>1</v>
      </c>
      <c r="AG50" s="2411">
        <v>3943</v>
      </c>
      <c r="AH50" s="2413">
        <f t="shared" si="96"/>
        <v>4</v>
      </c>
      <c r="AI50" s="2414">
        <f t="shared" si="96"/>
        <v>14567</v>
      </c>
      <c r="AJ50" s="2412">
        <v>1</v>
      </c>
      <c r="AK50" s="2411">
        <v>3842</v>
      </c>
      <c r="AL50" s="6749">
        <f t="shared" si="97"/>
        <v>2</v>
      </c>
      <c r="AM50" s="6750">
        <f t="shared" si="97"/>
        <v>7785</v>
      </c>
      <c r="AN50" s="2413">
        <f t="shared" si="90"/>
        <v>5</v>
      </c>
      <c r="AO50" s="2414">
        <f t="shared" si="90"/>
        <v>18409</v>
      </c>
      <c r="AP50" s="2412">
        <v>1</v>
      </c>
      <c r="AQ50" s="2411">
        <v>4093</v>
      </c>
      <c r="AR50" s="2413">
        <f t="shared" si="98"/>
        <v>6</v>
      </c>
      <c r="AS50" s="2414">
        <f t="shared" si="98"/>
        <v>22502</v>
      </c>
      <c r="AT50" s="2415"/>
      <c r="AU50" s="2411"/>
      <c r="AV50" s="2413">
        <f t="shared" si="99"/>
        <v>6</v>
      </c>
      <c r="AW50" s="2414">
        <f t="shared" si="99"/>
        <v>22502</v>
      </c>
      <c r="AX50" s="2415">
        <v>1</v>
      </c>
      <c r="AY50" s="2411">
        <v>3829</v>
      </c>
      <c r="AZ50" s="6749">
        <f t="shared" si="100"/>
        <v>2</v>
      </c>
      <c r="BA50" s="6751">
        <f t="shared" si="100"/>
        <v>7922</v>
      </c>
      <c r="BB50" s="6754">
        <f t="shared" si="101"/>
        <v>4</v>
      </c>
      <c r="BC50" s="6755">
        <f t="shared" si="101"/>
        <v>15707</v>
      </c>
      <c r="BD50" s="1488">
        <f t="shared" si="102"/>
        <v>7</v>
      </c>
      <c r="BE50" s="1551">
        <f t="shared" si="102"/>
        <v>26331</v>
      </c>
      <c r="BF50" s="533"/>
      <c r="BG50" s="533"/>
      <c r="BH50" s="533"/>
      <c r="BI50" s="533"/>
    </row>
    <row r="51" spans="2:61" s="1359" customFormat="1" ht="21.95" customHeight="1" thickBot="1" x14ac:dyDescent="0.3">
      <c r="B51" s="7550" t="s">
        <v>1930</v>
      </c>
      <c r="C51" s="4735" t="s">
        <v>1250</v>
      </c>
      <c r="D51" s="4727">
        <v>8</v>
      </c>
      <c r="E51" s="4728">
        <v>31874</v>
      </c>
      <c r="F51" s="4727">
        <v>12</v>
      </c>
      <c r="G51" s="4728">
        <v>45506</v>
      </c>
      <c r="H51" s="1488">
        <f t="shared" si="0"/>
        <v>20</v>
      </c>
      <c r="I51" s="1489">
        <f t="shared" si="1"/>
        <v>77380</v>
      </c>
      <c r="J51" s="4727">
        <v>4</v>
      </c>
      <c r="K51" s="4728">
        <v>11723</v>
      </c>
      <c r="L51" s="4731">
        <f t="shared" si="16"/>
        <v>24</v>
      </c>
      <c r="M51" s="4736">
        <f t="shared" si="2"/>
        <v>89103</v>
      </c>
      <c r="N51" s="4727">
        <v>9</v>
      </c>
      <c r="O51" s="4728">
        <v>38332</v>
      </c>
      <c r="P51" s="1551">
        <f t="shared" si="3"/>
        <v>33</v>
      </c>
      <c r="Q51" s="1551">
        <f t="shared" si="3"/>
        <v>127435</v>
      </c>
      <c r="R51" s="4727">
        <v>7.9</v>
      </c>
      <c r="S51" s="4728">
        <v>34198</v>
      </c>
      <c r="T51" s="1551">
        <f t="shared" si="4"/>
        <v>40.9</v>
      </c>
      <c r="U51" s="1551">
        <f t="shared" si="4"/>
        <v>161633</v>
      </c>
      <c r="V51" s="4727">
        <v>7</v>
      </c>
      <c r="W51" s="4728">
        <v>27474</v>
      </c>
      <c r="X51" s="4731">
        <f t="shared" si="5"/>
        <v>23.9</v>
      </c>
      <c r="Y51" s="4731">
        <f t="shared" si="5"/>
        <v>100004</v>
      </c>
      <c r="Z51" s="5185">
        <f t="shared" si="6"/>
        <v>47.9</v>
      </c>
      <c r="AA51" s="5186">
        <f t="shared" si="6"/>
        <v>189107</v>
      </c>
      <c r="AB51" s="4727">
        <v>9</v>
      </c>
      <c r="AC51" s="4728">
        <v>34616</v>
      </c>
      <c r="AD51" s="4729">
        <f t="shared" si="95"/>
        <v>56.9</v>
      </c>
      <c r="AE51" s="4730">
        <f t="shared" si="95"/>
        <v>223723</v>
      </c>
      <c r="AF51" s="4727">
        <v>0</v>
      </c>
      <c r="AG51" s="4728">
        <v>0</v>
      </c>
      <c r="AH51" s="4729">
        <f t="shared" si="96"/>
        <v>56.9</v>
      </c>
      <c r="AI51" s="4730">
        <f t="shared" si="96"/>
        <v>223723</v>
      </c>
      <c r="AJ51" s="4727">
        <v>8</v>
      </c>
      <c r="AK51" s="4728">
        <v>30552</v>
      </c>
      <c r="AL51" s="4731">
        <f t="shared" si="97"/>
        <v>17</v>
      </c>
      <c r="AM51" s="4731">
        <f t="shared" si="97"/>
        <v>65168</v>
      </c>
      <c r="AN51" s="4729">
        <f t="shared" si="90"/>
        <v>64.900000000000006</v>
      </c>
      <c r="AO51" s="4730">
        <f t="shared" si="90"/>
        <v>254275</v>
      </c>
      <c r="AP51" s="4727">
        <v>10</v>
      </c>
      <c r="AQ51" s="4728">
        <v>42707</v>
      </c>
      <c r="AR51" s="4729">
        <f t="shared" si="98"/>
        <v>74.900000000000006</v>
      </c>
      <c r="AS51" s="4730">
        <f t="shared" si="98"/>
        <v>296982</v>
      </c>
      <c r="AT51" s="4732">
        <v>9</v>
      </c>
      <c r="AU51" s="4728">
        <v>35232</v>
      </c>
      <c r="AV51" s="4729">
        <f t="shared" si="99"/>
        <v>83.9</v>
      </c>
      <c r="AW51" s="4730">
        <f t="shared" si="99"/>
        <v>332214</v>
      </c>
      <c r="AX51" s="4732">
        <v>11.8</v>
      </c>
      <c r="AY51" s="4728">
        <v>46288</v>
      </c>
      <c r="AZ51" s="4731">
        <f t="shared" si="100"/>
        <v>30.8</v>
      </c>
      <c r="BA51" s="4731">
        <f t="shared" si="100"/>
        <v>124227</v>
      </c>
      <c r="BB51" s="4733">
        <f t="shared" si="101"/>
        <v>47.8</v>
      </c>
      <c r="BC51" s="4734">
        <f t="shared" si="101"/>
        <v>189395</v>
      </c>
      <c r="BD51" s="1488">
        <f t="shared" si="102"/>
        <v>95.7</v>
      </c>
      <c r="BE51" s="1551">
        <f t="shared" si="102"/>
        <v>378502</v>
      </c>
      <c r="BF51" s="533"/>
      <c r="BG51" s="533"/>
      <c r="BH51" s="533"/>
      <c r="BI51" s="533"/>
    </row>
    <row r="52" spans="2:61" s="1359" customFormat="1" ht="21.95" customHeight="1" thickBot="1" x14ac:dyDescent="0.3">
      <c r="B52" s="7551"/>
      <c r="C52" s="6756" t="s">
        <v>1929</v>
      </c>
      <c r="D52" s="6757">
        <v>0</v>
      </c>
      <c r="E52" s="6758">
        <v>0</v>
      </c>
      <c r="F52" s="6757">
        <v>0</v>
      </c>
      <c r="G52" s="6758">
        <v>0</v>
      </c>
      <c r="H52" s="1488">
        <f t="shared" si="0"/>
        <v>0</v>
      </c>
      <c r="I52" s="1489">
        <f t="shared" si="1"/>
        <v>0</v>
      </c>
      <c r="J52" s="6757">
        <v>1</v>
      </c>
      <c r="K52" s="6758">
        <v>4079</v>
      </c>
      <c r="L52" s="6759">
        <f t="shared" si="16"/>
        <v>1</v>
      </c>
      <c r="M52" s="6760">
        <f t="shared" si="2"/>
        <v>4079</v>
      </c>
      <c r="N52" s="6757">
        <v>0</v>
      </c>
      <c r="O52" s="6758">
        <v>0</v>
      </c>
      <c r="P52" s="1551">
        <f t="shared" si="3"/>
        <v>1</v>
      </c>
      <c r="Q52" s="1551">
        <f t="shared" si="3"/>
        <v>4079</v>
      </c>
      <c r="R52" s="6757">
        <v>1</v>
      </c>
      <c r="S52" s="6758">
        <v>4053</v>
      </c>
      <c r="T52" s="1551">
        <f t="shared" si="4"/>
        <v>2</v>
      </c>
      <c r="U52" s="1551">
        <f t="shared" si="4"/>
        <v>8132</v>
      </c>
      <c r="V52" s="6757">
        <v>0</v>
      </c>
      <c r="W52" s="6758">
        <v>0</v>
      </c>
      <c r="X52" s="4731">
        <f t="shared" si="5"/>
        <v>1</v>
      </c>
      <c r="Y52" s="4731">
        <f t="shared" si="5"/>
        <v>4053</v>
      </c>
      <c r="Z52" s="5185">
        <f t="shared" si="6"/>
        <v>2</v>
      </c>
      <c r="AA52" s="5186">
        <f t="shared" si="6"/>
        <v>8132</v>
      </c>
      <c r="AB52" s="6757">
        <v>1</v>
      </c>
      <c r="AC52" s="6758">
        <v>3993</v>
      </c>
      <c r="AD52" s="6564">
        <f t="shared" si="95"/>
        <v>3</v>
      </c>
      <c r="AE52" s="6564">
        <f t="shared" si="95"/>
        <v>12125</v>
      </c>
      <c r="AF52" s="6757">
        <v>0</v>
      </c>
      <c r="AG52" s="6758">
        <v>0</v>
      </c>
      <c r="AH52" s="4729">
        <f t="shared" si="96"/>
        <v>3</v>
      </c>
      <c r="AI52" s="4730">
        <f t="shared" si="96"/>
        <v>12125</v>
      </c>
      <c r="AJ52" s="6757">
        <v>0</v>
      </c>
      <c r="AK52" s="6758">
        <v>0</v>
      </c>
      <c r="AL52" s="4731">
        <f t="shared" si="97"/>
        <v>1</v>
      </c>
      <c r="AM52" s="4731">
        <f t="shared" si="97"/>
        <v>3993</v>
      </c>
      <c r="AN52" s="4729">
        <f t="shared" si="90"/>
        <v>3</v>
      </c>
      <c r="AO52" s="4730">
        <f t="shared" si="90"/>
        <v>12125</v>
      </c>
      <c r="AP52" s="6757">
        <v>1</v>
      </c>
      <c r="AQ52" s="6758">
        <v>3705</v>
      </c>
      <c r="AR52" s="4729">
        <f t="shared" si="98"/>
        <v>4</v>
      </c>
      <c r="AS52" s="4730">
        <f t="shared" si="98"/>
        <v>15830</v>
      </c>
      <c r="AT52" s="6761">
        <v>0</v>
      </c>
      <c r="AU52" s="6758">
        <v>0</v>
      </c>
      <c r="AV52" s="4729">
        <f t="shared" si="99"/>
        <v>4</v>
      </c>
      <c r="AW52" s="4730">
        <f t="shared" si="99"/>
        <v>15830</v>
      </c>
      <c r="AX52" s="6761">
        <v>0</v>
      </c>
      <c r="AY52" s="6758">
        <v>0</v>
      </c>
      <c r="AZ52" s="4731">
        <f t="shared" si="100"/>
        <v>1</v>
      </c>
      <c r="BA52" s="4731">
        <f t="shared" si="100"/>
        <v>3705</v>
      </c>
      <c r="BB52" s="4733">
        <f t="shared" si="101"/>
        <v>2</v>
      </c>
      <c r="BC52" s="4734">
        <f t="shared" si="101"/>
        <v>7698</v>
      </c>
      <c r="BD52" s="1488">
        <f t="shared" si="102"/>
        <v>4</v>
      </c>
      <c r="BE52" s="1551">
        <f t="shared" si="102"/>
        <v>15830</v>
      </c>
      <c r="BF52" s="533"/>
      <c r="BG52" s="533"/>
      <c r="BH52" s="533"/>
      <c r="BI52" s="533"/>
    </row>
    <row r="53" spans="2:61" s="1359" customFormat="1" ht="21.95" customHeight="1" thickBot="1" x14ac:dyDescent="0.3">
      <c r="B53" s="7580" t="s">
        <v>1251</v>
      </c>
      <c r="C53" s="4716" t="s">
        <v>1239</v>
      </c>
      <c r="D53" s="4717">
        <v>5.5</v>
      </c>
      <c r="E53" s="4718">
        <v>21324</v>
      </c>
      <c r="F53" s="4717">
        <v>5.6</v>
      </c>
      <c r="G53" s="4718">
        <v>20685</v>
      </c>
      <c r="H53" s="1488">
        <f t="shared" si="0"/>
        <v>11.1</v>
      </c>
      <c r="I53" s="1489">
        <f t="shared" si="1"/>
        <v>42009</v>
      </c>
      <c r="J53" s="4717">
        <v>6</v>
      </c>
      <c r="K53" s="4718">
        <v>23948</v>
      </c>
      <c r="L53" s="4719">
        <f t="shared" si="16"/>
        <v>17.100000000000001</v>
      </c>
      <c r="M53" s="4719">
        <f t="shared" si="2"/>
        <v>65957</v>
      </c>
      <c r="N53" s="4717">
        <v>8.3000000000000007</v>
      </c>
      <c r="O53" s="4718">
        <v>31973</v>
      </c>
      <c r="P53" s="1551">
        <f t="shared" si="3"/>
        <v>25.400000000000002</v>
      </c>
      <c r="Q53" s="1551">
        <f t="shared" si="3"/>
        <v>97930</v>
      </c>
      <c r="R53" s="4717">
        <v>6</v>
      </c>
      <c r="S53" s="4718">
        <v>23021</v>
      </c>
      <c r="T53" s="1551">
        <f t="shared" si="4"/>
        <v>31.400000000000002</v>
      </c>
      <c r="U53" s="1551">
        <f t="shared" si="4"/>
        <v>120951</v>
      </c>
      <c r="V53" s="4717">
        <v>4.9000000000000004</v>
      </c>
      <c r="W53" s="4718">
        <v>18727</v>
      </c>
      <c r="X53" s="4722">
        <f t="shared" si="5"/>
        <v>19.200000000000003</v>
      </c>
      <c r="Y53" s="4723">
        <f t="shared" si="5"/>
        <v>73721</v>
      </c>
      <c r="Z53" s="4725">
        <f t="shared" si="6"/>
        <v>36.300000000000004</v>
      </c>
      <c r="AA53" s="4726">
        <f t="shared" si="6"/>
        <v>139678</v>
      </c>
      <c r="AB53" s="4717">
        <v>7.5</v>
      </c>
      <c r="AC53" s="4718">
        <v>29076</v>
      </c>
      <c r="AD53" s="4721">
        <f t="shared" si="95"/>
        <v>43.800000000000004</v>
      </c>
      <c r="AE53" s="4720">
        <f t="shared" si="95"/>
        <v>168754</v>
      </c>
      <c r="AF53" s="4717">
        <v>5.5</v>
      </c>
      <c r="AG53" s="4718">
        <v>20360</v>
      </c>
      <c r="AH53" s="4721">
        <f t="shared" si="96"/>
        <v>49.300000000000004</v>
      </c>
      <c r="AI53" s="4720">
        <f t="shared" si="96"/>
        <v>189114</v>
      </c>
      <c r="AJ53" s="4717">
        <v>4.9000000000000004</v>
      </c>
      <c r="AK53" s="4718">
        <v>23061</v>
      </c>
      <c r="AL53" s="4722">
        <f t="shared" si="97"/>
        <v>17.899999999999999</v>
      </c>
      <c r="AM53" s="4724">
        <f t="shared" si="97"/>
        <v>72497</v>
      </c>
      <c r="AN53" s="4721">
        <f t="shared" si="90"/>
        <v>54.2</v>
      </c>
      <c r="AO53" s="4720">
        <f t="shared" si="90"/>
        <v>212175</v>
      </c>
      <c r="AP53" s="4717">
        <v>7.4</v>
      </c>
      <c r="AQ53" s="4718">
        <v>28133</v>
      </c>
      <c r="AR53" s="4721">
        <f t="shared" si="98"/>
        <v>61.6</v>
      </c>
      <c r="AS53" s="4720">
        <f t="shared" si="98"/>
        <v>240308</v>
      </c>
      <c r="AT53" s="1526">
        <v>7</v>
      </c>
      <c r="AU53" s="4718">
        <v>26988</v>
      </c>
      <c r="AV53" s="4721">
        <f t="shared" si="99"/>
        <v>68.599999999999994</v>
      </c>
      <c r="AW53" s="4720">
        <f t="shared" si="99"/>
        <v>267296</v>
      </c>
      <c r="AX53" s="1526">
        <v>6.5</v>
      </c>
      <c r="AY53" s="4718">
        <v>23943</v>
      </c>
      <c r="AZ53" s="4722">
        <f t="shared" si="100"/>
        <v>20.9</v>
      </c>
      <c r="BA53" s="4723">
        <f t="shared" si="100"/>
        <v>79064</v>
      </c>
      <c r="BB53" s="4725">
        <f t="shared" si="101"/>
        <v>38.799999999999997</v>
      </c>
      <c r="BC53" s="4726">
        <f t="shared" si="101"/>
        <v>151561</v>
      </c>
      <c r="BD53" s="1488">
        <f t="shared" si="102"/>
        <v>75.099999999999994</v>
      </c>
      <c r="BE53" s="1551">
        <f t="shared" si="102"/>
        <v>291239</v>
      </c>
      <c r="BF53" s="533"/>
      <c r="BG53" s="533"/>
      <c r="BH53" s="533"/>
      <c r="BI53" s="533"/>
    </row>
    <row r="54" spans="2:61" s="1359" customFormat="1" ht="21.95" customHeight="1" thickBot="1" x14ac:dyDescent="0.3">
      <c r="B54" s="7575"/>
      <c r="C54" s="6762" t="s">
        <v>1240</v>
      </c>
      <c r="D54" s="6559">
        <v>2</v>
      </c>
      <c r="E54" s="6561">
        <v>7732</v>
      </c>
      <c r="F54" s="6559">
        <v>1.4</v>
      </c>
      <c r="G54" s="6561">
        <v>5659</v>
      </c>
      <c r="H54" s="1488">
        <f t="shared" si="0"/>
        <v>3.4</v>
      </c>
      <c r="I54" s="1489">
        <f t="shared" si="1"/>
        <v>13391</v>
      </c>
      <c r="J54" s="6559">
        <v>2</v>
      </c>
      <c r="K54" s="6561">
        <v>7934</v>
      </c>
      <c r="L54" s="6562">
        <f t="shared" si="16"/>
        <v>5.4</v>
      </c>
      <c r="M54" s="6562">
        <f t="shared" si="2"/>
        <v>21325</v>
      </c>
      <c r="N54" s="6559">
        <v>1.1000000000000001</v>
      </c>
      <c r="O54" s="6561">
        <v>4468</v>
      </c>
      <c r="P54" s="1551">
        <f t="shared" si="3"/>
        <v>6.5</v>
      </c>
      <c r="Q54" s="1551">
        <f t="shared" si="3"/>
        <v>25793</v>
      </c>
      <c r="R54" s="6559">
        <v>1.5</v>
      </c>
      <c r="S54" s="6561">
        <v>5898</v>
      </c>
      <c r="T54" s="1551">
        <f t="shared" si="4"/>
        <v>8</v>
      </c>
      <c r="U54" s="1551">
        <f t="shared" si="4"/>
        <v>31691</v>
      </c>
      <c r="V54" s="6559">
        <v>1.5</v>
      </c>
      <c r="W54" s="6561">
        <v>6101</v>
      </c>
      <c r="X54" s="6565">
        <f t="shared" si="5"/>
        <v>4.0999999999999996</v>
      </c>
      <c r="Y54" s="6711">
        <f t="shared" si="5"/>
        <v>16467</v>
      </c>
      <c r="Z54" s="6567">
        <f t="shared" si="6"/>
        <v>9.5</v>
      </c>
      <c r="AA54" s="6563">
        <f t="shared" si="6"/>
        <v>37792</v>
      </c>
      <c r="AB54" s="6559">
        <v>2</v>
      </c>
      <c r="AC54" s="6561">
        <v>7764</v>
      </c>
      <c r="AD54" s="1488">
        <f t="shared" si="95"/>
        <v>11.5</v>
      </c>
      <c r="AE54" s="1551">
        <f t="shared" si="95"/>
        <v>45556</v>
      </c>
      <c r="AF54" s="6559">
        <v>1</v>
      </c>
      <c r="AG54" s="6561">
        <v>4025</v>
      </c>
      <c r="AH54" s="1488">
        <f t="shared" si="96"/>
        <v>12.5</v>
      </c>
      <c r="AI54" s="1551">
        <f t="shared" si="96"/>
        <v>49581</v>
      </c>
      <c r="AJ54" s="6559">
        <v>2</v>
      </c>
      <c r="AK54" s="6561">
        <v>7106</v>
      </c>
      <c r="AL54" s="6565">
        <f t="shared" si="97"/>
        <v>5</v>
      </c>
      <c r="AM54" s="6710">
        <f t="shared" si="97"/>
        <v>18895</v>
      </c>
      <c r="AN54" s="1488">
        <f t="shared" si="90"/>
        <v>14.5</v>
      </c>
      <c r="AO54" s="1551">
        <f t="shared" si="90"/>
        <v>56687</v>
      </c>
      <c r="AP54" s="6559">
        <v>2</v>
      </c>
      <c r="AQ54" s="6561">
        <v>7666</v>
      </c>
      <c r="AR54" s="1488">
        <f t="shared" si="98"/>
        <v>16.5</v>
      </c>
      <c r="AS54" s="1551">
        <f t="shared" si="98"/>
        <v>64353</v>
      </c>
      <c r="AT54" s="6715">
        <v>1</v>
      </c>
      <c r="AU54" s="6561">
        <v>3827</v>
      </c>
      <c r="AV54" s="1488">
        <f t="shared" si="99"/>
        <v>17.5</v>
      </c>
      <c r="AW54" s="1551">
        <f t="shared" si="99"/>
        <v>68180</v>
      </c>
      <c r="AX54" s="6715">
        <v>1</v>
      </c>
      <c r="AY54" s="6561">
        <v>3556</v>
      </c>
      <c r="AZ54" s="6565">
        <f t="shared" si="100"/>
        <v>4</v>
      </c>
      <c r="BA54" s="6711">
        <f t="shared" si="100"/>
        <v>15049</v>
      </c>
      <c r="BB54" s="6567">
        <f t="shared" si="101"/>
        <v>9</v>
      </c>
      <c r="BC54" s="6563">
        <f t="shared" si="101"/>
        <v>33944</v>
      </c>
      <c r="BD54" s="1488">
        <f t="shared" si="102"/>
        <v>18.5</v>
      </c>
      <c r="BE54" s="1551">
        <f t="shared" si="102"/>
        <v>71736</v>
      </c>
      <c r="BF54" s="533"/>
      <c r="BG54" s="533"/>
      <c r="BH54" s="533"/>
      <c r="BI54" s="533"/>
    </row>
    <row r="55" spans="2:61" s="1359" customFormat="1" ht="21.95" customHeight="1" thickBot="1" x14ac:dyDescent="0.3">
      <c r="B55" s="7575"/>
      <c r="C55" s="6762" t="s">
        <v>1241</v>
      </c>
      <c r="D55" s="6559">
        <v>0</v>
      </c>
      <c r="E55" s="6561">
        <v>0</v>
      </c>
      <c r="F55" s="6559">
        <v>0</v>
      </c>
      <c r="G55" s="6561">
        <v>0</v>
      </c>
      <c r="H55" s="1488">
        <f t="shared" si="0"/>
        <v>0</v>
      </c>
      <c r="I55" s="1489">
        <f t="shared" si="1"/>
        <v>0</v>
      </c>
      <c r="J55" s="6559">
        <v>0</v>
      </c>
      <c r="K55" s="6561"/>
      <c r="L55" s="6562">
        <f t="shared" si="16"/>
        <v>0</v>
      </c>
      <c r="M55" s="6562">
        <f t="shared" si="2"/>
        <v>0</v>
      </c>
      <c r="N55" s="6559">
        <v>0</v>
      </c>
      <c r="O55" s="6561">
        <v>0</v>
      </c>
      <c r="P55" s="1551">
        <f t="shared" si="3"/>
        <v>0</v>
      </c>
      <c r="Q55" s="1551">
        <f t="shared" si="3"/>
        <v>0</v>
      </c>
      <c r="R55" s="6559">
        <v>0</v>
      </c>
      <c r="S55" s="6561">
        <v>0</v>
      </c>
      <c r="T55" s="1551">
        <f t="shared" si="4"/>
        <v>0</v>
      </c>
      <c r="U55" s="1551">
        <f t="shared" si="4"/>
        <v>0</v>
      </c>
      <c r="V55" s="6559">
        <v>0</v>
      </c>
      <c r="W55" s="6561">
        <v>0</v>
      </c>
      <c r="X55" s="6565">
        <f t="shared" si="5"/>
        <v>0</v>
      </c>
      <c r="Y55" s="6711">
        <f t="shared" si="5"/>
        <v>0</v>
      </c>
      <c r="Z55" s="6567">
        <f t="shared" si="6"/>
        <v>0</v>
      </c>
      <c r="AA55" s="6563">
        <f t="shared" si="6"/>
        <v>0</v>
      </c>
      <c r="AB55" s="6559">
        <v>0</v>
      </c>
      <c r="AC55" s="6561">
        <v>0</v>
      </c>
      <c r="AD55" s="1488">
        <f t="shared" si="95"/>
        <v>0</v>
      </c>
      <c r="AE55" s="1551">
        <f t="shared" si="95"/>
        <v>0</v>
      </c>
      <c r="AF55" s="6559">
        <v>0</v>
      </c>
      <c r="AG55" s="6561">
        <v>0</v>
      </c>
      <c r="AH55" s="1488">
        <f t="shared" si="96"/>
        <v>0</v>
      </c>
      <c r="AI55" s="1551">
        <f t="shared" si="96"/>
        <v>0</v>
      </c>
      <c r="AJ55" s="6559">
        <v>0</v>
      </c>
      <c r="AK55" s="6561">
        <v>0</v>
      </c>
      <c r="AL55" s="6565">
        <f t="shared" si="97"/>
        <v>0</v>
      </c>
      <c r="AM55" s="6710">
        <f t="shared" si="97"/>
        <v>0</v>
      </c>
      <c r="AN55" s="1488">
        <f t="shared" si="90"/>
        <v>0</v>
      </c>
      <c r="AO55" s="1551">
        <f t="shared" si="90"/>
        <v>0</v>
      </c>
      <c r="AP55" s="6559">
        <v>0</v>
      </c>
      <c r="AQ55" s="6561">
        <v>0</v>
      </c>
      <c r="AR55" s="1488">
        <f t="shared" si="98"/>
        <v>0</v>
      </c>
      <c r="AS55" s="1551">
        <f t="shared" si="98"/>
        <v>0</v>
      </c>
      <c r="AT55" s="6715">
        <v>1</v>
      </c>
      <c r="AU55" s="6561">
        <v>4022</v>
      </c>
      <c r="AV55" s="1488">
        <f t="shared" si="99"/>
        <v>1</v>
      </c>
      <c r="AW55" s="1551">
        <f t="shared" si="99"/>
        <v>4022</v>
      </c>
      <c r="AX55" s="6715">
        <v>0.5</v>
      </c>
      <c r="AY55" s="6561">
        <v>1971</v>
      </c>
      <c r="AZ55" s="6565">
        <f t="shared" si="100"/>
        <v>1.5</v>
      </c>
      <c r="BA55" s="6711">
        <f t="shared" si="100"/>
        <v>5993</v>
      </c>
      <c r="BB55" s="6567">
        <f t="shared" si="101"/>
        <v>1.5</v>
      </c>
      <c r="BC55" s="6563">
        <f t="shared" si="101"/>
        <v>5993</v>
      </c>
      <c r="BD55" s="1488">
        <f t="shared" si="102"/>
        <v>1.5</v>
      </c>
      <c r="BE55" s="1551">
        <f t="shared" si="102"/>
        <v>5993</v>
      </c>
      <c r="BF55" s="533"/>
      <c r="BG55" s="533"/>
      <c r="BH55" s="533"/>
      <c r="BI55" s="533"/>
    </row>
    <row r="56" spans="2:61" s="1359" customFormat="1" ht="21.95" hidden="1" customHeight="1" thickBot="1" x14ac:dyDescent="0.3">
      <c r="B56" s="7575"/>
      <c r="C56" s="6762" t="s">
        <v>1290</v>
      </c>
      <c r="D56" s="6559">
        <v>0</v>
      </c>
      <c r="E56" s="6561">
        <v>0</v>
      </c>
      <c r="F56" s="6559"/>
      <c r="G56" s="6561"/>
      <c r="H56" s="1488">
        <f t="shared" si="0"/>
        <v>0</v>
      </c>
      <c r="I56" s="1489">
        <f t="shared" si="1"/>
        <v>0</v>
      </c>
      <c r="J56" s="6559">
        <v>0</v>
      </c>
      <c r="K56" s="6561"/>
      <c r="L56" s="6562">
        <f t="shared" si="16"/>
        <v>0</v>
      </c>
      <c r="M56" s="6562">
        <f t="shared" si="2"/>
        <v>0</v>
      </c>
      <c r="N56" s="6559">
        <v>0</v>
      </c>
      <c r="O56" s="6561">
        <v>0</v>
      </c>
      <c r="P56" s="1551">
        <f t="shared" si="3"/>
        <v>0</v>
      </c>
      <c r="Q56" s="1551">
        <f t="shared" si="3"/>
        <v>0</v>
      </c>
      <c r="R56" s="6559">
        <v>0</v>
      </c>
      <c r="S56" s="6561">
        <v>0</v>
      </c>
      <c r="T56" s="1551">
        <f t="shared" si="4"/>
        <v>0</v>
      </c>
      <c r="U56" s="1551">
        <f t="shared" si="4"/>
        <v>0</v>
      </c>
      <c r="V56" s="6559">
        <v>0</v>
      </c>
      <c r="W56" s="6561">
        <v>0</v>
      </c>
      <c r="X56" s="6565">
        <f t="shared" si="5"/>
        <v>0</v>
      </c>
      <c r="Y56" s="6711">
        <f t="shared" si="5"/>
        <v>0</v>
      </c>
      <c r="Z56" s="6567">
        <f t="shared" si="6"/>
        <v>0</v>
      </c>
      <c r="AA56" s="6563">
        <f t="shared" si="6"/>
        <v>0</v>
      </c>
      <c r="AB56" s="6559">
        <v>0</v>
      </c>
      <c r="AC56" s="6561">
        <v>0</v>
      </c>
      <c r="AD56" s="1488">
        <f t="shared" si="95"/>
        <v>0</v>
      </c>
      <c r="AE56" s="1551">
        <f t="shared" si="95"/>
        <v>0</v>
      </c>
      <c r="AF56" s="6559">
        <v>0</v>
      </c>
      <c r="AG56" s="6561">
        <v>0</v>
      </c>
      <c r="AH56" s="1488">
        <f t="shared" si="96"/>
        <v>0</v>
      </c>
      <c r="AI56" s="1551">
        <f t="shared" si="96"/>
        <v>0</v>
      </c>
      <c r="AJ56" s="6559">
        <v>0</v>
      </c>
      <c r="AK56" s="6561">
        <v>0</v>
      </c>
      <c r="AL56" s="6565">
        <f t="shared" si="97"/>
        <v>0</v>
      </c>
      <c r="AM56" s="6710">
        <f t="shared" si="97"/>
        <v>0</v>
      </c>
      <c r="AN56" s="1488">
        <f t="shared" ref="AN56:AO67" si="103">AH56+AJ56</f>
        <v>0</v>
      </c>
      <c r="AO56" s="1551">
        <f t="shared" si="103"/>
        <v>0</v>
      </c>
      <c r="AP56" s="6559">
        <v>0</v>
      </c>
      <c r="AQ56" s="6561">
        <v>0</v>
      </c>
      <c r="AR56" s="1488">
        <f t="shared" si="98"/>
        <v>0</v>
      </c>
      <c r="AS56" s="1551">
        <f t="shared" si="98"/>
        <v>0</v>
      </c>
      <c r="AT56" s="6715">
        <v>0</v>
      </c>
      <c r="AU56" s="6561">
        <v>0</v>
      </c>
      <c r="AV56" s="1488">
        <f t="shared" si="99"/>
        <v>0</v>
      </c>
      <c r="AW56" s="1551">
        <f t="shared" si="99"/>
        <v>0</v>
      </c>
      <c r="AX56" s="6715">
        <v>0</v>
      </c>
      <c r="AY56" s="6561">
        <v>0</v>
      </c>
      <c r="AZ56" s="6565">
        <f t="shared" si="100"/>
        <v>0</v>
      </c>
      <c r="BA56" s="6711">
        <f t="shared" si="100"/>
        <v>0</v>
      </c>
      <c r="BB56" s="6567">
        <f t="shared" si="101"/>
        <v>0</v>
      </c>
      <c r="BC56" s="6563">
        <f t="shared" si="101"/>
        <v>0</v>
      </c>
      <c r="BD56" s="1488">
        <f t="shared" si="102"/>
        <v>0</v>
      </c>
      <c r="BE56" s="1551">
        <f t="shared" si="102"/>
        <v>0</v>
      </c>
      <c r="BF56" s="533"/>
      <c r="BG56" s="533"/>
      <c r="BH56" s="533"/>
      <c r="BI56" s="533"/>
    </row>
    <row r="57" spans="2:61" s="1359" customFormat="1" ht="21.95" customHeight="1" thickBot="1" x14ac:dyDescent="0.3">
      <c r="B57" s="7575"/>
      <c r="C57" s="6762" t="s">
        <v>1242</v>
      </c>
      <c r="D57" s="6559">
        <v>1.5</v>
      </c>
      <c r="E57" s="6561">
        <v>5744</v>
      </c>
      <c r="F57" s="6559">
        <v>2</v>
      </c>
      <c r="G57" s="6561">
        <v>7436</v>
      </c>
      <c r="H57" s="1488">
        <f t="shared" si="0"/>
        <v>3.5</v>
      </c>
      <c r="I57" s="1489">
        <f t="shared" si="1"/>
        <v>13180</v>
      </c>
      <c r="J57" s="6559">
        <v>1</v>
      </c>
      <c r="K57" s="6561">
        <v>3906</v>
      </c>
      <c r="L57" s="6562">
        <f t="shared" si="16"/>
        <v>4.5</v>
      </c>
      <c r="M57" s="6562">
        <f t="shared" si="2"/>
        <v>17086</v>
      </c>
      <c r="N57" s="6559">
        <v>2</v>
      </c>
      <c r="O57" s="6561">
        <v>7402</v>
      </c>
      <c r="P57" s="1551">
        <f t="shared" si="3"/>
        <v>6.5</v>
      </c>
      <c r="Q57" s="1551">
        <f t="shared" si="3"/>
        <v>24488</v>
      </c>
      <c r="R57" s="6559">
        <v>0.5</v>
      </c>
      <c r="S57" s="6561">
        <v>1920</v>
      </c>
      <c r="T57" s="1551">
        <f t="shared" si="4"/>
        <v>7</v>
      </c>
      <c r="U57" s="1551">
        <f t="shared" si="4"/>
        <v>26408</v>
      </c>
      <c r="V57" s="6559">
        <v>2</v>
      </c>
      <c r="W57" s="6561">
        <v>8079</v>
      </c>
      <c r="X57" s="6565">
        <f t="shared" si="5"/>
        <v>4.5</v>
      </c>
      <c r="Y57" s="6711">
        <f t="shared" si="5"/>
        <v>17401</v>
      </c>
      <c r="Z57" s="6567">
        <f t="shared" si="6"/>
        <v>9</v>
      </c>
      <c r="AA57" s="6563">
        <f t="shared" si="6"/>
        <v>34487</v>
      </c>
      <c r="AB57" s="6559">
        <v>1</v>
      </c>
      <c r="AC57" s="6561">
        <v>3929</v>
      </c>
      <c r="AD57" s="1488">
        <f t="shared" si="95"/>
        <v>10</v>
      </c>
      <c r="AE57" s="1551">
        <f t="shared" si="95"/>
        <v>38416</v>
      </c>
      <c r="AF57" s="6559">
        <v>2</v>
      </c>
      <c r="AG57" s="6561">
        <v>8145</v>
      </c>
      <c r="AH57" s="1488">
        <f t="shared" si="96"/>
        <v>12</v>
      </c>
      <c r="AI57" s="1551">
        <f t="shared" si="96"/>
        <v>46561</v>
      </c>
      <c r="AJ57" s="6559">
        <v>1</v>
      </c>
      <c r="AK57" s="6561">
        <v>3767</v>
      </c>
      <c r="AL57" s="6565">
        <f t="shared" si="97"/>
        <v>4</v>
      </c>
      <c r="AM57" s="6710">
        <f t="shared" si="97"/>
        <v>15841</v>
      </c>
      <c r="AN57" s="1488">
        <f t="shared" si="103"/>
        <v>13</v>
      </c>
      <c r="AO57" s="1551">
        <f t="shared" si="103"/>
        <v>50328</v>
      </c>
      <c r="AP57" s="6559">
        <v>2.6</v>
      </c>
      <c r="AQ57" s="6561">
        <v>9755</v>
      </c>
      <c r="AR57" s="1488">
        <f t="shared" si="98"/>
        <v>15.6</v>
      </c>
      <c r="AS57" s="1551">
        <f t="shared" si="98"/>
        <v>60083</v>
      </c>
      <c r="AT57" s="6715">
        <v>2</v>
      </c>
      <c r="AU57" s="6561">
        <v>6806</v>
      </c>
      <c r="AV57" s="1488">
        <f t="shared" si="99"/>
        <v>17.600000000000001</v>
      </c>
      <c r="AW57" s="1551">
        <f t="shared" si="99"/>
        <v>66889</v>
      </c>
      <c r="AX57" s="6715">
        <v>1</v>
      </c>
      <c r="AY57" s="6561">
        <v>3996</v>
      </c>
      <c r="AZ57" s="6565">
        <f t="shared" si="100"/>
        <v>5.6</v>
      </c>
      <c r="BA57" s="6711">
        <f t="shared" si="100"/>
        <v>20557</v>
      </c>
      <c r="BB57" s="6567">
        <f t="shared" si="101"/>
        <v>9.6</v>
      </c>
      <c r="BC57" s="6563">
        <f t="shared" si="101"/>
        <v>36398</v>
      </c>
      <c r="BD57" s="1488">
        <f t="shared" si="102"/>
        <v>18.600000000000001</v>
      </c>
      <c r="BE57" s="1551">
        <f t="shared" si="102"/>
        <v>70885</v>
      </c>
      <c r="BF57" s="533"/>
      <c r="BG57" s="533"/>
      <c r="BH57" s="533"/>
      <c r="BI57" s="533"/>
    </row>
    <row r="58" spans="2:61" s="1359" customFormat="1" ht="21.95" customHeight="1" thickBot="1" x14ac:dyDescent="0.3">
      <c r="B58" s="7575"/>
      <c r="C58" s="6763" t="s">
        <v>1243</v>
      </c>
      <c r="D58" s="6559">
        <v>4</v>
      </c>
      <c r="E58" s="6561">
        <v>14168</v>
      </c>
      <c r="F58" s="6559">
        <v>4</v>
      </c>
      <c r="G58" s="6561">
        <v>15561</v>
      </c>
      <c r="H58" s="1488">
        <f t="shared" si="0"/>
        <v>8</v>
      </c>
      <c r="I58" s="1489">
        <f t="shared" si="1"/>
        <v>29729</v>
      </c>
      <c r="J58" s="6559">
        <v>4</v>
      </c>
      <c r="K58" s="6561">
        <v>15649</v>
      </c>
      <c r="L58" s="6562">
        <f t="shared" si="16"/>
        <v>12</v>
      </c>
      <c r="M58" s="6562">
        <f t="shared" si="2"/>
        <v>45378</v>
      </c>
      <c r="N58" s="6559">
        <v>3.5</v>
      </c>
      <c r="O58" s="6561">
        <v>13609</v>
      </c>
      <c r="P58" s="1551">
        <f t="shared" si="3"/>
        <v>15.5</v>
      </c>
      <c r="Q58" s="1551">
        <f t="shared" si="3"/>
        <v>58987</v>
      </c>
      <c r="R58" s="6559">
        <v>4</v>
      </c>
      <c r="S58" s="6561">
        <v>19268</v>
      </c>
      <c r="T58" s="1551">
        <f t="shared" si="4"/>
        <v>19.5</v>
      </c>
      <c r="U58" s="1551">
        <f t="shared" si="4"/>
        <v>78255</v>
      </c>
      <c r="V58" s="6559">
        <v>3.5</v>
      </c>
      <c r="W58" s="6561">
        <v>13873</v>
      </c>
      <c r="X58" s="6565">
        <f t="shared" si="5"/>
        <v>11</v>
      </c>
      <c r="Y58" s="6711">
        <f t="shared" si="5"/>
        <v>46750</v>
      </c>
      <c r="Z58" s="6567">
        <f t="shared" si="6"/>
        <v>23</v>
      </c>
      <c r="AA58" s="6563">
        <f t="shared" si="6"/>
        <v>92128</v>
      </c>
      <c r="AB58" s="6559">
        <v>3</v>
      </c>
      <c r="AC58" s="6561">
        <v>11711</v>
      </c>
      <c r="AD58" s="1488">
        <f t="shared" si="95"/>
        <v>26</v>
      </c>
      <c r="AE58" s="1551">
        <f t="shared" si="95"/>
        <v>103839</v>
      </c>
      <c r="AF58" s="6559">
        <v>3</v>
      </c>
      <c r="AG58" s="6561">
        <v>10778</v>
      </c>
      <c r="AH58" s="1488">
        <f t="shared" si="96"/>
        <v>29</v>
      </c>
      <c r="AI58" s="1551">
        <f t="shared" si="96"/>
        <v>114617</v>
      </c>
      <c r="AJ58" s="6559">
        <v>2.5</v>
      </c>
      <c r="AK58" s="6561">
        <v>10278</v>
      </c>
      <c r="AL58" s="6565">
        <f t="shared" si="97"/>
        <v>8.5</v>
      </c>
      <c r="AM58" s="6710">
        <f t="shared" si="97"/>
        <v>32767</v>
      </c>
      <c r="AN58" s="1488">
        <f t="shared" si="103"/>
        <v>31.5</v>
      </c>
      <c r="AO58" s="1551">
        <f t="shared" si="103"/>
        <v>124895</v>
      </c>
      <c r="AP58" s="6559">
        <v>3</v>
      </c>
      <c r="AQ58" s="6561">
        <v>11704</v>
      </c>
      <c r="AR58" s="1488">
        <f t="shared" si="98"/>
        <v>34.5</v>
      </c>
      <c r="AS58" s="1551">
        <f t="shared" si="98"/>
        <v>136599</v>
      </c>
      <c r="AT58" s="6715">
        <v>3</v>
      </c>
      <c r="AU58" s="6561">
        <v>11380</v>
      </c>
      <c r="AV58" s="1488">
        <f t="shared" si="99"/>
        <v>37.5</v>
      </c>
      <c r="AW58" s="1551">
        <f t="shared" si="99"/>
        <v>147979</v>
      </c>
      <c r="AX58" s="6715">
        <v>3</v>
      </c>
      <c r="AY58" s="6561">
        <v>15138</v>
      </c>
      <c r="AZ58" s="6565">
        <f t="shared" si="100"/>
        <v>9</v>
      </c>
      <c r="BA58" s="6711">
        <f t="shared" si="100"/>
        <v>38222</v>
      </c>
      <c r="BB58" s="6567">
        <f t="shared" si="101"/>
        <v>17.5</v>
      </c>
      <c r="BC58" s="6563">
        <f t="shared" si="101"/>
        <v>70989</v>
      </c>
      <c r="BD58" s="1488">
        <f t="shared" si="102"/>
        <v>40.5</v>
      </c>
      <c r="BE58" s="1551">
        <f t="shared" si="102"/>
        <v>163117</v>
      </c>
      <c r="BF58" s="533"/>
      <c r="BG58" s="533"/>
      <c r="BH58" s="533"/>
      <c r="BI58" s="533"/>
    </row>
    <row r="59" spans="2:61" s="1359" customFormat="1" ht="21.95" hidden="1" customHeight="1" thickBot="1" x14ac:dyDescent="0.3">
      <c r="B59" s="7575"/>
      <c r="C59" s="6763" t="s">
        <v>1244</v>
      </c>
      <c r="D59" s="6559">
        <v>0</v>
      </c>
      <c r="E59" s="6561">
        <v>0</v>
      </c>
      <c r="F59" s="6559"/>
      <c r="G59" s="6561"/>
      <c r="H59" s="1488">
        <f t="shared" si="0"/>
        <v>0</v>
      </c>
      <c r="I59" s="1489">
        <f t="shared" si="1"/>
        <v>0</v>
      </c>
      <c r="J59" s="6559">
        <v>0</v>
      </c>
      <c r="K59" s="6561"/>
      <c r="L59" s="6562">
        <f t="shared" si="16"/>
        <v>0</v>
      </c>
      <c r="M59" s="6562">
        <f t="shared" si="2"/>
        <v>0</v>
      </c>
      <c r="N59" s="6559"/>
      <c r="O59" s="6561"/>
      <c r="P59" s="1551">
        <f t="shared" si="3"/>
        <v>0</v>
      </c>
      <c r="Q59" s="1551">
        <f t="shared" si="3"/>
        <v>0</v>
      </c>
      <c r="R59" s="6559">
        <v>0</v>
      </c>
      <c r="S59" s="6561">
        <v>0</v>
      </c>
      <c r="T59" s="1551">
        <f t="shared" si="4"/>
        <v>0</v>
      </c>
      <c r="U59" s="1551">
        <f t="shared" si="4"/>
        <v>0</v>
      </c>
      <c r="V59" s="6559">
        <v>0</v>
      </c>
      <c r="W59" s="6561">
        <v>0</v>
      </c>
      <c r="X59" s="6565">
        <f t="shared" si="5"/>
        <v>0</v>
      </c>
      <c r="Y59" s="6711">
        <f t="shared" si="5"/>
        <v>0</v>
      </c>
      <c r="Z59" s="6567">
        <f t="shared" si="6"/>
        <v>0</v>
      </c>
      <c r="AA59" s="6563">
        <f t="shared" si="6"/>
        <v>0</v>
      </c>
      <c r="AB59" s="6559">
        <v>0</v>
      </c>
      <c r="AC59" s="6561">
        <v>0</v>
      </c>
      <c r="AD59" s="1488">
        <f t="shared" si="95"/>
        <v>0</v>
      </c>
      <c r="AE59" s="1551">
        <f t="shared" si="95"/>
        <v>0</v>
      </c>
      <c r="AF59" s="6559">
        <v>0</v>
      </c>
      <c r="AG59" s="6561">
        <v>0</v>
      </c>
      <c r="AH59" s="1488">
        <f t="shared" si="96"/>
        <v>0</v>
      </c>
      <c r="AI59" s="1551">
        <f t="shared" si="96"/>
        <v>0</v>
      </c>
      <c r="AJ59" s="6559">
        <v>0</v>
      </c>
      <c r="AK59" s="6561">
        <v>0</v>
      </c>
      <c r="AL59" s="6565">
        <f t="shared" si="97"/>
        <v>0</v>
      </c>
      <c r="AM59" s="6710">
        <f t="shared" si="97"/>
        <v>0</v>
      </c>
      <c r="AN59" s="1488">
        <f t="shared" si="103"/>
        <v>0</v>
      </c>
      <c r="AO59" s="1551">
        <f t="shared" si="103"/>
        <v>0</v>
      </c>
      <c r="AP59" s="6559">
        <v>0</v>
      </c>
      <c r="AQ59" s="6561">
        <v>0</v>
      </c>
      <c r="AR59" s="1488">
        <f t="shared" si="98"/>
        <v>0</v>
      </c>
      <c r="AS59" s="1551">
        <f t="shared" si="98"/>
        <v>0</v>
      </c>
      <c r="AT59" s="6715">
        <v>0</v>
      </c>
      <c r="AU59" s="6561">
        <v>0</v>
      </c>
      <c r="AV59" s="1488">
        <f t="shared" si="99"/>
        <v>0</v>
      </c>
      <c r="AW59" s="1551">
        <f t="shared" si="99"/>
        <v>0</v>
      </c>
      <c r="AX59" s="6715">
        <v>0</v>
      </c>
      <c r="AY59" s="6561">
        <v>0</v>
      </c>
      <c r="AZ59" s="6565">
        <f t="shared" si="100"/>
        <v>0</v>
      </c>
      <c r="BA59" s="6711">
        <f t="shared" si="100"/>
        <v>0</v>
      </c>
      <c r="BB59" s="6567">
        <f t="shared" si="101"/>
        <v>0</v>
      </c>
      <c r="BC59" s="6563">
        <f t="shared" si="101"/>
        <v>0</v>
      </c>
      <c r="BD59" s="1488">
        <f t="shared" si="102"/>
        <v>0</v>
      </c>
      <c r="BE59" s="1551">
        <f t="shared" si="102"/>
        <v>0</v>
      </c>
      <c r="BF59" s="533"/>
      <c r="BG59" s="533"/>
      <c r="BH59" s="533"/>
      <c r="BI59" s="533"/>
    </row>
    <row r="60" spans="2:61" s="1359" customFormat="1" ht="21.95" customHeight="1" thickBot="1" x14ac:dyDescent="0.3">
      <c r="B60" s="7575"/>
      <c r="C60" s="6763" t="s">
        <v>1245</v>
      </c>
      <c r="D60" s="6559">
        <v>0</v>
      </c>
      <c r="E60" s="6561">
        <v>0</v>
      </c>
      <c r="F60" s="6559">
        <v>0</v>
      </c>
      <c r="G60" s="6561">
        <v>0</v>
      </c>
      <c r="H60" s="1488">
        <f t="shared" si="0"/>
        <v>0</v>
      </c>
      <c r="I60" s="1489">
        <f t="shared" si="1"/>
        <v>0</v>
      </c>
      <c r="J60" s="6559">
        <v>0</v>
      </c>
      <c r="K60" s="6561"/>
      <c r="L60" s="6562">
        <f t="shared" si="16"/>
        <v>0</v>
      </c>
      <c r="M60" s="6562">
        <f t="shared" si="2"/>
        <v>0</v>
      </c>
      <c r="N60" s="6559"/>
      <c r="O60" s="6561"/>
      <c r="P60" s="1551">
        <f t="shared" si="3"/>
        <v>0</v>
      </c>
      <c r="Q60" s="1551">
        <f t="shared" si="3"/>
        <v>0</v>
      </c>
      <c r="R60" s="6559">
        <v>1</v>
      </c>
      <c r="S60" s="6561">
        <v>3943</v>
      </c>
      <c r="T60" s="1551">
        <f t="shared" si="4"/>
        <v>1</v>
      </c>
      <c r="U60" s="1551">
        <f t="shared" si="4"/>
        <v>3943</v>
      </c>
      <c r="V60" s="6559">
        <v>1</v>
      </c>
      <c r="W60" s="6561">
        <v>3635</v>
      </c>
      <c r="X60" s="6565">
        <f t="shared" si="5"/>
        <v>2</v>
      </c>
      <c r="Y60" s="6711">
        <f t="shared" si="5"/>
        <v>7578</v>
      </c>
      <c r="Z60" s="6567">
        <f t="shared" si="6"/>
        <v>2</v>
      </c>
      <c r="AA60" s="6563">
        <f t="shared" si="6"/>
        <v>7578</v>
      </c>
      <c r="AB60" s="6559">
        <v>0.5</v>
      </c>
      <c r="AC60" s="6561">
        <v>1916</v>
      </c>
      <c r="AD60" s="1488">
        <f t="shared" si="95"/>
        <v>2.5</v>
      </c>
      <c r="AE60" s="1551">
        <f t="shared" si="95"/>
        <v>9494</v>
      </c>
      <c r="AF60" s="6559">
        <v>0.5</v>
      </c>
      <c r="AG60" s="6561">
        <v>1856</v>
      </c>
      <c r="AH60" s="1488">
        <f t="shared" si="96"/>
        <v>3</v>
      </c>
      <c r="AI60" s="1551">
        <f t="shared" si="96"/>
        <v>11350</v>
      </c>
      <c r="AJ60" s="6559">
        <v>0.5</v>
      </c>
      <c r="AK60" s="6561">
        <v>1976</v>
      </c>
      <c r="AL60" s="6565">
        <f t="shared" si="97"/>
        <v>1.5</v>
      </c>
      <c r="AM60" s="6710">
        <f t="shared" si="97"/>
        <v>5748</v>
      </c>
      <c r="AN60" s="1488">
        <f t="shared" si="103"/>
        <v>3.5</v>
      </c>
      <c r="AO60" s="1551">
        <f t="shared" si="103"/>
        <v>13326</v>
      </c>
      <c r="AP60" s="6559">
        <v>0</v>
      </c>
      <c r="AQ60" s="6561">
        <v>0</v>
      </c>
      <c r="AR60" s="1488">
        <f t="shared" si="98"/>
        <v>3.5</v>
      </c>
      <c r="AS60" s="1551">
        <f t="shared" si="98"/>
        <v>13326</v>
      </c>
      <c r="AT60" s="6715">
        <v>0</v>
      </c>
      <c r="AU60" s="6561">
        <v>0</v>
      </c>
      <c r="AV60" s="1488">
        <f t="shared" si="99"/>
        <v>3.5</v>
      </c>
      <c r="AW60" s="1551">
        <f t="shared" si="99"/>
        <v>13326</v>
      </c>
      <c r="AX60" s="6715">
        <v>0</v>
      </c>
      <c r="AY60" s="6561">
        <v>0</v>
      </c>
      <c r="AZ60" s="6565">
        <f t="shared" si="100"/>
        <v>0</v>
      </c>
      <c r="BA60" s="6711">
        <f t="shared" si="100"/>
        <v>0</v>
      </c>
      <c r="BB60" s="6567">
        <f t="shared" si="101"/>
        <v>1.5</v>
      </c>
      <c r="BC60" s="6563">
        <f t="shared" si="101"/>
        <v>5748</v>
      </c>
      <c r="BD60" s="1488">
        <f t="shared" si="102"/>
        <v>3.5</v>
      </c>
      <c r="BE60" s="1551">
        <f t="shared" si="102"/>
        <v>13326</v>
      </c>
      <c r="BF60" s="533"/>
      <c r="BG60" s="533"/>
      <c r="BH60" s="533"/>
      <c r="BI60" s="533"/>
    </row>
    <row r="61" spans="2:61" s="1359" customFormat="1" ht="21.95" hidden="1" customHeight="1" thickBot="1" x14ac:dyDescent="0.3">
      <c r="B61" s="7575"/>
      <c r="C61" s="6763" t="s">
        <v>1376</v>
      </c>
      <c r="D61" s="6559">
        <v>0</v>
      </c>
      <c r="E61" s="6561">
        <v>0</v>
      </c>
      <c r="F61" s="6559">
        <v>0</v>
      </c>
      <c r="G61" s="6561">
        <v>0</v>
      </c>
      <c r="H61" s="1488">
        <f t="shared" si="0"/>
        <v>0</v>
      </c>
      <c r="I61" s="1489">
        <f t="shared" si="1"/>
        <v>0</v>
      </c>
      <c r="J61" s="6559">
        <v>0</v>
      </c>
      <c r="K61" s="6561"/>
      <c r="L61" s="6562">
        <f t="shared" si="16"/>
        <v>0</v>
      </c>
      <c r="M61" s="6562">
        <f t="shared" si="2"/>
        <v>0</v>
      </c>
      <c r="N61" s="6559"/>
      <c r="O61" s="6561"/>
      <c r="P61" s="1551">
        <f t="shared" si="3"/>
        <v>0</v>
      </c>
      <c r="Q61" s="1551">
        <f t="shared" si="3"/>
        <v>0</v>
      </c>
      <c r="R61" s="6559">
        <v>0</v>
      </c>
      <c r="S61" s="6561">
        <v>0</v>
      </c>
      <c r="T61" s="1551">
        <f t="shared" si="4"/>
        <v>0</v>
      </c>
      <c r="U61" s="1551">
        <f t="shared" si="4"/>
        <v>0</v>
      </c>
      <c r="V61" s="6559">
        <v>0</v>
      </c>
      <c r="W61" s="6561">
        <v>0</v>
      </c>
      <c r="X61" s="6565">
        <f t="shared" si="5"/>
        <v>0</v>
      </c>
      <c r="Y61" s="6711">
        <f t="shared" si="5"/>
        <v>0</v>
      </c>
      <c r="Z61" s="6567">
        <f t="shared" si="6"/>
        <v>0</v>
      </c>
      <c r="AA61" s="6563">
        <f t="shared" si="6"/>
        <v>0</v>
      </c>
      <c r="AB61" s="6559">
        <v>0</v>
      </c>
      <c r="AC61" s="6561">
        <v>0</v>
      </c>
      <c r="AD61" s="1488">
        <f t="shared" si="95"/>
        <v>0</v>
      </c>
      <c r="AE61" s="1551">
        <f t="shared" si="95"/>
        <v>0</v>
      </c>
      <c r="AF61" s="6559">
        <v>0</v>
      </c>
      <c r="AG61" s="6561">
        <v>0</v>
      </c>
      <c r="AH61" s="1488">
        <f t="shared" si="96"/>
        <v>0</v>
      </c>
      <c r="AI61" s="1551">
        <f t="shared" si="96"/>
        <v>0</v>
      </c>
      <c r="AJ61" s="6559">
        <v>0</v>
      </c>
      <c r="AK61" s="6561">
        <v>0</v>
      </c>
      <c r="AL61" s="6565">
        <f t="shared" si="97"/>
        <v>0</v>
      </c>
      <c r="AM61" s="6710">
        <f t="shared" si="97"/>
        <v>0</v>
      </c>
      <c r="AN61" s="1488">
        <f t="shared" si="103"/>
        <v>0</v>
      </c>
      <c r="AO61" s="1551">
        <f t="shared" si="103"/>
        <v>0</v>
      </c>
      <c r="AP61" s="6559">
        <v>0</v>
      </c>
      <c r="AQ61" s="6561">
        <v>0</v>
      </c>
      <c r="AR61" s="1488">
        <f t="shared" si="98"/>
        <v>0</v>
      </c>
      <c r="AS61" s="1551">
        <f t="shared" si="98"/>
        <v>0</v>
      </c>
      <c r="AT61" s="6715">
        <v>0</v>
      </c>
      <c r="AU61" s="6561">
        <v>0</v>
      </c>
      <c r="AV61" s="1488">
        <f t="shared" si="99"/>
        <v>0</v>
      </c>
      <c r="AW61" s="1551">
        <f t="shared" si="99"/>
        <v>0</v>
      </c>
      <c r="AX61" s="6715">
        <v>0</v>
      </c>
      <c r="AY61" s="6561">
        <v>0</v>
      </c>
      <c r="AZ61" s="6565">
        <f t="shared" si="100"/>
        <v>0</v>
      </c>
      <c r="BA61" s="6711">
        <f t="shared" si="100"/>
        <v>0</v>
      </c>
      <c r="BB61" s="6567">
        <f t="shared" si="101"/>
        <v>0</v>
      </c>
      <c r="BC61" s="6563">
        <f t="shared" si="101"/>
        <v>0</v>
      </c>
      <c r="BD61" s="1488">
        <f t="shared" si="102"/>
        <v>0</v>
      </c>
      <c r="BE61" s="1551">
        <f t="shared" si="102"/>
        <v>0</v>
      </c>
      <c r="BF61" s="533"/>
      <c r="BG61" s="533"/>
      <c r="BH61" s="533"/>
      <c r="BI61" s="533"/>
    </row>
    <row r="62" spans="2:61" s="1359" customFormat="1" ht="21.95" customHeight="1" thickBot="1" x14ac:dyDescent="0.3">
      <c r="B62" s="7575"/>
      <c r="C62" s="6764" t="s">
        <v>2</v>
      </c>
      <c r="D62" s="6747">
        <f>SUM(D53:D61)</f>
        <v>13</v>
      </c>
      <c r="E62" s="6747">
        <f t="shared" ref="E62:BE62" si="104">SUM(E53:E61)</f>
        <v>48968</v>
      </c>
      <c r="F62" s="6747">
        <f>SUM(F53:F61)</f>
        <v>13</v>
      </c>
      <c r="G62" s="6747">
        <f t="shared" ref="G62" si="105">SUM(G53:G61)</f>
        <v>49341</v>
      </c>
      <c r="H62" s="1488">
        <f t="shared" si="0"/>
        <v>26</v>
      </c>
      <c r="I62" s="1489">
        <f t="shared" si="1"/>
        <v>98309</v>
      </c>
      <c r="J62" s="6747">
        <f t="shared" si="104"/>
        <v>13</v>
      </c>
      <c r="K62" s="6747">
        <f t="shared" si="104"/>
        <v>51437</v>
      </c>
      <c r="L62" s="6554">
        <f t="shared" si="104"/>
        <v>39</v>
      </c>
      <c r="M62" s="6554">
        <f t="shared" si="104"/>
        <v>149746</v>
      </c>
      <c r="N62" s="6747">
        <f t="shared" si="104"/>
        <v>14.9</v>
      </c>
      <c r="O62" s="6747">
        <f t="shared" si="104"/>
        <v>57452</v>
      </c>
      <c r="P62" s="1551">
        <f t="shared" si="3"/>
        <v>53.9</v>
      </c>
      <c r="Q62" s="1551">
        <f t="shared" si="3"/>
        <v>207198</v>
      </c>
      <c r="R62" s="6747">
        <f t="shared" ref="R62:S62" si="106">SUM(R53:R61)</f>
        <v>13</v>
      </c>
      <c r="S62" s="6747">
        <f t="shared" si="106"/>
        <v>54050</v>
      </c>
      <c r="T62" s="1551">
        <f t="shared" si="4"/>
        <v>66.900000000000006</v>
      </c>
      <c r="U62" s="1551">
        <f t="shared" si="4"/>
        <v>261248</v>
      </c>
      <c r="V62" s="6747">
        <f t="shared" ref="V62:W62" si="107">SUM(V53:V61)</f>
        <v>12.9</v>
      </c>
      <c r="W62" s="6747">
        <f t="shared" si="107"/>
        <v>50415</v>
      </c>
      <c r="X62" s="6744">
        <f t="shared" si="104"/>
        <v>40.800000000000004</v>
      </c>
      <c r="Y62" s="6745">
        <f t="shared" si="104"/>
        <v>161917</v>
      </c>
      <c r="Z62" s="6557">
        <f t="shared" si="104"/>
        <v>79.800000000000011</v>
      </c>
      <c r="AA62" s="6557">
        <f t="shared" si="104"/>
        <v>311663</v>
      </c>
      <c r="AB62" s="6747">
        <f t="shared" si="104"/>
        <v>14</v>
      </c>
      <c r="AC62" s="6747">
        <f t="shared" si="104"/>
        <v>54396</v>
      </c>
      <c r="AD62" s="6743">
        <f t="shared" si="104"/>
        <v>93.800000000000011</v>
      </c>
      <c r="AE62" s="6743">
        <f t="shared" si="104"/>
        <v>366059</v>
      </c>
      <c r="AF62" s="6747">
        <f t="shared" si="104"/>
        <v>12</v>
      </c>
      <c r="AG62" s="6747">
        <f t="shared" si="104"/>
        <v>45164</v>
      </c>
      <c r="AH62" s="6743">
        <f t="shared" si="104"/>
        <v>105.80000000000001</v>
      </c>
      <c r="AI62" s="6743">
        <f t="shared" si="104"/>
        <v>411223</v>
      </c>
      <c r="AJ62" s="6747">
        <f t="shared" si="104"/>
        <v>10.9</v>
      </c>
      <c r="AK62" s="6747">
        <f t="shared" si="104"/>
        <v>46188</v>
      </c>
      <c r="AL62" s="6743">
        <f t="shared" si="104"/>
        <v>36.9</v>
      </c>
      <c r="AM62" s="6743">
        <f t="shared" si="104"/>
        <v>145748</v>
      </c>
      <c r="AN62" s="6743">
        <f t="shared" si="104"/>
        <v>116.7</v>
      </c>
      <c r="AO62" s="6743">
        <f t="shared" si="104"/>
        <v>457411</v>
      </c>
      <c r="AP62" s="6747">
        <f t="shared" si="104"/>
        <v>15</v>
      </c>
      <c r="AQ62" s="6747">
        <f t="shared" si="104"/>
        <v>57258</v>
      </c>
      <c r="AR62" s="6743">
        <f t="shared" si="104"/>
        <v>131.69999999999999</v>
      </c>
      <c r="AS62" s="6743">
        <f t="shared" si="104"/>
        <v>514669</v>
      </c>
      <c r="AT62" s="6743">
        <f t="shared" si="104"/>
        <v>14</v>
      </c>
      <c r="AU62" s="6747">
        <f t="shared" si="104"/>
        <v>53023</v>
      </c>
      <c r="AV62" s="6743">
        <f t="shared" si="104"/>
        <v>145.69999999999999</v>
      </c>
      <c r="AW62" s="6743">
        <f t="shared" si="104"/>
        <v>567692</v>
      </c>
      <c r="AX62" s="6743">
        <f t="shared" si="104"/>
        <v>12</v>
      </c>
      <c r="AY62" s="6747">
        <f t="shared" si="104"/>
        <v>48604</v>
      </c>
      <c r="AZ62" s="6743">
        <f t="shared" si="104"/>
        <v>41</v>
      </c>
      <c r="BA62" s="6746">
        <f t="shared" si="104"/>
        <v>158885</v>
      </c>
      <c r="BB62" s="6747">
        <f t="shared" si="104"/>
        <v>77.900000000000006</v>
      </c>
      <c r="BC62" s="6747">
        <f t="shared" si="104"/>
        <v>304633</v>
      </c>
      <c r="BD62" s="6748">
        <f t="shared" si="104"/>
        <v>157.69999999999999</v>
      </c>
      <c r="BE62" s="6743">
        <f t="shared" si="104"/>
        <v>616296</v>
      </c>
      <c r="BF62" s="533"/>
      <c r="BG62" s="533"/>
      <c r="BH62" s="533"/>
      <c r="BI62" s="533"/>
    </row>
    <row r="63" spans="2:61" s="1359" customFormat="1" ht="21.95" customHeight="1" thickBot="1" x14ac:dyDescent="0.3">
      <c r="B63" s="7575"/>
      <c r="C63" s="6763" t="s">
        <v>1246</v>
      </c>
      <c r="D63" s="6559">
        <v>13</v>
      </c>
      <c r="E63" s="6561">
        <v>48968</v>
      </c>
      <c r="F63" s="6559">
        <v>13</v>
      </c>
      <c r="G63" s="6561">
        <v>49341</v>
      </c>
      <c r="H63" s="1488">
        <f t="shared" si="0"/>
        <v>26</v>
      </c>
      <c r="I63" s="1489">
        <f t="shared" si="1"/>
        <v>98309</v>
      </c>
      <c r="J63" s="6559">
        <v>7</v>
      </c>
      <c r="K63" s="6561">
        <v>27404</v>
      </c>
      <c r="L63" s="6562">
        <f t="shared" si="16"/>
        <v>33</v>
      </c>
      <c r="M63" s="6562">
        <f t="shared" si="2"/>
        <v>125713</v>
      </c>
      <c r="N63" s="6559">
        <v>10</v>
      </c>
      <c r="O63" s="6561">
        <v>37869</v>
      </c>
      <c r="P63" s="1551">
        <f t="shared" si="3"/>
        <v>43</v>
      </c>
      <c r="Q63" s="1551">
        <f t="shared" si="3"/>
        <v>163582</v>
      </c>
      <c r="R63" s="6559">
        <v>7</v>
      </c>
      <c r="S63" s="6561">
        <v>26260</v>
      </c>
      <c r="T63" s="1551">
        <f t="shared" si="4"/>
        <v>50</v>
      </c>
      <c r="U63" s="1551">
        <f t="shared" si="4"/>
        <v>189842</v>
      </c>
      <c r="V63" s="6559">
        <v>6</v>
      </c>
      <c r="W63" s="6561">
        <v>22406</v>
      </c>
      <c r="X63" s="6565">
        <f t="shared" si="5"/>
        <v>23</v>
      </c>
      <c r="Y63" s="6711">
        <f t="shared" si="5"/>
        <v>86535</v>
      </c>
      <c r="Z63" s="6567">
        <f t="shared" si="6"/>
        <v>56</v>
      </c>
      <c r="AA63" s="6563">
        <f t="shared" si="6"/>
        <v>212248</v>
      </c>
      <c r="AB63" s="6559">
        <v>9</v>
      </c>
      <c r="AC63" s="6561">
        <v>34790</v>
      </c>
      <c r="AD63" s="1488">
        <f t="shared" ref="AD63:AE67" si="108">Z63+AB63</f>
        <v>65</v>
      </c>
      <c r="AE63" s="1551">
        <f t="shared" si="108"/>
        <v>247038</v>
      </c>
      <c r="AF63" s="6559">
        <v>6</v>
      </c>
      <c r="AG63" s="6561">
        <v>20934</v>
      </c>
      <c r="AH63" s="1488">
        <f t="shared" ref="AH63:AI67" si="109">AD63+AF63</f>
        <v>71</v>
      </c>
      <c r="AI63" s="1551">
        <f t="shared" si="109"/>
        <v>267972</v>
      </c>
      <c r="AJ63" s="6559">
        <v>7</v>
      </c>
      <c r="AK63" s="6561">
        <v>26018</v>
      </c>
      <c r="AL63" s="6565">
        <f t="shared" ref="AL63:AM67" si="110">+AB63+AF63+AJ63</f>
        <v>22</v>
      </c>
      <c r="AM63" s="6710">
        <f t="shared" si="110"/>
        <v>81742</v>
      </c>
      <c r="AN63" s="1488">
        <f t="shared" si="103"/>
        <v>78</v>
      </c>
      <c r="AO63" s="1551">
        <f t="shared" si="103"/>
        <v>293990</v>
      </c>
      <c r="AP63" s="6559">
        <v>14</v>
      </c>
      <c r="AQ63" s="6561">
        <v>53219</v>
      </c>
      <c r="AR63" s="1488">
        <f t="shared" ref="AR63:AS67" si="111">AN63+AP63</f>
        <v>92</v>
      </c>
      <c r="AS63" s="1551">
        <f t="shared" si="111"/>
        <v>347209</v>
      </c>
      <c r="AT63" s="6715">
        <v>13</v>
      </c>
      <c r="AU63" s="6561">
        <v>48986</v>
      </c>
      <c r="AV63" s="1488">
        <f t="shared" ref="AV63:AW67" si="112">AR63+AT63</f>
        <v>105</v>
      </c>
      <c r="AW63" s="1551">
        <f t="shared" si="112"/>
        <v>396195</v>
      </c>
      <c r="AX63" s="6715">
        <v>13</v>
      </c>
      <c r="AY63" s="6561">
        <v>48604</v>
      </c>
      <c r="AZ63" s="6565">
        <f t="shared" ref="AZ63:BA67" si="113">+AP63+AT63+AX63</f>
        <v>40</v>
      </c>
      <c r="BA63" s="6711">
        <f t="shared" si="113"/>
        <v>150809</v>
      </c>
      <c r="BB63" s="6567">
        <f t="shared" ref="BB63:BC67" si="114">AL63+AZ63</f>
        <v>62</v>
      </c>
      <c r="BC63" s="6563">
        <f t="shared" si="114"/>
        <v>232551</v>
      </c>
      <c r="BD63" s="1488">
        <f t="shared" ref="BD63:BE67" si="115">AV63+AX63</f>
        <v>118</v>
      </c>
      <c r="BE63" s="1551">
        <f t="shared" si="115"/>
        <v>444799</v>
      </c>
      <c r="BF63" s="533"/>
      <c r="BG63" s="533"/>
      <c r="BH63" s="533"/>
      <c r="BI63" s="533"/>
    </row>
    <row r="64" spans="2:61" s="1359" customFormat="1" ht="21.95" customHeight="1" thickBot="1" x14ac:dyDescent="0.3">
      <c r="B64" s="7575"/>
      <c r="C64" s="6763" t="s">
        <v>1247</v>
      </c>
      <c r="D64" s="6559">
        <v>0</v>
      </c>
      <c r="E64" s="6561">
        <v>0</v>
      </c>
      <c r="F64" s="6559">
        <v>0</v>
      </c>
      <c r="G64" s="6561">
        <v>0</v>
      </c>
      <c r="H64" s="1488">
        <f t="shared" si="0"/>
        <v>0</v>
      </c>
      <c r="I64" s="1489">
        <f t="shared" si="1"/>
        <v>0</v>
      </c>
      <c r="J64" s="6559">
        <v>6</v>
      </c>
      <c r="K64" s="6561">
        <v>24033</v>
      </c>
      <c r="L64" s="6562">
        <f t="shared" si="16"/>
        <v>6</v>
      </c>
      <c r="M64" s="6562">
        <f t="shared" si="2"/>
        <v>24033</v>
      </c>
      <c r="N64" s="6559">
        <v>5</v>
      </c>
      <c r="O64" s="6561">
        <v>19583</v>
      </c>
      <c r="P64" s="1551">
        <f t="shared" si="3"/>
        <v>11</v>
      </c>
      <c r="Q64" s="1551">
        <f t="shared" si="3"/>
        <v>43616</v>
      </c>
      <c r="R64" s="6559">
        <v>7</v>
      </c>
      <c r="S64" s="6561">
        <v>27792</v>
      </c>
      <c r="T64" s="1551">
        <f t="shared" si="4"/>
        <v>18</v>
      </c>
      <c r="U64" s="1551">
        <f t="shared" si="4"/>
        <v>71408</v>
      </c>
      <c r="V64" s="6559">
        <v>7</v>
      </c>
      <c r="W64" s="6561">
        <v>28008</v>
      </c>
      <c r="X64" s="6565">
        <f t="shared" si="5"/>
        <v>19</v>
      </c>
      <c r="Y64" s="6711">
        <f t="shared" si="5"/>
        <v>75383</v>
      </c>
      <c r="Z64" s="6567">
        <f t="shared" si="6"/>
        <v>25</v>
      </c>
      <c r="AA64" s="6563">
        <f t="shared" si="6"/>
        <v>99416</v>
      </c>
      <c r="AB64" s="6559">
        <v>5</v>
      </c>
      <c r="AC64" s="6561">
        <v>19607</v>
      </c>
      <c r="AD64" s="1488">
        <f t="shared" si="108"/>
        <v>30</v>
      </c>
      <c r="AE64" s="1551">
        <f t="shared" si="108"/>
        <v>119023</v>
      </c>
      <c r="AF64" s="6559">
        <v>6</v>
      </c>
      <c r="AG64" s="6561">
        <v>24229</v>
      </c>
      <c r="AH64" s="1488">
        <f t="shared" si="109"/>
        <v>36</v>
      </c>
      <c r="AI64" s="1551">
        <f t="shared" si="109"/>
        <v>143252</v>
      </c>
      <c r="AJ64" s="6559">
        <v>5</v>
      </c>
      <c r="AK64" s="6561">
        <v>20170</v>
      </c>
      <c r="AL64" s="6565">
        <f t="shared" si="110"/>
        <v>16</v>
      </c>
      <c r="AM64" s="6710">
        <f t="shared" si="110"/>
        <v>64006</v>
      </c>
      <c r="AN64" s="1488">
        <f t="shared" si="103"/>
        <v>41</v>
      </c>
      <c r="AO64" s="1551">
        <f t="shared" si="103"/>
        <v>163422</v>
      </c>
      <c r="AP64" s="6559">
        <v>1</v>
      </c>
      <c r="AQ64" s="6561">
        <v>4040</v>
      </c>
      <c r="AR64" s="1488">
        <f t="shared" si="111"/>
        <v>42</v>
      </c>
      <c r="AS64" s="1551">
        <f t="shared" si="111"/>
        <v>167462</v>
      </c>
      <c r="AT64" s="6715">
        <v>1</v>
      </c>
      <c r="AU64" s="6561">
        <v>4037</v>
      </c>
      <c r="AV64" s="1488">
        <f t="shared" si="112"/>
        <v>43</v>
      </c>
      <c r="AW64" s="1551">
        <f t="shared" si="112"/>
        <v>171499</v>
      </c>
      <c r="AX64" s="6715">
        <v>0</v>
      </c>
      <c r="AY64" s="6561">
        <v>0</v>
      </c>
      <c r="AZ64" s="6565">
        <f t="shared" si="113"/>
        <v>2</v>
      </c>
      <c r="BA64" s="6711">
        <f t="shared" si="113"/>
        <v>8077</v>
      </c>
      <c r="BB64" s="6567">
        <f t="shared" si="114"/>
        <v>18</v>
      </c>
      <c r="BC64" s="6563">
        <f t="shared" si="114"/>
        <v>72083</v>
      </c>
      <c r="BD64" s="1488">
        <f t="shared" si="115"/>
        <v>43</v>
      </c>
      <c r="BE64" s="1551">
        <f t="shared" si="115"/>
        <v>171499</v>
      </c>
      <c r="BF64" s="533"/>
      <c r="BG64" s="533"/>
      <c r="BH64" s="533"/>
      <c r="BI64" s="533"/>
    </row>
    <row r="65" spans="2:61" s="1359" customFormat="1" ht="21.95" hidden="1" customHeight="1" thickBot="1" x14ac:dyDescent="0.3">
      <c r="B65" s="7581"/>
      <c r="C65" s="6763" t="s">
        <v>1248</v>
      </c>
      <c r="D65" s="6559">
        <v>0</v>
      </c>
      <c r="E65" s="6561">
        <v>0</v>
      </c>
      <c r="F65" s="6559">
        <v>0</v>
      </c>
      <c r="G65" s="6561">
        <v>0</v>
      </c>
      <c r="H65" s="1488">
        <f t="shared" si="0"/>
        <v>0</v>
      </c>
      <c r="I65" s="1489">
        <f t="shared" si="1"/>
        <v>0</v>
      </c>
      <c r="J65" s="6559">
        <v>0</v>
      </c>
      <c r="K65" s="6561"/>
      <c r="L65" s="6562">
        <f t="shared" si="16"/>
        <v>0</v>
      </c>
      <c r="M65" s="6562">
        <f t="shared" si="2"/>
        <v>0</v>
      </c>
      <c r="N65" s="6559">
        <v>0</v>
      </c>
      <c r="O65" s="6561">
        <v>0</v>
      </c>
      <c r="P65" s="1551">
        <f t="shared" si="3"/>
        <v>0</v>
      </c>
      <c r="Q65" s="1551">
        <f t="shared" si="3"/>
        <v>0</v>
      </c>
      <c r="R65" s="6559">
        <v>0</v>
      </c>
      <c r="S65" s="6561">
        <v>0</v>
      </c>
      <c r="T65" s="1551">
        <f t="shared" si="4"/>
        <v>0</v>
      </c>
      <c r="U65" s="1551">
        <f t="shared" si="4"/>
        <v>0</v>
      </c>
      <c r="V65" s="6559">
        <v>0</v>
      </c>
      <c r="W65" s="6561">
        <v>0</v>
      </c>
      <c r="X65" s="6565">
        <f t="shared" si="5"/>
        <v>0</v>
      </c>
      <c r="Y65" s="6711">
        <f t="shared" si="5"/>
        <v>0</v>
      </c>
      <c r="Z65" s="6567">
        <f t="shared" si="6"/>
        <v>0</v>
      </c>
      <c r="AA65" s="6563">
        <f t="shared" si="6"/>
        <v>0</v>
      </c>
      <c r="AB65" s="6559">
        <v>0</v>
      </c>
      <c r="AC65" s="6561">
        <v>0</v>
      </c>
      <c r="AD65" s="1488">
        <f t="shared" si="108"/>
        <v>0</v>
      </c>
      <c r="AE65" s="1551">
        <f t="shared" si="108"/>
        <v>0</v>
      </c>
      <c r="AF65" s="6559">
        <v>0</v>
      </c>
      <c r="AG65" s="6561">
        <v>0</v>
      </c>
      <c r="AH65" s="1488">
        <f t="shared" si="109"/>
        <v>0</v>
      </c>
      <c r="AI65" s="1551">
        <f t="shared" si="109"/>
        <v>0</v>
      </c>
      <c r="AJ65" s="6559">
        <v>0</v>
      </c>
      <c r="AK65" s="6561">
        <v>0</v>
      </c>
      <c r="AL65" s="6565">
        <f t="shared" si="110"/>
        <v>0</v>
      </c>
      <c r="AM65" s="6710">
        <f t="shared" si="110"/>
        <v>0</v>
      </c>
      <c r="AN65" s="1488">
        <f t="shared" si="103"/>
        <v>0</v>
      </c>
      <c r="AO65" s="1551">
        <f t="shared" si="103"/>
        <v>0</v>
      </c>
      <c r="AP65" s="6559">
        <v>0</v>
      </c>
      <c r="AQ65" s="6561">
        <v>0</v>
      </c>
      <c r="AR65" s="1488">
        <f t="shared" si="111"/>
        <v>0</v>
      </c>
      <c r="AS65" s="1551">
        <f t="shared" si="111"/>
        <v>0</v>
      </c>
      <c r="AT65" s="6724">
        <v>0</v>
      </c>
      <c r="AU65" s="6561">
        <v>0</v>
      </c>
      <c r="AV65" s="1488">
        <f t="shared" si="112"/>
        <v>0</v>
      </c>
      <c r="AW65" s="1551">
        <f t="shared" si="112"/>
        <v>0</v>
      </c>
      <c r="AX65" s="6724">
        <v>0</v>
      </c>
      <c r="AY65" s="6561">
        <v>0</v>
      </c>
      <c r="AZ65" s="6565">
        <f t="shared" si="113"/>
        <v>0</v>
      </c>
      <c r="BA65" s="6711">
        <f t="shared" si="113"/>
        <v>0</v>
      </c>
      <c r="BB65" s="6567">
        <f t="shared" si="114"/>
        <v>0</v>
      </c>
      <c r="BC65" s="6563">
        <f t="shared" si="114"/>
        <v>0</v>
      </c>
      <c r="BD65" s="1488">
        <f t="shared" si="115"/>
        <v>0</v>
      </c>
      <c r="BE65" s="1551">
        <f t="shared" si="115"/>
        <v>0</v>
      </c>
      <c r="BF65" s="533"/>
      <c r="BG65" s="533"/>
      <c r="BH65" s="533"/>
      <c r="BI65" s="533"/>
    </row>
    <row r="66" spans="2:61" s="1359" customFormat="1" ht="21.95" customHeight="1" thickBot="1" x14ac:dyDescent="0.3">
      <c r="B66" s="1485" t="s">
        <v>1249</v>
      </c>
      <c r="C66" s="6550" t="s">
        <v>1024</v>
      </c>
      <c r="D66" s="6551">
        <v>2</v>
      </c>
      <c r="E66" s="6556">
        <v>7808</v>
      </c>
      <c r="F66" s="6551">
        <v>1</v>
      </c>
      <c r="G66" s="6556">
        <v>4038</v>
      </c>
      <c r="H66" s="1488">
        <f t="shared" si="0"/>
        <v>3</v>
      </c>
      <c r="I66" s="1489">
        <f t="shared" si="1"/>
        <v>11846</v>
      </c>
      <c r="J66" s="6551">
        <v>1</v>
      </c>
      <c r="K66" s="6556">
        <v>3930</v>
      </c>
      <c r="L66" s="6554">
        <f t="shared" si="16"/>
        <v>4</v>
      </c>
      <c r="M66" s="6554">
        <f t="shared" si="2"/>
        <v>15776</v>
      </c>
      <c r="N66" s="6551"/>
      <c r="O66" s="6556"/>
      <c r="P66" s="1551">
        <f t="shared" si="3"/>
        <v>4</v>
      </c>
      <c r="Q66" s="1551">
        <f t="shared" si="3"/>
        <v>15776</v>
      </c>
      <c r="R66" s="6551">
        <v>1</v>
      </c>
      <c r="S66" s="6556">
        <v>3401</v>
      </c>
      <c r="T66" s="1551">
        <f t="shared" si="4"/>
        <v>5</v>
      </c>
      <c r="U66" s="1551">
        <f t="shared" si="4"/>
        <v>19177</v>
      </c>
      <c r="V66" s="6551">
        <v>1</v>
      </c>
      <c r="W66" s="6556">
        <v>3925</v>
      </c>
      <c r="X66" s="6744">
        <f t="shared" si="5"/>
        <v>2</v>
      </c>
      <c r="Y66" s="6566">
        <f t="shared" si="5"/>
        <v>7326</v>
      </c>
      <c r="Z66" s="6765">
        <f t="shared" si="6"/>
        <v>6</v>
      </c>
      <c r="AA66" s="6557">
        <f t="shared" si="6"/>
        <v>23102</v>
      </c>
      <c r="AB66" s="6551">
        <v>1</v>
      </c>
      <c r="AC66" s="6556">
        <v>3283</v>
      </c>
      <c r="AD66" s="2413">
        <f t="shared" si="108"/>
        <v>7</v>
      </c>
      <c r="AE66" s="2414">
        <f t="shared" si="108"/>
        <v>26385</v>
      </c>
      <c r="AF66" s="6551">
        <v>1</v>
      </c>
      <c r="AG66" s="6556">
        <v>3954</v>
      </c>
      <c r="AH66" s="2413">
        <f t="shared" si="109"/>
        <v>8</v>
      </c>
      <c r="AI66" s="2414">
        <f t="shared" si="109"/>
        <v>30339</v>
      </c>
      <c r="AJ66" s="6551">
        <v>1</v>
      </c>
      <c r="AK66" s="6556">
        <v>3454</v>
      </c>
      <c r="AL66" s="6744">
        <f t="shared" si="110"/>
        <v>3</v>
      </c>
      <c r="AM66" s="6568">
        <f t="shared" si="110"/>
        <v>10691</v>
      </c>
      <c r="AN66" s="2413">
        <f t="shared" si="103"/>
        <v>9</v>
      </c>
      <c r="AO66" s="2414">
        <f t="shared" si="103"/>
        <v>33793</v>
      </c>
      <c r="AP66" s="6551">
        <v>1</v>
      </c>
      <c r="AQ66" s="6556">
        <v>3842</v>
      </c>
      <c r="AR66" s="2413">
        <f t="shared" si="111"/>
        <v>10</v>
      </c>
      <c r="AS66" s="2414">
        <f t="shared" si="111"/>
        <v>37635</v>
      </c>
      <c r="AT66" s="2415">
        <v>1</v>
      </c>
      <c r="AU66" s="6556">
        <v>3909</v>
      </c>
      <c r="AV66" s="2413">
        <f t="shared" si="112"/>
        <v>11</v>
      </c>
      <c r="AW66" s="2414">
        <f t="shared" si="112"/>
        <v>41544</v>
      </c>
      <c r="AX66" s="2415">
        <v>2</v>
      </c>
      <c r="AY66" s="6556">
        <v>7300</v>
      </c>
      <c r="AZ66" s="6744">
        <f t="shared" si="113"/>
        <v>4</v>
      </c>
      <c r="BA66" s="6566">
        <f t="shared" si="113"/>
        <v>15051</v>
      </c>
      <c r="BB66" s="6567">
        <f t="shared" si="114"/>
        <v>7</v>
      </c>
      <c r="BC66" s="6563">
        <f t="shared" si="114"/>
        <v>25742</v>
      </c>
      <c r="BD66" s="1488">
        <f t="shared" si="115"/>
        <v>13</v>
      </c>
      <c r="BE66" s="1551">
        <f t="shared" si="115"/>
        <v>48844</v>
      </c>
      <c r="BF66" s="533"/>
      <c r="BG66" s="533"/>
      <c r="BH66" s="533"/>
      <c r="BI66" s="533"/>
    </row>
    <row r="67" spans="2:61" s="1357" customFormat="1" ht="21.95" customHeight="1" thickBot="1" x14ac:dyDescent="0.3">
      <c r="B67" s="7571"/>
      <c r="C67" s="6763" t="s">
        <v>1252</v>
      </c>
      <c r="D67" s="6551">
        <v>0</v>
      </c>
      <c r="E67" s="6556">
        <v>0</v>
      </c>
      <c r="F67" s="6551">
        <v>0</v>
      </c>
      <c r="G67" s="6556">
        <v>0</v>
      </c>
      <c r="H67" s="1488">
        <f t="shared" si="0"/>
        <v>0</v>
      </c>
      <c r="I67" s="1489">
        <f t="shared" si="1"/>
        <v>0</v>
      </c>
      <c r="J67" s="6551">
        <v>0</v>
      </c>
      <c r="K67" s="6556"/>
      <c r="L67" s="6554">
        <f t="shared" si="16"/>
        <v>0</v>
      </c>
      <c r="M67" s="6554">
        <f t="shared" si="2"/>
        <v>0</v>
      </c>
      <c r="N67" s="6551"/>
      <c r="O67" s="6556"/>
      <c r="P67" s="1551">
        <f t="shared" si="3"/>
        <v>0</v>
      </c>
      <c r="Q67" s="1551">
        <f t="shared" si="3"/>
        <v>0</v>
      </c>
      <c r="R67" s="6551">
        <v>0</v>
      </c>
      <c r="S67" s="6556">
        <v>0</v>
      </c>
      <c r="T67" s="1551">
        <f t="shared" si="4"/>
        <v>0</v>
      </c>
      <c r="U67" s="1551">
        <f t="shared" si="4"/>
        <v>0</v>
      </c>
      <c r="V67" s="6551">
        <v>0</v>
      </c>
      <c r="W67" s="6556">
        <v>0</v>
      </c>
      <c r="X67" s="6749">
        <f t="shared" si="5"/>
        <v>0</v>
      </c>
      <c r="Y67" s="6751">
        <f t="shared" si="5"/>
        <v>0</v>
      </c>
      <c r="Z67" s="6765">
        <f t="shared" si="6"/>
        <v>0</v>
      </c>
      <c r="AA67" s="6557">
        <f t="shared" si="6"/>
        <v>0</v>
      </c>
      <c r="AB67" s="6551">
        <v>1</v>
      </c>
      <c r="AC67" s="6556">
        <v>3785</v>
      </c>
      <c r="AD67" s="6766">
        <f t="shared" si="108"/>
        <v>1</v>
      </c>
      <c r="AE67" s="6767">
        <f t="shared" si="108"/>
        <v>3785</v>
      </c>
      <c r="AF67" s="6551"/>
      <c r="AG67" s="6556"/>
      <c r="AH67" s="6766">
        <f t="shared" si="109"/>
        <v>1</v>
      </c>
      <c r="AI67" s="6767">
        <f t="shared" si="109"/>
        <v>3785</v>
      </c>
      <c r="AJ67" s="6551">
        <v>0</v>
      </c>
      <c r="AK67" s="6556">
        <v>0</v>
      </c>
      <c r="AL67" s="6749">
        <f t="shared" si="110"/>
        <v>1</v>
      </c>
      <c r="AM67" s="6750">
        <f t="shared" si="110"/>
        <v>3785</v>
      </c>
      <c r="AN67" s="6766">
        <f t="shared" si="103"/>
        <v>1</v>
      </c>
      <c r="AO67" s="6767">
        <f t="shared" si="103"/>
        <v>3785</v>
      </c>
      <c r="AP67" s="6551">
        <v>0</v>
      </c>
      <c r="AQ67" s="6556">
        <v>0</v>
      </c>
      <c r="AR67" s="6766">
        <f t="shared" si="111"/>
        <v>1</v>
      </c>
      <c r="AS67" s="6767">
        <f t="shared" si="111"/>
        <v>3785</v>
      </c>
      <c r="AT67" s="6768">
        <v>0</v>
      </c>
      <c r="AU67" s="6556">
        <v>0</v>
      </c>
      <c r="AV67" s="6766">
        <f t="shared" si="112"/>
        <v>1</v>
      </c>
      <c r="AW67" s="6767">
        <f t="shared" si="112"/>
        <v>3785</v>
      </c>
      <c r="AX67" s="6768">
        <v>0</v>
      </c>
      <c r="AY67" s="6556">
        <v>0</v>
      </c>
      <c r="AZ67" s="6749">
        <f t="shared" si="113"/>
        <v>0</v>
      </c>
      <c r="BA67" s="6751">
        <f t="shared" si="113"/>
        <v>0</v>
      </c>
      <c r="BB67" s="6567">
        <f t="shared" si="114"/>
        <v>1</v>
      </c>
      <c r="BC67" s="6563">
        <f t="shared" si="114"/>
        <v>3785</v>
      </c>
      <c r="BD67" s="1488">
        <f t="shared" si="115"/>
        <v>1</v>
      </c>
      <c r="BE67" s="1551">
        <f t="shared" si="115"/>
        <v>3785</v>
      </c>
      <c r="BF67" s="533"/>
      <c r="BG67" s="533"/>
      <c r="BH67" s="533"/>
      <c r="BI67" s="533"/>
    </row>
    <row r="68" spans="2:61" s="1357" customFormat="1" ht="21.95" hidden="1" customHeight="1" thickBot="1" x14ac:dyDescent="0.3">
      <c r="B68" s="7572"/>
      <c r="C68" s="6550" t="s">
        <v>1370</v>
      </c>
      <c r="D68" s="6551">
        <f>SUM(D69:D69)</f>
        <v>0</v>
      </c>
      <c r="E68" s="6551">
        <f>SUM(E69:E69)</f>
        <v>0</v>
      </c>
      <c r="F68" s="6551">
        <f>SUM(F69:F69)</f>
        <v>0</v>
      </c>
      <c r="G68" s="6551">
        <f>SUM(G69:G69)</f>
        <v>0</v>
      </c>
      <c r="H68" s="1488">
        <f t="shared" si="0"/>
        <v>0</v>
      </c>
      <c r="I68" s="1489">
        <f t="shared" si="1"/>
        <v>0</v>
      </c>
      <c r="J68" s="6551">
        <f>SUM(J69:J69)</f>
        <v>0</v>
      </c>
      <c r="K68" s="6551">
        <f>SUM(K69:K69)</f>
        <v>0</v>
      </c>
      <c r="L68" s="6554">
        <f t="shared" ref="L68:L69" si="116">+D68+F68+J68</f>
        <v>0</v>
      </c>
      <c r="M68" s="6554">
        <f t="shared" ref="M68:M69" si="117">+E68+G68+K68</f>
        <v>0</v>
      </c>
      <c r="N68" s="6551">
        <f>SUM(N69:N69)</f>
        <v>0</v>
      </c>
      <c r="O68" s="6551">
        <f>SUM(O69:O69)</f>
        <v>85</v>
      </c>
      <c r="P68" s="6555">
        <f t="shared" ref="P68:P69" si="118">L68+N68</f>
        <v>0</v>
      </c>
      <c r="Q68" s="6555">
        <f t="shared" ref="Q68:Q69" si="119">M68+O68</f>
        <v>85</v>
      </c>
      <c r="R68" s="6551">
        <f>SUM(R69:R69)</f>
        <v>0</v>
      </c>
      <c r="S68" s="6551">
        <f>SUM(S69:S69)</f>
        <v>0</v>
      </c>
      <c r="T68" s="6555">
        <f t="shared" ref="T68:T69" si="120">P68+R68</f>
        <v>0</v>
      </c>
      <c r="U68" s="6555">
        <f t="shared" ref="U68:U69" si="121">Q68+S68</f>
        <v>85</v>
      </c>
      <c r="V68" s="6551">
        <f t="shared" ref="V68:AW68" si="122">SUM(V69:V69)</f>
        <v>0</v>
      </c>
      <c r="W68" s="6551">
        <f t="shared" si="122"/>
        <v>0</v>
      </c>
      <c r="X68" s="6556">
        <f t="shared" si="122"/>
        <v>0</v>
      </c>
      <c r="Y68" s="6554">
        <f t="shared" si="122"/>
        <v>85</v>
      </c>
      <c r="Z68" s="6556">
        <f t="shared" si="122"/>
        <v>0</v>
      </c>
      <c r="AA68" s="6557">
        <f t="shared" si="122"/>
        <v>85</v>
      </c>
      <c r="AB68" s="6551">
        <f t="shared" si="122"/>
        <v>0</v>
      </c>
      <c r="AC68" s="6551">
        <f t="shared" si="122"/>
        <v>0</v>
      </c>
      <c r="AD68" s="6556">
        <f t="shared" si="122"/>
        <v>0</v>
      </c>
      <c r="AE68" s="6556">
        <f t="shared" si="122"/>
        <v>85</v>
      </c>
      <c r="AF68" s="6551">
        <f t="shared" si="122"/>
        <v>0</v>
      </c>
      <c r="AG68" s="6551">
        <f t="shared" si="122"/>
        <v>0</v>
      </c>
      <c r="AH68" s="6556">
        <f t="shared" si="122"/>
        <v>0</v>
      </c>
      <c r="AI68" s="6556">
        <f t="shared" si="122"/>
        <v>85</v>
      </c>
      <c r="AJ68" s="6551">
        <f t="shared" si="122"/>
        <v>0</v>
      </c>
      <c r="AK68" s="6551">
        <f t="shared" si="122"/>
        <v>0</v>
      </c>
      <c r="AL68" s="6556">
        <f t="shared" si="122"/>
        <v>0</v>
      </c>
      <c r="AM68" s="6554">
        <f t="shared" si="122"/>
        <v>0</v>
      </c>
      <c r="AN68" s="6556">
        <f t="shared" si="122"/>
        <v>0</v>
      </c>
      <c r="AO68" s="6556">
        <f t="shared" si="122"/>
        <v>85</v>
      </c>
      <c r="AP68" s="6551">
        <f t="shared" si="122"/>
        <v>0</v>
      </c>
      <c r="AQ68" s="6551">
        <f t="shared" si="122"/>
        <v>0</v>
      </c>
      <c r="AR68" s="6556">
        <f t="shared" si="122"/>
        <v>0</v>
      </c>
      <c r="AS68" s="6556">
        <f t="shared" si="122"/>
        <v>85</v>
      </c>
      <c r="AT68" s="6556">
        <f t="shared" si="122"/>
        <v>0</v>
      </c>
      <c r="AU68" s="6551">
        <f t="shared" si="122"/>
        <v>0</v>
      </c>
      <c r="AV68" s="6556">
        <f t="shared" si="122"/>
        <v>0</v>
      </c>
      <c r="AW68" s="6556">
        <f t="shared" si="122"/>
        <v>85</v>
      </c>
      <c r="AX68" s="6556">
        <v>0</v>
      </c>
      <c r="AY68" s="6551">
        <v>0</v>
      </c>
      <c r="AZ68" s="6554">
        <f t="shared" ref="AZ68:BE68" si="123">SUM(AZ69:AZ69)</f>
        <v>0</v>
      </c>
      <c r="BA68" s="6554">
        <f t="shared" si="123"/>
        <v>0</v>
      </c>
      <c r="BB68" s="6557">
        <f t="shared" si="123"/>
        <v>0</v>
      </c>
      <c r="BC68" s="6557">
        <f t="shared" si="123"/>
        <v>0</v>
      </c>
      <c r="BD68" s="6553">
        <f t="shared" si="123"/>
        <v>0</v>
      </c>
      <c r="BE68" s="6553">
        <f t="shared" si="123"/>
        <v>85</v>
      </c>
      <c r="BF68" s="533"/>
      <c r="BG68" s="533"/>
      <c r="BH68" s="533"/>
      <c r="BI68" s="533"/>
    </row>
    <row r="69" spans="2:61" s="1357" customFormat="1" ht="21.95" hidden="1" customHeight="1" thickBot="1" x14ac:dyDescent="0.3">
      <c r="B69" s="7572"/>
      <c r="C69" s="6558" t="s">
        <v>1713</v>
      </c>
      <c r="D69" s="6559"/>
      <c r="E69" s="6560"/>
      <c r="F69" s="6559"/>
      <c r="G69" s="6560"/>
      <c r="H69" s="1488">
        <f t="shared" ref="H69:H89" si="124">+D69+F69</f>
        <v>0</v>
      </c>
      <c r="I69" s="1489">
        <f t="shared" ref="I69:I89" si="125">+G69+E69</f>
        <v>0</v>
      </c>
      <c r="J69" s="6560">
        <v>0</v>
      </c>
      <c r="K69" s="6560">
        <v>0</v>
      </c>
      <c r="L69" s="6561">
        <f t="shared" si="116"/>
        <v>0</v>
      </c>
      <c r="M69" s="6562">
        <f t="shared" si="117"/>
        <v>0</v>
      </c>
      <c r="N69" s="6561"/>
      <c r="O69" s="6560">
        <v>85</v>
      </c>
      <c r="P69" s="6560">
        <f t="shared" si="118"/>
        <v>0</v>
      </c>
      <c r="Q69" s="6560">
        <f t="shared" si="119"/>
        <v>85</v>
      </c>
      <c r="R69" s="6560"/>
      <c r="S69" s="6560"/>
      <c r="T69" s="6560">
        <f t="shared" si="120"/>
        <v>0</v>
      </c>
      <c r="U69" s="6560">
        <f t="shared" si="121"/>
        <v>85</v>
      </c>
      <c r="V69" s="6560">
        <v>0</v>
      </c>
      <c r="W69" s="6560">
        <v>0</v>
      </c>
      <c r="X69" s="6561">
        <f t="shared" ref="X69:Y76" si="126">+N69+R69+V69</f>
        <v>0</v>
      </c>
      <c r="Y69" s="6562">
        <f t="shared" si="126"/>
        <v>85</v>
      </c>
      <c r="Z69" s="6561">
        <f t="shared" ref="Z69:AA76" si="127">L69+X69</f>
        <v>0</v>
      </c>
      <c r="AA69" s="6563">
        <f t="shared" si="127"/>
        <v>85</v>
      </c>
      <c r="AB69" s="6561"/>
      <c r="AC69" s="6560"/>
      <c r="AD69" s="6560">
        <f t="shared" ref="AD69" si="128">Z69+AB69</f>
        <v>0</v>
      </c>
      <c r="AE69" s="6560">
        <f t="shared" ref="AE69" si="129">SUM(AA69,AC69)</f>
        <v>85</v>
      </c>
      <c r="AF69" s="6560"/>
      <c r="AG69" s="6560"/>
      <c r="AH69" s="6560">
        <f t="shared" ref="AH69:AI69" si="130">SUM(AD69,AF69)</f>
        <v>0</v>
      </c>
      <c r="AI69" s="6560">
        <f t="shared" si="130"/>
        <v>85</v>
      </c>
      <c r="AJ69" s="6560">
        <v>0</v>
      </c>
      <c r="AK69" s="6560">
        <v>0</v>
      </c>
      <c r="AL69" s="6561"/>
      <c r="AM69" s="6562">
        <f t="shared" ref="AL69:AM89" si="131">+AC69+AG69+AK69</f>
        <v>0</v>
      </c>
      <c r="AN69" s="6561">
        <f t="shared" ref="AN69:AO89" si="132">AH69+AJ69</f>
        <v>0</v>
      </c>
      <c r="AO69" s="6561">
        <f t="shared" si="132"/>
        <v>85</v>
      </c>
      <c r="AP69" s="6561"/>
      <c r="AQ69" s="6560"/>
      <c r="AR69" s="6560">
        <f t="shared" ref="AR69" si="133">AN69+AP69</f>
        <v>0</v>
      </c>
      <c r="AS69" s="6560">
        <f t="shared" ref="AS69" si="134">SUM(AO69,AQ69)</f>
        <v>85</v>
      </c>
      <c r="AT69" s="6560">
        <v>0</v>
      </c>
      <c r="AU69" s="6560">
        <v>0</v>
      </c>
      <c r="AV69" s="6560">
        <f t="shared" ref="AV69:AW76" si="135">AR69+AT69</f>
        <v>0</v>
      </c>
      <c r="AW69" s="6560">
        <f t="shared" ref="AW69" si="136">SUM(AS69,AU69)</f>
        <v>85</v>
      </c>
      <c r="AX69" s="6560"/>
      <c r="AY69" s="6560"/>
      <c r="AZ69" s="6562"/>
      <c r="BA69" s="6562">
        <f t="shared" ref="BA69:BA89" si="137">+AQ69+AU69+AY69</f>
        <v>0</v>
      </c>
      <c r="BB69" s="6563"/>
      <c r="BC69" s="6563">
        <f t="shared" ref="BC69" si="138">AM69+BA69</f>
        <v>0</v>
      </c>
      <c r="BD69" s="1488">
        <f t="shared" ref="BD69" si="139">AV69+AX69</f>
        <v>0</v>
      </c>
      <c r="BE69" s="1551">
        <f t="shared" ref="BE69" si="140">AW69+AY69</f>
        <v>85</v>
      </c>
      <c r="BF69" s="533"/>
      <c r="BG69" s="533"/>
      <c r="BH69" s="533"/>
      <c r="BI69" s="533"/>
    </row>
    <row r="70" spans="2:61" s="1357" customFormat="1" ht="21.95" customHeight="1" thickBot="1" x14ac:dyDescent="0.3">
      <c r="B70" s="7572"/>
      <c r="C70" s="6550" t="s">
        <v>1369</v>
      </c>
      <c r="D70" s="6551"/>
      <c r="E70" s="6560">
        <f>+E71+E72+E73</f>
        <v>0</v>
      </c>
      <c r="F70" s="6551"/>
      <c r="G70" s="6560">
        <f>+G71+G72+G73</f>
        <v>2078.5</v>
      </c>
      <c r="H70" s="1488">
        <f t="shared" si="124"/>
        <v>0</v>
      </c>
      <c r="I70" s="1489">
        <f t="shared" si="125"/>
        <v>2078.5</v>
      </c>
      <c r="J70" s="6560">
        <f t="shared" ref="J70:BE70" si="141">+J71+J72+J73</f>
        <v>0</v>
      </c>
      <c r="K70" s="6560">
        <f t="shared" si="141"/>
        <v>2138.1999999999998</v>
      </c>
      <c r="L70" s="6561">
        <f t="shared" si="141"/>
        <v>0</v>
      </c>
      <c r="M70" s="6562">
        <f t="shared" si="141"/>
        <v>24392.2</v>
      </c>
      <c r="N70" s="6561">
        <f t="shared" si="141"/>
        <v>0</v>
      </c>
      <c r="O70" s="6560">
        <f t="shared" si="141"/>
        <v>2504</v>
      </c>
      <c r="P70" s="6560">
        <f t="shared" si="141"/>
        <v>0</v>
      </c>
      <c r="Q70" s="6560">
        <f t="shared" si="141"/>
        <v>26896.2</v>
      </c>
      <c r="R70" s="6560">
        <f t="shared" si="141"/>
        <v>0</v>
      </c>
      <c r="S70" s="6560">
        <f t="shared" si="141"/>
        <v>4733.1000000000004</v>
      </c>
      <c r="T70" s="6560">
        <f t="shared" si="141"/>
        <v>0</v>
      </c>
      <c r="U70" s="6560">
        <f t="shared" si="141"/>
        <v>31629.3</v>
      </c>
      <c r="V70" s="6560">
        <f t="shared" si="141"/>
        <v>0</v>
      </c>
      <c r="W70" s="6560">
        <f t="shared" si="141"/>
        <v>9295.5499999999993</v>
      </c>
      <c r="X70" s="6561">
        <f t="shared" si="141"/>
        <v>0</v>
      </c>
      <c r="Y70" s="6562">
        <f t="shared" si="141"/>
        <v>16532.650000000001</v>
      </c>
      <c r="Z70" s="6561">
        <f t="shared" si="141"/>
        <v>0</v>
      </c>
      <c r="AA70" s="6563">
        <f t="shared" si="141"/>
        <v>40924.85</v>
      </c>
      <c r="AB70" s="6561">
        <f t="shared" si="141"/>
        <v>0</v>
      </c>
      <c r="AC70" s="6560">
        <f t="shared" si="141"/>
        <v>9182.4</v>
      </c>
      <c r="AD70" s="6560">
        <f t="shared" si="141"/>
        <v>0</v>
      </c>
      <c r="AE70" s="6560">
        <f t="shared" si="141"/>
        <v>50107.25</v>
      </c>
      <c r="AF70" s="6560">
        <f t="shared" si="141"/>
        <v>0</v>
      </c>
      <c r="AG70" s="6560">
        <f t="shared" si="141"/>
        <v>73</v>
      </c>
      <c r="AH70" s="6560">
        <f t="shared" si="141"/>
        <v>0</v>
      </c>
      <c r="AI70" s="6560">
        <f t="shared" si="141"/>
        <v>50180.25</v>
      </c>
      <c r="AJ70" s="6560">
        <f t="shared" si="141"/>
        <v>0</v>
      </c>
      <c r="AK70" s="6560">
        <f t="shared" si="141"/>
        <v>2135</v>
      </c>
      <c r="AL70" s="6561">
        <f t="shared" si="141"/>
        <v>0</v>
      </c>
      <c r="AM70" s="6562">
        <f t="shared" si="141"/>
        <v>11390.4</v>
      </c>
      <c r="AN70" s="6561">
        <f t="shared" si="141"/>
        <v>0</v>
      </c>
      <c r="AO70" s="6561">
        <f t="shared" si="141"/>
        <v>52315.25</v>
      </c>
      <c r="AP70" s="6561">
        <f t="shared" si="141"/>
        <v>0</v>
      </c>
      <c r="AQ70" s="6560">
        <f t="shared" si="141"/>
        <v>2282</v>
      </c>
      <c r="AR70" s="6560">
        <f t="shared" si="141"/>
        <v>0</v>
      </c>
      <c r="AS70" s="6560">
        <f t="shared" si="141"/>
        <v>54597.25</v>
      </c>
      <c r="AT70" s="6560">
        <f t="shared" si="141"/>
        <v>0</v>
      </c>
      <c r="AU70" s="6560">
        <f t="shared" si="141"/>
        <v>0</v>
      </c>
      <c r="AV70" s="6560">
        <f t="shared" si="141"/>
        <v>0</v>
      </c>
      <c r="AW70" s="6560">
        <f t="shared" si="141"/>
        <v>54597.25</v>
      </c>
      <c r="AX70" s="6560">
        <f t="shared" si="141"/>
        <v>0</v>
      </c>
      <c r="AY70" s="6560">
        <f t="shared" si="141"/>
        <v>2541</v>
      </c>
      <c r="AZ70" s="6562">
        <f t="shared" si="141"/>
        <v>0</v>
      </c>
      <c r="BA70" s="6562">
        <f t="shared" si="141"/>
        <v>4823</v>
      </c>
      <c r="BB70" s="6563">
        <f t="shared" si="141"/>
        <v>0</v>
      </c>
      <c r="BC70" s="6563">
        <f t="shared" si="141"/>
        <v>16213.4</v>
      </c>
      <c r="BD70" s="6564">
        <f t="shared" si="141"/>
        <v>0</v>
      </c>
      <c r="BE70" s="6564">
        <f t="shared" si="141"/>
        <v>57138.25</v>
      </c>
      <c r="BF70" s="533"/>
      <c r="BG70" s="533"/>
      <c r="BH70" s="533"/>
      <c r="BI70" s="533"/>
    </row>
    <row r="71" spans="2:61" s="1357" customFormat="1" ht="21.95" customHeight="1" thickBot="1" x14ac:dyDescent="0.3">
      <c r="B71" s="7572"/>
      <c r="C71" s="6558" t="s">
        <v>2173</v>
      </c>
      <c r="D71" s="6559"/>
      <c r="E71" s="6560">
        <f>'Direct sales IPT details'!E204</f>
        <v>0</v>
      </c>
      <c r="F71" s="6559"/>
      <c r="G71" s="6560">
        <f>'Direct sales IPT details'!G204</f>
        <v>2078.5</v>
      </c>
      <c r="H71" s="1488">
        <f t="shared" si="124"/>
        <v>0</v>
      </c>
      <c r="I71" s="1489">
        <f t="shared" si="125"/>
        <v>2078.5</v>
      </c>
      <c r="J71" s="6560">
        <f>'Direct sales IPT details'!J204</f>
        <v>0</v>
      </c>
      <c r="K71" s="6560">
        <f>'Direct sales IPT details'!K204</f>
        <v>0</v>
      </c>
      <c r="L71" s="6561">
        <f>'Direct sales IPT details'!L204</f>
        <v>0</v>
      </c>
      <c r="M71" s="6562">
        <f>'Direct sales IPT details'!M204</f>
        <v>22254</v>
      </c>
      <c r="N71" s="6561">
        <f>'Direct sales IPT details'!N204</f>
        <v>0</v>
      </c>
      <c r="O71" s="6560">
        <f>'Direct sales IPT details'!O204</f>
        <v>2504</v>
      </c>
      <c r="P71" s="6560">
        <f>'Direct sales IPT details'!P204</f>
        <v>0</v>
      </c>
      <c r="Q71" s="6560">
        <f>'Direct sales IPT details'!Q204</f>
        <v>24758</v>
      </c>
      <c r="R71" s="6560">
        <f>'Direct sales IPT details'!R204</f>
        <v>0</v>
      </c>
      <c r="S71" s="6560">
        <f>'Direct sales IPT details'!S204</f>
        <v>4692.1000000000004</v>
      </c>
      <c r="T71" s="6560">
        <f>'Direct sales IPT details'!T204</f>
        <v>0</v>
      </c>
      <c r="U71" s="6560">
        <f>'Direct sales IPT details'!U204</f>
        <v>29450.1</v>
      </c>
      <c r="V71" s="6560">
        <f>'Direct sales IPT details'!V204</f>
        <v>0</v>
      </c>
      <c r="W71" s="6560">
        <f>'Direct sales IPT details'!W204</f>
        <v>6823</v>
      </c>
      <c r="X71" s="6561">
        <f>'Direct sales IPT details'!X204</f>
        <v>0</v>
      </c>
      <c r="Y71" s="6562">
        <f>'Direct sales IPT details'!Y204</f>
        <v>14019.1</v>
      </c>
      <c r="Z71" s="6561">
        <f>'Direct sales IPT details'!Z204</f>
        <v>0</v>
      </c>
      <c r="AA71" s="6563">
        <f>'Direct sales IPT details'!AA204</f>
        <v>36273.1</v>
      </c>
      <c r="AB71" s="6561">
        <f>'Direct sales IPT details'!AB204</f>
        <v>0</v>
      </c>
      <c r="AC71" s="6560">
        <f>'Direct sales IPT details'!AC204</f>
        <v>4379</v>
      </c>
      <c r="AD71" s="6560">
        <f>'Direct sales IPT details'!AD204</f>
        <v>0</v>
      </c>
      <c r="AE71" s="6560">
        <f>'Direct sales IPT details'!AE204</f>
        <v>40652.1</v>
      </c>
      <c r="AF71" s="6560">
        <f>'Direct sales IPT details'!AF204</f>
        <v>0</v>
      </c>
      <c r="AG71" s="6560">
        <f>'Direct sales IPT details'!AG204</f>
        <v>73</v>
      </c>
      <c r="AH71" s="6560">
        <f>'Direct sales IPT details'!AH204</f>
        <v>0</v>
      </c>
      <c r="AI71" s="6560">
        <f>'Direct sales IPT details'!AI204</f>
        <v>40725.1</v>
      </c>
      <c r="AJ71" s="6560">
        <f>'Direct sales IPT details'!AJ204</f>
        <v>0</v>
      </c>
      <c r="AK71" s="6560">
        <f>'Direct sales IPT details'!AK204</f>
        <v>2135</v>
      </c>
      <c r="AL71" s="6561">
        <f>'Direct sales IPT details'!AL204</f>
        <v>0</v>
      </c>
      <c r="AM71" s="6562">
        <f>'Direct sales IPT details'!AM204</f>
        <v>6587</v>
      </c>
      <c r="AN71" s="6561">
        <f>'Direct sales IPT details'!AN204</f>
        <v>0</v>
      </c>
      <c r="AO71" s="6561">
        <f>'Direct sales IPT details'!AO204</f>
        <v>42860.1</v>
      </c>
      <c r="AP71" s="6561">
        <f>'Direct sales IPT details'!AP204</f>
        <v>0</v>
      </c>
      <c r="AQ71" s="6560">
        <f>'Direct sales IPT details'!AQ204</f>
        <v>2164</v>
      </c>
      <c r="AR71" s="6560">
        <f>'Direct sales IPT details'!AR204</f>
        <v>0</v>
      </c>
      <c r="AS71" s="6560">
        <f>'Direct sales IPT details'!AS204</f>
        <v>45024.1</v>
      </c>
      <c r="AT71" s="6560">
        <f>'Direct sales IPT details'!AT204</f>
        <v>0</v>
      </c>
      <c r="AU71" s="6560">
        <f>'Direct sales IPT details'!AU204</f>
        <v>0</v>
      </c>
      <c r="AV71" s="6560">
        <f>'Direct sales IPT details'!AV204</f>
        <v>0</v>
      </c>
      <c r="AW71" s="6560">
        <f>'Direct sales IPT details'!AW204</f>
        <v>45024.1</v>
      </c>
      <c r="AX71" s="6560">
        <f>'Direct sales IPT details'!AX204</f>
        <v>0</v>
      </c>
      <c r="AY71" s="6560">
        <f>'Direct sales IPT details'!AY204</f>
        <v>2365</v>
      </c>
      <c r="AZ71" s="6562">
        <f>'Direct sales IPT details'!AZ204</f>
        <v>0</v>
      </c>
      <c r="BA71" s="6562">
        <f>'Direct sales IPT details'!BA204</f>
        <v>4529</v>
      </c>
      <c r="BB71" s="6563">
        <f>'Direct sales IPT details'!BB204</f>
        <v>0</v>
      </c>
      <c r="BC71" s="6563">
        <f>'Direct sales IPT details'!BC204</f>
        <v>11116</v>
      </c>
      <c r="BD71" s="6564">
        <f>'Direct sales IPT details'!BD204</f>
        <v>0</v>
      </c>
      <c r="BE71" s="6564">
        <f>'Direct sales IPT details'!BE204</f>
        <v>47389.1</v>
      </c>
      <c r="BF71" s="533"/>
      <c r="BG71" s="533"/>
      <c r="BH71" s="533"/>
      <c r="BI71" s="533"/>
    </row>
    <row r="72" spans="2:61" s="1357" customFormat="1" ht="21.95" hidden="1" customHeight="1" thickBot="1" x14ac:dyDescent="0.3">
      <c r="B72" s="7572"/>
      <c r="C72" s="6558" t="s">
        <v>1642</v>
      </c>
      <c r="D72" s="6559"/>
      <c r="E72" s="6560">
        <f>'Direct sales IPT details'!E205</f>
        <v>0</v>
      </c>
      <c r="F72" s="6559"/>
      <c r="G72" s="6560">
        <f>'Direct sales IPT details'!G205</f>
        <v>0</v>
      </c>
      <c r="H72" s="1488">
        <f t="shared" si="124"/>
        <v>0</v>
      </c>
      <c r="I72" s="1489">
        <f t="shared" si="125"/>
        <v>0</v>
      </c>
      <c r="J72" s="6560">
        <f>'Direct sales IPT details'!J205</f>
        <v>0</v>
      </c>
      <c r="K72" s="6560">
        <f>'Direct sales IPT details'!K205</f>
        <v>2138.1999999999998</v>
      </c>
      <c r="L72" s="6561">
        <f>'Direct sales IPT details'!L205</f>
        <v>0</v>
      </c>
      <c r="M72" s="6562">
        <f>'Direct sales IPT details'!M205</f>
        <v>2138.1999999999998</v>
      </c>
      <c r="N72" s="6561">
        <f>'Direct sales IPT details'!N205</f>
        <v>0</v>
      </c>
      <c r="O72" s="6560">
        <f>'Direct sales IPT details'!O205</f>
        <v>0</v>
      </c>
      <c r="P72" s="6560">
        <f>'Direct sales IPT details'!P205</f>
        <v>0</v>
      </c>
      <c r="Q72" s="6560">
        <f>'Direct sales IPT details'!Q205</f>
        <v>2138.1999999999998</v>
      </c>
      <c r="R72" s="6560">
        <f>'Direct sales IPT details'!R205</f>
        <v>0</v>
      </c>
      <c r="S72" s="6560">
        <f>'Direct sales IPT details'!S205</f>
        <v>0</v>
      </c>
      <c r="T72" s="6560">
        <f>'Direct sales IPT details'!T205</f>
        <v>0</v>
      </c>
      <c r="U72" s="6560">
        <f>'Direct sales IPT details'!U205</f>
        <v>2138.1999999999998</v>
      </c>
      <c r="V72" s="6560">
        <f>'Direct sales IPT details'!V205</f>
        <v>0</v>
      </c>
      <c r="W72" s="6560">
        <f>'Direct sales IPT details'!W205</f>
        <v>2472.5500000000002</v>
      </c>
      <c r="X72" s="6561">
        <f>'Direct sales IPT details'!X205</f>
        <v>0</v>
      </c>
      <c r="Y72" s="6562">
        <f>'Direct sales IPT details'!Y205</f>
        <v>2472.5500000000002</v>
      </c>
      <c r="Z72" s="6561">
        <f>'Direct sales IPT details'!Z205</f>
        <v>0</v>
      </c>
      <c r="AA72" s="6563">
        <f>'Direct sales IPT details'!AA205</f>
        <v>4610.75</v>
      </c>
      <c r="AB72" s="6561">
        <f>'Direct sales IPT details'!AB205</f>
        <v>0</v>
      </c>
      <c r="AC72" s="6560">
        <f>'Direct sales IPT details'!AC205</f>
        <v>4803.3999999999996</v>
      </c>
      <c r="AD72" s="6560">
        <f>'Direct sales IPT details'!AD205</f>
        <v>0</v>
      </c>
      <c r="AE72" s="6560">
        <f>'Direct sales IPT details'!AE205</f>
        <v>9414.15</v>
      </c>
      <c r="AF72" s="6560">
        <f>'Direct sales IPT details'!AF205</f>
        <v>0</v>
      </c>
      <c r="AG72" s="6560">
        <f>'Direct sales IPT details'!AG205</f>
        <v>0</v>
      </c>
      <c r="AH72" s="6560">
        <f>'Direct sales IPT details'!AH205</f>
        <v>0</v>
      </c>
      <c r="AI72" s="6560">
        <f>'Direct sales IPT details'!AI205</f>
        <v>9414.15</v>
      </c>
      <c r="AJ72" s="6560">
        <f>'Direct sales IPT details'!AJ205</f>
        <v>0</v>
      </c>
      <c r="AK72" s="6560">
        <f>'Direct sales IPT details'!AK205</f>
        <v>0</v>
      </c>
      <c r="AL72" s="6561">
        <f>'Direct sales IPT details'!AL205</f>
        <v>0</v>
      </c>
      <c r="AM72" s="6562">
        <f>'Direct sales IPT details'!AM205</f>
        <v>4803.3999999999996</v>
      </c>
      <c r="AN72" s="6561">
        <f>'Direct sales IPT details'!AN205</f>
        <v>0</v>
      </c>
      <c r="AO72" s="6561">
        <f>'Direct sales IPT details'!AO205</f>
        <v>9414.15</v>
      </c>
      <c r="AP72" s="6561">
        <f>'Direct sales IPT details'!AP205</f>
        <v>0</v>
      </c>
      <c r="AQ72" s="6560">
        <f>'Direct sales IPT details'!AQ205</f>
        <v>118</v>
      </c>
      <c r="AR72" s="6560">
        <f>'Direct sales IPT details'!AR205</f>
        <v>0</v>
      </c>
      <c r="AS72" s="6560">
        <f>'Direct sales IPT details'!AS205</f>
        <v>9532.15</v>
      </c>
      <c r="AT72" s="6560">
        <f>'Direct sales IPT details'!AT205</f>
        <v>0</v>
      </c>
      <c r="AU72" s="6560">
        <f>'Direct sales IPT details'!AU205</f>
        <v>0</v>
      </c>
      <c r="AV72" s="6560">
        <f>'Direct sales IPT details'!AV205</f>
        <v>0</v>
      </c>
      <c r="AW72" s="6560">
        <f>'Direct sales IPT details'!AW205</f>
        <v>9532.15</v>
      </c>
      <c r="AX72" s="6560">
        <f>'Direct sales IPT details'!AX205</f>
        <v>0</v>
      </c>
      <c r="AY72" s="6560">
        <f>'Direct sales IPT details'!AY205</f>
        <v>176</v>
      </c>
      <c r="AZ72" s="6562">
        <f>'Direct sales IPT details'!AZ205</f>
        <v>0</v>
      </c>
      <c r="BA72" s="6562">
        <f>'Direct sales IPT details'!BA205</f>
        <v>294</v>
      </c>
      <c r="BB72" s="6563">
        <f>'Direct sales IPT details'!BB205</f>
        <v>0</v>
      </c>
      <c r="BC72" s="6563">
        <f>'Direct sales IPT details'!BC205</f>
        <v>5097.3999999999996</v>
      </c>
      <c r="BD72" s="6564">
        <f>'Direct sales IPT details'!BD205</f>
        <v>0</v>
      </c>
      <c r="BE72" s="6564">
        <f>'Direct sales IPT details'!BE205</f>
        <v>9708.15</v>
      </c>
      <c r="BF72" s="533"/>
      <c r="BG72" s="533"/>
      <c r="BH72" s="533"/>
      <c r="BI72" s="533"/>
    </row>
    <row r="73" spans="2:61" s="1357" customFormat="1" ht="21.95" hidden="1" customHeight="1" thickBot="1" x14ac:dyDescent="0.3">
      <c r="B73" s="7572"/>
      <c r="C73" s="6558" t="s">
        <v>2174</v>
      </c>
      <c r="D73" s="6559"/>
      <c r="E73" s="6560">
        <f>'Direct sales IPT details'!E206</f>
        <v>0</v>
      </c>
      <c r="F73" s="6559"/>
      <c r="G73" s="6560">
        <f>'Direct sales IPT details'!G206</f>
        <v>0</v>
      </c>
      <c r="H73" s="1488">
        <f t="shared" si="124"/>
        <v>0</v>
      </c>
      <c r="I73" s="1489">
        <f t="shared" si="125"/>
        <v>0</v>
      </c>
      <c r="J73" s="6560">
        <f>'Direct sales IPT details'!J206</f>
        <v>0</v>
      </c>
      <c r="K73" s="6560">
        <f>'Direct sales IPT details'!K206</f>
        <v>0</v>
      </c>
      <c r="L73" s="6561">
        <f>'Direct sales IPT details'!L206</f>
        <v>0</v>
      </c>
      <c r="M73" s="6562">
        <f>'Direct sales IPT details'!M206</f>
        <v>0</v>
      </c>
      <c r="N73" s="6561">
        <f>'Direct sales IPT details'!N206</f>
        <v>0</v>
      </c>
      <c r="O73" s="6560">
        <f>'Direct sales IPT details'!O206</f>
        <v>0</v>
      </c>
      <c r="P73" s="6560">
        <f>'Direct sales IPT details'!P206</f>
        <v>0</v>
      </c>
      <c r="Q73" s="6560">
        <f>'Direct sales IPT details'!Q206</f>
        <v>0</v>
      </c>
      <c r="R73" s="6560">
        <f>'Direct sales IPT details'!R206</f>
        <v>0</v>
      </c>
      <c r="S73" s="6560">
        <f>'Direct sales IPT details'!S206</f>
        <v>41</v>
      </c>
      <c r="T73" s="6560">
        <f>'Direct sales IPT details'!T206</f>
        <v>0</v>
      </c>
      <c r="U73" s="6560">
        <f>'Direct sales IPT details'!U206</f>
        <v>41</v>
      </c>
      <c r="V73" s="6560">
        <f>'Direct sales IPT details'!V206</f>
        <v>0</v>
      </c>
      <c r="W73" s="6560">
        <f>'Direct sales IPT details'!W206</f>
        <v>0</v>
      </c>
      <c r="X73" s="6561">
        <f>'Direct sales IPT details'!X206</f>
        <v>0</v>
      </c>
      <c r="Y73" s="6562">
        <f>'Direct sales IPT details'!Y206</f>
        <v>41</v>
      </c>
      <c r="Z73" s="6561">
        <f>'Direct sales IPT details'!Z206</f>
        <v>0</v>
      </c>
      <c r="AA73" s="6563">
        <f>'Direct sales IPT details'!AA206</f>
        <v>41</v>
      </c>
      <c r="AB73" s="6561">
        <f>'Direct sales IPT details'!AB206</f>
        <v>0</v>
      </c>
      <c r="AC73" s="6560">
        <f>'Direct sales IPT details'!AC206</f>
        <v>0</v>
      </c>
      <c r="AD73" s="6560">
        <f>'Direct sales IPT details'!AD206</f>
        <v>0</v>
      </c>
      <c r="AE73" s="6560">
        <f>'Direct sales IPT details'!AE206</f>
        <v>41</v>
      </c>
      <c r="AF73" s="6560">
        <f>'Direct sales IPT details'!AF206</f>
        <v>0</v>
      </c>
      <c r="AG73" s="6560">
        <f>'Direct sales IPT details'!AG206</f>
        <v>0</v>
      </c>
      <c r="AH73" s="6560">
        <f>'Direct sales IPT details'!AH206</f>
        <v>0</v>
      </c>
      <c r="AI73" s="6560">
        <f>'Direct sales IPT details'!AI206</f>
        <v>41</v>
      </c>
      <c r="AJ73" s="6560">
        <f>'Direct sales IPT details'!AJ206</f>
        <v>0</v>
      </c>
      <c r="AK73" s="6560">
        <f>'Direct sales IPT details'!AK206</f>
        <v>0</v>
      </c>
      <c r="AL73" s="6561">
        <f>'Direct sales IPT details'!AL206</f>
        <v>0</v>
      </c>
      <c r="AM73" s="6562">
        <f>'Direct sales IPT details'!AM206</f>
        <v>0</v>
      </c>
      <c r="AN73" s="6561">
        <f>'Direct sales IPT details'!AN206</f>
        <v>0</v>
      </c>
      <c r="AO73" s="6561">
        <f>'Direct sales IPT details'!AO206</f>
        <v>41</v>
      </c>
      <c r="AP73" s="6561">
        <f>'Direct sales IPT details'!AP206</f>
        <v>0</v>
      </c>
      <c r="AQ73" s="6560">
        <f>'Direct sales IPT details'!AQ206</f>
        <v>0</v>
      </c>
      <c r="AR73" s="6560">
        <f>'Direct sales IPT details'!AR206</f>
        <v>0</v>
      </c>
      <c r="AS73" s="6560">
        <f>'Direct sales IPT details'!AS206</f>
        <v>41</v>
      </c>
      <c r="AT73" s="6560">
        <f>'Direct sales IPT details'!AT206</f>
        <v>0</v>
      </c>
      <c r="AU73" s="6560">
        <f>'Direct sales IPT details'!AU206</f>
        <v>0</v>
      </c>
      <c r="AV73" s="6560">
        <f>'Direct sales IPT details'!AV206</f>
        <v>0</v>
      </c>
      <c r="AW73" s="6560">
        <f>'Direct sales IPT details'!AW206</f>
        <v>41</v>
      </c>
      <c r="AX73" s="6560">
        <f>'Direct sales IPT details'!AX206</f>
        <v>0</v>
      </c>
      <c r="AY73" s="6560">
        <f>'Direct sales IPT details'!AY206</f>
        <v>0</v>
      </c>
      <c r="AZ73" s="6562">
        <f>'Direct sales IPT details'!AZ206</f>
        <v>0</v>
      </c>
      <c r="BA73" s="6562">
        <f>'Direct sales IPT details'!BA206</f>
        <v>0</v>
      </c>
      <c r="BB73" s="6563">
        <f>'Direct sales IPT details'!BB206</f>
        <v>0</v>
      </c>
      <c r="BC73" s="6563">
        <f>'Direct sales IPT details'!BC206</f>
        <v>0</v>
      </c>
      <c r="BD73" s="6564">
        <f>'Direct sales IPT details'!BD206</f>
        <v>0</v>
      </c>
      <c r="BE73" s="6564">
        <f>'Direct sales IPT details'!BE206</f>
        <v>41</v>
      </c>
      <c r="BF73" s="533"/>
      <c r="BG73" s="533"/>
      <c r="BH73" s="533"/>
      <c r="BI73" s="533"/>
    </row>
    <row r="74" spans="2:61" s="1357" customFormat="1" ht="21.95" customHeight="1" thickBot="1" x14ac:dyDescent="0.3">
      <c r="B74" s="7572"/>
      <c r="C74" s="6550" t="s">
        <v>1371</v>
      </c>
      <c r="D74" s="6556">
        <f>+D68+D70</f>
        <v>0</v>
      </c>
      <c r="E74" s="6556">
        <f t="shared" ref="E74:BE74" si="142">+E68+E70</f>
        <v>0</v>
      </c>
      <c r="F74" s="6556">
        <f>+F68+F70</f>
        <v>0</v>
      </c>
      <c r="G74" s="6556">
        <f t="shared" ref="G74" si="143">+G68+G70</f>
        <v>2078.5</v>
      </c>
      <c r="H74" s="1488">
        <f t="shared" si="124"/>
        <v>0</v>
      </c>
      <c r="I74" s="1489">
        <f t="shared" si="125"/>
        <v>2078.5</v>
      </c>
      <c r="J74" s="6556">
        <f t="shared" si="142"/>
        <v>0</v>
      </c>
      <c r="K74" s="6556">
        <f t="shared" si="142"/>
        <v>2138.1999999999998</v>
      </c>
      <c r="L74" s="6556">
        <f t="shared" si="142"/>
        <v>0</v>
      </c>
      <c r="M74" s="6556">
        <f t="shared" si="142"/>
        <v>24392.2</v>
      </c>
      <c r="N74" s="6556">
        <f t="shared" si="142"/>
        <v>0</v>
      </c>
      <c r="O74" s="6556">
        <f>+O68+O70</f>
        <v>2589</v>
      </c>
      <c r="P74" s="6556">
        <f t="shared" si="142"/>
        <v>0</v>
      </c>
      <c r="Q74" s="6556">
        <f t="shared" si="142"/>
        <v>26981.200000000001</v>
      </c>
      <c r="R74" s="6556">
        <f t="shared" si="142"/>
        <v>0</v>
      </c>
      <c r="S74" s="6556">
        <f t="shared" si="142"/>
        <v>4733.1000000000004</v>
      </c>
      <c r="T74" s="6556">
        <f t="shared" si="142"/>
        <v>0</v>
      </c>
      <c r="U74" s="6556">
        <f t="shared" si="142"/>
        <v>31714.3</v>
      </c>
      <c r="V74" s="6556">
        <f t="shared" si="142"/>
        <v>0</v>
      </c>
      <c r="W74" s="6556">
        <f t="shared" si="142"/>
        <v>9295.5499999999993</v>
      </c>
      <c r="X74" s="6556">
        <f t="shared" si="142"/>
        <v>0</v>
      </c>
      <c r="Y74" s="6556">
        <f t="shared" si="142"/>
        <v>16617.650000000001</v>
      </c>
      <c r="Z74" s="6556">
        <f t="shared" si="142"/>
        <v>0</v>
      </c>
      <c r="AA74" s="6556">
        <f t="shared" si="142"/>
        <v>41009.85</v>
      </c>
      <c r="AB74" s="6556">
        <f t="shared" si="142"/>
        <v>0</v>
      </c>
      <c r="AC74" s="6556">
        <f t="shared" si="142"/>
        <v>9182.4</v>
      </c>
      <c r="AD74" s="6556">
        <f t="shared" si="142"/>
        <v>0</v>
      </c>
      <c r="AE74" s="6556">
        <f t="shared" si="142"/>
        <v>50192.25</v>
      </c>
      <c r="AF74" s="6556">
        <f t="shared" si="142"/>
        <v>0</v>
      </c>
      <c r="AG74" s="6556">
        <f t="shared" si="142"/>
        <v>73</v>
      </c>
      <c r="AH74" s="6556">
        <f t="shared" si="142"/>
        <v>0</v>
      </c>
      <c r="AI74" s="6556">
        <f t="shared" si="142"/>
        <v>50265.25</v>
      </c>
      <c r="AJ74" s="6556">
        <f t="shared" si="142"/>
        <v>0</v>
      </c>
      <c r="AK74" s="6556">
        <f t="shared" si="142"/>
        <v>2135</v>
      </c>
      <c r="AL74" s="6556">
        <f t="shared" si="142"/>
        <v>0</v>
      </c>
      <c r="AM74" s="6556">
        <f t="shared" si="142"/>
        <v>11390.4</v>
      </c>
      <c r="AN74" s="6556">
        <f t="shared" si="142"/>
        <v>0</v>
      </c>
      <c r="AO74" s="6556">
        <f t="shared" si="142"/>
        <v>52400.25</v>
      </c>
      <c r="AP74" s="6556">
        <f t="shared" si="142"/>
        <v>0</v>
      </c>
      <c r="AQ74" s="6556">
        <f t="shared" si="142"/>
        <v>2282</v>
      </c>
      <c r="AR74" s="6556">
        <f t="shared" si="142"/>
        <v>0</v>
      </c>
      <c r="AS74" s="6556">
        <f t="shared" si="142"/>
        <v>54682.25</v>
      </c>
      <c r="AT74" s="6556">
        <f t="shared" si="142"/>
        <v>0</v>
      </c>
      <c r="AU74" s="6556">
        <f t="shared" si="142"/>
        <v>0</v>
      </c>
      <c r="AV74" s="6556">
        <f t="shared" si="142"/>
        <v>0</v>
      </c>
      <c r="AW74" s="6556">
        <f t="shared" si="142"/>
        <v>54682.25</v>
      </c>
      <c r="AX74" s="6556">
        <f t="shared" si="142"/>
        <v>0</v>
      </c>
      <c r="AY74" s="6556">
        <f t="shared" si="142"/>
        <v>2541</v>
      </c>
      <c r="AZ74" s="6556">
        <f t="shared" si="142"/>
        <v>0</v>
      </c>
      <c r="BA74" s="6556">
        <f t="shared" si="142"/>
        <v>4823</v>
      </c>
      <c r="BB74" s="6556">
        <f t="shared" si="142"/>
        <v>0</v>
      </c>
      <c r="BC74" s="6556">
        <f t="shared" si="142"/>
        <v>16213.4</v>
      </c>
      <c r="BD74" s="6556">
        <f t="shared" si="142"/>
        <v>0</v>
      </c>
      <c r="BE74" s="6556">
        <f t="shared" si="142"/>
        <v>57223.25</v>
      </c>
      <c r="BF74" s="533"/>
      <c r="BG74" s="533"/>
      <c r="BH74" s="533"/>
      <c r="BI74" s="533"/>
    </row>
    <row r="75" spans="2:61" s="1357" customFormat="1" ht="21.95" customHeight="1" thickBot="1" x14ac:dyDescent="0.3">
      <c r="B75" s="7572"/>
      <c r="C75" s="6550"/>
      <c r="D75" s="6551"/>
      <c r="E75" s="6556"/>
      <c r="F75" s="6551"/>
      <c r="G75" s="6556"/>
      <c r="H75" s="1488">
        <f t="shared" si="124"/>
        <v>0</v>
      </c>
      <c r="I75" s="1489">
        <f t="shared" si="125"/>
        <v>0</v>
      </c>
      <c r="J75" s="6551">
        <v>3</v>
      </c>
      <c r="K75" s="6556">
        <v>12264</v>
      </c>
      <c r="L75" s="6554">
        <f t="shared" ref="L75:M89" si="144">+D75+F75+J75</f>
        <v>3</v>
      </c>
      <c r="M75" s="6554">
        <f t="shared" si="144"/>
        <v>12264</v>
      </c>
      <c r="N75" s="6551">
        <v>12</v>
      </c>
      <c r="O75" s="6556">
        <v>49134</v>
      </c>
      <c r="P75" s="1551">
        <f t="shared" ref="P75:Q76" si="145">L75+N75</f>
        <v>15</v>
      </c>
      <c r="Q75" s="1551">
        <f t="shared" si="145"/>
        <v>61398</v>
      </c>
      <c r="R75" s="6551">
        <v>15</v>
      </c>
      <c r="S75" s="6556">
        <v>61639</v>
      </c>
      <c r="T75" s="1551">
        <f t="shared" ref="T75:U76" si="146">P75+R75</f>
        <v>30</v>
      </c>
      <c r="U75" s="1551">
        <f t="shared" si="146"/>
        <v>123037</v>
      </c>
      <c r="V75" s="6551">
        <v>14</v>
      </c>
      <c r="W75" s="6556">
        <v>56884</v>
      </c>
      <c r="X75" s="6565">
        <f t="shared" si="126"/>
        <v>41</v>
      </c>
      <c r="Y75" s="6566">
        <f t="shared" si="126"/>
        <v>167657</v>
      </c>
      <c r="Z75" s="6567">
        <f t="shared" si="127"/>
        <v>44</v>
      </c>
      <c r="AA75" s="6563">
        <f t="shared" si="127"/>
        <v>179921</v>
      </c>
      <c r="AB75" s="6551">
        <v>15</v>
      </c>
      <c r="AC75" s="6556">
        <v>61288</v>
      </c>
      <c r="AD75" s="6564">
        <f t="shared" ref="AD75:AE76" si="147">Z75+AB75</f>
        <v>59</v>
      </c>
      <c r="AE75" s="6564">
        <f t="shared" si="147"/>
        <v>241209</v>
      </c>
      <c r="AF75" s="6551">
        <v>2</v>
      </c>
      <c r="AG75" s="6556">
        <v>8219</v>
      </c>
      <c r="AH75" s="6564">
        <f t="shared" ref="AH75:AI76" si="148">AD75+AF75</f>
        <v>61</v>
      </c>
      <c r="AI75" s="6564">
        <f t="shared" si="148"/>
        <v>249428</v>
      </c>
      <c r="AJ75" s="6551">
        <v>19</v>
      </c>
      <c r="AK75" s="6556">
        <v>78541</v>
      </c>
      <c r="AL75" s="6568">
        <f t="shared" si="131"/>
        <v>36</v>
      </c>
      <c r="AM75" s="6568">
        <f t="shared" si="131"/>
        <v>148048</v>
      </c>
      <c r="AN75" s="6564">
        <f t="shared" si="132"/>
        <v>80</v>
      </c>
      <c r="AO75" s="6564">
        <f t="shared" si="132"/>
        <v>327969</v>
      </c>
      <c r="AP75" s="6551">
        <v>19</v>
      </c>
      <c r="AQ75" s="6556">
        <v>78071</v>
      </c>
      <c r="AR75" s="6564">
        <f t="shared" ref="AR75:AS89" si="149">AN75+AP75</f>
        <v>99</v>
      </c>
      <c r="AS75" s="6564">
        <f t="shared" si="149"/>
        <v>406040</v>
      </c>
      <c r="AT75" s="6569">
        <v>12</v>
      </c>
      <c r="AU75" s="6556">
        <v>48920</v>
      </c>
      <c r="AV75" s="6564">
        <f t="shared" si="135"/>
        <v>111</v>
      </c>
      <c r="AW75" s="6564">
        <f t="shared" si="135"/>
        <v>454960</v>
      </c>
      <c r="AX75" s="6556">
        <v>20</v>
      </c>
      <c r="AY75" s="6556">
        <v>82408</v>
      </c>
      <c r="AZ75" s="6562">
        <f t="shared" ref="AZ75:BB75" si="150">AV75+AX75</f>
        <v>131</v>
      </c>
      <c r="BA75" s="3268">
        <f t="shared" ref="BA75:BA76" si="151">+AQ75+AU75+AY75</f>
        <v>209399</v>
      </c>
      <c r="BB75" s="6563">
        <f t="shared" si="150"/>
        <v>151</v>
      </c>
      <c r="BC75" s="3255">
        <f t="shared" ref="BC75:BC76" si="152">AM75+BA75</f>
        <v>357447</v>
      </c>
      <c r="BD75" s="1488">
        <f t="shared" ref="BD75:BD76" si="153">AV75+AX75</f>
        <v>131</v>
      </c>
      <c r="BE75" s="1551">
        <f t="shared" ref="BE75:BE76" si="154">AW75+AY75</f>
        <v>537368</v>
      </c>
      <c r="BF75" s="533"/>
      <c r="BG75" s="533"/>
      <c r="BH75" s="533"/>
      <c r="BI75" s="533"/>
    </row>
    <row r="76" spans="2:61" ht="16.5" thickBot="1" x14ac:dyDescent="0.3">
      <c r="B76" s="7572"/>
      <c r="C76" s="6550" t="s">
        <v>1964</v>
      </c>
      <c r="D76" s="6551"/>
      <c r="E76" s="6747">
        <v>687.45</v>
      </c>
      <c r="F76" s="6551"/>
      <c r="G76" s="6747">
        <v>417.51</v>
      </c>
      <c r="H76" s="1488">
        <f t="shared" si="124"/>
        <v>0</v>
      </c>
      <c r="I76" s="1489">
        <f t="shared" si="125"/>
        <v>1104.96</v>
      </c>
      <c r="J76" s="6551"/>
      <c r="K76" s="6556"/>
      <c r="L76" s="6554">
        <f t="shared" si="144"/>
        <v>0</v>
      </c>
      <c r="M76" s="6554">
        <f t="shared" si="144"/>
        <v>1104.96</v>
      </c>
      <c r="N76" s="6551"/>
      <c r="O76" s="6556"/>
      <c r="P76" s="1551"/>
      <c r="Q76" s="1551">
        <f t="shared" si="145"/>
        <v>1104.96</v>
      </c>
      <c r="R76" s="6551"/>
      <c r="S76" s="6556">
        <v>358</v>
      </c>
      <c r="T76" s="1551">
        <f t="shared" si="146"/>
        <v>0</v>
      </c>
      <c r="U76" s="1551">
        <f t="shared" si="146"/>
        <v>1462.96</v>
      </c>
      <c r="V76" s="6551"/>
      <c r="W76" s="6556">
        <v>456</v>
      </c>
      <c r="X76" s="6570"/>
      <c r="Y76" s="6566">
        <f t="shared" si="126"/>
        <v>814</v>
      </c>
      <c r="Z76" s="6567"/>
      <c r="AA76" s="6563">
        <f t="shared" si="127"/>
        <v>1918.96</v>
      </c>
      <c r="AB76" s="6551"/>
      <c r="AC76" s="6556">
        <v>507</v>
      </c>
      <c r="AD76" s="6564"/>
      <c r="AE76" s="6564">
        <f t="shared" si="147"/>
        <v>2425.96</v>
      </c>
      <c r="AF76" s="6551"/>
      <c r="AG76" s="6556">
        <v>31</v>
      </c>
      <c r="AH76" s="6564"/>
      <c r="AI76" s="6564">
        <f t="shared" si="148"/>
        <v>2456.96</v>
      </c>
      <c r="AJ76" s="6551">
        <v>0</v>
      </c>
      <c r="AK76" s="6556">
        <v>689</v>
      </c>
      <c r="AL76" s="6568">
        <f t="shared" si="131"/>
        <v>0</v>
      </c>
      <c r="AM76" s="6568">
        <f t="shared" si="131"/>
        <v>1227</v>
      </c>
      <c r="AN76" s="6564"/>
      <c r="AO76" s="6564">
        <f t="shared" si="132"/>
        <v>3145.96</v>
      </c>
      <c r="AP76" s="6551">
        <v>0</v>
      </c>
      <c r="AQ76" s="6556">
        <v>0</v>
      </c>
      <c r="AR76" s="6564">
        <f t="shared" si="149"/>
        <v>0</v>
      </c>
      <c r="AS76" s="6564">
        <f>AO76+AQ76</f>
        <v>3145.96</v>
      </c>
      <c r="AT76" s="6569"/>
      <c r="AU76" s="6556"/>
      <c r="AV76" s="6564">
        <f t="shared" si="135"/>
        <v>0</v>
      </c>
      <c r="AW76" s="6564">
        <f t="shared" si="135"/>
        <v>3145.96</v>
      </c>
      <c r="AX76" s="6569"/>
      <c r="AY76" s="6556"/>
      <c r="AZ76" s="6562">
        <f t="shared" ref="AZ76" si="155">AV76+AX76</f>
        <v>0</v>
      </c>
      <c r="BA76" s="3268">
        <f t="shared" si="151"/>
        <v>0</v>
      </c>
      <c r="BB76" s="6563">
        <f t="shared" ref="BB76" si="156">AX76+AZ76</f>
        <v>0</v>
      </c>
      <c r="BC76" s="3255">
        <f t="shared" si="152"/>
        <v>1227</v>
      </c>
      <c r="BD76" s="1488">
        <f t="shared" si="153"/>
        <v>0</v>
      </c>
      <c r="BE76" s="1551">
        <f t="shared" si="154"/>
        <v>3145.96</v>
      </c>
      <c r="BF76" s="533"/>
      <c r="BG76" s="533"/>
      <c r="BH76" s="533"/>
      <c r="BI76" s="533"/>
    </row>
    <row r="77" spans="2:61" s="4712" customFormat="1" ht="16.5" hidden="1" thickBot="1" x14ac:dyDescent="0.3">
      <c r="B77" s="7572"/>
      <c r="C77" s="6550" t="s">
        <v>2175</v>
      </c>
      <c r="D77" s="149"/>
      <c r="E77" s="6556">
        <f>+SUM(E78:E82)</f>
        <v>0</v>
      </c>
      <c r="F77" s="6556">
        <f>+SUM(F78:F82)</f>
        <v>3</v>
      </c>
      <c r="G77" s="6556">
        <f>+SUM(G78:G82)</f>
        <v>10196</v>
      </c>
      <c r="H77" s="1488">
        <f t="shared" si="124"/>
        <v>3</v>
      </c>
      <c r="I77" s="1489">
        <f t="shared" si="125"/>
        <v>10196</v>
      </c>
      <c r="J77" s="6556">
        <f t="shared" ref="J77:BE77" si="157">+SUM(J78:J82)</f>
        <v>0</v>
      </c>
      <c r="K77" s="6556">
        <f t="shared" si="157"/>
        <v>1828.1100000000001</v>
      </c>
      <c r="L77" s="6556">
        <f t="shared" si="157"/>
        <v>3</v>
      </c>
      <c r="M77" s="6556">
        <f t="shared" si="157"/>
        <v>12024.11</v>
      </c>
      <c r="N77" s="6556">
        <f t="shared" si="157"/>
        <v>0</v>
      </c>
      <c r="O77" s="6556">
        <f t="shared" si="157"/>
        <v>21062.1</v>
      </c>
      <c r="P77" s="6556">
        <f t="shared" si="157"/>
        <v>3</v>
      </c>
      <c r="Q77" s="6556">
        <f t="shared" si="157"/>
        <v>33086.21</v>
      </c>
      <c r="R77" s="6556">
        <f t="shared" si="157"/>
        <v>0</v>
      </c>
      <c r="S77" s="6556">
        <f t="shared" si="157"/>
        <v>6180.8799999999992</v>
      </c>
      <c r="T77" s="6556">
        <f t="shared" si="157"/>
        <v>3</v>
      </c>
      <c r="U77" s="6556">
        <f t="shared" si="157"/>
        <v>39267.089999999997</v>
      </c>
      <c r="V77" s="6556">
        <f t="shared" si="157"/>
        <v>0</v>
      </c>
      <c r="W77" s="6556">
        <f t="shared" si="157"/>
        <v>13620.560000000001</v>
      </c>
      <c r="X77" s="6556">
        <f t="shared" si="157"/>
        <v>0</v>
      </c>
      <c r="Y77" s="6556">
        <f t="shared" si="157"/>
        <v>40863.54</v>
      </c>
      <c r="Z77" s="6556">
        <f t="shared" si="157"/>
        <v>3</v>
      </c>
      <c r="AA77" s="6556">
        <f t="shared" si="157"/>
        <v>52887.65</v>
      </c>
      <c r="AB77" s="6556">
        <f t="shared" si="157"/>
        <v>0</v>
      </c>
      <c r="AC77" s="6556">
        <f t="shared" si="157"/>
        <v>7253.71</v>
      </c>
      <c r="AD77" s="6556">
        <f t="shared" si="157"/>
        <v>3</v>
      </c>
      <c r="AE77" s="6556">
        <f t="shared" si="157"/>
        <v>60141.359999999993</v>
      </c>
      <c r="AF77" s="6556">
        <f t="shared" si="157"/>
        <v>0</v>
      </c>
      <c r="AG77" s="6556">
        <f t="shared" si="157"/>
        <v>0</v>
      </c>
      <c r="AH77" s="6556">
        <f t="shared" si="157"/>
        <v>3</v>
      </c>
      <c r="AI77" s="6556">
        <f t="shared" si="157"/>
        <v>60141.359999999993</v>
      </c>
      <c r="AJ77" s="6556">
        <f t="shared" si="157"/>
        <v>0</v>
      </c>
      <c r="AK77" s="6556">
        <f t="shared" si="157"/>
        <v>0</v>
      </c>
      <c r="AL77" s="6556">
        <f t="shared" si="157"/>
        <v>0</v>
      </c>
      <c r="AM77" s="6556">
        <f t="shared" si="157"/>
        <v>7253.71</v>
      </c>
      <c r="AN77" s="6556">
        <f t="shared" si="157"/>
        <v>3</v>
      </c>
      <c r="AO77" s="6556">
        <f t="shared" si="157"/>
        <v>60141.359999999993</v>
      </c>
      <c r="AP77" s="6556">
        <f t="shared" si="157"/>
        <v>0</v>
      </c>
      <c r="AQ77" s="6556">
        <f t="shared" si="157"/>
        <v>2355.6999999999998</v>
      </c>
      <c r="AR77" s="6556">
        <f t="shared" si="157"/>
        <v>3</v>
      </c>
      <c r="AS77" s="6556">
        <f t="shared" si="157"/>
        <v>62497.06</v>
      </c>
      <c r="AT77" s="6556">
        <f t="shared" si="157"/>
        <v>0</v>
      </c>
      <c r="AU77" s="6556">
        <f t="shared" si="157"/>
        <v>3091.4</v>
      </c>
      <c r="AV77" s="6556">
        <f t="shared" si="157"/>
        <v>3</v>
      </c>
      <c r="AW77" s="6556">
        <f t="shared" si="157"/>
        <v>65588.459999999992</v>
      </c>
      <c r="AX77" s="6556">
        <f t="shared" si="157"/>
        <v>0</v>
      </c>
      <c r="AY77" s="6556">
        <f t="shared" si="157"/>
        <v>5587.7999999999993</v>
      </c>
      <c r="AZ77" s="6556">
        <f t="shared" si="157"/>
        <v>0</v>
      </c>
      <c r="BA77" s="6556">
        <f t="shared" si="157"/>
        <v>11034.9</v>
      </c>
      <c r="BB77" s="6556">
        <f t="shared" si="157"/>
        <v>0</v>
      </c>
      <c r="BC77" s="6556">
        <f t="shared" si="157"/>
        <v>18288.61</v>
      </c>
      <c r="BD77" s="6556">
        <f t="shared" si="157"/>
        <v>3</v>
      </c>
      <c r="BE77" s="6556">
        <f t="shared" si="157"/>
        <v>71176.259999999995</v>
      </c>
      <c r="BF77" s="533"/>
      <c r="BG77" s="533"/>
      <c r="BH77" s="533"/>
      <c r="BI77" s="533"/>
    </row>
    <row r="78" spans="2:61" ht="19.5" hidden="1" thickBot="1" x14ac:dyDescent="0.3">
      <c r="B78" s="7572"/>
      <c r="C78" s="6571" t="s">
        <v>1918</v>
      </c>
      <c r="D78" s="6556"/>
      <c r="E78" s="6747"/>
      <c r="F78" s="6556">
        <v>3</v>
      </c>
      <c r="G78" s="6747">
        <v>10196</v>
      </c>
      <c r="H78" s="1488">
        <f t="shared" si="124"/>
        <v>3</v>
      </c>
      <c r="I78" s="1489">
        <f t="shared" si="125"/>
        <v>10196</v>
      </c>
      <c r="J78" s="6556"/>
      <c r="K78" s="6556"/>
      <c r="L78" s="6554">
        <f t="shared" ref="L78:M86" si="158">+D78+F78+J78</f>
        <v>3</v>
      </c>
      <c r="M78" s="6554">
        <f t="shared" si="158"/>
        <v>10196</v>
      </c>
      <c r="N78" s="6556"/>
      <c r="O78" s="6561">
        <v>14213.24</v>
      </c>
      <c r="P78" s="6564">
        <f t="shared" ref="P78:Q82" si="159">L78+N78</f>
        <v>3</v>
      </c>
      <c r="Q78" s="6564">
        <f t="shared" si="159"/>
        <v>24409.239999999998</v>
      </c>
      <c r="R78" s="6556"/>
      <c r="S78" s="6561"/>
      <c r="T78" s="6564">
        <f t="shared" ref="T78:U82" si="160">P78+R78</f>
        <v>3</v>
      </c>
      <c r="U78" s="6564">
        <f t="shared" si="160"/>
        <v>24409.239999999998</v>
      </c>
      <c r="V78" s="6561"/>
      <c r="W78" s="6561">
        <v>7010.25</v>
      </c>
      <c r="X78" s="6562">
        <f t="shared" ref="X78:Y86" si="161">+N78+R78+V78</f>
        <v>0</v>
      </c>
      <c r="Y78" s="6562">
        <f t="shared" si="161"/>
        <v>21223.489999999998</v>
      </c>
      <c r="Z78" s="6567">
        <f t="shared" ref="Z78:AA86" si="162">L78+X78</f>
        <v>3</v>
      </c>
      <c r="AA78" s="6563">
        <f t="shared" si="162"/>
        <v>31419.489999999998</v>
      </c>
      <c r="AB78" s="6556"/>
      <c r="AC78" s="6561">
        <v>7253.71</v>
      </c>
      <c r="AD78" s="6572">
        <f t="shared" ref="AD78:AD82" si="163">Z78+AB78</f>
        <v>3</v>
      </c>
      <c r="AE78" s="6564">
        <f t="shared" ref="AE78:AE82" si="164">SUM(AA78,AC78)</f>
        <v>38673.199999999997</v>
      </c>
      <c r="AF78" s="6561"/>
      <c r="AG78" s="6561"/>
      <c r="AH78" s="6572">
        <f t="shared" ref="AH78:AI82" si="165">AD78+AF78</f>
        <v>3</v>
      </c>
      <c r="AI78" s="6564">
        <f t="shared" si="165"/>
        <v>38673.199999999997</v>
      </c>
      <c r="AJ78" s="6561"/>
      <c r="AK78" s="6561"/>
      <c r="AL78" s="6554">
        <f t="shared" ref="AL78:AM82" si="166">+AB78+AF78+AJ78</f>
        <v>0</v>
      </c>
      <c r="AM78" s="6554">
        <f t="shared" si="166"/>
        <v>7253.71</v>
      </c>
      <c r="AN78" s="6552">
        <f t="shared" ref="AN78:AO82" si="167">AH78+AJ78</f>
        <v>3</v>
      </c>
      <c r="AO78" s="6553">
        <f t="shared" si="167"/>
        <v>38673.199999999997</v>
      </c>
      <c r="AP78" s="6561"/>
      <c r="AQ78" s="6561"/>
      <c r="AR78" s="6564">
        <f t="shared" ref="AR78:AS82" si="168">AN78+AP78</f>
        <v>3</v>
      </c>
      <c r="AS78" s="6564">
        <f t="shared" si="168"/>
        <v>38673.199999999997</v>
      </c>
      <c r="AT78" s="6556"/>
      <c r="AU78" s="6561"/>
      <c r="AV78" s="6564">
        <f t="shared" ref="AV78:AW82" si="169">AR78+AT78</f>
        <v>3</v>
      </c>
      <c r="AW78" s="6564">
        <f t="shared" si="169"/>
        <v>38673.199999999997</v>
      </c>
      <c r="AX78" s="6556"/>
      <c r="AY78" s="6561"/>
      <c r="AZ78" s="6562">
        <f t="shared" ref="AZ78:BA82" si="170">+AP78+AT78+AX78</f>
        <v>0</v>
      </c>
      <c r="BA78" s="6562">
        <f t="shared" si="170"/>
        <v>0</v>
      </c>
      <c r="BB78" s="6567">
        <f t="shared" ref="BB78:BC82" si="171">AL78+AZ78</f>
        <v>0</v>
      </c>
      <c r="BC78" s="6563">
        <f t="shared" si="171"/>
        <v>7253.71</v>
      </c>
      <c r="BD78" s="1488">
        <f t="shared" ref="BD78:BD82" si="172">AV78+AX78</f>
        <v>3</v>
      </c>
      <c r="BE78" s="1551">
        <f t="shared" ref="BE78:BE82" si="173">AW78+AY78</f>
        <v>38673.199999999997</v>
      </c>
      <c r="BF78" s="533"/>
      <c r="BG78" s="533"/>
      <c r="BH78" s="533"/>
      <c r="BI78" s="533"/>
    </row>
    <row r="79" spans="2:61" s="3427" customFormat="1" ht="19.5" hidden="1" thickBot="1" x14ac:dyDescent="0.3">
      <c r="B79" s="7572"/>
      <c r="C79" s="6571" t="s">
        <v>2133</v>
      </c>
      <c r="D79" s="6556"/>
      <c r="E79" s="6747"/>
      <c r="F79" s="6556"/>
      <c r="G79" s="6747"/>
      <c r="H79" s="1488">
        <f t="shared" si="124"/>
        <v>0</v>
      </c>
      <c r="I79" s="1489">
        <f t="shared" si="125"/>
        <v>0</v>
      </c>
      <c r="J79" s="6556"/>
      <c r="K79" s="6556"/>
      <c r="L79" s="6554">
        <f t="shared" si="158"/>
        <v>0</v>
      </c>
      <c r="M79" s="6554">
        <f t="shared" si="158"/>
        <v>0</v>
      </c>
      <c r="N79" s="6556"/>
      <c r="O79" s="6556"/>
      <c r="P79" s="6564">
        <f t="shared" si="159"/>
        <v>0</v>
      </c>
      <c r="Q79" s="6564">
        <f t="shared" si="159"/>
        <v>0</v>
      </c>
      <c r="R79" s="6556"/>
      <c r="S79" s="6561">
        <v>2807</v>
      </c>
      <c r="T79" s="6564">
        <f t="shared" si="160"/>
        <v>0</v>
      </c>
      <c r="U79" s="6564">
        <f t="shared" si="160"/>
        <v>2807</v>
      </c>
      <c r="V79" s="6561"/>
      <c r="W79" s="6561">
        <v>6610.31</v>
      </c>
      <c r="X79" s="6562">
        <f t="shared" si="161"/>
        <v>0</v>
      </c>
      <c r="Y79" s="6562">
        <f t="shared" si="161"/>
        <v>9417.3100000000013</v>
      </c>
      <c r="Z79" s="6567">
        <f t="shared" si="162"/>
        <v>0</v>
      </c>
      <c r="AA79" s="6563">
        <f t="shared" si="162"/>
        <v>9417.3100000000013</v>
      </c>
      <c r="AB79" s="6556"/>
      <c r="AC79" s="6561"/>
      <c r="AD79" s="6572">
        <f t="shared" si="163"/>
        <v>0</v>
      </c>
      <c r="AE79" s="6564">
        <f t="shared" si="164"/>
        <v>9417.3100000000013</v>
      </c>
      <c r="AF79" s="6561"/>
      <c r="AG79" s="6561"/>
      <c r="AH79" s="6572">
        <f t="shared" si="165"/>
        <v>0</v>
      </c>
      <c r="AI79" s="6564">
        <f t="shared" si="165"/>
        <v>9417.3100000000013</v>
      </c>
      <c r="AJ79" s="6561"/>
      <c r="AK79" s="6561"/>
      <c r="AL79" s="6554">
        <f t="shared" si="166"/>
        <v>0</v>
      </c>
      <c r="AM79" s="6554">
        <f t="shared" si="166"/>
        <v>0</v>
      </c>
      <c r="AN79" s="6552">
        <f t="shared" si="167"/>
        <v>0</v>
      </c>
      <c r="AO79" s="6553">
        <f t="shared" si="167"/>
        <v>9417.3100000000013</v>
      </c>
      <c r="AP79" s="6561"/>
      <c r="AQ79" s="6561"/>
      <c r="AR79" s="6564">
        <f t="shared" si="168"/>
        <v>0</v>
      </c>
      <c r="AS79" s="6564">
        <f t="shared" si="168"/>
        <v>9417.3100000000013</v>
      </c>
      <c r="AT79" s="6556"/>
      <c r="AU79" s="6561"/>
      <c r="AV79" s="6564">
        <f t="shared" si="169"/>
        <v>0</v>
      </c>
      <c r="AW79" s="6564">
        <f t="shared" si="169"/>
        <v>9417.3100000000013</v>
      </c>
      <c r="AX79" s="6556"/>
      <c r="AY79" s="6561"/>
      <c r="AZ79" s="6562">
        <f t="shared" si="170"/>
        <v>0</v>
      </c>
      <c r="BA79" s="6562">
        <f t="shared" si="170"/>
        <v>0</v>
      </c>
      <c r="BB79" s="6567">
        <f t="shared" si="171"/>
        <v>0</v>
      </c>
      <c r="BC79" s="6563">
        <f t="shared" si="171"/>
        <v>0</v>
      </c>
      <c r="BD79" s="1488">
        <f t="shared" si="172"/>
        <v>0</v>
      </c>
      <c r="BE79" s="1551">
        <f t="shared" si="173"/>
        <v>9417.3100000000013</v>
      </c>
      <c r="BF79" s="533"/>
      <c r="BG79" s="533"/>
      <c r="BH79" s="533"/>
      <c r="BI79" s="533"/>
    </row>
    <row r="80" spans="2:61" s="5172" customFormat="1" ht="19.5" hidden="1" thickBot="1" x14ac:dyDescent="0.3">
      <c r="B80" s="7572"/>
      <c r="C80" s="6571" t="s">
        <v>2134</v>
      </c>
      <c r="D80" s="6556"/>
      <c r="E80" s="6560"/>
      <c r="F80" s="6556"/>
      <c r="G80" s="6560"/>
      <c r="H80" s="1488">
        <f t="shared" si="124"/>
        <v>0</v>
      </c>
      <c r="I80" s="1489">
        <f t="shared" si="125"/>
        <v>0</v>
      </c>
      <c r="J80" s="6556"/>
      <c r="K80" s="6561">
        <v>611.77</v>
      </c>
      <c r="L80" s="6554">
        <f t="shared" si="158"/>
        <v>0</v>
      </c>
      <c r="M80" s="6554">
        <f t="shared" si="158"/>
        <v>611.77</v>
      </c>
      <c r="N80" s="6556"/>
      <c r="O80" s="6561">
        <v>1271.06</v>
      </c>
      <c r="P80" s="6564">
        <f t="shared" si="159"/>
        <v>0</v>
      </c>
      <c r="Q80" s="6564">
        <f t="shared" si="159"/>
        <v>1882.83</v>
      </c>
      <c r="R80" s="6556"/>
      <c r="S80" s="6561">
        <v>1130.6300000000001</v>
      </c>
      <c r="T80" s="6564">
        <f t="shared" si="160"/>
        <v>0</v>
      </c>
      <c r="U80" s="6564">
        <f t="shared" si="160"/>
        <v>3013.46</v>
      </c>
      <c r="V80" s="6561"/>
      <c r="W80" s="6561"/>
      <c r="X80" s="6562">
        <f t="shared" si="161"/>
        <v>0</v>
      </c>
      <c r="Y80" s="6562">
        <f t="shared" si="161"/>
        <v>2401.69</v>
      </c>
      <c r="Z80" s="6567">
        <f t="shared" si="162"/>
        <v>0</v>
      </c>
      <c r="AA80" s="6563">
        <f t="shared" si="162"/>
        <v>3013.46</v>
      </c>
      <c r="AB80" s="6556"/>
      <c r="AC80" s="6561"/>
      <c r="AD80" s="6572">
        <f t="shared" si="163"/>
        <v>0</v>
      </c>
      <c r="AE80" s="6564">
        <f t="shared" si="164"/>
        <v>3013.46</v>
      </c>
      <c r="AF80" s="6561"/>
      <c r="AG80" s="6561"/>
      <c r="AH80" s="6572">
        <f t="shared" si="165"/>
        <v>0</v>
      </c>
      <c r="AI80" s="6564">
        <f t="shared" si="165"/>
        <v>3013.46</v>
      </c>
      <c r="AJ80" s="6561"/>
      <c r="AK80" s="6561"/>
      <c r="AL80" s="6554">
        <f t="shared" si="166"/>
        <v>0</v>
      </c>
      <c r="AM80" s="6554">
        <f t="shared" si="166"/>
        <v>0</v>
      </c>
      <c r="AN80" s="6552">
        <f t="shared" si="167"/>
        <v>0</v>
      </c>
      <c r="AO80" s="6553">
        <f t="shared" si="167"/>
        <v>3013.46</v>
      </c>
      <c r="AP80" s="6561"/>
      <c r="AQ80" s="6561">
        <v>311.39999999999998</v>
      </c>
      <c r="AR80" s="6564">
        <f t="shared" si="168"/>
        <v>0</v>
      </c>
      <c r="AS80" s="6564">
        <f t="shared" si="168"/>
        <v>3324.86</v>
      </c>
      <c r="AT80" s="6556"/>
      <c r="AU80" s="6561">
        <v>741</v>
      </c>
      <c r="AV80" s="6564">
        <f t="shared" si="169"/>
        <v>0</v>
      </c>
      <c r="AW80" s="6564">
        <f t="shared" si="169"/>
        <v>4065.86</v>
      </c>
      <c r="AX80" s="6556"/>
      <c r="AY80" s="6561">
        <v>1023.3</v>
      </c>
      <c r="AZ80" s="6562">
        <f t="shared" si="170"/>
        <v>0</v>
      </c>
      <c r="BA80" s="6562">
        <f t="shared" si="170"/>
        <v>2075.6999999999998</v>
      </c>
      <c r="BB80" s="6567">
        <f t="shared" si="171"/>
        <v>0</v>
      </c>
      <c r="BC80" s="6563">
        <f t="shared" si="171"/>
        <v>2075.6999999999998</v>
      </c>
      <c r="BD80" s="1488">
        <f t="shared" si="172"/>
        <v>0</v>
      </c>
      <c r="BE80" s="1551">
        <f t="shared" si="173"/>
        <v>5089.16</v>
      </c>
      <c r="BF80" s="533"/>
      <c r="BG80" s="533"/>
      <c r="BH80" s="533"/>
      <c r="BI80" s="533"/>
    </row>
    <row r="81" spans="2:61" s="5172" customFormat="1" ht="19.5" hidden="1" thickBot="1" x14ac:dyDescent="0.3">
      <c r="B81" s="7572"/>
      <c r="C81" s="6571" t="s">
        <v>2135</v>
      </c>
      <c r="D81" s="6556"/>
      <c r="E81" s="6560"/>
      <c r="F81" s="6556"/>
      <c r="G81" s="6560"/>
      <c r="H81" s="1488">
        <f t="shared" si="124"/>
        <v>0</v>
      </c>
      <c r="I81" s="1489">
        <f t="shared" si="125"/>
        <v>0</v>
      </c>
      <c r="J81" s="6556"/>
      <c r="K81" s="6561">
        <v>61.82</v>
      </c>
      <c r="L81" s="6554">
        <f t="shared" si="158"/>
        <v>0</v>
      </c>
      <c r="M81" s="6554">
        <f t="shared" si="158"/>
        <v>61.82</v>
      </c>
      <c r="N81" s="6556"/>
      <c r="O81" s="6561">
        <v>1464.63</v>
      </c>
      <c r="P81" s="6564">
        <f t="shared" si="159"/>
        <v>0</v>
      </c>
      <c r="Q81" s="6564">
        <f t="shared" si="159"/>
        <v>1526.45</v>
      </c>
      <c r="R81" s="6556"/>
      <c r="S81" s="6561">
        <v>296.52</v>
      </c>
      <c r="T81" s="6564">
        <f t="shared" si="160"/>
        <v>0</v>
      </c>
      <c r="U81" s="6564">
        <f t="shared" si="160"/>
        <v>1822.97</v>
      </c>
      <c r="V81" s="6561"/>
      <c r="W81" s="6561"/>
      <c r="X81" s="6562">
        <f t="shared" si="161"/>
        <v>0</v>
      </c>
      <c r="Y81" s="6562">
        <f t="shared" si="161"/>
        <v>1761.15</v>
      </c>
      <c r="Z81" s="6567">
        <f t="shared" si="162"/>
        <v>0</v>
      </c>
      <c r="AA81" s="6563">
        <f t="shared" si="162"/>
        <v>1822.97</v>
      </c>
      <c r="AB81" s="6556"/>
      <c r="AC81" s="6561"/>
      <c r="AD81" s="6572">
        <f t="shared" si="163"/>
        <v>0</v>
      </c>
      <c r="AE81" s="6564">
        <f t="shared" si="164"/>
        <v>1822.97</v>
      </c>
      <c r="AF81" s="6561"/>
      <c r="AG81" s="6561"/>
      <c r="AH81" s="6572">
        <f t="shared" si="165"/>
        <v>0</v>
      </c>
      <c r="AI81" s="6564">
        <f t="shared" si="165"/>
        <v>1822.97</v>
      </c>
      <c r="AJ81" s="6561"/>
      <c r="AK81" s="6561"/>
      <c r="AL81" s="6554">
        <f t="shared" si="166"/>
        <v>0</v>
      </c>
      <c r="AM81" s="6554">
        <f t="shared" si="166"/>
        <v>0</v>
      </c>
      <c r="AN81" s="6552">
        <f t="shared" si="167"/>
        <v>0</v>
      </c>
      <c r="AO81" s="6553">
        <f t="shared" si="167"/>
        <v>1822.97</v>
      </c>
      <c r="AP81" s="6561"/>
      <c r="AQ81" s="6561"/>
      <c r="AR81" s="6564">
        <f t="shared" si="168"/>
        <v>0</v>
      </c>
      <c r="AS81" s="6564">
        <f t="shared" si="168"/>
        <v>1822.97</v>
      </c>
      <c r="AT81" s="6556"/>
      <c r="AU81" s="6561">
        <v>160.4</v>
      </c>
      <c r="AV81" s="6564">
        <f t="shared" si="169"/>
        <v>0</v>
      </c>
      <c r="AW81" s="6564">
        <f t="shared" si="169"/>
        <v>1983.3700000000001</v>
      </c>
      <c r="AX81" s="6556"/>
      <c r="AY81" s="6561">
        <v>891.8</v>
      </c>
      <c r="AZ81" s="6562">
        <f t="shared" si="170"/>
        <v>0</v>
      </c>
      <c r="BA81" s="6562">
        <f t="shared" si="170"/>
        <v>1052.2</v>
      </c>
      <c r="BB81" s="6567">
        <f t="shared" si="171"/>
        <v>0</v>
      </c>
      <c r="BC81" s="6563">
        <f t="shared" si="171"/>
        <v>1052.2</v>
      </c>
      <c r="BD81" s="1488">
        <f t="shared" si="172"/>
        <v>0</v>
      </c>
      <c r="BE81" s="1551">
        <f t="shared" si="173"/>
        <v>2875.17</v>
      </c>
      <c r="BF81" s="533"/>
      <c r="BG81" s="533"/>
      <c r="BH81" s="533"/>
      <c r="BI81" s="533"/>
    </row>
    <row r="82" spans="2:61" s="5172" customFormat="1" ht="19.5" hidden="1" thickBot="1" x14ac:dyDescent="0.3">
      <c r="B82" s="7572"/>
      <c r="C82" s="6571" t="s">
        <v>2136</v>
      </c>
      <c r="D82" s="6556"/>
      <c r="E82" s="6560"/>
      <c r="F82" s="6556"/>
      <c r="G82" s="6560"/>
      <c r="H82" s="1488">
        <f t="shared" si="124"/>
        <v>0</v>
      </c>
      <c r="I82" s="1489">
        <f t="shared" si="125"/>
        <v>0</v>
      </c>
      <c r="J82" s="6556"/>
      <c r="K82" s="6561">
        <v>1154.52</v>
      </c>
      <c r="L82" s="6554">
        <f t="shared" si="158"/>
        <v>0</v>
      </c>
      <c r="M82" s="6554">
        <f t="shared" si="158"/>
        <v>1154.52</v>
      </c>
      <c r="N82" s="6556"/>
      <c r="O82" s="6561">
        <v>4113.17</v>
      </c>
      <c r="P82" s="6564">
        <f t="shared" si="159"/>
        <v>0</v>
      </c>
      <c r="Q82" s="6564">
        <f t="shared" si="159"/>
        <v>5267.6900000000005</v>
      </c>
      <c r="R82" s="6556"/>
      <c r="S82" s="6561">
        <v>1946.73</v>
      </c>
      <c r="T82" s="6564">
        <f t="shared" si="160"/>
        <v>0</v>
      </c>
      <c r="U82" s="6564">
        <f t="shared" si="160"/>
        <v>7214.42</v>
      </c>
      <c r="V82" s="6561"/>
      <c r="W82" s="6561"/>
      <c r="X82" s="6562">
        <f t="shared" si="161"/>
        <v>0</v>
      </c>
      <c r="Y82" s="6562">
        <f t="shared" si="161"/>
        <v>6059.9</v>
      </c>
      <c r="Z82" s="6567">
        <f t="shared" si="162"/>
        <v>0</v>
      </c>
      <c r="AA82" s="6563">
        <f t="shared" si="162"/>
        <v>7214.42</v>
      </c>
      <c r="AB82" s="6556"/>
      <c r="AC82" s="6561"/>
      <c r="AD82" s="6572">
        <f t="shared" si="163"/>
        <v>0</v>
      </c>
      <c r="AE82" s="6564">
        <f t="shared" si="164"/>
        <v>7214.42</v>
      </c>
      <c r="AF82" s="6561"/>
      <c r="AG82" s="6561"/>
      <c r="AH82" s="6572">
        <f t="shared" si="165"/>
        <v>0</v>
      </c>
      <c r="AI82" s="6564">
        <f t="shared" si="165"/>
        <v>7214.42</v>
      </c>
      <c r="AJ82" s="6561"/>
      <c r="AK82" s="6561"/>
      <c r="AL82" s="6554">
        <f t="shared" si="166"/>
        <v>0</v>
      </c>
      <c r="AM82" s="6554">
        <f t="shared" si="166"/>
        <v>0</v>
      </c>
      <c r="AN82" s="6552">
        <f t="shared" si="167"/>
        <v>0</v>
      </c>
      <c r="AO82" s="6553">
        <f t="shared" si="167"/>
        <v>7214.42</v>
      </c>
      <c r="AP82" s="6561"/>
      <c r="AQ82" s="6561">
        <v>2044.3</v>
      </c>
      <c r="AR82" s="6564">
        <f t="shared" si="168"/>
        <v>0</v>
      </c>
      <c r="AS82" s="6564">
        <f t="shared" si="168"/>
        <v>9258.7199999999993</v>
      </c>
      <c r="AT82" s="6556"/>
      <c r="AU82" s="6561">
        <v>2190</v>
      </c>
      <c r="AV82" s="6564">
        <f t="shared" si="169"/>
        <v>0</v>
      </c>
      <c r="AW82" s="6564">
        <f t="shared" si="169"/>
        <v>11448.72</v>
      </c>
      <c r="AX82" s="6556"/>
      <c r="AY82" s="6561">
        <v>3672.7</v>
      </c>
      <c r="AZ82" s="6562">
        <f t="shared" si="170"/>
        <v>0</v>
      </c>
      <c r="BA82" s="6562">
        <f t="shared" si="170"/>
        <v>7907</v>
      </c>
      <c r="BB82" s="6567">
        <f t="shared" si="171"/>
        <v>0</v>
      </c>
      <c r="BC82" s="6563">
        <f t="shared" si="171"/>
        <v>7907</v>
      </c>
      <c r="BD82" s="1488">
        <f t="shared" si="172"/>
        <v>0</v>
      </c>
      <c r="BE82" s="1551">
        <f t="shared" si="173"/>
        <v>15121.419999999998</v>
      </c>
      <c r="BF82" s="533"/>
      <c r="BG82" s="533"/>
      <c r="BH82" s="533"/>
      <c r="BI82" s="533"/>
    </row>
    <row r="83" spans="2:61" s="5172" customFormat="1" ht="16.5" hidden="1" thickBot="1" x14ac:dyDescent="0.3">
      <c r="B83" s="7572"/>
      <c r="C83" s="6550" t="s">
        <v>2176</v>
      </c>
      <c r="D83" s="6556"/>
      <c r="E83" s="6556">
        <f>+E84+E85</f>
        <v>0</v>
      </c>
      <c r="F83" s="6556"/>
      <c r="G83" s="6556">
        <f>+G84+G85</f>
        <v>0</v>
      </c>
      <c r="H83" s="1488">
        <f t="shared" si="124"/>
        <v>0</v>
      </c>
      <c r="I83" s="1489">
        <f t="shared" si="125"/>
        <v>0</v>
      </c>
      <c r="J83" s="6556">
        <f t="shared" ref="J83:BE83" si="174">+J84+J85</f>
        <v>0</v>
      </c>
      <c r="K83" s="6556">
        <f t="shared" si="174"/>
        <v>0</v>
      </c>
      <c r="L83" s="6556">
        <f t="shared" si="174"/>
        <v>0</v>
      </c>
      <c r="M83" s="6554">
        <f t="shared" si="158"/>
        <v>0</v>
      </c>
      <c r="N83" s="6556">
        <f t="shared" si="174"/>
        <v>0</v>
      </c>
      <c r="O83" s="6556">
        <f t="shared" si="174"/>
        <v>0</v>
      </c>
      <c r="P83" s="6556">
        <f t="shared" si="174"/>
        <v>0</v>
      </c>
      <c r="Q83" s="6556">
        <f t="shared" si="174"/>
        <v>2404.65</v>
      </c>
      <c r="R83" s="6556">
        <f t="shared" si="174"/>
        <v>0</v>
      </c>
      <c r="S83" s="6556">
        <f t="shared" si="174"/>
        <v>3660.3799999999997</v>
      </c>
      <c r="T83" s="6556">
        <f t="shared" si="174"/>
        <v>0</v>
      </c>
      <c r="U83" s="6556">
        <f t="shared" si="174"/>
        <v>6065.0300000000007</v>
      </c>
      <c r="V83" s="6556">
        <f t="shared" si="174"/>
        <v>0</v>
      </c>
      <c r="W83" s="6556">
        <f t="shared" si="174"/>
        <v>0</v>
      </c>
      <c r="X83" s="6556">
        <f t="shared" si="174"/>
        <v>0</v>
      </c>
      <c r="Y83" s="6562">
        <f t="shared" si="161"/>
        <v>3660.3799999999997</v>
      </c>
      <c r="Z83" s="6556">
        <f t="shared" si="174"/>
        <v>0</v>
      </c>
      <c r="AA83" s="6563">
        <f t="shared" si="162"/>
        <v>3660.3799999999997</v>
      </c>
      <c r="AB83" s="6556">
        <f t="shared" si="174"/>
        <v>0</v>
      </c>
      <c r="AC83" s="6556">
        <f t="shared" si="174"/>
        <v>0</v>
      </c>
      <c r="AD83" s="6556">
        <f t="shared" si="174"/>
        <v>0</v>
      </c>
      <c r="AE83" s="6556">
        <f t="shared" si="174"/>
        <v>6065.0300000000007</v>
      </c>
      <c r="AF83" s="6556">
        <f t="shared" si="174"/>
        <v>0</v>
      </c>
      <c r="AG83" s="6556">
        <f t="shared" si="174"/>
        <v>0</v>
      </c>
      <c r="AH83" s="6556">
        <f t="shared" si="174"/>
        <v>0</v>
      </c>
      <c r="AI83" s="6556">
        <f t="shared" si="174"/>
        <v>6065.0300000000007</v>
      </c>
      <c r="AJ83" s="6556">
        <f t="shared" si="174"/>
        <v>0</v>
      </c>
      <c r="AK83" s="6556">
        <f t="shared" si="174"/>
        <v>0</v>
      </c>
      <c r="AL83" s="6556">
        <f t="shared" si="174"/>
        <v>0</v>
      </c>
      <c r="AM83" s="6556">
        <f t="shared" si="174"/>
        <v>0</v>
      </c>
      <c r="AN83" s="6556">
        <f t="shared" si="174"/>
        <v>0</v>
      </c>
      <c r="AO83" s="6556">
        <f t="shared" si="174"/>
        <v>6065.0300000000007</v>
      </c>
      <c r="AP83" s="6556">
        <f t="shared" si="174"/>
        <v>0</v>
      </c>
      <c r="AQ83" s="6556">
        <f t="shared" si="174"/>
        <v>0</v>
      </c>
      <c r="AR83" s="6556">
        <f t="shared" si="174"/>
        <v>0</v>
      </c>
      <c r="AS83" s="6556">
        <f t="shared" si="174"/>
        <v>6065.0300000000007</v>
      </c>
      <c r="AT83" s="6556">
        <f t="shared" si="174"/>
        <v>0</v>
      </c>
      <c r="AU83" s="6556">
        <f t="shared" si="174"/>
        <v>0</v>
      </c>
      <c r="AV83" s="6556">
        <f t="shared" si="174"/>
        <v>0</v>
      </c>
      <c r="AW83" s="6556">
        <f t="shared" si="174"/>
        <v>6065.0300000000007</v>
      </c>
      <c r="AX83" s="6556">
        <f t="shared" si="174"/>
        <v>0</v>
      </c>
      <c r="AY83" s="6556">
        <f t="shared" si="174"/>
        <v>0</v>
      </c>
      <c r="AZ83" s="6556">
        <f t="shared" si="174"/>
        <v>0</v>
      </c>
      <c r="BA83" s="6556">
        <f t="shared" si="174"/>
        <v>0</v>
      </c>
      <c r="BB83" s="6556">
        <f t="shared" si="174"/>
        <v>0</v>
      </c>
      <c r="BC83" s="6556">
        <f t="shared" si="174"/>
        <v>0</v>
      </c>
      <c r="BD83" s="6556">
        <f t="shared" si="174"/>
        <v>0</v>
      </c>
      <c r="BE83" s="6556">
        <f t="shared" si="174"/>
        <v>6065.0300000000007</v>
      </c>
      <c r="BF83" s="533"/>
      <c r="BG83" s="533"/>
      <c r="BH83" s="533"/>
      <c r="BI83" s="533"/>
    </row>
    <row r="84" spans="2:61" s="5172" customFormat="1" ht="16.5" hidden="1" thickBot="1" x14ac:dyDescent="0.3">
      <c r="B84" s="7572"/>
      <c r="C84" s="6558" t="s">
        <v>2173</v>
      </c>
      <c r="D84" s="6556"/>
      <c r="E84" s="6561">
        <f>'Direct sales IPT details'!E209</f>
        <v>0</v>
      </c>
      <c r="F84" s="6556"/>
      <c r="G84" s="6561">
        <f>'Direct sales IPT details'!G209</f>
        <v>0</v>
      </c>
      <c r="H84" s="1488">
        <f t="shared" si="124"/>
        <v>0</v>
      </c>
      <c r="I84" s="1489">
        <f t="shared" si="125"/>
        <v>0</v>
      </c>
      <c r="J84" s="6556">
        <f>'Direct sales IPT details'!J209</f>
        <v>0</v>
      </c>
      <c r="K84" s="6561">
        <f>'Direct sales IPT details'!K209</f>
        <v>0</v>
      </c>
      <c r="L84" s="6554">
        <f>'Direct sales IPT details'!L209</f>
        <v>0</v>
      </c>
      <c r="M84" s="6554">
        <f>'Direct sales IPT details'!M209</f>
        <v>0</v>
      </c>
      <c r="N84" s="6556">
        <f>'Direct sales IPT details'!N209</f>
        <v>0</v>
      </c>
      <c r="O84" s="6561">
        <f>'Direct sales IPT details'!O209</f>
        <v>0</v>
      </c>
      <c r="P84" s="6564">
        <f>'Direct sales IPT details'!P209</f>
        <v>0</v>
      </c>
      <c r="Q84" s="6564">
        <f>'Direct sales IPT details'!Q209</f>
        <v>0</v>
      </c>
      <c r="R84" s="6556">
        <f>'Direct sales IPT details'!R209</f>
        <v>0</v>
      </c>
      <c r="S84" s="6561">
        <f>'Direct sales IPT details'!S209</f>
        <v>343.68</v>
      </c>
      <c r="T84" s="6564">
        <f>'Direct sales IPT details'!T209</f>
        <v>0</v>
      </c>
      <c r="U84" s="6564">
        <f>'Direct sales IPT details'!U209</f>
        <v>343.68</v>
      </c>
      <c r="V84" s="6561">
        <f>'Direct sales IPT details'!V209</f>
        <v>0</v>
      </c>
      <c r="W84" s="6561">
        <f>'Direct sales IPT details'!W209</f>
        <v>0</v>
      </c>
      <c r="X84" s="6562">
        <f>'Direct sales IPT details'!X209</f>
        <v>0</v>
      </c>
      <c r="Y84" s="6562">
        <f>'Direct sales IPT details'!Y209</f>
        <v>343.68</v>
      </c>
      <c r="Z84" s="6567">
        <f>'Direct sales IPT details'!Z209</f>
        <v>0</v>
      </c>
      <c r="AA84" s="6563">
        <f>'Direct sales IPT details'!AA209</f>
        <v>343.68</v>
      </c>
      <c r="AB84" s="6556">
        <f>'Direct sales IPT details'!AB209</f>
        <v>0</v>
      </c>
      <c r="AC84" s="6561">
        <f>'Direct sales IPT details'!AC209</f>
        <v>0</v>
      </c>
      <c r="AD84" s="6572">
        <f>'Direct sales IPT details'!AD209</f>
        <v>0</v>
      </c>
      <c r="AE84" s="6564">
        <f>'Direct sales IPT details'!AE209</f>
        <v>343.68</v>
      </c>
      <c r="AF84" s="6561">
        <f>'Direct sales IPT details'!AF209</f>
        <v>0</v>
      </c>
      <c r="AG84" s="6561">
        <f>'Direct sales IPT details'!AG209</f>
        <v>0</v>
      </c>
      <c r="AH84" s="6572">
        <f>'Direct sales IPT details'!AH209</f>
        <v>0</v>
      </c>
      <c r="AI84" s="6564">
        <f>'Direct sales IPT details'!AI209</f>
        <v>343.68</v>
      </c>
      <c r="AJ84" s="6561">
        <f>'Direct sales IPT details'!AJ209</f>
        <v>0</v>
      </c>
      <c r="AK84" s="6561">
        <f>'Direct sales IPT details'!AK209</f>
        <v>0</v>
      </c>
      <c r="AL84" s="6554">
        <f>'Direct sales IPT details'!AL209</f>
        <v>0</v>
      </c>
      <c r="AM84" s="6554">
        <f>'Direct sales IPT details'!AM209</f>
        <v>0</v>
      </c>
      <c r="AN84" s="6552">
        <f>'Direct sales IPT details'!AN209</f>
        <v>0</v>
      </c>
      <c r="AO84" s="6553">
        <f>'Direct sales IPT details'!AO209</f>
        <v>343.68</v>
      </c>
      <c r="AP84" s="6561">
        <f>'Direct sales IPT details'!AP209</f>
        <v>0</v>
      </c>
      <c r="AQ84" s="6561">
        <f>'Direct sales IPT details'!AQ209</f>
        <v>0</v>
      </c>
      <c r="AR84" s="6564">
        <f>'Direct sales IPT details'!AR209</f>
        <v>0</v>
      </c>
      <c r="AS84" s="6564">
        <f>'Direct sales IPT details'!AS209</f>
        <v>343.68</v>
      </c>
      <c r="AT84" s="6556">
        <f>'Direct sales IPT details'!AT209</f>
        <v>0</v>
      </c>
      <c r="AU84" s="6561">
        <f>'Direct sales IPT details'!AU209</f>
        <v>0</v>
      </c>
      <c r="AV84" s="6564">
        <f>'Direct sales IPT details'!AV209</f>
        <v>0</v>
      </c>
      <c r="AW84" s="6564">
        <f>'Direct sales IPT details'!AW209</f>
        <v>343.68</v>
      </c>
      <c r="AX84" s="6556">
        <f>'Direct sales IPT details'!AX209</f>
        <v>0</v>
      </c>
      <c r="AY84" s="6561">
        <f>'Direct sales IPT details'!AY209</f>
        <v>0</v>
      </c>
      <c r="AZ84" s="6562">
        <f>'Direct sales IPT details'!AZ209</f>
        <v>0</v>
      </c>
      <c r="BA84" s="6562">
        <f>'Direct sales IPT details'!BA209</f>
        <v>0</v>
      </c>
      <c r="BB84" s="6567">
        <f>'Direct sales IPT details'!BB209</f>
        <v>0</v>
      </c>
      <c r="BC84" s="6563">
        <f>'Direct sales IPT details'!BC209</f>
        <v>0</v>
      </c>
      <c r="BD84" s="6552">
        <f>'Direct sales IPT details'!BD209</f>
        <v>0</v>
      </c>
      <c r="BE84" s="6553">
        <f>'Direct sales IPT details'!BE209</f>
        <v>343.68</v>
      </c>
      <c r="BF84" s="533"/>
      <c r="BG84" s="533"/>
      <c r="BH84" s="533"/>
      <c r="BI84" s="533"/>
    </row>
    <row r="85" spans="2:61" s="5172" customFormat="1" ht="16.5" hidden="1" thickBot="1" x14ac:dyDescent="0.3">
      <c r="B85" s="7572"/>
      <c r="C85" s="6558" t="s">
        <v>1642</v>
      </c>
      <c r="D85" s="6556"/>
      <c r="E85" s="6561">
        <f>'Direct sales IPT details'!E210</f>
        <v>0</v>
      </c>
      <c r="F85" s="6556"/>
      <c r="G85" s="6561">
        <f>'Direct sales IPT details'!G210</f>
        <v>0</v>
      </c>
      <c r="H85" s="1488">
        <f t="shared" si="124"/>
        <v>0</v>
      </c>
      <c r="I85" s="1489">
        <f t="shared" si="125"/>
        <v>0</v>
      </c>
      <c r="J85" s="6556">
        <f>'Direct sales IPT details'!J210</f>
        <v>0</v>
      </c>
      <c r="K85" s="6561">
        <f>'Direct sales IPT details'!K210</f>
        <v>0</v>
      </c>
      <c r="L85" s="6554">
        <f>'Direct sales IPT details'!L210</f>
        <v>0</v>
      </c>
      <c r="M85" s="6554">
        <f>'Direct sales IPT details'!M210</f>
        <v>2404.65</v>
      </c>
      <c r="N85" s="6556">
        <f>'Direct sales IPT details'!N210</f>
        <v>0</v>
      </c>
      <c r="O85" s="6561">
        <f>'Direct sales IPT details'!O210</f>
        <v>0</v>
      </c>
      <c r="P85" s="6564">
        <f>'Direct sales IPT details'!P210</f>
        <v>0</v>
      </c>
      <c r="Q85" s="6564">
        <f>'Direct sales IPT details'!Q210</f>
        <v>2404.65</v>
      </c>
      <c r="R85" s="6556">
        <f>'Direct sales IPT details'!R210</f>
        <v>0</v>
      </c>
      <c r="S85" s="6561">
        <f>'Direct sales IPT details'!S210</f>
        <v>3316.7</v>
      </c>
      <c r="T85" s="6564">
        <f>'Direct sales IPT details'!T210</f>
        <v>0</v>
      </c>
      <c r="U85" s="6564">
        <f>'Direct sales IPT details'!U210</f>
        <v>5721.35</v>
      </c>
      <c r="V85" s="6561">
        <f>'Direct sales IPT details'!V210</f>
        <v>0</v>
      </c>
      <c r="W85" s="6561">
        <f>'Direct sales IPT details'!W210</f>
        <v>0</v>
      </c>
      <c r="X85" s="6562">
        <f>'Direct sales IPT details'!X210</f>
        <v>0</v>
      </c>
      <c r="Y85" s="6562">
        <f>'Direct sales IPT details'!Y210</f>
        <v>3316.7</v>
      </c>
      <c r="Z85" s="6567">
        <f>'Direct sales IPT details'!Z210</f>
        <v>0</v>
      </c>
      <c r="AA85" s="6563">
        <f>'Direct sales IPT details'!AA210</f>
        <v>5721.35</v>
      </c>
      <c r="AB85" s="6556">
        <f>'Direct sales IPT details'!AB210</f>
        <v>0</v>
      </c>
      <c r="AC85" s="6561">
        <f>'Direct sales IPT details'!AC210</f>
        <v>0</v>
      </c>
      <c r="AD85" s="6572">
        <f>'Direct sales IPT details'!AD210</f>
        <v>0</v>
      </c>
      <c r="AE85" s="6564">
        <f>'Direct sales IPT details'!AE210</f>
        <v>5721.35</v>
      </c>
      <c r="AF85" s="6561">
        <f>'Direct sales IPT details'!AF210</f>
        <v>0</v>
      </c>
      <c r="AG85" s="6561">
        <f>'Direct sales IPT details'!AG210</f>
        <v>0</v>
      </c>
      <c r="AH85" s="6572">
        <f>'Direct sales IPT details'!AH210</f>
        <v>0</v>
      </c>
      <c r="AI85" s="6564">
        <f>'Direct sales IPT details'!AI210</f>
        <v>5721.35</v>
      </c>
      <c r="AJ85" s="6561">
        <f>'Direct sales IPT details'!AJ210</f>
        <v>0</v>
      </c>
      <c r="AK85" s="6561">
        <f>'Direct sales IPT details'!AK210</f>
        <v>0</v>
      </c>
      <c r="AL85" s="6554">
        <f>'Direct sales IPT details'!AL210</f>
        <v>0</v>
      </c>
      <c r="AM85" s="6554">
        <f>'Direct sales IPT details'!AM210</f>
        <v>0</v>
      </c>
      <c r="AN85" s="6552">
        <f>'Direct sales IPT details'!AN210</f>
        <v>0</v>
      </c>
      <c r="AO85" s="6553">
        <f>'Direct sales IPT details'!AO210</f>
        <v>5721.35</v>
      </c>
      <c r="AP85" s="6561">
        <f>'Direct sales IPT details'!AP210</f>
        <v>0</v>
      </c>
      <c r="AQ85" s="6561">
        <f>'Direct sales IPT details'!AQ210</f>
        <v>0</v>
      </c>
      <c r="AR85" s="6564">
        <f>'Direct sales IPT details'!AR210</f>
        <v>0</v>
      </c>
      <c r="AS85" s="6564">
        <f>'Direct sales IPT details'!AS210</f>
        <v>5721.35</v>
      </c>
      <c r="AT85" s="6556">
        <f>'Direct sales IPT details'!AT210</f>
        <v>0</v>
      </c>
      <c r="AU85" s="6561">
        <f>'Direct sales IPT details'!AU210</f>
        <v>0</v>
      </c>
      <c r="AV85" s="6564">
        <f>'Direct sales IPT details'!AV210</f>
        <v>0</v>
      </c>
      <c r="AW85" s="6564">
        <f>'Direct sales IPT details'!AW210</f>
        <v>5721.35</v>
      </c>
      <c r="AX85" s="6556">
        <f>'Direct sales IPT details'!AX210</f>
        <v>0</v>
      </c>
      <c r="AY85" s="6561">
        <f>'Direct sales IPT details'!AY210</f>
        <v>0</v>
      </c>
      <c r="AZ85" s="6562">
        <f>'Direct sales IPT details'!AZ210</f>
        <v>0</v>
      </c>
      <c r="BA85" s="6562">
        <f>'Direct sales IPT details'!BA210</f>
        <v>0</v>
      </c>
      <c r="BB85" s="6567">
        <f>'Direct sales IPT details'!BB210</f>
        <v>0</v>
      </c>
      <c r="BC85" s="6563">
        <f>'Direct sales IPT details'!BC210</f>
        <v>0</v>
      </c>
      <c r="BD85" s="6552">
        <f>'Direct sales IPT details'!BD210</f>
        <v>0</v>
      </c>
      <c r="BE85" s="6553">
        <f>'Direct sales IPT details'!BE210</f>
        <v>5721.35</v>
      </c>
      <c r="BF85" s="533"/>
      <c r="BG85" s="533"/>
      <c r="BH85" s="533"/>
      <c r="BI85" s="533"/>
    </row>
    <row r="86" spans="2:61" s="5172" customFormat="1" ht="19.5" thickBot="1" x14ac:dyDescent="0.3">
      <c r="B86" s="7572"/>
      <c r="C86" s="6573" t="s">
        <v>143</v>
      </c>
      <c r="E86" s="6747">
        <f>E88+E89</f>
        <v>1707.85</v>
      </c>
      <c r="G86" s="6747">
        <f>G88+G89</f>
        <v>10973.98</v>
      </c>
      <c r="H86" s="1488">
        <f t="shared" si="124"/>
        <v>0</v>
      </c>
      <c r="I86" s="1489">
        <f t="shared" si="125"/>
        <v>12681.83</v>
      </c>
      <c r="J86" s="6556">
        <f t="shared" ref="J86:BE86" si="175">+J77+J83</f>
        <v>0</v>
      </c>
      <c r="K86" s="6556">
        <f t="shared" si="175"/>
        <v>1828.1100000000001</v>
      </c>
      <c r="L86" s="6556">
        <f t="shared" si="175"/>
        <v>3</v>
      </c>
      <c r="M86" s="6554">
        <f t="shared" si="158"/>
        <v>14509.94</v>
      </c>
      <c r="N86" s="6556">
        <f t="shared" si="175"/>
        <v>0</v>
      </c>
      <c r="O86" s="6556">
        <f t="shared" si="175"/>
        <v>21062.1</v>
      </c>
      <c r="P86" s="6556">
        <f t="shared" si="175"/>
        <v>3</v>
      </c>
      <c r="Q86" s="6556">
        <f t="shared" si="175"/>
        <v>35490.86</v>
      </c>
      <c r="R86" s="6556">
        <f t="shared" si="175"/>
        <v>0</v>
      </c>
      <c r="S86" s="6556">
        <f t="shared" si="175"/>
        <v>9841.2599999999984</v>
      </c>
      <c r="T86" s="6556">
        <f t="shared" si="175"/>
        <v>3</v>
      </c>
      <c r="U86" s="6556">
        <f t="shared" si="175"/>
        <v>45332.119999999995</v>
      </c>
      <c r="V86" s="6556">
        <f t="shared" si="175"/>
        <v>0</v>
      </c>
      <c r="W86" s="6556">
        <f t="shared" si="175"/>
        <v>13620.560000000001</v>
      </c>
      <c r="X86" s="6556">
        <f t="shared" si="175"/>
        <v>0</v>
      </c>
      <c r="Y86" s="6562">
        <f t="shared" si="161"/>
        <v>44523.92</v>
      </c>
      <c r="Z86" s="6556">
        <f t="shared" si="175"/>
        <v>3</v>
      </c>
      <c r="AA86" s="6563">
        <f t="shared" si="162"/>
        <v>59033.86</v>
      </c>
      <c r="AB86" s="6556">
        <f t="shared" si="175"/>
        <v>0</v>
      </c>
      <c r="AC86" s="6556">
        <f t="shared" si="175"/>
        <v>7253.71</v>
      </c>
      <c r="AD86" s="6556">
        <f t="shared" si="175"/>
        <v>3</v>
      </c>
      <c r="AE86" s="6556">
        <f t="shared" si="175"/>
        <v>66206.39</v>
      </c>
      <c r="AF86" s="6556">
        <f t="shared" si="175"/>
        <v>0</v>
      </c>
      <c r="AG86" s="6556">
        <f t="shared" si="175"/>
        <v>0</v>
      </c>
      <c r="AH86" s="6556">
        <f t="shared" si="175"/>
        <v>3</v>
      </c>
      <c r="AI86" s="6556">
        <f t="shared" si="175"/>
        <v>66206.39</v>
      </c>
      <c r="AJ86" s="6556">
        <f t="shared" si="175"/>
        <v>0</v>
      </c>
      <c r="AK86" s="6556">
        <f t="shared" si="175"/>
        <v>0</v>
      </c>
      <c r="AL86" s="6556">
        <f t="shared" si="175"/>
        <v>0</v>
      </c>
      <c r="AM86" s="6556">
        <f t="shared" si="175"/>
        <v>7253.71</v>
      </c>
      <c r="AN86" s="6556">
        <f t="shared" si="175"/>
        <v>3</v>
      </c>
      <c r="AO86" s="6556">
        <f t="shared" si="175"/>
        <v>66206.39</v>
      </c>
      <c r="AP86" s="6556">
        <f t="shared" si="175"/>
        <v>0</v>
      </c>
      <c r="AQ86" s="6556">
        <f t="shared" si="175"/>
        <v>2355.6999999999998</v>
      </c>
      <c r="AR86" s="6556">
        <f t="shared" si="175"/>
        <v>3</v>
      </c>
      <c r="AS86" s="6556">
        <f t="shared" si="175"/>
        <v>68562.09</v>
      </c>
      <c r="AT86" s="6556">
        <f t="shared" si="175"/>
        <v>0</v>
      </c>
      <c r="AU86" s="6556">
        <f t="shared" si="175"/>
        <v>3091.4</v>
      </c>
      <c r="AV86" s="6556">
        <f t="shared" si="175"/>
        <v>3</v>
      </c>
      <c r="AW86" s="6556">
        <f t="shared" si="175"/>
        <v>71653.489999999991</v>
      </c>
      <c r="AX86" s="6556">
        <f t="shared" si="175"/>
        <v>0</v>
      </c>
      <c r="AY86" s="6556">
        <f t="shared" si="175"/>
        <v>5587.7999999999993</v>
      </c>
      <c r="AZ86" s="6556">
        <f t="shared" si="175"/>
        <v>0</v>
      </c>
      <c r="BA86" s="6556">
        <f t="shared" si="175"/>
        <v>11034.9</v>
      </c>
      <c r="BB86" s="6556">
        <f t="shared" si="175"/>
        <v>0</v>
      </c>
      <c r="BC86" s="6556">
        <f t="shared" si="175"/>
        <v>18288.61</v>
      </c>
      <c r="BD86" s="6556">
        <f t="shared" si="175"/>
        <v>3</v>
      </c>
      <c r="BE86" s="6556">
        <f t="shared" si="175"/>
        <v>77241.289999999994</v>
      </c>
      <c r="BF86" s="533"/>
      <c r="BG86" s="533"/>
      <c r="BH86" s="533"/>
      <c r="BI86" s="533"/>
    </row>
    <row r="87" spans="2:61" s="5172" customFormat="1" ht="16.5" thickBot="1" x14ac:dyDescent="0.3">
      <c r="B87" s="7572"/>
      <c r="H87" s="1488">
        <f t="shared" si="124"/>
        <v>0</v>
      </c>
      <c r="I87" s="1489">
        <f t="shared" si="125"/>
        <v>0</v>
      </c>
      <c r="BF87" s="533"/>
      <c r="BG87" s="533"/>
      <c r="BH87" s="533"/>
      <c r="BI87" s="533"/>
    </row>
    <row r="88" spans="2:61" ht="16.5" thickBot="1" x14ac:dyDescent="0.3">
      <c r="B88" s="7572"/>
      <c r="C88" s="6574" t="s">
        <v>1352</v>
      </c>
      <c r="D88" s="6561">
        <v>0</v>
      </c>
      <c r="E88" s="6561">
        <v>0</v>
      </c>
      <c r="F88" s="6561">
        <v>3</v>
      </c>
      <c r="G88" s="6561">
        <v>10196</v>
      </c>
      <c r="H88" s="1488">
        <f t="shared" si="124"/>
        <v>3</v>
      </c>
      <c r="I88" s="1489">
        <f t="shared" si="125"/>
        <v>10196</v>
      </c>
      <c r="J88" s="6561">
        <f t="shared" ref="J88:BD88" si="176">+J86-J89</f>
        <v>0</v>
      </c>
      <c r="K88" s="6561">
        <f t="shared" si="176"/>
        <v>0</v>
      </c>
      <c r="L88" s="6561">
        <f t="shared" si="176"/>
        <v>3</v>
      </c>
      <c r="M88" s="6561">
        <f t="shared" si="176"/>
        <v>10196</v>
      </c>
      <c r="N88" s="6561">
        <f t="shared" si="176"/>
        <v>0</v>
      </c>
      <c r="O88" s="6561">
        <f t="shared" si="176"/>
        <v>14213.239999999998</v>
      </c>
      <c r="P88" s="6561">
        <f t="shared" si="176"/>
        <v>3</v>
      </c>
      <c r="Q88" s="6561">
        <f t="shared" si="176"/>
        <v>26813.89</v>
      </c>
      <c r="R88" s="6561">
        <f t="shared" si="176"/>
        <v>0</v>
      </c>
      <c r="S88" s="6561">
        <f t="shared" si="176"/>
        <v>6467.3799999999983</v>
      </c>
      <c r="T88" s="6561">
        <f t="shared" si="176"/>
        <v>3</v>
      </c>
      <c r="U88" s="6561">
        <f t="shared" si="176"/>
        <v>33281.269999999997</v>
      </c>
      <c r="V88" s="6561">
        <f t="shared" si="176"/>
        <v>0</v>
      </c>
      <c r="W88" s="6561">
        <f t="shared" si="176"/>
        <v>13620.560000000001</v>
      </c>
      <c r="X88" s="6561">
        <f t="shared" si="176"/>
        <v>0</v>
      </c>
      <c r="Y88" s="6561">
        <f t="shared" si="176"/>
        <v>34301.179999999993</v>
      </c>
      <c r="Z88" s="6561">
        <f t="shared" si="176"/>
        <v>3</v>
      </c>
      <c r="AA88" s="6561">
        <f t="shared" si="176"/>
        <v>44497.18</v>
      </c>
      <c r="AB88" s="6561">
        <f t="shared" si="176"/>
        <v>0</v>
      </c>
      <c r="AC88" s="6561">
        <f t="shared" si="176"/>
        <v>7253.71</v>
      </c>
      <c r="AD88" s="6561">
        <f t="shared" si="176"/>
        <v>3</v>
      </c>
      <c r="AE88" s="6561">
        <f t="shared" si="176"/>
        <v>54155.54</v>
      </c>
      <c r="AF88" s="6561">
        <f t="shared" si="176"/>
        <v>0</v>
      </c>
      <c r="AG88" s="6561">
        <f t="shared" si="176"/>
        <v>0</v>
      </c>
      <c r="AH88" s="6561">
        <f t="shared" si="176"/>
        <v>3</v>
      </c>
      <c r="AI88" s="6561">
        <f t="shared" si="176"/>
        <v>54155.54</v>
      </c>
      <c r="AJ88" s="6561">
        <f t="shared" si="176"/>
        <v>0</v>
      </c>
      <c r="AK88" s="6561">
        <f t="shared" si="176"/>
        <v>0</v>
      </c>
      <c r="AL88" s="6561">
        <f t="shared" si="176"/>
        <v>0</v>
      </c>
      <c r="AM88" s="6561">
        <f t="shared" si="176"/>
        <v>7253.71</v>
      </c>
      <c r="AN88" s="6561">
        <f t="shared" si="176"/>
        <v>3</v>
      </c>
      <c r="AO88" s="6561">
        <f t="shared" si="176"/>
        <v>54155.54</v>
      </c>
      <c r="AP88" s="6561">
        <f t="shared" si="176"/>
        <v>0</v>
      </c>
      <c r="AQ88" s="6561">
        <f t="shared" si="176"/>
        <v>0</v>
      </c>
      <c r="AR88" s="6561">
        <f t="shared" si="176"/>
        <v>3</v>
      </c>
      <c r="AS88" s="6561">
        <f t="shared" si="176"/>
        <v>54155.539999999994</v>
      </c>
      <c r="AT88" s="6561">
        <f t="shared" si="176"/>
        <v>0</v>
      </c>
      <c r="AU88" s="6561">
        <f t="shared" si="176"/>
        <v>0</v>
      </c>
      <c r="AV88" s="6561">
        <f t="shared" si="176"/>
        <v>3</v>
      </c>
      <c r="AW88" s="6561">
        <f t="shared" si="176"/>
        <v>-490.22999999999593</v>
      </c>
      <c r="AX88" s="6561">
        <f t="shared" si="176"/>
        <v>0</v>
      </c>
      <c r="AY88" s="6561">
        <f t="shared" si="176"/>
        <v>0</v>
      </c>
      <c r="AZ88" s="6561">
        <f t="shared" si="176"/>
        <v>0</v>
      </c>
      <c r="BA88" s="6561">
        <f t="shared" si="176"/>
        <v>0</v>
      </c>
      <c r="BB88" s="6561">
        <f t="shared" si="176"/>
        <v>0</v>
      </c>
      <c r="BC88" s="6561">
        <f t="shared" si="176"/>
        <v>7253.7100000000009</v>
      </c>
      <c r="BD88" s="6561">
        <f t="shared" si="176"/>
        <v>3</v>
      </c>
      <c r="BE88" s="6553">
        <f>E88+G88+K88+O88+S88+W88+AC88+AG88+AK88+AQ88+AU88+AY88</f>
        <v>51750.889999999992</v>
      </c>
      <c r="BF88" s="533"/>
      <c r="BG88" s="533"/>
      <c r="BH88" s="533"/>
      <c r="BI88" s="533"/>
    </row>
    <row r="89" spans="2:61" ht="16.5" thickBot="1" x14ac:dyDescent="0.3">
      <c r="B89" s="7573"/>
      <c r="C89" s="6574" t="s">
        <v>1351</v>
      </c>
      <c r="D89" s="6561">
        <v>0</v>
      </c>
      <c r="E89" s="6561">
        <v>1707.85</v>
      </c>
      <c r="F89" s="6561"/>
      <c r="G89" s="6561">
        <v>777.98</v>
      </c>
      <c r="H89" s="1488">
        <f t="shared" si="124"/>
        <v>0</v>
      </c>
      <c r="I89" s="1489">
        <f t="shared" si="125"/>
        <v>2485.83</v>
      </c>
      <c r="J89" s="6561"/>
      <c r="K89" s="6561">
        <f>+K80+K81+K82</f>
        <v>1828.1100000000001</v>
      </c>
      <c r="L89" s="6554">
        <f t="shared" si="144"/>
        <v>0</v>
      </c>
      <c r="M89" s="6554">
        <f t="shared" si="144"/>
        <v>4313.9400000000005</v>
      </c>
      <c r="N89" s="6561"/>
      <c r="O89" s="6561">
        <f t="shared" ref="O89:W89" si="177">+O80+O81+O82</f>
        <v>6848.8600000000006</v>
      </c>
      <c r="P89" s="6561">
        <f t="shared" si="177"/>
        <v>0</v>
      </c>
      <c r="Q89" s="6561">
        <f t="shared" si="177"/>
        <v>8676.9700000000012</v>
      </c>
      <c r="R89" s="6561">
        <f t="shared" si="177"/>
        <v>0</v>
      </c>
      <c r="S89" s="6561">
        <f t="shared" si="177"/>
        <v>3373.88</v>
      </c>
      <c r="T89" s="6561">
        <f t="shared" si="177"/>
        <v>0</v>
      </c>
      <c r="U89" s="6561">
        <f t="shared" si="177"/>
        <v>12050.85</v>
      </c>
      <c r="V89" s="6561">
        <f t="shared" si="177"/>
        <v>0</v>
      </c>
      <c r="W89" s="6561">
        <f t="shared" si="177"/>
        <v>0</v>
      </c>
      <c r="X89" s="6562"/>
      <c r="Y89" s="6562">
        <f t="shared" ref="Y89" si="178">+O89+S89+W89</f>
        <v>10222.740000000002</v>
      </c>
      <c r="Z89" s="6567"/>
      <c r="AA89" s="6563">
        <f t="shared" ref="AA89" si="179">M89+Y89</f>
        <v>14536.680000000002</v>
      </c>
      <c r="AB89" s="6561"/>
      <c r="AC89" s="6561">
        <f t="shared" ref="AC89:AK89" si="180">+AC80+AC81+AC82</f>
        <v>0</v>
      </c>
      <c r="AD89" s="6561">
        <f t="shared" si="180"/>
        <v>0</v>
      </c>
      <c r="AE89" s="6561">
        <f t="shared" si="180"/>
        <v>12050.85</v>
      </c>
      <c r="AF89" s="6561">
        <f t="shared" si="180"/>
        <v>0</v>
      </c>
      <c r="AG89" s="6561">
        <f t="shared" si="180"/>
        <v>0</v>
      </c>
      <c r="AH89" s="6561">
        <f t="shared" si="180"/>
        <v>0</v>
      </c>
      <c r="AI89" s="6561">
        <f t="shared" si="180"/>
        <v>12050.85</v>
      </c>
      <c r="AJ89" s="6561">
        <f t="shared" si="180"/>
        <v>0</v>
      </c>
      <c r="AK89" s="6561">
        <f t="shared" si="180"/>
        <v>0</v>
      </c>
      <c r="AL89" s="6554">
        <f t="shared" si="131"/>
        <v>0</v>
      </c>
      <c r="AM89" s="6562">
        <f t="shared" si="131"/>
        <v>0</v>
      </c>
      <c r="AN89" s="6564">
        <f t="shared" si="132"/>
        <v>0</v>
      </c>
      <c r="AO89" s="6564">
        <f t="shared" si="132"/>
        <v>12050.85</v>
      </c>
      <c r="AP89" s="6561">
        <f t="shared" ref="AP89" si="181">+AP80+AP81+AP82</f>
        <v>0</v>
      </c>
      <c r="AQ89" s="6560">
        <v>2355.6999999999998</v>
      </c>
      <c r="AR89" s="6564">
        <f t="shared" si="149"/>
        <v>0</v>
      </c>
      <c r="AS89" s="6564">
        <f t="shared" si="149"/>
        <v>14406.55</v>
      </c>
      <c r="AT89" s="6560"/>
      <c r="AU89" s="6561">
        <v>3091.4</v>
      </c>
      <c r="AV89" s="6564">
        <v>0</v>
      </c>
      <c r="AW89" s="6564">
        <v>72143.719999999987</v>
      </c>
      <c r="AX89" s="6560">
        <v>0</v>
      </c>
      <c r="AY89" s="6561">
        <v>5587.7999999999993</v>
      </c>
      <c r="AZ89" s="6562"/>
      <c r="BA89" s="6562">
        <f t="shared" si="137"/>
        <v>11034.9</v>
      </c>
      <c r="BB89" s="6567"/>
      <c r="BC89" s="6563">
        <f t="shared" ref="BC89" si="182">AM89+BA89</f>
        <v>11034.9</v>
      </c>
      <c r="BD89" s="6564"/>
      <c r="BE89" s="6553">
        <f>E89+G89+K89+O89+S89+W89+AC89+AG89+AK89+AQ89+AU89+AY89</f>
        <v>25571.58</v>
      </c>
      <c r="BF89" s="533"/>
      <c r="BG89" s="533"/>
      <c r="BH89" s="533"/>
      <c r="BI89" s="533"/>
    </row>
    <row r="90" spans="2:61" x14ac:dyDescent="0.25">
      <c r="D90" s="5172"/>
      <c r="E90" s="5172"/>
      <c r="F90" s="5172"/>
      <c r="G90" s="5172"/>
      <c r="H90" s="5172"/>
      <c r="I90" s="5172"/>
      <c r="J90" s="5172"/>
      <c r="K90" s="5172"/>
      <c r="L90" s="5172"/>
      <c r="M90" s="5172"/>
      <c r="N90" s="5172"/>
      <c r="O90" s="5172"/>
      <c r="P90" s="5172"/>
      <c r="Q90" s="5172"/>
      <c r="R90" s="5172"/>
      <c r="S90" s="5172"/>
    </row>
    <row r="91" spans="2:61" ht="23.25" x14ac:dyDescent="0.35">
      <c r="B91" s="6578" t="s">
        <v>2179</v>
      </c>
      <c r="D91" s="5172"/>
      <c r="E91" s="5172"/>
      <c r="F91" s="5172"/>
      <c r="G91" s="5172"/>
      <c r="H91" s="5172"/>
      <c r="I91" s="5172"/>
      <c r="J91" s="5172"/>
      <c r="K91" s="5172"/>
      <c r="L91" s="5172"/>
      <c r="M91" s="5172"/>
      <c r="N91" s="5172"/>
      <c r="O91" s="5172"/>
      <c r="P91" s="5172"/>
      <c r="Q91" s="5172"/>
      <c r="R91" s="5172"/>
      <c r="S91" s="5172"/>
      <c r="AZ91"/>
      <c r="BA91"/>
      <c r="BB91"/>
      <c r="BC91"/>
    </row>
    <row r="92" spans="2:61" x14ac:dyDescent="0.25">
      <c r="D92" s="5172"/>
      <c r="E92" s="5172"/>
      <c r="F92" s="5172"/>
      <c r="G92" s="5172"/>
      <c r="H92" s="5172"/>
      <c r="I92" s="5172"/>
      <c r="J92" s="5172"/>
      <c r="K92" s="5172"/>
      <c r="L92" s="5172"/>
      <c r="M92" s="5172"/>
      <c r="N92" s="5172"/>
      <c r="O92" s="5172"/>
      <c r="P92" s="5172"/>
      <c r="Q92" s="5172"/>
      <c r="R92" s="5172"/>
      <c r="S92" s="5172"/>
      <c r="T92" s="5172"/>
      <c r="U92" s="5172"/>
      <c r="V92" s="5172"/>
      <c r="W92" s="5172"/>
      <c r="X92" s="5172"/>
      <c r="Y92" s="5172"/>
      <c r="Z92" s="5172"/>
      <c r="AA92" s="5172"/>
      <c r="AZ92"/>
      <c r="BA92"/>
      <c r="BB92"/>
      <c r="BC92"/>
    </row>
    <row r="93" spans="2:61" x14ac:dyDescent="0.25">
      <c r="D93" s="5172"/>
      <c r="E93" s="5172"/>
      <c r="F93" s="5172"/>
      <c r="G93" s="5172"/>
      <c r="H93" s="5172"/>
      <c r="I93" s="5172"/>
      <c r="J93" s="5172"/>
      <c r="K93" s="5172"/>
      <c r="L93" s="5172"/>
      <c r="M93" s="5172"/>
      <c r="N93" s="5172"/>
      <c r="O93" s="5172"/>
      <c r="P93" s="5172"/>
      <c r="Q93" s="5172"/>
      <c r="R93" s="5172"/>
      <c r="S93" s="5172"/>
      <c r="T93" s="5172"/>
      <c r="U93" s="5172"/>
      <c r="V93" s="5172"/>
      <c r="W93" s="5172"/>
      <c r="X93" s="5172"/>
      <c r="Y93" s="5172"/>
      <c r="Z93" s="5172"/>
      <c r="AA93" s="5172"/>
      <c r="AZ93"/>
      <c r="BA93"/>
      <c r="BB93"/>
      <c r="BC93"/>
    </row>
    <row r="94" spans="2:61" x14ac:dyDescent="0.25">
      <c r="E94" s="5172"/>
      <c r="F94" s="5172"/>
      <c r="G94" s="5172"/>
      <c r="H94" s="5172"/>
      <c r="I94" s="5172"/>
      <c r="J94" s="5172"/>
      <c r="K94" s="5172"/>
      <c r="L94" s="5172"/>
      <c r="M94" s="5172"/>
      <c r="N94" s="5172"/>
      <c r="O94" s="5172"/>
      <c r="P94" s="5172"/>
      <c r="Q94" s="5172"/>
      <c r="R94" s="5172"/>
      <c r="S94" s="5172"/>
      <c r="T94" s="5172"/>
      <c r="U94" s="5172"/>
      <c r="V94" s="5172"/>
      <c r="W94" s="5172"/>
      <c r="X94" s="5172"/>
      <c r="Y94" s="5172"/>
      <c r="Z94" s="5172"/>
      <c r="AA94" s="5172"/>
    </row>
    <row r="95" spans="2:61" x14ac:dyDescent="0.25">
      <c r="E95" s="5172"/>
      <c r="F95" s="5172"/>
      <c r="G95" s="5172"/>
      <c r="H95" s="5172"/>
      <c r="I95" s="5172"/>
      <c r="J95" s="5172"/>
      <c r="K95" s="5172"/>
      <c r="L95" s="5172"/>
      <c r="M95" s="5172"/>
      <c r="N95" s="5172"/>
      <c r="O95" s="5172"/>
      <c r="P95" s="5172"/>
      <c r="Q95" s="5172"/>
      <c r="R95" s="5172"/>
      <c r="S95" s="5172"/>
      <c r="T95" s="5172"/>
      <c r="U95" s="5172"/>
      <c r="V95" s="5172"/>
      <c r="W95" s="5172"/>
      <c r="X95" s="5172"/>
      <c r="Y95" s="5172"/>
      <c r="Z95" s="5172"/>
      <c r="AA95" s="5172"/>
    </row>
    <row r="96" spans="2:61" x14ac:dyDescent="0.25">
      <c r="E96" s="5172"/>
      <c r="F96" s="5172"/>
      <c r="G96" s="5172"/>
      <c r="H96" s="5172"/>
      <c r="I96" s="5172"/>
      <c r="J96" s="5172"/>
      <c r="K96" s="5172"/>
      <c r="L96" s="5172"/>
      <c r="M96" s="5172"/>
      <c r="N96" s="5172"/>
      <c r="O96" s="5172"/>
      <c r="P96" s="5172"/>
      <c r="Q96" s="5172"/>
      <c r="R96" s="5172"/>
      <c r="S96" s="5172"/>
      <c r="T96" s="5172"/>
      <c r="U96" s="5172"/>
      <c r="V96" s="5172"/>
      <c r="W96" s="5172"/>
      <c r="X96" s="5172"/>
      <c r="Y96" s="5172"/>
      <c r="Z96" s="5172"/>
      <c r="AA96" s="5172"/>
    </row>
    <row r="97" spans="5:55" x14ac:dyDescent="0.25">
      <c r="E97" s="5172"/>
      <c r="F97" s="5172"/>
      <c r="G97" s="5172"/>
      <c r="H97" s="5172"/>
      <c r="I97" s="5172"/>
      <c r="J97" s="5172"/>
      <c r="K97" s="5172"/>
      <c r="L97" s="5172"/>
      <c r="M97" s="5172"/>
      <c r="N97" s="5172"/>
      <c r="O97" s="5172"/>
      <c r="P97" s="5172"/>
      <c r="Q97" s="5172"/>
      <c r="R97" s="5172"/>
      <c r="S97" s="5172"/>
      <c r="T97" s="5172"/>
      <c r="U97" s="5172"/>
      <c r="V97" s="5172"/>
      <c r="W97" s="5172"/>
      <c r="X97" s="5172"/>
      <c r="Y97" s="5172"/>
      <c r="Z97" s="5172"/>
      <c r="AA97" s="5172"/>
    </row>
    <row r="98" spans="5:55" x14ac:dyDescent="0.25">
      <c r="E98" s="5172"/>
      <c r="F98" s="5172"/>
      <c r="G98" s="5172"/>
      <c r="H98" s="5172"/>
      <c r="I98" s="5172"/>
      <c r="J98" s="5172"/>
      <c r="K98" s="5172"/>
      <c r="L98" s="5172"/>
      <c r="M98" s="5172"/>
      <c r="N98" s="5172"/>
      <c r="O98" s="5172"/>
      <c r="P98" s="5172"/>
      <c r="Q98" s="5172"/>
      <c r="R98" s="5172"/>
      <c r="S98" s="5172"/>
      <c r="T98" s="5172"/>
      <c r="U98" s="5172"/>
      <c r="V98" s="5172"/>
      <c r="W98" s="5172"/>
      <c r="X98" s="5172"/>
      <c r="Y98" s="5172"/>
      <c r="Z98" s="5172"/>
      <c r="AA98" s="5172"/>
    </row>
    <row r="99" spans="5:55" x14ac:dyDescent="0.25">
      <c r="E99" s="5172"/>
      <c r="F99" s="5172"/>
      <c r="G99" s="5172"/>
      <c r="H99" s="5172"/>
      <c r="I99" s="5172"/>
      <c r="J99" s="5172"/>
      <c r="K99" s="5172"/>
      <c r="L99" s="5172"/>
      <c r="M99" s="5172"/>
      <c r="N99" s="5172"/>
      <c r="O99" s="5172"/>
      <c r="P99" s="5172"/>
      <c r="Q99" s="5172"/>
      <c r="R99" s="5172"/>
      <c r="S99" s="5172"/>
      <c r="T99" s="5172"/>
      <c r="U99" s="5172"/>
      <c r="V99" s="5172"/>
      <c r="W99" s="5172"/>
      <c r="X99" s="5172"/>
      <c r="Y99" s="5172"/>
      <c r="Z99" s="5172"/>
      <c r="AA99" s="5172"/>
    </row>
    <row r="100" spans="5:55" x14ac:dyDescent="0.25">
      <c r="E100" s="5172"/>
      <c r="F100" s="5172"/>
      <c r="G100" s="5172"/>
      <c r="H100" s="5172"/>
      <c r="I100" s="5172"/>
      <c r="J100" s="5172"/>
      <c r="K100" s="5172"/>
      <c r="L100" s="5172"/>
      <c r="M100" s="5172"/>
      <c r="N100" s="5172"/>
      <c r="O100" s="5172"/>
      <c r="P100" s="5172"/>
      <c r="Q100" s="5172"/>
      <c r="R100" s="5172"/>
      <c r="S100" s="5172"/>
      <c r="T100" s="5172"/>
      <c r="U100" s="5172"/>
      <c r="V100" s="5172"/>
      <c r="W100" s="5172"/>
      <c r="X100" s="5172"/>
      <c r="Y100" s="5172"/>
      <c r="Z100" s="5172"/>
      <c r="AA100" s="5172"/>
      <c r="AZ100"/>
      <c r="BA100"/>
      <c r="BB100"/>
      <c r="BC100"/>
    </row>
    <row r="101" spans="5:55" x14ac:dyDescent="0.25">
      <c r="E101" s="5172"/>
      <c r="F101" s="5172"/>
      <c r="G101" s="5172"/>
      <c r="H101" s="5172"/>
      <c r="I101" s="5172"/>
      <c r="J101" s="5172"/>
      <c r="K101" s="5172"/>
      <c r="L101" s="5172"/>
      <c r="M101" s="5172"/>
      <c r="N101" s="5172"/>
      <c r="O101" s="5172"/>
      <c r="P101" s="5172"/>
      <c r="Q101" s="5172"/>
      <c r="R101" s="5172"/>
      <c r="S101" s="5172"/>
      <c r="T101" s="5172"/>
      <c r="U101" s="5172"/>
      <c r="V101" s="5172"/>
      <c r="W101" s="5172"/>
      <c r="X101" s="5172"/>
      <c r="Y101" s="5172"/>
      <c r="Z101" s="5172"/>
      <c r="AA101" s="5172"/>
      <c r="AZ101"/>
      <c r="BA101"/>
      <c r="BB101"/>
      <c r="BC101"/>
    </row>
    <row r="102" spans="5:55" x14ac:dyDescent="0.25">
      <c r="E102" s="5172"/>
      <c r="F102" s="5172"/>
      <c r="G102" s="5172"/>
      <c r="H102" s="5172"/>
      <c r="I102" s="5172"/>
      <c r="J102" s="5172"/>
      <c r="K102" s="5172"/>
      <c r="L102" s="5172"/>
      <c r="M102" s="5172"/>
      <c r="N102" s="5172"/>
      <c r="O102" s="5172"/>
      <c r="P102" s="5172"/>
      <c r="Q102" s="5172"/>
      <c r="R102" s="5172"/>
      <c r="S102" s="5172"/>
      <c r="T102" s="5172"/>
      <c r="U102" s="5172"/>
      <c r="V102" s="5172"/>
      <c r="W102" s="5172"/>
      <c r="X102" s="5172"/>
      <c r="Y102" s="5172"/>
      <c r="Z102" s="5172"/>
      <c r="AA102" s="5172"/>
      <c r="AZ102"/>
      <c r="BA102"/>
      <c r="BB102"/>
      <c r="BC102"/>
    </row>
    <row r="103" spans="5:55" x14ac:dyDescent="0.25">
      <c r="E103" s="5172"/>
      <c r="F103" s="5172"/>
      <c r="G103" s="5172"/>
      <c r="H103" s="5172"/>
      <c r="I103" s="5172"/>
      <c r="J103" s="5172"/>
      <c r="K103" s="5172"/>
      <c r="L103" s="5172"/>
      <c r="M103" s="5172"/>
      <c r="N103" s="5172"/>
      <c r="O103" s="5172"/>
      <c r="P103" s="5172"/>
      <c r="Q103" s="5172"/>
      <c r="R103" s="5172"/>
      <c r="S103" s="5172"/>
      <c r="T103" s="5172"/>
      <c r="U103" s="5172"/>
      <c r="V103" s="5172"/>
      <c r="W103" s="5172"/>
      <c r="X103" s="5172"/>
      <c r="Y103" s="5172"/>
      <c r="Z103" s="5172"/>
      <c r="AA103" s="5172"/>
      <c r="AZ103"/>
      <c r="BA103"/>
      <c r="BB103"/>
      <c r="BC103"/>
    </row>
    <row r="104" spans="5:55" x14ac:dyDescent="0.25">
      <c r="E104" s="5172"/>
      <c r="F104" s="5172"/>
      <c r="G104" s="5172"/>
      <c r="H104" s="5172"/>
      <c r="I104" s="5172"/>
      <c r="J104" s="5172"/>
      <c r="K104" s="5172"/>
      <c r="L104" s="5172"/>
      <c r="M104" s="5172"/>
      <c r="N104" s="5172"/>
      <c r="O104" s="5172"/>
      <c r="P104" s="5172"/>
      <c r="Q104" s="5172"/>
      <c r="R104" s="5172"/>
      <c r="S104" s="5172"/>
      <c r="T104" s="5172"/>
      <c r="U104" s="5172"/>
      <c r="V104" s="5172"/>
      <c r="W104" s="5172"/>
      <c r="X104" s="5172"/>
      <c r="Y104" s="5172"/>
      <c r="Z104" s="5172"/>
      <c r="AA104" s="5172"/>
      <c r="AZ104"/>
      <c r="BA104"/>
      <c r="BB104"/>
      <c r="BC104"/>
    </row>
    <row r="105" spans="5:55" x14ac:dyDescent="0.25">
      <c r="E105" s="5172"/>
      <c r="F105" s="5172"/>
      <c r="G105" s="5172"/>
      <c r="H105" s="5172"/>
      <c r="I105" s="5172"/>
      <c r="J105" s="5172"/>
      <c r="K105" s="5172"/>
      <c r="L105" s="5172"/>
      <c r="M105" s="5172"/>
      <c r="N105" s="5172"/>
      <c r="O105" s="5172"/>
      <c r="P105" s="5172"/>
      <c r="Q105" s="5172"/>
      <c r="R105" s="5172"/>
      <c r="S105" s="5172"/>
      <c r="T105" s="5172"/>
      <c r="U105" s="5172"/>
      <c r="V105" s="5172"/>
      <c r="W105" s="5172"/>
      <c r="X105" s="5172"/>
      <c r="Y105" s="5172"/>
      <c r="Z105" s="5172"/>
      <c r="AA105" s="5172"/>
      <c r="AZ105"/>
      <c r="BA105"/>
      <c r="BB105"/>
      <c r="BC105"/>
    </row>
    <row r="106" spans="5:55" x14ac:dyDescent="0.25">
      <c r="E106" s="5172"/>
      <c r="F106" s="5172"/>
      <c r="G106" s="5172"/>
      <c r="H106" s="5172"/>
      <c r="I106" s="5172"/>
      <c r="J106" s="5172"/>
      <c r="K106" s="5172"/>
      <c r="L106" s="5172"/>
      <c r="M106" s="5172"/>
      <c r="N106" s="5172"/>
      <c r="O106" s="5172"/>
      <c r="P106" s="5172"/>
      <c r="Q106" s="5172"/>
      <c r="R106" s="5172"/>
      <c r="S106" s="5172"/>
      <c r="T106" s="5172"/>
      <c r="U106" s="5172"/>
      <c r="V106" s="5172"/>
      <c r="W106" s="5172"/>
      <c r="X106" s="5172"/>
      <c r="Y106" s="5172"/>
      <c r="Z106" s="5172"/>
      <c r="AA106" s="5172"/>
      <c r="AZ106"/>
      <c r="BA106"/>
      <c r="BB106"/>
      <c r="BC106"/>
    </row>
    <row r="107" spans="5:55" x14ac:dyDescent="0.25">
      <c r="E107" s="5172"/>
      <c r="F107" s="5172"/>
      <c r="G107" s="5172"/>
      <c r="H107" s="5172"/>
      <c r="I107" s="5172"/>
      <c r="J107" s="5172"/>
      <c r="K107" s="5172"/>
      <c r="L107" s="5172"/>
      <c r="M107" s="5172"/>
      <c r="N107" s="5172"/>
      <c r="O107" s="5172"/>
      <c r="P107" s="5172"/>
      <c r="Q107" s="5172"/>
      <c r="R107" s="5172"/>
      <c r="S107" s="5172"/>
      <c r="T107" s="5172"/>
      <c r="U107" s="5172"/>
      <c r="V107" s="5172"/>
      <c r="W107" s="5172"/>
      <c r="X107" s="5172"/>
      <c r="Y107" s="5172"/>
      <c r="Z107" s="5172"/>
      <c r="AA107" s="5172"/>
      <c r="AZ107"/>
      <c r="BA107"/>
      <c r="BB107"/>
      <c r="BC107"/>
    </row>
    <row r="108" spans="5:55" x14ac:dyDescent="0.25">
      <c r="E108" s="5172"/>
      <c r="F108" s="5172"/>
      <c r="G108" s="5172"/>
      <c r="H108" s="5172"/>
      <c r="I108" s="5172"/>
      <c r="J108" s="5172"/>
      <c r="K108" s="5172"/>
      <c r="L108" s="5172"/>
      <c r="M108" s="5172"/>
      <c r="N108" s="5172"/>
      <c r="O108" s="5172"/>
      <c r="P108" s="5172"/>
      <c r="Q108" s="5172"/>
      <c r="R108" s="5172"/>
      <c r="S108" s="5172"/>
      <c r="T108" s="5172"/>
      <c r="U108" s="5172"/>
      <c r="V108" s="5172"/>
      <c r="W108" s="5172"/>
      <c r="X108" s="5172"/>
      <c r="Y108" s="5172"/>
      <c r="Z108" s="5172"/>
      <c r="AA108" s="5172"/>
      <c r="AZ108"/>
      <c r="BA108"/>
      <c r="BB108"/>
      <c r="BC108"/>
    </row>
    <row r="109" spans="5:55" x14ac:dyDescent="0.25">
      <c r="E109" s="5172"/>
      <c r="F109" s="5172"/>
      <c r="G109" s="5172"/>
      <c r="H109" s="5172"/>
      <c r="I109" s="5172"/>
      <c r="J109" s="5172"/>
      <c r="K109" s="5172"/>
      <c r="L109" s="5172"/>
      <c r="M109" s="5172"/>
      <c r="N109" s="5172"/>
      <c r="O109" s="5172"/>
      <c r="P109" s="5172"/>
      <c r="Q109" s="5172"/>
      <c r="R109" s="5172"/>
      <c r="S109" s="5172"/>
      <c r="T109" s="5172"/>
      <c r="U109" s="5172"/>
      <c r="V109" s="5172"/>
      <c r="W109" s="5172"/>
      <c r="X109" s="5172"/>
      <c r="Y109" s="5172"/>
      <c r="Z109" s="5172"/>
      <c r="AA109" s="5172"/>
      <c r="AZ109"/>
      <c r="BA109"/>
      <c r="BB109"/>
      <c r="BC109"/>
    </row>
    <row r="110" spans="5:55" x14ac:dyDescent="0.25">
      <c r="E110" s="5172"/>
      <c r="F110" s="5172"/>
      <c r="G110" s="5172"/>
      <c r="H110" s="5172"/>
      <c r="I110" s="5172"/>
      <c r="J110" s="5172"/>
      <c r="K110" s="5172"/>
      <c r="L110" s="5172"/>
      <c r="M110" s="5172"/>
      <c r="N110" s="5172"/>
      <c r="O110" s="5172"/>
      <c r="P110" s="5172"/>
      <c r="Q110" s="5172"/>
      <c r="R110" s="5172"/>
      <c r="S110" s="5172"/>
      <c r="T110" s="5172"/>
      <c r="U110" s="5172"/>
      <c r="V110" s="5172"/>
      <c r="W110" s="5172"/>
      <c r="X110" s="5172"/>
      <c r="Y110" s="5172"/>
      <c r="Z110" s="5172"/>
      <c r="AA110" s="5172"/>
      <c r="AZ110"/>
      <c r="BA110"/>
      <c r="BB110"/>
      <c r="BC110"/>
    </row>
    <row r="111" spans="5:55" x14ac:dyDescent="0.25">
      <c r="E111" s="5172"/>
      <c r="F111" s="5172"/>
      <c r="G111" s="5172"/>
      <c r="H111" s="5172"/>
      <c r="I111" s="5172"/>
      <c r="J111" s="5172"/>
      <c r="K111" s="5172"/>
      <c r="L111" s="5172"/>
      <c r="M111" s="5172"/>
      <c r="N111" s="5172"/>
      <c r="O111" s="5172"/>
      <c r="P111" s="5172"/>
      <c r="Q111" s="5172"/>
      <c r="R111" s="5172"/>
      <c r="S111" s="5172"/>
      <c r="T111" s="5172"/>
      <c r="U111" s="5172"/>
      <c r="V111" s="5172"/>
      <c r="W111" s="5172"/>
      <c r="X111" s="5172"/>
      <c r="Y111" s="5172"/>
      <c r="Z111" s="5172"/>
      <c r="AA111" s="5172"/>
      <c r="AZ111"/>
      <c r="BA111"/>
      <c r="BB111"/>
      <c r="BC111"/>
    </row>
    <row r="112" spans="5:55" x14ac:dyDescent="0.25">
      <c r="E112" s="5172"/>
      <c r="F112" s="5172"/>
      <c r="G112" s="5172"/>
      <c r="H112" s="5172"/>
      <c r="I112" s="5172"/>
      <c r="J112" s="5172"/>
      <c r="K112" s="5172"/>
      <c r="L112" s="5172"/>
      <c r="M112" s="5172"/>
      <c r="N112" s="5172"/>
      <c r="O112" s="5172"/>
      <c r="P112" s="5172"/>
      <c r="Q112" s="5172"/>
      <c r="R112" s="5172"/>
      <c r="S112" s="5172"/>
      <c r="T112" s="5172"/>
      <c r="U112" s="5172"/>
      <c r="V112" s="5172"/>
      <c r="W112" s="5172"/>
      <c r="X112" s="5172"/>
      <c r="Y112" s="5172"/>
      <c r="Z112" s="5172"/>
      <c r="AA112" s="5172"/>
      <c r="AZ112"/>
      <c r="BA112"/>
      <c r="BB112"/>
      <c r="BC112"/>
    </row>
    <row r="113" spans="5:55" x14ac:dyDescent="0.25">
      <c r="E113" s="5172"/>
      <c r="F113" s="5172"/>
      <c r="G113" s="5172"/>
      <c r="H113" s="5172"/>
      <c r="I113" s="5172"/>
      <c r="J113" s="5172"/>
      <c r="K113" s="5172"/>
      <c r="L113" s="5172"/>
      <c r="M113" s="5172"/>
      <c r="N113" s="5172"/>
      <c r="O113" s="5172"/>
      <c r="P113" s="5172"/>
      <c r="Q113" s="5172"/>
      <c r="R113" s="5172"/>
      <c r="S113" s="5172"/>
      <c r="T113" s="5172"/>
      <c r="U113" s="5172"/>
      <c r="V113" s="5172"/>
      <c r="W113" s="5172"/>
      <c r="X113" s="5172"/>
      <c r="Y113" s="5172"/>
      <c r="Z113" s="5172"/>
      <c r="AA113" s="5172"/>
      <c r="AZ113"/>
      <c r="BA113"/>
      <c r="BB113"/>
      <c r="BC113"/>
    </row>
    <row r="114" spans="5:55" x14ac:dyDescent="0.25">
      <c r="E114" s="5172"/>
      <c r="F114" s="5172"/>
      <c r="G114" s="5172"/>
      <c r="H114" s="5172"/>
      <c r="I114" s="5172"/>
      <c r="J114" s="5172"/>
      <c r="K114" s="5172"/>
      <c r="L114" s="5172"/>
      <c r="M114" s="5172"/>
      <c r="N114" s="5172"/>
      <c r="O114" s="5172"/>
      <c r="P114" s="5172"/>
      <c r="Q114" s="5172"/>
      <c r="R114" s="5172"/>
      <c r="S114" s="5172"/>
      <c r="T114" s="5172"/>
      <c r="U114" s="5172"/>
      <c r="V114" s="5172"/>
      <c r="W114" s="5172"/>
      <c r="X114" s="5172"/>
      <c r="Y114" s="5172"/>
      <c r="Z114" s="5172"/>
      <c r="AA114" s="5172"/>
      <c r="AZ114"/>
      <c r="BA114"/>
      <c r="BB114"/>
      <c r="BC114"/>
    </row>
    <row r="115" spans="5:55" x14ac:dyDescent="0.25">
      <c r="E115" s="5172"/>
      <c r="F115" s="5172"/>
      <c r="G115" s="5172"/>
      <c r="H115" s="5172"/>
      <c r="I115" s="5172"/>
      <c r="J115" s="5172"/>
      <c r="K115" s="5172"/>
      <c r="L115" s="5172"/>
      <c r="M115" s="5172"/>
      <c r="N115" s="5172"/>
      <c r="O115" s="5172"/>
      <c r="P115" s="5172"/>
      <c r="Q115" s="5172"/>
      <c r="R115" s="5172"/>
      <c r="S115" s="5172"/>
      <c r="T115" s="5172"/>
      <c r="U115" s="5172"/>
      <c r="V115" s="5172"/>
      <c r="W115" s="5172"/>
      <c r="X115" s="5172"/>
      <c r="Y115" s="5172"/>
      <c r="Z115" s="5172"/>
      <c r="AA115" s="5172"/>
      <c r="AZ115"/>
      <c r="BA115"/>
      <c r="BB115"/>
      <c r="BC115"/>
    </row>
  </sheetData>
  <mergeCells count="38">
    <mergeCell ref="AB2:AC2"/>
    <mergeCell ref="AD2:AE2"/>
    <mergeCell ref="AT2:AU2"/>
    <mergeCell ref="AV2:AW2"/>
    <mergeCell ref="B67:B89"/>
    <mergeCell ref="B37:B49"/>
    <mergeCell ref="Z2:AA2"/>
    <mergeCell ref="D2:E2"/>
    <mergeCell ref="F2:G2"/>
    <mergeCell ref="H2:I2"/>
    <mergeCell ref="J2:K2"/>
    <mergeCell ref="L2:M2"/>
    <mergeCell ref="B53:B65"/>
    <mergeCell ref="B4:B9"/>
    <mergeCell ref="B10:B15"/>
    <mergeCell ref="B19:B21"/>
    <mergeCell ref="R2:S2"/>
    <mergeCell ref="T2:U2"/>
    <mergeCell ref="V2:W2"/>
    <mergeCell ref="B22:B26"/>
    <mergeCell ref="B27:B32"/>
    <mergeCell ref="B16:B17"/>
    <mergeCell ref="B51:B52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N2:O2"/>
    <mergeCell ref="P2:Q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238" sqref="I238"/>
    </sheetView>
  </sheetViews>
  <sheetFormatPr defaultRowHeight="15" x14ac:dyDescent="0.25"/>
  <cols>
    <col min="1" max="1" width="3" style="147" customWidth="1"/>
    <col min="2" max="2" width="42.85546875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customWidth="1"/>
    <col min="10" max="10" width="9.7109375" style="93" customWidth="1"/>
    <col min="11" max="11" width="10.5703125" style="87" hidden="1" customWidth="1"/>
    <col min="12" max="12" width="8" style="93" hidden="1" customWidth="1"/>
    <col min="13" max="13" width="9" style="87" hidden="1" customWidth="1"/>
    <col min="14" max="14" width="9" style="93" hidden="1" customWidth="1"/>
    <col min="15" max="15" width="8.85546875" style="203" hidden="1" customWidth="1"/>
    <col min="16" max="16" width="8" style="93" hidden="1" customWidth="1"/>
    <col min="17" max="17" width="12.28515625" style="87" hidden="1" customWidth="1"/>
    <col min="18" max="18" width="10.7109375" style="93" hidden="1" customWidth="1"/>
    <col min="19" max="19" width="8.85546875" style="87" hidden="1" customWidth="1"/>
    <col min="20" max="20" width="8" style="1800" hidden="1" customWidth="1"/>
    <col min="21" max="21" width="12.28515625" style="87" hidden="1" customWidth="1"/>
    <col min="22" max="22" width="10.7109375" hidden="1" customWidth="1"/>
    <col min="23" max="23" width="8.85546875" hidden="1" customWidth="1"/>
    <col min="24" max="24" width="8" hidden="1" customWidth="1"/>
    <col min="25" max="26" width="9" hidden="1" customWidth="1"/>
    <col min="27" max="27" width="9" style="2254" hidden="1" customWidth="1"/>
    <col min="28" max="28" width="9" hidden="1" customWidth="1"/>
    <col min="29" max="29" width="10.85546875" hidden="1" customWidth="1"/>
    <col min="30" max="33" width="9.140625" hidden="1" customWidth="1"/>
    <col min="34" max="34" width="10.42578125" hidden="1" customWidth="1"/>
    <col min="35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3036" hidden="1" customWidth="1"/>
    <col min="57" max="58" width="9" hidden="1" customWidth="1"/>
    <col min="59" max="59" width="8.28515625" customWidth="1"/>
    <col min="60" max="60" width="12.140625" customWidth="1"/>
    <col min="63" max="64" width="10.7109375" bestFit="1" customWidth="1"/>
  </cols>
  <sheetData>
    <row r="1" spans="1:66" ht="22.5" x14ac:dyDescent="0.3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1805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8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23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23">
        <v>31</v>
      </c>
      <c r="AE2" s="32">
        <f>+AA2+AC2</f>
        <v>214</v>
      </c>
      <c r="AF2" s="32">
        <f>+AB2+AD2</f>
        <v>214</v>
      </c>
      <c r="AG2" s="32">
        <v>30</v>
      </c>
      <c r="AH2" s="1823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23">
        <v>31</v>
      </c>
      <c r="AS2" s="32">
        <f>+AO2+AQ2</f>
        <v>306</v>
      </c>
      <c r="AT2" s="32">
        <f>+AP2+AR2</f>
        <v>306</v>
      </c>
      <c r="AU2" s="32">
        <v>28</v>
      </c>
      <c r="AV2" s="1823">
        <v>28</v>
      </c>
      <c r="AW2" s="32">
        <f>+AS2+AU2</f>
        <v>334</v>
      </c>
      <c r="AX2" s="32">
        <f>+AT2+AV2</f>
        <v>334</v>
      </c>
      <c r="AY2" s="32">
        <v>31</v>
      </c>
      <c r="AZ2" s="1823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623" t="s">
        <v>171</v>
      </c>
      <c r="C3" s="7329" t="s">
        <v>172</v>
      </c>
      <c r="D3" s="7629" t="s">
        <v>2255</v>
      </c>
      <c r="E3" s="7627" t="s">
        <v>2254</v>
      </c>
      <c r="F3" s="7628"/>
      <c r="G3" s="7364" t="s">
        <v>2306</v>
      </c>
      <c r="H3" s="7364"/>
      <c r="I3" s="7362" t="s">
        <v>14</v>
      </c>
      <c r="J3" s="7363"/>
      <c r="K3" s="7370" t="s">
        <v>1903</v>
      </c>
      <c r="L3" s="7377"/>
      <c r="M3" s="7625" t="s">
        <v>637</v>
      </c>
      <c r="N3" s="7626"/>
      <c r="O3" s="7364" t="s">
        <v>1937</v>
      </c>
      <c r="P3" s="7364"/>
      <c r="Q3" s="7362" t="s">
        <v>17</v>
      </c>
      <c r="R3" s="7363"/>
      <c r="S3" s="7364" t="s">
        <v>1961</v>
      </c>
      <c r="T3" s="7364"/>
      <c r="U3" s="7362" t="s">
        <v>18</v>
      </c>
      <c r="V3" s="7363"/>
      <c r="W3" s="7364" t="s">
        <v>1983</v>
      </c>
      <c r="X3" s="7364"/>
      <c r="Y3" s="7371" t="s">
        <v>660</v>
      </c>
      <c r="Z3" s="7372"/>
      <c r="AA3" s="7354" t="s">
        <v>657</v>
      </c>
      <c r="AB3" s="7355"/>
      <c r="AC3" s="7364" t="s">
        <v>2002</v>
      </c>
      <c r="AD3" s="7364"/>
      <c r="AE3" s="7362" t="s">
        <v>24</v>
      </c>
      <c r="AF3" s="7363"/>
      <c r="AG3" s="7364" t="s">
        <v>2018</v>
      </c>
      <c r="AH3" s="7364"/>
      <c r="AI3" s="7362" t="s">
        <v>27</v>
      </c>
      <c r="AJ3" s="7363"/>
      <c r="AK3" s="7364" t="s">
        <v>2033</v>
      </c>
      <c r="AL3" s="7364"/>
      <c r="AM3" s="7371" t="s">
        <v>662</v>
      </c>
      <c r="AN3" s="7372"/>
      <c r="AO3" s="7362" t="s">
        <v>1683</v>
      </c>
      <c r="AP3" s="7363"/>
      <c r="AQ3" s="7364" t="s">
        <v>2137</v>
      </c>
      <c r="AR3" s="7364"/>
      <c r="AS3" s="7362" t="s">
        <v>28</v>
      </c>
      <c r="AT3" s="7363"/>
      <c r="AU3" s="7364" t="s">
        <v>2151</v>
      </c>
      <c r="AV3" s="7364"/>
      <c r="AW3" s="7362" t="s">
        <v>30</v>
      </c>
      <c r="AX3" s="7363"/>
      <c r="AY3" s="7364" t="s">
        <v>2163</v>
      </c>
      <c r="AZ3" s="7364"/>
      <c r="BA3" s="7371" t="s">
        <v>663</v>
      </c>
      <c r="BB3" s="7372"/>
      <c r="BC3" s="7354" t="s">
        <v>671</v>
      </c>
      <c r="BD3" s="7355"/>
      <c r="BE3" s="7362" t="s">
        <v>1765</v>
      </c>
      <c r="BF3" s="7363"/>
    </row>
    <row r="4" spans="1:66" ht="15.75" thickBot="1" x14ac:dyDescent="0.3">
      <c r="A4" s="93"/>
      <c r="B4" s="7624"/>
      <c r="C4" s="7330"/>
      <c r="D4" s="7630"/>
      <c r="E4" s="4646" t="s">
        <v>173</v>
      </c>
      <c r="F4" s="4647" t="s">
        <v>174</v>
      </c>
      <c r="G4" s="4638" t="s">
        <v>173</v>
      </c>
      <c r="H4" s="4648" t="s">
        <v>174</v>
      </c>
      <c r="I4" s="4649" t="s">
        <v>173</v>
      </c>
      <c r="J4" s="4650" t="s">
        <v>174</v>
      </c>
      <c r="K4" s="4638" t="s">
        <v>173</v>
      </c>
      <c r="L4" s="4648" t="s">
        <v>174</v>
      </c>
      <c r="M4" s="4651" t="s">
        <v>173</v>
      </c>
      <c r="N4" s="4652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824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4" t="s">
        <v>173</v>
      </c>
      <c r="Z4" s="170" t="s">
        <v>174</v>
      </c>
      <c r="AA4" s="2500" t="s">
        <v>173</v>
      </c>
      <c r="AB4" s="467" t="s">
        <v>174</v>
      </c>
      <c r="AC4" s="232" t="s">
        <v>173</v>
      </c>
      <c r="AD4" s="1824" t="s">
        <v>174</v>
      </c>
      <c r="AE4" s="2615" t="s">
        <v>173</v>
      </c>
      <c r="AF4" s="163" t="s">
        <v>174</v>
      </c>
      <c r="AG4" s="232" t="s">
        <v>173</v>
      </c>
      <c r="AH4" s="1824" t="s">
        <v>174</v>
      </c>
      <c r="AI4" s="2664" t="s">
        <v>173</v>
      </c>
      <c r="AJ4" s="163" t="s">
        <v>174</v>
      </c>
      <c r="AK4" s="2727" t="s">
        <v>173</v>
      </c>
      <c r="AL4" s="2730" t="s">
        <v>174</v>
      </c>
      <c r="AM4" s="2726" t="s">
        <v>173</v>
      </c>
      <c r="AN4" s="170" t="s">
        <v>174</v>
      </c>
      <c r="AO4" s="2725" t="s">
        <v>173</v>
      </c>
      <c r="AP4" s="163" t="s">
        <v>174</v>
      </c>
      <c r="AQ4" s="232" t="s">
        <v>173</v>
      </c>
      <c r="AR4" s="1824" t="s">
        <v>174</v>
      </c>
      <c r="AS4" s="2792" t="s">
        <v>173</v>
      </c>
      <c r="AT4" s="163" t="s">
        <v>174</v>
      </c>
      <c r="AU4" s="232" t="s">
        <v>173</v>
      </c>
      <c r="AV4" s="1824" t="s">
        <v>174</v>
      </c>
      <c r="AW4" s="2840" t="s">
        <v>173</v>
      </c>
      <c r="AX4" s="163" t="s">
        <v>174</v>
      </c>
      <c r="AY4" s="232" t="s">
        <v>173</v>
      </c>
      <c r="AZ4" s="1824" t="s">
        <v>174</v>
      </c>
      <c r="BA4" s="3035" t="s">
        <v>173</v>
      </c>
      <c r="BB4" s="170" t="s">
        <v>174</v>
      </c>
      <c r="BC4" s="2500" t="s">
        <v>173</v>
      </c>
      <c r="BD4" s="467" t="s">
        <v>174</v>
      </c>
      <c r="BE4" s="3034" t="s">
        <v>173</v>
      </c>
      <c r="BF4" s="163" t="s">
        <v>174</v>
      </c>
    </row>
    <row r="5" spans="1:66" x14ac:dyDescent="0.25">
      <c r="B5" s="1853" t="s">
        <v>1919</v>
      </c>
      <c r="C5" s="820" t="s">
        <v>169</v>
      </c>
      <c r="D5" s="1452">
        <v>94.512328767123293</v>
      </c>
      <c r="E5" s="1452">
        <v>98</v>
      </c>
      <c r="F5" s="1452">
        <f>+'Maj Production Summ'!F6</f>
        <v>97.2</v>
      </c>
      <c r="G5" s="1452">
        <v>98</v>
      </c>
      <c r="H5" s="1452">
        <f>+'Maj Production Summ'!H6</f>
        <v>97.612903225806448</v>
      </c>
      <c r="I5" s="1453">
        <f>+'Maj Production Summ'!I6</f>
        <v>98</v>
      </c>
      <c r="J5" s="1453">
        <f>+'Maj Production Summ'!J6</f>
        <v>97.409836065573771</v>
      </c>
      <c r="K5" s="1452">
        <v>97.456666666666663</v>
      </c>
      <c r="L5" s="1452">
        <f>+'Maj Production Summ'!L6</f>
        <v>97.4</v>
      </c>
      <c r="M5" s="1536">
        <f>+'Maj Production Summ'!M6</f>
        <v>97.820879120879127</v>
      </c>
      <c r="N5" s="174">
        <f>+'Maj Production Summ'!N6</f>
        <v>97.406593406593402</v>
      </c>
      <c r="O5" s="1452">
        <v>96</v>
      </c>
      <c r="P5" s="1452">
        <f>+'Maj Production Summ'!P6</f>
        <v>97.58064516129032</v>
      </c>
      <c r="Q5" s="348">
        <f>+'Maj Production Summ'!Q6</f>
        <v>97.358196721311486</v>
      </c>
      <c r="R5" s="348">
        <f>+'Maj Production Summ'!R6</f>
        <v>97.450819672131146</v>
      </c>
      <c r="S5" s="1452">
        <v>96</v>
      </c>
      <c r="T5" s="1452">
        <f>+'Maj Production Summ'!T6</f>
        <v>98</v>
      </c>
      <c r="U5" s="348">
        <f>+'Maj Production Summ'!U6</f>
        <v>97.083006535947717</v>
      </c>
      <c r="V5" s="348">
        <f>+'Maj Production Summ'!V6</f>
        <v>97.562091503267979</v>
      </c>
      <c r="W5" s="1452">
        <v>96</v>
      </c>
      <c r="X5" s="1452">
        <f>+'Maj Production Summ'!X6</f>
        <v>98</v>
      </c>
      <c r="Y5" s="452">
        <f>+'Maj Production Summ'!Y6</f>
        <v>96</v>
      </c>
      <c r="Z5" s="452">
        <f>+'Maj Production Summ'!Z6</f>
        <v>97.858695652173907</v>
      </c>
      <c r="AA5" s="472">
        <f>+'Maj Production Summ'!AA6</f>
        <v>96.905464480874315</v>
      </c>
      <c r="AB5" s="472">
        <f>+'Maj Production Summ'!AB6</f>
        <v>97.63387978142076</v>
      </c>
      <c r="AC5" s="1452">
        <v>96</v>
      </c>
      <c r="AD5" s="1452">
        <f>+'Maj Production Summ'!AD6</f>
        <v>98</v>
      </c>
      <c r="AE5" s="348">
        <f>+'Maj Production Summ'!AE6</f>
        <v>96.774299065420564</v>
      </c>
      <c r="AF5" s="348">
        <f>+'Maj Production Summ'!AF6</f>
        <v>97.686915887850461</v>
      </c>
      <c r="AG5" s="1452">
        <v>96</v>
      </c>
      <c r="AH5" s="1452">
        <f>+'Maj Production Summ'!AH6</f>
        <v>94.3</v>
      </c>
      <c r="AI5" s="348">
        <f>+'Maj Production Summ'!AI6</f>
        <v>96.679098360655743</v>
      </c>
      <c r="AJ5" s="348">
        <f>+'Maj Production Summ'!AJ6</f>
        <v>97.270491803278688</v>
      </c>
      <c r="AK5" s="1452">
        <v>96</v>
      </c>
      <c r="AL5" s="1452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96.602545454545464</v>
      </c>
      <c r="AP5" s="348">
        <f>+'Maj Production Summ'!AP6</f>
        <v>97.352727272727279</v>
      </c>
      <c r="AQ5" s="1452">
        <v>96</v>
      </c>
      <c r="AR5" s="1452">
        <f>+'Maj Production Summ'!AR6</f>
        <v>98</v>
      </c>
      <c r="AS5" s="348">
        <f>+'Maj Production Summ'!AS6</f>
        <v>96.541503267973852</v>
      </c>
      <c r="AT5" s="348">
        <f>+'Maj Production Summ'!AT6</f>
        <v>97.41830065359477</v>
      </c>
      <c r="AU5" s="1452">
        <v>96</v>
      </c>
      <c r="AV5" s="1452">
        <f>+'Maj Production Summ'!AV6</f>
        <v>97.678571428571431</v>
      </c>
      <c r="AW5" s="348">
        <f>+'Maj Production Summ'!AW6</f>
        <v>96.496107784431132</v>
      </c>
      <c r="AX5" s="348">
        <f>+'Maj Production Summ'!AX6</f>
        <v>97.440119760479035</v>
      </c>
      <c r="AY5" s="1452">
        <v>96</v>
      </c>
      <c r="AZ5" s="1452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96.453972602739725</v>
      </c>
      <c r="BF5" s="348">
        <f>+'Maj Production Summ'!BF6</f>
        <v>97.487671232876707</v>
      </c>
      <c r="BG5" s="1222"/>
      <c r="BI5" s="4713"/>
      <c r="BJ5" s="533"/>
    </row>
    <row r="6" spans="1:66" ht="15.75" thickBot="1" x14ac:dyDescent="0.3">
      <c r="B6" s="1851" t="s">
        <v>1920</v>
      </c>
      <c r="C6" s="4636" t="s">
        <v>169</v>
      </c>
      <c r="D6" s="3470">
        <v>97.630136986301366</v>
      </c>
      <c r="E6" s="3470">
        <v>98</v>
      </c>
      <c r="F6" s="3470">
        <f>+'Maj Production Summ'!F7</f>
        <v>97.1</v>
      </c>
      <c r="G6" s="3470">
        <v>98</v>
      </c>
      <c r="H6" s="3470">
        <f>+'Maj Production Summ'!H7</f>
        <v>97.483870967741936</v>
      </c>
      <c r="I6" s="3755">
        <f>+'Maj Production Summ'!I7</f>
        <v>98</v>
      </c>
      <c r="J6" s="3755">
        <f>+'Maj Production Summ'!J7</f>
        <v>97.295081967213122</v>
      </c>
      <c r="K6" s="3470">
        <v>96.006666666666661</v>
      </c>
      <c r="L6" s="3470">
        <f>+'Maj Production Summ'!L7</f>
        <v>96.7</v>
      </c>
      <c r="M6" s="4026">
        <f>+'Maj Production Summ'!M7</f>
        <v>97.342857142857156</v>
      </c>
      <c r="N6" s="114">
        <f>+'Maj Production Summ'!N7</f>
        <v>97.098901098901095</v>
      </c>
      <c r="O6" s="3470">
        <v>94.064516129032256</v>
      </c>
      <c r="P6" s="3470">
        <f>+'Maj Production Summ'!P7</f>
        <v>98.806451612903231</v>
      </c>
      <c r="Q6" s="1409">
        <f>+'Maj Production Summ'!Q7</f>
        <v>96.509836065573779</v>
      </c>
      <c r="R6" s="1409">
        <f>+'Maj Production Summ'!R7</f>
        <v>97.532786885245898</v>
      </c>
      <c r="S6" s="3470">
        <v>99</v>
      </c>
      <c r="T6" s="3470">
        <f>+'Maj Production Summ'!T7</f>
        <v>98.645161290322577</v>
      </c>
      <c r="U6" s="4896">
        <f>+'Maj Production Summ'!U7</f>
        <v>97.014379084967331</v>
      </c>
      <c r="V6" s="4896">
        <f>+'Maj Production Summ'!V7</f>
        <v>97.75816993464052</v>
      </c>
      <c r="W6" s="3470">
        <v>99</v>
      </c>
      <c r="X6" s="3470">
        <f>+'Maj Production Summ'!X7</f>
        <v>98.3</v>
      </c>
      <c r="Y6" s="452">
        <f>+'Maj Production Summ'!Y7</f>
        <v>97.336956521739125</v>
      </c>
      <c r="Z6" s="452">
        <f>+'Maj Production Summ'!Z7</f>
        <v>98.586956521739125</v>
      </c>
      <c r="AA6" s="472">
        <f>+'Maj Production Summ'!AA7</f>
        <v>97.33989071038252</v>
      </c>
      <c r="AB6" s="472">
        <f>+'Maj Production Summ'!AB7</f>
        <v>97.84699453551913</v>
      </c>
      <c r="AC6" s="3470">
        <v>99</v>
      </c>
      <c r="AD6" s="3470">
        <f>+'Maj Production Summ'!AD7</f>
        <v>97.838709677419359</v>
      </c>
      <c r="AE6" s="2617">
        <f>+'Maj Production Summ'!AE7</f>
        <v>97.580373831775702</v>
      </c>
      <c r="AF6" s="2617">
        <f>+'Maj Production Summ'!AF7</f>
        <v>97.845794392523359</v>
      </c>
      <c r="AG6" s="3470">
        <v>99</v>
      </c>
      <c r="AH6" s="3470">
        <f>+'Maj Production Summ'!AH7</f>
        <v>94</v>
      </c>
      <c r="AI6" s="2666">
        <f>+'Maj Production Summ'!AI7</f>
        <v>97.75491803278689</v>
      </c>
      <c r="AJ6" s="2666">
        <f>+'Maj Production Summ'!AJ7</f>
        <v>97.372950819672127</v>
      </c>
      <c r="AK6" s="3470">
        <v>99</v>
      </c>
      <c r="AL6" s="3470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2729">
        <f>+'Maj Production Summ'!AO7</f>
        <v>97.895272727272726</v>
      </c>
      <c r="AP6" s="2729">
        <f>+'Maj Production Summ'!AP7</f>
        <v>97.49818181818182</v>
      </c>
      <c r="AQ6" s="3470">
        <v>99</v>
      </c>
      <c r="AR6" s="3470">
        <f>+'Maj Production Summ'!AR7</f>
        <v>98.483870967741936</v>
      </c>
      <c r="AS6" s="2794">
        <f>+'Maj Production Summ'!AS7</f>
        <v>98.007189542483658</v>
      </c>
      <c r="AT6" s="2794">
        <f>+'Maj Production Summ'!AT7</f>
        <v>97.598039215686271</v>
      </c>
      <c r="AU6" s="3470">
        <v>99</v>
      </c>
      <c r="AV6" s="3470">
        <f>+'Maj Production Summ'!AV7</f>
        <v>98.392857142857139</v>
      </c>
      <c r="AW6" s="6218">
        <f>+'Maj Production Summ'!AW7</f>
        <v>98.09041916167665</v>
      </c>
      <c r="AX6" s="6218">
        <f>+'Maj Production Summ'!AX7</f>
        <v>97.664670658682638</v>
      </c>
      <c r="AY6" s="3470">
        <v>99</v>
      </c>
      <c r="AZ6" s="3470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98.1676712328767</v>
      </c>
      <c r="BF6" s="348">
        <f>+'Maj Production Summ'!BF7</f>
        <v>97.747945205479454</v>
      </c>
      <c r="BG6" s="1222"/>
      <c r="BI6" s="4713"/>
      <c r="BJ6" s="533"/>
    </row>
    <row r="7" spans="1:66" ht="15.75" thickBot="1" x14ac:dyDescent="0.3">
      <c r="A7" s="147" t="s">
        <v>470</v>
      </c>
      <c r="B7" s="3547" t="s">
        <v>1921</v>
      </c>
      <c r="C7" s="4636" t="s">
        <v>170</v>
      </c>
      <c r="D7" s="4039">
        <f>D5+(D6*1.8343023255814)</f>
        <v>273.59551608792651</v>
      </c>
      <c r="E7" s="4039">
        <f>E5+(E6*1.8343023255814)</f>
        <v>277.7616279069772</v>
      </c>
      <c r="F7" s="4039">
        <f>F5+(F6*1.8343023255814)</f>
        <v>275.3107558139539</v>
      </c>
      <c r="G7" s="4039">
        <f>G5+(G6*1.8343023255814)</f>
        <v>277.7616279069772</v>
      </c>
      <c r="H7" s="4039">
        <f>H5+(H6*1.8343023255814)</f>
        <v>276.42779444861259</v>
      </c>
      <c r="I7" s="4634">
        <f t="shared" ref="I7:N7" si="0">I5+(I6*1.8343023255814)</f>
        <v>277.7616279069772</v>
      </c>
      <c r="J7" s="4634">
        <f t="shared" si="0"/>
        <v>275.8784311856657</v>
      </c>
      <c r="K7" s="4039">
        <f>K5+(K6*1.8343023255814)</f>
        <v>273.56191860465157</v>
      </c>
      <c r="L7" s="4039">
        <f>L5+(L6*1.8343023255814)</f>
        <v>274.7770348837214</v>
      </c>
      <c r="M7" s="4631">
        <f t="shared" si="0"/>
        <v>276.37710835676</v>
      </c>
      <c r="N7" s="4655">
        <f t="shared" si="0"/>
        <v>275.51533350370602</v>
      </c>
      <c r="O7" s="4039">
        <f>O5+(O6*1.8343023255814)</f>
        <v>268.54276069017294</v>
      </c>
      <c r="P7" s="4039">
        <f>P5+(P6*1.8343023255814)</f>
        <v>278.82154913728476</v>
      </c>
      <c r="Q7" s="748">
        <f t="shared" ref="Q7:R7" si="1">Q5+(Q6*1.8343023255814)</f>
        <v>274.38641345787312</v>
      </c>
      <c r="R7" s="63">
        <f t="shared" si="1"/>
        <v>276.35543747617277</v>
      </c>
      <c r="S7" s="4039">
        <f>S5+(S6*1.8343023255814)</f>
        <v>277.5959302325586</v>
      </c>
      <c r="T7" s="4039">
        <f>T5+(T6*1.8343023255814)</f>
        <v>278.94504876219099</v>
      </c>
      <c r="U7" s="748">
        <f t="shared" ref="U7:V7" si="2">U5+(U6*1.8343023255814)</f>
        <v>275.0367077063388</v>
      </c>
      <c r="V7" s="63">
        <f t="shared" si="2"/>
        <v>276.88012995896077</v>
      </c>
      <c r="W7" s="4039">
        <f>W5+(W6*1.8343023255814)</f>
        <v>277.5959302325586</v>
      </c>
      <c r="X7" s="4039">
        <f>X5+(X6*1.8343023255814)</f>
        <v>278.31191860465162</v>
      </c>
      <c r="Y7" s="747">
        <f t="shared" ref="Y7:AB7" si="3">Y5+(Y6*1.8343023255814)</f>
        <v>274.54540571284167</v>
      </c>
      <c r="Z7" s="70">
        <f t="shared" si="3"/>
        <v>278.69697927199235</v>
      </c>
      <c r="AA7" s="2230">
        <f t="shared" si="3"/>
        <v>275.4562523827683</v>
      </c>
      <c r="AB7" s="1367">
        <f t="shared" si="3"/>
        <v>277.11484940907405</v>
      </c>
      <c r="AC7" s="4039">
        <f>AC5+(AC6*1.8343023255814)</f>
        <v>277.5959302325586</v>
      </c>
      <c r="AD7" s="4039">
        <f>AD5+(AD6*1.8343023255814)</f>
        <v>277.46577269317379</v>
      </c>
      <c r="AE7" s="748">
        <f t="shared" ref="AE7:AF7" si="4">+AE5+(AE6*(31.55/17.2))</f>
        <v>275.76620571614865</v>
      </c>
      <c r="AF7" s="63">
        <f t="shared" si="4"/>
        <v>277.16568409041508</v>
      </c>
      <c r="AG7" s="4039">
        <f>AG5+(AG6*1.8343023255814)</f>
        <v>277.5959302325586</v>
      </c>
      <c r="AH7" s="4039">
        <f>AH5+(AH6*1.8343023255814)</f>
        <v>266.72441860465159</v>
      </c>
      <c r="AI7" s="748">
        <f t="shared" ref="AI7:AJ7" si="5">+AI5+(AI6*(31.55/17.2))</f>
        <v>275.99117184521543</v>
      </c>
      <c r="AJ7" s="63">
        <f t="shared" si="5"/>
        <v>275.88192194052613</v>
      </c>
      <c r="AK7" s="4039">
        <f>AK5+(AK6*1.8343023255814)</f>
        <v>277.5959302325586</v>
      </c>
      <c r="AL7" s="4039">
        <f>AL5+(AL6*1.8343023255814)</f>
        <v>278.64919354838753</v>
      </c>
      <c r="AM7" s="747">
        <f t="shared" ref="AM7:AN7" si="6">AM5+(AM6*1.8343023255814)</f>
        <v>277.5959302325586</v>
      </c>
      <c r="AN7" s="70">
        <f t="shared" si="6"/>
        <v>274.36191860465158</v>
      </c>
      <c r="AO7" s="748">
        <f t="shared" ref="AO7:AT7" si="7">+AO5+(AO6*(31.55/17.2))</f>
        <v>276.17207188160683</v>
      </c>
      <c r="AP7" s="63">
        <f t="shared" si="7"/>
        <v>276.1938689217759</v>
      </c>
      <c r="AQ7" s="4039">
        <f>AQ5+(AQ6*1.8343023255814)</f>
        <v>277.5959302325586</v>
      </c>
      <c r="AR7" s="4039">
        <f>AR5+(AR6*1.8343023255814)</f>
        <v>278.64919354838753</v>
      </c>
      <c r="AS7" s="748">
        <f t="shared" si="7"/>
        <v>276.31631896944828</v>
      </c>
      <c r="AT7" s="63">
        <f t="shared" si="7"/>
        <v>276.44261095911236</v>
      </c>
      <c r="AU7" s="4039">
        <f>AU5+(AU6*1.8343023255814)</f>
        <v>277.5959302325586</v>
      </c>
      <c r="AV7" s="4039">
        <f>AV5+(AV6*1.8343023255814)</f>
        <v>278.16081810631272</v>
      </c>
      <c r="AW7" s="748">
        <f t="shared" ref="AW7:AX7" si="8">+AW5+(AW6*(31.55/17.2))</f>
        <v>276.42359176994853</v>
      </c>
      <c r="AX7" s="63">
        <f t="shared" si="8"/>
        <v>276.58665227684168</v>
      </c>
      <c r="AY7" s="4039">
        <f>AY5+(AY6*1.8343023255814)</f>
        <v>277.5959302325586</v>
      </c>
      <c r="AZ7" s="4039">
        <f>AZ5+(AZ6*1.8343023255814)</f>
        <v>278.94504876219099</v>
      </c>
      <c r="BA7" s="747">
        <f t="shared" ref="BA7:BD7" si="9">BA5+(BA6*1.8343023255814)</f>
        <v>277.5959302325586</v>
      </c>
      <c r="BB7" s="70">
        <f t="shared" si="9"/>
        <v>278.59916020671881</v>
      </c>
      <c r="BC7" s="2230">
        <f t="shared" si="9"/>
        <v>277.5959302325586</v>
      </c>
      <c r="BD7" s="1367">
        <f t="shared" si="9"/>
        <v>276.45725785842109</v>
      </c>
      <c r="BE7" s="748">
        <f t="shared" ref="BE7:BF7" si="10">+BE5+(BE6*(31.55/17.2))</f>
        <v>276.5231602421153</v>
      </c>
      <c r="BF7" s="63">
        <f t="shared" si="10"/>
        <v>276.7869544440905</v>
      </c>
      <c r="BG7" s="1222"/>
      <c r="BI7" s="4713"/>
      <c r="BJ7" s="533"/>
    </row>
    <row r="8" spans="1:66" x14ac:dyDescent="0.25">
      <c r="B8" s="4656" t="s">
        <v>1922</v>
      </c>
      <c r="C8" s="4636" t="s">
        <v>680</v>
      </c>
      <c r="D8" s="4635">
        <f>+'Maj Production Summ'!D9</f>
        <v>34497</v>
      </c>
      <c r="E8" s="4635">
        <f>+'Maj Production Summ'!E9</f>
        <v>2940</v>
      </c>
      <c r="F8" s="4635">
        <f>+'Maj Production Summ'!F9</f>
        <v>2916</v>
      </c>
      <c r="G8" s="7183">
        <f>+'Maj Production Summ'!G9</f>
        <v>3038</v>
      </c>
      <c r="H8" s="7183">
        <f>+'Maj Production Summ'!H9</f>
        <v>3026</v>
      </c>
      <c r="I8" s="4630">
        <f>+'Maj Production Summ'!I9</f>
        <v>5978</v>
      </c>
      <c r="J8" s="4630">
        <f>+'Maj Production Summ'!J9</f>
        <v>5942</v>
      </c>
      <c r="K8" s="4635">
        <f>+'Maj Production Summ'!K9</f>
        <v>2923.7</v>
      </c>
      <c r="L8" s="4635">
        <f>+'Maj Production Summ'!L9</f>
        <v>2922</v>
      </c>
      <c r="M8" s="4633">
        <f>+'Maj Production Summ'!M9</f>
        <v>8901.7000000000007</v>
      </c>
      <c r="N8" s="69">
        <f>+'Maj Production Summ'!N9</f>
        <v>8864</v>
      </c>
      <c r="O8" s="4791">
        <f>+'Maj Production Summ'!O9</f>
        <v>2976</v>
      </c>
      <c r="P8" s="4791">
        <f>+'Maj Production Summ'!P9</f>
        <v>3025</v>
      </c>
      <c r="Q8" s="4627">
        <f>+'Maj Production Summ'!Q9</f>
        <v>11877.7</v>
      </c>
      <c r="R8" s="4627">
        <f>+'Maj Production Summ'!R9</f>
        <v>11889</v>
      </c>
      <c r="S8" s="4902">
        <f>+'Maj Production Summ'!S9</f>
        <v>2976</v>
      </c>
      <c r="T8" s="4902">
        <f>+'Maj Production Summ'!T9</f>
        <v>3038</v>
      </c>
      <c r="U8" s="4883">
        <f>+'Maj Production Summ'!U9</f>
        <v>14853.7</v>
      </c>
      <c r="V8" s="4883">
        <f>+'Maj Production Summ'!V9</f>
        <v>14927</v>
      </c>
      <c r="W8" s="5053">
        <f>+'Maj Production Summ'!W9</f>
        <v>2880</v>
      </c>
      <c r="X8" s="5053">
        <f>+'Maj Production Summ'!X9</f>
        <v>2940</v>
      </c>
      <c r="Y8" s="2407">
        <f>+'Maj Production Summ'!Y9</f>
        <v>8832</v>
      </c>
      <c r="Z8" s="2407">
        <f>+'Maj Production Summ'!Z9</f>
        <v>9003</v>
      </c>
      <c r="AA8" s="4626">
        <f>+'Maj Production Summ'!AA9</f>
        <v>17733.7</v>
      </c>
      <c r="AB8" s="4626">
        <f>+'Maj Production Summ'!AB9</f>
        <v>17867</v>
      </c>
      <c r="AC8" s="5345">
        <f>+'Maj Production Summ'!AC9</f>
        <v>2976</v>
      </c>
      <c r="AD8" s="5345">
        <f>+'Maj Production Summ'!AD9</f>
        <v>3038</v>
      </c>
      <c r="AE8" s="4627">
        <f>+'Maj Production Summ'!AE9</f>
        <v>20709.7</v>
      </c>
      <c r="AF8" s="4627">
        <f>+'Maj Production Summ'!AF9</f>
        <v>20905</v>
      </c>
      <c r="AG8" s="5524">
        <f>+'Maj Production Summ'!AG9</f>
        <v>2880</v>
      </c>
      <c r="AH8" s="5524">
        <f>+'Maj Production Summ'!AH9</f>
        <v>2829</v>
      </c>
      <c r="AI8" s="4627">
        <f>+'Maj Production Summ'!AI9</f>
        <v>23589.7</v>
      </c>
      <c r="AJ8" s="4627">
        <f>+'Maj Production Summ'!AJ9</f>
        <v>23734</v>
      </c>
      <c r="AK8" s="5937">
        <f>+'Maj Production Summ'!AK9</f>
        <v>2976</v>
      </c>
      <c r="AL8" s="5937">
        <f>+'Maj Production Summ'!AL9</f>
        <v>3038</v>
      </c>
      <c r="AM8" s="2407">
        <f>+'Maj Production Summ'!AM9</f>
        <v>8832</v>
      </c>
      <c r="AN8" s="2407">
        <f>+'Maj Production Summ'!AN9</f>
        <v>8905</v>
      </c>
      <c r="AO8" s="4627">
        <f>+'Maj Production Summ'!AO9</f>
        <v>26565.7</v>
      </c>
      <c r="AP8" s="4627">
        <f>+'Maj Production Summ'!AP9</f>
        <v>26772</v>
      </c>
      <c r="AQ8" s="6102">
        <f>+'Maj Production Summ'!AQ9</f>
        <v>2976</v>
      </c>
      <c r="AR8" s="6102">
        <f>+'Maj Production Summ'!AR9</f>
        <v>3038</v>
      </c>
      <c r="AS8" s="4627">
        <f>+'Maj Production Summ'!AS9</f>
        <v>29541.699999999997</v>
      </c>
      <c r="AT8" s="4627">
        <f>+'Maj Production Summ'!AT9</f>
        <v>29810</v>
      </c>
      <c r="AU8" s="6223">
        <f>+'Maj Production Summ'!AU9</f>
        <v>2688</v>
      </c>
      <c r="AV8" s="6223">
        <f>+'Maj Production Summ'!AV9</f>
        <v>2735</v>
      </c>
      <c r="AW8" s="6214">
        <f>+'Maj Production Summ'!AW9</f>
        <v>32229.699999999997</v>
      </c>
      <c r="AX8" s="6214">
        <f>+'Maj Production Summ'!AX9</f>
        <v>32545</v>
      </c>
      <c r="AY8" s="6436">
        <f>+'Maj Production Summ'!AY9</f>
        <v>2976</v>
      </c>
      <c r="AZ8" s="6436">
        <f>+'Maj Production Summ'!AZ9</f>
        <v>3038</v>
      </c>
      <c r="BA8" s="2407">
        <f>+'Maj Production Summ'!BA9</f>
        <v>8640</v>
      </c>
      <c r="BB8" s="2407">
        <f>+'Maj Production Summ'!BB9</f>
        <v>8811</v>
      </c>
      <c r="BC8" s="4626">
        <f>+'Maj Production Summ'!BC9</f>
        <v>17472</v>
      </c>
      <c r="BD8" s="4626">
        <f>+'Maj Production Summ'!BD9</f>
        <v>17716</v>
      </c>
      <c r="BE8" s="4627">
        <f>+'Maj Production Summ'!BE9</f>
        <v>35205.699999999997</v>
      </c>
      <c r="BF8" s="4627">
        <f>+'Maj Production Summ'!BF9</f>
        <v>35583</v>
      </c>
      <c r="BG8" s="1222"/>
      <c r="BH8" s="1222"/>
      <c r="BI8" s="4713"/>
      <c r="BJ8" s="4713"/>
      <c r="BK8" s="26"/>
      <c r="BL8" s="26"/>
      <c r="BM8" s="26"/>
      <c r="BN8" s="26"/>
    </row>
    <row r="9" spans="1:66" ht="15.75" thickBot="1" x14ac:dyDescent="0.3">
      <c r="B9" s="4656" t="s">
        <v>1923</v>
      </c>
      <c r="C9" s="4636" t="s">
        <v>680</v>
      </c>
      <c r="D9" s="4635">
        <f>+'Maj Production Summ'!D10</f>
        <v>35635</v>
      </c>
      <c r="E9" s="4635">
        <f>+'Maj Production Summ'!E10</f>
        <v>2940</v>
      </c>
      <c r="F9" s="4635">
        <f>+'Maj Production Summ'!F10</f>
        <v>2913</v>
      </c>
      <c r="G9" s="7183">
        <f>+'Maj Production Summ'!G10</f>
        <v>3038</v>
      </c>
      <c r="H9" s="7183">
        <f>+'Maj Production Summ'!H10</f>
        <v>3022</v>
      </c>
      <c r="I9" s="4630">
        <f>+'Maj Production Summ'!I10</f>
        <v>5978</v>
      </c>
      <c r="J9" s="4630">
        <f>+'Maj Production Summ'!J10</f>
        <v>5935</v>
      </c>
      <c r="K9" s="4635">
        <f>+'Maj Production Summ'!K10</f>
        <v>2880.2</v>
      </c>
      <c r="L9" s="4635">
        <f>+'Maj Production Summ'!L10</f>
        <v>2901</v>
      </c>
      <c r="M9" s="4633">
        <f>+'Maj Production Summ'!M10</f>
        <v>8858.2000000000007</v>
      </c>
      <c r="N9" s="69">
        <f>+'Maj Production Summ'!N10</f>
        <v>8836</v>
      </c>
      <c r="O9" s="4791">
        <f>+'Maj Production Summ'!O10</f>
        <v>2916</v>
      </c>
      <c r="P9" s="4791">
        <f>+'Maj Production Summ'!P10</f>
        <v>3063</v>
      </c>
      <c r="Q9" s="4207">
        <f>+'Maj Production Summ'!Q10</f>
        <v>11774.2</v>
      </c>
      <c r="R9" s="4207">
        <f>+'Maj Production Summ'!R10</f>
        <v>11899</v>
      </c>
      <c r="S9" s="4902">
        <f>+'Maj Production Summ'!S10</f>
        <v>3069</v>
      </c>
      <c r="T9" s="4902">
        <f>+'Maj Production Summ'!T10</f>
        <v>3058</v>
      </c>
      <c r="U9" s="4207">
        <f>+'Maj Production Summ'!U10</f>
        <v>14843.2</v>
      </c>
      <c r="V9" s="4207">
        <f>+'Maj Production Summ'!V10</f>
        <v>14957</v>
      </c>
      <c r="W9" s="5053">
        <f>+'Maj Production Summ'!W10</f>
        <v>2970</v>
      </c>
      <c r="X9" s="5053">
        <f>+'Maj Production Summ'!X10</f>
        <v>2949</v>
      </c>
      <c r="Y9" s="2407">
        <f>+'Maj Production Summ'!Y10</f>
        <v>8955</v>
      </c>
      <c r="Z9" s="2407">
        <f>+'Maj Production Summ'!Z10</f>
        <v>9070</v>
      </c>
      <c r="AA9" s="4626">
        <f>+'Maj Production Summ'!AA10</f>
        <v>17813.2</v>
      </c>
      <c r="AB9" s="4626">
        <f>+'Maj Production Summ'!AB10</f>
        <v>17906</v>
      </c>
      <c r="AC9" s="5345">
        <f>+'Maj Production Summ'!AC10</f>
        <v>3069</v>
      </c>
      <c r="AD9" s="5345">
        <f>+'Maj Production Summ'!AD10</f>
        <v>3033</v>
      </c>
      <c r="AE9" s="4207">
        <f>+'Maj Production Summ'!AE10</f>
        <v>20882.2</v>
      </c>
      <c r="AF9" s="4207">
        <f>+'Maj Production Summ'!AF10</f>
        <v>20939</v>
      </c>
      <c r="AG9" s="5524">
        <f>+'Maj Production Summ'!AG10</f>
        <v>2970</v>
      </c>
      <c r="AH9" s="5524">
        <f>+'Maj Production Summ'!AH10</f>
        <v>2820</v>
      </c>
      <c r="AI9" s="4207">
        <f>+'Maj Production Summ'!AI10</f>
        <v>23852.2</v>
      </c>
      <c r="AJ9" s="4207">
        <f>+'Maj Production Summ'!AJ10</f>
        <v>23759</v>
      </c>
      <c r="AK9" s="5937">
        <f>+'Maj Production Summ'!AK10</f>
        <v>3069</v>
      </c>
      <c r="AL9" s="5937">
        <f>+'Maj Production Summ'!AL10</f>
        <v>3053</v>
      </c>
      <c r="AM9" s="2407">
        <f>+'Maj Production Summ'!AM10</f>
        <v>9108</v>
      </c>
      <c r="AN9" s="2407">
        <f>+'Maj Production Summ'!AN10</f>
        <v>8906</v>
      </c>
      <c r="AO9" s="4207">
        <f>+'Maj Production Summ'!AO10</f>
        <v>26921.200000000001</v>
      </c>
      <c r="AP9" s="4207">
        <f>+'Maj Production Summ'!AP10</f>
        <v>26812</v>
      </c>
      <c r="AQ9" s="6102">
        <f>+'Maj Production Summ'!AQ10</f>
        <v>3069</v>
      </c>
      <c r="AR9" s="6102">
        <f>+'Maj Production Summ'!AR10</f>
        <v>3053</v>
      </c>
      <c r="AS9" s="4207">
        <f>+'Maj Production Summ'!AS10</f>
        <v>29990.2</v>
      </c>
      <c r="AT9" s="4207">
        <f>+'Maj Production Summ'!AT10</f>
        <v>29865</v>
      </c>
      <c r="AU9" s="6223">
        <f>+'Maj Production Summ'!AU10</f>
        <v>2772</v>
      </c>
      <c r="AV9" s="6223">
        <f>+'Maj Production Summ'!AV10</f>
        <v>2755</v>
      </c>
      <c r="AW9" s="4207">
        <f>+'Maj Production Summ'!AW10</f>
        <v>32762.2</v>
      </c>
      <c r="AX9" s="4207">
        <f>+'Maj Production Summ'!AX10</f>
        <v>32620</v>
      </c>
      <c r="AY9" s="6436">
        <f>+'Maj Production Summ'!AY10</f>
        <v>3069</v>
      </c>
      <c r="AZ9" s="6436">
        <f>+'Maj Production Summ'!AZ10</f>
        <v>3058</v>
      </c>
      <c r="BA9" s="2407">
        <f>+'Maj Production Summ'!BA10</f>
        <v>8910</v>
      </c>
      <c r="BB9" s="2407">
        <f>+'Maj Production Summ'!BB10</f>
        <v>8866</v>
      </c>
      <c r="BC9" s="4626">
        <f>+'Maj Production Summ'!BC10</f>
        <v>18018</v>
      </c>
      <c r="BD9" s="4626">
        <f>+'Maj Production Summ'!BD10</f>
        <v>17772</v>
      </c>
      <c r="BE9" s="4627">
        <f>+'Maj Production Summ'!BE10</f>
        <v>35831.199999999997</v>
      </c>
      <c r="BF9" s="4627">
        <f>+'Maj Production Summ'!BF10</f>
        <v>35678</v>
      </c>
      <c r="BG9" s="1222"/>
      <c r="BH9" s="1222"/>
      <c r="BI9" s="4713"/>
      <c r="BJ9" s="4713"/>
      <c r="BK9" s="26"/>
      <c r="BL9" s="26"/>
      <c r="BM9" s="26"/>
      <c r="BN9" s="26"/>
    </row>
    <row r="10" spans="1:66" ht="15.75" thickBot="1" x14ac:dyDescent="0.3">
      <c r="B10" s="3547" t="str">
        <f>+'Maj Production Summ'!B11</f>
        <v>Overall Equiv. Ovens Pushed</v>
      </c>
      <c r="C10" s="4636" t="s">
        <v>680</v>
      </c>
      <c r="D10" s="4635">
        <f>+'Maj Production Summ'!D11</f>
        <v>99862.363372093037</v>
      </c>
      <c r="E10" s="4637">
        <f>+'Maj Production Summ'!E11</f>
        <v>8332.8488372093016</v>
      </c>
      <c r="F10" s="4637">
        <f>+'Maj Production Summ'!F11</f>
        <v>8259.3226744186049</v>
      </c>
      <c r="G10" s="7180">
        <f>+'Maj Production Summ'!G11</f>
        <v>8610.6104651162786</v>
      </c>
      <c r="H10" s="7180">
        <f>+'Maj Production Summ'!H11</f>
        <v>8569.2616279069771</v>
      </c>
      <c r="I10" s="4629">
        <f>+'Maj Production Summ'!I11</f>
        <v>16943.45930232558</v>
      </c>
      <c r="J10" s="4629">
        <f>+'Maj Production Summ'!J11</f>
        <v>16828.58430232558</v>
      </c>
      <c r="K10" s="4637">
        <f>+'Maj Production Summ'!K11</f>
        <v>8206.8575581395344</v>
      </c>
      <c r="L10" s="4637">
        <f>+'Maj Production Summ'!L11</f>
        <v>8243.3110465116297</v>
      </c>
      <c r="M10" s="4632">
        <f>+'Maj Production Summ'!M11</f>
        <v>25150.316860465122</v>
      </c>
      <c r="N10" s="2107">
        <f>+'Maj Production Summ'!N11</f>
        <v>25071.89534883721</v>
      </c>
      <c r="O10" s="4792">
        <f>+'Maj Production Summ'!O11</f>
        <v>8324.8255813953492</v>
      </c>
      <c r="P10" s="4792">
        <f>+'Maj Production Summ'!P11</f>
        <v>8643.4680232558148</v>
      </c>
      <c r="Q10" s="746">
        <f>+'Maj Production Summ'!Q11</f>
        <v>33475.142441860473</v>
      </c>
      <c r="R10" s="1132">
        <f>+'Maj Production Summ'!R11</f>
        <v>33715.363372093023</v>
      </c>
      <c r="S10" s="4903">
        <f>+'Maj Production Summ'!S11</f>
        <v>8605.4738372093016</v>
      </c>
      <c r="T10" s="4903">
        <f>+'Maj Production Summ'!T11</f>
        <v>8647.2965116279083</v>
      </c>
      <c r="U10" s="746">
        <f>+'Maj Production Summ'!U11</f>
        <v>42080.616279069771</v>
      </c>
      <c r="V10" s="1132">
        <f>+'Maj Production Summ'!V11</f>
        <v>42362.659883720931</v>
      </c>
      <c r="W10" s="5051">
        <f>+'Maj Production Summ'!W11</f>
        <v>8327.8779069767443</v>
      </c>
      <c r="X10" s="5051">
        <f>+'Maj Production Summ'!X11</f>
        <v>8349.3575581395344</v>
      </c>
      <c r="Y10" s="749">
        <f>+'Maj Production Summ'!Y11</f>
        <v>25258.177325581397</v>
      </c>
      <c r="Z10" s="172">
        <f>+'Maj Production Summ'!Z11</f>
        <v>25640.122093023256</v>
      </c>
      <c r="AA10" s="2518">
        <f>+'Maj Production Summ'!AA11</f>
        <v>50408.494186046519</v>
      </c>
      <c r="AB10" s="473">
        <f>+'Maj Production Summ'!AB11</f>
        <v>50712.017441860466</v>
      </c>
      <c r="AC10" s="5346">
        <f>+'Maj Production Summ'!AC11</f>
        <v>8605.4738372093016</v>
      </c>
      <c r="AD10" s="5346">
        <f>+'Maj Production Summ'!AD11</f>
        <v>8601.4389534883721</v>
      </c>
      <c r="AE10" s="746">
        <f>+'Maj Production Summ'!AE11</f>
        <v>59013.968023255817</v>
      </c>
      <c r="AF10" s="1132">
        <f>+'Maj Production Summ'!AF11</f>
        <v>59313.45639534884</v>
      </c>
      <c r="AG10" s="5521">
        <f>+'Maj Production Summ'!AG11</f>
        <v>8327.8779069767443</v>
      </c>
      <c r="AH10" s="5521">
        <f>+'Maj Production Summ'!AH11</f>
        <v>8001.7325581395353</v>
      </c>
      <c r="AI10" s="746">
        <f>+'Maj Production Summ'!AI11</f>
        <v>67341.845930232565</v>
      </c>
      <c r="AJ10" s="1132">
        <f>+'Maj Production Summ'!AJ11</f>
        <v>67315.188953488367</v>
      </c>
      <c r="AK10" s="5935">
        <f>+'Maj Production Summ'!AK11</f>
        <v>8605.4738372093016</v>
      </c>
      <c r="AL10" s="5935">
        <f>+'Maj Production Summ'!AL11</f>
        <v>8638.125</v>
      </c>
      <c r="AM10" s="749">
        <f>+'Maj Production Summ'!AM11</f>
        <v>25538.825581395351</v>
      </c>
      <c r="AN10" s="172">
        <f>+'Maj Production Summ'!AN11</f>
        <v>25241.296511627908</v>
      </c>
      <c r="AO10" s="746">
        <f>+'Maj Production Summ'!AO11</f>
        <v>75947.319767441862</v>
      </c>
      <c r="AP10" s="1132">
        <f>+'Maj Production Summ'!AP11</f>
        <v>75953.313953488367</v>
      </c>
      <c r="AQ10" s="6099">
        <f>+'Maj Production Summ'!AQ11</f>
        <v>8605.4738372093016</v>
      </c>
      <c r="AR10" s="6099">
        <f>+'Maj Production Summ'!AR11</f>
        <v>8638.125</v>
      </c>
      <c r="AS10" s="746">
        <f>+'Maj Production Summ'!AS11</f>
        <v>84552.793604651175</v>
      </c>
      <c r="AT10" s="1132">
        <f>+'Maj Production Summ'!AT11</f>
        <v>84591.438953488367</v>
      </c>
      <c r="AU10" s="6222">
        <f>+'Maj Production Summ'!AU11</f>
        <v>7772.6860465116288</v>
      </c>
      <c r="AV10" s="6222">
        <f>+'Maj Production Summ'!AV11</f>
        <v>7788.5029069767443</v>
      </c>
      <c r="AW10" s="746">
        <f>+'Maj Production Summ'!AW11</f>
        <v>92325.479651162794</v>
      </c>
      <c r="AX10" s="1132">
        <f>+'Maj Production Summ'!AX11</f>
        <v>92379.941860465129</v>
      </c>
      <c r="AY10" s="6434">
        <f>+'Maj Production Summ'!AY11</f>
        <v>8605.4738372093016</v>
      </c>
      <c r="AZ10" s="6434">
        <f>+'Maj Production Summ'!AZ11</f>
        <v>8647.2965116279083</v>
      </c>
      <c r="BA10" s="749">
        <f>+'Maj Production Summ'!BA11</f>
        <v>24983.633720930233</v>
      </c>
      <c r="BB10" s="172">
        <f>+'Maj Production Summ'!BB11</f>
        <v>25073.924418604649</v>
      </c>
      <c r="BC10" s="2518">
        <f>+'Maj Production Summ'!BC11</f>
        <v>50522.459302325587</v>
      </c>
      <c r="BD10" s="473">
        <f>+'Maj Production Summ'!BD11</f>
        <v>50315.220930232557</v>
      </c>
      <c r="BE10" s="746">
        <f>+'Maj Production Summ'!BE11</f>
        <v>100930.95348837209</v>
      </c>
      <c r="BF10" s="1132">
        <f>+'Maj Production Summ'!BF11</f>
        <v>101027.23837209304</v>
      </c>
      <c r="BG10" s="1222"/>
      <c r="BH10" s="1222"/>
      <c r="BI10" s="4713"/>
      <c r="BJ10" s="4713"/>
      <c r="BK10" s="26"/>
      <c r="BL10" s="26"/>
      <c r="BM10" s="26"/>
      <c r="BN10" s="26"/>
    </row>
    <row r="11" spans="1:66" x14ac:dyDescent="0.25">
      <c r="B11" s="4656"/>
      <c r="C11" s="4628"/>
      <c r="D11" s="4039"/>
      <c r="E11" s="4039"/>
      <c r="F11" s="4039"/>
      <c r="G11" s="4039"/>
      <c r="H11" s="4039"/>
      <c r="I11" s="4634"/>
      <c r="J11" s="4634"/>
      <c r="K11" s="4039"/>
      <c r="L11" s="4039"/>
      <c r="M11" s="4631"/>
      <c r="N11" s="4655"/>
      <c r="O11" s="4039"/>
      <c r="P11" s="4039"/>
      <c r="Q11" s="4639"/>
      <c r="R11" s="4640"/>
      <c r="S11" s="4039"/>
      <c r="T11" s="4039"/>
      <c r="U11" s="4639"/>
      <c r="V11" s="4640"/>
      <c r="W11" s="4039"/>
      <c r="X11" s="4039"/>
      <c r="Y11" s="4641"/>
      <c r="Z11" s="4642"/>
      <c r="AA11" s="4643"/>
      <c r="AB11" s="4644"/>
      <c r="AC11" s="4039"/>
      <c r="AD11" s="4039"/>
      <c r="AE11" s="4639"/>
      <c r="AF11" s="4640"/>
      <c r="AG11" s="4039"/>
      <c r="AH11" s="4039"/>
      <c r="AI11" s="4639"/>
      <c r="AJ11" s="4640"/>
      <c r="AK11" s="4039"/>
      <c r="AL11" s="4039"/>
      <c r="AM11" s="4641"/>
      <c r="AN11" s="4642"/>
      <c r="AO11" s="4639"/>
      <c r="AP11" s="4640"/>
      <c r="AQ11" s="4039"/>
      <c r="AR11" s="4039"/>
      <c r="AS11" s="4639"/>
      <c r="AT11" s="4640"/>
      <c r="AU11" s="4039"/>
      <c r="AV11" s="4039"/>
      <c r="AW11" s="4639"/>
      <c r="AX11" s="4640"/>
      <c r="AY11" s="4039"/>
      <c r="AZ11" s="4039"/>
      <c r="BA11" s="4641"/>
      <c r="BB11" s="4642"/>
      <c r="BC11" s="4643"/>
      <c r="BD11" s="4644"/>
      <c r="BE11" s="4639"/>
      <c r="BF11" s="4640"/>
      <c r="BG11" s="1222"/>
      <c r="BH11" s="1222"/>
      <c r="BI11" s="4713"/>
      <c r="BJ11" s="4713"/>
      <c r="BK11" s="26"/>
      <c r="BL11" s="26"/>
      <c r="BM11" s="26"/>
      <c r="BN11" s="26"/>
    </row>
    <row r="12" spans="1:66" x14ac:dyDescent="0.25">
      <c r="A12" s="147" t="s">
        <v>470</v>
      </c>
      <c r="B12" s="1851" t="s">
        <v>132</v>
      </c>
      <c r="C12" s="4636" t="s">
        <v>175</v>
      </c>
      <c r="D12" s="3470">
        <v>74.668493150684938</v>
      </c>
      <c r="E12" s="3470">
        <v>78</v>
      </c>
      <c r="F12" s="3473">
        <v>77.83</v>
      </c>
      <c r="G12" s="3470">
        <v>78</v>
      </c>
      <c r="H12" s="3473">
        <v>77.83</v>
      </c>
      <c r="I12" s="3755">
        <f>+((E12*E$2)+(G12*G$2))/I$2</f>
        <v>78</v>
      </c>
      <c r="J12" s="3755">
        <f>+((F12*F$2)+(H12*H$2))/J$2</f>
        <v>77.83</v>
      </c>
      <c r="K12" s="3470">
        <v>77</v>
      </c>
      <c r="L12" s="3473">
        <v>77.73</v>
      </c>
      <c r="M12" s="114">
        <f>+((E12*E$2)+(G12*G$2)+(K12*K$2))/M$2</f>
        <v>77.670329670329664</v>
      </c>
      <c r="N12" s="114">
        <f>+((F12*F$2)+(H12*H$2)+(L12*L$2))/N$2</f>
        <v>77.797032967032976</v>
      </c>
      <c r="O12" s="3470">
        <v>76</v>
      </c>
      <c r="P12" s="3473">
        <v>77.7</v>
      </c>
      <c r="Q12" s="3755">
        <f>+((M12*M$2)+(O12*O$2))/Q$2</f>
        <v>77.245901639344268</v>
      </c>
      <c r="R12" s="3755">
        <f>+((N12*N$2)+(P12*P$2))/R$2</f>
        <v>77.772377049180335</v>
      </c>
      <c r="S12" s="3470">
        <v>76</v>
      </c>
      <c r="T12" s="3473">
        <v>77.739999999999995</v>
      </c>
      <c r="U12" s="3755">
        <f>+((Q12*Q$2)+(S12*S$2))/U$2</f>
        <v>76.993464052287578</v>
      </c>
      <c r="V12" s="3755">
        <f>+((R12*R$2)+(T12*T$2))/V$2</f>
        <v>77.765816993464071</v>
      </c>
      <c r="W12" s="3470">
        <v>76</v>
      </c>
      <c r="X12" s="3473">
        <v>77.66</v>
      </c>
      <c r="Y12" s="114">
        <f>+((O12*O$2)+(S12*S$2)+(W12*W$2))/Y$2</f>
        <v>76</v>
      </c>
      <c r="Z12" s="114">
        <f>+((P12*P$2)+(T12*T$2)+(X12*X$2))/Z$2</f>
        <v>77.700434782608696</v>
      </c>
      <c r="AA12" s="474">
        <f>+((M12*M$2)+(Y12*Y$2))/AA$2</f>
        <v>76.830601092896174</v>
      </c>
      <c r="AB12" s="474">
        <f>+((N12*N$2)+(Z12*Z$2))/AB$2</f>
        <v>77.748469945355197</v>
      </c>
      <c r="AC12" s="3470">
        <v>76</v>
      </c>
      <c r="AD12" s="3473">
        <v>77.83</v>
      </c>
      <c r="AE12" s="127">
        <f>+((AA12*AA$2)+(AC12*AC$2))/AE$2</f>
        <v>76.710280373831779</v>
      </c>
      <c r="AF12" s="127">
        <f>+((AB12*AB$2)+(AD12*AD$2))/AF$2</f>
        <v>77.760280373831776</v>
      </c>
      <c r="AG12" s="3470">
        <v>76</v>
      </c>
      <c r="AH12" s="3473">
        <v>77.8</v>
      </c>
      <c r="AI12" s="127">
        <f>+((AE12*AE$2)+(AG12*AG$2))/AI$2</f>
        <v>76.622950819672127</v>
      </c>
      <c r="AJ12" s="127">
        <f>+((AF12*AF$2)+(AH12*AH$2))/AJ$2</f>
        <v>77.765163934426226</v>
      </c>
      <c r="AK12" s="3470">
        <v>76</v>
      </c>
      <c r="AL12" s="3473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76.552727272727267</v>
      </c>
      <c r="AP12" s="127">
        <f>+((AL12*AL$2)+(AJ12*AJ$2))/AP$2</f>
        <v>77.769090909090906</v>
      </c>
      <c r="AQ12" s="3470">
        <v>76</v>
      </c>
      <c r="AR12" s="3473">
        <v>77.8</v>
      </c>
      <c r="AS12" s="127">
        <f>+((AO12*AO$2)+(AQ12*AQ$2))/AS$2</f>
        <v>76.496732026143789</v>
      </c>
      <c r="AT12" s="127">
        <f>+((AP12*AP$2)+(AR12*AR$2))/AT$2</f>
        <v>77.772222222222226</v>
      </c>
      <c r="AU12" s="3470">
        <v>76</v>
      </c>
      <c r="AV12" s="3473">
        <v>77.819999999999993</v>
      </c>
      <c r="AW12" s="127">
        <f>+((AS12*AS$2)+(AU12*AU$2))/AW$2</f>
        <v>76.455089820359277</v>
      </c>
      <c r="AX12" s="127">
        <f>+((AT12*AT$2)+(AV12*AV$2))/AX$2</f>
        <v>77.776227544910171</v>
      </c>
      <c r="AY12" s="3470">
        <v>76</v>
      </c>
      <c r="AZ12" s="3473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6945">
        <f>+((AN12*AN$2)+(BB12*BB$2))/BD$2</f>
        <v>77.8132967032967</v>
      </c>
      <c r="BE12" s="6916">
        <f>+((AW12*AW$2)+(AY12*AY$2))/BE$2</f>
        <v>76.416438356164377</v>
      </c>
      <c r="BF12" s="6916">
        <f>+((AX12*AX$2)+(AZ12*AZ$2))/BF$2</f>
        <v>77.780794520547943</v>
      </c>
      <c r="BG12" s="1222"/>
      <c r="BH12" s="1222"/>
      <c r="BI12" s="4713"/>
      <c r="BJ12" s="4713"/>
      <c r="BK12" s="26"/>
      <c r="BL12" s="26"/>
      <c r="BM12" s="26"/>
      <c r="BN12" s="26"/>
    </row>
    <row r="13" spans="1:66" ht="15.95" customHeight="1" thickBot="1" x14ac:dyDescent="0.3">
      <c r="A13" s="147" t="s">
        <v>470</v>
      </c>
      <c r="B13" s="4657" t="s">
        <v>133</v>
      </c>
      <c r="C13" s="894" t="s">
        <v>175</v>
      </c>
      <c r="D13" s="1454">
        <v>73.299999999999983</v>
      </c>
      <c r="E13" s="1454">
        <v>73.3</v>
      </c>
      <c r="F13" s="192">
        <v>74</v>
      </c>
      <c r="G13" s="1454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4">
        <v>73.5</v>
      </c>
      <c r="L13" s="192">
        <v>74</v>
      </c>
      <c r="M13" s="177">
        <f>+((E13*E$2)+(G13*G$2)+(K13*K$2))/M$2</f>
        <v>73.365934065934056</v>
      </c>
      <c r="N13" s="177">
        <f>+((F13*F$2)+(H13*H$2)+(L13*L$2))/N$2</f>
        <v>74</v>
      </c>
      <c r="O13" s="1454">
        <v>73.5</v>
      </c>
      <c r="P13" s="192">
        <v>74</v>
      </c>
      <c r="Q13" s="593">
        <f>+((M13*M$2)+(O13*O$2))/Q$2</f>
        <v>73.399999999999991</v>
      </c>
      <c r="R13" s="593">
        <f>+((N13*N$2)+(P13*P$2))/R$2</f>
        <v>74</v>
      </c>
      <c r="S13" s="1454">
        <v>73.5</v>
      </c>
      <c r="T13" s="192">
        <v>74</v>
      </c>
      <c r="U13" s="593">
        <f>+((Q13*Q$2)+(S13*S$2))/U$2</f>
        <v>73.420261437908493</v>
      </c>
      <c r="V13" s="593">
        <f>+((R13*R$2)+(T13*T$2))/V$2</f>
        <v>74</v>
      </c>
      <c r="W13" s="1454">
        <v>73.5</v>
      </c>
      <c r="X13" s="192">
        <v>74</v>
      </c>
      <c r="Y13" s="114">
        <f>+((O13*O$2)+(S13*S$2)+(W13*W$2))/Y$2</f>
        <v>73.5</v>
      </c>
      <c r="Z13" s="114">
        <f>+((P13*P$2)+(T13*T$2)+(X13*X$2))/Z$2</f>
        <v>74</v>
      </c>
      <c r="AA13" s="474">
        <f>+((M13*M$2)+(Y13*Y$2))/AA$2</f>
        <v>73.433333333333323</v>
      </c>
      <c r="AB13" s="474">
        <f>+((N13*N$2)+(Z13*Z$2))/AB$2</f>
        <v>74</v>
      </c>
      <c r="AC13" s="1454">
        <v>73.5</v>
      </c>
      <c r="AD13" s="192">
        <v>74</v>
      </c>
      <c r="AE13" s="108">
        <f>+((AA13*AA$2)+(AC13*AC$2))/AE$2</f>
        <v>73.442990654205602</v>
      </c>
      <c r="AF13" s="108">
        <f>+((AB13*AB$2)+(AD13*AD$2))/AF$2</f>
        <v>74</v>
      </c>
      <c r="AG13" s="1454">
        <v>73.5</v>
      </c>
      <c r="AH13" s="192">
        <v>74</v>
      </c>
      <c r="AI13" s="108">
        <f>+((AE13*AE$2)+(AG13*AG$2))/AI$2</f>
        <v>73.45</v>
      </c>
      <c r="AJ13" s="108">
        <f>+((AF13*AF$2)+(AH13*AH$2))/AJ$2</f>
        <v>74</v>
      </c>
      <c r="AK13" s="1454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73.455636363636359</v>
      </c>
      <c r="AP13" s="108">
        <f>+((AL13*AL$2)+(AJ13*AJ$2))/AP$2</f>
        <v>74</v>
      </c>
      <c r="AQ13" s="1454">
        <v>73.5</v>
      </c>
      <c r="AR13" s="192">
        <v>74</v>
      </c>
      <c r="AS13" s="108">
        <f>+((AO13*AO$2)+(AQ13*AQ$2))/AS$2</f>
        <v>73.460130718954247</v>
      </c>
      <c r="AT13" s="108">
        <f>+((AP13*AP$2)+(AR13*AR$2))/AT$2</f>
        <v>74</v>
      </c>
      <c r="AU13" s="1454">
        <v>73.5</v>
      </c>
      <c r="AV13" s="192">
        <v>74</v>
      </c>
      <c r="AW13" s="108">
        <f>+((AS13*AS$2)+(AU13*AU$2))/AW$2</f>
        <v>73.463473053892216</v>
      </c>
      <c r="AX13" s="108">
        <f>+((AT13*AT$2)+(AV13*AV$2))/AX$2</f>
        <v>74</v>
      </c>
      <c r="AY13" s="1454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73.466575342465745</v>
      </c>
      <c r="BF13" s="108">
        <f>+((AX13*AX$2)+(AZ13*AZ$2))/BF$2</f>
        <v>74</v>
      </c>
      <c r="BG13" s="1222"/>
      <c r="BH13" s="1222"/>
      <c r="BI13" s="4713"/>
      <c r="BJ13" s="4713"/>
      <c r="BK13" s="26"/>
      <c r="BL13" s="26"/>
      <c r="BM13" s="26"/>
      <c r="BN13" s="26"/>
    </row>
    <row r="14" spans="1:66" ht="15.75" x14ac:dyDescent="0.25">
      <c r="A14" s="148" t="s">
        <v>470</v>
      </c>
      <c r="B14" s="4653" t="s">
        <v>148</v>
      </c>
      <c r="C14" s="4654"/>
      <c r="D14" s="265"/>
      <c r="E14" s="1689"/>
      <c r="F14" s="1690"/>
      <c r="G14" s="1689"/>
      <c r="H14" s="1690"/>
      <c r="I14" s="265"/>
      <c r="J14" s="1690"/>
      <c r="K14" s="1689"/>
      <c r="L14" s="1690"/>
      <c r="M14" s="1689"/>
      <c r="N14" s="1690"/>
      <c r="O14" s="1689"/>
      <c r="P14" s="1690"/>
      <c r="Q14" s="239"/>
      <c r="R14" s="610"/>
      <c r="S14" s="1689"/>
      <c r="T14" s="1690"/>
      <c r="U14" s="239"/>
      <c r="V14" s="610"/>
      <c r="W14" s="1689"/>
      <c r="X14" s="1690"/>
      <c r="Y14" s="239"/>
      <c r="Z14" s="239"/>
      <c r="AA14" s="2517"/>
      <c r="AB14" s="239"/>
      <c r="AC14" s="1689"/>
      <c r="AD14" s="1690"/>
      <c r="AE14" s="239"/>
      <c r="AF14" s="610"/>
      <c r="AG14" s="1689"/>
      <c r="AH14" s="1690"/>
      <c r="AI14" s="239"/>
      <c r="AJ14" s="610"/>
      <c r="AK14" s="1689"/>
      <c r="AL14" s="1690"/>
      <c r="AM14" s="239"/>
      <c r="AN14" s="239"/>
      <c r="AO14" s="239"/>
      <c r="AP14" s="610"/>
      <c r="AQ14" s="1689"/>
      <c r="AR14" s="1690"/>
      <c r="AS14" s="239"/>
      <c r="AT14" s="610"/>
      <c r="AU14" s="1689"/>
      <c r="AV14" s="1690"/>
      <c r="AW14" s="239"/>
      <c r="AX14" s="610"/>
      <c r="AY14" s="1689"/>
      <c r="AZ14" s="1690"/>
      <c r="BA14" s="239"/>
      <c r="BB14" s="239"/>
      <c r="BC14" s="2517"/>
      <c r="BD14" s="239"/>
      <c r="BE14" s="239"/>
      <c r="BF14" s="610"/>
      <c r="BG14" s="1222"/>
      <c r="BH14" s="1222"/>
      <c r="BI14" s="4713"/>
      <c r="BJ14" s="4713"/>
      <c r="BK14" s="26"/>
      <c r="BL14" s="26"/>
      <c r="BM14" s="26"/>
      <c r="BN14" s="26"/>
    </row>
    <row r="15" spans="1:66" x14ac:dyDescent="0.25">
      <c r="A15" s="93"/>
      <c r="B15" s="1394" t="s">
        <v>146</v>
      </c>
      <c r="C15" s="1395" t="s">
        <v>176</v>
      </c>
      <c r="D15" s="1436">
        <f t="shared" ref="D15:AI15" si="11">+D5/D12</f>
        <v>1.2657591546195053</v>
      </c>
      <c r="E15" s="752">
        <f t="shared" si="11"/>
        <v>1.2564102564102564</v>
      </c>
      <c r="F15" s="550">
        <f t="shared" si="11"/>
        <v>1.2488757548503149</v>
      </c>
      <c r="G15" s="752">
        <f t="shared" ref="G15:H15" si="12">+G5/G12</f>
        <v>1.2564102564102564</v>
      </c>
      <c r="H15" s="550">
        <f t="shared" si="12"/>
        <v>1.2541809485520552</v>
      </c>
      <c r="I15" s="753">
        <f t="shared" si="11"/>
        <v>1.2564102564102564</v>
      </c>
      <c r="J15" s="98">
        <f t="shared" si="11"/>
        <v>1.2515718368954616</v>
      </c>
      <c r="K15" s="752">
        <f t="shared" si="11"/>
        <v>1.2656709956709957</v>
      </c>
      <c r="L15" s="550">
        <f t="shared" si="11"/>
        <v>1.2530554483468417</v>
      </c>
      <c r="M15" s="489">
        <f t="shared" si="11"/>
        <v>1.2594368986983591</v>
      </c>
      <c r="N15" s="90">
        <f t="shared" si="11"/>
        <v>1.2520605181417408</v>
      </c>
      <c r="O15" s="752">
        <f t="shared" ref="O15:P15" si="13">+O5/O12</f>
        <v>1.263157894736842</v>
      </c>
      <c r="P15" s="550">
        <f t="shared" si="13"/>
        <v>1.2558641590899655</v>
      </c>
      <c r="Q15" s="753">
        <f t="shared" si="11"/>
        <v>1.2603671477079796</v>
      </c>
      <c r="R15" s="98">
        <f t="shared" si="11"/>
        <v>1.2530261176215163</v>
      </c>
      <c r="S15" s="752">
        <f t="shared" si="11"/>
        <v>1.263157894736842</v>
      </c>
      <c r="T15" s="550">
        <f t="shared" si="11"/>
        <v>1.2606122974015952</v>
      </c>
      <c r="U15" s="753">
        <f t="shared" ref="U15:X15" si="14">+U5/U12</f>
        <v>1.2609252971137523</v>
      </c>
      <c r="V15" s="98">
        <f t="shared" si="14"/>
        <v>1.2545626764452009</v>
      </c>
      <c r="W15" s="752">
        <f t="shared" si="14"/>
        <v>1.263157894736842</v>
      </c>
      <c r="X15" s="550">
        <f t="shared" si="14"/>
        <v>1.2619108936389389</v>
      </c>
      <c r="Y15" s="489">
        <f t="shared" si="11"/>
        <v>1.263157894736842</v>
      </c>
      <c r="Z15" s="90">
        <f t="shared" si="11"/>
        <v>1.2594356251154097</v>
      </c>
      <c r="AA15" s="754">
        <f t="shared" si="11"/>
        <v>1.2612873399715505</v>
      </c>
      <c r="AB15" s="475">
        <f t="shared" si="11"/>
        <v>1.2557659314716012</v>
      </c>
      <c r="AC15" s="752">
        <f t="shared" si="11"/>
        <v>1.263157894736842</v>
      </c>
      <c r="AD15" s="550">
        <f t="shared" si="11"/>
        <v>1.2591545676474367</v>
      </c>
      <c r="AE15" s="753">
        <f t="shared" si="11"/>
        <v>1.2615557992202728</v>
      </c>
      <c r="AF15" s="98">
        <f t="shared" si="11"/>
        <v>1.2562572487936203</v>
      </c>
      <c r="AG15" s="752">
        <f t="shared" ref="AG15:AH15" si="15">+AG5/AG12</f>
        <v>1.263157894736842</v>
      </c>
      <c r="AH15" s="550">
        <f t="shared" si="15"/>
        <v>1.212082262210797</v>
      </c>
      <c r="AI15" s="753">
        <f t="shared" si="11"/>
        <v>1.2617511767222938</v>
      </c>
      <c r="AJ15" s="98">
        <f t="shared" ref="AJ15:BF15" si="16">+AJ5/AJ12</f>
        <v>1.2508234649296168</v>
      </c>
      <c r="AK15" s="752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3">
        <f t="shared" si="16"/>
        <v>1.261908607258218</v>
      </c>
      <c r="AP15" s="98">
        <f t="shared" si="16"/>
        <v>1.2518177354873403</v>
      </c>
      <c r="AQ15" s="752">
        <f t="shared" ref="AQ15:AR15" si="17">+AQ5/AQ12</f>
        <v>1.263157894736842</v>
      </c>
      <c r="AR15" s="550">
        <f t="shared" si="17"/>
        <v>1.2596401028277635</v>
      </c>
      <c r="AS15" s="753">
        <f t="shared" si="16"/>
        <v>1.2620343472317157</v>
      </c>
      <c r="AT15" s="98">
        <f t="shared" si="16"/>
        <v>1.2526104805805456</v>
      </c>
      <c r="AU15" s="752">
        <f t="shared" si="16"/>
        <v>1.263157894736842</v>
      </c>
      <c r="AV15" s="550">
        <f t="shared" si="16"/>
        <v>1.2551859602746265</v>
      </c>
      <c r="AW15" s="753">
        <f t="shared" ref="AW15:AZ15" si="18">+AW5/AW12</f>
        <v>1.2621279761904762</v>
      </c>
      <c r="AX15" s="98">
        <f t="shared" si="18"/>
        <v>1.2528265105711689</v>
      </c>
      <c r="AY15" s="752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4">
        <f t="shared" si="16"/>
        <v>1.263157894736842</v>
      </c>
      <c r="BD15" s="475">
        <f t="shared" si="16"/>
        <v>1.2509514885588355</v>
      </c>
      <c r="BE15" s="753">
        <f t="shared" si="16"/>
        <v>1.2622149720349922</v>
      </c>
      <c r="BF15" s="98">
        <f t="shared" si="16"/>
        <v>1.253364301995175</v>
      </c>
      <c r="BG15" s="1222"/>
      <c r="BH15" s="1222"/>
      <c r="BI15" s="4713"/>
      <c r="BJ15" s="4713"/>
      <c r="BK15" s="26"/>
      <c r="BL15" s="26"/>
      <c r="BM15" s="26"/>
      <c r="BN15" s="26"/>
    </row>
    <row r="16" spans="1:66" ht="15.75" thickBot="1" x14ac:dyDescent="0.3">
      <c r="A16" s="93"/>
      <c r="B16" s="1414" t="s">
        <v>147</v>
      </c>
      <c r="C16" s="1415" t="s">
        <v>176</v>
      </c>
      <c r="D16" s="1437">
        <f t="shared" ref="D16:AI16" si="19">+D6/D13</f>
        <v>1.3319254704816015</v>
      </c>
      <c r="E16" s="755">
        <f t="shared" si="19"/>
        <v>1.3369713506139154</v>
      </c>
      <c r="F16" s="135">
        <f t="shared" si="19"/>
        <v>1.3121621621621622</v>
      </c>
      <c r="G16" s="755">
        <f t="shared" ref="G16:H16" si="20">+G6/G13</f>
        <v>1.3369713506139154</v>
      </c>
      <c r="H16" s="135">
        <f t="shared" si="20"/>
        <v>1.3173496076721882</v>
      </c>
      <c r="I16" s="756">
        <f t="shared" si="19"/>
        <v>1.3369713506139158</v>
      </c>
      <c r="J16" s="164">
        <f t="shared" si="19"/>
        <v>1.3147984049623396</v>
      </c>
      <c r="K16" s="755">
        <f t="shared" si="19"/>
        <v>1.3062131519274376</v>
      </c>
      <c r="L16" s="135">
        <f t="shared" si="19"/>
        <v>1.3067567567567568</v>
      </c>
      <c r="M16" s="757">
        <f t="shared" si="19"/>
        <v>1.3268127555682043</v>
      </c>
      <c r="N16" s="171">
        <f t="shared" si="19"/>
        <v>1.3121473121473122</v>
      </c>
      <c r="O16" s="755">
        <f t="shared" ref="O16:P16" si="21">+O6/O13</f>
        <v>1.2797893350888743</v>
      </c>
      <c r="P16" s="135">
        <f t="shared" si="21"/>
        <v>1.3352223190932868</v>
      </c>
      <c r="Q16" s="756">
        <f t="shared" si="19"/>
        <v>1.3148479028007329</v>
      </c>
      <c r="R16" s="164">
        <f t="shared" si="19"/>
        <v>1.318010633584404</v>
      </c>
      <c r="S16" s="755">
        <f t="shared" si="19"/>
        <v>1.346938775510204</v>
      </c>
      <c r="T16" s="135">
        <f t="shared" si="19"/>
        <v>1.3330427201394943</v>
      </c>
      <c r="U16" s="756">
        <f t="shared" ref="U16:X16" si="22">+U6/U13</f>
        <v>1.3213570366677647</v>
      </c>
      <c r="V16" s="164">
        <f t="shared" si="22"/>
        <v>1.3210563504681152</v>
      </c>
      <c r="W16" s="755">
        <f t="shared" si="22"/>
        <v>1.346938775510204</v>
      </c>
      <c r="X16" s="135">
        <f t="shared" si="22"/>
        <v>1.3283783783783782</v>
      </c>
      <c r="Y16" s="757">
        <f t="shared" si="19"/>
        <v>1.3243123336291038</v>
      </c>
      <c r="Z16" s="171">
        <f t="shared" si="19"/>
        <v>1.3322561692126909</v>
      </c>
      <c r="AA16" s="758">
        <f t="shared" si="19"/>
        <v>1.3255545716348052</v>
      </c>
      <c r="AB16" s="476">
        <f t="shared" si="19"/>
        <v>1.3222566829124207</v>
      </c>
      <c r="AC16" s="755">
        <f t="shared" si="19"/>
        <v>1.346938775510204</v>
      </c>
      <c r="AD16" s="135">
        <f t="shared" si="19"/>
        <v>1.3221447253705318</v>
      </c>
      <c r="AE16" s="756">
        <f t="shared" si="19"/>
        <v>1.3286546879771965</v>
      </c>
      <c r="AF16" s="164">
        <f t="shared" si="19"/>
        <v>1.3222404647638293</v>
      </c>
      <c r="AG16" s="755">
        <f t="shared" ref="AG16:AH16" si="23">+AG6/AG13</f>
        <v>1.346938775510204</v>
      </c>
      <c r="AH16" s="135">
        <f t="shared" si="23"/>
        <v>1.2702702702702702</v>
      </c>
      <c r="AI16" s="756">
        <f t="shared" si="19"/>
        <v>1.3309042618486981</v>
      </c>
      <c r="AJ16" s="164">
        <f t="shared" ref="AJ16:BF16" si="24">+AJ6/AJ13</f>
        <v>1.3158506867523261</v>
      </c>
      <c r="AK16" s="755">
        <f t="shared" si="24"/>
        <v>1.346938775510204</v>
      </c>
      <c r="AL16" s="135">
        <f t="shared" si="24"/>
        <v>1.3308631211857018</v>
      </c>
      <c r="AM16" s="757">
        <f t="shared" si="24"/>
        <v>1.346938775510204</v>
      </c>
      <c r="AN16" s="171">
        <f t="shared" si="24"/>
        <v>1.3081668625146885</v>
      </c>
      <c r="AO16" s="756">
        <f t="shared" si="24"/>
        <v>1.3327128805017747</v>
      </c>
      <c r="AP16" s="164">
        <f t="shared" si="24"/>
        <v>1.3175429975429975</v>
      </c>
      <c r="AQ16" s="755">
        <f t="shared" ref="AQ16:AR16" si="25">+AQ6/AQ13</f>
        <v>1.346938775510204</v>
      </c>
      <c r="AR16" s="135">
        <f t="shared" si="25"/>
        <v>1.3308631211857018</v>
      </c>
      <c r="AS16" s="756">
        <f t="shared" si="24"/>
        <v>1.3341548481235652</v>
      </c>
      <c r="AT16" s="164">
        <f t="shared" si="24"/>
        <v>1.3188924218335982</v>
      </c>
      <c r="AU16" s="755">
        <f t="shared" si="24"/>
        <v>1.346938775510204</v>
      </c>
      <c r="AV16" s="135">
        <f t="shared" si="24"/>
        <v>1.3296332046332047</v>
      </c>
      <c r="AW16" s="756">
        <f t="shared" ref="AW16:AZ16" si="26">+AW6/AW13</f>
        <v>1.3352270874767695</v>
      </c>
      <c r="AX16" s="164">
        <f t="shared" si="26"/>
        <v>1.3197928467389546</v>
      </c>
      <c r="AY16" s="755">
        <f t="shared" si="26"/>
        <v>1.346938775510204</v>
      </c>
      <c r="AZ16" s="135">
        <f t="shared" si="26"/>
        <v>1.3330427201394943</v>
      </c>
      <c r="BA16" s="757">
        <f t="shared" si="24"/>
        <v>1.346938775510204</v>
      </c>
      <c r="BB16" s="171">
        <f t="shared" si="24"/>
        <v>1.3312312312312311</v>
      </c>
      <c r="BC16" s="758">
        <f t="shared" si="24"/>
        <v>1.346938775510204</v>
      </c>
      <c r="BD16" s="476">
        <f t="shared" si="24"/>
        <v>1.3195723195723197</v>
      </c>
      <c r="BE16" s="756">
        <f t="shared" si="24"/>
        <v>1.3362222313380794</v>
      </c>
      <c r="BF16" s="164">
        <f t="shared" si="24"/>
        <v>1.3209181784524251</v>
      </c>
      <c r="BG16" s="1222"/>
      <c r="BH16" s="1222"/>
      <c r="BI16" s="4713"/>
      <c r="BJ16" s="4713"/>
      <c r="BK16" s="26"/>
      <c r="BL16" s="26"/>
      <c r="BM16" s="26"/>
      <c r="BN16" s="26"/>
    </row>
    <row r="17" spans="1:66" ht="15.75" thickBot="1" x14ac:dyDescent="0.3">
      <c r="A17" s="147" t="s">
        <v>470</v>
      </c>
      <c r="B17" s="1839" t="s">
        <v>166</v>
      </c>
      <c r="C17" s="1410" t="s">
        <v>50</v>
      </c>
      <c r="D17" s="1316">
        <f>(D5)*17.2*D2</f>
        <v>593348.4</v>
      </c>
      <c r="E17" s="1125">
        <f>(E5)*17.2*E2</f>
        <v>50568</v>
      </c>
      <c r="F17" s="29">
        <f>F5*17.2*F2</f>
        <v>50155.199999999997</v>
      </c>
      <c r="G17" s="7185">
        <f>(G5)*17.2*G2</f>
        <v>52253.599999999999</v>
      </c>
      <c r="H17" s="29">
        <f>H5*17.2*H2</f>
        <v>52047.199999999997</v>
      </c>
      <c r="I17" s="761">
        <f>+E17+G17</f>
        <v>102821.6</v>
      </c>
      <c r="J17" s="62">
        <f>+F17+H17</f>
        <v>102202.4</v>
      </c>
      <c r="K17" s="4589">
        <f>(K5)*17.2*K2</f>
        <v>50287.639999999992</v>
      </c>
      <c r="L17" s="29">
        <f>L5*17.2*L2</f>
        <v>50258.400000000001</v>
      </c>
      <c r="M17" s="1126">
        <f>+E17+G17+K17</f>
        <v>153109.24</v>
      </c>
      <c r="N17" s="84">
        <f>+F17+H17+L17</f>
        <v>152460.79999999999</v>
      </c>
      <c r="O17" s="4796">
        <f>(O5)*17.2*O2</f>
        <v>51187.199999999997</v>
      </c>
      <c r="P17" s="29">
        <f>P5*17.2*P2</f>
        <v>52029.999999999993</v>
      </c>
      <c r="Q17" s="761">
        <f>+M17+O17</f>
        <v>204296.44</v>
      </c>
      <c r="R17" s="62">
        <f>+N17+P17</f>
        <v>204490.8</v>
      </c>
      <c r="S17" s="4905">
        <f>(S5)*17.2*S2</f>
        <v>51187.199999999997</v>
      </c>
      <c r="T17" s="29">
        <f>T5*17.2*T2</f>
        <v>52253.599999999999</v>
      </c>
      <c r="U17" s="761">
        <f>+Q17+S17</f>
        <v>255483.64</v>
      </c>
      <c r="V17" s="62">
        <f>+R17+T17</f>
        <v>256744.4</v>
      </c>
      <c r="W17" s="5055">
        <f>(W5)*17.2*W2</f>
        <v>49535.999999999993</v>
      </c>
      <c r="X17" s="29">
        <f>X5*17.2*X2</f>
        <v>50568</v>
      </c>
      <c r="Y17" s="487">
        <f>+O17+S17+W17</f>
        <v>151910.39999999999</v>
      </c>
      <c r="Z17" s="487">
        <f>+P17+T17+X17</f>
        <v>154851.59999999998</v>
      </c>
      <c r="AA17" s="760">
        <f>+M17+Y17</f>
        <v>305019.64</v>
      </c>
      <c r="AB17" s="760">
        <f>+N17+Z17</f>
        <v>307312.39999999997</v>
      </c>
      <c r="AC17" s="5350">
        <f>(AC5)*17.2*AC2</f>
        <v>51187.199999999997</v>
      </c>
      <c r="AD17" s="29">
        <f>AD5*17.2*AD2</f>
        <v>52253.599999999999</v>
      </c>
      <c r="AE17" s="761">
        <f>+AA17+AC17</f>
        <v>356206.84</v>
      </c>
      <c r="AF17" s="62">
        <f>+AB17+AD17</f>
        <v>359565.99999999994</v>
      </c>
      <c r="AG17" s="5526">
        <f>(AG5)*17.2*AG2</f>
        <v>49535.999999999993</v>
      </c>
      <c r="AH17" s="29">
        <f>AH5*17.2*AH2</f>
        <v>48658.799999999996</v>
      </c>
      <c r="AI17" s="761">
        <f>+AE17+AG17</f>
        <v>405742.84</v>
      </c>
      <c r="AJ17" s="62">
        <f>+AF17+AH17</f>
        <v>408224.79999999993</v>
      </c>
      <c r="AK17" s="5939">
        <f>(AK5)*17.2*AK2</f>
        <v>51187.199999999997</v>
      </c>
      <c r="AL17" s="29">
        <f>AL5*17.2*AL2</f>
        <v>52253.599999999999</v>
      </c>
      <c r="AM17" s="2407">
        <f>+AC17+AG17+AK17</f>
        <v>151910.39999999997</v>
      </c>
      <c r="AN17" s="2407">
        <f>+AD17+AH17+AL17</f>
        <v>153166</v>
      </c>
      <c r="AO17" s="761">
        <f>AI17+AK17</f>
        <v>456930.04000000004</v>
      </c>
      <c r="AP17" s="761">
        <f>AJ17+AL17</f>
        <v>460478.39999999991</v>
      </c>
      <c r="AQ17" s="6105">
        <f>(AQ5)*17.2*AQ2</f>
        <v>51187.199999999997</v>
      </c>
      <c r="AR17" s="29">
        <f>AR5*17.2*AR2</f>
        <v>52253.599999999999</v>
      </c>
      <c r="AS17" s="761">
        <f>+AO17+AQ17</f>
        <v>508117.24000000005</v>
      </c>
      <c r="AT17" s="62">
        <f>+AP17+AR17</f>
        <v>512731.99999999988</v>
      </c>
      <c r="AU17" s="6225">
        <f>(AU5)*17.2*AU2</f>
        <v>46233.599999999991</v>
      </c>
      <c r="AV17" s="29">
        <f>AV5*17.2*AV2</f>
        <v>47042</v>
      </c>
      <c r="AW17" s="761">
        <f>+AS17+AU17</f>
        <v>554350.84000000008</v>
      </c>
      <c r="AX17" s="62">
        <f>+AT17+AV17</f>
        <v>559773.99999999988</v>
      </c>
      <c r="AY17" s="6439">
        <f>(AY5)*17.2*AY2</f>
        <v>51187.199999999997</v>
      </c>
      <c r="AZ17" s="29">
        <f>AZ5*17.2*AZ2</f>
        <v>52253.599999999999</v>
      </c>
      <c r="BA17" s="2407">
        <f>+AQ17+AU17+AY17</f>
        <v>148608</v>
      </c>
      <c r="BB17" s="2407">
        <f>+AR17+AV17+AZ17</f>
        <v>151549.20000000001</v>
      </c>
      <c r="BC17" s="760">
        <f>+AM17+BA17</f>
        <v>300518.39999999997</v>
      </c>
      <c r="BD17" s="760">
        <f>+AN17+BB17</f>
        <v>304715.2</v>
      </c>
      <c r="BE17" s="761">
        <f>+AW17+AY17</f>
        <v>605538.04</v>
      </c>
      <c r="BF17" s="62">
        <f>+AX17+AZ17</f>
        <v>612027.59999999986</v>
      </c>
      <c r="BG17" s="1222"/>
      <c r="BH17" s="1222"/>
      <c r="BI17" s="4713"/>
      <c r="BJ17" s="4713"/>
      <c r="BK17" s="26"/>
      <c r="BL17" s="26"/>
      <c r="BM17" s="26"/>
      <c r="BN17" s="26"/>
    </row>
    <row r="18" spans="1:66" ht="15.75" thickBot="1" x14ac:dyDescent="0.3">
      <c r="A18" s="147" t="s">
        <v>470</v>
      </c>
      <c r="B18" s="1840" t="s">
        <v>167</v>
      </c>
      <c r="C18" s="1407" t="s">
        <v>50</v>
      </c>
      <c r="D18" s="1438">
        <f>+D6*31.55*D2</f>
        <v>1124284.25</v>
      </c>
      <c r="E18" s="726">
        <f>+E6*31.55*E2</f>
        <v>92757</v>
      </c>
      <c r="F18" s="126">
        <f>+F6*31.55*F2</f>
        <v>91905.150000000009</v>
      </c>
      <c r="G18" s="7184">
        <f>+G6*31.55*G2</f>
        <v>95848.900000000009</v>
      </c>
      <c r="H18" s="126">
        <f>+H6*31.55*H2</f>
        <v>95344.099999999991</v>
      </c>
      <c r="I18" s="1416">
        <f>+E18+G18</f>
        <v>188605.90000000002</v>
      </c>
      <c r="J18" s="535">
        <f>+F18+H18</f>
        <v>187249.25</v>
      </c>
      <c r="K18" s="4588">
        <f>+K6*31.55*K2</f>
        <v>90870.31</v>
      </c>
      <c r="L18" s="126">
        <f>+L6*31.55*L2</f>
        <v>91526.55</v>
      </c>
      <c r="M18" s="1569">
        <f>+E18+G18+K18</f>
        <v>279476.21000000002</v>
      </c>
      <c r="N18" s="173">
        <f>+F18+H18+L18</f>
        <v>278775.8</v>
      </c>
      <c r="O18" s="4795">
        <f>+O6*31.55*O2</f>
        <v>91999.799999999988</v>
      </c>
      <c r="P18" s="126">
        <f>+P6*31.55*P2</f>
        <v>96637.650000000009</v>
      </c>
      <c r="Q18" s="1416">
        <f>+M18+O18</f>
        <v>371476.01</v>
      </c>
      <c r="R18" s="535">
        <f>+N18+P18</f>
        <v>375413.45</v>
      </c>
      <c r="S18" s="4904">
        <f>+S6*31.55*S2</f>
        <v>96826.950000000012</v>
      </c>
      <c r="T18" s="126">
        <f>+T6*31.55*T2</f>
        <v>96479.9</v>
      </c>
      <c r="U18" s="1416">
        <f>+Q18+S18</f>
        <v>468302.96</v>
      </c>
      <c r="V18" s="535">
        <f>+R18+T18</f>
        <v>471893.35</v>
      </c>
      <c r="W18" s="5054">
        <f>+W6*31.55*W2</f>
        <v>93703.500000000015</v>
      </c>
      <c r="X18" s="126">
        <f>+X6*31.55*X2</f>
        <v>93040.95</v>
      </c>
      <c r="Y18" s="488">
        <f>+O18+S18+W18</f>
        <v>282530.25</v>
      </c>
      <c r="Z18" s="488">
        <f>+P18+T18+X18</f>
        <v>286158.5</v>
      </c>
      <c r="AA18" s="760">
        <f>+M18+Y18</f>
        <v>562006.46</v>
      </c>
      <c r="AB18" s="760">
        <f>+N18+Z18</f>
        <v>564934.30000000005</v>
      </c>
      <c r="AC18" s="5349">
        <f>+AC6*31.55*AC2</f>
        <v>96826.950000000012</v>
      </c>
      <c r="AD18" s="126">
        <f>+AD6*31.55*AD2</f>
        <v>95691.150000000009</v>
      </c>
      <c r="AE18" s="1416">
        <f>+AA18+AC18</f>
        <v>658833.40999999992</v>
      </c>
      <c r="AF18" s="535">
        <f>+AB18+AD18</f>
        <v>660625.45000000007</v>
      </c>
      <c r="AG18" s="5525">
        <f>+AG6*31.55*AG2</f>
        <v>93703.500000000015</v>
      </c>
      <c r="AH18" s="126">
        <f>+AH6*31.55*AH2</f>
        <v>88971.000000000015</v>
      </c>
      <c r="AI18" s="1416">
        <f>+AE18+AG18</f>
        <v>752536.90999999992</v>
      </c>
      <c r="AJ18" s="535">
        <f>+AF18+AH18</f>
        <v>749596.45000000007</v>
      </c>
      <c r="AK18" s="5938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1">
        <f>AI18+AK18</f>
        <v>849363.85999999987</v>
      </c>
      <c r="AP18" s="761">
        <f>AJ18+AL18</f>
        <v>845918.60000000009</v>
      </c>
      <c r="AQ18" s="6104">
        <f>+AQ6*31.55*AQ2</f>
        <v>96826.950000000012</v>
      </c>
      <c r="AR18" s="126">
        <f>+AR6*31.55*AR2</f>
        <v>96322.150000000009</v>
      </c>
      <c r="AS18" s="1416">
        <f>+AO18+AQ18</f>
        <v>946190.80999999982</v>
      </c>
      <c r="AT18" s="535">
        <f>+AP18+AR18</f>
        <v>942240.75000000012</v>
      </c>
      <c r="AU18" s="6224">
        <f>+AU6*31.55*AU2</f>
        <v>87456.6</v>
      </c>
      <c r="AV18" s="126">
        <f>+AV6*31.55*AV2</f>
        <v>86920.25</v>
      </c>
      <c r="AW18" s="1416">
        <f>+AS18+AU18</f>
        <v>1033647.4099999998</v>
      </c>
      <c r="AX18" s="535">
        <f>+AT18+AV18</f>
        <v>1029161.0000000001</v>
      </c>
      <c r="AY18" s="6438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60">
        <f t="shared" ref="BC18:BD18" si="27">+AM18+BA18</f>
        <v>568467.9</v>
      </c>
      <c r="BD18" s="760">
        <f t="shared" si="27"/>
        <v>560706.60000000009</v>
      </c>
      <c r="BE18" s="1416">
        <f>+AW18+AY18</f>
        <v>1130474.3599999999</v>
      </c>
      <c r="BF18" s="535">
        <f>+AX18+AZ18</f>
        <v>1125640.9000000001</v>
      </c>
      <c r="BG18" s="1222"/>
      <c r="BH18" s="1222"/>
      <c r="BI18" s="4713"/>
      <c r="BJ18" s="4713"/>
      <c r="BK18" s="26"/>
      <c r="BL18" s="26"/>
      <c r="BM18" s="26"/>
      <c r="BN18" s="26"/>
    </row>
    <row r="19" spans="1:66" ht="15.75" thickBot="1" x14ac:dyDescent="0.3">
      <c r="A19" s="147" t="s">
        <v>470</v>
      </c>
      <c r="B19" s="1393" t="s">
        <v>168</v>
      </c>
      <c r="C19" s="1412" t="s">
        <v>50</v>
      </c>
      <c r="D19" s="1439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71">
        <f t="shared" si="28"/>
        <v>291427.5</v>
      </c>
      <c r="J19" s="1572">
        <f t="shared" si="28"/>
        <v>289451.65000000002</v>
      </c>
      <c r="K19" s="198">
        <f t="shared" ref="K19:L19" si="30">SUM(K17:K18)</f>
        <v>141157.94999999998</v>
      </c>
      <c r="L19" s="141">
        <f t="shared" si="30"/>
        <v>141784.95000000001</v>
      </c>
      <c r="M19" s="1574">
        <f t="shared" ref="M19:R19" si="31">SUM(M17:M18)</f>
        <v>432585.45</v>
      </c>
      <c r="N19" s="1575">
        <f t="shared" si="31"/>
        <v>431236.6</v>
      </c>
      <c r="O19" s="198">
        <f t="shared" si="31"/>
        <v>143187</v>
      </c>
      <c r="P19" s="141">
        <f t="shared" si="31"/>
        <v>148667.65</v>
      </c>
      <c r="Q19" s="1571">
        <f t="shared" si="31"/>
        <v>575772.44999999995</v>
      </c>
      <c r="R19" s="1572">
        <f t="shared" si="31"/>
        <v>579904.25</v>
      </c>
      <c r="S19" s="198">
        <f t="shared" ref="S19:V19" si="32">SUM(S17:S18)</f>
        <v>148014.15000000002</v>
      </c>
      <c r="T19" s="141">
        <f t="shared" si="32"/>
        <v>148733.5</v>
      </c>
      <c r="U19" s="1571">
        <f t="shared" si="32"/>
        <v>723786.60000000009</v>
      </c>
      <c r="V19" s="1572">
        <f t="shared" si="32"/>
        <v>728637.75</v>
      </c>
      <c r="W19" s="198">
        <f t="shared" ref="W19:X19" si="33">SUM(W17:W18)</f>
        <v>143239.5</v>
      </c>
      <c r="X19" s="141">
        <f t="shared" si="33"/>
        <v>143608.95000000001</v>
      </c>
      <c r="Y19" s="763">
        <f t="shared" ref="Y19:Z19" si="34">SUM(Y17:Y18)</f>
        <v>434440.65</v>
      </c>
      <c r="Z19" s="486">
        <f t="shared" si="34"/>
        <v>441010.1</v>
      </c>
      <c r="AA19" s="2518">
        <f t="shared" ref="AA19:AF19" si="35">SUM(AA17:AA18)</f>
        <v>867026.1</v>
      </c>
      <c r="AB19" s="473">
        <f t="shared" si="35"/>
        <v>872246.7</v>
      </c>
      <c r="AC19" s="198">
        <f t="shared" si="35"/>
        <v>148014.15000000002</v>
      </c>
      <c r="AD19" s="141">
        <f t="shared" si="35"/>
        <v>147944.75</v>
      </c>
      <c r="AE19" s="1571">
        <f t="shared" si="35"/>
        <v>1015040.25</v>
      </c>
      <c r="AF19" s="1572">
        <f t="shared" si="35"/>
        <v>1020191.45</v>
      </c>
      <c r="AG19" s="198">
        <f t="shared" ref="AG19:AH19" si="36">SUM(AG17:AG18)</f>
        <v>143239.5</v>
      </c>
      <c r="AH19" s="141">
        <f t="shared" si="36"/>
        <v>137629.80000000002</v>
      </c>
      <c r="AI19" s="1571">
        <f t="shared" ref="AI19:AN19" si="37">SUM(AI17:AI18)</f>
        <v>1158279.75</v>
      </c>
      <c r="AJ19" s="1572">
        <f t="shared" si="37"/>
        <v>1157821.25</v>
      </c>
      <c r="AK19" s="198">
        <f t="shared" si="37"/>
        <v>148014.15000000002</v>
      </c>
      <c r="AL19" s="141">
        <f t="shared" si="37"/>
        <v>148575.75</v>
      </c>
      <c r="AM19" s="763">
        <f t="shared" si="37"/>
        <v>439267.8</v>
      </c>
      <c r="AN19" s="486">
        <f t="shared" si="37"/>
        <v>434150.30000000005</v>
      </c>
      <c r="AO19" s="1571">
        <f t="shared" ref="AO19:AT19" si="38">SUM(AO17:AO18)</f>
        <v>1306293.8999999999</v>
      </c>
      <c r="AP19" s="1572">
        <f t="shared" si="38"/>
        <v>1306397</v>
      </c>
      <c r="AQ19" s="198">
        <f t="shared" si="38"/>
        <v>148014.15000000002</v>
      </c>
      <c r="AR19" s="141">
        <f t="shared" si="38"/>
        <v>148575.75</v>
      </c>
      <c r="AS19" s="1571">
        <f t="shared" si="38"/>
        <v>1454308.0499999998</v>
      </c>
      <c r="AT19" s="1572">
        <f t="shared" si="38"/>
        <v>1454972.75</v>
      </c>
      <c r="AU19" s="198">
        <f t="shared" ref="AU19:AX19" si="39">SUM(AU17:AU18)</f>
        <v>133690.20000000001</v>
      </c>
      <c r="AV19" s="141">
        <f t="shared" si="39"/>
        <v>133962.25</v>
      </c>
      <c r="AW19" s="1571">
        <f t="shared" si="39"/>
        <v>1587998.25</v>
      </c>
      <c r="AX19" s="1572">
        <f t="shared" si="39"/>
        <v>1588935</v>
      </c>
      <c r="AY19" s="198">
        <f t="shared" ref="AY19:AZ19" si="40">SUM(AY17:AY18)</f>
        <v>148014.15000000002</v>
      </c>
      <c r="AZ19" s="141">
        <f t="shared" si="40"/>
        <v>148733.5</v>
      </c>
      <c r="BA19" s="763">
        <f t="shared" ref="BA19:BF19" si="41">SUM(BA17:BA18)</f>
        <v>429718.5</v>
      </c>
      <c r="BB19" s="486">
        <f t="shared" si="41"/>
        <v>431271.50000000006</v>
      </c>
      <c r="BC19" s="2518">
        <f t="shared" si="41"/>
        <v>868986.3</v>
      </c>
      <c r="BD19" s="473">
        <f t="shared" si="41"/>
        <v>865421.8</v>
      </c>
      <c r="BE19" s="1571">
        <f t="shared" si="41"/>
        <v>1736012.4</v>
      </c>
      <c r="BF19" s="1572">
        <f t="shared" si="41"/>
        <v>1737668.5</v>
      </c>
      <c r="BG19" s="1222"/>
      <c r="BH19" s="1222"/>
      <c r="BI19" s="4713"/>
      <c r="BJ19" s="4713"/>
      <c r="BK19" s="26"/>
      <c r="BL19" s="26"/>
      <c r="BM19" s="26"/>
      <c r="BN19" s="26"/>
    </row>
    <row r="20" spans="1:66" ht="16.5" thickBot="1" x14ac:dyDescent="0.3">
      <c r="A20" s="148" t="s">
        <v>470</v>
      </c>
      <c r="B20" s="1417" t="s">
        <v>503</v>
      </c>
      <c r="C20" s="1856"/>
      <c r="D20" s="1418"/>
      <c r="E20" s="1418"/>
      <c r="F20" s="1418"/>
      <c r="G20" s="1418"/>
      <c r="H20" s="1418"/>
      <c r="I20" s="1857"/>
      <c r="J20" s="1857"/>
      <c r="K20" s="1418"/>
      <c r="L20" s="1418"/>
      <c r="M20" s="1857"/>
      <c r="N20" s="1857"/>
      <c r="O20" s="1418"/>
      <c r="P20" s="1418"/>
      <c r="Q20" s="1857"/>
      <c r="R20" s="1857"/>
      <c r="S20" s="1418"/>
      <c r="T20" s="1418"/>
      <c r="U20" s="1857"/>
      <c r="V20" s="1857"/>
      <c r="W20" s="1418"/>
      <c r="X20" s="1418"/>
      <c r="Y20" s="490"/>
      <c r="Z20" s="490"/>
      <c r="AA20" s="2519"/>
      <c r="AB20" s="490"/>
      <c r="AC20" s="1418"/>
      <c r="AD20" s="1418"/>
      <c r="AE20" s="1857"/>
      <c r="AF20" s="1857"/>
      <c r="AG20" s="1418"/>
      <c r="AH20" s="1418"/>
      <c r="AI20" s="1857"/>
      <c r="AJ20" s="1857"/>
      <c r="AK20" s="1418"/>
      <c r="AL20" s="1418"/>
      <c r="AM20" s="490"/>
      <c r="AN20" s="490"/>
      <c r="AO20" s="1857"/>
      <c r="AP20" s="1857"/>
      <c r="AQ20" s="1418"/>
      <c r="AR20" s="1418"/>
      <c r="AS20" s="1857"/>
      <c r="AT20" s="1857"/>
      <c r="AU20" s="1418"/>
      <c r="AV20" s="1418"/>
      <c r="AW20" s="1857"/>
      <c r="AX20" s="1857"/>
      <c r="AY20" s="1418"/>
      <c r="AZ20" s="1418"/>
      <c r="BA20" s="490"/>
      <c r="BB20" s="490"/>
      <c r="BC20" s="2519"/>
      <c r="BD20" s="490"/>
      <c r="BE20" s="1857"/>
      <c r="BF20" s="1857"/>
      <c r="BG20" s="1222"/>
      <c r="BH20" s="1222"/>
      <c r="BI20" s="4713"/>
      <c r="BJ20" s="4713"/>
      <c r="BK20" s="26"/>
      <c r="BL20" s="26"/>
      <c r="BM20" s="26"/>
      <c r="BN20" s="26"/>
    </row>
    <row r="21" spans="1:66" ht="15.75" thickBot="1" x14ac:dyDescent="0.3">
      <c r="A21" s="147" t="s">
        <v>470</v>
      </c>
      <c r="B21" s="1841" t="s">
        <v>149</v>
      </c>
      <c r="C21" s="1332" t="s">
        <v>50</v>
      </c>
      <c r="D21" s="1440">
        <f>+D17*D37/100</f>
        <v>415343.88</v>
      </c>
      <c r="E21" s="1128">
        <f>+E17*E37/100</f>
        <v>35397.599999999999</v>
      </c>
      <c r="F21" s="1128">
        <v>35359.415999999997</v>
      </c>
      <c r="G21" s="1128">
        <f>+G17*G37/100</f>
        <v>36577.519999999997</v>
      </c>
      <c r="H21" s="1128">
        <v>36693.275999999998</v>
      </c>
      <c r="I21" s="672">
        <f>+E21+G21</f>
        <v>71975.12</v>
      </c>
      <c r="J21" s="43">
        <f>+F21+H21</f>
        <v>72052.691999999995</v>
      </c>
      <c r="K21" s="1128">
        <f>+K17*K37/100</f>
        <v>35201.347999999991</v>
      </c>
      <c r="L21" s="1128">
        <v>35185.905840000007</v>
      </c>
      <c r="M21" s="714">
        <f>+E21+G21+K21</f>
        <v>107176.46799999999</v>
      </c>
      <c r="N21" s="73">
        <f>+F21+H21+L21</f>
        <v>107238.59784</v>
      </c>
      <c r="O21" s="1128">
        <f>+O17*O37/100</f>
        <v>35831.040000000001</v>
      </c>
      <c r="P21" s="1128">
        <v>36682.905207141288</v>
      </c>
      <c r="Q21" s="672">
        <f>+M21+O21</f>
        <v>143007.508</v>
      </c>
      <c r="R21" s="43">
        <f>+N21+P21</f>
        <v>143921.5030471413</v>
      </c>
      <c r="S21" s="1128">
        <f>+S17*S37/100</f>
        <v>35831.040000000001</v>
      </c>
      <c r="T21" s="1128">
        <v>36838.788</v>
      </c>
      <c r="U21" s="672">
        <f>+Q21+S21</f>
        <v>178838.54800000001</v>
      </c>
      <c r="V21" s="43">
        <f>+R21+T21</f>
        <v>180760.29104714131</v>
      </c>
      <c r="W21" s="1128">
        <f>+W17*W37/100</f>
        <v>34675.199999999997</v>
      </c>
      <c r="X21" s="1128">
        <v>35650.439999999995</v>
      </c>
      <c r="Y21" s="762">
        <f>+O21+S21+W21</f>
        <v>106337.28</v>
      </c>
      <c r="Z21" s="84">
        <f>+P21+T21+X21</f>
        <v>109172.13320714128</v>
      </c>
      <c r="AA21" s="760">
        <f>+M21+Y21</f>
        <v>213513.74799999999</v>
      </c>
      <c r="AB21" s="760">
        <f>+N21+Z21</f>
        <v>216410.73104714128</v>
      </c>
      <c r="AC21" s="1128">
        <f>+AC17*AC37/100</f>
        <v>35831.040000000001</v>
      </c>
      <c r="AD21" s="1128">
        <v>36839</v>
      </c>
      <c r="AE21" s="672">
        <f>+AA21+AC21</f>
        <v>249344.788</v>
      </c>
      <c r="AF21" s="43">
        <f>+AB21+AD21</f>
        <v>253249.73104714128</v>
      </c>
      <c r="AG21" s="1128">
        <f>+AG17*AG37/100</f>
        <v>34675.199999999997</v>
      </c>
      <c r="AH21" s="1128">
        <v>34299.58812</v>
      </c>
      <c r="AI21" s="672">
        <f>+AE21+AG21</f>
        <v>284019.98800000001</v>
      </c>
      <c r="AJ21" s="43">
        <f>+AF21+AH21</f>
        <v>287549.31916714128</v>
      </c>
      <c r="AK21" s="1128">
        <f>+AK17*AK37/100</f>
        <v>35831.040000000001</v>
      </c>
      <c r="AL21" s="1128">
        <v>36582.745360000001</v>
      </c>
      <c r="AM21" s="762">
        <f>+AC21+AG21+AK21</f>
        <v>106337.28</v>
      </c>
      <c r="AN21" s="84">
        <f>+AD21+AH21+AL21</f>
        <v>107721.33348</v>
      </c>
      <c r="AO21" s="761">
        <f>AI21+AK21</f>
        <v>319851.02799999999</v>
      </c>
      <c r="AP21" s="761">
        <f>AJ21+AL21</f>
        <v>324132.06452714128</v>
      </c>
      <c r="AQ21" s="1128">
        <f>+AQ17*AQ37/100</f>
        <v>35831.040000000001</v>
      </c>
      <c r="AR21" s="1128">
        <v>36888.428919999984</v>
      </c>
      <c r="AS21" s="672">
        <f>+AO21+AQ21</f>
        <v>355682.06799999997</v>
      </c>
      <c r="AT21" s="43">
        <f>+AP21+AR21</f>
        <v>361020.49344714126</v>
      </c>
      <c r="AU21" s="1128">
        <f>+AU17*AU37/100</f>
        <v>32363.519999999997</v>
      </c>
      <c r="AV21" s="1128">
        <v>33164.609999999986</v>
      </c>
      <c r="AW21" s="672">
        <f>+AS21+AU21</f>
        <v>388045.58799999999</v>
      </c>
      <c r="AX21" s="43">
        <f>+AT21+AV21</f>
        <v>394185.10344714124</v>
      </c>
      <c r="AY21" s="1128">
        <f>+AY17*AY37/100</f>
        <v>35831.040000000001</v>
      </c>
      <c r="AZ21" s="1128">
        <v>36838.788</v>
      </c>
      <c r="BA21" s="762">
        <f>+AQ21+AU21+AY21</f>
        <v>104025.60000000001</v>
      </c>
      <c r="BB21" s="84">
        <f>+AR21+AV21+AZ21</f>
        <v>106891.82691999996</v>
      </c>
      <c r="BC21" s="760">
        <f t="shared" ref="BC21:BC22" si="42">+AM21+BA21</f>
        <v>210362.88</v>
      </c>
      <c r="BD21" s="760">
        <f t="shared" ref="BD21:BD22" si="43">+AN21+BB21</f>
        <v>214613.16039999996</v>
      </c>
      <c r="BE21" s="672">
        <f>+AW21+AY21</f>
        <v>423876.62799999997</v>
      </c>
      <c r="BF21" s="43">
        <f>+AX21+AZ21</f>
        <v>431023.89144714124</v>
      </c>
      <c r="BG21" s="1222"/>
      <c r="BH21" s="1222"/>
      <c r="BI21" s="4713"/>
      <c r="BJ21" s="4713"/>
      <c r="BK21" s="26"/>
      <c r="BL21" s="26"/>
      <c r="BM21" s="26"/>
      <c r="BN21" s="26"/>
    </row>
    <row r="22" spans="1:66" ht="15.75" thickBot="1" x14ac:dyDescent="0.3">
      <c r="A22" s="147" t="s">
        <v>470</v>
      </c>
      <c r="B22" s="1842" t="s">
        <v>150</v>
      </c>
      <c r="C22" s="1395" t="s">
        <v>50</v>
      </c>
      <c r="D22" s="1844">
        <f>+D18*D37/100</f>
        <v>786998.97499999998</v>
      </c>
      <c r="E22" s="1308">
        <f>+E18*E37/100</f>
        <v>64929.9</v>
      </c>
      <c r="F22" s="1308">
        <v>64793.130750000004</v>
      </c>
      <c r="G22" s="1308">
        <f>+G18*G37/100</f>
        <v>67094.23000000001</v>
      </c>
      <c r="H22" s="1308">
        <v>67217.590500000006</v>
      </c>
      <c r="I22" s="765">
        <f>+E22+G22</f>
        <v>132024.13</v>
      </c>
      <c r="J22" s="44">
        <f>+F22+H22</f>
        <v>132010.72125</v>
      </c>
      <c r="K22" s="1308">
        <f>+K18*K37/100</f>
        <v>63609.217000000004</v>
      </c>
      <c r="L22" s="1308">
        <v>64077.737655000004</v>
      </c>
      <c r="M22" s="1843">
        <f>+E22+G22+K22</f>
        <v>195633.34700000001</v>
      </c>
      <c r="N22" s="1576">
        <f>+F22+H22+L22</f>
        <v>196088.45890500001</v>
      </c>
      <c r="O22" s="1308">
        <f>+O18*O37/100</f>
        <v>64399.859999999993</v>
      </c>
      <c r="P22" s="1308">
        <v>68132.803274858685</v>
      </c>
      <c r="Q22" s="765">
        <f>+M22+O22</f>
        <v>260033.20699999999</v>
      </c>
      <c r="R22" s="44">
        <f>+N22+P22</f>
        <v>264221.26217985869</v>
      </c>
      <c r="S22" s="1308">
        <f>+S18*S37/100</f>
        <v>67778.865000000005</v>
      </c>
      <c r="T22" s="1308">
        <v>68018.329500000007</v>
      </c>
      <c r="U22" s="765">
        <f>+Q22+S22</f>
        <v>327812.07199999999</v>
      </c>
      <c r="V22" s="44">
        <f>+R22+T22</f>
        <v>332239.59167985868</v>
      </c>
      <c r="W22" s="1308">
        <f>+W18*W37/100</f>
        <v>65592.450000000012</v>
      </c>
      <c r="X22" s="1308">
        <v>65593.869749999998</v>
      </c>
      <c r="Y22" s="762">
        <f>+O22+S22+W22</f>
        <v>197771.17500000002</v>
      </c>
      <c r="Z22" s="84">
        <f>+P22+T22+X22</f>
        <v>201745.00252485869</v>
      </c>
      <c r="AA22" s="760">
        <f>+M22+Y22</f>
        <v>393404.522</v>
      </c>
      <c r="AB22" s="760">
        <f>+N22+Z22</f>
        <v>397833.4614298587</v>
      </c>
      <c r="AC22" s="1308">
        <f>+AC18*AC37/100</f>
        <v>67778.865000000005</v>
      </c>
      <c r="AD22" s="1308">
        <v>67418</v>
      </c>
      <c r="AE22" s="765">
        <f>+AA22+AC22</f>
        <v>461183.38699999999</v>
      </c>
      <c r="AF22" s="44">
        <f>+AB22+AD22</f>
        <v>465251.4614298587</v>
      </c>
      <c r="AG22" s="1308">
        <f>+AG18*AG37/100</f>
        <v>65592.450000000012</v>
      </c>
      <c r="AH22" s="1308">
        <v>62715.657900000006</v>
      </c>
      <c r="AI22" s="765">
        <f>+AE22+AG22</f>
        <v>526775.83700000006</v>
      </c>
      <c r="AJ22" s="44">
        <f>+AF22+AH22</f>
        <v>527967.11932985869</v>
      </c>
      <c r="AK22" s="1308">
        <f>+AK18*AK37/100</f>
        <v>67778.865000000005</v>
      </c>
      <c r="AL22" s="1308">
        <v>67435.13721500001</v>
      </c>
      <c r="AM22" s="762">
        <f>+AC22+AG22+AK22</f>
        <v>201150.18</v>
      </c>
      <c r="AN22" s="84">
        <f>+AD22+AH22+AL22</f>
        <v>197568.79511500002</v>
      </c>
      <c r="AO22" s="761">
        <f>AI22+AK22</f>
        <v>594554.70200000005</v>
      </c>
      <c r="AP22" s="761">
        <f>AJ22+AL22</f>
        <v>595402.25654485868</v>
      </c>
      <c r="AQ22" s="1308">
        <f>+AQ18*AQ37/100</f>
        <v>67778.865000000005</v>
      </c>
      <c r="AR22" s="1308">
        <v>67998.62179249998</v>
      </c>
      <c r="AS22" s="765">
        <f>+AO22+AQ22</f>
        <v>662333.56700000004</v>
      </c>
      <c r="AT22" s="44">
        <f>+AP22+AR22</f>
        <v>663400.87833735871</v>
      </c>
      <c r="AU22" s="1308">
        <f>+AU18*AU37/100</f>
        <v>61219.62</v>
      </c>
      <c r="AV22" s="1308">
        <v>61278.776249999981</v>
      </c>
      <c r="AW22" s="765">
        <f>+AS22+AU22</f>
        <v>723553.18700000003</v>
      </c>
      <c r="AX22" s="44">
        <f>+AT22+AV22</f>
        <v>724679.6545873587</v>
      </c>
      <c r="AY22" s="1308">
        <f>+AY18*AY37/100</f>
        <v>67778.865000000005</v>
      </c>
      <c r="AZ22" s="1308">
        <v>68018.329500000007</v>
      </c>
      <c r="BA22" s="762">
        <f>+AQ22+AU22+AY22</f>
        <v>196777.35000000003</v>
      </c>
      <c r="BB22" s="84">
        <f>+AR22+AV22+AZ22</f>
        <v>197295.72754249995</v>
      </c>
      <c r="BC22" s="760">
        <f t="shared" si="42"/>
        <v>397927.53</v>
      </c>
      <c r="BD22" s="760">
        <f t="shared" si="43"/>
        <v>394864.5226575</v>
      </c>
      <c r="BE22" s="765">
        <f>+AW22+AY22</f>
        <v>791332.05200000003</v>
      </c>
      <c r="BF22" s="44">
        <f>+AX22+AZ22</f>
        <v>792697.98408735869</v>
      </c>
      <c r="BG22" s="1222"/>
      <c r="BH22" s="1222"/>
      <c r="BI22" s="4713"/>
      <c r="BJ22" s="4713"/>
      <c r="BK22" s="26"/>
      <c r="BL22" s="26"/>
      <c r="BM22" s="26"/>
      <c r="BN22" s="26"/>
    </row>
    <row r="23" spans="1:66" ht="15.75" thickBot="1" x14ac:dyDescent="0.3">
      <c r="A23" s="147" t="s">
        <v>470</v>
      </c>
      <c r="B23" s="1393" t="s">
        <v>78</v>
      </c>
      <c r="C23" s="1396" t="s">
        <v>50</v>
      </c>
      <c r="D23" s="1439">
        <f t="shared" ref="D23:J23" si="44">SUM(D21:D22)</f>
        <v>1202342.855</v>
      </c>
      <c r="E23" s="198">
        <f t="shared" si="44"/>
        <v>100327.5</v>
      </c>
      <c r="F23" s="198">
        <f t="shared" si="44"/>
        <v>100152.54675000001</v>
      </c>
      <c r="G23" s="198">
        <f t="shared" ref="G23:H23" si="45">SUM(G21:G22)</f>
        <v>103671.75</v>
      </c>
      <c r="H23" s="198">
        <f t="shared" si="45"/>
        <v>103910.8665</v>
      </c>
      <c r="I23" s="746">
        <f t="shared" si="44"/>
        <v>203999.25</v>
      </c>
      <c r="J23" s="1132">
        <f t="shared" si="44"/>
        <v>204063.41324999998</v>
      </c>
      <c r="K23" s="198">
        <f t="shared" ref="K23:L23" si="46">SUM(K21:K22)</f>
        <v>98810.565000000002</v>
      </c>
      <c r="L23" s="198">
        <f t="shared" si="46"/>
        <v>99263.643495000011</v>
      </c>
      <c r="M23" s="767">
        <f t="shared" ref="M23:R23" si="47">SUM(M21:M22)</f>
        <v>302809.815</v>
      </c>
      <c r="N23" s="172">
        <f t="shared" si="47"/>
        <v>303327.05674500001</v>
      </c>
      <c r="O23" s="198">
        <f t="shared" si="47"/>
        <v>100230.9</v>
      </c>
      <c r="P23" s="198">
        <f t="shared" si="47"/>
        <v>104815.70848199997</v>
      </c>
      <c r="Q23" s="746">
        <f t="shared" si="47"/>
        <v>403040.71499999997</v>
      </c>
      <c r="R23" s="1132">
        <f t="shared" si="47"/>
        <v>408142.765227</v>
      </c>
      <c r="S23" s="198">
        <f t="shared" ref="S23:V23" si="48">SUM(S21:S22)</f>
        <v>103609.905</v>
      </c>
      <c r="T23" s="198">
        <f t="shared" si="48"/>
        <v>104857.11750000001</v>
      </c>
      <c r="U23" s="746">
        <f t="shared" si="48"/>
        <v>506650.62</v>
      </c>
      <c r="V23" s="1132">
        <f t="shared" si="48"/>
        <v>512999.88272699999</v>
      </c>
      <c r="W23" s="198">
        <f t="shared" ref="W23:X23" si="49">SUM(W21:W22)</f>
        <v>100267.65000000001</v>
      </c>
      <c r="X23" s="198">
        <f t="shared" si="49"/>
        <v>101244.30974999999</v>
      </c>
      <c r="Y23" s="749">
        <f t="shared" ref="Y23:Z23" si="50">SUM(Y21:Y22)</f>
        <v>304108.45500000002</v>
      </c>
      <c r="Z23" s="172">
        <f t="shared" si="50"/>
        <v>310917.135732</v>
      </c>
      <c r="AA23" s="2518">
        <f t="shared" ref="AA23:AF23" si="51">SUM(AA21:AA22)</f>
        <v>606918.27</v>
      </c>
      <c r="AB23" s="473">
        <f t="shared" si="51"/>
        <v>614244.19247699995</v>
      </c>
      <c r="AC23" s="198">
        <f t="shared" si="51"/>
        <v>103609.905</v>
      </c>
      <c r="AD23" s="198">
        <f t="shared" si="51"/>
        <v>104257</v>
      </c>
      <c r="AE23" s="746">
        <f t="shared" si="51"/>
        <v>710528.17500000005</v>
      </c>
      <c r="AF23" s="1132">
        <f t="shared" si="51"/>
        <v>718501.19247699995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6">
        <f t="shared" ref="AI23:AN23" si="53">SUM(AI21:AI22)</f>
        <v>810795.82500000007</v>
      </c>
      <c r="AJ23" s="1132">
        <f t="shared" si="53"/>
        <v>815516.43849699991</v>
      </c>
      <c r="AK23" s="198">
        <f t="shared" si="53"/>
        <v>103609.905</v>
      </c>
      <c r="AL23" s="198">
        <f t="shared" si="53"/>
        <v>104017.88257500001</v>
      </c>
      <c r="AM23" s="749">
        <f t="shared" si="53"/>
        <v>307487.45999999996</v>
      </c>
      <c r="AN23" s="172">
        <f t="shared" si="53"/>
        <v>305290.12859500002</v>
      </c>
      <c r="AO23" s="746">
        <f t="shared" ref="AO23:AT23" si="54">SUM(AO21:AO22)</f>
        <v>914405.73</v>
      </c>
      <c r="AP23" s="1132">
        <f t="shared" si="54"/>
        <v>919534.32107199996</v>
      </c>
      <c r="AQ23" s="198">
        <f t="shared" si="54"/>
        <v>103609.905</v>
      </c>
      <c r="AR23" s="198">
        <f t="shared" si="54"/>
        <v>104887.05071249997</v>
      </c>
      <c r="AS23" s="746">
        <f t="shared" si="54"/>
        <v>1018015.635</v>
      </c>
      <c r="AT23" s="1132">
        <f t="shared" si="54"/>
        <v>1024421.3717845</v>
      </c>
      <c r="AU23" s="198">
        <f t="shared" ref="AU23:AX23" si="55">SUM(AU21:AU22)</f>
        <v>93583.14</v>
      </c>
      <c r="AV23" s="198">
        <f t="shared" si="55"/>
        <v>94443.386249999967</v>
      </c>
      <c r="AW23" s="746">
        <f t="shared" si="55"/>
        <v>1111598.7749999999</v>
      </c>
      <c r="AX23" s="1132">
        <f t="shared" si="55"/>
        <v>1118864.7580344998</v>
      </c>
      <c r="AY23" s="198">
        <f t="shared" ref="AY23:AZ23" si="56">SUM(AY21:AY22)</f>
        <v>103609.905</v>
      </c>
      <c r="AZ23" s="198">
        <f t="shared" si="56"/>
        <v>104857.11750000001</v>
      </c>
      <c r="BA23" s="749">
        <f t="shared" ref="BA23:BF23" si="57">SUM(BA21:BA22)</f>
        <v>300802.95000000007</v>
      </c>
      <c r="BB23" s="172">
        <f t="shared" si="57"/>
        <v>304187.55446249992</v>
      </c>
      <c r="BC23" s="2518">
        <f t="shared" si="57"/>
        <v>608290.41</v>
      </c>
      <c r="BD23" s="473">
        <f t="shared" si="57"/>
        <v>609477.68305749993</v>
      </c>
      <c r="BE23" s="746">
        <f t="shared" si="57"/>
        <v>1215208.68</v>
      </c>
      <c r="BF23" s="1132">
        <f t="shared" si="57"/>
        <v>1223721.8755345</v>
      </c>
      <c r="BG23" s="1222"/>
      <c r="BH23" s="1222"/>
      <c r="BI23" s="4713"/>
      <c r="BJ23" s="4713"/>
      <c r="BK23" s="26"/>
      <c r="BL23" s="26"/>
      <c r="BM23" s="26"/>
      <c r="BN23" s="26"/>
    </row>
    <row r="24" spans="1:66" ht="15.75" thickBot="1" x14ac:dyDescent="0.3">
      <c r="A24" s="147" t="s">
        <v>470</v>
      </c>
      <c r="B24" s="1839" t="s">
        <v>152</v>
      </c>
      <c r="C24" s="1395" t="s">
        <v>50</v>
      </c>
      <c r="D24" s="1316">
        <f>+D17*D38/100</f>
        <v>8900.2260000000006</v>
      </c>
      <c r="E24" s="1125">
        <f>+E17*E38/100</f>
        <v>758.52</v>
      </c>
      <c r="F24" s="1125">
        <v>752.32799999999997</v>
      </c>
      <c r="G24" s="7185">
        <f>+G17*G38/100</f>
        <v>783.80399999999997</v>
      </c>
      <c r="H24" s="7185">
        <v>780.70799999999997</v>
      </c>
      <c r="I24" s="761">
        <f>+E24+G24</f>
        <v>1542.3240000000001</v>
      </c>
      <c r="J24" s="62">
        <f>+F24+H24</f>
        <v>1533.0360000000001</v>
      </c>
      <c r="K24" s="4589">
        <f>+K17*K38/100</f>
        <v>754.31459999999993</v>
      </c>
      <c r="L24" s="4589">
        <v>693.56592000000001</v>
      </c>
      <c r="M24" s="1126">
        <f>+E24+G24+K24</f>
        <v>2296.6386000000002</v>
      </c>
      <c r="N24" s="84">
        <f>+F24+H24+L24</f>
        <v>2226.6019200000001</v>
      </c>
      <c r="O24" s="4796">
        <f>+O17*O38/100</f>
        <v>767.80799999999988</v>
      </c>
      <c r="P24" s="4796">
        <v>462.31732323743586</v>
      </c>
      <c r="Q24" s="761">
        <f>+M24+O24</f>
        <v>3064.4466000000002</v>
      </c>
      <c r="R24" s="62">
        <f>+N24+P24</f>
        <v>2688.9192432374357</v>
      </c>
      <c r="S24" s="4905">
        <f>+S17*S38/100</f>
        <v>767.80799999999988</v>
      </c>
      <c r="T24" s="4905">
        <v>783.80399999999997</v>
      </c>
      <c r="U24" s="761">
        <f>+Q24+S24</f>
        <v>3832.2546000000002</v>
      </c>
      <c r="V24" s="62">
        <f>+R24+T24</f>
        <v>3472.7232432374358</v>
      </c>
      <c r="W24" s="5055">
        <f>+W17*W38/100</f>
        <v>743.03999999999985</v>
      </c>
      <c r="X24" s="5055">
        <v>733.23599999999999</v>
      </c>
      <c r="Y24" s="762">
        <f>+O24+S24+W24</f>
        <v>2278.6559999999995</v>
      </c>
      <c r="Z24" s="84">
        <f>+P24+T24+X24</f>
        <v>1979.3573232374356</v>
      </c>
      <c r="AA24" s="760">
        <f>+M24+Y24</f>
        <v>4575.2945999999993</v>
      </c>
      <c r="AB24" s="760">
        <f>+N24+Z24</f>
        <v>4205.9592432374357</v>
      </c>
      <c r="AC24" s="5350">
        <f>+AC17*AC38/100</f>
        <v>767.80799999999988</v>
      </c>
      <c r="AD24" s="5350">
        <v>523</v>
      </c>
      <c r="AE24" s="761">
        <f>+AA24+AC24</f>
        <v>5343.1025999999993</v>
      </c>
      <c r="AF24" s="62">
        <f>+AB24+AD24</f>
        <v>4728.9592432374357</v>
      </c>
      <c r="AG24" s="5526">
        <f>+AG17*AG38/100</f>
        <v>743.03999999999985</v>
      </c>
      <c r="AH24" s="5526">
        <v>729.88199999999995</v>
      </c>
      <c r="AI24" s="761">
        <f>+AE24+AG24</f>
        <v>6086.1425999999992</v>
      </c>
      <c r="AJ24" s="62">
        <f>+AF24+AH24</f>
        <v>5458.8412432374353</v>
      </c>
      <c r="AK24" s="5939">
        <f>+AK17*AK38/100</f>
        <v>767.80799999999988</v>
      </c>
      <c r="AL24" s="5939">
        <v>783.80399999999997</v>
      </c>
      <c r="AM24" s="762">
        <f>+AC24+AG24+AK24</f>
        <v>2278.6559999999995</v>
      </c>
      <c r="AN24" s="84">
        <f>+AD24+AH24+AL24</f>
        <v>2036.6860000000001</v>
      </c>
      <c r="AO24" s="761">
        <f>AI24+AK24</f>
        <v>6853.9505999999992</v>
      </c>
      <c r="AP24" s="761">
        <f>AJ24+AL24</f>
        <v>6242.6452432374354</v>
      </c>
      <c r="AQ24" s="6105">
        <f>+AQ17*AQ38/100</f>
        <v>767.80799999999988</v>
      </c>
      <c r="AR24" s="6105">
        <v>470.28240000000005</v>
      </c>
      <c r="AS24" s="761">
        <f>+AO24+AQ24</f>
        <v>7621.7585999999992</v>
      </c>
      <c r="AT24" s="62">
        <f>+AP24+AR24</f>
        <v>6712.9276432374354</v>
      </c>
      <c r="AU24" s="6225">
        <f>+AU17*AU38/100</f>
        <v>693.50399999999991</v>
      </c>
      <c r="AV24" s="6225">
        <v>705.63</v>
      </c>
      <c r="AW24" s="761">
        <f>+AS24+AU24</f>
        <v>8315.2625999999982</v>
      </c>
      <c r="AX24" s="62">
        <f>+AT24+AV24</f>
        <v>7418.5576432374355</v>
      </c>
      <c r="AY24" s="6439">
        <f>+AY17*AY38/100</f>
        <v>767.80799999999988</v>
      </c>
      <c r="AZ24" s="6439">
        <v>783.80399999999997</v>
      </c>
      <c r="BA24" s="762">
        <f>+AQ24+AU24+AY24</f>
        <v>2229.12</v>
      </c>
      <c r="BB24" s="84">
        <f>+AR24+AV24+AZ24</f>
        <v>1959.7164000000002</v>
      </c>
      <c r="BC24" s="760">
        <f t="shared" ref="BC24:BC25" si="58">+AM24+BA24</f>
        <v>4507.7759999999998</v>
      </c>
      <c r="BD24" s="760">
        <f t="shared" ref="BD24:BD25" si="59">+AN24+BB24</f>
        <v>3996.4024000000004</v>
      </c>
      <c r="BE24" s="761">
        <f>+AW24+AY24</f>
        <v>9083.0705999999973</v>
      </c>
      <c r="BF24" s="62">
        <f>+AX24+AZ24</f>
        <v>8202.3616432374347</v>
      </c>
      <c r="BG24" s="1222"/>
      <c r="BH24" s="1222"/>
      <c r="BI24" s="4713"/>
      <c r="BJ24" s="4713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840" t="s">
        <v>153</v>
      </c>
      <c r="C25" s="1395" t="s">
        <v>50</v>
      </c>
      <c r="D25" s="1438">
        <f>+D18*D38/100</f>
        <v>16864.263749999998</v>
      </c>
      <c r="E25" s="726">
        <f>+E18*E38/100</f>
        <v>1391.355</v>
      </c>
      <c r="F25" s="726">
        <v>1378.57725</v>
      </c>
      <c r="G25" s="7184">
        <f>+G18*G38/100</f>
        <v>1437.7335</v>
      </c>
      <c r="H25" s="7184">
        <v>1430.1614999999999</v>
      </c>
      <c r="I25" s="766">
        <f>+E25+G25</f>
        <v>2829.0884999999998</v>
      </c>
      <c r="J25" s="62">
        <f>+F25+H25</f>
        <v>2808.73875</v>
      </c>
      <c r="K25" s="4588">
        <f>+K18*K38/100</f>
        <v>1363.05465</v>
      </c>
      <c r="L25" s="4588">
        <v>1263.06639</v>
      </c>
      <c r="M25" s="1847">
        <f>+E25+G25+K25</f>
        <v>4192.1431499999999</v>
      </c>
      <c r="N25" s="84">
        <f>+F25+H25+L25</f>
        <v>4071.8051399999999</v>
      </c>
      <c r="O25" s="4795">
        <f>+O18*O38/100</f>
        <v>1379.9969999999998</v>
      </c>
      <c r="P25" s="4795">
        <v>858.68267676256391</v>
      </c>
      <c r="Q25" s="766">
        <f>+M25+O25</f>
        <v>5572.1401499999993</v>
      </c>
      <c r="R25" s="62">
        <f>+N25+P25</f>
        <v>4930.4878167625639</v>
      </c>
      <c r="S25" s="4904">
        <f>+S18*S38/100</f>
        <v>1452.4042500000003</v>
      </c>
      <c r="T25" s="4904">
        <v>1447.1985</v>
      </c>
      <c r="U25" s="766">
        <f>+Q25+S25</f>
        <v>7024.5443999999998</v>
      </c>
      <c r="V25" s="62">
        <f>+R25+T25</f>
        <v>6377.6863167625634</v>
      </c>
      <c r="W25" s="5054">
        <f>+W18*W38/100</f>
        <v>1405.5525000000002</v>
      </c>
      <c r="X25" s="5054">
        <v>1349.0937749999998</v>
      </c>
      <c r="Y25" s="762">
        <f>+O25+S25+W25</f>
        <v>4237.9537500000006</v>
      </c>
      <c r="Z25" s="84">
        <f>+P25+T25+X25</f>
        <v>3654.9749517625637</v>
      </c>
      <c r="AA25" s="760">
        <f>+M25+Y25</f>
        <v>8430.0969000000005</v>
      </c>
      <c r="AB25" s="760">
        <f>+N25+Z25</f>
        <v>7726.7800917625636</v>
      </c>
      <c r="AC25" s="5349">
        <f>+AC18*AC38/100</f>
        <v>1452.4042500000003</v>
      </c>
      <c r="AD25" s="5349">
        <v>956</v>
      </c>
      <c r="AE25" s="766">
        <f>+AA25+AC25</f>
        <v>9882.5011500000001</v>
      </c>
      <c r="AF25" s="62">
        <f>+AB25+AD25</f>
        <v>8682.7800917625646</v>
      </c>
      <c r="AG25" s="5525">
        <f>+AG18*AG38/100</f>
        <v>1405.5525000000002</v>
      </c>
      <c r="AH25" s="5525">
        <v>1334.5650000000001</v>
      </c>
      <c r="AI25" s="766">
        <f>+AE25+AG25</f>
        <v>11288.05365</v>
      </c>
      <c r="AJ25" s="62">
        <f>+AF25+AH25</f>
        <v>10017.345091762565</v>
      </c>
      <c r="AK25" s="5938">
        <f>+AK18*AK38/100</f>
        <v>1452.4042500000003</v>
      </c>
      <c r="AL25" s="5938">
        <v>1444.8322500000002</v>
      </c>
      <c r="AM25" s="762">
        <f>+AC25+AG25+AK25</f>
        <v>4310.3610000000008</v>
      </c>
      <c r="AN25" s="84">
        <f>+AD25+AH25+AL25</f>
        <v>3735.39725</v>
      </c>
      <c r="AO25" s="761">
        <f>AI25+AK25</f>
        <v>12740.457899999999</v>
      </c>
      <c r="AP25" s="761">
        <f>AJ25+AL25</f>
        <v>11462.177341762565</v>
      </c>
      <c r="AQ25" s="6104">
        <f>+AQ18*AQ38/100</f>
        <v>1452.4042500000003</v>
      </c>
      <c r="AR25" s="6104">
        <v>866.89935000000014</v>
      </c>
      <c r="AS25" s="766">
        <f>+AO25+AQ25</f>
        <v>14192.862149999999</v>
      </c>
      <c r="AT25" s="62">
        <f>+AP25+AR25</f>
        <v>12329.076691762564</v>
      </c>
      <c r="AU25" s="6224">
        <f>+AU18*AU38/100</f>
        <v>1311.8490000000002</v>
      </c>
      <c r="AV25" s="6224">
        <v>1303.80375</v>
      </c>
      <c r="AW25" s="766">
        <f>+AS25+AU25</f>
        <v>15504.711149999999</v>
      </c>
      <c r="AX25" s="62">
        <f>+AT25+AV25</f>
        <v>13632.880441762565</v>
      </c>
      <c r="AY25" s="6438">
        <f>+AY18*AY38/100</f>
        <v>1452.4042500000003</v>
      </c>
      <c r="AZ25" s="6438">
        <v>1447.1985</v>
      </c>
      <c r="BA25" s="762">
        <f>+AQ25+AU25+AY25</f>
        <v>4216.6575000000012</v>
      </c>
      <c r="BB25" s="84">
        <f>+AR25+AV25+AZ25</f>
        <v>3617.9016000000001</v>
      </c>
      <c r="BC25" s="760">
        <f t="shared" si="58"/>
        <v>8527.0185000000019</v>
      </c>
      <c r="BD25" s="760">
        <f t="shared" si="59"/>
        <v>7353.2988500000001</v>
      </c>
      <c r="BE25" s="766">
        <f>+AW25+AY25</f>
        <v>16957.115399999999</v>
      </c>
      <c r="BF25" s="62">
        <f>+AX25+AZ25</f>
        <v>15080.078941762566</v>
      </c>
      <c r="BG25" s="1222"/>
      <c r="BH25" s="1222"/>
      <c r="BI25" s="4713"/>
      <c r="BJ25" s="4713"/>
      <c r="BK25" s="26"/>
      <c r="BL25" s="26"/>
      <c r="BM25" s="26"/>
      <c r="BN25" s="26"/>
    </row>
    <row r="26" spans="1:66" ht="15.75" thickBot="1" x14ac:dyDescent="0.3">
      <c r="A26" s="147" t="s">
        <v>470</v>
      </c>
      <c r="B26" s="1393" t="s">
        <v>142</v>
      </c>
      <c r="C26" s="1396" t="s">
        <v>50</v>
      </c>
      <c r="D26" s="1439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6">
        <f t="shared" si="60"/>
        <v>4371.4125000000004</v>
      </c>
      <c r="J26" s="1132">
        <f t="shared" si="60"/>
        <v>4341.7747500000005</v>
      </c>
      <c r="K26" s="198">
        <f t="shared" ref="K26:L26" si="62">SUM(K24:K25)</f>
        <v>2117.3692499999997</v>
      </c>
      <c r="L26" s="198">
        <f t="shared" si="62"/>
        <v>1956.63231</v>
      </c>
      <c r="M26" s="767">
        <f t="shared" ref="M26:R26" si="63">SUM(M24:M25)</f>
        <v>6488.7817500000001</v>
      </c>
      <c r="N26" s="172">
        <f t="shared" si="63"/>
        <v>6298.4070599999995</v>
      </c>
      <c r="O26" s="198">
        <f t="shared" si="63"/>
        <v>2147.8049999999998</v>
      </c>
      <c r="P26" s="198">
        <f t="shared" si="63"/>
        <v>1320.9999999999998</v>
      </c>
      <c r="Q26" s="746">
        <f>SUM(Q24:Q25)</f>
        <v>8636.5867499999986</v>
      </c>
      <c r="R26" s="1132">
        <f t="shared" si="63"/>
        <v>7619.4070599999995</v>
      </c>
      <c r="S26" s="198">
        <f t="shared" ref="S26:T26" si="64">SUM(S24:S25)</f>
        <v>2220.21225</v>
      </c>
      <c r="T26" s="198">
        <f t="shared" si="64"/>
        <v>2231.0025000000001</v>
      </c>
      <c r="U26" s="746">
        <f>SUM(U24:U25)</f>
        <v>10856.798999999999</v>
      </c>
      <c r="V26" s="1132">
        <f t="shared" ref="V26:X26" si="65">SUM(V24:V25)</f>
        <v>9850.4095600000001</v>
      </c>
      <c r="W26" s="198">
        <f t="shared" si="65"/>
        <v>2148.5925000000002</v>
      </c>
      <c r="X26" s="198">
        <f t="shared" si="65"/>
        <v>2082.3297749999997</v>
      </c>
      <c r="Y26" s="749">
        <f t="shared" ref="Y26:Z26" si="66">SUM(Y24:Y25)</f>
        <v>6516.6097499999996</v>
      </c>
      <c r="Z26" s="172">
        <f t="shared" si="66"/>
        <v>5634.3322749999988</v>
      </c>
      <c r="AA26" s="2518">
        <f t="shared" ref="AA26:AF26" si="67">SUM(AA24:AA25)</f>
        <v>13005.3915</v>
      </c>
      <c r="AB26" s="473">
        <f t="shared" si="67"/>
        <v>11932.739334999998</v>
      </c>
      <c r="AC26" s="198">
        <f t="shared" si="67"/>
        <v>2220.21225</v>
      </c>
      <c r="AD26" s="198">
        <f t="shared" si="67"/>
        <v>1479</v>
      </c>
      <c r="AE26" s="746">
        <f t="shared" si="67"/>
        <v>15225.603749999998</v>
      </c>
      <c r="AF26" s="1132">
        <f t="shared" si="67"/>
        <v>13411.739335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6">
        <f t="shared" ref="AI26:AN26" si="69">SUM(AI24:AI25)</f>
        <v>17374.196250000001</v>
      </c>
      <c r="AJ26" s="1132">
        <f t="shared" si="69"/>
        <v>15476.186335</v>
      </c>
      <c r="AK26" s="198">
        <f t="shared" si="69"/>
        <v>2220.21225</v>
      </c>
      <c r="AL26" s="198">
        <f t="shared" si="69"/>
        <v>2228.63625</v>
      </c>
      <c r="AM26" s="749">
        <f t="shared" si="69"/>
        <v>6589.0169999999998</v>
      </c>
      <c r="AN26" s="172">
        <f t="shared" si="69"/>
        <v>5772.0832499999997</v>
      </c>
      <c r="AO26" s="746">
        <f t="shared" ref="AO26:AT26" si="70">SUM(AO24:AO25)</f>
        <v>19594.408499999998</v>
      </c>
      <c r="AP26" s="1132">
        <f t="shared" si="70"/>
        <v>17704.822585000002</v>
      </c>
      <c r="AQ26" s="198">
        <f t="shared" si="70"/>
        <v>2220.21225</v>
      </c>
      <c r="AR26" s="198">
        <f t="shared" si="70"/>
        <v>1337.1817500000002</v>
      </c>
      <c r="AS26" s="746">
        <f t="shared" si="70"/>
        <v>21814.620749999998</v>
      </c>
      <c r="AT26" s="1132">
        <f t="shared" si="70"/>
        <v>19042.004334999998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6">
        <f t="shared" si="71"/>
        <v>23819.973749999997</v>
      </c>
      <c r="AX26" s="1132">
        <f t="shared" si="71"/>
        <v>21051.438085000002</v>
      </c>
      <c r="AY26" s="198">
        <f t="shared" ref="AY26:AZ26" si="72">SUM(AY24:AY25)</f>
        <v>2220.21225</v>
      </c>
      <c r="AZ26" s="198">
        <f t="shared" si="72"/>
        <v>2231.0025000000001</v>
      </c>
      <c r="BA26" s="749">
        <f t="shared" ref="BA26:BF26" si="73">SUM(BA24:BA25)</f>
        <v>6445.7775000000011</v>
      </c>
      <c r="BB26" s="172">
        <f t="shared" si="73"/>
        <v>5577.6180000000004</v>
      </c>
      <c r="BC26" s="2518">
        <f t="shared" si="73"/>
        <v>13034.794500000002</v>
      </c>
      <c r="BD26" s="473">
        <f t="shared" si="73"/>
        <v>11349.70125</v>
      </c>
      <c r="BE26" s="746">
        <f t="shared" si="73"/>
        <v>26040.185999999994</v>
      </c>
      <c r="BF26" s="1132">
        <f t="shared" si="73"/>
        <v>23282.440585</v>
      </c>
      <c r="BG26" s="1222"/>
      <c r="BH26" s="1222"/>
      <c r="BI26" s="4713"/>
      <c r="BJ26" s="4713"/>
      <c r="BK26" s="26"/>
      <c r="BL26" s="26"/>
      <c r="BM26" s="26"/>
      <c r="BN26" s="26"/>
    </row>
    <row r="27" spans="1:66" ht="15.75" thickBot="1" x14ac:dyDescent="0.3">
      <c r="A27" s="147" t="s">
        <v>470</v>
      </c>
      <c r="B27" s="1839" t="s">
        <v>154</v>
      </c>
      <c r="C27" s="1395" t="s">
        <v>50</v>
      </c>
      <c r="D27" s="1316">
        <f>+D17*D39/100</f>
        <v>20767.194000000003</v>
      </c>
      <c r="E27" s="1125">
        <f>+E17*E39/100</f>
        <v>1769.88</v>
      </c>
      <c r="F27" s="1125">
        <v>1253.8800000000001</v>
      </c>
      <c r="G27" s="7185">
        <f>+G17*G39/100</f>
        <v>1828.876</v>
      </c>
      <c r="H27" s="7185">
        <v>1301.18</v>
      </c>
      <c r="I27" s="719">
        <f>+E27+G27</f>
        <v>3598.7560000000003</v>
      </c>
      <c r="J27" s="62">
        <f>+F27+H27</f>
        <v>2555.0600000000004</v>
      </c>
      <c r="K27" s="4589">
        <f>+K17*K39/100</f>
        <v>1760.0673999999997</v>
      </c>
      <c r="L27" s="4589">
        <v>1563.0362399999999</v>
      </c>
      <c r="M27" s="1126">
        <f>+E27+G27+K27</f>
        <v>5358.8234000000002</v>
      </c>
      <c r="N27" s="84">
        <f>+F27+H27+L27</f>
        <v>4118.0962400000008</v>
      </c>
      <c r="O27" s="4796">
        <f>+O17*O39/100</f>
        <v>1791.5519999999999</v>
      </c>
      <c r="P27" s="4796">
        <v>1619.1736000000001</v>
      </c>
      <c r="Q27" s="719">
        <f>+M27+O27</f>
        <v>7150.3753999999999</v>
      </c>
      <c r="R27" s="62">
        <f>+N27+P27</f>
        <v>5737.2698400000008</v>
      </c>
      <c r="S27" s="4905">
        <f>+S17*S39/100</f>
        <v>1791.5519999999999</v>
      </c>
      <c r="T27" s="4905">
        <v>1306.3400000000001</v>
      </c>
      <c r="U27" s="4879">
        <f>+Q27+S27</f>
        <v>8941.9274000000005</v>
      </c>
      <c r="V27" s="62">
        <f>+R27+T27</f>
        <v>7043.609840000001</v>
      </c>
      <c r="W27" s="5055">
        <f>+W17*W39/100</f>
        <v>1733.7599999999998</v>
      </c>
      <c r="X27" s="5055">
        <v>1289.4839999999999</v>
      </c>
      <c r="Y27" s="762">
        <f>+O27+S27+W27</f>
        <v>5316.8639999999996</v>
      </c>
      <c r="Z27" s="84">
        <f>+P27+T27+X27</f>
        <v>4214.9976000000006</v>
      </c>
      <c r="AA27" s="760">
        <f>+M27+Y27</f>
        <v>10675.687399999999</v>
      </c>
      <c r="AB27" s="760">
        <f>+N27+Z27</f>
        <v>8333.0938400000014</v>
      </c>
      <c r="AC27" s="5350">
        <f>+AC17*AC39/100</f>
        <v>1791.5519999999999</v>
      </c>
      <c r="AD27" s="5350">
        <v>1567</v>
      </c>
      <c r="AE27" s="719">
        <f>+AA27+AC27</f>
        <v>12467.239399999999</v>
      </c>
      <c r="AF27" s="62">
        <f>+AB27+AD27</f>
        <v>9900.0938400000014</v>
      </c>
      <c r="AG27" s="5526">
        <f>+AG17*AG39/100</f>
        <v>1733.7599999999998</v>
      </c>
      <c r="AH27" s="5526">
        <v>1221.3358799999999</v>
      </c>
      <c r="AI27" s="719">
        <f>+AE27+AG27</f>
        <v>14200.999399999999</v>
      </c>
      <c r="AJ27" s="62">
        <f>+AF27+AH27</f>
        <v>11121.429720000002</v>
      </c>
      <c r="AK27" s="5939">
        <f>+AK17*AK39/100</f>
        <v>1791.5519999999999</v>
      </c>
      <c r="AL27" s="5939">
        <v>1562.38264</v>
      </c>
      <c r="AM27" s="762">
        <f>+AC27+AG27+AK27</f>
        <v>5316.8639999999996</v>
      </c>
      <c r="AN27" s="84">
        <f>+AD27+AH27+AL27</f>
        <v>4350.7185199999994</v>
      </c>
      <c r="AO27" s="761">
        <f>AI27+AK27</f>
        <v>15992.551399999998</v>
      </c>
      <c r="AP27" s="761">
        <f>AJ27+AL27</f>
        <v>12683.812360000002</v>
      </c>
      <c r="AQ27" s="6105">
        <f>+AQ17*AQ39/100</f>
        <v>1791.5519999999999</v>
      </c>
      <c r="AR27" s="6105">
        <v>1578.05872</v>
      </c>
      <c r="AS27" s="719">
        <f>+AO27+AQ27</f>
        <v>17784.1034</v>
      </c>
      <c r="AT27" s="62">
        <f>+AP27+AR27</f>
        <v>14261.871080000001</v>
      </c>
      <c r="AU27" s="6225">
        <f>+AU17*AU39/100</f>
        <v>1618.1759999999997</v>
      </c>
      <c r="AV27" s="6225">
        <v>1176.05</v>
      </c>
      <c r="AW27" s="6209">
        <f>+AS27+AU27</f>
        <v>19402.279399999999</v>
      </c>
      <c r="AX27" s="62">
        <f>+AT27+AV27</f>
        <v>15437.92108</v>
      </c>
      <c r="AY27" s="6439">
        <f>+AY17*AY39/100</f>
        <v>1791.5519999999999</v>
      </c>
      <c r="AZ27" s="6439">
        <v>1306.3400000000001</v>
      </c>
      <c r="BA27" s="762">
        <f>+AQ27+AU27+AY27</f>
        <v>5201.28</v>
      </c>
      <c r="BB27" s="84">
        <f>+AR27+AV27+AZ27</f>
        <v>4060.4487200000003</v>
      </c>
      <c r="BC27" s="760">
        <f t="shared" ref="BC27:BC28" si="74">+AM27+BA27</f>
        <v>10518.144</v>
      </c>
      <c r="BD27" s="760">
        <f t="shared" ref="BD27:BD28" si="75">+AN27+BB27</f>
        <v>8411.1672399999989</v>
      </c>
      <c r="BE27" s="719">
        <f>+AW27+AY27</f>
        <v>21193.831399999999</v>
      </c>
      <c r="BF27" s="62">
        <f>+AX27+AZ27</f>
        <v>16744.26108</v>
      </c>
      <c r="BG27" s="1222"/>
      <c r="BH27" s="1222"/>
      <c r="BI27" s="4713"/>
      <c r="BJ27" s="4713"/>
      <c r="BK27" s="26"/>
      <c r="BL27" s="26"/>
      <c r="BM27" s="26"/>
      <c r="BN27" s="26"/>
    </row>
    <row r="28" spans="1:66" ht="15.75" thickBot="1" x14ac:dyDescent="0.3">
      <c r="A28" s="147" t="s">
        <v>470</v>
      </c>
      <c r="B28" s="1840" t="s">
        <v>155</v>
      </c>
      <c r="C28" s="1395" t="s">
        <v>50</v>
      </c>
      <c r="D28" s="1438">
        <f>+D18*D39/100</f>
        <v>39349.948750000003</v>
      </c>
      <c r="E28" s="726">
        <f>+E18*E39/100</f>
        <v>3246.4949999999999</v>
      </c>
      <c r="F28" s="726">
        <v>2297.6287500000003</v>
      </c>
      <c r="G28" s="7184">
        <f>+G18*G39/100</f>
        <v>3354.7115000000003</v>
      </c>
      <c r="H28" s="7184">
        <v>2383.6025000000004</v>
      </c>
      <c r="I28" s="1846">
        <f>+E28+G28</f>
        <v>6601.2065000000002</v>
      </c>
      <c r="J28" s="165">
        <f>+F28+H28</f>
        <v>4681.2312500000007</v>
      </c>
      <c r="K28" s="4588">
        <f>+K18*K39/100</f>
        <v>3180.4608499999995</v>
      </c>
      <c r="L28" s="4588">
        <v>2846.4757049999998</v>
      </c>
      <c r="M28" s="1847">
        <f>+E28+G28+K28</f>
        <v>9781.6673499999997</v>
      </c>
      <c r="N28" s="84">
        <f>+F28+H28+L28</f>
        <v>7527.7069550000006</v>
      </c>
      <c r="O28" s="4795">
        <f>+O18*O39/100</f>
        <v>3219.9929999999995</v>
      </c>
      <c r="P28" s="4795">
        <v>3007.3636680000004</v>
      </c>
      <c r="Q28" s="1846">
        <f>+M28+O28</f>
        <v>13001.660349999998</v>
      </c>
      <c r="R28" s="165">
        <f>+N28+P28</f>
        <v>10535.070623000001</v>
      </c>
      <c r="S28" s="4904">
        <f>+S18*S39/100</f>
        <v>3388.9432500000007</v>
      </c>
      <c r="T28" s="4904">
        <v>2411.9975000000004</v>
      </c>
      <c r="U28" s="4878">
        <f>+Q28+S28</f>
        <v>16390.603599999999</v>
      </c>
      <c r="V28" s="165">
        <f>+R28+T28</f>
        <v>12947.068123000001</v>
      </c>
      <c r="W28" s="5054">
        <f>+W18*W39/100</f>
        <v>3279.6225000000004</v>
      </c>
      <c r="X28" s="5054">
        <v>2372.5442249999996</v>
      </c>
      <c r="Y28" s="762">
        <f>+O28+S28+W28</f>
        <v>9888.5587500000001</v>
      </c>
      <c r="Z28" s="84">
        <f>+P28+T28+X28</f>
        <v>7791.9053930000009</v>
      </c>
      <c r="AA28" s="760">
        <f>+M28+Y28</f>
        <v>19670.2261</v>
      </c>
      <c r="AB28" s="760">
        <f>+N28+Z28</f>
        <v>15319.612348000002</v>
      </c>
      <c r="AC28" s="5349">
        <f>+AC18*AC39/100</f>
        <v>3388.9432500000007</v>
      </c>
      <c r="AD28" s="5349">
        <v>2869</v>
      </c>
      <c r="AE28" s="2620">
        <f>+AA28+AC28</f>
        <v>23059.16935</v>
      </c>
      <c r="AF28" s="165">
        <f>+AB28+AD28</f>
        <v>18188.612348000002</v>
      </c>
      <c r="AG28" s="5525">
        <f>+AG18*AG39/100</f>
        <v>3279.6225000000004</v>
      </c>
      <c r="AH28" s="5525">
        <v>2233.1720999999998</v>
      </c>
      <c r="AI28" s="2667">
        <f>+AE28+AG28</f>
        <v>26338.791850000001</v>
      </c>
      <c r="AJ28" s="165">
        <f>+AF28+AH28</f>
        <v>20421.784448000002</v>
      </c>
      <c r="AK28" s="5938">
        <f>+AK18*AK39/100</f>
        <v>3388.9432500000007</v>
      </c>
      <c r="AL28" s="5938">
        <v>2880.0322850000007</v>
      </c>
      <c r="AM28" s="762">
        <f>+AC28+AG28+AK28</f>
        <v>10057.509000000002</v>
      </c>
      <c r="AN28" s="84">
        <f>+AD28+AH28+AL28</f>
        <v>7982.2043850000009</v>
      </c>
      <c r="AO28" s="761">
        <f>AI28+AK28</f>
        <v>29727.735100000002</v>
      </c>
      <c r="AP28" s="761">
        <f>AJ28+AL28</f>
        <v>23301.816733000003</v>
      </c>
      <c r="AQ28" s="6104">
        <f>+AQ18*AQ39/100</f>
        <v>3388.9432500000007</v>
      </c>
      <c r="AR28" s="6104">
        <v>2908.9289300000005</v>
      </c>
      <c r="AS28" s="2797">
        <f>+AO28+AQ28</f>
        <v>33116.678350000002</v>
      </c>
      <c r="AT28" s="165">
        <f>+AP28+AR28</f>
        <v>26210.745663000005</v>
      </c>
      <c r="AU28" s="6224">
        <f>+AU18*AU39/100</f>
        <v>3060.9810000000002</v>
      </c>
      <c r="AV28" s="6224">
        <v>2173.0062499999999</v>
      </c>
      <c r="AW28" s="6208">
        <f>+AS28+AU28</f>
        <v>36177.659350000002</v>
      </c>
      <c r="AX28" s="165">
        <f>+AT28+AV28</f>
        <v>28383.751913000004</v>
      </c>
      <c r="AY28" s="6438">
        <f>+AY18*AY39/100</f>
        <v>3388.9432500000007</v>
      </c>
      <c r="AZ28" s="6438">
        <v>2411.9975000000004</v>
      </c>
      <c r="BA28" s="762">
        <f>+AQ28+AU28+AY28</f>
        <v>9838.8675000000021</v>
      </c>
      <c r="BB28" s="84">
        <f>+AR28+AV28+AZ28</f>
        <v>7493.9326800000008</v>
      </c>
      <c r="BC28" s="760">
        <f t="shared" si="74"/>
        <v>19896.376500000006</v>
      </c>
      <c r="BD28" s="760">
        <f t="shared" si="75"/>
        <v>15476.137065000003</v>
      </c>
      <c r="BE28" s="3037">
        <f>+AW28+AY28</f>
        <v>39566.602600000006</v>
      </c>
      <c r="BF28" s="165">
        <f>+AX28+AZ28</f>
        <v>30795.749413000005</v>
      </c>
      <c r="BG28" s="1222"/>
      <c r="BH28" s="1222"/>
      <c r="BI28" s="4713"/>
      <c r="BJ28" s="4713"/>
      <c r="BK28" s="26"/>
      <c r="BL28" s="26"/>
      <c r="BM28" s="26"/>
      <c r="BN28" s="26"/>
    </row>
    <row r="29" spans="1:66" ht="15.75" thickBot="1" x14ac:dyDescent="0.3">
      <c r="A29" s="147" t="s">
        <v>470</v>
      </c>
      <c r="B29" s="1393" t="s">
        <v>143</v>
      </c>
      <c r="C29" s="1396" t="s">
        <v>50</v>
      </c>
      <c r="D29" s="1439">
        <f t="shared" ref="D29:J29" si="76">SUM(D27:D28)</f>
        <v>60117.142750000006</v>
      </c>
      <c r="E29" s="198">
        <f t="shared" si="76"/>
        <v>5016.375</v>
      </c>
      <c r="F29" s="198">
        <f t="shared" si="76"/>
        <v>3551.5087500000004</v>
      </c>
      <c r="G29" s="198">
        <f t="shared" ref="G29:H29" si="77">SUM(G27:G28)</f>
        <v>5183.5875000000005</v>
      </c>
      <c r="H29" s="198">
        <f t="shared" si="77"/>
        <v>3684.7825000000003</v>
      </c>
      <c r="I29" s="1131">
        <f t="shared" si="76"/>
        <v>10199.962500000001</v>
      </c>
      <c r="J29" s="1132">
        <f t="shared" si="76"/>
        <v>7236.2912500000011</v>
      </c>
      <c r="K29" s="198">
        <f t="shared" ref="K29:L29" si="78">SUM(K27:K28)</f>
        <v>4940.5282499999994</v>
      </c>
      <c r="L29" s="198">
        <f t="shared" si="78"/>
        <v>4409.5119450000002</v>
      </c>
      <c r="M29" s="767">
        <f t="shared" ref="M29:R29" si="79">SUM(M27:M28)</f>
        <v>15140.490750000001</v>
      </c>
      <c r="N29" s="172">
        <f t="shared" si="79"/>
        <v>11645.803195</v>
      </c>
      <c r="O29" s="198">
        <f t="shared" si="79"/>
        <v>5011.5449999999992</v>
      </c>
      <c r="P29" s="198">
        <f t="shared" si="79"/>
        <v>4626.537268</v>
      </c>
      <c r="Q29" s="1131">
        <f t="shared" si="79"/>
        <v>20152.035749999999</v>
      </c>
      <c r="R29" s="1132">
        <f t="shared" si="79"/>
        <v>16272.340463000002</v>
      </c>
      <c r="S29" s="198">
        <f t="shared" ref="S29:V29" si="80">SUM(S27:S28)</f>
        <v>5180.4952500000009</v>
      </c>
      <c r="T29" s="198">
        <f t="shared" si="80"/>
        <v>3718.3375000000005</v>
      </c>
      <c r="U29" s="1131">
        <f t="shared" si="80"/>
        <v>25332.530999999999</v>
      </c>
      <c r="V29" s="1132">
        <f t="shared" si="80"/>
        <v>19990.677963000002</v>
      </c>
      <c r="W29" s="198">
        <f t="shared" ref="W29:X29" si="81">SUM(W27:W28)</f>
        <v>5013.3824999999997</v>
      </c>
      <c r="X29" s="198">
        <f t="shared" si="81"/>
        <v>3662.0282249999996</v>
      </c>
      <c r="Y29" s="767">
        <f t="shared" ref="Y29:Z29" si="82">SUM(Y27:Y28)</f>
        <v>15205.42275</v>
      </c>
      <c r="Z29" s="172">
        <f t="shared" si="82"/>
        <v>12006.902993000002</v>
      </c>
      <c r="AA29" s="2520">
        <f t="shared" ref="AA29:AF29" si="83">SUM(AA27:AA28)</f>
        <v>30345.913499999999</v>
      </c>
      <c r="AB29" s="473">
        <f t="shared" si="83"/>
        <v>23652.706188000004</v>
      </c>
      <c r="AC29" s="198">
        <f t="shared" si="83"/>
        <v>5180.4952500000009</v>
      </c>
      <c r="AD29" s="198">
        <f t="shared" si="83"/>
        <v>4436</v>
      </c>
      <c r="AE29" s="1131">
        <f t="shared" si="83"/>
        <v>35526.408750000002</v>
      </c>
      <c r="AF29" s="1132">
        <f t="shared" si="83"/>
        <v>28088.706188000004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31">
        <f t="shared" ref="AI29:AN29" si="85">SUM(AI27:AI28)</f>
        <v>40539.791250000002</v>
      </c>
      <c r="AJ29" s="1132">
        <f t="shared" si="85"/>
        <v>31543.214168000006</v>
      </c>
      <c r="AK29" s="198">
        <f t="shared" si="85"/>
        <v>5180.4952500000009</v>
      </c>
      <c r="AL29" s="198">
        <f t="shared" si="85"/>
        <v>4442.4149250000009</v>
      </c>
      <c r="AM29" s="767">
        <f t="shared" si="85"/>
        <v>15374.373000000001</v>
      </c>
      <c r="AN29" s="172">
        <f t="shared" si="85"/>
        <v>12332.922904999999</v>
      </c>
      <c r="AO29" s="1131">
        <f t="shared" ref="AO29:AT29" si="86">SUM(AO27:AO28)</f>
        <v>45720.286500000002</v>
      </c>
      <c r="AP29" s="1132">
        <f t="shared" si="86"/>
        <v>35985.629093000003</v>
      </c>
      <c r="AQ29" s="198">
        <f t="shared" si="86"/>
        <v>5180.4952500000009</v>
      </c>
      <c r="AR29" s="198">
        <f t="shared" si="86"/>
        <v>4486.9876500000009</v>
      </c>
      <c r="AS29" s="1131">
        <f t="shared" si="86"/>
        <v>50900.781750000002</v>
      </c>
      <c r="AT29" s="1132">
        <f t="shared" si="86"/>
        <v>40472.616743000006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31">
        <f t="shared" si="87"/>
        <v>55579.938750000001</v>
      </c>
      <c r="AX29" s="1132">
        <f t="shared" si="87"/>
        <v>43821.672993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7">
        <f t="shared" ref="BA29:BF29" si="89">SUM(BA27:BA28)</f>
        <v>15040.147500000003</v>
      </c>
      <c r="BB29" s="172">
        <f t="shared" si="89"/>
        <v>11554.381400000002</v>
      </c>
      <c r="BC29" s="2520">
        <f t="shared" si="89"/>
        <v>30414.520500000006</v>
      </c>
      <c r="BD29" s="473">
        <f t="shared" si="89"/>
        <v>23887.304305000001</v>
      </c>
      <c r="BE29" s="1131">
        <f t="shared" si="89"/>
        <v>60760.434000000008</v>
      </c>
      <c r="BF29" s="1132">
        <f t="shared" si="89"/>
        <v>47540.010493000009</v>
      </c>
      <c r="BG29" s="1222"/>
      <c r="BH29" s="1222"/>
      <c r="BI29" s="4713"/>
      <c r="BJ29" s="4713"/>
      <c r="BK29" s="26"/>
      <c r="BL29" s="26"/>
      <c r="BM29" s="26"/>
      <c r="BN29" s="26"/>
    </row>
    <row r="30" spans="1:66" ht="15.75" thickBot="1" x14ac:dyDescent="0.3">
      <c r="A30" s="147" t="s">
        <v>470</v>
      </c>
      <c r="B30" s="1839" t="s">
        <v>156</v>
      </c>
      <c r="C30" s="1395" t="s">
        <v>50</v>
      </c>
      <c r="D30" s="1316">
        <f>+D17*D40/100</f>
        <v>5933.4840000000004</v>
      </c>
      <c r="E30" s="1125">
        <f>+E17*E40/100</f>
        <v>505.68</v>
      </c>
      <c r="F30" s="1125">
        <v>501.55199999999996</v>
      </c>
      <c r="G30" s="7185">
        <f>+G17*G40/100</f>
        <v>522.53599999999994</v>
      </c>
      <c r="H30" s="7185">
        <v>520.47199999999998</v>
      </c>
      <c r="I30" s="719">
        <f>+E30+G30</f>
        <v>1028.2159999999999</v>
      </c>
      <c r="J30" s="62">
        <f>+F30+H30</f>
        <v>1022.0239999999999</v>
      </c>
      <c r="K30" s="4589">
        <f>+K17*K40/100</f>
        <v>502.87639999999993</v>
      </c>
      <c r="L30" s="4589">
        <v>502.584</v>
      </c>
      <c r="M30" s="1126">
        <f>+E30+G30+K30</f>
        <v>1531.0923999999998</v>
      </c>
      <c r="N30" s="84">
        <f>+F30+H30+L30</f>
        <v>1524.6079999999999</v>
      </c>
      <c r="O30" s="4796">
        <f>+O17*O40/100</f>
        <v>511.87199999999996</v>
      </c>
      <c r="P30" s="4796">
        <v>518.25386962126584</v>
      </c>
      <c r="Q30" s="719">
        <f>+M30+O30</f>
        <v>2042.9643999999998</v>
      </c>
      <c r="R30" s="62">
        <f>+N30+P30</f>
        <v>2042.8618696212657</v>
      </c>
      <c r="S30" s="4905">
        <f>+S17*S40/100</f>
        <v>511.87199999999996</v>
      </c>
      <c r="T30" s="4905">
        <v>522.53599999999994</v>
      </c>
      <c r="U30" s="4879">
        <f>+Q30+S30</f>
        <v>2554.8363999999997</v>
      </c>
      <c r="V30" s="62">
        <f>+R30+T30</f>
        <v>2565.3978696212657</v>
      </c>
      <c r="W30" s="5055">
        <f>+W17*W40/100</f>
        <v>495.3599999999999</v>
      </c>
      <c r="X30" s="5055">
        <v>505.68</v>
      </c>
      <c r="Y30" s="762">
        <f>+O30+S30+W30</f>
        <v>1519.1039999999998</v>
      </c>
      <c r="Z30" s="84">
        <f>+P30+T30+X30</f>
        <v>1546.4698696212658</v>
      </c>
      <c r="AA30" s="760">
        <f>+M30+Y30</f>
        <v>3050.1963999999998</v>
      </c>
      <c r="AB30" s="760">
        <f>+N30+Z30</f>
        <v>3071.0778696212656</v>
      </c>
      <c r="AC30" s="5350">
        <f>+AC17*AC40/100</f>
        <v>511.87199999999996</v>
      </c>
      <c r="AD30" s="5350">
        <v>523</v>
      </c>
      <c r="AE30" s="719">
        <f>+AA30+AC30</f>
        <v>3562.0683999999997</v>
      </c>
      <c r="AF30" s="62">
        <f>+AB30+AD30</f>
        <v>3594.0778696212656</v>
      </c>
      <c r="AG30" s="5526">
        <f>+AG17*AG40/100</f>
        <v>495.3599999999999</v>
      </c>
      <c r="AH30" s="5526">
        <v>486.58799999999997</v>
      </c>
      <c r="AI30" s="719">
        <f>+AE30+AG30</f>
        <v>4057.4283999999998</v>
      </c>
      <c r="AJ30" s="62">
        <f>+AF30+AH30</f>
        <v>4080.6658696212653</v>
      </c>
      <c r="AK30" s="5939">
        <f>+AK17*AK40/100</f>
        <v>511.87199999999996</v>
      </c>
      <c r="AL30" s="5939">
        <v>522.53599999999994</v>
      </c>
      <c r="AM30" s="762">
        <f>+AC30+AG30+AK30</f>
        <v>1519.1039999999998</v>
      </c>
      <c r="AN30" s="84">
        <f>+AD30+AH30+AL30</f>
        <v>1532.1239999999998</v>
      </c>
      <c r="AO30" s="761">
        <f>AI30+AK30</f>
        <v>4569.3004000000001</v>
      </c>
      <c r="AP30" s="761">
        <f>AJ30+AL30</f>
        <v>4603.2018696212654</v>
      </c>
      <c r="AQ30" s="6105">
        <f>+AQ17*AQ40/100</f>
        <v>511.87199999999996</v>
      </c>
      <c r="AR30" s="6105">
        <v>514.69795999999997</v>
      </c>
      <c r="AS30" s="719">
        <f>+AO30+AQ30</f>
        <v>5081.1724000000004</v>
      </c>
      <c r="AT30" s="62">
        <f>+AP30+AR30</f>
        <v>5117.8998296212649</v>
      </c>
      <c r="AU30" s="6225">
        <f>+AU17*AU40/100</f>
        <v>462.3359999999999</v>
      </c>
      <c r="AV30" s="6225">
        <v>470.42</v>
      </c>
      <c r="AW30" s="6209">
        <f>+AS30+AU30</f>
        <v>5543.5084000000006</v>
      </c>
      <c r="AX30" s="62">
        <f>+AT30+AV30</f>
        <v>5588.3198296212649</v>
      </c>
      <c r="AY30" s="6439">
        <f>+AY17*AY40/100</f>
        <v>511.87199999999996</v>
      </c>
      <c r="AZ30" s="6439">
        <v>522.53599999999994</v>
      </c>
      <c r="BA30" s="762">
        <f>+AQ30+AU30+AY30</f>
        <v>1486.08</v>
      </c>
      <c r="BB30" s="84">
        <f>+AR30+AV30+AZ30</f>
        <v>1507.6539600000001</v>
      </c>
      <c r="BC30" s="760">
        <f t="shared" ref="BC30:BC31" si="90">+AM30+BA30</f>
        <v>3005.1839999999997</v>
      </c>
      <c r="BD30" s="760">
        <f t="shared" ref="BD30:BD31" si="91">+AN30+BB30</f>
        <v>3039.7779599999999</v>
      </c>
      <c r="BE30" s="719">
        <f>+AW30+AY30</f>
        <v>6055.3804000000009</v>
      </c>
      <c r="BF30" s="62">
        <f>+AX30+AZ30</f>
        <v>6110.855829621265</v>
      </c>
      <c r="BG30" s="1222"/>
      <c r="BH30" s="1222"/>
      <c r="BI30" s="4713"/>
      <c r="BJ30" s="4713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1840" t="s">
        <v>157</v>
      </c>
      <c r="C31" s="1395" t="s">
        <v>50</v>
      </c>
      <c r="D31" s="1438">
        <f>+D18*D40/100</f>
        <v>11242.842500000001</v>
      </c>
      <c r="E31" s="726">
        <f>+E18*E40/100</f>
        <v>927.57</v>
      </c>
      <c r="F31" s="726">
        <v>919.05150000000015</v>
      </c>
      <c r="G31" s="7184">
        <f>+G18*G40/100</f>
        <v>958.48900000000003</v>
      </c>
      <c r="H31" s="7184">
        <v>953.44100000000003</v>
      </c>
      <c r="I31" s="719">
        <f>+E31+G31</f>
        <v>1886.0590000000002</v>
      </c>
      <c r="J31" s="165">
        <f>+F31+H31</f>
        <v>1872.4925000000003</v>
      </c>
      <c r="K31" s="4588">
        <f>+K18*K40/100</f>
        <v>908.70309999999995</v>
      </c>
      <c r="L31" s="4588">
        <v>915.26550000000009</v>
      </c>
      <c r="M31" s="1847">
        <f>+E31+G31+K31</f>
        <v>2794.7620999999999</v>
      </c>
      <c r="N31" s="84">
        <f>+F31+H31+L31</f>
        <v>2787.7580000000003</v>
      </c>
      <c r="O31" s="4795">
        <f>+O18*O40/100</f>
        <v>919.99799999999993</v>
      </c>
      <c r="P31" s="4795">
        <v>962.57613037873398</v>
      </c>
      <c r="Q31" s="719">
        <f>+M31+O31</f>
        <v>3714.7601</v>
      </c>
      <c r="R31" s="165">
        <f>+N31+P31</f>
        <v>3750.3341303787342</v>
      </c>
      <c r="S31" s="4904">
        <f>+S18*S40/100</f>
        <v>968.26950000000011</v>
      </c>
      <c r="T31" s="4904">
        <v>964.79900000000009</v>
      </c>
      <c r="U31" s="4879">
        <f>+Q31+S31</f>
        <v>4683.0295999999998</v>
      </c>
      <c r="V31" s="165">
        <f>+R31+T31</f>
        <v>4715.1331303787347</v>
      </c>
      <c r="W31" s="5054">
        <f>+W18*W40/100</f>
        <v>937.0350000000002</v>
      </c>
      <c r="X31" s="5054">
        <v>930.40949999999998</v>
      </c>
      <c r="Y31" s="762">
        <f>+O31+S31+W31</f>
        <v>2825.3025000000002</v>
      </c>
      <c r="Z31" s="84">
        <f>+P31+T31+X31</f>
        <v>2857.7846303787337</v>
      </c>
      <c r="AA31" s="760">
        <f>+M31+Y31</f>
        <v>5620.0645999999997</v>
      </c>
      <c r="AB31" s="760">
        <f>+N31+Z31</f>
        <v>5645.5426303787335</v>
      </c>
      <c r="AC31" s="5349">
        <f>+AC18*AC40/100</f>
        <v>968.26950000000011</v>
      </c>
      <c r="AD31" s="5349">
        <v>956</v>
      </c>
      <c r="AE31" s="719">
        <f>+AA31+AC31</f>
        <v>6588.3341</v>
      </c>
      <c r="AF31" s="165">
        <f>+AB31+AD31</f>
        <v>6601.5426303787335</v>
      </c>
      <c r="AG31" s="5525">
        <f>+AG18*AG40/100</f>
        <v>937.0350000000002</v>
      </c>
      <c r="AH31" s="5525">
        <v>889.71</v>
      </c>
      <c r="AI31" s="719">
        <f>+AE31+AG31</f>
        <v>7525.3690999999999</v>
      </c>
      <c r="AJ31" s="165">
        <f>+AF31+AH31</f>
        <v>7491.2526303787336</v>
      </c>
      <c r="AK31" s="5938">
        <f>+AK18*AK40/100</f>
        <v>968.26950000000011</v>
      </c>
      <c r="AL31" s="5938">
        <v>963.22150000000011</v>
      </c>
      <c r="AM31" s="762">
        <f>+AC31+AG31+AK31</f>
        <v>2873.5740000000005</v>
      </c>
      <c r="AN31" s="84">
        <f>+AD31+AH31+AL31</f>
        <v>2808.9315000000001</v>
      </c>
      <c r="AO31" s="761">
        <f>AI31+AK31</f>
        <v>8493.6386000000002</v>
      </c>
      <c r="AP31" s="761">
        <f>AJ31+AL31</f>
        <v>8454.4741303787341</v>
      </c>
      <c r="AQ31" s="6104">
        <f>+AQ18*AQ40/100</f>
        <v>968.26950000000011</v>
      </c>
      <c r="AR31" s="6104">
        <v>948.77317749999997</v>
      </c>
      <c r="AS31" s="719">
        <f>+AO31+AQ31</f>
        <v>9461.9081000000006</v>
      </c>
      <c r="AT31" s="165">
        <f>+AP31+AR31</f>
        <v>9403.2473078787334</v>
      </c>
      <c r="AU31" s="6224">
        <f>+AU18*AU40/100</f>
        <v>874.56600000000003</v>
      </c>
      <c r="AV31" s="6224">
        <v>869.20249999999999</v>
      </c>
      <c r="AW31" s="6209">
        <f>+AS31+AU31</f>
        <v>10336.474100000001</v>
      </c>
      <c r="AX31" s="165">
        <f>+AT31+AV31</f>
        <v>10272.449807878733</v>
      </c>
      <c r="AY31" s="6438">
        <f>+AY18*AY40/100</f>
        <v>968.26950000000011</v>
      </c>
      <c r="AZ31" s="6438">
        <v>964.79900000000009</v>
      </c>
      <c r="BA31" s="762">
        <f>+AQ31+AU31+AY31</f>
        <v>2811.1050000000005</v>
      </c>
      <c r="BB31" s="84">
        <f>+AR31+AV31+AZ31</f>
        <v>2782.7746775000001</v>
      </c>
      <c r="BC31" s="760">
        <f t="shared" si="90"/>
        <v>5684.679000000001</v>
      </c>
      <c r="BD31" s="760">
        <f t="shared" si="91"/>
        <v>5591.7061775000002</v>
      </c>
      <c r="BE31" s="719">
        <f>+AW31+AY31</f>
        <v>11304.743600000002</v>
      </c>
      <c r="BF31" s="165">
        <f>+AX31+AZ31</f>
        <v>11237.248807878734</v>
      </c>
      <c r="BG31" s="1222"/>
      <c r="BH31" s="1222"/>
      <c r="BI31" s="4713"/>
      <c r="BJ31" s="4713"/>
      <c r="BK31" s="26"/>
      <c r="BL31" s="26"/>
      <c r="BM31" s="26"/>
      <c r="BN31" s="26"/>
    </row>
    <row r="32" spans="1:66" ht="15.75" thickBot="1" x14ac:dyDescent="0.3">
      <c r="A32" s="147" t="s">
        <v>470</v>
      </c>
      <c r="B32" s="1393" t="s">
        <v>144</v>
      </c>
      <c r="C32" s="1396" t="s">
        <v>50</v>
      </c>
      <c r="D32" s="1439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31">
        <f t="shared" si="92"/>
        <v>2914.2750000000001</v>
      </c>
      <c r="J32" s="1132">
        <f t="shared" si="92"/>
        <v>2894.5165000000002</v>
      </c>
      <c r="K32" s="198">
        <f t="shared" ref="K32:L32" si="94">SUM(K30:K31)</f>
        <v>1411.5794999999998</v>
      </c>
      <c r="L32" s="198">
        <f t="shared" si="94"/>
        <v>1417.8495</v>
      </c>
      <c r="M32" s="767">
        <f t="shared" ref="M32:R32" si="95">SUM(M30:M31)</f>
        <v>4325.8544999999995</v>
      </c>
      <c r="N32" s="172">
        <f t="shared" si="95"/>
        <v>4312.366</v>
      </c>
      <c r="O32" s="198">
        <f t="shared" si="95"/>
        <v>1431.87</v>
      </c>
      <c r="P32" s="198">
        <f t="shared" si="95"/>
        <v>1480.83</v>
      </c>
      <c r="Q32" s="1131">
        <f t="shared" si="95"/>
        <v>5757.7245000000003</v>
      </c>
      <c r="R32" s="1132">
        <f t="shared" si="95"/>
        <v>5793.1959999999999</v>
      </c>
      <c r="S32" s="198">
        <f t="shared" ref="S32:V32" si="96">SUM(S30:S31)</f>
        <v>1480.1415000000002</v>
      </c>
      <c r="T32" s="198">
        <f t="shared" si="96"/>
        <v>1487.335</v>
      </c>
      <c r="U32" s="1131">
        <f t="shared" si="96"/>
        <v>7237.866</v>
      </c>
      <c r="V32" s="1132">
        <f t="shared" si="96"/>
        <v>7280.5310000000009</v>
      </c>
      <c r="W32" s="198">
        <f t="shared" ref="W32:X32" si="97">SUM(W30:W31)</f>
        <v>1432.395</v>
      </c>
      <c r="X32" s="198">
        <f t="shared" si="97"/>
        <v>1436.0895</v>
      </c>
      <c r="Y32" s="767">
        <f t="shared" ref="Y32:Z32" si="98">SUM(Y30:Y31)</f>
        <v>4344.4065000000001</v>
      </c>
      <c r="Z32" s="172">
        <f t="shared" si="98"/>
        <v>4404.2544999999991</v>
      </c>
      <c r="AA32" s="2520">
        <f t="shared" ref="AA32:AF32" si="99">SUM(AA30:AA31)</f>
        <v>8670.2609999999986</v>
      </c>
      <c r="AB32" s="473">
        <f t="shared" si="99"/>
        <v>8716.6204999999991</v>
      </c>
      <c r="AC32" s="198">
        <f t="shared" si="99"/>
        <v>1480.1415000000002</v>
      </c>
      <c r="AD32" s="198">
        <f t="shared" si="99"/>
        <v>1479</v>
      </c>
      <c r="AE32" s="1131">
        <f t="shared" si="99"/>
        <v>10150.4025</v>
      </c>
      <c r="AF32" s="1132">
        <f t="shared" si="99"/>
        <v>10195.620499999999</v>
      </c>
      <c r="AG32" s="198">
        <f t="shared" ref="AG32:AH32" si="100">SUM(AG30:AG31)</f>
        <v>1432.395</v>
      </c>
      <c r="AH32" s="198">
        <f t="shared" si="100"/>
        <v>1376.298</v>
      </c>
      <c r="AI32" s="1131">
        <f t="shared" ref="AI32:AN32" si="101">SUM(AI30:AI31)</f>
        <v>11582.797500000001</v>
      </c>
      <c r="AJ32" s="1132">
        <f t="shared" si="101"/>
        <v>11571.9185</v>
      </c>
      <c r="AK32" s="198">
        <f t="shared" si="101"/>
        <v>1480.1415000000002</v>
      </c>
      <c r="AL32" s="198">
        <f t="shared" si="101"/>
        <v>1485.7575000000002</v>
      </c>
      <c r="AM32" s="767">
        <f t="shared" si="101"/>
        <v>4392.6779999999999</v>
      </c>
      <c r="AN32" s="172">
        <f t="shared" si="101"/>
        <v>4341.0555000000004</v>
      </c>
      <c r="AO32" s="1131">
        <f t="shared" ref="AO32:AT32" si="102">SUM(AO30:AO31)</f>
        <v>13062.939</v>
      </c>
      <c r="AP32" s="1132">
        <f t="shared" si="102"/>
        <v>13057.675999999999</v>
      </c>
      <c r="AQ32" s="198">
        <f t="shared" si="102"/>
        <v>1480.1415000000002</v>
      </c>
      <c r="AR32" s="198">
        <f t="shared" si="102"/>
        <v>1463.4711374999999</v>
      </c>
      <c r="AS32" s="1131">
        <f t="shared" si="102"/>
        <v>14543.0805</v>
      </c>
      <c r="AT32" s="1132">
        <f t="shared" si="102"/>
        <v>14521.147137499998</v>
      </c>
      <c r="AU32" s="198">
        <f t="shared" ref="AU32:AX32" si="103">SUM(AU30:AU31)</f>
        <v>1336.902</v>
      </c>
      <c r="AV32" s="198">
        <f t="shared" si="103"/>
        <v>1339.6224999999999</v>
      </c>
      <c r="AW32" s="1131">
        <f t="shared" si="103"/>
        <v>15879.982500000002</v>
      </c>
      <c r="AX32" s="1132">
        <f t="shared" si="103"/>
        <v>15860.769637499998</v>
      </c>
      <c r="AY32" s="198">
        <f t="shared" ref="AY32:AZ32" si="104">SUM(AY30:AY31)</f>
        <v>1480.1415000000002</v>
      </c>
      <c r="AZ32" s="198">
        <f t="shared" si="104"/>
        <v>1487.335</v>
      </c>
      <c r="BA32" s="767">
        <f t="shared" ref="BA32:BF32" si="105">SUM(BA30:BA31)</f>
        <v>4297.1850000000004</v>
      </c>
      <c r="BB32" s="172">
        <f t="shared" si="105"/>
        <v>4290.4286375000001</v>
      </c>
      <c r="BC32" s="2520">
        <f t="shared" si="105"/>
        <v>8689.8630000000012</v>
      </c>
      <c r="BD32" s="473">
        <f t="shared" si="105"/>
        <v>8631.4841374999996</v>
      </c>
      <c r="BE32" s="1131">
        <f t="shared" si="105"/>
        <v>17360.124000000003</v>
      </c>
      <c r="BF32" s="1132">
        <f t="shared" si="105"/>
        <v>17348.104637500001</v>
      </c>
      <c r="BG32" s="1222"/>
      <c r="BH32" s="1222"/>
      <c r="BI32" s="4713"/>
      <c r="BJ32" s="4713"/>
      <c r="BK32" s="26"/>
      <c r="BL32" s="26"/>
      <c r="BM32" s="26"/>
      <c r="BN32" s="26"/>
    </row>
    <row r="33" spans="1:66" ht="15.75" thickBot="1" x14ac:dyDescent="0.3">
      <c r="A33" s="180" t="s">
        <v>470</v>
      </c>
      <c r="B33" s="1839" t="s">
        <v>158</v>
      </c>
      <c r="C33" s="1395" t="s">
        <v>50</v>
      </c>
      <c r="D33" s="1440">
        <f t="shared" ref="D33:F34" si="106">+D21+D24+D27+D30</f>
        <v>450944.78400000004</v>
      </c>
      <c r="E33" s="1128">
        <f t="shared" si="106"/>
        <v>38431.679999999993</v>
      </c>
      <c r="F33" s="1128">
        <f t="shared" si="106"/>
        <v>37867.175999999999</v>
      </c>
      <c r="G33" s="1128">
        <f t="shared" ref="G33:H33" si="107">+G21+G24+G27+G30</f>
        <v>39712.73599999999</v>
      </c>
      <c r="H33" s="1128">
        <f t="shared" si="107"/>
        <v>39295.635999999999</v>
      </c>
      <c r="I33" s="761">
        <f>+E33+G33</f>
        <v>78144.415999999983</v>
      </c>
      <c r="J33" s="62">
        <f>+F33+H33</f>
        <v>77162.812000000005</v>
      </c>
      <c r="K33" s="1128">
        <f t="shared" ref="K33:L33" si="108">+K21+K24+K27+K30</f>
        <v>38218.60639999999</v>
      </c>
      <c r="L33" s="1128">
        <f t="shared" si="108"/>
        <v>37945.092000000011</v>
      </c>
      <c r="M33" s="714">
        <f>+E33+G33+K33</f>
        <v>116363.02239999997</v>
      </c>
      <c r="N33" s="73">
        <f>+F33+H33+L33</f>
        <v>115107.90400000001</v>
      </c>
      <c r="O33" s="1128">
        <f t="shared" ref="O33:P33" si="109">+O21+O24+O27+O30</f>
        <v>38902.272000000004</v>
      </c>
      <c r="P33" s="1128">
        <f t="shared" si="109"/>
        <v>39282.649999999994</v>
      </c>
      <c r="Q33" s="761">
        <f>+M33+O33</f>
        <v>155265.29439999998</v>
      </c>
      <c r="R33" s="62">
        <f>+N33+P33</f>
        <v>154390.554</v>
      </c>
      <c r="S33" s="1128">
        <f t="shared" ref="S33:T33" si="110">+S21+S24+S27+S30</f>
        <v>38902.272000000004</v>
      </c>
      <c r="T33" s="1128">
        <f t="shared" si="110"/>
        <v>39451.468000000001</v>
      </c>
      <c r="U33" s="761">
        <f>+Q33+S33</f>
        <v>194167.56639999998</v>
      </c>
      <c r="V33" s="62">
        <f>+R33+T33</f>
        <v>193842.022</v>
      </c>
      <c r="W33" s="1128">
        <f t="shared" ref="W33:X33" si="111">+W21+W24+W27+W30</f>
        <v>37647.360000000001</v>
      </c>
      <c r="X33" s="1128">
        <f t="shared" si="111"/>
        <v>38178.839999999989</v>
      </c>
      <c r="Y33" s="762">
        <f>+O33+S33+W33</f>
        <v>115451.90400000001</v>
      </c>
      <c r="Z33" s="84">
        <f>+P33+T33+X33</f>
        <v>116912.95799999998</v>
      </c>
      <c r="AA33" s="760">
        <f>+M33+Y33</f>
        <v>231814.9264</v>
      </c>
      <c r="AB33" s="760">
        <f>+N33+Z33</f>
        <v>232020.86199999999</v>
      </c>
      <c r="AC33" s="1128">
        <f t="shared" ref="AC33:AD33" si="112">+AC21+AC24+AC27+AC30</f>
        <v>38902.272000000004</v>
      </c>
      <c r="AD33" s="1128">
        <f t="shared" si="112"/>
        <v>39452</v>
      </c>
      <c r="AE33" s="761">
        <f>+AA33+AC33</f>
        <v>270717.19839999999</v>
      </c>
      <c r="AF33" s="62">
        <f>+AB33+AD33</f>
        <v>271472.86199999996</v>
      </c>
      <c r="AG33" s="1128">
        <f t="shared" ref="AG33:AH33" si="113">+AG21+AG24+AG27+AG30</f>
        <v>37647.360000000001</v>
      </c>
      <c r="AH33" s="1128">
        <f t="shared" si="113"/>
        <v>36737.394</v>
      </c>
      <c r="AI33" s="761">
        <f>+AE33+AG33</f>
        <v>308364.55839999998</v>
      </c>
      <c r="AJ33" s="62">
        <f>+AF33+AH33</f>
        <v>308210.25599999994</v>
      </c>
      <c r="AK33" s="1128">
        <f t="shared" ref="AK33:AL33" si="114">+AK21+AK24+AK27+AK30</f>
        <v>38902.272000000004</v>
      </c>
      <c r="AL33" s="1128">
        <f t="shared" si="114"/>
        <v>39451.468000000001</v>
      </c>
      <c r="AM33" s="762">
        <f>+AC33+AG33+AK33</f>
        <v>115451.90400000001</v>
      </c>
      <c r="AN33" s="84">
        <f>+AD33+AH33+AL33</f>
        <v>115640.86199999999</v>
      </c>
      <c r="AO33" s="761">
        <f>AI33+AK33</f>
        <v>347266.83039999998</v>
      </c>
      <c r="AP33" s="761">
        <f>AJ33+AL33</f>
        <v>347661.72399999993</v>
      </c>
      <c r="AQ33" s="1128">
        <f t="shared" ref="AQ33:AR33" si="115">+AQ21+AQ24+AQ27+AQ30</f>
        <v>38902.272000000004</v>
      </c>
      <c r="AR33" s="1128">
        <f t="shared" si="115"/>
        <v>39451.467999999986</v>
      </c>
      <c r="AS33" s="761">
        <f>+AO33+AQ33</f>
        <v>386169.10239999997</v>
      </c>
      <c r="AT33" s="62">
        <f>+AP33+AR33</f>
        <v>387113.19199999992</v>
      </c>
      <c r="AU33" s="1128">
        <f t="shared" ref="AU33:AV33" si="116">+AU21+AU24+AU27+AU30</f>
        <v>35137.536</v>
      </c>
      <c r="AV33" s="1128">
        <f t="shared" si="116"/>
        <v>35516.709999999985</v>
      </c>
      <c r="AW33" s="761">
        <f>+AS33+AU33</f>
        <v>421306.6384</v>
      </c>
      <c r="AX33" s="62">
        <f>+AT33+AV33</f>
        <v>422629.90199999989</v>
      </c>
      <c r="AY33" s="1128">
        <f t="shared" ref="AY33:AZ33" si="117">+AY21+AY24+AY27+AY30</f>
        <v>38902.272000000004</v>
      </c>
      <c r="AZ33" s="1128">
        <f t="shared" si="117"/>
        <v>39451.468000000001</v>
      </c>
      <c r="BA33" s="762">
        <f>+AQ33+AU33+AY33</f>
        <v>112942.08000000002</v>
      </c>
      <c r="BB33" s="84">
        <f>+AR33+AV33+AZ33</f>
        <v>114419.64599999998</v>
      </c>
      <c r="BC33" s="760">
        <f t="shared" ref="BC33:BC34" si="118">+AM33+BA33</f>
        <v>228393.98400000003</v>
      </c>
      <c r="BD33" s="760">
        <f t="shared" ref="BD33:BD34" si="119">+AN33+BB33</f>
        <v>230060.50799999997</v>
      </c>
      <c r="BE33" s="761">
        <f>+AW33+AY33</f>
        <v>460208.91039999999</v>
      </c>
      <c r="BF33" s="62">
        <f>+AX33+AZ33</f>
        <v>462081.36999999988</v>
      </c>
      <c r="BG33" s="1222"/>
      <c r="BH33" s="1222"/>
      <c r="BI33" s="4713"/>
      <c r="BJ33" s="4713"/>
      <c r="BK33" s="26"/>
      <c r="BL33" s="26"/>
      <c r="BM33" s="26"/>
      <c r="BN33" s="26"/>
    </row>
    <row r="34" spans="1:66" ht="15.75" thickBot="1" x14ac:dyDescent="0.3">
      <c r="A34" s="180" t="s">
        <v>470</v>
      </c>
      <c r="B34" s="1840" t="s">
        <v>159</v>
      </c>
      <c r="C34" s="1395" t="s">
        <v>50</v>
      </c>
      <c r="D34" s="1316">
        <f t="shared" si="106"/>
        <v>854456.03</v>
      </c>
      <c r="E34" s="1125">
        <f t="shared" si="106"/>
        <v>70495.320000000007</v>
      </c>
      <c r="F34" s="1125">
        <f t="shared" si="106"/>
        <v>69388.388250000004</v>
      </c>
      <c r="G34" s="7185">
        <f t="shared" ref="G34:H34" si="120">+G22+G25+G28+G31</f>
        <v>72845.164000000019</v>
      </c>
      <c r="H34" s="7185">
        <f t="shared" si="120"/>
        <v>71984.795500000007</v>
      </c>
      <c r="I34" s="766">
        <f>+E34+G34</f>
        <v>143340.48400000003</v>
      </c>
      <c r="J34" s="165">
        <f>+F34+H34</f>
        <v>141373.18375000003</v>
      </c>
      <c r="K34" s="4589">
        <f t="shared" ref="K34:L34" si="121">+K22+K25+K28+K31</f>
        <v>69061.435599999997</v>
      </c>
      <c r="L34" s="4589">
        <f t="shared" si="121"/>
        <v>69102.545249999996</v>
      </c>
      <c r="M34" s="1126">
        <f>+E34+G34+K34</f>
        <v>212401.91960000002</v>
      </c>
      <c r="N34" s="84">
        <f>+F34+H34+L34</f>
        <v>210475.72900000002</v>
      </c>
      <c r="O34" s="4796">
        <f t="shared" ref="O34:P34" si="122">+O22+O25+O28+O31</f>
        <v>69919.847999999998</v>
      </c>
      <c r="P34" s="4796">
        <f t="shared" si="122"/>
        <v>72961.42574999998</v>
      </c>
      <c r="Q34" s="766">
        <f>+M34+O34</f>
        <v>282321.76760000002</v>
      </c>
      <c r="R34" s="165">
        <f>+N34+P34</f>
        <v>283437.15474999999</v>
      </c>
      <c r="S34" s="4905">
        <f t="shared" ref="S34:T34" si="123">+S22+S25+S28+S31</f>
        <v>73588.482000000004</v>
      </c>
      <c r="T34" s="4905">
        <f t="shared" si="123"/>
        <v>72842.324500000002</v>
      </c>
      <c r="U34" s="766">
        <f>+Q34+S34</f>
        <v>355910.24960000004</v>
      </c>
      <c r="V34" s="165">
        <f>+R34+T34</f>
        <v>356279.47924999997</v>
      </c>
      <c r="W34" s="5055">
        <f t="shared" ref="W34:X34" si="124">+W22+W25+W28+W31</f>
        <v>71214.660000000018</v>
      </c>
      <c r="X34" s="5055">
        <f t="shared" si="124"/>
        <v>70245.917249999999</v>
      </c>
      <c r="Y34" s="762">
        <f>+O34+S34+W34</f>
        <v>214722.99000000005</v>
      </c>
      <c r="Z34" s="84">
        <f>+P34+T34+X34</f>
        <v>216049.66749999998</v>
      </c>
      <c r="AA34" s="760">
        <f>+M34+Y34</f>
        <v>427124.90960000007</v>
      </c>
      <c r="AB34" s="760">
        <f>+N34+Z34</f>
        <v>426525.39650000003</v>
      </c>
      <c r="AC34" s="5350">
        <f t="shared" ref="AC34:AD34" si="125">+AC22+AC25+AC28+AC31</f>
        <v>73588.482000000004</v>
      </c>
      <c r="AD34" s="5350">
        <f t="shared" si="125"/>
        <v>72199</v>
      </c>
      <c r="AE34" s="766">
        <f>+AA34+AC34</f>
        <v>500713.39160000009</v>
      </c>
      <c r="AF34" s="165">
        <f>+AB34+AD34</f>
        <v>498724.39650000003</v>
      </c>
      <c r="AG34" s="5526">
        <f t="shared" ref="AG34:AH34" si="126">+AG22+AG25+AG28+AG31</f>
        <v>71214.660000000018</v>
      </c>
      <c r="AH34" s="5526">
        <f t="shared" si="126"/>
        <v>67173.10500000001</v>
      </c>
      <c r="AI34" s="766">
        <f>+AE34+AG34</f>
        <v>571928.05160000012</v>
      </c>
      <c r="AJ34" s="165">
        <f>+AF34+AH34</f>
        <v>565897.50150000001</v>
      </c>
      <c r="AK34" s="5939">
        <f t="shared" ref="AK34:AL34" si="127">+AK22+AK25+AK28+AK31</f>
        <v>73588.482000000004</v>
      </c>
      <c r="AL34" s="5939">
        <f t="shared" si="127"/>
        <v>72723.22325000001</v>
      </c>
      <c r="AM34" s="762">
        <f>+AC34+AG34+AK34</f>
        <v>218391.62400000001</v>
      </c>
      <c r="AN34" s="84">
        <f>+AD34+AH34+AL34</f>
        <v>212095.32825000002</v>
      </c>
      <c r="AO34" s="761">
        <f>AI34+AK34</f>
        <v>645516.53360000008</v>
      </c>
      <c r="AP34" s="761">
        <f>AJ34+AL34</f>
        <v>638620.72475000005</v>
      </c>
      <c r="AQ34" s="6105">
        <f t="shared" ref="AQ34:AR34" si="128">+AQ22+AQ25+AQ28+AQ31</f>
        <v>73588.482000000004</v>
      </c>
      <c r="AR34" s="6105">
        <f t="shared" si="128"/>
        <v>72723.223249999981</v>
      </c>
      <c r="AS34" s="766">
        <f>+AO34+AQ34</f>
        <v>719105.01560000004</v>
      </c>
      <c r="AT34" s="165">
        <f>+AP34+AR34</f>
        <v>711343.94800000009</v>
      </c>
      <c r="AU34" s="6225">
        <f t="shared" ref="AU34:AV34" si="129">+AU22+AU25+AU28+AU31</f>
        <v>66467.016000000018</v>
      </c>
      <c r="AV34" s="6225">
        <f t="shared" si="129"/>
        <v>65624.788749999978</v>
      </c>
      <c r="AW34" s="766">
        <f>+AS34+AU34</f>
        <v>785572.0316000001</v>
      </c>
      <c r="AX34" s="165">
        <f>+AT34+AV34</f>
        <v>776968.73675000004</v>
      </c>
      <c r="AY34" s="6439">
        <f t="shared" ref="AY34:AZ34" si="130">+AY22+AY25+AY28+AY31</f>
        <v>73588.482000000004</v>
      </c>
      <c r="AZ34" s="6439">
        <f t="shared" si="130"/>
        <v>72842.324500000002</v>
      </c>
      <c r="BA34" s="762">
        <f>+AQ34+AU34+AY34</f>
        <v>213643.98000000004</v>
      </c>
      <c r="BB34" s="84">
        <f>+AR34+AV34+AZ34</f>
        <v>211190.33649999998</v>
      </c>
      <c r="BC34" s="760">
        <f t="shared" si="118"/>
        <v>432035.60400000005</v>
      </c>
      <c r="BD34" s="760">
        <f t="shared" si="119"/>
        <v>423285.66475</v>
      </c>
      <c r="BE34" s="766">
        <f>+AW34+AY34</f>
        <v>859160.51360000006</v>
      </c>
      <c r="BF34" s="165">
        <f>+AX34+AZ34</f>
        <v>849811.06125000003</v>
      </c>
      <c r="BG34" s="1222"/>
      <c r="BH34" s="1222"/>
      <c r="BI34" s="4713"/>
      <c r="BJ34" s="4713"/>
      <c r="BK34" s="26"/>
      <c r="BL34" s="26"/>
      <c r="BM34" s="26"/>
      <c r="BN34" s="26"/>
    </row>
    <row r="35" spans="1:66" ht="15.75" thickBot="1" x14ac:dyDescent="0.3">
      <c r="A35" s="180" t="s">
        <v>470</v>
      </c>
      <c r="B35" s="1393" t="s">
        <v>145</v>
      </c>
      <c r="C35" s="1845" t="s">
        <v>50</v>
      </c>
      <c r="D35" s="1439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6">
        <f t="shared" si="131"/>
        <v>221484.90000000002</v>
      </c>
      <c r="J35" s="1132">
        <f t="shared" si="131"/>
        <v>218535.99575000003</v>
      </c>
      <c r="K35" s="198">
        <f t="shared" ref="K35:L35" si="133">SUM(K33:K34)</f>
        <v>107280.04199999999</v>
      </c>
      <c r="L35" s="198">
        <f t="shared" si="133"/>
        <v>107047.63725</v>
      </c>
      <c r="M35" s="767">
        <f t="shared" ref="M35:R35" si="134">SUM(M33:M34)</f>
        <v>328764.94199999998</v>
      </c>
      <c r="N35" s="172">
        <f t="shared" si="134"/>
        <v>325583.63300000003</v>
      </c>
      <c r="O35" s="198">
        <f t="shared" si="134"/>
        <v>108822.12</v>
      </c>
      <c r="P35" s="198">
        <f t="shared" si="134"/>
        <v>112244.07574999997</v>
      </c>
      <c r="Q35" s="746">
        <f t="shared" si="134"/>
        <v>437587.06200000003</v>
      </c>
      <c r="R35" s="1132">
        <f t="shared" si="134"/>
        <v>437827.70874999999</v>
      </c>
      <c r="S35" s="198">
        <f t="shared" ref="S35:V35" si="135">SUM(S33:S34)</f>
        <v>112490.75400000002</v>
      </c>
      <c r="T35" s="198">
        <f t="shared" si="135"/>
        <v>112293.79250000001</v>
      </c>
      <c r="U35" s="746">
        <f t="shared" si="135"/>
        <v>550077.81599999999</v>
      </c>
      <c r="V35" s="1132">
        <f t="shared" si="135"/>
        <v>550121.50124999997</v>
      </c>
      <c r="W35" s="198">
        <f t="shared" ref="W35:X35" si="136">SUM(W33:W34)</f>
        <v>108862.02000000002</v>
      </c>
      <c r="X35" s="198">
        <f t="shared" si="136"/>
        <v>108424.75725</v>
      </c>
      <c r="Y35" s="749">
        <f t="shared" ref="Y35:Z35" si="137">SUM(Y33:Y34)</f>
        <v>330174.89400000009</v>
      </c>
      <c r="Z35" s="172">
        <f t="shared" si="137"/>
        <v>332962.62549999997</v>
      </c>
      <c r="AA35" s="2518">
        <f t="shared" ref="AA35:AF35" si="138">SUM(AA33:AA34)</f>
        <v>658939.83600000013</v>
      </c>
      <c r="AB35" s="473">
        <f t="shared" si="138"/>
        <v>658546.2585</v>
      </c>
      <c r="AC35" s="198">
        <f t="shared" si="138"/>
        <v>112490.75400000002</v>
      </c>
      <c r="AD35" s="198">
        <f t="shared" si="138"/>
        <v>111651</v>
      </c>
      <c r="AE35" s="746">
        <f t="shared" si="138"/>
        <v>771430.59000000008</v>
      </c>
      <c r="AF35" s="1132">
        <f t="shared" si="138"/>
        <v>770197.2585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6">
        <f t="shared" ref="AI35:AN35" si="140">SUM(AI33:AI34)</f>
        <v>880292.6100000001</v>
      </c>
      <c r="AJ35" s="1132">
        <f t="shared" si="140"/>
        <v>874107.75749999995</v>
      </c>
      <c r="AK35" s="198">
        <f t="shared" si="140"/>
        <v>112490.75400000002</v>
      </c>
      <c r="AL35" s="198">
        <f t="shared" si="140"/>
        <v>112174.69125</v>
      </c>
      <c r="AM35" s="749">
        <f t="shared" si="140"/>
        <v>333843.52800000005</v>
      </c>
      <c r="AN35" s="172">
        <f t="shared" si="140"/>
        <v>327736.19024999999</v>
      </c>
      <c r="AO35" s="746">
        <f t="shared" ref="AO35:AT35" si="141">SUM(AO33:AO34)</f>
        <v>992783.36400000006</v>
      </c>
      <c r="AP35" s="1132">
        <f t="shared" si="141"/>
        <v>986282.44874999998</v>
      </c>
      <c r="AQ35" s="198">
        <f t="shared" si="141"/>
        <v>112490.75400000002</v>
      </c>
      <c r="AR35" s="198">
        <f t="shared" si="141"/>
        <v>112174.69124999997</v>
      </c>
      <c r="AS35" s="746">
        <f t="shared" si="141"/>
        <v>1105274.118</v>
      </c>
      <c r="AT35" s="1132">
        <f t="shared" si="141"/>
        <v>1098457.1400000001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6">
        <f t="shared" si="142"/>
        <v>1206878.6700000002</v>
      </c>
      <c r="AX35" s="1132">
        <f t="shared" si="142"/>
        <v>1199598.6387499999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9">
        <f t="shared" ref="BA35:BF35" si="144">SUM(BA33:BA34)</f>
        <v>326586.06000000006</v>
      </c>
      <c r="BB35" s="172">
        <f t="shared" si="144"/>
        <v>325609.98249999993</v>
      </c>
      <c r="BC35" s="2518">
        <f t="shared" si="144"/>
        <v>660429.58800000011</v>
      </c>
      <c r="BD35" s="473">
        <f t="shared" si="144"/>
        <v>653346.17274999991</v>
      </c>
      <c r="BE35" s="746">
        <f t="shared" si="144"/>
        <v>1319369.4240000001</v>
      </c>
      <c r="BF35" s="1132">
        <f t="shared" si="144"/>
        <v>1311892.4312499999</v>
      </c>
      <c r="BG35" s="1222"/>
      <c r="BH35" s="1222"/>
      <c r="BI35" s="4713"/>
      <c r="BJ35" s="4713"/>
      <c r="BK35" s="26"/>
      <c r="BL35" s="26"/>
      <c r="BM35" s="26"/>
      <c r="BN35" s="26"/>
    </row>
    <row r="36" spans="1:66" ht="16.5" thickBot="1" x14ac:dyDescent="0.3">
      <c r="A36" s="148" t="s">
        <v>470</v>
      </c>
      <c r="B36" s="1417" t="s">
        <v>426</v>
      </c>
      <c r="C36" s="1856"/>
      <c r="D36" s="1858"/>
      <c r="E36" s="1859"/>
      <c r="F36" s="1860"/>
      <c r="G36" s="1859"/>
      <c r="H36" s="1860"/>
      <c r="I36" s="1858"/>
      <c r="J36" s="1858"/>
      <c r="K36" s="1859"/>
      <c r="L36" s="1860"/>
      <c r="M36" s="1859"/>
      <c r="N36" s="1860"/>
      <c r="O36" s="1859"/>
      <c r="P36" s="1860"/>
      <c r="Q36" s="1858"/>
      <c r="R36" s="1858"/>
      <c r="S36" s="1859"/>
      <c r="T36" s="1860"/>
      <c r="U36" s="1858"/>
      <c r="V36" s="1858"/>
      <c r="W36" s="1859"/>
      <c r="X36" s="1860"/>
      <c r="Y36" s="490"/>
      <c r="Z36" s="490"/>
      <c r="AA36" s="2519"/>
      <c r="AB36" s="490"/>
      <c r="AC36" s="1859"/>
      <c r="AD36" s="1860"/>
      <c r="AE36" s="1858"/>
      <c r="AF36" s="1858"/>
      <c r="AG36" s="1859"/>
      <c r="AH36" s="1860"/>
      <c r="AI36" s="1858"/>
      <c r="AJ36" s="1858"/>
      <c r="AK36" s="1859"/>
      <c r="AL36" s="1860"/>
      <c r="AM36" s="490"/>
      <c r="AN36" s="490"/>
      <c r="AO36" s="1858"/>
      <c r="AP36" s="1858"/>
      <c r="AQ36" s="1859"/>
      <c r="AR36" s="1860"/>
      <c r="AS36" s="1858"/>
      <c r="AT36" s="1858"/>
      <c r="AU36" s="1859"/>
      <c r="AV36" s="1860"/>
      <c r="AW36" s="1858"/>
      <c r="AX36" s="1858"/>
      <c r="AY36" s="1859"/>
      <c r="AZ36" s="1860"/>
      <c r="BA36" s="490"/>
      <c r="BB36" s="490"/>
      <c r="BC36" s="2519"/>
      <c r="BD36" s="490"/>
      <c r="BE36" s="1858"/>
      <c r="BF36" s="1858"/>
      <c r="BG36" s="1222"/>
      <c r="BH36" s="1222"/>
      <c r="BI36" s="4713"/>
      <c r="BJ36" s="4713"/>
      <c r="BK36" s="26"/>
      <c r="BL36" s="26"/>
      <c r="BM36" s="26"/>
      <c r="BN36" s="26"/>
    </row>
    <row r="37" spans="1:66" x14ac:dyDescent="0.25">
      <c r="A37" s="147" t="s">
        <v>470</v>
      </c>
      <c r="B37" s="1853" t="s">
        <v>25</v>
      </c>
      <c r="C37" s="820" t="s">
        <v>49</v>
      </c>
      <c r="D37" s="1452">
        <v>70</v>
      </c>
      <c r="E37" s="1452">
        <v>70</v>
      </c>
      <c r="F37" s="1452">
        <f>+F23/F19*100</f>
        <v>70.5</v>
      </c>
      <c r="G37" s="1452">
        <v>70</v>
      </c>
      <c r="H37" s="1452">
        <f>+H23/H19*100</f>
        <v>70.5</v>
      </c>
      <c r="I37" s="1453">
        <f>+$D$37</f>
        <v>70</v>
      </c>
      <c r="J37" s="166">
        <f>+J23/J19*100</f>
        <v>70.499999999999986</v>
      </c>
      <c r="K37" s="1452">
        <v>70</v>
      </c>
      <c r="L37" s="1452">
        <f>+L23/L19*100</f>
        <v>70.010000000000005</v>
      </c>
      <c r="M37" s="1536">
        <f>+$D$37</f>
        <v>70</v>
      </c>
      <c r="N37" s="1536">
        <f>+N23/N19*100</f>
        <v>70.338894413182928</v>
      </c>
      <c r="O37" s="1452">
        <v>70</v>
      </c>
      <c r="P37" s="1452">
        <f>+P23/P19*100</f>
        <v>70.503373452126255</v>
      </c>
      <c r="Q37" s="1453">
        <f>+$D$37</f>
        <v>70</v>
      </c>
      <c r="R37" s="1453">
        <f>+R23/R19*100</f>
        <v>70.381061222951885</v>
      </c>
      <c r="S37" s="1452">
        <v>70</v>
      </c>
      <c r="T37" s="1452">
        <f>+T23/T19*100</f>
        <v>70.5</v>
      </c>
      <c r="U37" s="1453">
        <f>+$D$37</f>
        <v>70</v>
      </c>
      <c r="V37" s="1453">
        <f>+V23/V19*100</f>
        <v>70.405339652934529</v>
      </c>
      <c r="W37" s="1452">
        <v>70</v>
      </c>
      <c r="X37" s="1452">
        <f>+X23/X19*100</f>
        <v>70.499999999999986</v>
      </c>
      <c r="Y37" s="1577">
        <f>+$D$37</f>
        <v>70</v>
      </c>
      <c r="Z37" s="174">
        <f>+Z23/Z19*100</f>
        <v>70.501137214771276</v>
      </c>
      <c r="AA37" s="1618">
        <f>+$D$37</f>
        <v>70</v>
      </c>
      <c r="AB37" s="478">
        <f>+AB23/AB19*100</f>
        <v>70.420924777015486</v>
      </c>
      <c r="AC37" s="1452">
        <v>70</v>
      </c>
      <c r="AD37" s="1452">
        <f>+AD23/AD19*100</f>
        <v>70.470226216205717</v>
      </c>
      <c r="AE37" s="769">
        <f>+$D$37</f>
        <v>70</v>
      </c>
      <c r="AF37" s="166">
        <f>+AF23/AF19*100</f>
        <v>70.428074306739191</v>
      </c>
      <c r="AG37" s="1452">
        <v>70</v>
      </c>
      <c r="AH37" s="1452">
        <f>+AH23/AH19*100</f>
        <v>70.489999999999995</v>
      </c>
      <c r="AI37" s="769">
        <f>+$D$37</f>
        <v>70</v>
      </c>
      <c r="AJ37" s="166">
        <f>+AJ23/AJ19*100</f>
        <v>70.435435391862072</v>
      </c>
      <c r="AK37" s="1452">
        <v>70</v>
      </c>
      <c r="AL37" s="1452">
        <f>+AL23/AL19*100</f>
        <v>70.010000000000005</v>
      </c>
      <c r="AM37" s="1577">
        <f>+$D$37</f>
        <v>70</v>
      </c>
      <c r="AN37" s="174">
        <f>+AN23/AN19*100</f>
        <v>70.318995194751679</v>
      </c>
      <c r="AO37" s="769">
        <f>+$D$37</f>
        <v>70</v>
      </c>
      <c r="AP37" s="166">
        <f>+AP23/AP19*100</f>
        <v>70.387050879020691</v>
      </c>
      <c r="AQ37" s="1452">
        <v>70</v>
      </c>
      <c r="AR37" s="1452">
        <f>+AR23/AR19*100</f>
        <v>70.594999999999985</v>
      </c>
      <c r="AS37" s="769">
        <f>+$D$37</f>
        <v>70</v>
      </c>
      <c r="AT37" s="166">
        <f>+AT23/AT19*100</f>
        <v>70.408285776108173</v>
      </c>
      <c r="AU37" s="1452">
        <v>70</v>
      </c>
      <c r="AV37" s="1452">
        <f>+AV23/AV19*100</f>
        <v>70.499999999999972</v>
      </c>
      <c r="AW37" s="769">
        <f>+$D$37</f>
        <v>70</v>
      </c>
      <c r="AX37" s="166">
        <f>+AX23/AX19*100</f>
        <v>70.416018152693454</v>
      </c>
      <c r="AY37" s="1452">
        <v>70</v>
      </c>
      <c r="AZ37" s="1452">
        <f>+AZ23/AZ19*100</f>
        <v>70.5</v>
      </c>
      <c r="BA37" s="1577">
        <f>+$D$37</f>
        <v>70</v>
      </c>
      <c r="BB37" s="174">
        <f>+BB23/BB19*100</f>
        <v>70.532728098773021</v>
      </c>
      <c r="BC37" s="1618">
        <f>+$D$37</f>
        <v>70</v>
      </c>
      <c r="BD37" s="478">
        <f>+BD23/BD19*100</f>
        <v>70.42550615867313</v>
      </c>
      <c r="BE37" s="769">
        <f>+$D$37</f>
        <v>70</v>
      </c>
      <c r="BF37" s="166">
        <f>+BF23/BF19*100</f>
        <v>70.423206470883258</v>
      </c>
      <c r="BG37" s="1222"/>
      <c r="BH37" s="1222"/>
      <c r="BI37" s="4713"/>
      <c r="BJ37" s="4713"/>
      <c r="BK37" s="26"/>
      <c r="BL37" s="26"/>
      <c r="BM37" s="26"/>
      <c r="BN37" s="26"/>
    </row>
    <row r="38" spans="1:66" x14ac:dyDescent="0.25">
      <c r="A38" s="147" t="s">
        <v>470</v>
      </c>
      <c r="B38" s="1851" t="s">
        <v>1</v>
      </c>
      <c r="C38" s="3142" t="s">
        <v>49</v>
      </c>
      <c r="D38" s="3470">
        <v>1.5</v>
      </c>
      <c r="E38" s="3470">
        <v>1.5</v>
      </c>
      <c r="F38" s="3470">
        <f>+F26/F19*100</f>
        <v>1.4999999999999998</v>
      </c>
      <c r="G38" s="3470">
        <v>1.5</v>
      </c>
      <c r="H38" s="3470">
        <f>+H26/H19*100</f>
        <v>1.5</v>
      </c>
      <c r="I38" s="3755">
        <f>+$D$38</f>
        <v>1.5</v>
      </c>
      <c r="J38" s="107">
        <f>+J26/J19*100</f>
        <v>1.5000000000000002</v>
      </c>
      <c r="K38" s="3470">
        <v>1.5</v>
      </c>
      <c r="L38" s="3470">
        <f>+L26/L19*100</f>
        <v>1.38</v>
      </c>
      <c r="M38" s="353">
        <f>+$D$38</f>
        <v>1.5</v>
      </c>
      <c r="N38" s="353">
        <f>+N26/N19*100</f>
        <v>1.4605455705754102</v>
      </c>
      <c r="O38" s="3470">
        <v>1.5</v>
      </c>
      <c r="P38" s="3470">
        <f>+P26/P19*100</f>
        <v>0.8885591451805418</v>
      </c>
      <c r="Q38" s="266">
        <f>+$D$38</f>
        <v>1.5</v>
      </c>
      <c r="R38" s="266">
        <f>+R26/R19*100</f>
        <v>1.313907780465482</v>
      </c>
      <c r="S38" s="3470">
        <v>1.5</v>
      </c>
      <c r="T38" s="3470">
        <f>+T26/T19*100</f>
        <v>1.5000000000000002</v>
      </c>
      <c r="U38" s="266">
        <f>+$D$38</f>
        <v>1.5</v>
      </c>
      <c r="V38" s="266">
        <f>+V26/V19*100</f>
        <v>1.3518939363215809</v>
      </c>
      <c r="W38" s="3470">
        <v>1.5</v>
      </c>
      <c r="X38" s="3470">
        <f>+X26/X19*100</f>
        <v>1.4499999999999997</v>
      </c>
      <c r="Y38" s="77">
        <f>+$D$38</f>
        <v>1.5</v>
      </c>
      <c r="Z38" s="114">
        <f>+Z26/Z19*100</f>
        <v>1.277597106052673</v>
      </c>
      <c r="AA38" s="667">
        <f>+$D$38</f>
        <v>1.5</v>
      </c>
      <c r="AB38" s="474">
        <f>+AB26/AB19*100</f>
        <v>1.3680463720871627</v>
      </c>
      <c r="AC38" s="3470">
        <v>1.5</v>
      </c>
      <c r="AD38" s="3470">
        <f>+AD26/AD19*100</f>
        <v>0.99969752221690866</v>
      </c>
      <c r="AE38" s="53">
        <f>+$D$38</f>
        <v>1.5</v>
      </c>
      <c r="AF38" s="107">
        <f>+AF26/AF19*100</f>
        <v>1.3146296545614062</v>
      </c>
      <c r="AG38" s="3470">
        <v>1.5</v>
      </c>
      <c r="AH38" s="3470">
        <f>+AH26/AH19*100</f>
        <v>1.5</v>
      </c>
      <c r="AI38" s="53">
        <f>+$D$38</f>
        <v>1.5</v>
      </c>
      <c r="AJ38" s="107">
        <f>+AJ26/AJ19*100</f>
        <v>1.3366645615633674</v>
      </c>
      <c r="AK38" s="3470">
        <v>1.5</v>
      </c>
      <c r="AL38" s="3470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1.3552406033541107</v>
      </c>
      <c r="AQ38" s="3470">
        <v>1.5</v>
      </c>
      <c r="AR38" s="3470">
        <f>+AR26/AR19*100</f>
        <v>0.90000000000000013</v>
      </c>
      <c r="AS38" s="53">
        <f>+$D$38</f>
        <v>1.5</v>
      </c>
      <c r="AT38" s="107">
        <f>+AT26/AT19*100</f>
        <v>1.3087533312909123</v>
      </c>
      <c r="AU38" s="3470">
        <v>1.5</v>
      </c>
      <c r="AV38" s="3470">
        <f>+AV26/AV19*100</f>
        <v>1.5000000000000002</v>
      </c>
      <c r="AW38" s="53">
        <f>+$D$38</f>
        <v>1.5</v>
      </c>
      <c r="AX38" s="107">
        <f>+AX26/AX19*100</f>
        <v>1.3248772344369029</v>
      </c>
      <c r="AY38" s="3470">
        <v>1.5</v>
      </c>
      <c r="AZ38" s="3470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1.339866642285338</v>
      </c>
      <c r="BG38" s="1222"/>
      <c r="BH38" s="1222"/>
      <c r="BI38" s="4713"/>
      <c r="BJ38" s="4713"/>
      <c r="BK38" s="26"/>
      <c r="BL38" s="26"/>
      <c r="BM38" s="26"/>
      <c r="BN38" s="26"/>
    </row>
    <row r="39" spans="1:66" x14ac:dyDescent="0.25">
      <c r="A39" s="147" t="s">
        <v>470</v>
      </c>
      <c r="B39" s="1851" t="s">
        <v>26</v>
      </c>
      <c r="C39" s="3142" t="s">
        <v>49</v>
      </c>
      <c r="D39" s="3470">
        <v>3.5</v>
      </c>
      <c r="E39" s="3470">
        <v>3.5</v>
      </c>
      <c r="F39" s="3470">
        <f>+F29/F19*100</f>
        <v>2.5</v>
      </c>
      <c r="G39" s="3470">
        <v>3.5</v>
      </c>
      <c r="H39" s="3470">
        <f>+H29/H19*100</f>
        <v>2.5000000000000004</v>
      </c>
      <c r="I39" s="3755">
        <f>+$D$39</f>
        <v>3.5</v>
      </c>
      <c r="J39" s="107">
        <f>+J29/J19*100</f>
        <v>2.5</v>
      </c>
      <c r="K39" s="3470">
        <v>3.5</v>
      </c>
      <c r="L39" s="3470">
        <f>+L29/L19*100</f>
        <v>3.11</v>
      </c>
      <c r="M39" s="353">
        <f>+$D$39</f>
        <v>3.5</v>
      </c>
      <c r="N39" s="353">
        <f>+N29/N19*100</f>
        <v>2.7005600162416643</v>
      </c>
      <c r="O39" s="3470">
        <v>3.5</v>
      </c>
      <c r="P39" s="3470">
        <f>+P29/P19*100</f>
        <v>3.1120000000000001</v>
      </c>
      <c r="Q39" s="266">
        <f>+$D$39</f>
        <v>3.5</v>
      </c>
      <c r="R39" s="266">
        <f>+R29/R19*100</f>
        <v>2.8060391802612243</v>
      </c>
      <c r="S39" s="3470">
        <v>3.5</v>
      </c>
      <c r="T39" s="3470">
        <f>+T29/T19*100</f>
        <v>2.5000000000000004</v>
      </c>
      <c r="U39" s="266">
        <f>+$D$39</f>
        <v>3.5</v>
      </c>
      <c r="V39" s="266">
        <f>+V29/V19*100</f>
        <v>2.7435687984873147</v>
      </c>
      <c r="W39" s="3470">
        <v>3.5</v>
      </c>
      <c r="X39" s="3470">
        <f>+X29/X19*100</f>
        <v>2.5499999999999994</v>
      </c>
      <c r="Y39" s="77">
        <f>+$D$39</f>
        <v>3.5</v>
      </c>
      <c r="Z39" s="114">
        <f>+Z29/Z19*100</f>
        <v>2.7225913857755191</v>
      </c>
      <c r="AA39" s="667">
        <f>+$D$39</f>
        <v>3.5</v>
      </c>
      <c r="AB39" s="474">
        <f>+AB29/AB19*100</f>
        <v>2.7116991314498531</v>
      </c>
      <c r="AC39" s="3470">
        <v>3.5</v>
      </c>
      <c r="AD39" s="3470">
        <f>+AD29/AD19*100</f>
        <v>2.998416638643818</v>
      </c>
      <c r="AE39" s="53">
        <f>+$D$39</f>
        <v>3.5</v>
      </c>
      <c r="AF39" s="107">
        <f>+AF29/AF19*100</f>
        <v>2.7532779448406477</v>
      </c>
      <c r="AG39" s="3470">
        <v>3.5</v>
      </c>
      <c r="AH39" s="3470">
        <f>+AH29/AH19*100</f>
        <v>2.5099999999999993</v>
      </c>
      <c r="AI39" s="53">
        <f>+$D$39</f>
        <v>3.5</v>
      </c>
      <c r="AJ39" s="107">
        <f>+AJ29/AJ19*100</f>
        <v>2.7243595821030238</v>
      </c>
      <c r="AK39" s="3470">
        <v>3.5</v>
      </c>
      <c r="AL39" s="3470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2.7545707080619448</v>
      </c>
      <c r="AQ39" s="3470">
        <v>3.5</v>
      </c>
      <c r="AR39" s="3470">
        <f>+AR29/AR19*100</f>
        <v>3.0200000000000005</v>
      </c>
      <c r="AS39" s="53">
        <f>+$D$39</f>
        <v>3.5</v>
      </c>
      <c r="AT39" s="107">
        <f>+AT29/AT19*100</f>
        <v>2.7816752405156735</v>
      </c>
      <c r="AU39" s="3470">
        <v>3.5</v>
      </c>
      <c r="AV39" s="3470">
        <f>+AV29/AV19*100</f>
        <v>2.5</v>
      </c>
      <c r="AW39" s="53">
        <f>+$D$39</f>
        <v>3.5</v>
      </c>
      <c r="AX39" s="107">
        <f>+AX29/AX19*100</f>
        <v>2.7579273534159672</v>
      </c>
      <c r="AY39" s="3470">
        <v>3.5</v>
      </c>
      <c r="AZ39" s="3470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2.7358503933863112</v>
      </c>
      <c r="BG39" s="1222"/>
      <c r="BH39" s="1222"/>
      <c r="BI39" s="4713"/>
      <c r="BJ39" s="4713"/>
      <c r="BK39" s="26"/>
      <c r="BL39" s="26"/>
      <c r="BM39" s="26"/>
      <c r="BN39" s="26"/>
    </row>
    <row r="40" spans="1:66" ht="15.95" customHeight="1" thickBot="1" x14ac:dyDescent="0.3">
      <c r="A40" s="147" t="s">
        <v>470</v>
      </c>
      <c r="B40" s="1854" t="s">
        <v>177</v>
      </c>
      <c r="C40" s="3515" t="s">
        <v>49</v>
      </c>
      <c r="D40" s="3827">
        <v>1</v>
      </c>
      <c r="E40" s="3827">
        <v>1</v>
      </c>
      <c r="F40" s="3827">
        <f>+F32/F19*100</f>
        <v>1</v>
      </c>
      <c r="G40" s="3827">
        <v>1</v>
      </c>
      <c r="H40" s="3827">
        <f>+H32/H19*100</f>
        <v>1</v>
      </c>
      <c r="I40" s="3764">
        <f>+$D$40</f>
        <v>1</v>
      </c>
      <c r="J40" s="108">
        <f>+J32/J19*100</f>
        <v>1</v>
      </c>
      <c r="K40" s="3827">
        <v>1</v>
      </c>
      <c r="L40" s="3827">
        <f>+L32/L19*100</f>
        <v>1</v>
      </c>
      <c r="M40" s="999">
        <f>+$D$40</f>
        <v>1</v>
      </c>
      <c r="N40" s="999">
        <f>+N32/N19*100</f>
        <v>1</v>
      </c>
      <c r="O40" s="3827">
        <v>1</v>
      </c>
      <c r="P40" s="3827">
        <f>+P32/P19*100</f>
        <v>0.9960674026931885</v>
      </c>
      <c r="Q40" s="603">
        <f>+$D$40</f>
        <v>1</v>
      </c>
      <c r="R40" s="603">
        <f>+R32/R19*100</f>
        <v>0.99899181632140144</v>
      </c>
      <c r="S40" s="3827">
        <v>1</v>
      </c>
      <c r="T40" s="3827">
        <f>+T32/T19*100</f>
        <v>1</v>
      </c>
      <c r="U40" s="603">
        <f>+$D$40</f>
        <v>1</v>
      </c>
      <c r="V40" s="603">
        <f>+V32/V19*100</f>
        <v>0.99919761225657067</v>
      </c>
      <c r="W40" s="3827">
        <v>1</v>
      </c>
      <c r="X40" s="3827">
        <f>+X32/X19*100</f>
        <v>1</v>
      </c>
      <c r="Y40" s="1578">
        <f>+$D$40</f>
        <v>1</v>
      </c>
      <c r="Z40" s="115">
        <f>+Z32/Z19*100</f>
        <v>0.99867429340053637</v>
      </c>
      <c r="AA40" s="1619">
        <f>+$D$40</f>
        <v>1</v>
      </c>
      <c r="AB40" s="479">
        <f>+AB32/AB19*100</f>
        <v>0.99932971944749116</v>
      </c>
      <c r="AC40" s="3827">
        <v>1</v>
      </c>
      <c r="AD40" s="3827">
        <f>+AD32/AD19*100</f>
        <v>0.99969752221690866</v>
      </c>
      <c r="AE40" s="771">
        <f>+$D$40</f>
        <v>1</v>
      </c>
      <c r="AF40" s="108">
        <f>+AF32/AF19*100</f>
        <v>0.99938305697425711</v>
      </c>
      <c r="AG40" s="3827">
        <v>1</v>
      </c>
      <c r="AH40" s="3827">
        <f>+AH32/AH19*100</f>
        <v>0.99999999999999989</v>
      </c>
      <c r="AI40" s="771">
        <f>+$D$40</f>
        <v>1</v>
      </c>
      <c r="AJ40" s="108">
        <f>+AJ32/AJ19*100</f>
        <v>0.99945639277220033</v>
      </c>
      <c r="AK40" s="3827">
        <v>1</v>
      </c>
      <c r="AL40" s="3827">
        <f>+AL32/AL19*100</f>
        <v>1.0000000000000002</v>
      </c>
      <c r="AM40" s="1578">
        <f>+$D$40</f>
        <v>1</v>
      </c>
      <c r="AN40" s="115">
        <f>+AN32/AN19*100</f>
        <v>0.99989692509713812</v>
      </c>
      <c r="AO40" s="771">
        <f>+$D$40</f>
        <v>1</v>
      </c>
      <c r="AP40" s="108">
        <f>+AP32/AP19*100</f>
        <v>0.99951821689731379</v>
      </c>
      <c r="AQ40" s="3827">
        <v>1</v>
      </c>
      <c r="AR40" s="3827">
        <f>+AR32/AR19*100</f>
        <v>0.98499999999999999</v>
      </c>
      <c r="AS40" s="771">
        <f>+$D$40</f>
        <v>1</v>
      </c>
      <c r="AT40" s="108">
        <f>+AT32/AT19*100</f>
        <v>0.99803567712866081</v>
      </c>
      <c r="AU40" s="3827">
        <v>1</v>
      </c>
      <c r="AV40" s="3827">
        <f>+AV32/AV19*100</f>
        <v>1</v>
      </c>
      <c r="AW40" s="771">
        <f>+$D$40</f>
        <v>1</v>
      </c>
      <c r="AX40" s="108">
        <f>+AX32/AX19*100</f>
        <v>0.99820128812695286</v>
      </c>
      <c r="AY40" s="3827">
        <v>1</v>
      </c>
      <c r="AZ40" s="3827">
        <f>+AZ32/AZ19*100</f>
        <v>1</v>
      </c>
      <c r="BA40" s="1578">
        <f>+$D$40</f>
        <v>1</v>
      </c>
      <c r="BB40" s="115">
        <f>+BB32/BB19*100</f>
        <v>0.99483240545688734</v>
      </c>
      <c r="BC40" s="1619">
        <f>+$D$40</f>
        <v>1</v>
      </c>
      <c r="BD40" s="479">
        <f>+BD32/BD19*100</f>
        <v>0.99737308876434594</v>
      </c>
      <c r="BE40" s="771">
        <f>+$D$40</f>
        <v>1</v>
      </c>
      <c r="BF40" s="108">
        <f>+BF32/BF19*100</f>
        <v>0.99835524655594554</v>
      </c>
      <c r="BG40" s="1222"/>
      <c r="BH40" s="1222"/>
      <c r="BI40" s="4713"/>
      <c r="BJ40" s="4713"/>
      <c r="BK40" s="26"/>
      <c r="BL40" s="26"/>
      <c r="BM40" s="26"/>
      <c r="BN40" s="26"/>
    </row>
    <row r="41" spans="1:66" ht="16.5" thickBot="1" x14ac:dyDescent="0.3">
      <c r="A41" s="147" t="s">
        <v>470</v>
      </c>
      <c r="B41" s="1855" t="s">
        <v>178</v>
      </c>
      <c r="C41" s="1188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9">
        <f t="shared" si="145"/>
        <v>76</v>
      </c>
      <c r="J41" s="42">
        <f t="shared" si="145"/>
        <v>75.499999999999986</v>
      </c>
      <c r="K41" s="111">
        <f t="shared" ref="K41:L41" si="147">SUM(K37:K40)</f>
        <v>76</v>
      </c>
      <c r="L41" s="111">
        <f t="shared" si="147"/>
        <v>75.5</v>
      </c>
      <c r="M41" s="1570">
        <f t="shared" ref="M41:R41" si="148">SUM(M37:M40)</f>
        <v>76</v>
      </c>
      <c r="N41" s="1570">
        <f t="shared" si="148"/>
        <v>75.5</v>
      </c>
      <c r="O41" s="111">
        <f t="shared" si="148"/>
        <v>76</v>
      </c>
      <c r="P41" s="111">
        <f t="shared" si="148"/>
        <v>75.499999999999972</v>
      </c>
      <c r="Q41" s="1189">
        <f t="shared" si="148"/>
        <v>76</v>
      </c>
      <c r="R41" s="1189">
        <f t="shared" si="148"/>
        <v>75.5</v>
      </c>
      <c r="S41" s="111">
        <f t="shared" ref="S41:V41" si="149">SUM(S37:S40)</f>
        <v>76</v>
      </c>
      <c r="T41" s="111">
        <f t="shared" si="149"/>
        <v>75.5</v>
      </c>
      <c r="U41" s="1189">
        <f t="shared" si="149"/>
        <v>76</v>
      </c>
      <c r="V41" s="1189">
        <f t="shared" si="149"/>
        <v>75.5</v>
      </c>
      <c r="W41" s="111">
        <f t="shared" ref="W41:X41" si="150">SUM(W37:W40)</f>
        <v>76</v>
      </c>
      <c r="X41" s="111">
        <f t="shared" si="150"/>
        <v>75.499999999999986</v>
      </c>
      <c r="Y41" s="773">
        <f t="shared" ref="Y41:Z41" si="151">SUM(Y37:Y40)</f>
        <v>76</v>
      </c>
      <c r="Z41" s="71">
        <f t="shared" si="151"/>
        <v>75.5</v>
      </c>
      <c r="AA41" s="2521">
        <f t="shared" ref="AA41:AF41" si="152">SUM(AA37:AA40)</f>
        <v>76</v>
      </c>
      <c r="AB41" s="461">
        <f t="shared" si="152"/>
        <v>75.499999999999986</v>
      </c>
      <c r="AC41" s="111">
        <f t="shared" si="152"/>
        <v>76</v>
      </c>
      <c r="AD41" s="111">
        <f t="shared" si="152"/>
        <v>75.468037899283345</v>
      </c>
      <c r="AE41" s="772">
        <f t="shared" si="152"/>
        <v>76</v>
      </c>
      <c r="AF41" s="42">
        <f t="shared" si="152"/>
        <v>75.495364963115492</v>
      </c>
      <c r="AG41" s="111">
        <f t="shared" ref="AG41:AH41" si="153">SUM(AG37:AG40)</f>
        <v>76</v>
      </c>
      <c r="AH41" s="111">
        <f t="shared" si="153"/>
        <v>75.5</v>
      </c>
      <c r="AI41" s="772">
        <f t="shared" ref="AI41:AN41" si="154">SUM(AI37:AI40)</f>
        <v>76</v>
      </c>
      <c r="AJ41" s="42">
        <f t="shared" si="154"/>
        <v>75.495915928300661</v>
      </c>
      <c r="AK41" s="111">
        <f t="shared" si="154"/>
        <v>76</v>
      </c>
      <c r="AL41" s="111">
        <f t="shared" si="154"/>
        <v>75.5</v>
      </c>
      <c r="AM41" s="773">
        <f t="shared" si="154"/>
        <v>76</v>
      </c>
      <c r="AN41" s="71">
        <f t="shared" si="154"/>
        <v>75.489108322624659</v>
      </c>
      <c r="AO41" s="772">
        <f t="shared" ref="AO41:AT41" si="155">SUM(AO37:AO40)</f>
        <v>76</v>
      </c>
      <c r="AP41" s="42">
        <f t="shared" si="155"/>
        <v>75.496380407334058</v>
      </c>
      <c r="AQ41" s="111">
        <f t="shared" si="155"/>
        <v>76</v>
      </c>
      <c r="AR41" s="111">
        <f t="shared" si="155"/>
        <v>75.499999999999986</v>
      </c>
      <c r="AS41" s="772">
        <f t="shared" si="155"/>
        <v>76</v>
      </c>
      <c r="AT41" s="42">
        <f t="shared" si="155"/>
        <v>75.496750025043411</v>
      </c>
      <c r="AU41" s="111">
        <f t="shared" ref="AU41:AX41" si="156">SUM(AU37:AU40)</f>
        <v>76</v>
      </c>
      <c r="AV41" s="111">
        <f t="shared" si="156"/>
        <v>75.499999999999972</v>
      </c>
      <c r="AW41" s="772">
        <f t="shared" si="156"/>
        <v>76</v>
      </c>
      <c r="AX41" s="42">
        <f t="shared" si="156"/>
        <v>75.497024028673266</v>
      </c>
      <c r="AY41" s="111">
        <f t="shared" ref="AY41:AZ41" si="157">SUM(AY37:AY40)</f>
        <v>76</v>
      </c>
      <c r="AZ41" s="111">
        <f t="shared" si="157"/>
        <v>75.5</v>
      </c>
      <c r="BA41" s="773">
        <f t="shared" ref="BA41:BF41" si="158">SUM(BA37:BA40)</f>
        <v>76</v>
      </c>
      <c r="BB41" s="71">
        <f t="shared" si="158"/>
        <v>75.499999999999986</v>
      </c>
      <c r="BC41" s="2521">
        <f t="shared" si="158"/>
        <v>76</v>
      </c>
      <c r="BD41" s="461">
        <f t="shared" si="158"/>
        <v>75.494536045891138</v>
      </c>
      <c r="BE41" s="772">
        <f t="shared" si="158"/>
        <v>76</v>
      </c>
      <c r="BF41" s="42">
        <f t="shared" si="158"/>
        <v>75.497278753110862</v>
      </c>
      <c r="BG41" s="1222"/>
      <c r="BH41" s="1222"/>
      <c r="BI41" s="4713"/>
      <c r="BJ41" s="4713"/>
      <c r="BK41" s="26"/>
      <c r="BL41" s="26"/>
      <c r="BM41" s="26"/>
      <c r="BN41" s="26"/>
    </row>
    <row r="42" spans="1:66" ht="16.5" customHeight="1" thickBot="1" x14ac:dyDescent="0.3">
      <c r="B42" s="1888" t="s">
        <v>1550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2522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2522"/>
      <c r="BD42" s="533"/>
      <c r="BE42" s="533"/>
      <c r="BF42" s="533"/>
      <c r="BG42" s="1222"/>
      <c r="BH42" s="1222"/>
      <c r="BI42" s="4713"/>
      <c r="BJ42" s="4713"/>
      <c r="BK42" s="26"/>
      <c r="BL42" s="26"/>
      <c r="BM42" s="26"/>
      <c r="BN42" s="26"/>
    </row>
    <row r="43" spans="1:66" ht="15.75" customHeight="1" x14ac:dyDescent="0.25">
      <c r="B43" s="1886" t="s">
        <v>149</v>
      </c>
      <c r="C43" s="820" t="s">
        <v>50</v>
      </c>
      <c r="D43" s="1848"/>
      <c r="E43" s="1848"/>
      <c r="F43" s="158">
        <v>36505.694817262025</v>
      </c>
      <c r="G43" s="1848"/>
      <c r="H43" s="158">
        <v>38083.317073170736</v>
      </c>
      <c r="I43" s="1849"/>
      <c r="J43" s="3946">
        <f>F43+H43</f>
        <v>74589.011890432768</v>
      </c>
      <c r="K43" s="1848"/>
      <c r="L43" s="158">
        <v>36652</v>
      </c>
      <c r="M43" s="1850"/>
      <c r="N43" s="618">
        <f>SUM(F43,H43,L43)</f>
        <v>111241.01189043277</v>
      </c>
      <c r="O43" s="1848"/>
      <c r="P43" s="158">
        <v>38211</v>
      </c>
      <c r="Q43" s="1849"/>
      <c r="R43" s="373">
        <f>+N43+P43</f>
        <v>149452.01189043277</v>
      </c>
      <c r="S43" s="1848"/>
      <c r="T43" s="158">
        <v>38374</v>
      </c>
      <c r="U43" s="1849"/>
      <c r="V43" s="373">
        <f>+R43+T43</f>
        <v>187826.01189043277</v>
      </c>
      <c r="W43" s="1848"/>
      <c r="X43" s="158">
        <v>37136</v>
      </c>
      <c r="Y43" s="1850"/>
      <c r="Z43" s="618">
        <f>SUM(P43,T43,X43)</f>
        <v>113721</v>
      </c>
      <c r="AA43" s="2523"/>
      <c r="AB43" s="2195">
        <f>SUM(N43,Z43)</f>
        <v>224962.01189043277</v>
      </c>
      <c r="AC43" s="1848"/>
      <c r="AD43" s="158">
        <v>38929</v>
      </c>
      <c r="AE43" s="1849"/>
      <c r="AF43" s="373">
        <f>+AB43+AD43</f>
        <v>263891.0118904328</v>
      </c>
      <c r="AG43" s="1848"/>
      <c r="AH43" s="158">
        <v>36242.168343195262</v>
      </c>
      <c r="AI43" s="1849"/>
      <c r="AJ43" s="373">
        <f>+AF43+AH43</f>
        <v>300133.18023362808</v>
      </c>
      <c r="AK43" s="1848"/>
      <c r="AL43" s="158">
        <v>38190.568284789639</v>
      </c>
      <c r="AM43" s="1850"/>
      <c r="AN43" s="618">
        <f>SUM(AD43,AH43,AL43)</f>
        <v>113361.73662798489</v>
      </c>
      <c r="AO43" s="1849"/>
      <c r="AP43" s="761">
        <f>AJ43+AL43</f>
        <v>338323.74851841771</v>
      </c>
      <c r="AQ43" s="1848"/>
      <c r="AR43" s="158">
        <v>38557.989881885631</v>
      </c>
      <c r="AS43" s="1849"/>
      <c r="AT43" s="373">
        <f>+AP43+AR43</f>
        <v>376881.73840030335</v>
      </c>
      <c r="AU43" s="1848"/>
      <c r="AV43" s="158">
        <v>34225.603715170262</v>
      </c>
      <c r="AW43" s="1849"/>
      <c r="AX43" s="373">
        <f>+AT43+AV43</f>
        <v>411107.34211547358</v>
      </c>
      <c r="AY43" s="1848"/>
      <c r="AZ43" s="158">
        <v>37989.881406620603</v>
      </c>
      <c r="BA43" s="1850"/>
      <c r="BB43" s="618">
        <f>SUM(AR43,AV43,AZ43)</f>
        <v>110773.47500367649</v>
      </c>
      <c r="BC43" s="2523"/>
      <c r="BD43" s="2195">
        <f>SUM(AN43,BB43)</f>
        <v>224135.2116316614</v>
      </c>
      <c r="BE43" s="1849"/>
      <c r="BF43" s="373">
        <f>+AX43+AZ43</f>
        <v>449097.22352209419</v>
      </c>
      <c r="BG43" s="1222"/>
      <c r="BH43" s="1222"/>
      <c r="BI43" s="4713"/>
      <c r="BJ43" s="4713"/>
      <c r="BK43" s="26"/>
      <c r="BL43" s="26"/>
      <c r="BM43" s="26"/>
      <c r="BN43" s="26"/>
    </row>
    <row r="44" spans="1:66" ht="16.5" customHeight="1" thickBot="1" x14ac:dyDescent="0.3">
      <c r="B44" s="2503" t="s">
        <v>150</v>
      </c>
      <c r="C44" s="160" t="s">
        <v>50</v>
      </c>
      <c r="D44" s="2504"/>
      <c r="E44" s="2504"/>
      <c r="F44" s="1218">
        <v>64987.557996116091</v>
      </c>
      <c r="G44" s="2504"/>
      <c r="H44" s="1218">
        <v>67440.14297180697</v>
      </c>
      <c r="I44" s="2505"/>
      <c r="J44" s="890">
        <f t="shared" ref="J44:J57" si="159">F44+H44</f>
        <v>132427.70096792307</v>
      </c>
      <c r="K44" s="2504"/>
      <c r="L44" s="1218">
        <v>64724.962342310107</v>
      </c>
      <c r="M44" s="2506"/>
      <c r="N44" s="2406">
        <f t="shared" ref="N44:N57" si="160">SUM(F44,H44,L44)</f>
        <v>197152.66331023318</v>
      </c>
      <c r="O44" s="2504"/>
      <c r="P44" s="1218">
        <v>68455.116693707299</v>
      </c>
      <c r="Q44" s="2505"/>
      <c r="R44" s="2401">
        <f>+N44+P44</f>
        <v>265607.78000394045</v>
      </c>
      <c r="S44" s="2504"/>
      <c r="T44" s="1218">
        <v>68361.201836628417</v>
      </c>
      <c r="U44" s="2505"/>
      <c r="V44" s="4882">
        <f>+R44+T44</f>
        <v>333968.98184056889</v>
      </c>
      <c r="W44" s="2504"/>
      <c r="X44" s="1218">
        <v>65857.298945783128</v>
      </c>
      <c r="Y44" s="2506"/>
      <c r="Z44" s="2406">
        <f>SUM(P44,T44,X44)</f>
        <v>202673.61747611884</v>
      </c>
      <c r="AA44" s="2524"/>
      <c r="AB44" s="2507">
        <f>SUM(N44,Z44)</f>
        <v>399826.280786352</v>
      </c>
      <c r="AC44" s="2504"/>
      <c r="AD44" s="1218">
        <v>67763</v>
      </c>
      <c r="AE44" s="2505"/>
      <c r="AF44" s="2401">
        <f>+AB44+AD44</f>
        <v>467589.280786352</v>
      </c>
      <c r="AG44" s="2504"/>
      <c r="AH44" s="1218">
        <v>64589.622735112374</v>
      </c>
      <c r="AI44" s="2505"/>
      <c r="AJ44" s="2401">
        <f>+AF44+AH44</f>
        <v>532178.90352146432</v>
      </c>
      <c r="AK44" s="2504"/>
      <c r="AL44" s="1218">
        <v>67649.232744545065</v>
      </c>
      <c r="AM44" s="2506"/>
      <c r="AN44" s="2406">
        <f>SUM(AD44,AH44,AL44)</f>
        <v>200001.85547965745</v>
      </c>
      <c r="AO44" s="2505"/>
      <c r="AP44" s="761">
        <f>AJ44+AL44</f>
        <v>599828.13626600942</v>
      </c>
      <c r="AQ44" s="2504"/>
      <c r="AR44" s="1218">
        <v>68224.300538368625</v>
      </c>
      <c r="AS44" s="2505"/>
      <c r="AT44" s="2401">
        <f>+AP44+AR44</f>
        <v>668052.43680437806</v>
      </c>
      <c r="AU44" s="2504"/>
      <c r="AV44" s="1218">
        <v>61539.229030579489</v>
      </c>
      <c r="AW44" s="2505"/>
      <c r="AX44" s="6213">
        <f>+AT44+AV44</f>
        <v>729591.6658349575</v>
      </c>
      <c r="AY44" s="2504"/>
      <c r="AZ44" s="1218">
        <v>68327.766245973602</v>
      </c>
      <c r="BA44" s="2506"/>
      <c r="BB44" s="2406">
        <f>SUM(AR44,AV44,AZ44)</f>
        <v>198091.29581492173</v>
      </c>
      <c r="BC44" s="2524"/>
      <c r="BD44" s="2507">
        <f>SUM(AN44,BB44)</f>
        <v>398093.15129457915</v>
      </c>
      <c r="BE44" s="2505"/>
      <c r="BF44" s="2401">
        <f>+AX44+AZ44</f>
        <v>797919.43208093115</v>
      </c>
      <c r="BG44" s="1222"/>
      <c r="BH44" s="1222"/>
      <c r="BI44" s="4713"/>
      <c r="BJ44" s="4713"/>
      <c r="BK44" s="26"/>
      <c r="BL44" s="26"/>
      <c r="BM44" s="26"/>
      <c r="BN44" s="26"/>
    </row>
    <row r="45" spans="1:66" ht="16.5" customHeight="1" thickBot="1" x14ac:dyDescent="0.3">
      <c r="B45" s="2512" t="s">
        <v>78</v>
      </c>
      <c r="C45" s="2513" t="s">
        <v>50</v>
      </c>
      <c r="D45" s="111"/>
      <c r="E45" s="111"/>
      <c r="F45" s="2514">
        <f>SUM(F43:F44)</f>
        <v>101493.25281337812</v>
      </c>
      <c r="G45" s="111"/>
      <c r="H45" s="2514">
        <f>SUM(H43:H44)</f>
        <v>105523.46004497771</v>
      </c>
      <c r="I45" s="1189"/>
      <c r="J45" s="1190">
        <f t="shared" si="159"/>
        <v>207016.71285835584</v>
      </c>
      <c r="K45" s="111"/>
      <c r="L45" s="2514">
        <f>SUM(L43:L44)</f>
        <v>101376.96234231011</v>
      </c>
      <c r="M45" s="1570"/>
      <c r="N45" s="2515">
        <f t="shared" si="160"/>
        <v>308393.67520066595</v>
      </c>
      <c r="O45" s="111"/>
      <c r="P45" s="2514">
        <f>SUM(P43:P44)</f>
        <v>106666.1166937073</v>
      </c>
      <c r="Q45" s="1189"/>
      <c r="R45" s="2516">
        <f t="shared" ref="R45" si="161">SUM(R43:R44)</f>
        <v>415059.79189437325</v>
      </c>
      <c r="S45" s="111"/>
      <c r="T45" s="2514">
        <f>SUM(T43:T44)</f>
        <v>106735.20183662842</v>
      </c>
      <c r="U45" s="1189"/>
      <c r="V45" s="2516">
        <f t="shared" ref="V45" si="162">SUM(V43:V44)</f>
        <v>521794.99373100162</v>
      </c>
      <c r="W45" s="111"/>
      <c r="X45" s="2514">
        <f>SUM(X43:X44)</f>
        <v>102993.29894578313</v>
      </c>
      <c r="Y45" s="1570"/>
      <c r="Z45" s="2515">
        <f>SUM(Z43:Z44)</f>
        <v>316394.61747611884</v>
      </c>
      <c r="AA45" s="2525"/>
      <c r="AB45" s="2196">
        <f>SUM(AB43:AB44)</f>
        <v>624788.2926767848</v>
      </c>
      <c r="AC45" s="111"/>
      <c r="AD45" s="2514">
        <f>SUM(AD43:AD44)</f>
        <v>106692</v>
      </c>
      <c r="AE45" s="1189"/>
      <c r="AF45" s="2516">
        <f t="shared" ref="AF45" si="163">SUM(AF43:AF44)</f>
        <v>731480.2926767848</v>
      </c>
      <c r="AG45" s="111"/>
      <c r="AH45" s="2514">
        <f>SUM(AH43:AH44)</f>
        <v>100831.79107830764</v>
      </c>
      <c r="AI45" s="1189"/>
      <c r="AJ45" s="2516">
        <f t="shared" ref="AJ45" si="164">SUM(AJ43:AJ44)</f>
        <v>832312.08375509246</v>
      </c>
      <c r="AK45" s="111"/>
      <c r="AL45" s="2514">
        <f>SUM(AL43:AL44)</f>
        <v>105839.8010293347</v>
      </c>
      <c r="AM45" s="1570"/>
      <c r="AN45" s="2515">
        <f>SUM(AN43:AN44)</f>
        <v>313363.59210764233</v>
      </c>
      <c r="AO45" s="1189"/>
      <c r="AP45" s="2516">
        <f t="shared" ref="AP45" si="165">SUM(AP43:AP44)</f>
        <v>938151.88478442712</v>
      </c>
      <c r="AQ45" s="111"/>
      <c r="AR45" s="2514">
        <f>SUM(AR43:AR44)</f>
        <v>106782.29042025426</v>
      </c>
      <c r="AS45" s="1189"/>
      <c r="AT45" s="2516">
        <f t="shared" ref="AT45" si="166">SUM(AT43:AT44)</f>
        <v>1044934.1752046815</v>
      </c>
      <c r="AU45" s="111"/>
      <c r="AV45" s="2514">
        <f>SUM(AV43:AV44)</f>
        <v>95764.832745749751</v>
      </c>
      <c r="AW45" s="1189"/>
      <c r="AX45" s="2516">
        <f t="shared" ref="AX45" si="167">SUM(AX43:AX44)</f>
        <v>1140699.0079504312</v>
      </c>
      <c r="AY45" s="111"/>
      <c r="AZ45" s="2514">
        <f>SUM(AZ43:AZ44)</f>
        <v>106317.6476525942</v>
      </c>
      <c r="BA45" s="1570"/>
      <c r="BB45" s="2515">
        <f>SUM(BB43:BB44)</f>
        <v>308864.77081859822</v>
      </c>
      <c r="BC45" s="2525"/>
      <c r="BD45" s="2196">
        <f>SUM(BD43:BD44)</f>
        <v>622228.36292624054</v>
      </c>
      <c r="BE45" s="1189"/>
      <c r="BF45" s="2516">
        <f t="shared" ref="BF45" si="168">SUM(BF43:BF44)</f>
        <v>1247016.6556030253</v>
      </c>
      <c r="BG45" s="1222"/>
      <c r="BH45" s="1222"/>
      <c r="BI45" s="4713"/>
      <c r="BJ45" s="4713"/>
      <c r="BK45" s="26"/>
      <c r="BL45" s="26"/>
      <c r="BM45" s="26"/>
      <c r="BN45" s="26"/>
    </row>
    <row r="46" spans="1:66" ht="15.75" customHeight="1" x14ac:dyDescent="0.25">
      <c r="B46" s="2508" t="s">
        <v>152</v>
      </c>
      <c r="C46" s="793" t="s">
        <v>50</v>
      </c>
      <c r="D46" s="2509"/>
      <c r="E46" s="2509"/>
      <c r="F46" s="1309">
        <v>776.71691100557507</v>
      </c>
      <c r="G46" s="2509"/>
      <c r="H46" s="6405">
        <v>810.28334198235609</v>
      </c>
      <c r="I46" s="2510"/>
      <c r="J46" s="3947">
        <f t="shared" si="159"/>
        <v>1587.0002529879312</v>
      </c>
      <c r="K46" s="2509"/>
      <c r="L46" s="4584">
        <v>724.57785206853328</v>
      </c>
      <c r="M46" s="2511"/>
      <c r="N46" s="2407">
        <f t="shared" si="160"/>
        <v>2311.5781050564647</v>
      </c>
      <c r="O46" s="2509"/>
      <c r="P46" s="4772">
        <v>488.08839024222533</v>
      </c>
      <c r="Q46" s="2510"/>
      <c r="R46" s="2402">
        <f>+N46+P46</f>
        <v>2799.6664952986898</v>
      </c>
      <c r="S46" s="2509"/>
      <c r="T46" s="4881">
        <v>824.88318248789733</v>
      </c>
      <c r="U46" s="2510"/>
      <c r="V46" s="4883">
        <f>+R46+T46</f>
        <v>3624.5496777865874</v>
      </c>
      <c r="W46" s="2509"/>
      <c r="X46" s="5041">
        <v>765.38204592901877</v>
      </c>
      <c r="Y46" s="2511"/>
      <c r="Z46" s="2407">
        <f>SUM(P46,T46,X46)</f>
        <v>2078.3536186591414</v>
      </c>
      <c r="AA46" s="2526"/>
      <c r="AB46" s="2197">
        <f>SUM(N46,Z46)</f>
        <v>4389.9317237156065</v>
      </c>
      <c r="AC46" s="2509"/>
      <c r="AD46" s="5332">
        <v>552</v>
      </c>
      <c r="AE46" s="2510"/>
      <c r="AF46" s="2402">
        <f>+AB46+AD46</f>
        <v>4941.9317237156065</v>
      </c>
      <c r="AG46" s="2509"/>
      <c r="AH46" s="5506">
        <v>771.21935756551136</v>
      </c>
      <c r="AI46" s="2510"/>
      <c r="AJ46" s="2402">
        <f>+AF46+AH46</f>
        <v>5713.1510812811175</v>
      </c>
      <c r="AK46" s="2509"/>
      <c r="AL46" s="5928">
        <v>818.25242718446589</v>
      </c>
      <c r="AM46" s="2511"/>
      <c r="AN46" s="2407">
        <f>SUM(AD46,AH46,AL46)</f>
        <v>2141.4717847499774</v>
      </c>
      <c r="AO46" s="2510"/>
      <c r="AP46" s="761">
        <f>AJ46+AL46</f>
        <v>6531.4035084655834</v>
      </c>
      <c r="AQ46" s="2509"/>
      <c r="AR46" s="6088">
        <v>491.56726246472255</v>
      </c>
      <c r="AS46" s="2510"/>
      <c r="AT46" s="2402">
        <f>+AP46+AR46</f>
        <v>7022.9707709303057</v>
      </c>
      <c r="AU46" s="2509"/>
      <c r="AV46" s="6211">
        <v>728.20433436532505</v>
      </c>
      <c r="AW46" s="2510"/>
      <c r="AX46" s="6214">
        <f>+AT46+AV46</f>
        <v>7751.1751052956306</v>
      </c>
      <c r="AY46" s="2509"/>
      <c r="AZ46" s="6405">
        <v>808.29534907703407</v>
      </c>
      <c r="BA46" s="2511"/>
      <c r="BB46" s="2407">
        <f>SUM(AR46,AV46,AZ46)</f>
        <v>2028.0669459070818</v>
      </c>
      <c r="BC46" s="2526"/>
      <c r="BD46" s="2197">
        <f>SUM(AN46,BB46)</f>
        <v>4169.5387306570592</v>
      </c>
      <c r="BE46" s="2510"/>
      <c r="BF46" s="2402">
        <f>+AX46+AZ46</f>
        <v>8559.4704543726639</v>
      </c>
      <c r="BG46" s="1222"/>
      <c r="BH46" s="1222"/>
      <c r="BI46" s="4713"/>
      <c r="BJ46" s="4713"/>
      <c r="BK46" s="26"/>
      <c r="BL46" s="26"/>
      <c r="BM46" s="26"/>
      <c r="BN46" s="26"/>
    </row>
    <row r="47" spans="1:66" ht="16.5" customHeight="1" thickBot="1" x14ac:dyDescent="0.3">
      <c r="B47" s="1887" t="s">
        <v>153</v>
      </c>
      <c r="C47" s="159" t="s">
        <v>50</v>
      </c>
      <c r="D47" s="819"/>
      <c r="E47" s="819"/>
      <c r="F47" s="2400">
        <v>1382.7139999173635</v>
      </c>
      <c r="G47" s="819"/>
      <c r="H47" s="7176">
        <v>1434.8966589746162</v>
      </c>
      <c r="I47" s="816"/>
      <c r="J47" s="256">
        <f t="shared" si="159"/>
        <v>2817.6106588919797</v>
      </c>
      <c r="K47" s="819"/>
      <c r="L47" s="4585">
        <v>1275.8241398712746</v>
      </c>
      <c r="M47" s="817"/>
      <c r="N47" s="2398">
        <f t="shared" si="160"/>
        <v>4093.4347987632545</v>
      </c>
      <c r="O47" s="819"/>
      <c r="P47" s="4778">
        <v>862.74481623063934</v>
      </c>
      <c r="Q47" s="816"/>
      <c r="R47" s="2399">
        <f>+N47+P47</f>
        <v>4956.1796149938937</v>
      </c>
      <c r="S47" s="819"/>
      <c r="T47" s="4889">
        <v>1454.4936560984768</v>
      </c>
      <c r="U47" s="816"/>
      <c r="V47" s="4890">
        <f>+R47+T47</f>
        <v>6410.6732710923707</v>
      </c>
      <c r="W47" s="819"/>
      <c r="X47" s="5043">
        <v>1354.5118222891565</v>
      </c>
      <c r="Y47" s="817"/>
      <c r="Z47" s="2398">
        <f>SUM(P47,T47,X47)</f>
        <v>3671.7502946182726</v>
      </c>
      <c r="AA47" s="809"/>
      <c r="AB47" s="2502">
        <f>SUM(N47,Z47)</f>
        <v>7765.1850933815276</v>
      </c>
      <c r="AC47" s="819"/>
      <c r="AD47" s="5337">
        <v>961</v>
      </c>
      <c r="AE47" s="816"/>
      <c r="AF47" s="2399">
        <f>+AB47+AD47</f>
        <v>8726.1850933815276</v>
      </c>
      <c r="AG47" s="819"/>
      <c r="AH47" s="5510">
        <v>1374.4422485837504</v>
      </c>
      <c r="AI47" s="816"/>
      <c r="AJ47" s="2399">
        <f>+AF47+AH47</f>
        <v>10100.627341965279</v>
      </c>
      <c r="AK47" s="819"/>
      <c r="AL47" s="5929">
        <v>1449.4193560465305</v>
      </c>
      <c r="AM47" s="817"/>
      <c r="AN47" s="2723">
        <f>SUM(AD47,AH47,AL47)</f>
        <v>3784.8616046302809</v>
      </c>
      <c r="AO47" s="816"/>
      <c r="AP47" s="761">
        <f>AJ47+AL47</f>
        <v>11550.046698011809</v>
      </c>
      <c r="AQ47" s="819"/>
      <c r="AR47" s="6090">
        <v>869.77647828503143</v>
      </c>
      <c r="AS47" s="816"/>
      <c r="AT47" s="2399">
        <f>+AP47+AR47</f>
        <v>12419.823176296841</v>
      </c>
      <c r="AU47" s="819"/>
      <c r="AV47" s="6215">
        <v>1309.3452985229683</v>
      </c>
      <c r="AW47" s="816"/>
      <c r="AX47" s="6212">
        <f>+AT47+AV47</f>
        <v>13729.168474819809</v>
      </c>
      <c r="AY47" s="819"/>
      <c r="AZ47" s="6423">
        <v>1453.7822605526296</v>
      </c>
      <c r="BA47" s="817"/>
      <c r="BB47" s="3031">
        <f>SUM(AR47,AV47,AZ47)</f>
        <v>3632.9040373606294</v>
      </c>
      <c r="BC47" s="809"/>
      <c r="BD47" s="2502">
        <f>SUM(AN47,BB47)</f>
        <v>7417.7656419909108</v>
      </c>
      <c r="BE47" s="816"/>
      <c r="BF47" s="2399">
        <f>+AX47+AZ47</f>
        <v>15182.950735372438</v>
      </c>
      <c r="BG47" s="1222"/>
      <c r="BH47" s="1222"/>
      <c r="BI47" s="4713"/>
      <c r="BJ47" s="4713"/>
      <c r="BK47" s="26"/>
      <c r="BL47" s="26"/>
      <c r="BM47" s="26"/>
      <c r="BN47" s="26"/>
    </row>
    <row r="48" spans="1:66" ht="16.5" customHeight="1" thickBot="1" x14ac:dyDescent="0.3">
      <c r="B48" s="2512" t="s">
        <v>142</v>
      </c>
      <c r="C48" s="2513" t="s">
        <v>50</v>
      </c>
      <c r="D48" s="111"/>
      <c r="E48" s="111"/>
      <c r="F48" s="2514">
        <f>SUM(F46:F47)</f>
        <v>2159.4309109229384</v>
      </c>
      <c r="G48" s="111"/>
      <c r="H48" s="2514">
        <f>SUM(H46:H47)</f>
        <v>2245.1800009569724</v>
      </c>
      <c r="I48" s="1189"/>
      <c r="J48" s="1190">
        <f t="shared" si="159"/>
        <v>4404.6109118799104</v>
      </c>
      <c r="K48" s="111"/>
      <c r="L48" s="2514">
        <f>SUM(L46:L47)</f>
        <v>2000.4019919398079</v>
      </c>
      <c r="M48" s="1570"/>
      <c r="N48" s="2515">
        <f t="shared" si="160"/>
        <v>6405.0129038197183</v>
      </c>
      <c r="O48" s="111"/>
      <c r="P48" s="2514">
        <f>SUM(P46:P47)</f>
        <v>1350.8332064728647</v>
      </c>
      <c r="Q48" s="1189"/>
      <c r="R48" s="2516">
        <f t="shared" ref="R48" si="169">SUM(R46:R47)</f>
        <v>7755.846110292583</v>
      </c>
      <c r="S48" s="111"/>
      <c r="T48" s="2514">
        <f>SUM(T46:T47)</f>
        <v>2279.3768385863741</v>
      </c>
      <c r="U48" s="1189"/>
      <c r="V48" s="2516">
        <f t="shared" ref="V48" si="170">SUM(V46:V47)</f>
        <v>10035.222948878958</v>
      </c>
      <c r="W48" s="111"/>
      <c r="X48" s="2514">
        <f>SUM(X46:X47)</f>
        <v>2119.8938682181752</v>
      </c>
      <c r="Y48" s="1570"/>
      <c r="Z48" s="2515">
        <f>SUM(Z46:Z47)</f>
        <v>5750.103913277414</v>
      </c>
      <c r="AA48" s="2525"/>
      <c r="AB48" s="2196">
        <f>SUM(AB46:AB47)</f>
        <v>12155.116817097134</v>
      </c>
      <c r="AC48" s="111"/>
      <c r="AD48" s="2514">
        <f>SUM(AD46:AD47)</f>
        <v>1513</v>
      </c>
      <c r="AE48" s="1189"/>
      <c r="AF48" s="2516">
        <f t="shared" ref="AF48" si="171">SUM(AF46:AF47)</f>
        <v>13668.116817097134</v>
      </c>
      <c r="AG48" s="111"/>
      <c r="AH48" s="2514">
        <f>SUM(AH46:AH47)</f>
        <v>2145.6616061492618</v>
      </c>
      <c r="AI48" s="1189"/>
      <c r="AJ48" s="2516">
        <f t="shared" ref="AJ48" si="172">SUM(AJ46:AJ47)</f>
        <v>15813.778423246396</v>
      </c>
      <c r="AK48" s="111"/>
      <c r="AL48" s="2514">
        <f>SUM(AL46:AL47)</f>
        <v>2267.6717832309964</v>
      </c>
      <c r="AM48" s="1570"/>
      <c r="AN48" s="2515">
        <f>SUM(AN46:AN47)</f>
        <v>5926.3333893802583</v>
      </c>
      <c r="AO48" s="1189"/>
      <c r="AP48" s="2516">
        <f t="shared" ref="AP48" si="173">SUM(AP46:AP47)</f>
        <v>18081.450206477391</v>
      </c>
      <c r="AQ48" s="111"/>
      <c r="AR48" s="2514">
        <f>SUM(AR46:AR47)</f>
        <v>1361.343740749754</v>
      </c>
      <c r="AS48" s="1189"/>
      <c r="AT48" s="2516">
        <f t="shared" ref="AT48" si="174">SUM(AT46:AT47)</f>
        <v>19442.793947227146</v>
      </c>
      <c r="AU48" s="111"/>
      <c r="AV48" s="2514">
        <f>SUM(AV46:AV47)</f>
        <v>2037.5496328882932</v>
      </c>
      <c r="AW48" s="1189"/>
      <c r="AX48" s="2516">
        <f t="shared" ref="AX48" si="175">SUM(AX46:AX47)</f>
        <v>21480.343580115441</v>
      </c>
      <c r="AY48" s="111"/>
      <c r="AZ48" s="2514">
        <f>SUM(AZ46:AZ47)</f>
        <v>2262.0776096296636</v>
      </c>
      <c r="BA48" s="1570"/>
      <c r="BB48" s="2515">
        <f>SUM(BB46:BB47)</f>
        <v>5660.9709832677108</v>
      </c>
      <c r="BC48" s="2525"/>
      <c r="BD48" s="2196">
        <f>SUM(BD46:BD47)</f>
        <v>11587.30437264797</v>
      </c>
      <c r="BE48" s="1189"/>
      <c r="BF48" s="2516">
        <f t="shared" ref="BF48" si="176">SUM(BF46:BF47)</f>
        <v>23742.421189745102</v>
      </c>
      <c r="BG48" s="1222"/>
      <c r="BH48" s="1222"/>
      <c r="BI48" s="4713"/>
      <c r="BJ48" s="4713"/>
      <c r="BK48" s="26"/>
      <c r="BL48" s="26"/>
      <c r="BM48" s="26"/>
      <c r="BN48" s="26"/>
    </row>
    <row r="49" spans="1:66" ht="15.75" customHeight="1" x14ac:dyDescent="0.25">
      <c r="B49" s="1887" t="s">
        <v>154</v>
      </c>
      <c r="C49" s="159" t="s">
        <v>50</v>
      </c>
      <c r="D49" s="819"/>
      <c r="E49" s="819"/>
      <c r="F49" s="2400">
        <v>1294.5281850092917</v>
      </c>
      <c r="G49" s="819"/>
      <c r="H49" s="7176">
        <v>1350.4722366372603</v>
      </c>
      <c r="I49" s="816"/>
      <c r="J49" s="256">
        <f t="shared" si="159"/>
        <v>2645.0004216465522</v>
      </c>
      <c r="K49" s="819"/>
      <c r="L49" s="4585">
        <v>1632.9254492269117</v>
      </c>
      <c r="M49" s="817"/>
      <c r="N49" s="2398">
        <f t="shared" si="160"/>
        <v>4277.9258708734642</v>
      </c>
      <c r="O49" s="819"/>
      <c r="P49" s="4778">
        <v>1709.4315878378379</v>
      </c>
      <c r="Q49" s="816"/>
      <c r="R49" s="2399">
        <f>+N49+P49</f>
        <v>5987.3574587113017</v>
      </c>
      <c r="S49" s="819"/>
      <c r="T49" s="4889">
        <v>1374.8053041464957</v>
      </c>
      <c r="U49" s="816"/>
      <c r="V49" s="4890">
        <f>+R49+T49</f>
        <v>7362.1627628577971</v>
      </c>
      <c r="W49" s="819"/>
      <c r="X49" s="5043">
        <v>1346.0167014613778</v>
      </c>
      <c r="Y49" s="817"/>
      <c r="Z49" s="2398">
        <f>SUM(P49,T49,X49)</f>
        <v>4430.2535934457119</v>
      </c>
      <c r="AA49" s="809"/>
      <c r="AB49" s="2502">
        <f>SUM(N49,Z49)</f>
        <v>8708.1794643191752</v>
      </c>
      <c r="AC49" s="819"/>
      <c r="AD49" s="5337">
        <v>1657</v>
      </c>
      <c r="AE49" s="816"/>
      <c r="AF49" s="2399">
        <f>+AB49+AD49</f>
        <v>10365.179464319175</v>
      </c>
      <c r="AG49" s="819"/>
      <c r="AH49" s="5510">
        <v>1290.5070583262889</v>
      </c>
      <c r="AI49" s="816"/>
      <c r="AJ49" s="2399">
        <f>+AF49+AH49</f>
        <v>11655.686522645465</v>
      </c>
      <c r="AK49" s="819"/>
      <c r="AL49" s="5929">
        <v>1631.0498381877021</v>
      </c>
      <c r="AM49" s="817"/>
      <c r="AN49" s="2723">
        <f>SUM(AD49,AH49,AL49)</f>
        <v>4578.556896513991</v>
      </c>
      <c r="AO49" s="816"/>
      <c r="AP49" s="761">
        <f>AJ49+AL49</f>
        <v>13286.736360833167</v>
      </c>
      <c r="AQ49" s="819"/>
      <c r="AR49" s="6090">
        <v>1649.4812584927354</v>
      </c>
      <c r="AS49" s="816"/>
      <c r="AT49" s="2399">
        <f>+AP49+AR49</f>
        <v>14936.217619325902</v>
      </c>
      <c r="AU49" s="819"/>
      <c r="AV49" s="6215">
        <v>1213.6738906088749</v>
      </c>
      <c r="AW49" s="816"/>
      <c r="AX49" s="6212">
        <f>+AT49+AV49</f>
        <v>16149.891509934776</v>
      </c>
      <c r="AY49" s="819"/>
      <c r="AZ49" s="6423">
        <v>1347.1589151283904</v>
      </c>
      <c r="BA49" s="817"/>
      <c r="BB49" s="3031">
        <f>SUM(AR49,AV49,AZ49)</f>
        <v>4210.3140642300004</v>
      </c>
      <c r="BC49" s="809"/>
      <c r="BD49" s="2502">
        <f>SUM(AN49,BB49)</f>
        <v>8788.8709607439923</v>
      </c>
      <c r="BE49" s="816"/>
      <c r="BF49" s="2399">
        <f>+AX49+AZ49</f>
        <v>17497.050425063167</v>
      </c>
      <c r="BG49" s="1222"/>
      <c r="BH49" s="1222"/>
      <c r="BI49" s="4713"/>
      <c r="BJ49" s="4713"/>
      <c r="BK49" s="26"/>
      <c r="BL49" s="26"/>
      <c r="BM49" s="26"/>
      <c r="BN49" s="26"/>
    </row>
    <row r="50" spans="1:66" ht="16.5" customHeight="1" thickBot="1" x14ac:dyDescent="0.3">
      <c r="B50" s="1887" t="s">
        <v>155</v>
      </c>
      <c r="C50" s="159" t="s">
        <v>50</v>
      </c>
      <c r="D50" s="819"/>
      <c r="E50" s="819"/>
      <c r="F50" s="2400">
        <v>2304.523333195606</v>
      </c>
      <c r="G50" s="819"/>
      <c r="H50" s="7176">
        <v>2391.4944316243609</v>
      </c>
      <c r="I50" s="816"/>
      <c r="J50" s="256">
        <f t="shared" si="159"/>
        <v>4696.0177648199669</v>
      </c>
      <c r="K50" s="819"/>
      <c r="L50" s="4585">
        <v>2875.2268659417855</v>
      </c>
      <c r="M50" s="817"/>
      <c r="N50" s="2398">
        <f t="shared" si="160"/>
        <v>7571.244630761752</v>
      </c>
      <c r="O50" s="819"/>
      <c r="P50" s="4778">
        <v>3021.5904958855908</v>
      </c>
      <c r="Q50" s="816"/>
      <c r="R50" s="2399">
        <f>+N50+P50</f>
        <v>10592.835126647344</v>
      </c>
      <c r="S50" s="819"/>
      <c r="T50" s="4889">
        <v>2424.1560934974618</v>
      </c>
      <c r="U50" s="816"/>
      <c r="V50" s="4890">
        <f>+R50+T50</f>
        <v>13016.991220144806</v>
      </c>
      <c r="W50" s="819"/>
      <c r="X50" s="5043">
        <v>2382.0725150602407</v>
      </c>
      <c r="Y50" s="817"/>
      <c r="Z50" s="2398">
        <f>SUM(P50,T50,X50)</f>
        <v>7827.8191044432933</v>
      </c>
      <c r="AA50" s="809"/>
      <c r="AB50" s="2502">
        <f>SUM(N50,Z50)</f>
        <v>15399.063735205045</v>
      </c>
      <c r="AC50" s="819"/>
      <c r="AD50" s="5337">
        <v>2884</v>
      </c>
      <c r="AE50" s="816"/>
      <c r="AF50" s="2399">
        <f>+AB50+AD50</f>
        <v>18283.063735205047</v>
      </c>
      <c r="AG50" s="819"/>
      <c r="AH50" s="5510">
        <v>2299.9000292968085</v>
      </c>
      <c r="AI50" s="816"/>
      <c r="AJ50" s="2399">
        <f>+AF50+AH50</f>
        <v>20582.963764501856</v>
      </c>
      <c r="AK50" s="819"/>
      <c r="AL50" s="5929">
        <v>2889.1759163860843</v>
      </c>
      <c r="AM50" s="817"/>
      <c r="AN50" s="2723">
        <f>SUM(AD50,AH50,AL50)</f>
        <v>8073.0759456828928</v>
      </c>
      <c r="AO50" s="816"/>
      <c r="AP50" s="761">
        <f>AJ50+AL50</f>
        <v>23472.13968088794</v>
      </c>
      <c r="AQ50" s="819"/>
      <c r="AR50" s="6090">
        <v>2918.5832938008834</v>
      </c>
      <c r="AS50" s="816"/>
      <c r="AT50" s="2399">
        <f>+AP50+AR50</f>
        <v>26390.722974688822</v>
      </c>
      <c r="AU50" s="819"/>
      <c r="AV50" s="6215">
        <v>2182.2421642049471</v>
      </c>
      <c r="AW50" s="816"/>
      <c r="AX50" s="6212">
        <f>+AT50+AV50</f>
        <v>28572.965138893771</v>
      </c>
      <c r="AY50" s="819"/>
      <c r="AZ50" s="6423">
        <v>2422.9704342543832</v>
      </c>
      <c r="BA50" s="817"/>
      <c r="BB50" s="3031">
        <f>SUM(AR50,AV50,AZ50)</f>
        <v>7523.7958922602138</v>
      </c>
      <c r="BC50" s="809"/>
      <c r="BD50" s="2502">
        <f>SUM(AN50,BB50)</f>
        <v>15596.871837943107</v>
      </c>
      <c r="BE50" s="816"/>
      <c r="BF50" s="2399">
        <f>+AX50+AZ50</f>
        <v>30995.935573148156</v>
      </c>
      <c r="BG50" s="1222"/>
      <c r="BH50" s="1222"/>
      <c r="BI50" s="4713"/>
      <c r="BJ50" s="4713"/>
      <c r="BK50" s="26"/>
      <c r="BL50" s="26"/>
      <c r="BM50" s="26"/>
      <c r="BN50" s="26"/>
    </row>
    <row r="51" spans="1:66" ht="16.5" customHeight="1" thickBot="1" x14ac:dyDescent="0.3">
      <c r="B51" s="2512" t="s">
        <v>143</v>
      </c>
      <c r="C51" s="2513" t="s">
        <v>50</v>
      </c>
      <c r="D51" s="111"/>
      <c r="E51" s="111"/>
      <c r="F51" s="2514">
        <f>SUM(F49:F50)</f>
        <v>3599.0515182048975</v>
      </c>
      <c r="G51" s="111"/>
      <c r="H51" s="2514">
        <f>SUM(H49:H50)</f>
        <v>3741.9666682616212</v>
      </c>
      <c r="I51" s="1189"/>
      <c r="J51" s="1190">
        <f t="shared" si="159"/>
        <v>7341.0181864665192</v>
      </c>
      <c r="K51" s="111"/>
      <c r="L51" s="2514">
        <f>SUM(L49:L50)</f>
        <v>4508.152315168697</v>
      </c>
      <c r="M51" s="1570"/>
      <c r="N51" s="2515">
        <f t="shared" si="160"/>
        <v>11849.170501635217</v>
      </c>
      <c r="O51" s="111"/>
      <c r="P51" s="2514">
        <f>SUM(P49:P50)</f>
        <v>4731.0220837234283</v>
      </c>
      <c r="Q51" s="1189"/>
      <c r="R51" s="2516">
        <f t="shared" ref="R51" si="177">SUM(R49:R50)</f>
        <v>16580.192585358644</v>
      </c>
      <c r="S51" s="111"/>
      <c r="T51" s="2514">
        <f>SUM(T49:T50)</f>
        <v>3798.9613976439578</v>
      </c>
      <c r="U51" s="1189"/>
      <c r="V51" s="2516">
        <f t="shared" ref="V51" si="178">SUM(V49:V50)</f>
        <v>20379.153983002601</v>
      </c>
      <c r="W51" s="111"/>
      <c r="X51" s="2514">
        <f>SUM(X49:X50)</f>
        <v>3728.0892165216183</v>
      </c>
      <c r="Y51" s="1570"/>
      <c r="Z51" s="2515">
        <f>SUM(Z49:Z50)</f>
        <v>12258.072697889005</v>
      </c>
      <c r="AA51" s="2525"/>
      <c r="AB51" s="2196">
        <f>SUM(AB49:AB50)</f>
        <v>24107.243199524222</v>
      </c>
      <c r="AC51" s="111"/>
      <c r="AD51" s="2514">
        <f>SUM(AD49:AD50)</f>
        <v>4541</v>
      </c>
      <c r="AE51" s="1189"/>
      <c r="AF51" s="2516">
        <f t="shared" ref="AF51" si="179">SUM(AF49:AF50)</f>
        <v>28648.243199524222</v>
      </c>
      <c r="AG51" s="111"/>
      <c r="AH51" s="2514">
        <f>SUM(AH49:AH50)</f>
        <v>3590.4070876230971</v>
      </c>
      <c r="AI51" s="1189"/>
      <c r="AJ51" s="2516">
        <f t="shared" ref="AJ51" si="180">SUM(AJ49:AJ50)</f>
        <v>32238.65028714732</v>
      </c>
      <c r="AK51" s="111"/>
      <c r="AL51" s="2514">
        <f>SUM(AL49:AL50)</f>
        <v>4520.2257545737866</v>
      </c>
      <c r="AM51" s="1570"/>
      <c r="AN51" s="2515">
        <f>SUM(AN49:AN50)</f>
        <v>12651.632842196883</v>
      </c>
      <c r="AO51" s="1189"/>
      <c r="AP51" s="2516">
        <f t="shared" ref="AP51" si="181">SUM(AP49:AP50)</f>
        <v>36758.876041721109</v>
      </c>
      <c r="AQ51" s="111"/>
      <c r="AR51" s="2514">
        <f>SUM(AR49:AR50)</f>
        <v>4568.0645522936193</v>
      </c>
      <c r="AS51" s="1189"/>
      <c r="AT51" s="2516">
        <f t="shared" ref="AT51" si="182">SUM(AT49:AT50)</f>
        <v>41326.940594014726</v>
      </c>
      <c r="AU51" s="111"/>
      <c r="AV51" s="2514">
        <f>SUM(AV49:AV50)</f>
        <v>3395.916054813822</v>
      </c>
      <c r="AW51" s="1189"/>
      <c r="AX51" s="2516">
        <f t="shared" ref="AX51" si="183">SUM(AX49:AX50)</f>
        <v>44722.856648828543</v>
      </c>
      <c r="AY51" s="111"/>
      <c r="AZ51" s="2514">
        <f>SUM(AZ49:AZ50)</f>
        <v>3770.1293493827734</v>
      </c>
      <c r="BA51" s="1570"/>
      <c r="BB51" s="2515">
        <f>SUM(BB49:BB50)</f>
        <v>11734.109956490214</v>
      </c>
      <c r="BC51" s="2525"/>
      <c r="BD51" s="2196">
        <f>SUM(BD49:BD50)</f>
        <v>24385.742798687097</v>
      </c>
      <c r="BE51" s="1189"/>
      <c r="BF51" s="2516">
        <f t="shared" ref="BF51" si="184">SUM(BF49:BF50)</f>
        <v>48492.985998211327</v>
      </c>
      <c r="BG51" s="1222"/>
      <c r="BH51" s="1222"/>
      <c r="BI51" s="4713"/>
      <c r="BJ51" s="4713"/>
      <c r="BK51" s="26"/>
      <c r="BL51" s="26"/>
      <c r="BM51" s="26"/>
      <c r="BN51" s="26"/>
    </row>
    <row r="52" spans="1:66" ht="15.75" customHeight="1" x14ac:dyDescent="0.25">
      <c r="B52" s="1887" t="s">
        <v>156</v>
      </c>
      <c r="C52" s="159" t="s">
        <v>50</v>
      </c>
      <c r="D52" s="819"/>
      <c r="E52" s="819"/>
      <c r="F52" s="2400">
        <v>517.81127400371668</v>
      </c>
      <c r="G52" s="819"/>
      <c r="H52" s="7176">
        <v>540.18889465490406</v>
      </c>
      <c r="I52" s="816"/>
      <c r="J52" s="256">
        <f t="shared" si="159"/>
        <v>1058.0001686586206</v>
      </c>
      <c r="K52" s="819"/>
      <c r="L52" s="4585">
        <v>525.05641454241538</v>
      </c>
      <c r="M52" s="817"/>
      <c r="N52" s="2398">
        <f t="shared" si="160"/>
        <v>1583.0565832010361</v>
      </c>
      <c r="O52" s="819"/>
      <c r="P52" s="4778">
        <v>547.14302113731605</v>
      </c>
      <c r="Q52" s="816"/>
      <c r="R52" s="2399">
        <f>+N52+P52</f>
        <v>2130.1996043383524</v>
      </c>
      <c r="S52" s="819"/>
      <c r="T52" s="4889">
        <v>549.92212165859814</v>
      </c>
      <c r="U52" s="816"/>
      <c r="V52" s="4890">
        <f>+R52+T52</f>
        <v>2680.1217259969508</v>
      </c>
      <c r="W52" s="819"/>
      <c r="X52" s="5043">
        <v>527.84968684759917</v>
      </c>
      <c r="Y52" s="817"/>
      <c r="Z52" s="2398">
        <f>SUM(P52,T52,X52)</f>
        <v>1624.9148296435133</v>
      </c>
      <c r="AA52" s="809"/>
      <c r="AB52" s="2502">
        <f>SUM(N52,Z52)</f>
        <v>3207.9714128445494</v>
      </c>
      <c r="AC52" s="819"/>
      <c r="AD52" s="5337">
        <v>552</v>
      </c>
      <c r="AE52" s="816"/>
      <c r="AF52" s="2399">
        <f>+AB52+AD52</f>
        <v>3759.9714128445494</v>
      </c>
      <c r="AG52" s="819"/>
      <c r="AH52" s="5510">
        <v>514.14623837700753</v>
      </c>
      <c r="AI52" s="816"/>
      <c r="AJ52" s="2399">
        <f>+AF52+AH52</f>
        <v>4274.117651221557</v>
      </c>
      <c r="AK52" s="819"/>
      <c r="AL52" s="5929">
        <v>545.50161812297722</v>
      </c>
      <c r="AM52" s="817"/>
      <c r="AN52" s="2723">
        <f>SUM(AD52,AH52,AL52)</f>
        <v>1611.6478564999848</v>
      </c>
      <c r="AO52" s="816"/>
      <c r="AP52" s="761">
        <f>AJ52+AL52</f>
        <v>4819.6192693445346</v>
      </c>
      <c r="AQ52" s="819"/>
      <c r="AR52" s="6090">
        <v>537.99305947527955</v>
      </c>
      <c r="AS52" s="816"/>
      <c r="AT52" s="2399">
        <f>+AP52+AR52</f>
        <v>5357.6123288198141</v>
      </c>
      <c r="AU52" s="819"/>
      <c r="AV52" s="6215">
        <v>485.46955624355002</v>
      </c>
      <c r="AW52" s="816"/>
      <c r="AX52" s="6212">
        <f>+AT52+AV52</f>
        <v>5843.0818850633641</v>
      </c>
      <c r="AY52" s="819"/>
      <c r="AZ52" s="6423">
        <v>538.86356605135597</v>
      </c>
      <c r="BA52" s="817"/>
      <c r="BB52" s="3031">
        <f>SUM(AR52,AV52,AZ52)</f>
        <v>1562.3261817701855</v>
      </c>
      <c r="BC52" s="809"/>
      <c r="BD52" s="2502">
        <f>SUM(AN52,BB52)</f>
        <v>3173.9740382701702</v>
      </c>
      <c r="BE52" s="816"/>
      <c r="BF52" s="2399">
        <f>+AX52+AZ52</f>
        <v>6381.9454511147196</v>
      </c>
      <c r="BG52" s="1222"/>
      <c r="BH52" s="1222"/>
      <c r="BI52" s="4713"/>
      <c r="BJ52" s="4713"/>
      <c r="BK52" s="26"/>
      <c r="BL52" s="26"/>
      <c r="BM52" s="26"/>
      <c r="BN52" s="26"/>
    </row>
    <row r="53" spans="1:66" ht="16.5" customHeight="1" thickBot="1" x14ac:dyDescent="0.3">
      <c r="B53" s="1887" t="s">
        <v>157</v>
      </c>
      <c r="C53" s="159" t="s">
        <v>50</v>
      </c>
      <c r="D53" s="819"/>
      <c r="E53" s="819"/>
      <c r="F53" s="2400">
        <v>921.80933327824255</v>
      </c>
      <c r="G53" s="819"/>
      <c r="H53" s="7176">
        <v>956.59777264974412</v>
      </c>
      <c r="I53" s="816"/>
      <c r="J53" s="256">
        <f t="shared" si="159"/>
        <v>1878.4071059279868</v>
      </c>
      <c r="K53" s="819"/>
      <c r="L53" s="4585">
        <v>924.51024628353252</v>
      </c>
      <c r="M53" s="817"/>
      <c r="N53" s="2398">
        <f t="shared" si="160"/>
        <v>2802.9173522115193</v>
      </c>
      <c r="O53" s="819"/>
      <c r="P53" s="4778">
        <v>967.12975489690973</v>
      </c>
      <c r="Q53" s="816"/>
      <c r="R53" s="2399">
        <f>+N53+P53</f>
        <v>3770.0471071084289</v>
      </c>
      <c r="S53" s="819"/>
      <c r="T53" s="4889">
        <v>969.66243739898459</v>
      </c>
      <c r="U53" s="816"/>
      <c r="V53" s="4890">
        <f>+R53+T53</f>
        <v>4739.7095445074137</v>
      </c>
      <c r="W53" s="819"/>
      <c r="X53" s="5043">
        <v>934.14608433734941</v>
      </c>
      <c r="Y53" s="817"/>
      <c r="Z53" s="2398">
        <f>SUM(P53,T53,X53)</f>
        <v>2870.9382766332437</v>
      </c>
      <c r="AA53" s="809"/>
      <c r="AB53" s="2502">
        <f>SUM(N53,Z53)</f>
        <v>5673.8556288447635</v>
      </c>
      <c r="AC53" s="819"/>
      <c r="AD53" s="5337">
        <v>961</v>
      </c>
      <c r="AE53" s="816"/>
      <c r="AF53" s="2399">
        <f>+AB53+AD53</f>
        <v>6634.8556288447635</v>
      </c>
      <c r="AG53" s="819"/>
      <c r="AH53" s="5510">
        <v>916.29483238916691</v>
      </c>
      <c r="AI53" s="816"/>
      <c r="AJ53" s="2399">
        <f>+AF53+AH53</f>
        <v>7551.1504612339304</v>
      </c>
      <c r="AK53" s="819"/>
      <c r="AL53" s="5929">
        <v>966.27957069768695</v>
      </c>
      <c r="AM53" s="817"/>
      <c r="AN53" s="2723">
        <f>SUM(AD53,AH53,AL53)</f>
        <v>2843.5744030868536</v>
      </c>
      <c r="AO53" s="816"/>
      <c r="AP53" s="761">
        <f>AJ53+AL53</f>
        <v>8517.4300319316171</v>
      </c>
      <c r="AQ53" s="819"/>
      <c r="AR53" s="6090">
        <v>951.92203456750644</v>
      </c>
      <c r="AS53" s="816"/>
      <c r="AT53" s="2399">
        <f>+AP53+AR53</f>
        <v>9469.3520664991229</v>
      </c>
      <c r="AU53" s="819"/>
      <c r="AV53" s="6215">
        <v>872.89686568197885</v>
      </c>
      <c r="AW53" s="816"/>
      <c r="AX53" s="6212">
        <f>+AT53+AV53</f>
        <v>10342.248932181101</v>
      </c>
      <c r="AY53" s="819"/>
      <c r="AZ53" s="6423">
        <v>969.18817370175316</v>
      </c>
      <c r="BA53" s="817"/>
      <c r="BB53" s="3031">
        <f>SUM(AR53,AV53,AZ53)</f>
        <v>2794.0070739512385</v>
      </c>
      <c r="BC53" s="809"/>
      <c r="BD53" s="2502">
        <f>SUM(AN53,BB53)</f>
        <v>5637.5814770380921</v>
      </c>
      <c r="BE53" s="816"/>
      <c r="BF53" s="2399">
        <f>+AX53+AZ53</f>
        <v>11311.437105882855</v>
      </c>
      <c r="BG53" s="1222"/>
      <c r="BH53" s="1222"/>
      <c r="BI53" s="4713"/>
      <c r="BJ53" s="4713"/>
      <c r="BK53" s="26"/>
      <c r="BL53" s="26"/>
      <c r="BM53" s="26"/>
      <c r="BN53" s="26"/>
    </row>
    <row r="54" spans="1:66" ht="16.5" customHeight="1" thickBot="1" x14ac:dyDescent="0.3">
      <c r="B54" s="2512" t="s">
        <v>144</v>
      </c>
      <c r="C54" s="2513" t="s">
        <v>50</v>
      </c>
      <c r="D54" s="111"/>
      <c r="E54" s="111"/>
      <c r="F54" s="2514">
        <f>SUM(F52:F53)</f>
        <v>1439.6206072819591</v>
      </c>
      <c r="G54" s="111"/>
      <c r="H54" s="2514">
        <f>SUM(H52:H53)</f>
        <v>1496.7866673046483</v>
      </c>
      <c r="I54" s="1189"/>
      <c r="J54" s="1190">
        <f t="shared" si="159"/>
        <v>2936.4072745866074</v>
      </c>
      <c r="K54" s="111"/>
      <c r="L54" s="2514">
        <f>SUM(L52:L53)</f>
        <v>1449.566660825948</v>
      </c>
      <c r="M54" s="1570"/>
      <c r="N54" s="2515">
        <f t="shared" si="160"/>
        <v>4385.9739354125559</v>
      </c>
      <c r="O54" s="111"/>
      <c r="P54" s="2514">
        <f>SUM(P52:P53)</f>
        <v>1514.2727760342259</v>
      </c>
      <c r="Q54" s="1189"/>
      <c r="R54" s="2516">
        <f t="shared" ref="R54" si="185">SUM(R52:R53)</f>
        <v>5900.2467114467818</v>
      </c>
      <c r="S54" s="111"/>
      <c r="T54" s="2514">
        <f>SUM(T52:T53)</f>
        <v>1519.5845590575827</v>
      </c>
      <c r="U54" s="1189"/>
      <c r="V54" s="2516">
        <f t="shared" ref="V54" si="186">SUM(V52:V53)</f>
        <v>7419.8312705043645</v>
      </c>
      <c r="W54" s="111"/>
      <c r="X54" s="2514">
        <f>SUM(X52:X53)</f>
        <v>1461.9957711849486</v>
      </c>
      <c r="Y54" s="1570"/>
      <c r="Z54" s="2515">
        <f>SUM(Z52:Z53)</f>
        <v>4495.853106276757</v>
      </c>
      <c r="AA54" s="2525"/>
      <c r="AB54" s="2196">
        <f>SUM(AB52:AB53)</f>
        <v>8881.8270416893138</v>
      </c>
      <c r="AC54" s="111"/>
      <c r="AD54" s="2514">
        <f>SUM(AD52:AD53)</f>
        <v>1513</v>
      </c>
      <c r="AE54" s="1189"/>
      <c r="AF54" s="2516">
        <f t="shared" ref="AF54" si="187">SUM(AF52:AF53)</f>
        <v>10394.827041689314</v>
      </c>
      <c r="AG54" s="111"/>
      <c r="AH54" s="2514">
        <f>SUM(AH52:AH53)</f>
        <v>1430.4410707661746</v>
      </c>
      <c r="AI54" s="1189"/>
      <c r="AJ54" s="2516">
        <f t="shared" ref="AJ54" si="188">SUM(AJ52:AJ53)</f>
        <v>11825.268112455487</v>
      </c>
      <c r="AK54" s="111"/>
      <c r="AL54" s="2514">
        <f>SUM(AL52:AL53)</f>
        <v>1511.7811888206643</v>
      </c>
      <c r="AM54" s="1570"/>
      <c r="AN54" s="2515">
        <f>SUM(AN52:AN53)</f>
        <v>4455.2222595868388</v>
      </c>
      <c r="AO54" s="1189"/>
      <c r="AP54" s="2516">
        <f t="shared" ref="AP54" si="189">SUM(AP52:AP53)</f>
        <v>13337.049301276151</v>
      </c>
      <c r="AQ54" s="111"/>
      <c r="AR54" s="2514">
        <f>SUM(AR52:AR53)</f>
        <v>1489.915094042786</v>
      </c>
      <c r="AS54" s="1189"/>
      <c r="AT54" s="2516">
        <f t="shared" ref="AT54" si="190">SUM(AT52:AT53)</f>
        <v>14826.964395318937</v>
      </c>
      <c r="AU54" s="111"/>
      <c r="AV54" s="2514">
        <f>SUM(AV52:AV53)</f>
        <v>1358.3664219255288</v>
      </c>
      <c r="AW54" s="1189"/>
      <c r="AX54" s="2516">
        <f t="shared" ref="AX54" si="191">SUM(AX52:AX53)</f>
        <v>16185.330817244465</v>
      </c>
      <c r="AY54" s="111"/>
      <c r="AZ54" s="2514">
        <f>SUM(AZ52:AZ53)</f>
        <v>1508.0517397531091</v>
      </c>
      <c r="BA54" s="1570"/>
      <c r="BB54" s="2515">
        <f>SUM(BB52:BB53)</f>
        <v>4356.3332557214235</v>
      </c>
      <c r="BC54" s="2525"/>
      <c r="BD54" s="2196">
        <f>SUM(BD52:BD53)</f>
        <v>8811.5555153082623</v>
      </c>
      <c r="BE54" s="1189"/>
      <c r="BF54" s="2516">
        <f t="shared" ref="BF54" si="192">SUM(BF52:BF53)</f>
        <v>17693.382556997574</v>
      </c>
      <c r="BG54" s="1222"/>
      <c r="BH54" s="1222"/>
      <c r="BI54" s="4713"/>
      <c r="BJ54" s="4713"/>
      <c r="BK54" s="26"/>
      <c r="BL54" s="26"/>
      <c r="BM54" s="26"/>
      <c r="BN54" s="26"/>
    </row>
    <row r="55" spans="1:66" ht="15.75" customHeight="1" x14ac:dyDescent="0.25">
      <c r="B55" s="1887" t="s">
        <v>158</v>
      </c>
      <c r="C55" s="159" t="s">
        <v>50</v>
      </c>
      <c r="D55" s="819"/>
      <c r="E55" s="819"/>
      <c r="F55" s="1970">
        <f t="shared" ref="F55:H56" si="193">+F43+F46+F49+F52</f>
        <v>39094.751187280614</v>
      </c>
      <c r="G55" s="819"/>
      <c r="H55" s="1970">
        <f t="shared" si="193"/>
        <v>40784.261546445254</v>
      </c>
      <c r="I55" s="816"/>
      <c r="J55" s="256">
        <f t="shared" si="159"/>
        <v>79879.01273372586</v>
      </c>
      <c r="K55" s="819"/>
      <c r="L55" s="1970">
        <f t="shared" ref="L55:L56" si="194">+L43+L46+L49+L52</f>
        <v>39534.559715837859</v>
      </c>
      <c r="M55" s="817"/>
      <c r="N55" s="2398">
        <f t="shared" si="160"/>
        <v>119413.57244956371</v>
      </c>
      <c r="O55" s="819"/>
      <c r="P55" s="1970">
        <f t="shared" ref="P55:P56" si="195">+P43+P46+P49+P52</f>
        <v>40955.662999217384</v>
      </c>
      <c r="Q55" s="816"/>
      <c r="R55" s="2399">
        <f>+N55+P55</f>
        <v>160369.23544878111</v>
      </c>
      <c r="S55" s="819"/>
      <c r="T55" s="1970">
        <f t="shared" ref="T55:T56" si="196">+T43+T46+T49+T52</f>
        <v>41123.610608292991</v>
      </c>
      <c r="U55" s="816"/>
      <c r="V55" s="4890">
        <f>+R55+T55</f>
        <v>201492.84605707409</v>
      </c>
      <c r="W55" s="819"/>
      <c r="X55" s="1970">
        <f t="shared" ref="X55:X56" si="197">+X43+X46+X49+X52</f>
        <v>39775.248434237998</v>
      </c>
      <c r="Y55" s="817"/>
      <c r="Z55" s="2398">
        <f>SUM(P55,T55,X55)</f>
        <v>121854.52204174837</v>
      </c>
      <c r="AA55" s="809"/>
      <c r="AB55" s="2502">
        <f>SUM(N55,Z55)</f>
        <v>241268.09449131208</v>
      </c>
      <c r="AC55" s="819"/>
      <c r="AD55" s="1970">
        <f t="shared" ref="AD55:AD56" si="198">+AD43+AD46+AD49+AD52</f>
        <v>41690</v>
      </c>
      <c r="AE55" s="816"/>
      <c r="AF55" s="2399">
        <f>+AB55+AD55</f>
        <v>282958.09449131205</v>
      </c>
      <c r="AG55" s="819"/>
      <c r="AH55" s="1970">
        <f t="shared" ref="AH55:AH56" si="199">+AH43+AH46+AH49+AH52</f>
        <v>38818.040997464064</v>
      </c>
      <c r="AI55" s="816"/>
      <c r="AJ55" s="2399">
        <f>+AF55+AH55</f>
        <v>321776.13548877614</v>
      </c>
      <c r="AK55" s="819"/>
      <c r="AL55" s="1970">
        <f t="shared" ref="AL55:AL56" si="200">+AL43+AL46+AL49+AL52</f>
        <v>41185.37216828479</v>
      </c>
      <c r="AM55" s="817"/>
      <c r="AN55" s="2723">
        <f>SUM(AD55,AH55,AL55)</f>
        <v>121693.41316574885</v>
      </c>
      <c r="AO55" s="816"/>
      <c r="AP55" s="761">
        <f>AJ55+AL55</f>
        <v>362961.50765706092</v>
      </c>
      <c r="AQ55" s="819"/>
      <c r="AR55" s="1970">
        <f t="shared" ref="AR55:AR56" si="201">+AR43+AR46+AR49+AR52</f>
        <v>41237.031462318366</v>
      </c>
      <c r="AS55" s="816"/>
      <c r="AT55" s="2399">
        <f>+AP55+AR55</f>
        <v>404198.5391193793</v>
      </c>
      <c r="AU55" s="819"/>
      <c r="AV55" s="1970">
        <f t="shared" ref="AV55:AV56" si="202">+AV43+AV46+AV49+AV52</f>
        <v>36652.951496388014</v>
      </c>
      <c r="AW55" s="816"/>
      <c r="AX55" s="6212">
        <f>+AT55+AV55</f>
        <v>440851.49061576731</v>
      </c>
      <c r="AY55" s="819"/>
      <c r="AZ55" s="1970">
        <f t="shared" ref="AZ55:AZ56" si="203">+AZ43+AZ46+AZ49+AZ52</f>
        <v>40684.199236877379</v>
      </c>
      <c r="BA55" s="817"/>
      <c r="BB55" s="3031">
        <f>SUM(AR55,AV55,AZ55)</f>
        <v>118574.18219558377</v>
      </c>
      <c r="BC55" s="809"/>
      <c r="BD55" s="2502">
        <f>SUM(AN55,BB55)</f>
        <v>240267.59536133261</v>
      </c>
      <c r="BE55" s="816"/>
      <c r="BF55" s="2399">
        <f>+AX55+AZ55</f>
        <v>481535.68985264469</v>
      </c>
      <c r="BG55" s="1222"/>
      <c r="BH55" s="1222"/>
      <c r="BI55" s="4713"/>
      <c r="BJ55" s="4713"/>
      <c r="BK55" s="26"/>
      <c r="BL55" s="26"/>
      <c r="BM55" s="26"/>
      <c r="BN55" s="26"/>
    </row>
    <row r="56" spans="1:66" ht="16.5" customHeight="1" thickBot="1" x14ac:dyDescent="0.3">
      <c r="B56" s="1887" t="s">
        <v>159</v>
      </c>
      <c r="C56" s="159" t="s">
        <v>50</v>
      </c>
      <c r="D56" s="819"/>
      <c r="E56" s="819"/>
      <c r="F56" s="1970">
        <f t="shared" si="193"/>
        <v>69596.604662507307</v>
      </c>
      <c r="G56" s="819"/>
      <c r="H56" s="1970">
        <f t="shared" si="193"/>
        <v>72223.131835055698</v>
      </c>
      <c r="I56" s="816"/>
      <c r="J56" s="256">
        <f t="shared" si="159"/>
        <v>141819.73649756302</v>
      </c>
      <c r="K56" s="819"/>
      <c r="L56" s="1970">
        <f t="shared" si="194"/>
        <v>69800.52359440671</v>
      </c>
      <c r="M56" s="817"/>
      <c r="N56" s="2398">
        <f t="shared" si="160"/>
        <v>211620.26009196974</v>
      </c>
      <c r="O56" s="819"/>
      <c r="P56" s="1970">
        <f t="shared" si="195"/>
        <v>73306.581760720452</v>
      </c>
      <c r="Q56" s="816"/>
      <c r="R56" s="2399">
        <f>+N56+P56</f>
        <v>284926.84185269021</v>
      </c>
      <c r="S56" s="819"/>
      <c r="T56" s="1970">
        <f t="shared" si="196"/>
        <v>73209.514023623342</v>
      </c>
      <c r="U56" s="816"/>
      <c r="V56" s="4890">
        <f>+R56+T56</f>
        <v>358136.35587631352</v>
      </c>
      <c r="W56" s="819"/>
      <c r="X56" s="1970">
        <f t="shared" si="197"/>
        <v>70528.029367469877</v>
      </c>
      <c r="Y56" s="817"/>
      <c r="Z56" s="2398">
        <f>SUM(P56,T56,X56)</f>
        <v>217044.12515181367</v>
      </c>
      <c r="AA56" s="809"/>
      <c r="AB56" s="2502">
        <f>SUM(N56,Z56)</f>
        <v>428664.38524378341</v>
      </c>
      <c r="AC56" s="819"/>
      <c r="AD56" s="1970">
        <f t="shared" si="198"/>
        <v>72569</v>
      </c>
      <c r="AE56" s="816"/>
      <c r="AF56" s="2399">
        <f>+AB56+AD56</f>
        <v>501233.38524378341</v>
      </c>
      <c r="AG56" s="819"/>
      <c r="AH56" s="1970">
        <f t="shared" si="199"/>
        <v>69180.259845382097</v>
      </c>
      <c r="AI56" s="816"/>
      <c r="AJ56" s="2399">
        <f>+AF56+AH56</f>
        <v>570413.64508916554</v>
      </c>
      <c r="AK56" s="819"/>
      <c r="AL56" s="1970">
        <f t="shared" si="200"/>
        <v>72954.107587675375</v>
      </c>
      <c r="AM56" s="817"/>
      <c r="AN56" s="2723">
        <f>SUM(AD56,AH56,AL56)</f>
        <v>214703.36743305746</v>
      </c>
      <c r="AO56" s="816"/>
      <c r="AP56" s="761">
        <f>AJ56+AL56</f>
        <v>643367.75267684087</v>
      </c>
      <c r="AQ56" s="819"/>
      <c r="AR56" s="1970">
        <f t="shared" si="201"/>
        <v>72964.582345022049</v>
      </c>
      <c r="AS56" s="816"/>
      <c r="AT56" s="2399">
        <f>+AP56+AR56</f>
        <v>716332.33502186288</v>
      </c>
      <c r="AU56" s="819"/>
      <c r="AV56" s="1970">
        <f t="shared" si="202"/>
        <v>65903.713358989378</v>
      </c>
      <c r="AW56" s="816"/>
      <c r="AX56" s="6212">
        <f>+AT56+AV56</f>
        <v>782236.04838085221</v>
      </c>
      <c r="AY56" s="819"/>
      <c r="AZ56" s="1970">
        <f t="shared" si="203"/>
        <v>73173.707114482371</v>
      </c>
      <c r="BA56" s="817"/>
      <c r="BB56" s="3031">
        <f>SUM(AR56,AV56,AZ56)</f>
        <v>212042.00281849381</v>
      </c>
      <c r="BC56" s="809"/>
      <c r="BD56" s="2502">
        <f>SUM(AN56,BB56)</f>
        <v>426745.37025155127</v>
      </c>
      <c r="BE56" s="816"/>
      <c r="BF56" s="2399">
        <f>+AX56+AZ56</f>
        <v>855409.75549533463</v>
      </c>
      <c r="BG56" s="1222"/>
      <c r="BH56" s="1222"/>
      <c r="BI56" s="4713"/>
      <c r="BJ56" s="4713"/>
      <c r="BK56" s="26"/>
      <c r="BL56" s="26"/>
      <c r="BM56" s="26"/>
      <c r="BN56" s="26"/>
    </row>
    <row r="57" spans="1:66" ht="16.5" customHeight="1" thickBot="1" x14ac:dyDescent="0.3">
      <c r="B57" s="2512" t="s">
        <v>145</v>
      </c>
      <c r="C57" s="2513" t="s">
        <v>50</v>
      </c>
      <c r="D57" s="111"/>
      <c r="E57" s="111"/>
      <c r="F57" s="2514">
        <f t="shared" ref="F57:H57" si="204">SUM(F55:F56)</f>
        <v>108691.35584978791</v>
      </c>
      <c r="G57" s="111"/>
      <c r="H57" s="2514">
        <f t="shared" si="204"/>
        <v>113007.39338150095</v>
      </c>
      <c r="I57" s="1189"/>
      <c r="J57" s="1190">
        <f t="shared" si="159"/>
        <v>221698.74923128885</v>
      </c>
      <c r="K57" s="111"/>
      <c r="L57" s="2514">
        <f t="shared" ref="L57" si="205">SUM(L55:L56)</f>
        <v>109335.08331024458</v>
      </c>
      <c r="M57" s="1570"/>
      <c r="N57" s="2515">
        <f t="shared" si="160"/>
        <v>331033.8325415334</v>
      </c>
      <c r="O57" s="111"/>
      <c r="P57" s="2514">
        <f t="shared" ref="P57" si="206">SUM(P55:P56)</f>
        <v>114262.24475993784</v>
      </c>
      <c r="Q57" s="1189"/>
      <c r="R57" s="2516">
        <f t="shared" ref="R57" si="207">SUM(R55:R56)</f>
        <v>445296.07730147132</v>
      </c>
      <c r="S57" s="111"/>
      <c r="T57" s="2514">
        <f t="shared" ref="T57" si="208">SUM(T55:T56)</f>
        <v>114333.12463191633</v>
      </c>
      <c r="U57" s="1189"/>
      <c r="V57" s="2516">
        <f t="shared" ref="V57" si="209">SUM(V55:V56)</f>
        <v>559629.20193338767</v>
      </c>
      <c r="W57" s="111"/>
      <c r="X57" s="2514">
        <f t="shared" ref="X57" si="210">SUM(X55:X56)</f>
        <v>110303.27780170788</v>
      </c>
      <c r="Y57" s="1570"/>
      <c r="Z57" s="2515">
        <f>SUM(Z55:Z56)</f>
        <v>338898.64719356201</v>
      </c>
      <c r="AA57" s="2525"/>
      <c r="AB57" s="2196">
        <f>SUM(AB55:AB56)</f>
        <v>669932.47973509552</v>
      </c>
      <c r="AC57" s="111"/>
      <c r="AD57" s="2514">
        <f t="shared" ref="AD57" si="211">SUM(AD55:AD56)</f>
        <v>114259</v>
      </c>
      <c r="AE57" s="1189"/>
      <c r="AF57" s="2516">
        <f t="shared" ref="AF57" si="212">SUM(AF55:AF56)</f>
        <v>784191.47973509552</v>
      </c>
      <c r="AG57" s="111"/>
      <c r="AH57" s="2514">
        <f t="shared" ref="AH57" si="213">SUM(AH55:AH56)</f>
        <v>107998.30084284616</v>
      </c>
      <c r="AI57" s="1189"/>
      <c r="AJ57" s="2516">
        <f t="shared" ref="AJ57" si="214">SUM(AJ55:AJ56)</f>
        <v>892189.78057794168</v>
      </c>
      <c r="AK57" s="111"/>
      <c r="AL57" s="2514">
        <f t="shared" ref="AL57" si="215">SUM(AL55:AL56)</f>
        <v>114139.47975596017</v>
      </c>
      <c r="AM57" s="1570"/>
      <c r="AN57" s="2515">
        <f>SUM(AN55:AN56)</f>
        <v>336396.78059880633</v>
      </c>
      <c r="AO57" s="1189"/>
      <c r="AP57" s="2516">
        <f t="shared" ref="AP57" si="216">SUM(AP55:AP56)</f>
        <v>1006329.2603339017</v>
      </c>
      <c r="AQ57" s="111"/>
      <c r="AR57" s="2514">
        <f t="shared" ref="AR57" si="217">SUM(AR55:AR56)</f>
        <v>114201.61380734041</v>
      </c>
      <c r="AS57" s="1189"/>
      <c r="AT57" s="2516">
        <f t="shared" ref="AT57" si="218">SUM(AT55:AT56)</f>
        <v>1120530.8741412421</v>
      </c>
      <c r="AU57" s="111"/>
      <c r="AV57" s="2514">
        <f t="shared" ref="AV57" si="219">SUM(AV55:AV56)</f>
        <v>102556.6648553774</v>
      </c>
      <c r="AW57" s="1189"/>
      <c r="AX57" s="2516">
        <f t="shared" ref="AX57" si="220">SUM(AX55:AX56)</f>
        <v>1223087.5389966196</v>
      </c>
      <c r="AY57" s="111"/>
      <c r="AZ57" s="2514">
        <f t="shared" ref="AZ57" si="221">SUM(AZ55:AZ56)</f>
        <v>113857.90635135975</v>
      </c>
      <c r="BA57" s="1570"/>
      <c r="BB57" s="2515">
        <f>SUM(BB55:BB56)</f>
        <v>330616.18501407758</v>
      </c>
      <c r="BC57" s="2525"/>
      <c r="BD57" s="2196">
        <f>SUM(BD55:BD56)</f>
        <v>667012.96561288391</v>
      </c>
      <c r="BE57" s="1189"/>
      <c r="BF57" s="2516">
        <f t="shared" ref="BF57" si="222">SUM(BF55:BF56)</f>
        <v>1336945.4453479792</v>
      </c>
      <c r="BG57" s="1222"/>
      <c r="BH57" s="1222"/>
      <c r="BI57" s="4713"/>
      <c r="BJ57" s="4713"/>
      <c r="BK57" s="26"/>
      <c r="BL57" s="26"/>
      <c r="BM57" s="26"/>
      <c r="BN57" s="26"/>
    </row>
    <row r="58" spans="1:66" ht="15.75" thickBot="1" x14ac:dyDescent="0.3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2522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2522"/>
      <c r="BD58" s="533"/>
      <c r="BE58" s="533"/>
      <c r="BF58" s="533"/>
      <c r="BG58" s="1222"/>
      <c r="BH58" s="1222"/>
      <c r="BI58" s="4713"/>
      <c r="BJ58" s="4713"/>
      <c r="BK58" s="26"/>
      <c r="BL58" s="26"/>
      <c r="BM58" s="26"/>
      <c r="BN58" s="26"/>
    </row>
    <row r="59" spans="1:66" ht="16.5" thickBot="1" x14ac:dyDescent="0.3">
      <c r="A59" s="1734"/>
      <c r="B59" s="1891" t="s">
        <v>1590</v>
      </c>
      <c r="C59" s="1734"/>
      <c r="D59" s="1734"/>
      <c r="E59" s="1734"/>
      <c r="F59" s="1652"/>
      <c r="G59" s="5172"/>
      <c r="H59" s="1652"/>
      <c r="I59" s="1734"/>
      <c r="J59" s="1734"/>
      <c r="K59" s="3427"/>
      <c r="L59" s="1652"/>
      <c r="M59" s="1734"/>
      <c r="N59" s="1734"/>
      <c r="O59" s="4712"/>
      <c r="P59" s="1652"/>
      <c r="Q59" s="1734"/>
      <c r="R59" s="1734"/>
      <c r="S59" s="4712"/>
      <c r="T59" s="1652"/>
      <c r="U59" s="4712"/>
      <c r="V59" s="4712"/>
      <c r="W59" s="4712"/>
      <c r="X59" s="1652"/>
      <c r="Y59" s="1734"/>
      <c r="Z59" s="1734"/>
      <c r="AB59" s="1734"/>
      <c r="AC59" s="5172"/>
      <c r="AD59" s="1652"/>
      <c r="AE59" s="2616"/>
      <c r="AF59" s="2616"/>
      <c r="AG59" s="5172"/>
      <c r="AH59" s="1652"/>
      <c r="AI59" s="2665"/>
      <c r="AJ59" s="2665"/>
      <c r="AK59" s="5172"/>
      <c r="AL59" s="1652"/>
      <c r="AM59" s="2728"/>
      <c r="AN59" s="2728"/>
      <c r="AO59" s="2728"/>
      <c r="AP59" s="2728"/>
      <c r="AQ59" s="5172"/>
      <c r="AR59" s="1652"/>
      <c r="AS59" s="2793"/>
      <c r="AT59" s="2793"/>
      <c r="AU59" s="5172"/>
      <c r="AV59" s="1652"/>
      <c r="AW59" s="5172"/>
      <c r="AX59" s="5172"/>
      <c r="AY59" s="5172"/>
      <c r="AZ59" s="1652"/>
      <c r="BC59" s="2254"/>
      <c r="BE59" s="3036"/>
      <c r="BF59" s="3036"/>
      <c r="BG59" s="1222"/>
      <c r="BH59" s="1222"/>
      <c r="BI59" s="4713"/>
      <c r="BJ59" s="4713"/>
      <c r="BK59" s="26"/>
      <c r="BL59" s="26"/>
      <c r="BM59" s="26"/>
      <c r="BN59" s="26"/>
    </row>
    <row r="60" spans="1:66" ht="16.5" thickBot="1" x14ac:dyDescent="0.3">
      <c r="A60" s="93"/>
      <c r="B60" s="1883" t="s">
        <v>146</v>
      </c>
      <c r="C60" s="1861" t="s">
        <v>221</v>
      </c>
      <c r="D60" s="1869">
        <v>18.960953126358817</v>
      </c>
      <c r="E60" s="1862">
        <v>19.102040816326529</v>
      </c>
      <c r="F60" s="1862">
        <v>19.066666666666666</v>
      </c>
      <c r="G60" s="1862">
        <v>19.102040816326529</v>
      </c>
      <c r="H60" s="1862">
        <v>19.016666666666666</v>
      </c>
      <c r="I60" s="1863">
        <f>+((E60*E$5*E$2)+(G60*G$2*G$5))/((E$5*E$2)+(G$5*G$2))</f>
        <v>19.102040816326532</v>
      </c>
      <c r="J60" s="1865">
        <f>+((F60*F$5*F$2)+(H60*H$2*H$5))/((F$5*F$2)+(H$5*H$2))</f>
        <v>19.04120385953102</v>
      </c>
      <c r="K60" s="1862">
        <v>18.962273831104426</v>
      </c>
      <c r="L60" s="1862">
        <v>19.116666666666667</v>
      </c>
      <c r="M60" s="1864">
        <f t="shared" ref="M60:N61" si="223">+((E60*E$5*E$2)+(G60*G$5*G$2)+(K60*K$5*K$2))/((E$5*E$2)+(G$5*G$2)+(K$5*K$2))</f>
        <v>19.056135344934113</v>
      </c>
      <c r="N60" s="2600">
        <f t="shared" si="223"/>
        <v>19.066080024067389</v>
      </c>
      <c r="O60" s="1862">
        <v>19</v>
      </c>
      <c r="P60" s="1862">
        <v>18.966666666666665</v>
      </c>
      <c r="Q60" s="1863">
        <f>+((M60*M$5*M$2)+(O60*O$2*O$5))/((M$5*M$2)+(O$5*O$2))</f>
        <v>19.042070434511732</v>
      </c>
      <c r="R60" s="1863">
        <f>+((N60*N$5*N$2)+(P60*P$5*P$2))/((N$5*N$2)+(P$5*P$2))</f>
        <v>19.040785600134576</v>
      </c>
      <c r="S60" s="1862">
        <v>19</v>
      </c>
      <c r="T60" s="1862">
        <v>18.883333333333333</v>
      </c>
      <c r="U60" s="1863">
        <f>+((Q60*Q$5*Q$2)+(S60*S$2*S$5))/((Q$5*Q$2)+(S$5*S$2))</f>
        <v>19.033641449605149</v>
      </c>
      <c r="V60" s="1863">
        <f>+((R60*R$5*R$2)+(T60*T$5*T$2))/((R$5*R$2)+(T$5*T$2))</f>
        <v>19.008740313972446</v>
      </c>
      <c r="W60" s="1862">
        <v>19</v>
      </c>
      <c r="X60" s="1862">
        <v>18.883333333333333</v>
      </c>
      <c r="Y60" s="1864">
        <f>+((O60*O$5*O$2)+(S60*S$5*S$2)+(W60*W$5*W$2))/((O$5*O$2)+(S$5*S$2)+(W$5*W$2))</f>
        <v>19</v>
      </c>
      <c r="Z60" s="2566">
        <f>(P60*P$5*P$2+T60*T$5*T$2+X60*X$5*X$2)/(P$5*P$2+T$5*T$2+X$5*X$2)</f>
        <v>18.911333259283943</v>
      </c>
      <c r="AA60" s="2568">
        <f t="shared" ref="AA60:AB61" si="224">(M60*M$5*M$2+Y60*Y$5*Y$2)/(M$5*M$2+Y$5*Y$2)</f>
        <v>19.028177988800984</v>
      </c>
      <c r="AB60" s="2567">
        <f t="shared" si="224"/>
        <v>18.988104699539189</v>
      </c>
      <c r="AC60" s="1862">
        <v>19</v>
      </c>
      <c r="AD60" s="1862">
        <v>18.933333333333334</v>
      </c>
      <c r="AE60" s="1863">
        <f t="shared" ref="AE60:AE61" si="225">+((AA60*AA$5*AA$2)+(AC60*AC$5*AC$2))/((AA$5*AA$2)+(AC$5*AC$2))</f>
        <v>19.024128789890728</v>
      </c>
      <c r="AF60" s="1865">
        <f t="shared" ref="AF60:AF61" si="226">+((AB60*AB$5*AB$2)+(AD60*AD$5*AD$2))/((AB$5*AB$2)+(AD$5*AD$2))</f>
        <v>18.980145100853065</v>
      </c>
      <c r="AG60" s="1862">
        <v>19</v>
      </c>
      <c r="AH60" s="1862">
        <v>19.666666666666668</v>
      </c>
      <c r="AI60" s="1863">
        <f t="shared" ref="AI60:AI61" si="227">+((AE60*AE$5*AE$2)+(AG60*AG$5*AG$2))/((AE$5*AE$2)+(AG$5*AG$2))</f>
        <v>19.021182973925061</v>
      </c>
      <c r="AJ60" s="1865">
        <f t="shared" ref="AJ60:AJ61" si="228">+((AF60*AF$5*AF$2)+(AH60*AH$5*AH$2))/((AF$5*AF$2)+(AH$5*AH$2))</f>
        <v>19.061975787196989</v>
      </c>
      <c r="AK60" s="1862">
        <v>19</v>
      </c>
      <c r="AL60" s="1862">
        <v>19</v>
      </c>
      <c r="AM60" s="1864">
        <f>+((AC60*AC$5*AC$2)+(AG60*AG$5*AG$2)+(AK60*AK$5*AK$2))/((AC$5*AC$2)+(AG$5*AG$2)+(AK$5*AK$2))</f>
        <v>19</v>
      </c>
      <c r="AN60" s="2566">
        <f>(AD60*AD$5*AD$2+AH60*AH$5*AH$2+AL60*AL$5*AL$2)/(AD$5*AD$2+AH$5*AH$2+AL$5*AL$2)</f>
        <v>19.189047351675089</v>
      </c>
      <c r="AO60" s="1863">
        <f t="shared" ref="AO60:AP61" si="229">+((AK60*AK$5*AK$2)+(AI60*AI$5*AI$2))/((AK$5*AK$2)+(AI$5*AI$2))</f>
        <v>19.01880996924606</v>
      </c>
      <c r="AP60" s="1865">
        <f t="shared" si="229"/>
        <v>19.054942975247769</v>
      </c>
      <c r="AQ60" s="1862">
        <v>19</v>
      </c>
      <c r="AR60" s="1862">
        <v>18.933333333333334</v>
      </c>
      <c r="AS60" s="1863">
        <f t="shared" ref="AS60:AS61" si="230">+((AO60*AO$5*AO$2)+(AQ60*AQ$5*AQ$2))/((AO$5*AO$2)+(AQ$5*AQ$2))</f>
        <v>19.016915072592305</v>
      </c>
      <c r="AT60" s="1865">
        <f t="shared" ref="AT60:AT61" si="231">+((AP60*AP$5*AP$2)+(AR60*AR$5*AR$2))/((AP$5*AP$2)+(AR$5*AR$2))</f>
        <v>19.04254948004025</v>
      </c>
      <c r="AU60" s="1862">
        <v>19</v>
      </c>
      <c r="AV60" s="1862">
        <v>19.033333333333335</v>
      </c>
      <c r="AW60" s="1863">
        <f t="shared" ref="AW60:AW61" si="232">+((AS60*AS$5*AS$2)+(AU60*AU$5*AU$2))/((AS$5*AS$2)+(AU$5*AU$2))</f>
        <v>19.015504332959978</v>
      </c>
      <c r="AX60" s="1865">
        <f t="shared" ref="AX60:AX61" si="233">+((AT60*AT$5*AT$2)+(AV60*AV$5*AV$2))/((AT$5*AT$2)+(AV$5*AV$2))</f>
        <v>19.04177497823526</v>
      </c>
      <c r="AY60" s="1862">
        <v>19</v>
      </c>
      <c r="AZ60" s="1862">
        <v>18.966666666666665</v>
      </c>
      <c r="BA60" s="1864">
        <f>+((AQ60*AQ$5*AQ$2)+(AU60*AU$5*AU$2)+(AY60*AY$5*AY$2))/((AQ$5*AQ$2)+(AU$5*AU$2)+(AY$5*AY$2))</f>
        <v>19</v>
      </c>
      <c r="BB60" s="2566">
        <f>(AR60*AR$5*AR$2+AV60*AV$5*AV$2+AZ60*AZ$5*AZ$2)/(AR$5*AR$2+AV$5*AV$2+AZ$5*AZ$2)</f>
        <v>18.975867287103242</v>
      </c>
      <c r="BC60" s="2568">
        <f>(AM60*AM$5*AM$2+BA60*BA$5*BA$2)/(AM$5*AM$2+BA$5*BA$2)</f>
        <v>19</v>
      </c>
      <c r="BD60" s="2567">
        <f>(AN60*AN$5*AN$2+BB60*BB$5*BB$2)/(AN$5*AN$2+BB$5*BB$2)</f>
        <v>19.083022879506288</v>
      </c>
      <c r="BE60" s="1863">
        <f t="shared" ref="BE60:BE61" si="234">+((AW60*AW$5*AW$2)+(AY60*AY$5*AY$2))/((AW$5*AW$2)+(AY$5*AY$2))</f>
        <v>19.014193724311692</v>
      </c>
      <c r="BF60" s="1865">
        <f t="shared" ref="BF60:BF61" si="235">+((AX60*AX$5*AX$2)+(AZ60*AZ$5*AZ$2))/((AX$5*AX$2)+(AZ$5*AZ$2))</f>
        <v>19.035362392153552</v>
      </c>
      <c r="BG60" s="1222"/>
      <c r="BH60" s="1222"/>
      <c r="BI60" s="4713"/>
      <c r="BJ60" s="4713"/>
      <c r="BK60" s="26"/>
      <c r="BL60" s="26"/>
      <c r="BM60" s="26"/>
      <c r="BN60" s="26"/>
    </row>
    <row r="61" spans="1:66" ht="16.5" thickBot="1" x14ac:dyDescent="0.3">
      <c r="A61" s="93"/>
      <c r="B61" s="1884" t="s">
        <v>147</v>
      </c>
      <c r="C61" s="1691" t="s">
        <v>221</v>
      </c>
      <c r="D61" s="1870">
        <v>18.019026238248909</v>
      </c>
      <c r="E61" s="1692">
        <v>17.951020408163266</v>
      </c>
      <c r="F61" s="1692">
        <v>17.95</v>
      </c>
      <c r="G61" s="1692">
        <v>17.951020408163266</v>
      </c>
      <c r="H61" s="1692">
        <v>17.916666666666668</v>
      </c>
      <c r="I61" s="1866">
        <f t="shared" ref="I61" si="236">+((E61*E$5*E$2)+(G61*G$2*G$5))/((E$5*E$2)+(G$5*G$2))</f>
        <v>17.951020408163266</v>
      </c>
      <c r="J61" s="1868">
        <f t="shared" ref="J61" si="237">+((F61*F$5*F$2)+(H61*H$2*H$5))/((F$5*F$2)+(H$5*H$2))</f>
        <v>17.933024795242904</v>
      </c>
      <c r="K61" s="1692">
        <v>18.373724046941188</v>
      </c>
      <c r="L61" s="1692">
        <v>18</v>
      </c>
      <c r="M61" s="1867">
        <f t="shared" si="223"/>
        <v>18.08985440938719</v>
      </c>
      <c r="N61" s="2601">
        <f t="shared" si="223"/>
        <v>17.955103038507822</v>
      </c>
      <c r="O61" s="1692">
        <v>18.753086419753089</v>
      </c>
      <c r="P61" s="1692">
        <v>17.600000000000001</v>
      </c>
      <c r="Q61" s="1866">
        <f t="shared" ref="Q61" si="238">+((M61*M$5*M$2)+(O61*O$2*O$5))/((M$5*M$2)+(O$5*O$2))</f>
        <v>18.256029549595219</v>
      </c>
      <c r="R61" s="1866">
        <f>+((N61*N$5*N$2)+(P61*P$5*P$2))/((N$5*N$2)+(P$5*P$2))</f>
        <v>17.86475173129223</v>
      </c>
      <c r="S61" s="1692">
        <v>17.81818181818182</v>
      </c>
      <c r="T61" s="1692">
        <v>17.616666666666667</v>
      </c>
      <c r="U61" s="1866">
        <f t="shared" ref="U61" si="239">+((Q61*Q$5*Q$2)+(S61*S$2*S$5))/((Q$5*Q$2)+(S$5*S$2))</f>
        <v>18.168304952445268</v>
      </c>
      <c r="V61" s="1866">
        <f>+((R61*R$5*R$2)+(T61*T$5*T$2))/((R$5*R$2)+(T$5*T$2))</f>
        <v>17.814260512270831</v>
      </c>
      <c r="W61" s="1692">
        <v>17.81818181818182</v>
      </c>
      <c r="X61" s="1692">
        <v>17.649999999999999</v>
      </c>
      <c r="Y61" s="1864">
        <f t="shared" ref="Y61" si="240">+((O61*O$5*O$2)+(S61*S$5*S$2)+(W61*W$5*W$2))/((O$5*O$2)+(S$5*S$2)+(W$5*W$2))</f>
        <v>18.133204020885181</v>
      </c>
      <c r="Z61" s="2566">
        <f>(P61*P$5*P$2+T61*T$5*T$2+X61*X$5*X$2)/(P$5*P$2+T$5*T$2+X$5*X$2)</f>
        <v>17.621951941945277</v>
      </c>
      <c r="AA61" s="2568">
        <f t="shared" si="224"/>
        <v>18.111444025132929</v>
      </c>
      <c r="AB61" s="2567">
        <f t="shared" si="224"/>
        <v>17.787231581500347</v>
      </c>
      <c r="AC61" s="1692">
        <v>17.81818181818182</v>
      </c>
      <c r="AD61" s="1692">
        <v>17.75</v>
      </c>
      <c r="AE61" s="1866">
        <f t="shared" si="225"/>
        <v>18.069302017866455</v>
      </c>
      <c r="AF61" s="1868">
        <f t="shared" si="226"/>
        <v>17.781820935980228</v>
      </c>
      <c r="AG61" s="1692">
        <v>17.81818181818182</v>
      </c>
      <c r="AH61" s="1692">
        <v>18.533333333333335</v>
      </c>
      <c r="AI61" s="1866">
        <f t="shared" si="227"/>
        <v>18.038643460314145</v>
      </c>
      <c r="AJ61" s="1868">
        <f t="shared" si="228"/>
        <v>17.871398275329341</v>
      </c>
      <c r="AK61" s="1692">
        <v>17.81818181818182</v>
      </c>
      <c r="AL61" s="1692">
        <v>17.716666666666665</v>
      </c>
      <c r="AM61" s="1864">
        <f t="shared" ref="AM61" si="241">+((AC61*AC$5*AC$2)+(AG61*AG$5*AG$2)+(AK61*AK$5*AK$2))/((AC$5*AC$2)+(AG$5*AG$2)+(AK$5*AK$2))</f>
        <v>17.81818181818182</v>
      </c>
      <c r="AN61" s="2566">
        <f>(AD61*AD$5*AD$2+AH61*AH$5*AH$2+AL61*AL$5*AL$2)/(AD$5*AD$2+AH$5*AH$2+AL$5*AL$2)</f>
        <v>17.98748268762867</v>
      </c>
      <c r="AO61" s="1866">
        <f t="shared" si="229"/>
        <v>18.013946431928453</v>
      </c>
      <c r="AP61" s="1868">
        <f t="shared" si="229"/>
        <v>17.853839832660984</v>
      </c>
      <c r="AQ61" s="1692">
        <v>17.81818181818182</v>
      </c>
      <c r="AR61" s="1692">
        <v>17.683333333333334</v>
      </c>
      <c r="AS61" s="1866">
        <f t="shared" si="230"/>
        <v>17.994225309226987</v>
      </c>
      <c r="AT61" s="1868">
        <f t="shared" si="231"/>
        <v>17.836463155540642</v>
      </c>
      <c r="AU61" s="1692">
        <v>17.81818181818182</v>
      </c>
      <c r="AV61" s="1692">
        <v>17.649999999999999</v>
      </c>
      <c r="AW61" s="1866">
        <f t="shared" si="232"/>
        <v>17.979543047092079</v>
      </c>
      <c r="AX61" s="1868">
        <f t="shared" si="233"/>
        <v>17.820793260613502</v>
      </c>
      <c r="AY61" s="1692">
        <v>17.81818181818182</v>
      </c>
      <c r="AZ61" s="1692">
        <v>17.683333333333334</v>
      </c>
      <c r="BA61" s="1864">
        <f t="shared" ref="BA61" si="242">+((AQ61*AQ$5*AQ$2)+(AU61*AU$5*AU$2)+(AY61*AY$5*AY$2))/((AQ$5*AQ$2)+(AU$5*AU$2)+(AY$5*AY$2))</f>
        <v>17.81818181818182</v>
      </c>
      <c r="BB61" s="2566">
        <f>(AR61*AR$5*AR$2+AV61*AV$5*AV$2+AZ61*AZ$5*AZ$2)/(AR$5*AR$2+AV$5*AV$2+AZ$5*AZ$2)</f>
        <v>17.672986418492034</v>
      </c>
      <c r="BC61" s="2568">
        <f>(AM61*AM$5*AM$2+BA61*BA$5*BA$2)/(AM$5*AM$2+BA$5*BA$2)</f>
        <v>17.818181818181817</v>
      </c>
      <c r="BD61" s="2567">
        <f>(AN61*AN$5*AN$2+BB61*BB$5*BB$2)/(AN$5*AN$2+BB$5*BB$2)</f>
        <v>17.831068901934223</v>
      </c>
      <c r="BE61" s="1866">
        <f t="shared" si="234"/>
        <v>17.965902897422083</v>
      </c>
      <c r="BF61" s="1868">
        <f t="shared" si="235"/>
        <v>17.809057227702361</v>
      </c>
      <c r="BG61" s="1222"/>
      <c r="BH61" s="1222"/>
      <c r="BI61" s="4713"/>
      <c r="BJ61" s="4713"/>
      <c r="BK61" s="26"/>
      <c r="BL61" s="26"/>
      <c r="BM61" s="26"/>
      <c r="BN61" s="26"/>
    </row>
    <row r="62" spans="1:66" ht="16.5" customHeight="1" thickBot="1" x14ac:dyDescent="0.3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22"/>
      <c r="BH62" s="1222"/>
      <c r="BI62" s="4713"/>
      <c r="BJ62" s="4713"/>
      <c r="BK62" s="26"/>
      <c r="BL62" s="26"/>
      <c r="BM62" s="26"/>
      <c r="BN62" s="26"/>
    </row>
    <row r="63" spans="1:66" ht="16.5" thickBot="1" x14ac:dyDescent="0.3">
      <c r="A63" s="148" t="s">
        <v>470</v>
      </c>
      <c r="B63" s="3823" t="s">
        <v>179</v>
      </c>
      <c r="C63" s="1413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517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3177"/>
      <c r="BD63" s="3178"/>
      <c r="BE63" s="265"/>
      <c r="BF63" s="265"/>
      <c r="BG63" s="1222"/>
      <c r="BH63" s="1222"/>
      <c r="BI63" s="4713"/>
      <c r="BJ63" s="4713"/>
      <c r="BK63" s="26"/>
      <c r="BL63" s="26"/>
      <c r="BM63" s="26"/>
      <c r="BN63" s="26"/>
    </row>
    <row r="64" spans="1:66" ht="15.75" thickBot="1" x14ac:dyDescent="0.3">
      <c r="B64" s="1878" t="s">
        <v>180</v>
      </c>
      <c r="C64" s="1395" t="s">
        <v>50</v>
      </c>
      <c r="D64" s="3710">
        <v>14833.710000000003</v>
      </c>
      <c r="E64" s="3701">
        <v>1264.2</v>
      </c>
      <c r="F64" s="496">
        <v>1152</v>
      </c>
      <c r="G64" s="7174">
        <v>1306.3399999999999</v>
      </c>
      <c r="H64" s="496">
        <v>1195</v>
      </c>
      <c r="I64" s="3702">
        <f>+E64+G64</f>
        <v>2570.54</v>
      </c>
      <c r="J64" s="39">
        <f>+F64+H64</f>
        <v>2347</v>
      </c>
      <c r="K64" s="4582">
        <v>1357.7662799999998</v>
      </c>
      <c r="L64" s="496">
        <v>1258.8</v>
      </c>
      <c r="M64" s="72">
        <f>+E64+G64+K64</f>
        <v>3928.3062799999998</v>
      </c>
      <c r="N64" s="125">
        <f>+F64+H64+L64</f>
        <v>3605.8</v>
      </c>
      <c r="O64" s="4766">
        <v>1382.0544</v>
      </c>
      <c r="P64" s="496">
        <v>1313</v>
      </c>
      <c r="Q64" s="61">
        <f>+M64+O64</f>
        <v>5310.3606799999998</v>
      </c>
      <c r="R64" s="39">
        <f>+N64+P64</f>
        <v>4918.8</v>
      </c>
      <c r="S64" s="4877">
        <v>1382.0544</v>
      </c>
      <c r="T64" s="496">
        <v>1255.2</v>
      </c>
      <c r="U64" s="4875">
        <f>+Q64+S64</f>
        <v>6692.4150799999998</v>
      </c>
      <c r="V64" s="39">
        <f>+R64+T64</f>
        <v>6174</v>
      </c>
      <c r="W64" s="5038">
        <v>1337.472</v>
      </c>
      <c r="X64" s="496">
        <v>1215</v>
      </c>
      <c r="Y64" s="762">
        <f>+O64+S64+W64</f>
        <v>4101.5807999999997</v>
      </c>
      <c r="Z64" s="84">
        <f>+P64+T64+X64</f>
        <v>3783.2</v>
      </c>
      <c r="AA64" s="760">
        <f>+M64+Y64</f>
        <v>8029.8870799999995</v>
      </c>
      <c r="AB64" s="760">
        <f>+N64+Z64</f>
        <v>7389</v>
      </c>
      <c r="AC64" s="5329">
        <v>1382.0544</v>
      </c>
      <c r="AD64" s="496">
        <v>1255.5</v>
      </c>
      <c r="AE64" s="2614">
        <f>+AA64+AC64</f>
        <v>9411.9414799999995</v>
      </c>
      <c r="AF64" s="39">
        <f>+AB64+AD64</f>
        <v>8644.5</v>
      </c>
      <c r="AG64" s="5504">
        <v>1337.472</v>
      </c>
      <c r="AH64" s="496">
        <v>1159.5</v>
      </c>
      <c r="AI64" s="2663">
        <f>+AE64+AG64</f>
        <v>10749.413479999999</v>
      </c>
      <c r="AJ64" s="39">
        <f>+AF64+AH64</f>
        <v>9804</v>
      </c>
      <c r="AK64" s="5926">
        <v>1382.0544</v>
      </c>
      <c r="AL64" s="496">
        <v>1265.9000000000001</v>
      </c>
      <c r="AM64" s="762">
        <f>+AC64+AG64+AK64</f>
        <v>4101.5807999999997</v>
      </c>
      <c r="AN64" s="84">
        <f>+AD64+AH64+AL64</f>
        <v>3680.9</v>
      </c>
      <c r="AO64" s="761">
        <f>AI64+AK64</f>
        <v>12131.46788</v>
      </c>
      <c r="AP64" s="761">
        <f>AJ64+AL64</f>
        <v>11069.9</v>
      </c>
      <c r="AQ64" s="6083">
        <v>1382.0544</v>
      </c>
      <c r="AR64" s="496">
        <v>1255.5</v>
      </c>
      <c r="AS64" s="2791">
        <f>+AO64+AQ64</f>
        <v>13513.522280000001</v>
      </c>
      <c r="AT64" s="39">
        <f>+AP64+AR64</f>
        <v>12325.4</v>
      </c>
      <c r="AU64" s="6205">
        <v>1248.3072</v>
      </c>
      <c r="AV64" s="496">
        <v>1132.7</v>
      </c>
      <c r="AW64" s="6207">
        <f>+AS64+AU64</f>
        <v>14761.82948</v>
      </c>
      <c r="AX64" s="39">
        <f>+AT64+AV64</f>
        <v>13458.1</v>
      </c>
      <c r="AY64" s="6414">
        <v>1382.0544</v>
      </c>
      <c r="AZ64" s="496">
        <v>1255.5</v>
      </c>
      <c r="BA64" s="762">
        <f>+AQ64+AU64+AY64</f>
        <v>4012.4160000000002</v>
      </c>
      <c r="BB64" s="3170">
        <f>+AR64+AV64+AZ64</f>
        <v>3643.7</v>
      </c>
      <c r="BC64" s="3179">
        <f t="shared" ref="BC64:BC65" si="243">+AM64+BA64</f>
        <v>8113.9967999999999</v>
      </c>
      <c r="BD64" s="3179">
        <f t="shared" ref="BD64:BD65" si="244">+AN64+BB64</f>
        <v>7324.6</v>
      </c>
      <c r="BE64" s="437">
        <f>+AW64+AY64</f>
        <v>16143.883880000001</v>
      </c>
      <c r="BF64" s="39">
        <f>+AX64+AZ64</f>
        <v>14713.6</v>
      </c>
      <c r="BG64" s="1222"/>
      <c r="BH64" s="1222"/>
      <c r="BI64" s="4713"/>
      <c r="BJ64" s="4713"/>
      <c r="BK64" s="26"/>
      <c r="BL64" s="26"/>
      <c r="BM64" s="26"/>
      <c r="BN64" s="26"/>
    </row>
    <row r="65" spans="1:66" ht="15.95" customHeight="1" thickBot="1" x14ac:dyDescent="0.3">
      <c r="B65" s="1879" t="s">
        <v>181</v>
      </c>
      <c r="C65" s="1407" t="s">
        <v>50</v>
      </c>
      <c r="D65" s="3824">
        <v>28107.106250000001</v>
      </c>
      <c r="E65" s="3707">
        <v>2318.9250000000002</v>
      </c>
      <c r="F65" s="3825">
        <v>2295.44</v>
      </c>
      <c r="G65" s="7179">
        <v>2396.2224999999999</v>
      </c>
      <c r="H65" s="3825">
        <v>2383.13</v>
      </c>
      <c r="I65" s="3712">
        <f>+E65+G65</f>
        <v>4715.1475</v>
      </c>
      <c r="J65" s="165">
        <f>+F65+H65</f>
        <v>4678.57</v>
      </c>
      <c r="K65" s="4586">
        <v>2453.4983700000003</v>
      </c>
      <c r="L65" s="3825">
        <v>2303.1600000000003</v>
      </c>
      <c r="M65" s="1569">
        <f>+E65+G65+K65</f>
        <v>7168.6458700000003</v>
      </c>
      <c r="N65" s="1579">
        <f>+F65+H65+L65</f>
        <v>6981.73</v>
      </c>
      <c r="O65" s="4781">
        <v>2483.9946</v>
      </c>
      <c r="P65" s="3825">
        <v>2415.17</v>
      </c>
      <c r="Q65" s="1127">
        <f>+M65+O65</f>
        <v>9652.6404700000003</v>
      </c>
      <c r="R65" s="165">
        <f>+N65+P65</f>
        <v>9396.9</v>
      </c>
      <c r="S65" s="4894">
        <v>2614.3276499999997</v>
      </c>
      <c r="T65" s="3825">
        <v>2412.88</v>
      </c>
      <c r="U65" s="4878">
        <f>+Q65+S65</f>
        <v>12266.96812</v>
      </c>
      <c r="V65" s="165">
        <f>+R65+T65</f>
        <v>11809.779999999999</v>
      </c>
      <c r="W65" s="5044">
        <v>2529.9944999999998</v>
      </c>
      <c r="X65" s="3825">
        <v>2328.4299999999998</v>
      </c>
      <c r="Y65" s="781">
        <f>+O65+S65+W65</f>
        <v>7628.316749999999</v>
      </c>
      <c r="Z65" s="534">
        <f>+P65+T65+X65</f>
        <v>7156.48</v>
      </c>
      <c r="AA65" s="760">
        <f>+M65+Y65</f>
        <v>14796.962619999998</v>
      </c>
      <c r="AB65" s="760">
        <f>+N65+Z65</f>
        <v>14138.21</v>
      </c>
      <c r="AC65" s="5340">
        <v>2614.3276499999997</v>
      </c>
      <c r="AD65" s="3825">
        <v>2392.27</v>
      </c>
      <c r="AE65" s="2620">
        <f>+AA65+AC65</f>
        <v>17411.290269999998</v>
      </c>
      <c r="AF65" s="165">
        <f>+AB65+AD65</f>
        <v>16530.48</v>
      </c>
      <c r="AG65" s="5514">
        <v>2529.9944999999998</v>
      </c>
      <c r="AH65" s="3825">
        <v>2224.2600000000002</v>
      </c>
      <c r="AI65" s="2667">
        <f>+AE65+AG65</f>
        <v>19941.284769999998</v>
      </c>
      <c r="AJ65" s="165">
        <f>+AF65+AH65</f>
        <v>18754.739999999998</v>
      </c>
      <c r="AK65" s="5930">
        <v>2614.3276499999997</v>
      </c>
      <c r="AL65" s="3825">
        <v>2408.0500000000002</v>
      </c>
      <c r="AM65" s="781">
        <f>+AC65+AG65+AK65</f>
        <v>7758.6497999999992</v>
      </c>
      <c r="AN65" s="534">
        <f>+AD65+AH65+AL65</f>
        <v>7024.5800000000008</v>
      </c>
      <c r="AO65" s="761">
        <f>AI65+AK65</f>
        <v>22555.612419999998</v>
      </c>
      <c r="AP65" s="761">
        <f>AJ65+AL65</f>
        <v>21162.789999999997</v>
      </c>
      <c r="AQ65" s="6091">
        <v>2614.3276499999997</v>
      </c>
      <c r="AR65" s="3825">
        <v>2427.84</v>
      </c>
      <c r="AS65" s="2797">
        <f>+AO65+AQ65</f>
        <v>25169.940069999997</v>
      </c>
      <c r="AT65" s="165">
        <f>+AP65+AR65</f>
        <v>23590.629999999997</v>
      </c>
      <c r="AU65" s="6216">
        <v>2361.3282000000004</v>
      </c>
      <c r="AV65" s="3825">
        <v>2173</v>
      </c>
      <c r="AW65" s="6208">
        <f>+AS65+AU65</f>
        <v>27531.268269999997</v>
      </c>
      <c r="AX65" s="165">
        <f>+AT65+AV65</f>
        <v>25763.629999999997</v>
      </c>
      <c r="AY65" s="6425">
        <v>2614.3276499999997</v>
      </c>
      <c r="AZ65" s="3825">
        <v>2411.9974999999999</v>
      </c>
      <c r="BA65" s="781">
        <f>+AQ65+AU65+AY65</f>
        <v>7589.9835000000003</v>
      </c>
      <c r="BB65" s="3171">
        <f>+AR65+AV65+AZ65</f>
        <v>7012.8374999999996</v>
      </c>
      <c r="BC65" s="3179">
        <f t="shared" si="243"/>
        <v>15348.6333</v>
      </c>
      <c r="BD65" s="3179">
        <f t="shared" si="244"/>
        <v>14037.4175</v>
      </c>
      <c r="BE65" s="3174">
        <f>+AW65+AY65</f>
        <v>30145.595919999996</v>
      </c>
      <c r="BF65" s="165">
        <f>+AX65+AZ65</f>
        <v>28175.627499999999</v>
      </c>
      <c r="BG65" s="1222"/>
      <c r="BH65" s="1222"/>
      <c r="BI65" s="4713"/>
      <c r="BJ65" s="4713"/>
      <c r="BK65" s="26"/>
      <c r="BL65" s="26"/>
      <c r="BM65" s="26"/>
      <c r="BN65" s="26"/>
    </row>
    <row r="66" spans="1:66" ht="16.5" thickBot="1" x14ac:dyDescent="0.3">
      <c r="B66" s="1880" t="s">
        <v>35</v>
      </c>
      <c r="C66" s="1768" t="s">
        <v>50</v>
      </c>
      <c r="D66" s="372">
        <f t="shared" ref="D66:J66" si="245">SUM(D64:D65)</f>
        <v>42940.816250000003</v>
      </c>
      <c r="E66" s="455">
        <f t="shared" si="245"/>
        <v>3583.125</v>
      </c>
      <c r="F66" s="30">
        <f>SUM(F64:F65)</f>
        <v>3447.44</v>
      </c>
      <c r="G66" s="455">
        <f t="shared" ref="G66" si="246">SUM(G64:G65)</f>
        <v>3702.5625</v>
      </c>
      <c r="H66" s="30">
        <f>SUM(H64:H65)</f>
        <v>3578.13</v>
      </c>
      <c r="I66" s="1190">
        <f t="shared" si="245"/>
        <v>7285.6875</v>
      </c>
      <c r="J66" s="41">
        <f t="shared" si="245"/>
        <v>7025.57</v>
      </c>
      <c r="K66" s="455">
        <f t="shared" ref="K66" si="247">SUM(K64:K65)</f>
        <v>3811.2646500000001</v>
      </c>
      <c r="L66" s="30">
        <f>SUM(L64:L65)</f>
        <v>3561.96</v>
      </c>
      <c r="M66" s="354">
        <f t="shared" ref="M66:R66" si="248">SUM(M64:M65)</f>
        <v>11096.952150000001</v>
      </c>
      <c r="N66" s="67">
        <f t="shared" si="248"/>
        <v>10587.529999999999</v>
      </c>
      <c r="O66" s="455">
        <f t="shared" si="248"/>
        <v>3866.049</v>
      </c>
      <c r="P66" s="30">
        <f>SUM(P64:P65)</f>
        <v>3728.17</v>
      </c>
      <c r="Q66" s="1190">
        <f t="shared" si="248"/>
        <v>14963.00115</v>
      </c>
      <c r="R66" s="1190">
        <f t="shared" si="248"/>
        <v>14315.7</v>
      </c>
      <c r="S66" s="455">
        <f t="shared" ref="S66" si="249">SUM(S64:S65)</f>
        <v>3996.3820499999997</v>
      </c>
      <c r="T66" s="30">
        <f>SUM(T64:T65)</f>
        <v>3668.08</v>
      </c>
      <c r="U66" s="1190">
        <f t="shared" ref="U66:W66" si="250">SUM(U64:U65)</f>
        <v>18959.3832</v>
      </c>
      <c r="V66" s="1190">
        <f t="shared" si="250"/>
        <v>17983.78</v>
      </c>
      <c r="W66" s="455">
        <f t="shared" si="250"/>
        <v>3867.4664999999995</v>
      </c>
      <c r="X66" s="30">
        <f>SUM(X64:X65)</f>
        <v>3543.43</v>
      </c>
      <c r="Y66" s="1191">
        <f t="shared" ref="Y66:Z66" si="251">SUM(Y64:Y65)</f>
        <v>11729.897549999998</v>
      </c>
      <c r="Z66" s="1191">
        <f t="shared" si="251"/>
        <v>10939.68</v>
      </c>
      <c r="AA66" s="2527">
        <f t="shared" ref="AA66:AF66" si="252">SUM(AA64:AA65)</f>
        <v>22826.849699999999</v>
      </c>
      <c r="AB66" s="1192">
        <f t="shared" si="252"/>
        <v>21527.21</v>
      </c>
      <c r="AC66" s="455">
        <f t="shared" si="252"/>
        <v>3996.3820499999997</v>
      </c>
      <c r="AD66" s="30">
        <f>SUM(AD64:AD65)</f>
        <v>3647.77</v>
      </c>
      <c r="AE66" s="1190">
        <f t="shared" si="252"/>
        <v>26823.231749999999</v>
      </c>
      <c r="AF66" s="1190">
        <f t="shared" si="252"/>
        <v>25174.98</v>
      </c>
      <c r="AG66" s="455">
        <f t="shared" ref="AG66" si="253">SUM(AG64:AG65)</f>
        <v>3867.4664999999995</v>
      </c>
      <c r="AH66" s="30">
        <f>SUM(AH64:AH65)</f>
        <v>3383.76</v>
      </c>
      <c r="AI66" s="1190">
        <f t="shared" ref="AI66:AN66" si="254">SUM(AI64:AI65)</f>
        <v>30690.698249999998</v>
      </c>
      <c r="AJ66" s="1190">
        <f t="shared" si="254"/>
        <v>28558.739999999998</v>
      </c>
      <c r="AK66" s="455">
        <f t="shared" si="254"/>
        <v>3996.3820499999997</v>
      </c>
      <c r="AL66" s="30">
        <f>SUM(AL64:AL65)</f>
        <v>3673.9500000000003</v>
      </c>
      <c r="AM66" s="1191">
        <f t="shared" si="254"/>
        <v>11860.230599999999</v>
      </c>
      <c r="AN66" s="1191">
        <f t="shared" si="254"/>
        <v>10705.480000000001</v>
      </c>
      <c r="AO66" s="1190">
        <f t="shared" ref="AO66:AT66" si="255">SUM(AO64:AO65)</f>
        <v>34687.080300000001</v>
      </c>
      <c r="AP66" s="1190">
        <f t="shared" si="255"/>
        <v>32232.689999999995</v>
      </c>
      <c r="AQ66" s="455">
        <f t="shared" si="255"/>
        <v>3996.3820499999997</v>
      </c>
      <c r="AR66" s="30">
        <f>SUM(AR64:AR65)</f>
        <v>3683.34</v>
      </c>
      <c r="AS66" s="1190">
        <f t="shared" si="255"/>
        <v>38683.462350000002</v>
      </c>
      <c r="AT66" s="1190">
        <f t="shared" si="255"/>
        <v>35916.03</v>
      </c>
      <c r="AU66" s="455">
        <f t="shared" ref="AU66" si="256">SUM(AU64:AU65)</f>
        <v>3609.6354000000001</v>
      </c>
      <c r="AV66" s="30">
        <f>SUM(AV64:AV65)</f>
        <v>3305.7</v>
      </c>
      <c r="AW66" s="1190">
        <f t="shared" ref="AW66:AY66" si="257">SUM(AW64:AW65)</f>
        <v>42293.097750000001</v>
      </c>
      <c r="AX66" s="1190">
        <f t="shared" si="257"/>
        <v>39221.729999999996</v>
      </c>
      <c r="AY66" s="455">
        <f t="shared" si="257"/>
        <v>3996.3820499999997</v>
      </c>
      <c r="AZ66" s="30">
        <f>SUM(AZ64:AZ65)</f>
        <v>3667.4974999999999</v>
      </c>
      <c r="BA66" s="1191">
        <f t="shared" ref="BA66:BF66" si="258">SUM(BA64:BA65)</f>
        <v>11602.3995</v>
      </c>
      <c r="BB66" s="1610">
        <f t="shared" si="258"/>
        <v>10656.537499999999</v>
      </c>
      <c r="BC66" s="3136">
        <f t="shared" si="258"/>
        <v>23462.630099999998</v>
      </c>
      <c r="BD66" s="3146">
        <f t="shared" si="258"/>
        <v>21362.017500000002</v>
      </c>
      <c r="BE66" s="727">
        <f t="shared" si="258"/>
        <v>46289.479800000001</v>
      </c>
      <c r="BF66" s="1190">
        <f t="shared" si="258"/>
        <v>42889.227500000001</v>
      </c>
      <c r="BG66" s="1222"/>
      <c r="BH66" s="1222"/>
      <c r="BI66" s="4713"/>
      <c r="BJ66" s="4713"/>
      <c r="BK66" s="26"/>
      <c r="BL66" s="26"/>
      <c r="BM66" s="26"/>
      <c r="BN66" s="26"/>
    </row>
    <row r="67" spans="1:66" ht="15.75" thickBot="1" x14ac:dyDescent="0.3">
      <c r="B67" s="1881" t="s">
        <v>182</v>
      </c>
      <c r="C67" s="1410" t="s">
        <v>50</v>
      </c>
      <c r="D67" s="3711">
        <v>5074.481600000001</v>
      </c>
      <c r="E67" s="3708">
        <v>471.96800000000002</v>
      </c>
      <c r="F67" s="521">
        <v>525</v>
      </c>
      <c r="G67" s="7178">
        <v>488.82400000000001</v>
      </c>
      <c r="H67" s="521">
        <v>429.5</v>
      </c>
      <c r="I67" s="719">
        <f>+E67+G67</f>
        <v>960.79200000000003</v>
      </c>
      <c r="J67" s="62">
        <f>+F67+H67</f>
        <v>954.5</v>
      </c>
      <c r="K67" s="4587">
        <v>486.11385333333328</v>
      </c>
      <c r="L67" s="521">
        <v>299</v>
      </c>
      <c r="M67" s="1126">
        <f>+E67+G67+K67</f>
        <v>1446.9058533333332</v>
      </c>
      <c r="N67" s="1580">
        <f>+F67+H67+L67</f>
        <v>1253.5</v>
      </c>
      <c r="O67" s="4782">
        <v>495.36</v>
      </c>
      <c r="P67" s="521">
        <v>215.35</v>
      </c>
      <c r="Q67" s="719">
        <f>+M67+O67</f>
        <v>1942.2658533333333</v>
      </c>
      <c r="R67" s="62">
        <f>+N67+P67</f>
        <v>1468.85</v>
      </c>
      <c r="S67" s="4895">
        <v>495.36</v>
      </c>
      <c r="T67" s="521">
        <v>487</v>
      </c>
      <c r="U67" s="4879">
        <f>+Q67+S67</f>
        <v>2437.6258533333335</v>
      </c>
      <c r="V67" s="62">
        <f>+R67+T67</f>
        <v>1955.85</v>
      </c>
      <c r="W67" s="5045">
        <v>478.84800000000001</v>
      </c>
      <c r="X67" s="521">
        <v>369</v>
      </c>
      <c r="Y67" s="762">
        <f>+O67+S67+W67</f>
        <v>1469.568</v>
      </c>
      <c r="Z67" s="84">
        <f>+P67+T67+X67</f>
        <v>1071.3499999999999</v>
      </c>
      <c r="AA67" s="760">
        <f>+M67+Y67</f>
        <v>2916.473853333333</v>
      </c>
      <c r="AB67" s="760">
        <f>+N67+Z67</f>
        <v>2324.85</v>
      </c>
      <c r="AC67" s="5341">
        <v>495.36</v>
      </c>
      <c r="AD67" s="521">
        <v>376</v>
      </c>
      <c r="AE67" s="719">
        <f>+AA67+AC67</f>
        <v>3411.8338533333331</v>
      </c>
      <c r="AF67" s="62">
        <f>+AB67+AD67</f>
        <v>2700.85</v>
      </c>
      <c r="AG67" s="5515">
        <v>0</v>
      </c>
      <c r="AH67" s="521">
        <v>317</v>
      </c>
      <c r="AI67" s="719">
        <f>+AE67+AG67</f>
        <v>3411.8338533333331</v>
      </c>
      <c r="AJ67" s="62">
        <f>+AF67+AH67</f>
        <v>3017.85</v>
      </c>
      <c r="AK67" s="5931">
        <v>495.36</v>
      </c>
      <c r="AL67" s="521">
        <v>455</v>
      </c>
      <c r="AM67" s="762">
        <f>+AC67+AG67+AK67</f>
        <v>990.72</v>
      </c>
      <c r="AN67" s="84">
        <f>+AD67+AH67+AL67</f>
        <v>1148</v>
      </c>
      <c r="AO67" s="761">
        <f>AI67+AK67</f>
        <v>3907.1938533333332</v>
      </c>
      <c r="AP67" s="761">
        <f>AJ67+AL67</f>
        <v>3472.85</v>
      </c>
      <c r="AQ67" s="6092">
        <v>495.36</v>
      </c>
      <c r="AR67" s="521">
        <v>479</v>
      </c>
      <c r="AS67" s="719">
        <f>+AO67+AQ67</f>
        <v>4402.5538533333329</v>
      </c>
      <c r="AT67" s="62">
        <f>+AP67+AR67</f>
        <v>3951.85</v>
      </c>
      <c r="AU67" s="6217">
        <v>445.82400000000001</v>
      </c>
      <c r="AV67" s="521">
        <v>476</v>
      </c>
      <c r="AW67" s="6209">
        <f>+AS67+AU67</f>
        <v>4848.3778533333325</v>
      </c>
      <c r="AX67" s="62">
        <f>+AT67+AV67</f>
        <v>4427.8500000000004</v>
      </c>
      <c r="AY67" s="6424">
        <v>495.36</v>
      </c>
      <c r="AZ67" s="521">
        <v>455</v>
      </c>
      <c r="BA67" s="762">
        <f>+AQ67+AU67+AY67</f>
        <v>1436.5439999999999</v>
      </c>
      <c r="BB67" s="3170">
        <f>+AR67+AV67+AZ67</f>
        <v>1410</v>
      </c>
      <c r="BC67" s="3179">
        <f t="shared" ref="BC67:BC68" si="259">+AM67+BA67</f>
        <v>2427.2640000000001</v>
      </c>
      <c r="BD67" s="3179">
        <f t="shared" ref="BD67:BD68" si="260">+AN67+BB67</f>
        <v>2558</v>
      </c>
      <c r="BE67" s="1130">
        <f>+AW67+AY67</f>
        <v>5343.7378533333322</v>
      </c>
      <c r="BF67" s="62">
        <f>+AX67+AZ67</f>
        <v>4882.8500000000004</v>
      </c>
      <c r="BG67" s="1222"/>
      <c r="BH67" s="1222"/>
      <c r="BI67" s="4713"/>
      <c r="BJ67" s="4713"/>
      <c r="BK67" s="26"/>
      <c r="BL67" s="26"/>
      <c r="BM67" s="26"/>
      <c r="BN67" s="26"/>
    </row>
    <row r="68" spans="1:66" ht="15.75" thickBot="1" x14ac:dyDescent="0.3">
      <c r="B68" s="1879" t="s">
        <v>183</v>
      </c>
      <c r="C68" s="1395" t="s">
        <v>50</v>
      </c>
      <c r="D68" s="3824">
        <v>4047.915480000001</v>
      </c>
      <c r="E68" s="3707">
        <v>363.60744000000005</v>
      </c>
      <c r="F68" s="1317">
        <v>149</v>
      </c>
      <c r="G68" s="7179">
        <v>376.59342000000004</v>
      </c>
      <c r="H68" s="1317">
        <v>59</v>
      </c>
      <c r="I68" s="3712">
        <f>+E68+G68</f>
        <v>740.20086000000015</v>
      </c>
      <c r="J68" s="535">
        <f>+F68+H68</f>
        <v>208</v>
      </c>
      <c r="K68" s="4586">
        <v>0</v>
      </c>
      <c r="L68" s="1317">
        <v>0</v>
      </c>
      <c r="M68" s="1569">
        <f>+E68+G68+K68</f>
        <v>740.20086000000015</v>
      </c>
      <c r="N68" s="1581">
        <f>+F68+H68+L68</f>
        <v>208</v>
      </c>
      <c r="O68" s="4781">
        <v>386.39916000000005</v>
      </c>
      <c r="P68" s="1317">
        <v>0</v>
      </c>
      <c r="Q68" s="1127">
        <f>+M68+O68</f>
        <v>1126.6000200000003</v>
      </c>
      <c r="R68" s="535">
        <f>+N68+P68</f>
        <v>208</v>
      </c>
      <c r="S68" s="4894">
        <v>406.67319000000003</v>
      </c>
      <c r="T68" s="1317">
        <v>0</v>
      </c>
      <c r="U68" s="4878">
        <f>+Q68+S68</f>
        <v>1533.2732100000003</v>
      </c>
      <c r="V68" s="535">
        <f>+R68+T68</f>
        <v>208</v>
      </c>
      <c r="W68" s="5044">
        <v>393.55470000000003</v>
      </c>
      <c r="X68" s="1317">
        <v>0</v>
      </c>
      <c r="Y68" s="781">
        <f>+O68+S68+W68</f>
        <v>1186.6270500000001</v>
      </c>
      <c r="Z68" s="534">
        <f>+P68+T68+X68</f>
        <v>0</v>
      </c>
      <c r="AA68" s="760">
        <f>+M68+Y68</f>
        <v>1926.8279100000002</v>
      </c>
      <c r="AB68" s="760">
        <f>+N68+Z68</f>
        <v>208</v>
      </c>
      <c r="AC68" s="5340">
        <v>406.67319000000003</v>
      </c>
      <c r="AD68" s="1317">
        <v>0</v>
      </c>
      <c r="AE68" s="2620">
        <f>+AA68+AC68</f>
        <v>2333.5011000000004</v>
      </c>
      <c r="AF68" s="535">
        <f>+AB68+AD68</f>
        <v>208</v>
      </c>
      <c r="AG68" s="5514">
        <v>0</v>
      </c>
      <c r="AH68" s="1317">
        <v>0</v>
      </c>
      <c r="AI68" s="2667">
        <f>+AE68+AG68</f>
        <v>2333.5011000000004</v>
      </c>
      <c r="AJ68" s="535">
        <f>+AF68+AH68</f>
        <v>208</v>
      </c>
      <c r="AK68" s="5930">
        <v>406.67319000000003</v>
      </c>
      <c r="AL68" s="1317">
        <v>0</v>
      </c>
      <c r="AM68" s="781">
        <f>+AC68+AG68+AK68</f>
        <v>813.34638000000007</v>
      </c>
      <c r="AN68" s="534">
        <f>+AD68+AH68+AL68</f>
        <v>0</v>
      </c>
      <c r="AO68" s="761">
        <f>AI68+AK68</f>
        <v>2740.1742900000004</v>
      </c>
      <c r="AP68" s="761">
        <f>AJ68+AL68</f>
        <v>208</v>
      </c>
      <c r="AQ68" s="6091">
        <v>406.67319000000003</v>
      </c>
      <c r="AR68" s="1317">
        <v>0</v>
      </c>
      <c r="AS68" s="2797">
        <f>+AO68+AQ68</f>
        <v>3146.8474800000004</v>
      </c>
      <c r="AT68" s="535">
        <f>+AP68+AR68</f>
        <v>208</v>
      </c>
      <c r="AU68" s="6216">
        <v>367.31772000000001</v>
      </c>
      <c r="AV68" s="1317">
        <v>25</v>
      </c>
      <c r="AW68" s="6208">
        <f>+AS68+AU68</f>
        <v>3514.1652000000004</v>
      </c>
      <c r="AX68" s="535">
        <f>+AT68+AV68</f>
        <v>233</v>
      </c>
      <c r="AY68" s="6425">
        <v>406.67319000000003</v>
      </c>
      <c r="AZ68" s="1317">
        <v>117</v>
      </c>
      <c r="BA68" s="781">
        <f>+AQ68+AU68+AY68</f>
        <v>1180.6641</v>
      </c>
      <c r="BB68" s="3171">
        <f>+AR68+AV68+AZ68</f>
        <v>142</v>
      </c>
      <c r="BC68" s="3179">
        <f t="shared" si="259"/>
        <v>1994.0104799999999</v>
      </c>
      <c r="BD68" s="3179">
        <f t="shared" si="260"/>
        <v>142</v>
      </c>
      <c r="BE68" s="3174">
        <f>+AW68+AY68</f>
        <v>3920.8383900000003</v>
      </c>
      <c r="BF68" s="535">
        <f>+AX68+AZ68</f>
        <v>350</v>
      </c>
      <c r="BG68" s="1222"/>
      <c r="BH68" s="1222"/>
      <c r="BI68" s="4713"/>
      <c r="BJ68" s="4713"/>
      <c r="BK68" s="26"/>
      <c r="BL68" s="26"/>
      <c r="BM68" s="26"/>
      <c r="BN68" s="26"/>
    </row>
    <row r="69" spans="1:66" ht="16.5" thickBot="1" x14ac:dyDescent="0.3">
      <c r="B69" s="1882" t="s">
        <v>36</v>
      </c>
      <c r="C69" s="1419" t="s">
        <v>50</v>
      </c>
      <c r="D69" s="215">
        <f t="shared" ref="D69:J69" si="261">SUM(D67:D68)</f>
        <v>9122.3970800000025</v>
      </c>
      <c r="E69" s="1323">
        <f t="shared" si="261"/>
        <v>835.57544000000007</v>
      </c>
      <c r="F69" s="1420">
        <f t="shared" si="261"/>
        <v>674</v>
      </c>
      <c r="G69" s="1323">
        <f t="shared" ref="G69:H69" si="262">SUM(G67:G68)</f>
        <v>865.41741999999999</v>
      </c>
      <c r="H69" s="1420">
        <f t="shared" si="262"/>
        <v>488.5</v>
      </c>
      <c r="I69" s="1421">
        <f t="shared" si="261"/>
        <v>1700.9928600000003</v>
      </c>
      <c r="J69" s="3826">
        <f t="shared" si="261"/>
        <v>1162.5</v>
      </c>
      <c r="K69" s="1323">
        <f t="shared" ref="K69:L69" si="263">SUM(K67:K68)</f>
        <v>486.11385333333328</v>
      </c>
      <c r="L69" s="1420">
        <f t="shared" si="263"/>
        <v>299</v>
      </c>
      <c r="M69" s="1582">
        <f t="shared" ref="M69:R69" si="264">SUM(M67:M68)</f>
        <v>2187.1067133333336</v>
      </c>
      <c r="N69" s="1583">
        <f t="shared" si="264"/>
        <v>1461.5</v>
      </c>
      <c r="O69" s="1323">
        <f t="shared" si="264"/>
        <v>881.75916000000007</v>
      </c>
      <c r="P69" s="1420">
        <f t="shared" si="264"/>
        <v>215.35</v>
      </c>
      <c r="Q69" s="1421">
        <f t="shared" si="264"/>
        <v>3068.8658733333336</v>
      </c>
      <c r="R69" s="1421">
        <f t="shared" si="264"/>
        <v>1676.85</v>
      </c>
      <c r="S69" s="1323">
        <f t="shared" ref="S69:V69" si="265">SUM(S67:S68)</f>
        <v>902.0331900000001</v>
      </c>
      <c r="T69" s="1420">
        <f t="shared" si="265"/>
        <v>487</v>
      </c>
      <c r="U69" s="1421">
        <f t="shared" si="265"/>
        <v>3970.8990633333337</v>
      </c>
      <c r="V69" s="1421">
        <f t="shared" si="265"/>
        <v>2163.85</v>
      </c>
      <c r="W69" s="1323">
        <f t="shared" ref="W69:X69" si="266">SUM(W67:W68)</f>
        <v>872.4027000000001</v>
      </c>
      <c r="X69" s="1420">
        <f t="shared" si="266"/>
        <v>369</v>
      </c>
      <c r="Y69" s="1191">
        <f t="shared" ref="Y69:Z69" si="267">SUM(Y67:Y68)</f>
        <v>2656.1950500000003</v>
      </c>
      <c r="Z69" s="1191">
        <f t="shared" si="267"/>
        <v>1071.3499999999999</v>
      </c>
      <c r="AA69" s="2527">
        <f t="shared" ref="AA69:AF69" si="268">SUM(AA67:AA68)</f>
        <v>4843.3017633333329</v>
      </c>
      <c r="AB69" s="1192">
        <f t="shared" si="268"/>
        <v>2532.85</v>
      </c>
      <c r="AC69" s="1323">
        <f t="shared" si="268"/>
        <v>902.0331900000001</v>
      </c>
      <c r="AD69" s="1420">
        <f t="shared" si="268"/>
        <v>376</v>
      </c>
      <c r="AE69" s="1421">
        <f t="shared" si="268"/>
        <v>5745.334953333333</v>
      </c>
      <c r="AF69" s="1421">
        <f t="shared" si="268"/>
        <v>2908.85</v>
      </c>
      <c r="AG69" s="1323">
        <f t="shared" ref="AG69:AH69" si="269">SUM(AG67:AG68)</f>
        <v>0</v>
      </c>
      <c r="AH69" s="1420">
        <f t="shared" si="269"/>
        <v>317</v>
      </c>
      <c r="AI69" s="1421">
        <f t="shared" ref="AI69:AN69" si="270">SUM(AI67:AI68)</f>
        <v>5745.334953333333</v>
      </c>
      <c r="AJ69" s="1421">
        <f t="shared" si="270"/>
        <v>3225.85</v>
      </c>
      <c r="AK69" s="1323">
        <f t="shared" si="270"/>
        <v>902.0331900000001</v>
      </c>
      <c r="AL69" s="1420">
        <f t="shared" si="270"/>
        <v>455</v>
      </c>
      <c r="AM69" s="1191">
        <f t="shared" si="270"/>
        <v>1804.0663800000002</v>
      </c>
      <c r="AN69" s="1191">
        <f t="shared" si="270"/>
        <v>1148</v>
      </c>
      <c r="AO69" s="1421">
        <f t="shared" ref="AO69:AT69" si="271">SUM(AO67:AO68)</f>
        <v>6647.3681433333331</v>
      </c>
      <c r="AP69" s="1421">
        <f t="shared" si="271"/>
        <v>3680.85</v>
      </c>
      <c r="AQ69" s="1323">
        <f t="shared" si="271"/>
        <v>902.0331900000001</v>
      </c>
      <c r="AR69" s="1420">
        <f t="shared" si="271"/>
        <v>479</v>
      </c>
      <c r="AS69" s="1421">
        <f t="shared" si="271"/>
        <v>7549.4013333333332</v>
      </c>
      <c r="AT69" s="1421">
        <f t="shared" si="271"/>
        <v>4159.8500000000004</v>
      </c>
      <c r="AU69" s="1323">
        <f t="shared" ref="AU69:AX69" si="272">SUM(AU67:AU68)</f>
        <v>813.14172000000008</v>
      </c>
      <c r="AV69" s="1420">
        <f t="shared" si="272"/>
        <v>501</v>
      </c>
      <c r="AW69" s="1421">
        <f t="shared" si="272"/>
        <v>8362.5430533333329</v>
      </c>
      <c r="AX69" s="1421">
        <f t="shared" si="272"/>
        <v>4660.8500000000004</v>
      </c>
      <c r="AY69" s="1323">
        <f t="shared" ref="AY69:AZ69" si="273">SUM(AY67:AY68)</f>
        <v>902.0331900000001</v>
      </c>
      <c r="AZ69" s="1420">
        <f t="shared" si="273"/>
        <v>572</v>
      </c>
      <c r="BA69" s="1191">
        <f t="shared" ref="BA69:BF69" si="274">SUM(BA67:BA68)</f>
        <v>2617.2080999999998</v>
      </c>
      <c r="BB69" s="1610">
        <f t="shared" si="274"/>
        <v>1552</v>
      </c>
      <c r="BC69" s="3136">
        <f t="shared" si="274"/>
        <v>4421.27448</v>
      </c>
      <c r="BD69" s="3146">
        <f t="shared" si="274"/>
        <v>2700</v>
      </c>
      <c r="BE69" s="3175">
        <f t="shared" si="274"/>
        <v>9264.576243333333</v>
      </c>
      <c r="BF69" s="1421">
        <f t="shared" si="274"/>
        <v>5232.8500000000004</v>
      </c>
      <c r="BG69" s="1222"/>
      <c r="BH69" s="1222"/>
      <c r="BI69" s="4713"/>
      <c r="BJ69" s="4713"/>
      <c r="BK69" s="26"/>
      <c r="BL69" s="26"/>
      <c r="BM69" s="26"/>
      <c r="BN69" s="26"/>
    </row>
    <row r="70" spans="1:66" ht="15.75" thickBot="1" x14ac:dyDescent="0.3">
      <c r="B70" s="1885" t="s">
        <v>1591</v>
      </c>
      <c r="C70" s="1412" t="s">
        <v>50</v>
      </c>
      <c r="D70" s="1871">
        <v>1736.1078000000002</v>
      </c>
      <c r="E70" s="1872">
        <v>176.988</v>
      </c>
      <c r="F70" s="1873">
        <v>0</v>
      </c>
      <c r="G70" s="1872">
        <v>184.06752</v>
      </c>
      <c r="H70" s="1873">
        <v>0</v>
      </c>
      <c r="I70" s="1874">
        <f>+E70+G70</f>
        <v>361.05552</v>
      </c>
      <c r="J70" s="1875">
        <f>+F70+H70</f>
        <v>0</v>
      </c>
      <c r="K70" s="1872">
        <v>183.0470096</v>
      </c>
      <c r="L70" s="1873">
        <v>0</v>
      </c>
      <c r="M70" s="1876">
        <f>+E70+G70+K70</f>
        <v>544.10252960000003</v>
      </c>
      <c r="N70" s="1877">
        <f>+F70+H70+L70</f>
        <v>0</v>
      </c>
      <c r="O70" s="1872">
        <v>187.24608000000001</v>
      </c>
      <c r="P70" s="1873">
        <v>0</v>
      </c>
      <c r="Q70" s="1874">
        <f>+M70+O70</f>
        <v>731.34860960000003</v>
      </c>
      <c r="R70" s="1875">
        <f>+N70+P70</f>
        <v>0</v>
      </c>
      <c r="S70" s="1872">
        <v>187.24608000000001</v>
      </c>
      <c r="T70" s="1873">
        <v>0</v>
      </c>
      <c r="U70" s="1874">
        <f>+Q70+S70</f>
        <v>918.59468960000004</v>
      </c>
      <c r="V70" s="1875">
        <f>+R70+T70</f>
        <v>0</v>
      </c>
      <c r="W70" s="1872">
        <v>180.31104000000002</v>
      </c>
      <c r="X70" s="1873">
        <v>0</v>
      </c>
      <c r="Y70" s="762">
        <f>+O70+S70+W70</f>
        <v>554.80320000000006</v>
      </c>
      <c r="Z70" s="84">
        <f>+P70+T70+X70</f>
        <v>0</v>
      </c>
      <c r="AA70" s="760">
        <f>+M70+Y70</f>
        <v>1098.9057296000001</v>
      </c>
      <c r="AB70" s="760">
        <f>+N70+Z70</f>
        <v>0</v>
      </c>
      <c r="AC70" s="1872">
        <v>187.24608000000001</v>
      </c>
      <c r="AD70" s="1873">
        <v>0</v>
      </c>
      <c r="AE70" s="1874">
        <f>+AA70+AC70</f>
        <v>1286.1518096</v>
      </c>
      <c r="AF70" s="1875">
        <f>+AB70+AD70</f>
        <v>0</v>
      </c>
      <c r="AG70" s="1872">
        <v>0</v>
      </c>
      <c r="AH70" s="1873">
        <v>0</v>
      </c>
      <c r="AI70" s="1874">
        <f>+AE70+AG70</f>
        <v>1286.1518096</v>
      </c>
      <c r="AJ70" s="1875">
        <f>+AF70+AH70</f>
        <v>0</v>
      </c>
      <c r="AK70" s="1872">
        <v>187.24608000000001</v>
      </c>
      <c r="AL70" s="1873">
        <v>0</v>
      </c>
      <c r="AM70" s="762">
        <f>+AC70+AG70+AK70</f>
        <v>374.49216000000001</v>
      </c>
      <c r="AN70" s="84">
        <f>+AD70+AH70+AL70</f>
        <v>0</v>
      </c>
      <c r="AO70" s="761">
        <f>AI70+AK70</f>
        <v>1473.3978895999999</v>
      </c>
      <c r="AP70" s="761">
        <f>AJ70+AL70</f>
        <v>0</v>
      </c>
      <c r="AQ70" s="1872">
        <v>187.24608000000001</v>
      </c>
      <c r="AR70" s="1873">
        <v>0</v>
      </c>
      <c r="AS70" s="1874">
        <f>+AO70+AQ70</f>
        <v>1660.6439695999998</v>
      </c>
      <c r="AT70" s="1875">
        <f>+AP70+AR70</f>
        <v>0</v>
      </c>
      <c r="AU70" s="1872">
        <v>166.44096000000002</v>
      </c>
      <c r="AV70" s="1873">
        <v>0</v>
      </c>
      <c r="AW70" s="1874">
        <f>+AS70+AU70</f>
        <v>1827.0849295999997</v>
      </c>
      <c r="AX70" s="1875">
        <f>+AT70+AV70</f>
        <v>0</v>
      </c>
      <c r="AY70" s="1872">
        <v>187.24608000000001</v>
      </c>
      <c r="AZ70" s="1873">
        <v>0</v>
      </c>
      <c r="BA70" s="762">
        <f>+AQ70+AU70+AY70</f>
        <v>540.93312000000003</v>
      </c>
      <c r="BB70" s="3170">
        <f>+AR70+AV70+AZ70</f>
        <v>0</v>
      </c>
      <c r="BC70" s="3179">
        <f t="shared" ref="BC70" si="275">+AM70+BA70</f>
        <v>915.42528000000004</v>
      </c>
      <c r="BD70" s="3179">
        <f t="shared" ref="BD70" si="276">+AN70+BB70</f>
        <v>0</v>
      </c>
      <c r="BE70" s="3176">
        <f>+AW70+AY70</f>
        <v>2014.3310095999996</v>
      </c>
      <c r="BF70" s="1875">
        <f>+AX70+AZ70</f>
        <v>0</v>
      </c>
      <c r="BG70" s="1222"/>
      <c r="BH70" s="1222"/>
      <c r="BI70" s="4713"/>
      <c r="BJ70" s="4713"/>
      <c r="BK70" s="26"/>
      <c r="BL70" s="26"/>
      <c r="BM70" s="26"/>
      <c r="BN70" s="26"/>
    </row>
    <row r="71" spans="1:66" ht="16.5" hidden="1" customHeight="1" thickBot="1" x14ac:dyDescent="0.25">
      <c r="A71" s="148"/>
      <c r="B71" s="2558" t="s">
        <v>184</v>
      </c>
      <c r="C71" s="2128"/>
      <c r="D71" s="2559"/>
      <c r="E71" s="1047"/>
      <c r="F71" s="2560"/>
      <c r="G71" s="1047"/>
      <c r="H71" s="2560"/>
      <c r="I71" s="2559"/>
      <c r="J71" s="2560"/>
      <c r="K71" s="1047"/>
      <c r="L71" s="2560"/>
      <c r="M71" s="1047"/>
      <c r="N71" s="2560"/>
      <c r="O71" s="1047"/>
      <c r="P71" s="2560"/>
      <c r="Q71" s="2559"/>
      <c r="R71" s="2560"/>
      <c r="S71" s="1047"/>
      <c r="T71" s="2560"/>
      <c r="U71" s="2559"/>
      <c r="V71" s="2560"/>
      <c r="W71" s="1047"/>
      <c r="X71" s="2560"/>
      <c r="Y71" s="2561"/>
      <c r="Z71" s="2561"/>
      <c r="AA71" s="2562"/>
      <c r="AB71" s="2561"/>
      <c r="AC71" s="1047"/>
      <c r="AD71" s="2560"/>
      <c r="AE71" s="2559"/>
      <c r="AF71" s="2560"/>
      <c r="AG71" s="1047"/>
      <c r="AH71" s="2560"/>
      <c r="AI71" s="2559"/>
      <c r="AJ71" s="2560"/>
      <c r="AK71" s="1047"/>
      <c r="AL71" s="2560"/>
      <c r="AM71" s="2561"/>
      <c r="AN71" s="2561"/>
      <c r="AO71" s="2559"/>
      <c r="AP71" s="2560"/>
      <c r="AQ71" s="1047"/>
      <c r="AR71" s="2560"/>
      <c r="AS71" s="2559"/>
      <c r="AT71" s="2560"/>
      <c r="AU71" s="1047"/>
      <c r="AV71" s="2560"/>
      <c r="AW71" s="2559"/>
      <c r="AX71" s="2560"/>
      <c r="AY71" s="1047"/>
      <c r="AZ71" s="2560"/>
      <c r="BA71" s="2561"/>
      <c r="BB71" s="2561"/>
      <c r="BC71" s="3180"/>
      <c r="BD71" s="3131"/>
      <c r="BE71" s="2559"/>
      <c r="BF71" s="2560"/>
      <c r="BG71" s="1222"/>
      <c r="BH71" s="1222"/>
      <c r="BI71" s="4713"/>
      <c r="BJ71" s="4713"/>
      <c r="BK71" s="26"/>
      <c r="BL71" s="26"/>
      <c r="BM71" s="26"/>
      <c r="BN71" s="26"/>
    </row>
    <row r="72" spans="1:66" ht="15" hidden="1" customHeight="1" x14ac:dyDescent="0.25">
      <c r="B72" s="2563" t="s">
        <v>1573</v>
      </c>
      <c r="C72" s="820" t="s">
        <v>50</v>
      </c>
      <c r="D72" s="275"/>
      <c r="E72" s="275"/>
      <c r="F72" s="275"/>
      <c r="G72" s="275"/>
      <c r="H72" s="275"/>
      <c r="I72" s="373">
        <f t="shared" ref="I72:J76" si="277">+E72+G72</f>
        <v>0</v>
      </c>
      <c r="J72" s="373">
        <f t="shared" si="277"/>
        <v>0</v>
      </c>
      <c r="K72" s="275"/>
      <c r="L72" s="275"/>
      <c r="M72" s="618">
        <f t="shared" ref="M72:N76" si="278">+E72+G72+K72</f>
        <v>0</v>
      </c>
      <c r="N72" s="618">
        <f t="shared" si="278"/>
        <v>0</v>
      </c>
      <c r="O72" s="275"/>
      <c r="P72" s="275"/>
      <c r="Q72" s="373">
        <f t="shared" ref="Q72:R76" si="279">+M72+O72</f>
        <v>0</v>
      </c>
      <c r="R72" s="373">
        <f t="shared" si="279"/>
        <v>0</v>
      </c>
      <c r="S72" s="275"/>
      <c r="T72" s="275"/>
      <c r="U72" s="373">
        <f t="shared" ref="U72:U76" si="280">+Q72+S72</f>
        <v>0</v>
      </c>
      <c r="V72" s="373">
        <f t="shared" ref="V72:V76" si="281">+R72+T72</f>
        <v>0</v>
      </c>
      <c r="W72" s="275"/>
      <c r="X72" s="275"/>
      <c r="Y72" s="618">
        <f t="shared" ref="Y72:Z76" si="282">+O72+S72+W72</f>
        <v>0</v>
      </c>
      <c r="Z72" s="618">
        <f t="shared" si="282"/>
        <v>0</v>
      </c>
      <c r="AA72" s="1052">
        <f t="shared" ref="AA72:AB76" si="283">+M72+Y72</f>
        <v>0</v>
      </c>
      <c r="AB72" s="458">
        <f t="shared" si="283"/>
        <v>0</v>
      </c>
      <c r="AC72" s="275"/>
      <c r="AD72" s="275"/>
      <c r="AE72" s="373">
        <f t="shared" ref="AE72:AE76" si="284">+AA72+AC72</f>
        <v>0</v>
      </c>
      <c r="AF72" s="373">
        <f t="shared" ref="AF72:AF76" si="285">+AB72+AD72</f>
        <v>0</v>
      </c>
      <c r="AG72" s="275"/>
      <c r="AH72" s="275"/>
      <c r="AI72" s="373">
        <f t="shared" ref="AI72:AI76" si="286">+AE72+AG72</f>
        <v>0</v>
      </c>
      <c r="AJ72" s="373">
        <f t="shared" ref="AJ72:AJ76" si="287">+AF72+AH72</f>
        <v>0</v>
      </c>
      <c r="AK72" s="275"/>
      <c r="AL72" s="275"/>
      <c r="AM72" s="618">
        <f t="shared" ref="AM72:AM76" si="288">+AC72+AG72+AK72</f>
        <v>0</v>
      </c>
      <c r="AN72" s="618">
        <f t="shared" ref="AN72:AN76" si="289">+AD72+AH72+AL72</f>
        <v>0</v>
      </c>
      <c r="AO72" s="761">
        <f>AI72+AK72</f>
        <v>0</v>
      </c>
      <c r="AP72" s="761">
        <f>AJ72+AL72</f>
        <v>0</v>
      </c>
      <c r="AQ72" s="275"/>
      <c r="AR72" s="275"/>
      <c r="AS72" s="373">
        <f t="shared" ref="AS72:AS76" si="290">+AO72+AQ72</f>
        <v>0</v>
      </c>
      <c r="AT72" s="373">
        <f t="shared" ref="AT72:AT76" si="291">+AP72+AR72</f>
        <v>0</v>
      </c>
      <c r="AU72" s="275"/>
      <c r="AV72" s="275"/>
      <c r="AW72" s="373">
        <f t="shared" ref="AW72:AW76" si="292">+AS72+AU72</f>
        <v>0</v>
      </c>
      <c r="AX72" s="373">
        <f t="shared" ref="AX72:AX76" si="293">+AT72+AV72</f>
        <v>0</v>
      </c>
      <c r="AY72" s="275"/>
      <c r="AZ72" s="275"/>
      <c r="BA72" s="618">
        <f t="shared" ref="BA72:BA76" si="294">+AQ72+AU72+AY72</f>
        <v>0</v>
      </c>
      <c r="BB72" s="1609">
        <f t="shared" ref="BB72:BB76" si="295">+AR72+AV72+AZ72</f>
        <v>0</v>
      </c>
      <c r="BC72" s="3179">
        <f t="shared" ref="BC72:BC76" si="296">+AM72+BA72</f>
        <v>0</v>
      </c>
      <c r="BD72" s="3179">
        <f t="shared" ref="BD72:BD76" si="297">+AN72+BB72</f>
        <v>0</v>
      </c>
      <c r="BE72" s="716">
        <f t="shared" ref="BE72:BE76" si="298">+AW72+AY72</f>
        <v>0</v>
      </c>
      <c r="BF72" s="373">
        <f t="shared" ref="BF72:BF76" si="299">+AX72+AZ72</f>
        <v>0</v>
      </c>
      <c r="BG72" s="1222"/>
      <c r="BH72" s="1222"/>
      <c r="BI72" s="4713"/>
      <c r="BJ72" s="4713"/>
      <c r="BK72" s="26"/>
      <c r="BL72" s="26"/>
      <c r="BM72" s="26"/>
      <c r="BN72" s="26"/>
    </row>
    <row r="73" spans="1:66" ht="15" hidden="1" customHeight="1" x14ac:dyDescent="0.25">
      <c r="B73" s="2551" t="s">
        <v>185</v>
      </c>
      <c r="C73" s="159" t="s">
        <v>50</v>
      </c>
      <c r="D73" s="2400"/>
      <c r="E73" s="2400"/>
      <c r="F73" s="2400"/>
      <c r="G73" s="7176"/>
      <c r="H73" s="7176"/>
      <c r="I73" s="2399">
        <f t="shared" si="277"/>
        <v>0</v>
      </c>
      <c r="J73" s="2399">
        <f t="shared" si="277"/>
        <v>0</v>
      </c>
      <c r="K73" s="4585"/>
      <c r="L73" s="4585"/>
      <c r="M73" s="2398">
        <f t="shared" si="278"/>
        <v>0</v>
      </c>
      <c r="N73" s="2398">
        <f t="shared" si="278"/>
        <v>0</v>
      </c>
      <c r="O73" s="4778"/>
      <c r="P73" s="4778"/>
      <c r="Q73" s="2399">
        <f t="shared" si="279"/>
        <v>0</v>
      </c>
      <c r="R73" s="2399">
        <f t="shared" si="279"/>
        <v>0</v>
      </c>
      <c r="S73" s="4889"/>
      <c r="T73" s="4889"/>
      <c r="U73" s="4890">
        <f t="shared" si="280"/>
        <v>0</v>
      </c>
      <c r="V73" s="4890">
        <f t="shared" si="281"/>
        <v>0</v>
      </c>
      <c r="W73" s="5043"/>
      <c r="X73" s="5043"/>
      <c r="Y73" s="2398">
        <f t="shared" si="282"/>
        <v>0</v>
      </c>
      <c r="Z73" s="2398">
        <f t="shared" si="282"/>
        <v>0</v>
      </c>
      <c r="AA73" s="2405">
        <f t="shared" si="283"/>
        <v>0</v>
      </c>
      <c r="AB73" s="454">
        <f t="shared" si="283"/>
        <v>0</v>
      </c>
      <c r="AC73" s="5337"/>
      <c r="AD73" s="5337"/>
      <c r="AE73" s="2399">
        <f t="shared" si="284"/>
        <v>0</v>
      </c>
      <c r="AF73" s="2399">
        <f t="shared" si="285"/>
        <v>0</v>
      </c>
      <c r="AG73" s="5510"/>
      <c r="AH73" s="5510"/>
      <c r="AI73" s="2399">
        <f t="shared" si="286"/>
        <v>0</v>
      </c>
      <c r="AJ73" s="2399">
        <f t="shared" si="287"/>
        <v>0</v>
      </c>
      <c r="AK73" s="5929"/>
      <c r="AL73" s="5929"/>
      <c r="AM73" s="2723">
        <f t="shared" si="288"/>
        <v>0</v>
      </c>
      <c r="AN73" s="2723">
        <f t="shared" si="289"/>
        <v>0</v>
      </c>
      <c r="AO73" s="761">
        <f t="shared" ref="AO73:AO76" si="300">AI73+AK73</f>
        <v>0</v>
      </c>
      <c r="AP73" s="761">
        <f t="shared" ref="AP73:AP76" si="301">AJ73+AL73</f>
        <v>0</v>
      </c>
      <c r="AQ73" s="6090"/>
      <c r="AR73" s="6090"/>
      <c r="AS73" s="2399">
        <f t="shared" si="290"/>
        <v>0</v>
      </c>
      <c r="AT73" s="2399">
        <f t="shared" si="291"/>
        <v>0</v>
      </c>
      <c r="AU73" s="6215"/>
      <c r="AV73" s="6215"/>
      <c r="AW73" s="6212">
        <f t="shared" si="292"/>
        <v>0</v>
      </c>
      <c r="AX73" s="6212">
        <f t="shared" si="293"/>
        <v>0</v>
      </c>
      <c r="AY73" s="6423"/>
      <c r="AZ73" s="6423"/>
      <c r="BA73" s="3031">
        <f t="shared" si="294"/>
        <v>0</v>
      </c>
      <c r="BB73" s="3172">
        <f t="shared" si="295"/>
        <v>0</v>
      </c>
      <c r="BC73" s="3179">
        <f t="shared" si="296"/>
        <v>0</v>
      </c>
      <c r="BD73" s="3179">
        <f t="shared" si="297"/>
        <v>0</v>
      </c>
      <c r="BE73" s="437">
        <f t="shared" si="298"/>
        <v>0</v>
      </c>
      <c r="BF73" s="2399">
        <f t="shared" si="299"/>
        <v>0</v>
      </c>
      <c r="BG73" s="1222"/>
      <c r="BH73" s="1222"/>
      <c r="BI73" s="4713"/>
      <c r="BJ73" s="4713"/>
      <c r="BK73" s="26"/>
      <c r="BL73" s="26"/>
      <c r="BM73" s="26"/>
      <c r="BN73" s="26"/>
    </row>
    <row r="74" spans="1:66" ht="15" hidden="1" customHeight="1" x14ac:dyDescent="0.25">
      <c r="B74" s="2551" t="s">
        <v>186</v>
      </c>
      <c r="C74" s="159" t="s">
        <v>50</v>
      </c>
      <c r="D74" s="2400"/>
      <c r="E74" s="2400"/>
      <c r="F74" s="2400"/>
      <c r="G74" s="7176"/>
      <c r="H74" s="7176"/>
      <c r="I74" s="2399">
        <f t="shared" si="277"/>
        <v>0</v>
      </c>
      <c r="J74" s="2399">
        <f t="shared" si="277"/>
        <v>0</v>
      </c>
      <c r="K74" s="4585"/>
      <c r="L74" s="4585"/>
      <c r="M74" s="2398">
        <f t="shared" si="278"/>
        <v>0</v>
      </c>
      <c r="N74" s="2398">
        <f t="shared" si="278"/>
        <v>0</v>
      </c>
      <c r="O74" s="4778"/>
      <c r="P74" s="4778"/>
      <c r="Q74" s="2399">
        <f t="shared" si="279"/>
        <v>0</v>
      </c>
      <c r="R74" s="2399">
        <f t="shared" si="279"/>
        <v>0</v>
      </c>
      <c r="S74" s="4889"/>
      <c r="T74" s="4889"/>
      <c r="U74" s="4890">
        <f t="shared" si="280"/>
        <v>0</v>
      </c>
      <c r="V74" s="4890">
        <f t="shared" si="281"/>
        <v>0</v>
      </c>
      <c r="W74" s="5043"/>
      <c r="X74" s="5043"/>
      <c r="Y74" s="2398">
        <f t="shared" si="282"/>
        <v>0</v>
      </c>
      <c r="Z74" s="2398">
        <f t="shared" si="282"/>
        <v>0</v>
      </c>
      <c r="AA74" s="2590">
        <f t="shared" si="283"/>
        <v>0</v>
      </c>
      <c r="AB74" s="454">
        <f t="shared" si="283"/>
        <v>0</v>
      </c>
      <c r="AC74" s="5337"/>
      <c r="AD74" s="5337"/>
      <c r="AE74" s="2399">
        <f t="shared" si="284"/>
        <v>0</v>
      </c>
      <c r="AF74" s="2399">
        <f t="shared" si="285"/>
        <v>0</v>
      </c>
      <c r="AG74" s="5510"/>
      <c r="AH74" s="5510"/>
      <c r="AI74" s="2399">
        <f t="shared" si="286"/>
        <v>0</v>
      </c>
      <c r="AJ74" s="2399">
        <f t="shared" si="287"/>
        <v>0</v>
      </c>
      <c r="AK74" s="5929"/>
      <c r="AL74" s="5929"/>
      <c r="AM74" s="2723">
        <f t="shared" si="288"/>
        <v>0</v>
      </c>
      <c r="AN74" s="2723">
        <f t="shared" si="289"/>
        <v>0</v>
      </c>
      <c r="AO74" s="761">
        <f t="shared" si="300"/>
        <v>0</v>
      </c>
      <c r="AP74" s="761">
        <f t="shared" si="301"/>
        <v>0</v>
      </c>
      <c r="AQ74" s="6090"/>
      <c r="AR74" s="6090"/>
      <c r="AS74" s="2399">
        <f t="shared" si="290"/>
        <v>0</v>
      </c>
      <c r="AT74" s="2399">
        <f t="shared" si="291"/>
        <v>0</v>
      </c>
      <c r="AU74" s="6215"/>
      <c r="AV74" s="6215"/>
      <c r="AW74" s="6212">
        <f t="shared" si="292"/>
        <v>0</v>
      </c>
      <c r="AX74" s="6212">
        <f t="shared" si="293"/>
        <v>0</v>
      </c>
      <c r="AY74" s="6423"/>
      <c r="AZ74" s="6423"/>
      <c r="BA74" s="3031">
        <f t="shared" si="294"/>
        <v>0</v>
      </c>
      <c r="BB74" s="3172">
        <f t="shared" si="295"/>
        <v>0</v>
      </c>
      <c r="BC74" s="3179">
        <f t="shared" si="296"/>
        <v>0</v>
      </c>
      <c r="BD74" s="3179">
        <f t="shared" si="297"/>
        <v>0</v>
      </c>
      <c r="BE74" s="437">
        <f t="shared" si="298"/>
        <v>0</v>
      </c>
      <c r="BF74" s="2399">
        <f t="shared" si="299"/>
        <v>0</v>
      </c>
      <c r="BG74" s="1222"/>
      <c r="BH74" s="1222"/>
      <c r="BI74" s="4713"/>
      <c r="BJ74" s="4713"/>
      <c r="BK74" s="26"/>
      <c r="BL74" s="26"/>
      <c r="BM74" s="26"/>
      <c r="BN74" s="26"/>
    </row>
    <row r="75" spans="1:66" ht="15" hidden="1" customHeight="1" x14ac:dyDescent="0.25">
      <c r="B75" s="2551" t="s">
        <v>187</v>
      </c>
      <c r="C75" s="159" t="s">
        <v>50</v>
      </c>
      <c r="D75" s="2400"/>
      <c r="E75" s="2400"/>
      <c r="F75" s="2400"/>
      <c r="G75" s="7176"/>
      <c r="H75" s="7176"/>
      <c r="I75" s="2399">
        <f t="shared" si="277"/>
        <v>0</v>
      </c>
      <c r="J75" s="2399">
        <f t="shared" si="277"/>
        <v>0</v>
      </c>
      <c r="K75" s="4585"/>
      <c r="L75" s="4585"/>
      <c r="M75" s="2398">
        <f t="shared" si="278"/>
        <v>0</v>
      </c>
      <c r="N75" s="353">
        <f t="shared" si="278"/>
        <v>0</v>
      </c>
      <c r="O75" s="4778"/>
      <c r="P75" s="4778"/>
      <c r="Q75" s="2399">
        <f t="shared" si="279"/>
        <v>0</v>
      </c>
      <c r="R75" s="2399">
        <f t="shared" si="279"/>
        <v>0</v>
      </c>
      <c r="S75" s="4889"/>
      <c r="T75" s="4889"/>
      <c r="U75" s="4890">
        <f t="shared" si="280"/>
        <v>0</v>
      </c>
      <c r="V75" s="4890">
        <f t="shared" si="281"/>
        <v>0</v>
      </c>
      <c r="W75" s="5043"/>
      <c r="X75" s="5043"/>
      <c r="Y75" s="2398">
        <f t="shared" si="282"/>
        <v>0</v>
      </c>
      <c r="Z75" s="2398">
        <f t="shared" si="282"/>
        <v>0</v>
      </c>
      <c r="AA75" s="2590">
        <f t="shared" si="283"/>
        <v>0</v>
      </c>
      <c r="AB75" s="454">
        <f t="shared" si="283"/>
        <v>0</v>
      </c>
      <c r="AC75" s="5337"/>
      <c r="AD75" s="5337"/>
      <c r="AE75" s="2399">
        <f t="shared" si="284"/>
        <v>0</v>
      </c>
      <c r="AF75" s="2399">
        <f t="shared" si="285"/>
        <v>0</v>
      </c>
      <c r="AG75" s="5510"/>
      <c r="AH75" s="5510"/>
      <c r="AI75" s="2399">
        <f t="shared" si="286"/>
        <v>0</v>
      </c>
      <c r="AJ75" s="2399">
        <f t="shared" si="287"/>
        <v>0</v>
      </c>
      <c r="AK75" s="5929"/>
      <c r="AL75" s="5929"/>
      <c r="AM75" s="2723">
        <f t="shared" si="288"/>
        <v>0</v>
      </c>
      <c r="AN75" s="2723">
        <f t="shared" si="289"/>
        <v>0</v>
      </c>
      <c r="AO75" s="761">
        <f t="shared" si="300"/>
        <v>0</v>
      </c>
      <c r="AP75" s="761">
        <f t="shared" si="301"/>
        <v>0</v>
      </c>
      <c r="AQ75" s="6090"/>
      <c r="AR75" s="6090"/>
      <c r="AS75" s="2399">
        <f t="shared" si="290"/>
        <v>0</v>
      </c>
      <c r="AT75" s="2399">
        <f t="shared" si="291"/>
        <v>0</v>
      </c>
      <c r="AU75" s="6215"/>
      <c r="AV75" s="6215"/>
      <c r="AW75" s="6212">
        <f t="shared" si="292"/>
        <v>0</v>
      </c>
      <c r="AX75" s="6212">
        <f t="shared" si="293"/>
        <v>0</v>
      </c>
      <c r="AY75" s="6423"/>
      <c r="AZ75" s="6423"/>
      <c r="BA75" s="3031">
        <f t="shared" si="294"/>
        <v>0</v>
      </c>
      <c r="BB75" s="3172">
        <f t="shared" si="295"/>
        <v>0</v>
      </c>
      <c r="BC75" s="3179">
        <f t="shared" si="296"/>
        <v>0</v>
      </c>
      <c r="BD75" s="3179">
        <f t="shared" si="297"/>
        <v>0</v>
      </c>
      <c r="BE75" s="437">
        <f t="shared" si="298"/>
        <v>0</v>
      </c>
      <c r="BF75" s="2399">
        <f t="shared" si="299"/>
        <v>0</v>
      </c>
      <c r="BG75" s="1222"/>
      <c r="BH75" s="1222"/>
      <c r="BI75" s="4713"/>
      <c r="BJ75" s="4713"/>
      <c r="BK75" s="26"/>
      <c r="BL75" s="26"/>
      <c r="BM75" s="26"/>
      <c r="BN75" s="26"/>
    </row>
    <row r="76" spans="1:66" ht="15.95" hidden="1" customHeight="1" thickBot="1" x14ac:dyDescent="0.25">
      <c r="B76" s="2564" t="s">
        <v>188</v>
      </c>
      <c r="C76" s="160" t="s">
        <v>50</v>
      </c>
      <c r="D76" s="231"/>
      <c r="E76" s="231"/>
      <c r="F76" s="231"/>
      <c r="G76" s="6386"/>
      <c r="H76" s="6386"/>
      <c r="I76" s="2401">
        <f t="shared" si="277"/>
        <v>0</v>
      </c>
      <c r="J76" s="2401">
        <f t="shared" si="277"/>
        <v>0</v>
      </c>
      <c r="K76" s="4583"/>
      <c r="L76" s="4583"/>
      <c r="M76" s="2406">
        <f t="shared" si="278"/>
        <v>0</v>
      </c>
      <c r="N76" s="2406">
        <f t="shared" si="278"/>
        <v>0</v>
      </c>
      <c r="O76" s="4771"/>
      <c r="P76" s="4771"/>
      <c r="Q76" s="2401">
        <f t="shared" si="279"/>
        <v>0</v>
      </c>
      <c r="R76" s="2401">
        <f t="shared" si="279"/>
        <v>0</v>
      </c>
      <c r="S76" s="4880"/>
      <c r="T76" s="4880"/>
      <c r="U76" s="4882">
        <f t="shared" si="280"/>
        <v>0</v>
      </c>
      <c r="V76" s="4882">
        <f t="shared" si="281"/>
        <v>0</v>
      </c>
      <c r="W76" s="5040"/>
      <c r="X76" s="5040"/>
      <c r="Y76" s="2406">
        <f t="shared" si="282"/>
        <v>0</v>
      </c>
      <c r="Z76" s="2406">
        <f t="shared" si="282"/>
        <v>0</v>
      </c>
      <c r="AA76" s="2590">
        <f t="shared" si="283"/>
        <v>0</v>
      </c>
      <c r="AB76" s="2433">
        <f t="shared" si="283"/>
        <v>0</v>
      </c>
      <c r="AC76" s="5331"/>
      <c r="AD76" s="5331"/>
      <c r="AE76" s="2401">
        <f t="shared" si="284"/>
        <v>0</v>
      </c>
      <c r="AF76" s="2401">
        <f t="shared" si="285"/>
        <v>0</v>
      </c>
      <c r="AG76" s="5505"/>
      <c r="AH76" s="5505"/>
      <c r="AI76" s="2401">
        <f t="shared" si="286"/>
        <v>0</v>
      </c>
      <c r="AJ76" s="2401">
        <f t="shared" si="287"/>
        <v>0</v>
      </c>
      <c r="AK76" s="5927"/>
      <c r="AL76" s="5927"/>
      <c r="AM76" s="2406">
        <f t="shared" si="288"/>
        <v>0</v>
      </c>
      <c r="AN76" s="2406">
        <f t="shared" si="289"/>
        <v>0</v>
      </c>
      <c r="AO76" s="761">
        <f t="shared" si="300"/>
        <v>0</v>
      </c>
      <c r="AP76" s="761">
        <f t="shared" si="301"/>
        <v>0</v>
      </c>
      <c r="AQ76" s="6087"/>
      <c r="AR76" s="6087"/>
      <c r="AS76" s="2401">
        <f t="shared" si="290"/>
        <v>0</v>
      </c>
      <c r="AT76" s="2401">
        <f t="shared" si="291"/>
        <v>0</v>
      </c>
      <c r="AU76" s="6210"/>
      <c r="AV76" s="6210"/>
      <c r="AW76" s="6213">
        <f t="shared" si="292"/>
        <v>0</v>
      </c>
      <c r="AX76" s="6213">
        <f t="shared" si="293"/>
        <v>0</v>
      </c>
      <c r="AY76" s="6386"/>
      <c r="AZ76" s="6386"/>
      <c r="BA76" s="2406">
        <f t="shared" si="294"/>
        <v>0</v>
      </c>
      <c r="BB76" s="3173">
        <f t="shared" si="295"/>
        <v>0</v>
      </c>
      <c r="BC76" s="3179">
        <f t="shared" si="296"/>
        <v>0</v>
      </c>
      <c r="BD76" s="3179">
        <f t="shared" si="297"/>
        <v>0</v>
      </c>
      <c r="BE76" s="3174">
        <f t="shared" si="298"/>
        <v>0</v>
      </c>
      <c r="BF76" s="2401">
        <f t="shared" si="299"/>
        <v>0</v>
      </c>
      <c r="BG76" s="1222"/>
      <c r="BH76" s="1222"/>
      <c r="BI76" s="4713"/>
      <c r="BJ76" s="4713"/>
      <c r="BK76" s="26"/>
      <c r="BL76" s="26"/>
      <c r="BM76" s="26"/>
      <c r="BN76" s="26"/>
    </row>
    <row r="77" spans="1:66" ht="16.5" hidden="1" customHeight="1" thickBot="1" x14ac:dyDescent="0.3">
      <c r="B77" s="2565" t="s">
        <v>509</v>
      </c>
      <c r="C77" s="1188" t="s">
        <v>50</v>
      </c>
      <c r="D77" s="2434">
        <f t="shared" ref="D77:J77" si="302">SUM(D72:D76)</f>
        <v>0</v>
      </c>
      <c r="E77" s="2434">
        <f t="shared" si="302"/>
        <v>0</v>
      </c>
      <c r="F77" s="2434">
        <f t="shared" si="302"/>
        <v>0</v>
      </c>
      <c r="G77" s="2434">
        <f t="shared" ref="G77:H77" si="303">SUM(G72:G76)</f>
        <v>0</v>
      </c>
      <c r="H77" s="2434">
        <f t="shared" si="303"/>
        <v>0</v>
      </c>
      <c r="I77" s="1190">
        <f t="shared" si="302"/>
        <v>0</v>
      </c>
      <c r="J77" s="1190">
        <f t="shared" si="302"/>
        <v>0</v>
      </c>
      <c r="K77" s="2434">
        <f t="shared" ref="K77:L77" si="304">SUM(K72:K76)</f>
        <v>0</v>
      </c>
      <c r="L77" s="2434">
        <f t="shared" si="304"/>
        <v>0</v>
      </c>
      <c r="M77" s="1191">
        <f t="shared" ref="M77:R77" si="305">SUM(M72:M76)</f>
        <v>0</v>
      </c>
      <c r="N77" s="1191">
        <f t="shared" si="305"/>
        <v>0</v>
      </c>
      <c r="O77" s="2434">
        <f t="shared" si="305"/>
        <v>0</v>
      </c>
      <c r="P77" s="2434">
        <f t="shared" si="305"/>
        <v>0</v>
      </c>
      <c r="Q77" s="1190">
        <f t="shared" si="305"/>
        <v>0</v>
      </c>
      <c r="R77" s="1190">
        <f t="shared" si="305"/>
        <v>0</v>
      </c>
      <c r="S77" s="2434">
        <f t="shared" ref="S77:V77" si="306">SUM(S72:S76)</f>
        <v>0</v>
      </c>
      <c r="T77" s="2434">
        <f t="shared" si="306"/>
        <v>0</v>
      </c>
      <c r="U77" s="1190">
        <f t="shared" si="306"/>
        <v>0</v>
      </c>
      <c r="V77" s="1190">
        <f t="shared" si="306"/>
        <v>0</v>
      </c>
      <c r="W77" s="2434">
        <f t="shared" ref="W77:X77" si="307">SUM(W72:W76)</f>
        <v>0</v>
      </c>
      <c r="X77" s="2434">
        <f t="shared" si="307"/>
        <v>0</v>
      </c>
      <c r="Y77" s="1191">
        <f t="shared" ref="Y77:Z77" si="308">SUM(Y72:Y76)</f>
        <v>0</v>
      </c>
      <c r="Z77" s="1191">
        <f t="shared" si="308"/>
        <v>0</v>
      </c>
      <c r="AA77" s="1192">
        <f t="shared" ref="AA77:AF77" si="309">SUM(AA72:AA76)</f>
        <v>0</v>
      </c>
      <c r="AB77" s="460">
        <f t="shared" si="309"/>
        <v>0</v>
      </c>
      <c r="AC77" s="2434">
        <f t="shared" si="309"/>
        <v>0</v>
      </c>
      <c r="AD77" s="2434">
        <f t="shared" si="309"/>
        <v>0</v>
      </c>
      <c r="AE77" s="1190">
        <f t="shared" si="309"/>
        <v>0</v>
      </c>
      <c r="AF77" s="1190">
        <f t="shared" si="309"/>
        <v>0</v>
      </c>
      <c r="AG77" s="2434">
        <f t="shared" ref="AG77:AH77" si="310">SUM(AG72:AG76)</f>
        <v>0</v>
      </c>
      <c r="AH77" s="2434">
        <f t="shared" si="310"/>
        <v>0</v>
      </c>
      <c r="AI77" s="1190">
        <f t="shared" ref="AI77:AN77" si="311">SUM(AI72:AI76)</f>
        <v>0</v>
      </c>
      <c r="AJ77" s="1190">
        <f t="shared" si="311"/>
        <v>0</v>
      </c>
      <c r="AK77" s="2434">
        <f t="shared" si="311"/>
        <v>0</v>
      </c>
      <c r="AL77" s="2434">
        <f t="shared" si="311"/>
        <v>0</v>
      </c>
      <c r="AM77" s="1191">
        <f t="shared" si="311"/>
        <v>0</v>
      </c>
      <c r="AN77" s="1191">
        <f t="shared" si="311"/>
        <v>0</v>
      </c>
      <c r="AO77" s="1190">
        <f t="shared" ref="AO77:AT77" si="312">SUM(AO72:AO76)</f>
        <v>0</v>
      </c>
      <c r="AP77" s="1190">
        <f t="shared" si="312"/>
        <v>0</v>
      </c>
      <c r="AQ77" s="2434">
        <f t="shared" si="312"/>
        <v>0</v>
      </c>
      <c r="AR77" s="2434">
        <f t="shared" si="312"/>
        <v>0</v>
      </c>
      <c r="AS77" s="1190">
        <f t="shared" si="312"/>
        <v>0</v>
      </c>
      <c r="AT77" s="1190">
        <f t="shared" si="312"/>
        <v>0</v>
      </c>
      <c r="AU77" s="2434">
        <f t="shared" ref="AU77:AX77" si="313">SUM(AU72:AU76)</f>
        <v>0</v>
      </c>
      <c r="AV77" s="2434">
        <f t="shared" si="313"/>
        <v>0</v>
      </c>
      <c r="AW77" s="1190">
        <f t="shared" si="313"/>
        <v>0</v>
      </c>
      <c r="AX77" s="1190">
        <f t="shared" si="313"/>
        <v>0</v>
      </c>
      <c r="AY77" s="2434">
        <f t="shared" ref="AY77:AZ77" si="314">SUM(AY72:AY76)</f>
        <v>0</v>
      </c>
      <c r="AZ77" s="2434">
        <f t="shared" si="314"/>
        <v>0</v>
      </c>
      <c r="BA77" s="1191">
        <f t="shared" ref="BA77:BF77" si="315">SUM(BA72:BA76)</f>
        <v>0</v>
      </c>
      <c r="BB77" s="1610">
        <f t="shared" si="315"/>
        <v>0</v>
      </c>
      <c r="BC77" s="3146">
        <f t="shared" si="315"/>
        <v>0</v>
      </c>
      <c r="BD77" s="3146">
        <f t="shared" si="315"/>
        <v>0</v>
      </c>
      <c r="BE77" s="727">
        <f t="shared" si="315"/>
        <v>0</v>
      </c>
      <c r="BF77" s="1190">
        <f t="shared" si="315"/>
        <v>0</v>
      </c>
      <c r="BG77" s="1222"/>
      <c r="BH77" s="1222"/>
      <c r="BI77" s="4713"/>
      <c r="BJ77" s="4713"/>
      <c r="BK77" s="26"/>
      <c r="BL77" s="26"/>
      <c r="BM77" s="26"/>
      <c r="BN77" s="26"/>
    </row>
    <row r="78" spans="1:66" ht="21.75" customHeight="1" thickBot="1" x14ac:dyDescent="0.3">
      <c r="A78" s="148"/>
      <c r="B78" s="1892" t="s">
        <v>507</v>
      </c>
      <c r="C78" s="1894"/>
      <c r="D78" s="1894"/>
      <c r="E78" s="1894"/>
      <c r="F78" s="1894"/>
      <c r="G78" s="1894"/>
      <c r="H78" s="1894"/>
      <c r="I78" s="1894"/>
      <c r="J78" s="1894"/>
      <c r="K78" s="1894"/>
      <c r="L78" s="1894"/>
      <c r="M78" s="1894"/>
      <c r="N78" s="1894"/>
      <c r="O78" s="1894"/>
      <c r="P78" s="1894"/>
      <c r="Q78" s="1894"/>
      <c r="R78" s="1894"/>
      <c r="S78" s="1894"/>
      <c r="T78" s="1894"/>
      <c r="U78" s="1894"/>
      <c r="V78" s="1894"/>
      <c r="W78" s="1894"/>
      <c r="X78" s="1894"/>
      <c r="Y78" s="1894"/>
      <c r="Z78" s="1894"/>
      <c r="AA78" s="1894"/>
      <c r="AB78" s="1894"/>
      <c r="AC78" s="1894"/>
      <c r="AD78" s="1894"/>
      <c r="AE78" s="1894"/>
      <c r="AF78" s="1894"/>
      <c r="AG78" s="1894"/>
      <c r="AH78" s="1894"/>
      <c r="AI78" s="1894"/>
      <c r="AJ78" s="1894"/>
      <c r="AK78" s="1894"/>
      <c r="AL78" s="1894"/>
      <c r="AM78" s="1894"/>
      <c r="AN78" s="1894"/>
      <c r="AO78" s="1894"/>
      <c r="AP78" s="1894"/>
      <c r="AQ78" s="1894"/>
      <c r="AR78" s="1894"/>
      <c r="AS78" s="1894"/>
      <c r="AT78" s="1894"/>
      <c r="AU78" s="1894"/>
      <c r="AV78" s="1894"/>
      <c r="AW78" s="1894"/>
      <c r="AX78" s="1894"/>
      <c r="AY78" s="1894"/>
      <c r="AZ78" s="1894"/>
      <c r="BA78" s="1894"/>
      <c r="BB78" s="1894"/>
      <c r="BC78" s="1894"/>
      <c r="BD78" s="1894"/>
      <c r="BE78" s="1894"/>
      <c r="BF78" s="1894"/>
      <c r="BG78" s="1222"/>
      <c r="BH78" s="1222"/>
      <c r="BI78" s="4713"/>
      <c r="BJ78" s="4713"/>
      <c r="BK78" s="26"/>
      <c r="BL78" s="26"/>
      <c r="BM78" s="26"/>
      <c r="BN78" s="26"/>
    </row>
    <row r="79" spans="1:66" ht="15.75" customHeight="1" thickBot="1" x14ac:dyDescent="0.3">
      <c r="B79" s="2542" t="s">
        <v>180</v>
      </c>
      <c r="C79" s="1861" t="s">
        <v>506</v>
      </c>
      <c r="D79" s="2543">
        <v>25</v>
      </c>
      <c r="E79" s="2543">
        <f>+$D$79</f>
        <v>25</v>
      </c>
      <c r="F79" s="2544">
        <v>25</v>
      </c>
      <c r="G79" s="2543">
        <f>+$D$79</f>
        <v>25</v>
      </c>
      <c r="H79" s="2544">
        <v>25</v>
      </c>
      <c r="I79" s="2545">
        <f>+$D$79</f>
        <v>25</v>
      </c>
      <c r="J79" s="166">
        <f>((F79*$F$17)+(H79*$H$17))/$J$17</f>
        <v>25</v>
      </c>
      <c r="K79" s="2543">
        <f>+$D$79</f>
        <v>25</v>
      </c>
      <c r="L79" s="2544">
        <v>25</v>
      </c>
      <c r="M79" s="2540">
        <f>+$D$79</f>
        <v>25</v>
      </c>
      <c r="N79" s="2540">
        <f>((F79*$F$17)+(H79*$H$17)+(L79*$L$17))/$N$17</f>
        <v>25.000000000000004</v>
      </c>
      <c r="O79" s="2543">
        <f>+$D$79</f>
        <v>25</v>
      </c>
      <c r="P79" s="2544">
        <v>25</v>
      </c>
      <c r="Q79" s="2545">
        <f>+$D$79</f>
        <v>25</v>
      </c>
      <c r="R79" s="1453">
        <f>((N79*$F$17)+(P79*$H$17))/$J$17</f>
        <v>25</v>
      </c>
      <c r="S79" s="2543">
        <f>+$D$79</f>
        <v>25</v>
      </c>
      <c r="T79" s="2544">
        <v>25</v>
      </c>
      <c r="U79" s="2545">
        <f>+$D$79</f>
        <v>25</v>
      </c>
      <c r="V79" s="1453">
        <f>((R79*$F$17)+(T79*$H$17))/$J$17</f>
        <v>25</v>
      </c>
      <c r="W79" s="2543">
        <f>+$D$79</f>
        <v>25</v>
      </c>
      <c r="X79" s="2544">
        <v>25</v>
      </c>
      <c r="Y79" s="2540">
        <f>+$D$79</f>
        <v>25</v>
      </c>
      <c r="Z79" s="2540">
        <f>((P79*$P$17)+(T79*$T$17)+(X79*$X$17))/$Z$17</f>
        <v>25.000000000000004</v>
      </c>
      <c r="AA79" s="2523">
        <f>+$D$79</f>
        <v>25</v>
      </c>
      <c r="AB79" s="2541">
        <f>((N79*$N$17)+(Z79*$Z$17))/$AB$17</f>
        <v>25.000000000000004</v>
      </c>
      <c r="AC79" s="2543">
        <f>+$D$79</f>
        <v>25</v>
      </c>
      <c r="AD79" s="2544">
        <v>25</v>
      </c>
      <c r="AE79" s="2545">
        <f>+$D$79</f>
        <v>25</v>
      </c>
      <c r="AF79" s="1453">
        <f>((AB79*$F$17)+(AD79*$H$17))/$J$17</f>
        <v>25</v>
      </c>
      <c r="AG79" s="2543">
        <f>+$D$79</f>
        <v>25</v>
      </c>
      <c r="AH79" s="2544">
        <v>25</v>
      </c>
      <c r="AI79" s="2545">
        <f>+$D$79</f>
        <v>25</v>
      </c>
      <c r="AJ79" s="1453">
        <f>((AF79*$F$17)+(AH79*$H$17))/$J$17</f>
        <v>25</v>
      </c>
      <c r="AK79" s="2543">
        <f>+$D$79</f>
        <v>25</v>
      </c>
      <c r="AL79" s="2544">
        <v>25</v>
      </c>
      <c r="AM79" s="2540">
        <f>+$D$79</f>
        <v>25</v>
      </c>
      <c r="AN79" s="2540">
        <f>((AD79*$AD$17)+(AH79*$AH$17)+(AL79*$AL$17))/$AN$17</f>
        <v>25</v>
      </c>
      <c r="AO79" s="2545">
        <f>+$D$79</f>
        <v>25</v>
      </c>
      <c r="AP79" s="1453">
        <f>((AJ79*$AJ$17)+(AL79*$AL$17))/$AP$17</f>
        <v>25</v>
      </c>
      <c r="AQ79" s="2543">
        <f>+$D$79</f>
        <v>25</v>
      </c>
      <c r="AR79" s="2544">
        <v>25</v>
      </c>
      <c r="AS79" s="2545">
        <f>+$D$79</f>
        <v>25</v>
      </c>
      <c r="AT79" s="1453">
        <f>((AP79*$AP$17)+(AR79*$AR$17))/$AT$17</f>
        <v>25.000000000000004</v>
      </c>
      <c r="AU79" s="2543">
        <f>+$D$79</f>
        <v>25</v>
      </c>
      <c r="AV79" s="2544">
        <v>25</v>
      </c>
      <c r="AW79" s="2545">
        <f>+$D$79</f>
        <v>25</v>
      </c>
      <c r="AX79" s="1453">
        <f>((AT79*$AP$17)+(AV79*$AR$17))/$AT$17</f>
        <v>25.000000000000007</v>
      </c>
      <c r="AY79" s="2543">
        <f>+$D$79</f>
        <v>25</v>
      </c>
      <c r="AZ79" s="2544">
        <v>25</v>
      </c>
      <c r="BA79" s="2540">
        <f>+$D$79</f>
        <v>25</v>
      </c>
      <c r="BB79" s="2540">
        <f>((AR79*$AR$17)+(AV79*$AV$17)+(AZ79*$AZ$17))/$BB$17</f>
        <v>24.999999999999996</v>
      </c>
      <c r="BC79" s="2523">
        <f>+$D$79</f>
        <v>25</v>
      </c>
      <c r="BD79" s="2541">
        <f>((AN79*$AN$17)+(BB79*$BB$17))/$BD$17</f>
        <v>25</v>
      </c>
      <c r="BE79" s="2545">
        <f>+$D$79</f>
        <v>25</v>
      </c>
      <c r="BF79" s="2545">
        <f>((AX79*$AX$17)+(AZ79*$AZ$17))/$BF$17</f>
        <v>25.000000000000007</v>
      </c>
      <c r="BG79" s="1222"/>
      <c r="BH79" s="1222"/>
      <c r="BI79" s="4713"/>
      <c r="BJ79" s="4713"/>
      <c r="BK79" s="26"/>
      <c r="BL79" s="26"/>
      <c r="BM79" s="26"/>
      <c r="BN79" s="26"/>
    </row>
    <row r="80" spans="1:66" ht="15.75" customHeight="1" thickBot="1" x14ac:dyDescent="0.3">
      <c r="B80" s="2546" t="s">
        <v>181</v>
      </c>
      <c r="C80" s="3713" t="s">
        <v>506</v>
      </c>
      <c r="D80" s="3818">
        <v>25</v>
      </c>
      <c r="E80" s="3818">
        <f>+$D$80</f>
        <v>25</v>
      </c>
      <c r="F80" s="3819">
        <v>25</v>
      </c>
      <c r="G80" s="3818">
        <f>+$D$80</f>
        <v>25</v>
      </c>
      <c r="H80" s="3819">
        <v>25</v>
      </c>
      <c r="I80" s="3820">
        <f>+$D$80</f>
        <v>25</v>
      </c>
      <c r="J80" s="166">
        <f>((F80*$F$18)+(H80*$H$18))/$J$18</f>
        <v>25</v>
      </c>
      <c r="K80" s="3818">
        <f>+$D$80</f>
        <v>25</v>
      </c>
      <c r="L80" s="3819">
        <v>25.002144186577556</v>
      </c>
      <c r="M80" s="807">
        <f>+$D$80</f>
        <v>25</v>
      </c>
      <c r="N80" s="2540">
        <f>((F80*$F$18)+(H80*$H$18)+(L80*$L$18))/($N$18)</f>
        <v>25.000703970717687</v>
      </c>
      <c r="O80" s="3818">
        <f>+$D$80</f>
        <v>25</v>
      </c>
      <c r="P80" s="3819">
        <v>25</v>
      </c>
      <c r="Q80" s="808">
        <f>+$D$80</f>
        <v>25</v>
      </c>
      <c r="R80" s="1453">
        <f>((N80*$F$18)+(P80*$H$18))/$J$18</f>
        <v>25.00034552092681</v>
      </c>
      <c r="S80" s="3818">
        <f>+$D$80</f>
        <v>25</v>
      </c>
      <c r="T80" s="3819">
        <v>25</v>
      </c>
      <c r="U80" s="808">
        <f>+$D$80</f>
        <v>25</v>
      </c>
      <c r="V80" s="1453">
        <f>((R80*$F$18)+(T80*$H$18))/$J$18</f>
        <v>25.000169587609069</v>
      </c>
      <c r="W80" s="3818">
        <f>+$D$80</f>
        <v>25</v>
      </c>
      <c r="X80" s="3819">
        <v>25</v>
      </c>
      <c r="Y80" s="807">
        <f>+$D$80</f>
        <v>25</v>
      </c>
      <c r="Z80" s="2540">
        <f>((P80*$P$18)+(T80*$T$18)+(X80*$X$18))/$Z$18</f>
        <v>25</v>
      </c>
      <c r="AA80" s="809">
        <f>+$D$80</f>
        <v>25</v>
      </c>
      <c r="AB80" s="2541">
        <f>((N80*$N$18)+(Z80*$Z$18))/$AB$18</f>
        <v>25.000347385527839</v>
      </c>
      <c r="AC80" s="3818">
        <f>+$D$80</f>
        <v>25</v>
      </c>
      <c r="AD80" s="3819">
        <v>25</v>
      </c>
      <c r="AE80" s="808">
        <f>+$D$80</f>
        <v>25</v>
      </c>
      <c r="AF80" s="1453">
        <f>((AB80*$F$18)+(AD80*$H$18))/$J$18</f>
        <v>25.000170502787295</v>
      </c>
      <c r="AG80" s="3818">
        <f>+$D$80</f>
        <v>25</v>
      </c>
      <c r="AH80" s="3819">
        <v>25</v>
      </c>
      <c r="AI80" s="808">
        <f>+$D$80</f>
        <v>25</v>
      </c>
      <c r="AJ80" s="1453">
        <f>((AF80*$F$18)+(AH80*$H$18))/$J$18</f>
        <v>25.000083685698296</v>
      </c>
      <c r="AK80" s="3818">
        <f>+$D$80</f>
        <v>25</v>
      </c>
      <c r="AL80" s="3819">
        <v>25</v>
      </c>
      <c r="AM80" s="807">
        <f>+$D$80</f>
        <v>25</v>
      </c>
      <c r="AN80" s="2540">
        <f>((AD80*$AD$18)+(AH80*$AH$18)+(AL80*$AL$18))/$AN$18</f>
        <v>24.999999999999996</v>
      </c>
      <c r="AO80" s="808">
        <f>+$D$80</f>
        <v>25</v>
      </c>
      <c r="AP80" s="1453">
        <f>((AJ80*$AJ$18)+(AL80*$AL$18))/$AP$18</f>
        <v>25.000074156665143</v>
      </c>
      <c r="AQ80" s="3818">
        <f>+$D$80</f>
        <v>25</v>
      </c>
      <c r="AR80" s="3819">
        <v>25.205417445520059</v>
      </c>
      <c r="AS80" s="808">
        <f>+$D$80</f>
        <v>25</v>
      </c>
      <c r="AT80" s="1453">
        <f>((AP80*$AP$18)+(AR80*$AR$18))/$AT$18</f>
        <v>25.02106572073258</v>
      </c>
      <c r="AU80" s="3818">
        <f>+$D$80</f>
        <v>25</v>
      </c>
      <c r="AV80" s="3819">
        <v>24.999928095006627</v>
      </c>
      <c r="AW80" s="808">
        <f>+$D$80</f>
        <v>25</v>
      </c>
      <c r="AX80" s="1453">
        <f>((AT80*$AP$18)+(AV80*$AR$18))/$AT$18</f>
        <v>25.018904891288706</v>
      </c>
      <c r="AY80" s="3818">
        <f>+$D$80</f>
        <v>25</v>
      </c>
      <c r="AZ80" s="3819">
        <v>24.999999999999996</v>
      </c>
      <c r="BA80" s="807">
        <f>+$D$80</f>
        <v>25</v>
      </c>
      <c r="BB80" s="2540">
        <f>((AR80*$AR$18)+(AV80*$AV$18)+(AZ80*$AZ$18))/$BB$18</f>
        <v>25.070712989275432</v>
      </c>
      <c r="BC80" s="809">
        <f>+$D$80</f>
        <v>25</v>
      </c>
      <c r="BD80" s="2541">
        <f>((AN80*$AN$17)+(BB80*$BB$17))/$BD$17</f>
        <v>25.035168895264494</v>
      </c>
      <c r="BE80" s="808">
        <f>+$D$80</f>
        <v>25</v>
      </c>
      <c r="BF80" s="808">
        <f>((AX80*$AX$18)+(AZ80*$AZ$18))/$BF$18</f>
        <v>25.017284532592566</v>
      </c>
      <c r="BG80" s="1222"/>
      <c r="BH80" s="1222"/>
      <c r="BI80" s="4713"/>
      <c r="BJ80" s="4713"/>
      <c r="BK80" s="26"/>
      <c r="BL80" s="26"/>
      <c r="BM80" s="26"/>
      <c r="BN80" s="26"/>
    </row>
    <row r="81" spans="1:66" ht="15.75" customHeight="1" thickBot="1" x14ac:dyDescent="0.3">
      <c r="A81" s="148"/>
      <c r="B81" s="2547" t="s">
        <v>35</v>
      </c>
      <c r="C81" s="3543" t="s">
        <v>506</v>
      </c>
      <c r="D81" s="3544">
        <f t="shared" ref="D81:Y81" si="316">+((D79*D17)+(D80*D18))/D19</f>
        <v>25</v>
      </c>
      <c r="E81" s="3544">
        <f t="shared" si="316"/>
        <v>25</v>
      </c>
      <c r="F81" s="3544">
        <f t="shared" si="316"/>
        <v>25</v>
      </c>
      <c r="G81" s="3544">
        <f t="shared" ref="G81:H81" si="317">+((G79*G17)+(G80*G18))/G19</f>
        <v>25</v>
      </c>
      <c r="H81" s="3544">
        <f t="shared" si="317"/>
        <v>25.000000000000004</v>
      </c>
      <c r="I81" s="3546">
        <f t="shared" si="316"/>
        <v>25.000000000000004</v>
      </c>
      <c r="J81" s="3821">
        <f>((F81*$F$19)+(H81*$H$19))/$J$19</f>
        <v>24.999999999999996</v>
      </c>
      <c r="K81" s="3544">
        <f t="shared" ref="K81:L81" si="318">+((K79*K17)+(K80*K18))/K19</f>
        <v>25.000000000000004</v>
      </c>
      <c r="L81" s="3544">
        <f t="shared" si="318"/>
        <v>25.001384138443466</v>
      </c>
      <c r="M81" s="817">
        <f t="shared" si="316"/>
        <v>25</v>
      </c>
      <c r="N81" s="2540">
        <f>((F81*$F$19)+(H81*$H$19)+(L81*$L$19))/($N$19)</f>
        <v>25.000455086604433</v>
      </c>
      <c r="O81" s="3544">
        <f t="shared" ref="O81:P81" si="319">+((O79*O17)+(O80*O18))/O19</f>
        <v>24.999999999999996</v>
      </c>
      <c r="P81" s="3544">
        <f t="shared" si="319"/>
        <v>25</v>
      </c>
      <c r="Q81" s="816">
        <f t="shared" si="316"/>
        <v>25.000000000000004</v>
      </c>
      <c r="R81" s="2834">
        <f>((N81*$F$19)+(P81*$H$19))/$J$19</f>
        <v>25.000223352543699</v>
      </c>
      <c r="S81" s="3544">
        <f t="shared" ref="S81:U81" si="320">+((S79*S17)+(S80*S18))/S19</f>
        <v>25</v>
      </c>
      <c r="T81" s="3544">
        <f t="shared" si="320"/>
        <v>25</v>
      </c>
      <c r="U81" s="816">
        <f t="shared" si="320"/>
        <v>24.999999999999996</v>
      </c>
      <c r="V81" s="2834">
        <f>((R81*$F$19)+(T81*$H$19))/$J$19</f>
        <v>25.00010961948405</v>
      </c>
      <c r="W81" s="3544">
        <f t="shared" ref="W81:X81" si="321">+((W79*W17)+(W80*W18))/W19</f>
        <v>25</v>
      </c>
      <c r="X81" s="3544">
        <f t="shared" si="321"/>
        <v>24.999999999999996</v>
      </c>
      <c r="Y81" s="817">
        <f t="shared" si="316"/>
        <v>25</v>
      </c>
      <c r="Z81" s="2540">
        <f>((P81*$P$19)+(T81*$T$19)+(X81*$X$19))/$Z$19</f>
        <v>25</v>
      </c>
      <c r="AA81" s="809">
        <f t="shared" ref="AA81:AE81" si="322">+((AA79*AA17)+(AA80*AA18))/AA19</f>
        <v>25</v>
      </c>
      <c r="AB81" s="2541">
        <f>((N81*$N$19)+(Z81*$Z$19))/$AB$19</f>
        <v>25.000224993685848</v>
      </c>
      <c r="AC81" s="3544">
        <f t="shared" ref="AC81:AD81" si="323">+((AC79*AC17)+(AC80*AC18))/AC19</f>
        <v>25</v>
      </c>
      <c r="AD81" s="3544">
        <f t="shared" si="323"/>
        <v>25</v>
      </c>
      <c r="AE81" s="816">
        <f t="shared" si="322"/>
        <v>25</v>
      </c>
      <c r="AF81" s="2834">
        <f>((AB81*$F$19)+(AD81*$H$19))/$J$19</f>
        <v>25.000110424942331</v>
      </c>
      <c r="AG81" s="3544">
        <f t="shared" ref="AG81:AH81" si="324">+((AG79*AG17)+(AG80*AG18))/AG19</f>
        <v>25</v>
      </c>
      <c r="AH81" s="3544">
        <f t="shared" si="324"/>
        <v>25</v>
      </c>
      <c r="AI81" s="816">
        <f t="shared" ref="AI81:AM81" si="325">+((AI79*AI17)+(AI80*AI18))/AI19</f>
        <v>24.999999999999996</v>
      </c>
      <c r="AJ81" s="2834">
        <f>((AF81*$F$19)+(AH81*$H$19))/$J$19</f>
        <v>25.000054195600388</v>
      </c>
      <c r="AK81" s="3544">
        <f t="shared" ref="AK81:AL81" si="326">+((AK79*AK17)+(AK80*AK18))/AK19</f>
        <v>25</v>
      </c>
      <c r="AL81" s="3544">
        <f t="shared" si="326"/>
        <v>25</v>
      </c>
      <c r="AM81" s="817">
        <f t="shared" si="325"/>
        <v>25</v>
      </c>
      <c r="AN81" s="2540">
        <f>((AD81*$AD$19)+(AH81*$AH$19)+(AL81*$AL$19))/$AN$19</f>
        <v>24.999999999999996</v>
      </c>
      <c r="AO81" s="816">
        <f t="shared" ref="AO81:AS81" si="327">+((AO79*AO17)+(AO80*AO18))/AO19</f>
        <v>25</v>
      </c>
      <c r="AP81" s="1453">
        <f>((AJ81*$AJ$19)+(AL81*$AL$19))/$AP$19</f>
        <v>25.000048031967147</v>
      </c>
      <c r="AQ81" s="3544">
        <f t="shared" ref="AQ81:AR81" si="328">+((AQ79*AQ17)+(AQ80*AQ18))/AQ19</f>
        <v>25</v>
      </c>
      <c r="AR81" s="3544">
        <f t="shared" si="328"/>
        <v>25.133172809156271</v>
      </c>
      <c r="AS81" s="816">
        <f t="shared" si="327"/>
        <v>25.000000000000004</v>
      </c>
      <c r="AT81" s="2834">
        <f>((AP81*$AP$19)+(AR81*$AR$19))/$AT$19</f>
        <v>25.013642179083963</v>
      </c>
      <c r="AU81" s="3544">
        <f t="shared" ref="AU81:AW81" si="329">+((AU79*AU17)+(AU80*AU18))/AU19</f>
        <v>24.999999999999996</v>
      </c>
      <c r="AV81" s="3544">
        <f t="shared" si="329"/>
        <v>24.999953345065496</v>
      </c>
      <c r="AW81" s="816">
        <f t="shared" si="329"/>
        <v>25</v>
      </c>
      <c r="AX81" s="2834">
        <f>((AT81*$AP$19)+(AV81*$AR$19))/$AT$19</f>
        <v>25.012244332436374</v>
      </c>
      <c r="AY81" s="3544">
        <f t="shared" ref="AY81" si="330">+((AY79*AY17)+(AY80*AY18))/AY19</f>
        <v>25</v>
      </c>
      <c r="AZ81" s="3544">
        <f>+((AZ79*AZ17)+(AZ80*AZ18))/AZ19</f>
        <v>24.999999999999996</v>
      </c>
      <c r="BA81" s="817">
        <f t="shared" ref="BA81:BE81" si="331">+((BA79*BA17)+(BA80*BA18))/BA19</f>
        <v>25</v>
      </c>
      <c r="BB81" s="2540">
        <f>((AR81*$P$19)+(AV81*$T$19)+(AZ81*$X$19))/$Z$19</f>
        <v>25.044877769079349</v>
      </c>
      <c r="BC81" s="809">
        <f t="shared" ref="BC81" si="332">+((BC79*BC17)+(BC80*BC18))/BC19</f>
        <v>25</v>
      </c>
      <c r="BD81" s="2541">
        <f>((AN81*$AN$19)+(BB81*$BB$19))/$BD$19</f>
        <v>25.022364242254479</v>
      </c>
      <c r="BE81" s="816">
        <f t="shared" si="331"/>
        <v>25</v>
      </c>
      <c r="BF81" s="816">
        <f>((AX81*$AX$19)+(AZ81*$AZ$19))/$BF$19</f>
        <v>25.011196294552033</v>
      </c>
      <c r="BG81" s="1222"/>
      <c r="BH81" s="1222"/>
      <c r="BI81" s="4713"/>
      <c r="BJ81" s="4713"/>
      <c r="BK81" s="26"/>
      <c r="BL81" s="26"/>
      <c r="BM81" s="26"/>
      <c r="BN81" s="26"/>
    </row>
    <row r="82" spans="1:66" ht="15.75" customHeight="1" thickBot="1" x14ac:dyDescent="0.3">
      <c r="A82" s="148"/>
      <c r="B82" s="2548" t="s">
        <v>1091</v>
      </c>
      <c r="C82" s="3822" t="s">
        <v>506</v>
      </c>
      <c r="D82" s="3818">
        <v>10</v>
      </c>
      <c r="E82" s="3818">
        <f>+$D$82</f>
        <v>10</v>
      </c>
      <c r="F82" s="3818">
        <v>10</v>
      </c>
      <c r="G82" s="3818">
        <f>+$D$82</f>
        <v>10</v>
      </c>
      <c r="H82" s="3818">
        <v>10</v>
      </c>
      <c r="I82" s="3820">
        <f>+$D$82</f>
        <v>10</v>
      </c>
      <c r="J82" s="166">
        <f>((F82*$F$17)+(H82*$H$17))/$J$17</f>
        <v>10</v>
      </c>
      <c r="K82" s="3818">
        <f>+$D$82</f>
        <v>10</v>
      </c>
      <c r="L82" s="3818">
        <v>10</v>
      </c>
      <c r="M82" s="807">
        <f>+$D$82</f>
        <v>10</v>
      </c>
      <c r="N82" s="2540">
        <f>((F82*$F$17)+(H82*$H$17)+(L82*$L$17))/$N$17</f>
        <v>10</v>
      </c>
      <c r="O82" s="3818">
        <f>+$D$82</f>
        <v>10</v>
      </c>
      <c r="P82" s="3818">
        <v>10</v>
      </c>
      <c r="Q82" s="808">
        <f>+$D$82</f>
        <v>10</v>
      </c>
      <c r="R82" s="1453">
        <f>((N82*$F$17)+(P82*$H$17))/$J$17</f>
        <v>10</v>
      </c>
      <c r="S82" s="3818">
        <f>+$D$82</f>
        <v>10</v>
      </c>
      <c r="T82" s="3818">
        <v>10</v>
      </c>
      <c r="U82" s="808">
        <f>+$D$82</f>
        <v>10</v>
      </c>
      <c r="V82" s="1453">
        <f>((R82*$F$17)+(T82*$H$17))/$J$17</f>
        <v>10</v>
      </c>
      <c r="W82" s="3818">
        <f>+$D$82</f>
        <v>10</v>
      </c>
      <c r="X82" s="3818">
        <v>10</v>
      </c>
      <c r="Y82" s="807">
        <f>+$D$82</f>
        <v>10</v>
      </c>
      <c r="Z82" s="2540">
        <f>((P82*$P$17)+(T82*$T$17)+(X82*$X$17))/$Z$17</f>
        <v>10.000000000000002</v>
      </c>
      <c r="AA82" s="809">
        <f>+$D$82</f>
        <v>10</v>
      </c>
      <c r="AB82" s="2541">
        <f>((N82*$N$17)+(Z82*$Z$17))/$AB$17</f>
        <v>10.000000000000002</v>
      </c>
      <c r="AC82" s="3818">
        <f>+$D$82</f>
        <v>10</v>
      </c>
      <c r="AD82" s="3818">
        <v>10</v>
      </c>
      <c r="AE82" s="808">
        <f>+$D$82</f>
        <v>10</v>
      </c>
      <c r="AF82" s="1453">
        <f>((AB82*$F$17)+(AD82*$H$17))/$J$17</f>
        <v>10</v>
      </c>
      <c r="AG82" s="3818">
        <f>+$D$82</f>
        <v>10</v>
      </c>
      <c r="AH82" s="3818">
        <v>10</v>
      </c>
      <c r="AI82" s="808">
        <f>+$D$82</f>
        <v>10</v>
      </c>
      <c r="AJ82" s="1453">
        <f>((AF82*$F$17)+(AH82*$H$17))/$J$17</f>
        <v>10</v>
      </c>
      <c r="AK82" s="3818">
        <f>+$D$82</f>
        <v>10</v>
      </c>
      <c r="AL82" s="3818">
        <v>10</v>
      </c>
      <c r="AM82" s="807">
        <f>+$D$82</f>
        <v>10</v>
      </c>
      <c r="AN82" s="2540">
        <f>((AD82*$AD$17)+(AH82*$AH$17)+(AL82*$AL$17))/$AN$17</f>
        <v>10</v>
      </c>
      <c r="AO82" s="808">
        <f>+$D$82</f>
        <v>10</v>
      </c>
      <c r="AP82" s="1453">
        <f>((AJ82*$AJ$17)+(AL82*$AL$17))/$AP$17</f>
        <v>10</v>
      </c>
      <c r="AQ82" s="3818">
        <f>+$D$82</f>
        <v>10</v>
      </c>
      <c r="AR82" s="3818">
        <v>10</v>
      </c>
      <c r="AS82" s="808">
        <f>+$D$82</f>
        <v>10</v>
      </c>
      <c r="AT82" s="1453">
        <f>((AP82*$AP$17)+(AR82*$AR$17))/$AT$17</f>
        <v>10</v>
      </c>
      <c r="AU82" s="3818">
        <f>+$D$82</f>
        <v>10</v>
      </c>
      <c r="AV82" s="3818">
        <v>10</v>
      </c>
      <c r="AW82" s="808">
        <f>+$D$82</f>
        <v>10</v>
      </c>
      <c r="AX82" s="1453">
        <f>((AT82*$AP$17)+(AV82*$AR$17))/$AT$17</f>
        <v>10</v>
      </c>
      <c r="AY82" s="3818">
        <f>+$D$82</f>
        <v>10</v>
      </c>
      <c r="AZ82" s="3818">
        <v>10</v>
      </c>
      <c r="BA82" s="807">
        <f>+$D$82</f>
        <v>10</v>
      </c>
      <c r="BB82" s="2540">
        <f>((AR82*$AR$17)+(AV82*$AV$17)+(AZ82*$AZ$17))/$BB$17</f>
        <v>10</v>
      </c>
      <c r="BC82" s="809">
        <f>+$D$82</f>
        <v>10</v>
      </c>
      <c r="BD82" s="2541">
        <f>((AN82*$AN$17)+(BB82*$BB$17))/$BD$17</f>
        <v>10</v>
      </c>
      <c r="BE82" s="808">
        <f>+$D$82</f>
        <v>10</v>
      </c>
      <c r="BF82" s="808">
        <f t="shared" ref="BF82:BF85" si="333">((AX82*$AX$17)+(AZ82*$AZ$17))/$BF$17</f>
        <v>10</v>
      </c>
      <c r="BG82" s="1222"/>
      <c r="BH82" s="1222"/>
      <c r="BI82" s="4713"/>
      <c r="BJ82" s="4713"/>
      <c r="BK82" s="26"/>
      <c r="BL82" s="26"/>
      <c r="BM82" s="26"/>
      <c r="BN82" s="26"/>
    </row>
    <row r="83" spans="1:66" ht="15.75" customHeight="1" thickBot="1" x14ac:dyDescent="0.3">
      <c r="A83" s="148"/>
      <c r="B83" s="2548" t="s">
        <v>508</v>
      </c>
      <c r="C83" s="3822" t="s">
        <v>506</v>
      </c>
      <c r="D83" s="3818">
        <v>4.2000000000000011</v>
      </c>
      <c r="E83" s="3818">
        <f>+$D$83</f>
        <v>4.2000000000000011</v>
      </c>
      <c r="F83" s="3818"/>
      <c r="G83" s="3818">
        <f>+$D$83</f>
        <v>4.2000000000000011</v>
      </c>
      <c r="H83" s="3818"/>
      <c r="I83" s="3820">
        <f>+$D$83</f>
        <v>4.2000000000000011</v>
      </c>
      <c r="J83" s="166">
        <f>((F83*$F$18)+(H83*$H$18))/$J$18</f>
        <v>0</v>
      </c>
      <c r="K83" s="3818">
        <f>+$D$83</f>
        <v>4.2000000000000011</v>
      </c>
      <c r="L83" s="3818">
        <v>0</v>
      </c>
      <c r="M83" s="807">
        <f>+$D$83</f>
        <v>4.2000000000000011</v>
      </c>
      <c r="N83" s="2540">
        <f>((F83*$F$18)+(H83*$H$18)+(L83*$L$18))/($N$18)</f>
        <v>0</v>
      </c>
      <c r="O83" s="3818">
        <f>+$D$83</f>
        <v>4.2000000000000011</v>
      </c>
      <c r="P83" s="3818">
        <v>0</v>
      </c>
      <c r="Q83" s="808">
        <f>+$D$83</f>
        <v>4.2000000000000011</v>
      </c>
      <c r="R83" s="1453">
        <f>((N83*$F$18)+(P83*$H$18))/$J$18</f>
        <v>0</v>
      </c>
      <c r="S83" s="3818">
        <f>+$D$83</f>
        <v>4.2000000000000011</v>
      </c>
      <c r="T83" s="3818">
        <v>0</v>
      </c>
      <c r="U83" s="808">
        <f>+$D$83</f>
        <v>4.2000000000000011</v>
      </c>
      <c r="V83" s="1453">
        <f>((R83*$F$18)+(T83*$H$18))/$J$18</f>
        <v>0</v>
      </c>
      <c r="W83" s="3818">
        <f>+$D$83</f>
        <v>4.2000000000000011</v>
      </c>
      <c r="X83" s="3818">
        <v>0</v>
      </c>
      <c r="Y83" s="807">
        <f>+$D$83</f>
        <v>4.2000000000000011</v>
      </c>
      <c r="Z83" s="2540">
        <f>((P83*$P$18)+(T83*$T$18)+(X83*$X$18))/$Z$18</f>
        <v>0</v>
      </c>
      <c r="AA83" s="809">
        <f>+$D$83</f>
        <v>4.2000000000000011</v>
      </c>
      <c r="AB83" s="2541">
        <f>((N83*$N$18)+(Z83*$Z$18))/$AB$18</f>
        <v>0</v>
      </c>
      <c r="AC83" s="3818">
        <f>+$D$83</f>
        <v>4.2000000000000011</v>
      </c>
      <c r="AD83" s="3818">
        <v>0</v>
      </c>
      <c r="AE83" s="808">
        <f>+$D$83</f>
        <v>4.2000000000000011</v>
      </c>
      <c r="AF83" s="1453">
        <f>((AB83*$F$18)+(AD83*$H$18))/$J$18</f>
        <v>0</v>
      </c>
      <c r="AG83" s="3818">
        <f>+$D$83</f>
        <v>4.2000000000000011</v>
      </c>
      <c r="AH83" s="3818"/>
      <c r="AI83" s="808">
        <f>+$D$83</f>
        <v>4.2000000000000011</v>
      </c>
      <c r="AJ83" s="1453">
        <f>((AF83*$F$18)+(AH83*$H$18))/$J$18</f>
        <v>0</v>
      </c>
      <c r="AK83" s="3818">
        <f>+$D$83</f>
        <v>4.2000000000000011</v>
      </c>
      <c r="AL83" s="3818">
        <v>0</v>
      </c>
      <c r="AM83" s="807">
        <f>+$D$83</f>
        <v>4.2000000000000011</v>
      </c>
      <c r="AN83" s="2540">
        <f>((AD83*$AD$18)+(AH83*$AH$18)+(AL83*$AL$18))/$AN$18</f>
        <v>0</v>
      </c>
      <c r="AO83" s="808">
        <f>+$D$83</f>
        <v>4.2000000000000011</v>
      </c>
      <c r="AP83" s="1453">
        <f>((AJ83*$AJ$18)+(AL83*$AL$18))/$AP$18</f>
        <v>0</v>
      </c>
      <c r="AQ83" s="3818">
        <f>+$D$83</f>
        <v>4.2000000000000011</v>
      </c>
      <c r="AR83" s="3818">
        <v>0</v>
      </c>
      <c r="AS83" s="808">
        <f>+$D$83</f>
        <v>4.2000000000000011</v>
      </c>
      <c r="AT83" s="1453">
        <f>((AP83*$AP$18)+(AR83*$AR$18))/$AT$18</f>
        <v>0</v>
      </c>
      <c r="AU83" s="3818">
        <f>+$D$83</f>
        <v>4.2000000000000011</v>
      </c>
      <c r="AV83" s="3818"/>
      <c r="AW83" s="808">
        <f>+$D$83</f>
        <v>4.2000000000000011</v>
      </c>
      <c r="AX83" s="1453">
        <f>((AT83*$AP$18)+(AV83*$AR$18))/$AT$18</f>
        <v>0</v>
      </c>
      <c r="AY83" s="3818">
        <f>+$D$83</f>
        <v>4.2000000000000011</v>
      </c>
      <c r="AZ83" s="3818"/>
      <c r="BA83" s="807">
        <f>+$D$83</f>
        <v>4.2000000000000011</v>
      </c>
      <c r="BB83" s="2540">
        <f>((AR83*$AR$18)+(AV83*$AV$18)+(AZ83*$AZ$18))/$BB$18</f>
        <v>0</v>
      </c>
      <c r="BC83" s="809">
        <f>+$D$83</f>
        <v>4.2000000000000011</v>
      </c>
      <c r="BD83" s="2541">
        <f>((AN83*$AN$18)+(BB83*$BB$18))/$BD$18</f>
        <v>0</v>
      </c>
      <c r="BE83" s="808">
        <f>+$D$83</f>
        <v>4.2000000000000011</v>
      </c>
      <c r="BF83" s="808">
        <f>((AX83*$AX$18)+(AZ83*$AZ$18))/$BF$18</f>
        <v>0</v>
      </c>
      <c r="BG83" s="1222"/>
      <c r="BH83" s="1222"/>
      <c r="BI83" s="4713"/>
      <c r="BJ83" s="4713"/>
      <c r="BK83" s="26"/>
      <c r="BL83" s="26"/>
      <c r="BM83" s="26"/>
      <c r="BN83" s="26"/>
    </row>
    <row r="84" spans="1:66" ht="15.75" customHeight="1" thickBot="1" x14ac:dyDescent="0.3">
      <c r="A84" s="148"/>
      <c r="B84" s="2549" t="s">
        <v>1092</v>
      </c>
      <c r="C84" s="3543" t="s">
        <v>506</v>
      </c>
      <c r="D84" s="3544">
        <f t="shared" ref="D84:AA84" si="334">+((D82*D17)+(D83*D18))/D19</f>
        <v>6.2035836649937934</v>
      </c>
      <c r="E84" s="3544">
        <f t="shared" si="334"/>
        <v>6.2463589743589756</v>
      </c>
      <c r="F84" s="3544">
        <f t="shared" si="334"/>
        <v>3.5305558517911577</v>
      </c>
      <c r="G84" s="3544">
        <f t="shared" ref="G84:H84" si="335">+((G82*G17)+(G83*G18))/G19</f>
        <v>6.2463589743589756</v>
      </c>
      <c r="H84" s="3544">
        <f t="shared" si="335"/>
        <v>3.5312260628680257</v>
      </c>
      <c r="I84" s="3546">
        <f t="shared" si="334"/>
        <v>6.2463589743589756</v>
      </c>
      <c r="J84" s="3821">
        <f>((F84*$F$19)+(H84*$H$19))/$J$19</f>
        <v>3.5308971291060178</v>
      </c>
      <c r="K84" s="3544">
        <f t="shared" ref="K84:L84" si="336">+((K82*K17)+(K83*K18))/K19</f>
        <v>6.2662549434870662</v>
      </c>
      <c r="L84" s="3544">
        <f t="shared" si="336"/>
        <v>3.544692155267537</v>
      </c>
      <c r="M84" s="817">
        <f t="shared" si="334"/>
        <v>6.2528512736616548</v>
      </c>
      <c r="N84" s="2540">
        <f>((F84*$F$19)+(H84*$H$19)+(L84*$L$19))/($N$19)</f>
        <v>3.5354327531568521</v>
      </c>
      <c r="O84" s="3544">
        <f t="shared" ref="O84:P84" si="337">+((O82*O17)+(O83*O18))/O19</f>
        <v>6.2734128098221209</v>
      </c>
      <c r="P84" s="3544">
        <f t="shared" si="337"/>
        <v>3.4997526361652986</v>
      </c>
      <c r="Q84" s="816">
        <f t="shared" si="334"/>
        <v>6.2579646560025592</v>
      </c>
      <c r="R84" s="2834">
        <f>((N84*$F$19)+(P84*$H$19))/$J$19</f>
        <v>3.5172641269716589</v>
      </c>
      <c r="S84" s="3544">
        <f t="shared" ref="S84:U84" si="338">+((S82*S17)+(S83*S18))/S19</f>
        <v>6.205793094781817</v>
      </c>
      <c r="T84" s="3544">
        <f t="shared" si="338"/>
        <v>3.5132367623971734</v>
      </c>
      <c r="U84" s="816">
        <f t="shared" si="338"/>
        <v>6.2472955868483888</v>
      </c>
      <c r="V84" s="2834">
        <f>((R84*$F$19)+(T84*$H$19))/$J$19</f>
        <v>3.515213357870127</v>
      </c>
      <c r="W84" s="3544">
        <f t="shared" ref="W84:X84" si="339">+((W82*W17)+(W83*W18))/W19</f>
        <v>6.2057930947818178</v>
      </c>
      <c r="X84" s="3544">
        <f t="shared" si="339"/>
        <v>3.5212290041811456</v>
      </c>
      <c r="Y84" s="817">
        <f t="shared" si="334"/>
        <v>6.2280798309274239</v>
      </c>
      <c r="Z84" s="2540">
        <f>((P84*$P$19)+(T84*$T$19)+(X84*$X$19))/$Z$19</f>
        <v>3.5112937322750661</v>
      </c>
      <c r="AA84" s="809">
        <f t="shared" si="334"/>
        <v>6.2404390502200577</v>
      </c>
      <c r="AB84" s="2541">
        <f>((N84*$N$19)+(Z84*$Z$19))/$AB$19</f>
        <v>3.5232280041873478</v>
      </c>
      <c r="AC84" s="3544">
        <f t="shared" ref="AC84:AD84" si="340">+((AC82*AC17)+(AC83*AC18))/AC19</f>
        <v>6.205793094781817</v>
      </c>
      <c r="AD84" s="3544">
        <f t="shared" si="340"/>
        <v>3.5319671701767046</v>
      </c>
      <c r="AE84" s="816">
        <f t="shared" ref="AE84" si="341">+((AE82*AE17)+(AE83*AE18))/AE19</f>
        <v>6.2353869435226841</v>
      </c>
      <c r="AF84" s="2834">
        <f>((AB84*$F$19)+(AD84*$H$19))/$J$19</f>
        <v>3.5276780635878966</v>
      </c>
      <c r="AG84" s="3544">
        <f t="shared" ref="AG84:AH84" si="342">+((AG82*AG17)+(AG83*AG18))/AG19</f>
        <v>6.2057930947818178</v>
      </c>
      <c r="AH84" s="3544">
        <f t="shared" si="342"/>
        <v>3.5354843209828095</v>
      </c>
      <c r="AI84" s="816">
        <f t="shared" ref="AI84" si="343">+((AI82*AI17)+(AI83*AI18))/AI19</f>
        <v>6.2317271988912868</v>
      </c>
      <c r="AJ84" s="2834">
        <f>((AF84*$F$19)+(AH84*$H$19))/$J$19</f>
        <v>3.5316530778107236</v>
      </c>
      <c r="AK84" s="3544">
        <f t="shared" ref="AK84:AL84" si="344">+((AK82*AK17)+(AK83*AK18))/AK19</f>
        <v>6.205793094781817</v>
      </c>
      <c r="AL84" s="3544">
        <f t="shared" si="344"/>
        <v>3.5169669343752261</v>
      </c>
      <c r="AM84" s="817">
        <f t="shared" ref="AM84" si="345">+((AM82*AM17)+(AM83*AM18))/AM19</f>
        <v>6.205793094781817</v>
      </c>
      <c r="AN84" s="2540">
        <f>((AD84*$AD$19)+(AH84*$AH$19)+(AL84*$AL$19))/$AN$19</f>
        <v>3.5279487311191535</v>
      </c>
      <c r="AO84" s="816">
        <f t="shared" ref="AO84" si="346">+((AO82*AO17)+(AO83*AO18))/AO19</f>
        <v>6.2287886454954746</v>
      </c>
      <c r="AP84" s="1453">
        <f>((AJ84*$AJ$19)+(AL84*$AL$19))/$AP$19</f>
        <v>3.5299828314954484</v>
      </c>
      <c r="AQ84" s="3544">
        <f t="shared" ref="AQ84:AR84" si="347">+((AQ82*AQ17)+(AQ83*AQ18))/AQ19</f>
        <v>6.205793094781817</v>
      </c>
      <c r="AR84" s="3544">
        <f t="shared" si="347"/>
        <v>3.5169669343752261</v>
      </c>
      <c r="AS84" s="816">
        <f t="shared" ref="AS84" si="348">+((AS82*AS17)+(AS83*AS18))/AS19</f>
        <v>6.226448242516434</v>
      </c>
      <c r="AT84" s="2834">
        <f>((AP84*$AP$19)+(AR84*$AR$19))/$AT$19</f>
        <v>3.5286537023577651</v>
      </c>
      <c r="AU84" s="3544">
        <f t="shared" ref="AU84:AW84" si="349">+((AU82*AU17)+(AU83*AU18))/AU19</f>
        <v>6.2057930947818161</v>
      </c>
      <c r="AV84" s="3544">
        <f t="shared" si="349"/>
        <v>3.511586286435171</v>
      </c>
      <c r="AW84" s="816">
        <f t="shared" si="349"/>
        <v>6.224709329497057</v>
      </c>
      <c r="AX84" s="2834">
        <f>((AT84*$AP$19)+(AV84*$AR$19))/$AT$19</f>
        <v>3.5269108490147993</v>
      </c>
      <c r="AY84" s="3544">
        <f t="shared" ref="AY84:AZ84" si="350">+((AY82*AY17)+(AY83*AY18))/AY19</f>
        <v>6.205793094781817</v>
      </c>
      <c r="AZ84" s="3544">
        <f t="shared" si="350"/>
        <v>3.5132367623971734</v>
      </c>
      <c r="BA84" s="817">
        <f t="shared" ref="BA84:BE84" si="351">+((BA82*BA17)+(BA83*BA18))/BA19</f>
        <v>6.2057930947818178</v>
      </c>
      <c r="BB84" s="2540">
        <f>((AR84*$AR$19)+(AV84*$AV$19)+(AZ84*$AZ$19))/$BB$19</f>
        <v>3.5140091566449434</v>
      </c>
      <c r="BC84" s="809">
        <f t="shared" ref="BC84" si="352">+((BC82*BC17)+(BC83*BC18))/BC19</f>
        <v>6.2057930947818161</v>
      </c>
      <c r="BD84" s="2541">
        <f>((AN84*$AN$19)+(BB84*$BB$19))/$BD$19</f>
        <v>3.5210021286729773</v>
      </c>
      <c r="BE84" s="816">
        <f t="shared" si="351"/>
        <v>6.2230965124442674</v>
      </c>
      <c r="BF84" s="816">
        <f>((AX84*$AX$19)+(AZ84*$AZ$19))/$BF$19</f>
        <v>3.5257404331604851</v>
      </c>
      <c r="BG84" s="1222"/>
      <c r="BH84" s="1222"/>
      <c r="BI84" s="4713"/>
      <c r="BJ84" s="4713"/>
      <c r="BK84" s="26"/>
      <c r="BL84" s="26"/>
      <c r="BM84" s="26"/>
      <c r="BN84" s="26"/>
    </row>
    <row r="85" spans="1:66" ht="15.75" customHeight="1" x14ac:dyDescent="0.25">
      <c r="A85" s="148"/>
      <c r="B85" s="2550" t="s">
        <v>505</v>
      </c>
      <c r="C85" s="3543" t="s">
        <v>506</v>
      </c>
      <c r="D85" s="3544">
        <v>4.2000000000000011</v>
      </c>
      <c r="E85" s="3544">
        <f>+$D$85</f>
        <v>4.2000000000000011</v>
      </c>
      <c r="F85" s="3544">
        <v>0</v>
      </c>
      <c r="G85" s="3544">
        <f>+$D$85</f>
        <v>4.2000000000000011</v>
      </c>
      <c r="H85" s="3544">
        <v>0</v>
      </c>
      <c r="I85" s="3546">
        <f>+$D$85</f>
        <v>4.2000000000000011</v>
      </c>
      <c r="J85" s="3821">
        <f>((F85*$F$17)+(H85*$H$17))/$J$17</f>
        <v>0</v>
      </c>
      <c r="K85" s="3544">
        <f>+$D$85</f>
        <v>4.2000000000000011</v>
      </c>
      <c r="L85" s="3544"/>
      <c r="M85" s="817">
        <f>+$D$85</f>
        <v>4.2000000000000011</v>
      </c>
      <c r="N85" s="2540">
        <f>((F85*$F$17)+(H85*$H$17)+(L85*$L$17))/$N$17</f>
        <v>0</v>
      </c>
      <c r="O85" s="3544">
        <f>+$D$85</f>
        <v>4.2000000000000011</v>
      </c>
      <c r="P85" s="3544">
        <v>0</v>
      </c>
      <c r="Q85" s="816">
        <f>+$D$85</f>
        <v>4.2000000000000011</v>
      </c>
      <c r="R85" s="2834">
        <f>((N85*$F$17)+(P85*$H$17))/$J$17</f>
        <v>0</v>
      </c>
      <c r="S85" s="3544">
        <f>+$D$85</f>
        <v>4.2000000000000011</v>
      </c>
      <c r="T85" s="3544">
        <v>0</v>
      </c>
      <c r="U85" s="816">
        <f>+$D$85</f>
        <v>4.2000000000000011</v>
      </c>
      <c r="V85" s="2834">
        <f>((R85*$F$17)+(T85*$H$17))/$J$17</f>
        <v>0</v>
      </c>
      <c r="W85" s="3544">
        <f>+$D$85</f>
        <v>4.2000000000000011</v>
      </c>
      <c r="X85" s="3544">
        <v>0</v>
      </c>
      <c r="Y85" s="817">
        <f>+$D$85</f>
        <v>4.2000000000000011</v>
      </c>
      <c r="Z85" s="2540">
        <f>((P85*$P$17)+(T85*$T$17)+(X85*$X$17))/$Z$17</f>
        <v>0</v>
      </c>
      <c r="AA85" s="809">
        <f>+$D$85</f>
        <v>4.2000000000000011</v>
      </c>
      <c r="AB85" s="2541">
        <f>((N85*$N$17)+(Z85*$Z$17))/$AB$17</f>
        <v>0</v>
      </c>
      <c r="AC85" s="3544">
        <f>+$D$85</f>
        <v>4.2000000000000011</v>
      </c>
      <c r="AD85" s="3544">
        <v>0</v>
      </c>
      <c r="AE85" s="816">
        <f>+$D$85</f>
        <v>4.2000000000000011</v>
      </c>
      <c r="AF85" s="2834">
        <f>((AB85*$F$17)+(AD85*$H$17))/$J$17</f>
        <v>0</v>
      </c>
      <c r="AG85" s="3544">
        <f>+$D$85</f>
        <v>4.2000000000000011</v>
      </c>
      <c r="AH85" s="3544">
        <v>0</v>
      </c>
      <c r="AI85" s="816">
        <f>+$D$85</f>
        <v>4.2000000000000011</v>
      </c>
      <c r="AJ85" s="2834">
        <f>((AF85*$F$17)+(AH85*$H$17))/$J$17</f>
        <v>0</v>
      </c>
      <c r="AK85" s="3544">
        <f>+$D$85</f>
        <v>4.2000000000000011</v>
      </c>
      <c r="AL85" s="3544">
        <v>0</v>
      </c>
      <c r="AM85" s="817">
        <f>+$D$85</f>
        <v>4.2000000000000011</v>
      </c>
      <c r="AN85" s="2540">
        <f>((AD85*$AD$17)+(AH85*$AH$17)+(AL85*$AL$17))/$AN$17</f>
        <v>0</v>
      </c>
      <c r="AO85" s="816">
        <f>+$D$85</f>
        <v>4.2000000000000011</v>
      </c>
      <c r="AP85" s="1453">
        <f>((AJ85*$AJ$17)+(AL85*$AL$17))/$AP$17</f>
        <v>0</v>
      </c>
      <c r="AQ85" s="3544">
        <f>+$D$85</f>
        <v>4.2000000000000011</v>
      </c>
      <c r="AR85" s="3544">
        <v>0</v>
      </c>
      <c r="AS85" s="816">
        <f>+$D$85</f>
        <v>4.2000000000000011</v>
      </c>
      <c r="AT85" s="2834">
        <f>((AP85*$AP$17)+(AR85*$AR$17))/$AT$17</f>
        <v>0</v>
      </c>
      <c r="AU85" s="3544">
        <f>+$D$85</f>
        <v>4.2000000000000011</v>
      </c>
      <c r="AV85" s="3544">
        <v>0</v>
      </c>
      <c r="AW85" s="816">
        <f>+$D$85</f>
        <v>4.2000000000000011</v>
      </c>
      <c r="AX85" s="2834">
        <f>((AT85*$AP$17)+(AV85*$AR$17))/$AT$17</f>
        <v>0</v>
      </c>
      <c r="AY85" s="3544">
        <f>+$D$85</f>
        <v>4.2000000000000011</v>
      </c>
      <c r="AZ85" s="3544">
        <v>0</v>
      </c>
      <c r="BA85" s="817">
        <f>+$D$85</f>
        <v>4.2000000000000011</v>
      </c>
      <c r="BB85" s="2540">
        <f>((AR85*$AR$17)+(AV85*$AV$17)+(AZ85*$AZ$17))/$BB$17</f>
        <v>0</v>
      </c>
      <c r="BC85" s="2524">
        <f>+$D$85</f>
        <v>4.2000000000000011</v>
      </c>
      <c r="BD85" s="3043">
        <f>((AN85*$AN$17)+(BB85*$BB$17))/$BD$17</f>
        <v>0</v>
      </c>
      <c r="BE85" s="816">
        <f>+$D$85</f>
        <v>4.2000000000000011</v>
      </c>
      <c r="BF85" s="816">
        <f t="shared" si="333"/>
        <v>0</v>
      </c>
      <c r="BG85" s="1222"/>
      <c r="BH85" s="1222"/>
      <c r="BI85" s="4713"/>
      <c r="BJ85" s="4713"/>
      <c r="BK85" s="26"/>
      <c r="BL85" s="26"/>
      <c r="BM85" s="26"/>
      <c r="BN85" s="26"/>
    </row>
    <row r="86" spans="1:66" x14ac:dyDescent="0.25">
      <c r="B86" s="2551" t="s">
        <v>189</v>
      </c>
      <c r="C86" s="3142" t="s">
        <v>50</v>
      </c>
      <c r="D86" s="3470">
        <v>120</v>
      </c>
      <c r="E86" s="3470">
        <v>10</v>
      </c>
      <c r="F86" s="3470">
        <v>3</v>
      </c>
      <c r="G86" s="3470">
        <v>10</v>
      </c>
      <c r="H86" s="3470">
        <v>5</v>
      </c>
      <c r="I86" s="3755">
        <f t="shared" ref="I86:J88" si="353">+E86+G86</f>
        <v>20</v>
      </c>
      <c r="J86" s="107">
        <f t="shared" si="353"/>
        <v>8</v>
      </c>
      <c r="K86" s="3470">
        <v>10</v>
      </c>
      <c r="L86" s="3470">
        <v>6.5</v>
      </c>
      <c r="M86" s="353">
        <f t="shared" ref="M86:N88" si="354">+E86+G86+K86</f>
        <v>30</v>
      </c>
      <c r="N86" s="353">
        <f t="shared" si="354"/>
        <v>14.5</v>
      </c>
      <c r="O86" s="3470">
        <v>10</v>
      </c>
      <c r="P86" s="3470">
        <v>2</v>
      </c>
      <c r="Q86" s="266">
        <f t="shared" ref="Q86:R88" si="355">+M86+O86</f>
        <v>40</v>
      </c>
      <c r="R86" s="266">
        <f t="shared" si="355"/>
        <v>16.5</v>
      </c>
      <c r="S86" s="3470">
        <v>10</v>
      </c>
      <c r="T86" s="3470">
        <v>1.5</v>
      </c>
      <c r="U86" s="266">
        <f t="shared" ref="U86:U88" si="356">+Q86+S86</f>
        <v>50</v>
      </c>
      <c r="V86" s="266">
        <f t="shared" ref="V86:V88" si="357">+R86+T86</f>
        <v>18</v>
      </c>
      <c r="W86" s="3470">
        <v>10</v>
      </c>
      <c r="X86" s="3470">
        <v>0</v>
      </c>
      <c r="Y86" s="353">
        <f t="shared" ref="Y86:Z88" si="358">+O86+S86+W86</f>
        <v>30</v>
      </c>
      <c r="Z86" s="353">
        <f t="shared" si="358"/>
        <v>3.5</v>
      </c>
      <c r="AA86" s="466">
        <f t="shared" ref="AA86:AB88" si="359">+M86+Y86</f>
        <v>60</v>
      </c>
      <c r="AB86" s="474">
        <f t="shared" si="359"/>
        <v>18</v>
      </c>
      <c r="AC86" s="3470">
        <v>10</v>
      </c>
      <c r="AD86" s="3470">
        <v>7</v>
      </c>
      <c r="AE86" s="266">
        <f t="shared" ref="AE86:AE88" si="360">+AA86+AC86</f>
        <v>70</v>
      </c>
      <c r="AF86" s="266">
        <f t="shared" ref="AF86:AF88" si="361">+AB86+AD86</f>
        <v>25</v>
      </c>
      <c r="AG86" s="3470">
        <v>10</v>
      </c>
      <c r="AH86" s="3470">
        <v>3.5</v>
      </c>
      <c r="AI86" s="266">
        <f t="shared" ref="AI86:AI88" si="362">+AE86+AG86</f>
        <v>80</v>
      </c>
      <c r="AJ86" s="266">
        <f t="shared" ref="AJ86:AJ88" si="363">+AF86+AH86</f>
        <v>28.5</v>
      </c>
      <c r="AK86" s="3470">
        <v>10</v>
      </c>
      <c r="AL86" s="3470">
        <v>3</v>
      </c>
      <c r="AM86" s="353">
        <f t="shared" ref="AM86:AM88" si="364">+AC86+AG86+AK86</f>
        <v>30</v>
      </c>
      <c r="AN86" s="353">
        <f t="shared" ref="AN86:AN88" si="365">+AD86+AH86+AL86</f>
        <v>13.5</v>
      </c>
      <c r="AO86" s="761">
        <f t="shared" ref="AO86" si="366">AI86+AK86</f>
        <v>90</v>
      </c>
      <c r="AP86" s="761">
        <f t="shared" ref="AP86" si="367">AJ86+AL86</f>
        <v>31.5</v>
      </c>
      <c r="AQ86" s="3470">
        <v>10</v>
      </c>
      <c r="AR86" s="3470">
        <v>4</v>
      </c>
      <c r="AS86" s="266">
        <f t="shared" ref="AS86:AS88" si="368">+AO86+AQ86</f>
        <v>100</v>
      </c>
      <c r="AT86" s="266">
        <f t="shared" ref="AT86:AT88" si="369">+AP86+AR86</f>
        <v>35.5</v>
      </c>
      <c r="AU86" s="3470">
        <v>10</v>
      </c>
      <c r="AV86" s="3470">
        <v>7</v>
      </c>
      <c r="AW86" s="266">
        <f t="shared" ref="AW86:AW88" si="370">+AS86+AU86</f>
        <v>110</v>
      </c>
      <c r="AX86" s="266">
        <f t="shared" ref="AX86:AX88" si="371">+AT86+AV86</f>
        <v>42.5</v>
      </c>
      <c r="AY86" s="3470">
        <v>10</v>
      </c>
      <c r="AZ86" s="3470">
        <v>5</v>
      </c>
      <c r="BA86" s="353">
        <f t="shared" ref="BA86:BA88" si="372">+AQ86+AU86+AY86</f>
        <v>30</v>
      </c>
      <c r="BB86" s="353">
        <f t="shared" ref="BB86:BB88" si="373">+AR86+AV86+AZ86</f>
        <v>16</v>
      </c>
      <c r="BC86" s="2883">
        <f t="shared" ref="BC86:BC88" si="374">+AM86+BA86</f>
        <v>60</v>
      </c>
      <c r="BD86" s="2883">
        <f t="shared" ref="BD86:BD88" si="375">+AN86+BB86</f>
        <v>29.5</v>
      </c>
      <c r="BE86" s="266">
        <f t="shared" ref="BE86:BE88" si="376">+AW86+AY86</f>
        <v>120</v>
      </c>
      <c r="BF86" s="266">
        <f t="shared" ref="BF86:BF88" si="377">+AX86+AZ86</f>
        <v>47.5</v>
      </c>
      <c r="BG86" s="1222"/>
      <c r="BH86" s="1222"/>
      <c r="BI86" s="4713"/>
      <c r="BJ86" s="4713"/>
      <c r="BK86" s="26"/>
      <c r="BL86" s="26"/>
      <c r="BM86" s="26"/>
      <c r="BN86" s="26"/>
    </row>
    <row r="87" spans="1:66" x14ac:dyDescent="0.25">
      <c r="B87" s="2551" t="s">
        <v>190</v>
      </c>
      <c r="C87" s="3142" t="s">
        <v>50</v>
      </c>
      <c r="D87" s="3470">
        <v>24</v>
      </c>
      <c r="E87" s="3470">
        <v>2</v>
      </c>
      <c r="F87" s="3473">
        <v>4</v>
      </c>
      <c r="G87" s="3470">
        <v>2</v>
      </c>
      <c r="H87" s="3473">
        <v>2</v>
      </c>
      <c r="I87" s="3755">
        <f t="shared" si="353"/>
        <v>4</v>
      </c>
      <c r="J87" s="107">
        <f t="shared" si="353"/>
        <v>6</v>
      </c>
      <c r="K87" s="3470">
        <v>0</v>
      </c>
      <c r="L87" s="3473">
        <v>0</v>
      </c>
      <c r="M87" s="353">
        <f t="shared" si="354"/>
        <v>4</v>
      </c>
      <c r="N87" s="353">
        <f t="shared" si="354"/>
        <v>6</v>
      </c>
      <c r="O87" s="3470">
        <v>0</v>
      </c>
      <c r="P87" s="3473">
        <v>0</v>
      </c>
      <c r="Q87" s="266">
        <f t="shared" si="355"/>
        <v>4</v>
      </c>
      <c r="R87" s="266">
        <f t="shared" si="355"/>
        <v>6</v>
      </c>
      <c r="S87" s="3470">
        <v>0</v>
      </c>
      <c r="T87" s="3473">
        <v>0</v>
      </c>
      <c r="U87" s="266">
        <f t="shared" si="356"/>
        <v>4</v>
      </c>
      <c r="V87" s="266">
        <f t="shared" si="357"/>
        <v>6</v>
      </c>
      <c r="W87" s="3470">
        <v>0</v>
      </c>
      <c r="X87" s="3473">
        <v>0</v>
      </c>
      <c r="Y87" s="353">
        <f t="shared" si="358"/>
        <v>0</v>
      </c>
      <c r="Z87" s="353">
        <f t="shared" si="358"/>
        <v>0</v>
      </c>
      <c r="AA87" s="466">
        <f t="shared" si="359"/>
        <v>4</v>
      </c>
      <c r="AB87" s="474">
        <f t="shared" si="359"/>
        <v>6</v>
      </c>
      <c r="AC87" s="3470">
        <v>0</v>
      </c>
      <c r="AD87" s="3473">
        <v>0</v>
      </c>
      <c r="AE87" s="266">
        <f t="shared" si="360"/>
        <v>4</v>
      </c>
      <c r="AF87" s="266">
        <f t="shared" si="361"/>
        <v>6</v>
      </c>
      <c r="AG87" s="3470">
        <v>0</v>
      </c>
      <c r="AH87" s="3473">
        <v>0</v>
      </c>
      <c r="AI87" s="266">
        <f t="shared" si="362"/>
        <v>4</v>
      </c>
      <c r="AJ87" s="266">
        <f t="shared" si="363"/>
        <v>6</v>
      </c>
      <c r="AK87" s="3470">
        <v>0</v>
      </c>
      <c r="AL87" s="3473">
        <v>2</v>
      </c>
      <c r="AM87" s="353">
        <f t="shared" si="364"/>
        <v>0</v>
      </c>
      <c r="AN87" s="353">
        <f t="shared" si="365"/>
        <v>2</v>
      </c>
      <c r="AO87" s="761">
        <f t="shared" ref="AO87:AO88" si="378">AI87+AK87</f>
        <v>4</v>
      </c>
      <c r="AP87" s="761">
        <f t="shared" ref="AP87:AP88" si="379">AJ87+AL87</f>
        <v>8</v>
      </c>
      <c r="AQ87" s="3470">
        <v>0</v>
      </c>
      <c r="AR87" s="3473">
        <v>2</v>
      </c>
      <c r="AS87" s="266">
        <f t="shared" si="368"/>
        <v>4</v>
      </c>
      <c r="AT87" s="266">
        <f t="shared" si="369"/>
        <v>10</v>
      </c>
      <c r="AU87" s="3470">
        <v>0</v>
      </c>
      <c r="AV87" s="3473">
        <v>2</v>
      </c>
      <c r="AW87" s="266">
        <f t="shared" si="370"/>
        <v>4</v>
      </c>
      <c r="AX87" s="266">
        <f t="shared" si="371"/>
        <v>12</v>
      </c>
      <c r="AY87" s="3470">
        <v>0</v>
      </c>
      <c r="AZ87" s="3473">
        <v>2</v>
      </c>
      <c r="BA87" s="353">
        <f t="shared" si="372"/>
        <v>0</v>
      </c>
      <c r="BB87" s="353">
        <f t="shared" si="373"/>
        <v>6</v>
      </c>
      <c r="BC87" s="2883">
        <f t="shared" si="374"/>
        <v>0</v>
      </c>
      <c r="BD87" s="2883">
        <f t="shared" si="375"/>
        <v>8</v>
      </c>
      <c r="BE87" s="266">
        <f t="shared" si="376"/>
        <v>4</v>
      </c>
      <c r="BF87" s="266">
        <f t="shared" si="377"/>
        <v>14</v>
      </c>
      <c r="BG87" s="1222"/>
      <c r="BH87" s="1222"/>
      <c r="BI87" s="4713"/>
      <c r="BJ87" s="4713"/>
      <c r="BK87" s="26"/>
      <c r="BL87" s="26"/>
      <c r="BM87" s="26"/>
      <c r="BN87" s="26"/>
    </row>
    <row r="88" spans="1:66" ht="15.75" thickBot="1" x14ac:dyDescent="0.3">
      <c r="B88" s="2552" t="s">
        <v>191</v>
      </c>
      <c r="C88" s="894" t="s">
        <v>50</v>
      </c>
      <c r="D88" s="1454">
        <v>15</v>
      </c>
      <c r="E88" s="1454">
        <v>1</v>
      </c>
      <c r="F88" s="1454">
        <v>0</v>
      </c>
      <c r="G88" s="1454">
        <v>1</v>
      </c>
      <c r="H88" s="1454">
        <v>0</v>
      </c>
      <c r="I88" s="593">
        <f t="shared" si="353"/>
        <v>2</v>
      </c>
      <c r="J88" s="131">
        <f t="shared" si="353"/>
        <v>0</v>
      </c>
      <c r="K88" s="1454">
        <v>20</v>
      </c>
      <c r="L88" s="1454">
        <v>0</v>
      </c>
      <c r="M88" s="594">
        <f t="shared" si="354"/>
        <v>22</v>
      </c>
      <c r="N88" s="594">
        <f t="shared" si="354"/>
        <v>0</v>
      </c>
      <c r="O88" s="1454">
        <v>20</v>
      </c>
      <c r="P88" s="1454">
        <v>0</v>
      </c>
      <c r="Q88" s="593">
        <f t="shared" si="355"/>
        <v>42</v>
      </c>
      <c r="R88" s="593">
        <f t="shared" si="355"/>
        <v>0</v>
      </c>
      <c r="S88" s="1454">
        <v>20</v>
      </c>
      <c r="T88" s="1454">
        <v>0</v>
      </c>
      <c r="U88" s="593">
        <f t="shared" si="356"/>
        <v>62</v>
      </c>
      <c r="V88" s="593">
        <f t="shared" si="357"/>
        <v>0</v>
      </c>
      <c r="W88" s="1454">
        <v>20</v>
      </c>
      <c r="X88" s="1454">
        <v>0</v>
      </c>
      <c r="Y88" s="594">
        <f t="shared" si="358"/>
        <v>60</v>
      </c>
      <c r="Z88" s="594">
        <f t="shared" si="358"/>
        <v>0</v>
      </c>
      <c r="AA88" s="619">
        <f t="shared" si="359"/>
        <v>82</v>
      </c>
      <c r="AB88" s="492">
        <f t="shared" si="359"/>
        <v>0</v>
      </c>
      <c r="AC88" s="1454">
        <v>20</v>
      </c>
      <c r="AD88" s="1454">
        <v>0</v>
      </c>
      <c r="AE88" s="593">
        <f t="shared" si="360"/>
        <v>102</v>
      </c>
      <c r="AF88" s="593">
        <f t="shared" si="361"/>
        <v>0</v>
      </c>
      <c r="AG88" s="1454">
        <v>20</v>
      </c>
      <c r="AH88" s="1454">
        <v>0</v>
      </c>
      <c r="AI88" s="593">
        <f t="shared" si="362"/>
        <v>122</v>
      </c>
      <c r="AJ88" s="593">
        <f t="shared" si="363"/>
        <v>0</v>
      </c>
      <c r="AK88" s="1454">
        <v>20</v>
      </c>
      <c r="AL88" s="1454">
        <v>0</v>
      </c>
      <c r="AM88" s="594">
        <f t="shared" si="364"/>
        <v>60</v>
      </c>
      <c r="AN88" s="594">
        <f t="shared" si="365"/>
        <v>0</v>
      </c>
      <c r="AO88" s="761">
        <f t="shared" si="378"/>
        <v>142</v>
      </c>
      <c r="AP88" s="761">
        <f t="shared" si="379"/>
        <v>0</v>
      </c>
      <c r="AQ88" s="1454">
        <v>20</v>
      </c>
      <c r="AR88" s="1454">
        <v>0</v>
      </c>
      <c r="AS88" s="593">
        <f t="shared" si="368"/>
        <v>162</v>
      </c>
      <c r="AT88" s="593">
        <f t="shared" si="369"/>
        <v>0</v>
      </c>
      <c r="AU88" s="1454">
        <v>20</v>
      </c>
      <c r="AV88" s="1454">
        <v>0</v>
      </c>
      <c r="AW88" s="593">
        <f t="shared" si="370"/>
        <v>182</v>
      </c>
      <c r="AX88" s="593">
        <f t="shared" si="371"/>
        <v>0</v>
      </c>
      <c r="AY88" s="1454">
        <v>20</v>
      </c>
      <c r="AZ88" s="1454">
        <v>0</v>
      </c>
      <c r="BA88" s="594">
        <f t="shared" si="372"/>
        <v>60</v>
      </c>
      <c r="BB88" s="594">
        <f t="shared" si="373"/>
        <v>0</v>
      </c>
      <c r="BC88" s="2883">
        <f t="shared" si="374"/>
        <v>120</v>
      </c>
      <c r="BD88" s="2883">
        <f t="shared" si="375"/>
        <v>0</v>
      </c>
      <c r="BE88" s="593">
        <f t="shared" si="376"/>
        <v>202</v>
      </c>
      <c r="BF88" s="593">
        <f t="shared" si="377"/>
        <v>0</v>
      </c>
      <c r="BG88" s="1222"/>
      <c r="BH88" s="1222"/>
      <c r="BI88" s="4713"/>
      <c r="BJ88" s="4713"/>
      <c r="BK88" s="26"/>
      <c r="BL88" s="26"/>
      <c r="BM88" s="26"/>
      <c r="BN88" s="26"/>
    </row>
    <row r="89" spans="1:66" ht="19.5" thickBot="1" x14ac:dyDescent="0.3">
      <c r="A89" s="148"/>
      <c r="B89" s="863" t="s">
        <v>785</v>
      </c>
      <c r="C89" s="1893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2522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2522"/>
      <c r="BD89" s="533"/>
      <c r="BE89" s="533"/>
      <c r="BF89" s="533"/>
      <c r="BG89" s="1222"/>
      <c r="BH89" s="1222"/>
      <c r="BI89" s="4713"/>
      <c r="BJ89" s="4713"/>
      <c r="BK89" s="26"/>
      <c r="BL89" s="26"/>
      <c r="BM89" s="26"/>
      <c r="BN89" s="26"/>
    </row>
    <row r="90" spans="1:66" ht="18.75" x14ac:dyDescent="0.25">
      <c r="A90" s="148"/>
      <c r="B90" s="1903" t="s">
        <v>646</v>
      </c>
      <c r="C90" s="1901"/>
      <c r="D90" s="1901"/>
      <c r="E90" s="1901"/>
      <c r="F90" s="1901"/>
      <c r="G90" s="1901"/>
      <c r="H90" s="1901"/>
      <c r="I90" s="1901"/>
      <c r="J90" s="1901"/>
      <c r="K90" s="1901"/>
      <c r="L90" s="1901"/>
      <c r="M90" s="1901"/>
      <c r="N90" s="1901"/>
      <c r="O90" s="1901"/>
      <c r="P90" s="1901"/>
      <c r="Q90" s="1901"/>
      <c r="R90" s="1901"/>
      <c r="S90" s="1901"/>
      <c r="T90" s="1901"/>
      <c r="U90" s="1901"/>
      <c r="V90" s="1901"/>
      <c r="W90" s="1901"/>
      <c r="X90" s="1901"/>
      <c r="Y90" s="1901"/>
      <c r="Z90" s="1901"/>
      <c r="AA90" s="2535"/>
      <c r="AB90" s="1902"/>
      <c r="AC90" s="1901"/>
      <c r="AD90" s="1901"/>
      <c r="AE90" s="1901"/>
      <c r="AF90" s="1902"/>
      <c r="AG90" s="1901"/>
      <c r="AH90" s="1901"/>
      <c r="AI90" s="1901"/>
      <c r="AJ90" s="1902"/>
      <c r="AK90" s="1901"/>
      <c r="AL90" s="1901"/>
      <c r="AM90" s="1901"/>
      <c r="AN90" s="1901"/>
      <c r="AO90" s="1901"/>
      <c r="AP90" s="1902"/>
      <c r="AQ90" s="1901"/>
      <c r="AR90" s="1901"/>
      <c r="AS90" s="1901"/>
      <c r="AT90" s="1902"/>
      <c r="AU90" s="1901"/>
      <c r="AV90" s="1901"/>
      <c r="AW90" s="1901"/>
      <c r="AX90" s="1902"/>
      <c r="AY90" s="1901"/>
      <c r="AZ90" s="1901"/>
      <c r="BA90" s="1901"/>
      <c r="BB90" s="1901"/>
      <c r="BC90" s="2535"/>
      <c r="BD90" s="1902"/>
      <c r="BE90" s="1901"/>
      <c r="BF90" s="1902"/>
      <c r="BG90" s="1222"/>
      <c r="BH90" s="1222"/>
      <c r="BI90" s="4713"/>
      <c r="BJ90" s="4713"/>
      <c r="BK90" s="26"/>
      <c r="BL90" s="26"/>
      <c r="BM90" s="26"/>
      <c r="BN90" s="26"/>
    </row>
    <row r="91" spans="1:66" x14ac:dyDescent="0.25">
      <c r="B91" s="1906" t="s">
        <v>2262</v>
      </c>
      <c r="C91" s="1397" t="s">
        <v>50</v>
      </c>
      <c r="D91" s="2397">
        <v>290757.62051282049</v>
      </c>
      <c r="E91" s="2400">
        <v>24779.760683760684</v>
      </c>
      <c r="F91" s="1970">
        <v>22926.799999999999</v>
      </c>
      <c r="G91" s="7176">
        <v>25605.752706552707</v>
      </c>
      <c r="H91" s="1970">
        <v>23577.599999999999</v>
      </c>
      <c r="I91" s="2399">
        <f t="shared" ref="I91:J93" si="380">+E91+G91</f>
        <v>50385.51339031339</v>
      </c>
      <c r="J91" s="39">
        <f t="shared" si="380"/>
        <v>46504.399999999994</v>
      </c>
      <c r="K91" s="4585">
        <v>28912.18289734007</v>
      </c>
      <c r="L91" s="1970">
        <v>28717.4</v>
      </c>
      <c r="M91" s="2398">
        <f t="shared" ref="M91:N93" si="381">+E91+G91+K91</f>
        <v>79297.696287653467</v>
      </c>
      <c r="N91" s="2398">
        <f t="shared" si="381"/>
        <v>75221.799999999988</v>
      </c>
      <c r="O91" s="4778">
        <v>29429.372474085598</v>
      </c>
      <c r="P91" s="1970">
        <v>29729.7</v>
      </c>
      <c r="Q91" s="2399">
        <f t="shared" ref="Q91:R93" si="382">+M91+O91</f>
        <v>108727.06876173906</v>
      </c>
      <c r="R91" s="39">
        <f t="shared" si="382"/>
        <v>104951.49999999999</v>
      </c>
      <c r="S91" s="4889">
        <v>29429.372474085598</v>
      </c>
      <c r="T91" s="1970">
        <v>28148.7</v>
      </c>
      <c r="U91" s="4890">
        <f t="shared" ref="U91:U96" si="383">+Q91+S91</f>
        <v>138156.44123582466</v>
      </c>
      <c r="V91" s="39">
        <f t="shared" ref="V91:V96" si="384">+R91+T91</f>
        <v>133100.19999999998</v>
      </c>
      <c r="W91" s="5043">
        <v>28480.037878147352</v>
      </c>
      <c r="X91" s="1970">
        <v>25062.9</v>
      </c>
      <c r="Y91" s="2398">
        <f t="shared" ref="Y91:Z96" si="385">+O91+S91+W91</f>
        <v>87338.782826318551</v>
      </c>
      <c r="Z91" s="2398">
        <f t="shared" si="385"/>
        <v>82941.3</v>
      </c>
      <c r="AA91" s="2405">
        <f>+M91+Y91</f>
        <v>166636.47911397202</v>
      </c>
      <c r="AB91" s="454">
        <f>+N91+Z91</f>
        <v>158163.09999999998</v>
      </c>
      <c r="AC91" s="5337">
        <v>29429.372474085598</v>
      </c>
      <c r="AD91" s="1970">
        <v>25318</v>
      </c>
      <c r="AE91" s="2399">
        <f t="shared" ref="AE91:AE96" si="386">+AA91+AC91</f>
        <v>196065.85158805762</v>
      </c>
      <c r="AF91" s="39">
        <f t="shared" ref="AF91:AF96" si="387">+AB91+AD91</f>
        <v>183481.09999999998</v>
      </c>
      <c r="AG91" s="5510">
        <v>28480.037878147352</v>
      </c>
      <c r="AH91" s="1970">
        <v>23526</v>
      </c>
      <c r="AI91" s="2399">
        <f t="shared" ref="AI91:AI96" si="388">+AE91+AG91</f>
        <v>224545.88946620497</v>
      </c>
      <c r="AJ91" s="39">
        <f t="shared" ref="AJ91:AJ96" si="389">+AF91+AH91</f>
        <v>207007.09999999998</v>
      </c>
      <c r="AK91" s="5929">
        <v>29429.372474085598</v>
      </c>
      <c r="AL91" s="1970">
        <v>25264</v>
      </c>
      <c r="AM91" s="2723">
        <f t="shared" ref="AM91:AM96" si="390">+AC91+AG91+AK91</f>
        <v>87338.782826318551</v>
      </c>
      <c r="AN91" s="2723">
        <f t="shared" ref="AN91:AN96" si="391">+AD91+AH91+AL91</f>
        <v>74108</v>
      </c>
      <c r="AO91" s="761">
        <f t="shared" ref="AO91:AP91" si="392">AI91+AK91</f>
        <v>253975.26194029057</v>
      </c>
      <c r="AP91" s="761">
        <f t="shared" si="392"/>
        <v>232271.09999999998</v>
      </c>
      <c r="AQ91" s="6090">
        <v>29429.372474085598</v>
      </c>
      <c r="AR91" s="1970">
        <v>27505.200000000001</v>
      </c>
      <c r="AS91" s="2399">
        <f t="shared" ref="AS91:AS96" si="393">+AO91+AQ91</f>
        <v>283404.63441437617</v>
      </c>
      <c r="AT91" s="39">
        <f t="shared" ref="AT91:AT96" si="394">+AP91+AR91</f>
        <v>259776.3</v>
      </c>
      <c r="AU91" s="6215">
        <v>26581.368686270864</v>
      </c>
      <c r="AV91" s="1970">
        <v>24405.772499999995</v>
      </c>
      <c r="AW91" s="6212">
        <f t="shared" ref="AW91:AW96" si="395">+AS91+AU91</f>
        <v>309986.00310064701</v>
      </c>
      <c r="AX91" s="39">
        <f t="shared" ref="AX91:AX96" si="396">+AT91+AV91</f>
        <v>284182.07250000001</v>
      </c>
      <c r="AY91" s="6423">
        <v>29429.372474085598</v>
      </c>
      <c r="AZ91" s="1970">
        <v>25078.788</v>
      </c>
      <c r="BA91" s="6416">
        <f t="shared" ref="BA91:BA93" si="397">+AQ91+AU91+AY91</f>
        <v>85440.113634442067</v>
      </c>
      <c r="BB91" s="6416">
        <f t="shared" ref="BB91:BB93" si="398">+AR91+AV91+AZ91</f>
        <v>76989.760500000004</v>
      </c>
      <c r="BC91" s="2883">
        <f t="shared" ref="BC91" si="399">+AM91+BA91</f>
        <v>172778.89646076062</v>
      </c>
      <c r="BD91" s="2883">
        <f t="shared" ref="BD91" si="400">+AN91+BB91</f>
        <v>151097.7605</v>
      </c>
      <c r="BE91" s="6421">
        <f>AW91+AY91</f>
        <v>339415.37557473261</v>
      </c>
      <c r="BF91" s="6421">
        <f>AX91+AZ91</f>
        <v>309260.86050000001</v>
      </c>
      <c r="BG91" s="1222"/>
      <c r="BH91" s="1222"/>
      <c r="BI91" s="4713"/>
      <c r="BJ91" s="4713"/>
      <c r="BK91" s="26"/>
      <c r="BL91" s="26"/>
      <c r="BM91" s="26"/>
      <c r="BN91" s="26"/>
    </row>
    <row r="92" spans="1:66" x14ac:dyDescent="0.25">
      <c r="B92" s="1907" t="s">
        <v>10</v>
      </c>
      <c r="C92" s="1397" t="s">
        <v>50</v>
      </c>
      <c r="D92" s="2397">
        <v>67618.051282051267</v>
      </c>
      <c r="E92" s="2400">
        <v>5762.735042735043</v>
      </c>
      <c r="F92" s="1970">
        <v>6025.6</v>
      </c>
      <c r="G92" s="7176">
        <v>5954.8262108262106</v>
      </c>
      <c r="H92" s="1970">
        <v>6863</v>
      </c>
      <c r="I92" s="2399">
        <f t="shared" si="380"/>
        <v>11717.561253561253</v>
      </c>
      <c r="J92" s="39">
        <f t="shared" si="380"/>
        <v>12888.6</v>
      </c>
      <c r="K92" s="4585">
        <v>4535.2443760533442</v>
      </c>
      <c r="L92" s="1970">
        <v>3865.8</v>
      </c>
      <c r="M92" s="2398">
        <f t="shared" si="381"/>
        <v>16252.805629614597</v>
      </c>
      <c r="N92" s="2398">
        <f t="shared" si="381"/>
        <v>16754.400000000001</v>
      </c>
      <c r="O92" s="4778">
        <v>4616.3721527977405</v>
      </c>
      <c r="P92" s="1970">
        <v>4002.1</v>
      </c>
      <c r="Q92" s="2399">
        <f t="shared" si="382"/>
        <v>20869.177782412338</v>
      </c>
      <c r="R92" s="39">
        <f t="shared" si="382"/>
        <v>20756.5</v>
      </c>
      <c r="S92" s="4889">
        <v>4616.3721527977405</v>
      </c>
      <c r="T92" s="1970">
        <v>5362.6</v>
      </c>
      <c r="U92" s="4890">
        <f t="shared" si="383"/>
        <v>25485.549935210078</v>
      </c>
      <c r="V92" s="39">
        <f t="shared" si="384"/>
        <v>26119.1</v>
      </c>
      <c r="W92" s="5043">
        <v>4467.4569220623298</v>
      </c>
      <c r="X92" s="1970">
        <v>6548</v>
      </c>
      <c r="Y92" s="2398">
        <f t="shared" si="385"/>
        <v>13700.20122765781</v>
      </c>
      <c r="Z92" s="2398">
        <f t="shared" si="385"/>
        <v>15912.7</v>
      </c>
      <c r="AA92" s="2405">
        <f t="shared" ref="AA92:AB101" si="401">+M92+Y92</f>
        <v>29953.006857272405</v>
      </c>
      <c r="AB92" s="454">
        <f>+N92+Z92</f>
        <v>32667.100000000002</v>
      </c>
      <c r="AC92" s="5337">
        <v>4616.3721527977405</v>
      </c>
      <c r="AD92" s="1970">
        <v>6905</v>
      </c>
      <c r="AE92" s="2399">
        <f t="shared" si="386"/>
        <v>34569.379010070144</v>
      </c>
      <c r="AF92" s="39">
        <f t="shared" si="387"/>
        <v>39572.100000000006</v>
      </c>
      <c r="AG92" s="5510">
        <v>4467.4569220623298</v>
      </c>
      <c r="AH92" s="1970">
        <v>6416.2</v>
      </c>
      <c r="AI92" s="2399">
        <f t="shared" si="388"/>
        <v>39036.835932132475</v>
      </c>
      <c r="AJ92" s="39">
        <f t="shared" si="389"/>
        <v>45988.3</v>
      </c>
      <c r="AK92" s="5929">
        <v>4616.3721527977405</v>
      </c>
      <c r="AL92" s="1970">
        <v>6890.2</v>
      </c>
      <c r="AM92" s="2723">
        <f t="shared" si="390"/>
        <v>13700.20122765781</v>
      </c>
      <c r="AN92" s="2723">
        <f t="shared" si="391"/>
        <v>20211.400000000001</v>
      </c>
      <c r="AO92" s="761">
        <f t="shared" ref="AO92:AP98" si="402">AI92+AK92</f>
        <v>43653.208084930215</v>
      </c>
      <c r="AP92" s="761">
        <f t="shared" ref="AP92:AP96" si="403">AJ92+AL92</f>
        <v>52878.5</v>
      </c>
      <c r="AQ92" s="6090">
        <v>4616.3721527977405</v>
      </c>
      <c r="AR92" s="1970">
        <v>6482.7</v>
      </c>
      <c r="AS92" s="2399">
        <f t="shared" si="393"/>
        <v>48269.580237727954</v>
      </c>
      <c r="AT92" s="39">
        <f t="shared" si="394"/>
        <v>59361.2</v>
      </c>
      <c r="AU92" s="6215">
        <v>4169.6264605915076</v>
      </c>
      <c r="AV92" s="1970">
        <v>3138.4124999999995</v>
      </c>
      <c r="AW92" s="6212">
        <f t="shared" si="395"/>
        <v>52439.20669831946</v>
      </c>
      <c r="AX92" s="39">
        <f t="shared" si="396"/>
        <v>62499.612499999996</v>
      </c>
      <c r="AY92" s="6423">
        <v>4616.3721527977405</v>
      </c>
      <c r="AZ92" s="1970">
        <v>3593.2679999999996</v>
      </c>
      <c r="BA92" s="6416">
        <f t="shared" si="397"/>
        <v>13402.370766186988</v>
      </c>
      <c r="BB92" s="6416">
        <f t="shared" si="398"/>
        <v>13214.380499999999</v>
      </c>
      <c r="BC92" s="2883">
        <f t="shared" ref="BC92:BC96" si="404">+AM92+BA92</f>
        <v>27102.571993844798</v>
      </c>
      <c r="BD92" s="2883">
        <f t="shared" ref="BD92:BD96" si="405">+AN92+BB92</f>
        <v>33425.780500000001</v>
      </c>
      <c r="BE92" s="6421">
        <f t="shared" ref="BE92:BE96" si="406">AW92+AY92</f>
        <v>57055.5788511172</v>
      </c>
      <c r="BF92" s="6421">
        <f t="shared" ref="BF92:BF96" si="407">AX92+AZ92</f>
        <v>66092.880499999999</v>
      </c>
      <c r="BG92" s="1222"/>
      <c r="BH92" s="1222"/>
      <c r="BI92" s="4713"/>
      <c r="BJ92" s="4713"/>
      <c r="BK92" s="26"/>
      <c r="BL92" s="26"/>
      <c r="BM92" s="26"/>
      <c r="BN92" s="26"/>
    </row>
    <row r="93" spans="1:66" x14ac:dyDescent="0.25">
      <c r="B93" s="1906" t="s">
        <v>2264</v>
      </c>
      <c r="C93" s="1397" t="s">
        <v>50</v>
      </c>
      <c r="D93" s="2397">
        <v>16904.512820512817</v>
      </c>
      <c r="E93" s="2400">
        <v>1440.6837606837607</v>
      </c>
      <c r="F93" s="1970"/>
      <c r="G93" s="7176">
        <v>1488.7065527065527</v>
      </c>
      <c r="H93" s="1970"/>
      <c r="I93" s="2399">
        <f t="shared" si="380"/>
        <v>2929.3903133903132</v>
      </c>
      <c r="J93" s="39">
        <f t="shared" si="380"/>
        <v>0</v>
      </c>
      <c r="K93" s="4585"/>
      <c r="L93" s="1970"/>
      <c r="M93" s="2398">
        <f t="shared" si="381"/>
        <v>2929.3903133903132</v>
      </c>
      <c r="N93" s="2398">
        <f t="shared" si="381"/>
        <v>0</v>
      </c>
      <c r="O93" s="4778"/>
      <c r="P93" s="1970"/>
      <c r="Q93" s="2399">
        <f t="shared" si="382"/>
        <v>2929.3903133903132</v>
      </c>
      <c r="R93" s="39">
        <f t="shared" si="382"/>
        <v>0</v>
      </c>
      <c r="S93" s="4889"/>
      <c r="T93" s="1970"/>
      <c r="U93" s="4890">
        <f t="shared" si="383"/>
        <v>2929.3903133903132</v>
      </c>
      <c r="V93" s="39">
        <f t="shared" si="384"/>
        <v>0</v>
      </c>
      <c r="W93" s="5043"/>
      <c r="X93" s="1970"/>
      <c r="Y93" s="2398">
        <f t="shared" si="385"/>
        <v>0</v>
      </c>
      <c r="Z93" s="2398">
        <f t="shared" si="385"/>
        <v>0</v>
      </c>
      <c r="AA93" s="2405">
        <f t="shared" si="401"/>
        <v>2929.3903133903132</v>
      </c>
      <c r="AB93" s="454">
        <f>+N93+Z93</f>
        <v>0</v>
      </c>
      <c r="AC93" s="5337"/>
      <c r="AD93" s="1970"/>
      <c r="AE93" s="2399">
        <f t="shared" si="386"/>
        <v>2929.3903133903132</v>
      </c>
      <c r="AF93" s="39">
        <f t="shared" si="387"/>
        <v>0</v>
      </c>
      <c r="AG93" s="5510"/>
      <c r="AH93" s="1970"/>
      <c r="AI93" s="2399">
        <f t="shared" si="388"/>
        <v>2929.3903133903132</v>
      </c>
      <c r="AJ93" s="39">
        <f t="shared" si="389"/>
        <v>0</v>
      </c>
      <c r="AK93" s="5929"/>
      <c r="AL93" s="1970"/>
      <c r="AM93" s="2723">
        <f t="shared" si="390"/>
        <v>0</v>
      </c>
      <c r="AN93" s="2723">
        <f t="shared" si="391"/>
        <v>0</v>
      </c>
      <c r="AO93" s="761">
        <f t="shared" si="402"/>
        <v>2929.3903133903132</v>
      </c>
      <c r="AP93" s="761">
        <f t="shared" si="403"/>
        <v>0</v>
      </c>
      <c r="AQ93" s="6090"/>
      <c r="AR93" s="1970"/>
      <c r="AS93" s="2399">
        <f t="shared" si="393"/>
        <v>2929.3903133903132</v>
      </c>
      <c r="AT93" s="39">
        <f t="shared" si="394"/>
        <v>0</v>
      </c>
      <c r="AU93" s="6215"/>
      <c r="AV93" s="1970"/>
      <c r="AW93" s="6212">
        <f t="shared" si="395"/>
        <v>2929.3903133903132</v>
      </c>
      <c r="AX93" s="39">
        <f t="shared" si="396"/>
        <v>0</v>
      </c>
      <c r="AY93" s="6423"/>
      <c r="AZ93" s="1970"/>
      <c r="BA93" s="6416">
        <f t="shared" si="397"/>
        <v>0</v>
      </c>
      <c r="BB93" s="6416">
        <f t="shared" si="398"/>
        <v>0</v>
      </c>
      <c r="BC93" s="2883">
        <f t="shared" si="404"/>
        <v>0</v>
      </c>
      <c r="BD93" s="2883">
        <f t="shared" si="405"/>
        <v>0</v>
      </c>
      <c r="BE93" s="6421">
        <f t="shared" si="406"/>
        <v>2929.3903133903132</v>
      </c>
      <c r="BF93" s="6421">
        <f t="shared" si="407"/>
        <v>0</v>
      </c>
      <c r="BG93" s="1222"/>
      <c r="BH93" s="1222"/>
      <c r="BI93" s="4713"/>
      <c r="BJ93" s="4713"/>
      <c r="BK93" s="26"/>
      <c r="BL93" s="26"/>
      <c r="BM93" s="26"/>
      <c r="BN93" s="26"/>
    </row>
    <row r="94" spans="1:66" x14ac:dyDescent="0.25">
      <c r="B94" s="1907" t="s">
        <v>2263</v>
      </c>
      <c r="C94" s="1397" t="s">
        <v>50</v>
      </c>
      <c r="D94" s="6306">
        <v>16904.512820512817</v>
      </c>
      <c r="E94" s="6307">
        <v>1440.6837606837607</v>
      </c>
      <c r="F94" s="6277"/>
      <c r="G94" s="6307">
        <v>1488.7065527065527</v>
      </c>
      <c r="H94" s="7181"/>
      <c r="I94" s="7177">
        <f t="shared" ref="I94:I95" si="408">+E94+G94</f>
        <v>2929.3903133903132</v>
      </c>
      <c r="J94" s="39">
        <f t="shared" ref="J94:J95" si="409">+F94+H94</f>
        <v>0</v>
      </c>
      <c r="K94" s="6307"/>
      <c r="L94" s="6277"/>
      <c r="M94" s="6301"/>
      <c r="N94" s="6301"/>
      <c r="O94" s="6307"/>
      <c r="P94" s="6277"/>
      <c r="Q94" s="6300"/>
      <c r="R94" s="39"/>
      <c r="S94" s="6307"/>
      <c r="T94" s="6277"/>
      <c r="U94" s="6300"/>
      <c r="V94" s="39"/>
      <c r="W94" s="6307"/>
      <c r="X94" s="6277"/>
      <c r="Y94" s="6301"/>
      <c r="Z94" s="6301"/>
      <c r="AA94" s="6308"/>
      <c r="AB94" s="454"/>
      <c r="AC94" s="6307"/>
      <c r="AD94" s="6277"/>
      <c r="AE94" s="6300"/>
      <c r="AF94" s="39"/>
      <c r="AG94" s="6307"/>
      <c r="AH94" s="6277"/>
      <c r="AI94" s="6300"/>
      <c r="AJ94" s="39"/>
      <c r="AK94" s="6307"/>
      <c r="AL94" s="6277"/>
      <c r="AM94" s="6301"/>
      <c r="AN94" s="6301"/>
      <c r="AO94" s="761"/>
      <c r="AP94" s="761"/>
      <c r="AQ94" s="6307"/>
      <c r="AR94" s="6277"/>
      <c r="AS94" s="6273">
        <f t="shared" ref="AS94" si="410">+AO94+AQ94</f>
        <v>0</v>
      </c>
      <c r="AT94" s="39">
        <f t="shared" ref="AT94" si="411">+AP94+AR94</f>
        <v>0</v>
      </c>
      <c r="AU94" s="6307"/>
      <c r="AV94" s="6277">
        <v>2215.35</v>
      </c>
      <c r="AW94" s="6273">
        <f t="shared" ref="AW94" si="412">+AS94+AU94</f>
        <v>0</v>
      </c>
      <c r="AX94" s="39">
        <f t="shared" ref="AX94" si="413">+AT94+AV94</f>
        <v>2215.35</v>
      </c>
      <c r="AY94" s="6307"/>
      <c r="AZ94" s="6440">
        <v>3333.96</v>
      </c>
      <c r="BA94" s="6486">
        <f t="shared" ref="BA94" si="414">+AQ94+AU94+AY94</f>
        <v>0</v>
      </c>
      <c r="BB94" s="6486">
        <f t="shared" ref="BB94" si="415">+AR94+AV94+AZ94</f>
        <v>5549.3099999999995</v>
      </c>
      <c r="BC94" s="2883">
        <f t="shared" si="404"/>
        <v>0</v>
      </c>
      <c r="BD94" s="2883">
        <f t="shared" si="405"/>
        <v>5549.3099999999995</v>
      </c>
      <c r="BE94" s="6421">
        <f t="shared" si="406"/>
        <v>0</v>
      </c>
      <c r="BF94" s="6421">
        <f t="shared" si="407"/>
        <v>5549.3099999999995</v>
      </c>
      <c r="BG94" s="1222"/>
      <c r="BH94" s="1222"/>
      <c r="BI94" s="4713"/>
      <c r="BJ94" s="4713"/>
      <c r="BK94" s="26"/>
      <c r="BL94" s="26"/>
      <c r="BM94" s="26"/>
      <c r="BN94" s="26"/>
    </row>
    <row r="95" spans="1:66" ht="15.75" customHeight="1" x14ac:dyDescent="0.25">
      <c r="B95" s="1907" t="s">
        <v>1284</v>
      </c>
      <c r="C95" s="1397" t="s">
        <v>50</v>
      </c>
      <c r="D95" s="711"/>
      <c r="E95" s="231"/>
      <c r="F95" s="1218"/>
      <c r="G95" s="6386"/>
      <c r="H95" s="1218"/>
      <c r="I95" s="7177">
        <f t="shared" si="408"/>
        <v>0</v>
      </c>
      <c r="J95" s="39">
        <f t="shared" si="409"/>
        <v>0</v>
      </c>
      <c r="K95" s="4583"/>
      <c r="L95" s="1218"/>
      <c r="M95" s="2398">
        <f t="shared" ref="M95" si="416">+E95+G95+K95</f>
        <v>0</v>
      </c>
      <c r="N95" s="2398">
        <f t="shared" ref="N95" si="417">+F95+H95+L95</f>
        <v>0</v>
      </c>
      <c r="O95" s="4771"/>
      <c r="P95" s="1218"/>
      <c r="Q95" s="2399">
        <f t="shared" ref="Q95:Q96" si="418">+M95+O95</f>
        <v>0</v>
      </c>
      <c r="R95" s="39">
        <f t="shared" ref="R95:R96" si="419">+N95+P95</f>
        <v>0</v>
      </c>
      <c r="S95" s="4880"/>
      <c r="T95" s="1218"/>
      <c r="U95" s="4890">
        <f t="shared" si="383"/>
        <v>0</v>
      </c>
      <c r="V95" s="39">
        <f t="shared" si="384"/>
        <v>0</v>
      </c>
      <c r="W95" s="5040"/>
      <c r="X95" s="1218"/>
      <c r="Y95" s="2398">
        <f t="shared" si="385"/>
        <v>0</v>
      </c>
      <c r="Z95" s="2398">
        <f t="shared" si="385"/>
        <v>0</v>
      </c>
      <c r="AA95" s="2405">
        <f t="shared" si="401"/>
        <v>0</v>
      </c>
      <c r="AB95" s="454">
        <f>+N95+Z95</f>
        <v>0</v>
      </c>
      <c r="AC95" s="5331"/>
      <c r="AD95" s="1218"/>
      <c r="AE95" s="2399">
        <f t="shared" si="386"/>
        <v>0</v>
      </c>
      <c r="AF95" s="39">
        <f t="shared" si="387"/>
        <v>0</v>
      </c>
      <c r="AG95" s="5505"/>
      <c r="AH95" s="1218"/>
      <c r="AI95" s="2399">
        <f t="shared" si="388"/>
        <v>0</v>
      </c>
      <c r="AJ95" s="39">
        <f t="shared" si="389"/>
        <v>0</v>
      </c>
      <c r="AK95" s="5927"/>
      <c r="AL95" s="1218"/>
      <c r="AM95" s="2723">
        <f t="shared" si="390"/>
        <v>0</v>
      </c>
      <c r="AN95" s="2723">
        <f t="shared" si="391"/>
        <v>0</v>
      </c>
      <c r="AO95" s="761">
        <f t="shared" si="402"/>
        <v>0</v>
      </c>
      <c r="AP95" s="761">
        <f t="shared" si="403"/>
        <v>0</v>
      </c>
      <c r="AQ95" s="6087"/>
      <c r="AR95" s="1218"/>
      <c r="AS95" s="2399">
        <f t="shared" si="393"/>
        <v>0</v>
      </c>
      <c r="AT95" s="39">
        <f t="shared" si="394"/>
        <v>0</v>
      </c>
      <c r="AU95" s="6210"/>
      <c r="AV95" s="1218"/>
      <c r="AW95" s="6212">
        <f t="shared" si="395"/>
        <v>0</v>
      </c>
      <c r="AX95" s="39">
        <f t="shared" si="396"/>
        <v>0</v>
      </c>
      <c r="AY95" s="6386"/>
      <c r="AZ95" s="1218"/>
      <c r="BA95" s="6416">
        <f t="shared" ref="BA95:BA96" si="420">+AQ95+AU95+AY95</f>
        <v>0</v>
      </c>
      <c r="BB95" s="6416">
        <f t="shared" ref="BB95:BB96" si="421">+AR95+AV95+AZ95</f>
        <v>0</v>
      </c>
      <c r="BC95" s="2883">
        <f t="shared" si="404"/>
        <v>0</v>
      </c>
      <c r="BD95" s="2883">
        <f t="shared" si="405"/>
        <v>0</v>
      </c>
      <c r="BE95" s="6421">
        <f t="shared" si="406"/>
        <v>0</v>
      </c>
      <c r="BF95" s="6421">
        <f t="shared" si="407"/>
        <v>0</v>
      </c>
      <c r="BG95" s="1222"/>
      <c r="BH95" s="1222"/>
      <c r="BI95" s="4713"/>
      <c r="BJ95" s="4713"/>
      <c r="BK95" s="26"/>
      <c r="BL95" s="26"/>
      <c r="BM95" s="26"/>
      <c r="BN95" s="26"/>
    </row>
    <row r="96" spans="1:66" ht="15.75" thickBot="1" x14ac:dyDescent="0.3">
      <c r="A96" s="148"/>
      <c r="B96" s="1907" t="s">
        <v>612</v>
      </c>
      <c r="C96" s="2556" t="s">
        <v>50</v>
      </c>
      <c r="D96" s="711">
        <v>60856.246153846143</v>
      </c>
      <c r="E96" s="231">
        <v>5186.461538461539</v>
      </c>
      <c r="F96" s="1218">
        <v>6025.6</v>
      </c>
      <c r="G96" s="6386">
        <v>5359.3435897435893</v>
      </c>
      <c r="H96" s="1218">
        <v>6863</v>
      </c>
      <c r="I96" s="2401">
        <f>+E96+G96</f>
        <v>10545.805128205127</v>
      </c>
      <c r="J96" s="165">
        <f>+F96+H96</f>
        <v>12888.6</v>
      </c>
      <c r="K96" s="4583">
        <v>5669.0554700666798</v>
      </c>
      <c r="L96" s="1218">
        <v>5522.6</v>
      </c>
      <c r="M96" s="2406">
        <f>+E96+G96+K96</f>
        <v>16214.860598271807</v>
      </c>
      <c r="N96" s="2406">
        <f>+F96+H96+L96</f>
        <v>18411.2</v>
      </c>
      <c r="O96" s="4771">
        <v>5770.4651909971753</v>
      </c>
      <c r="P96" s="1218">
        <v>5717.3</v>
      </c>
      <c r="Q96" s="2401">
        <f t="shared" si="418"/>
        <v>21985.325789268983</v>
      </c>
      <c r="R96" s="165">
        <f t="shared" si="419"/>
        <v>24128.5</v>
      </c>
      <c r="S96" s="4880">
        <v>5770.4651909971753</v>
      </c>
      <c r="T96" s="1218">
        <v>5833</v>
      </c>
      <c r="U96" s="4882">
        <f t="shared" si="383"/>
        <v>27755.79098026616</v>
      </c>
      <c r="V96" s="165">
        <f t="shared" si="384"/>
        <v>29961.5</v>
      </c>
      <c r="W96" s="5040">
        <v>5584.3211525779125</v>
      </c>
      <c r="X96" s="1218">
        <v>5644.8</v>
      </c>
      <c r="Y96" s="2406">
        <f t="shared" si="385"/>
        <v>17125.251534572264</v>
      </c>
      <c r="Z96" s="2406">
        <f t="shared" si="385"/>
        <v>17195.099999999999</v>
      </c>
      <c r="AA96" s="2403">
        <f t="shared" si="401"/>
        <v>33340.112132844071</v>
      </c>
      <c r="AB96" s="2433">
        <f>+N96+Z96</f>
        <v>35606.300000000003</v>
      </c>
      <c r="AC96" s="5331">
        <v>5770.4651909971753</v>
      </c>
      <c r="AD96" s="1218">
        <v>5754</v>
      </c>
      <c r="AE96" s="2401">
        <f t="shared" si="386"/>
        <v>39110.577323841244</v>
      </c>
      <c r="AF96" s="165">
        <f t="shared" si="387"/>
        <v>41360.300000000003</v>
      </c>
      <c r="AG96" s="5505">
        <v>5584.3211525779125</v>
      </c>
      <c r="AH96" s="1218">
        <v>5346.8</v>
      </c>
      <c r="AI96" s="2401">
        <f t="shared" si="388"/>
        <v>44694.898476419155</v>
      </c>
      <c r="AJ96" s="165">
        <f t="shared" si="389"/>
        <v>46707.100000000006</v>
      </c>
      <c r="AK96" s="5927">
        <v>5770.4651909971753</v>
      </c>
      <c r="AL96" s="1218">
        <v>5741.8</v>
      </c>
      <c r="AM96" s="2406">
        <f t="shared" si="390"/>
        <v>17125.251534572264</v>
      </c>
      <c r="AN96" s="2406">
        <f t="shared" si="391"/>
        <v>16842.599999999999</v>
      </c>
      <c r="AO96" s="761">
        <f t="shared" si="402"/>
        <v>50465.363667416328</v>
      </c>
      <c r="AP96" s="761">
        <f t="shared" si="403"/>
        <v>52448.900000000009</v>
      </c>
      <c r="AQ96" s="6087">
        <v>5770.4651909971753</v>
      </c>
      <c r="AR96" s="1218">
        <v>6760.5</v>
      </c>
      <c r="AS96" s="2401">
        <f t="shared" si="393"/>
        <v>56235.828858413501</v>
      </c>
      <c r="AT96" s="165">
        <f t="shared" si="394"/>
        <v>59209.400000000009</v>
      </c>
      <c r="AU96" s="6210">
        <v>5212.033075739384</v>
      </c>
      <c r="AV96" s="1218">
        <v>5353.7624999999998</v>
      </c>
      <c r="AW96" s="6213">
        <f t="shared" si="395"/>
        <v>61447.861934152883</v>
      </c>
      <c r="AX96" s="165">
        <f t="shared" si="396"/>
        <v>64563.162500000006</v>
      </c>
      <c r="AY96" s="6386">
        <v>5770.4651909971753</v>
      </c>
      <c r="AZ96" s="1218">
        <v>5260.2480000000014</v>
      </c>
      <c r="BA96" s="2406">
        <f t="shared" si="420"/>
        <v>16752.963457733735</v>
      </c>
      <c r="BB96" s="2406">
        <f t="shared" si="421"/>
        <v>17374.510500000004</v>
      </c>
      <c r="BC96" s="2883">
        <f t="shared" si="404"/>
        <v>33878.214992305999</v>
      </c>
      <c r="BD96" s="2883">
        <f t="shared" si="405"/>
        <v>34217.110500000003</v>
      </c>
      <c r="BE96" s="6421">
        <f t="shared" si="406"/>
        <v>67218.327125150056</v>
      </c>
      <c r="BF96" s="6421">
        <f t="shared" si="407"/>
        <v>69823.410500000013</v>
      </c>
      <c r="BG96" s="1222"/>
      <c r="BH96" s="1222"/>
      <c r="BI96" s="4713"/>
      <c r="BJ96" s="4713"/>
      <c r="BK96" s="26"/>
      <c r="BL96" s="26"/>
      <c r="BM96" s="26"/>
      <c r="BN96" s="26"/>
    </row>
    <row r="97" spans="1:66" ht="16.5" thickBot="1" x14ac:dyDescent="0.3">
      <c r="B97" s="2554" t="s">
        <v>13</v>
      </c>
      <c r="C97" s="1402" t="s">
        <v>50</v>
      </c>
      <c r="D97" s="1392">
        <f t="shared" ref="D97:AX97" si="422">SUM(D91:D96)</f>
        <v>453040.94358974352</v>
      </c>
      <c r="E97" s="1391">
        <f t="shared" si="422"/>
        <v>38610.324786324789</v>
      </c>
      <c r="F97" s="1391">
        <f t="shared" si="422"/>
        <v>34978</v>
      </c>
      <c r="G97" s="1391">
        <f t="shared" ref="G97:H97" si="423">SUM(G91:G96)</f>
        <v>39897.335612535608</v>
      </c>
      <c r="H97" s="1391">
        <f t="shared" si="423"/>
        <v>37303.599999999999</v>
      </c>
      <c r="I97" s="1391">
        <f t="shared" si="422"/>
        <v>78507.660398860404</v>
      </c>
      <c r="J97" s="1391">
        <f t="shared" si="422"/>
        <v>72281.599999999991</v>
      </c>
      <c r="K97" s="1391">
        <f t="shared" si="422"/>
        <v>39116.482743460088</v>
      </c>
      <c r="L97" s="1391">
        <f t="shared" si="422"/>
        <v>38105.800000000003</v>
      </c>
      <c r="M97" s="1586">
        <f t="shared" si="422"/>
        <v>114694.75282893018</v>
      </c>
      <c r="N97" s="1586">
        <f t="shared" si="422"/>
        <v>110387.39999999998</v>
      </c>
      <c r="O97" s="1391">
        <f t="shared" si="422"/>
        <v>39816.20981788051</v>
      </c>
      <c r="P97" s="1391">
        <f t="shared" si="422"/>
        <v>39449.100000000006</v>
      </c>
      <c r="Q97" s="1391">
        <f t="shared" si="422"/>
        <v>154510.96264681069</v>
      </c>
      <c r="R97" s="1391">
        <f t="shared" si="422"/>
        <v>149836.5</v>
      </c>
      <c r="S97" s="1391">
        <f t="shared" si="422"/>
        <v>39816.20981788051</v>
      </c>
      <c r="T97" s="1391">
        <f t="shared" si="422"/>
        <v>39344.300000000003</v>
      </c>
      <c r="U97" s="1391">
        <f t="shared" si="422"/>
        <v>194327.17246469122</v>
      </c>
      <c r="V97" s="1391">
        <f t="shared" si="422"/>
        <v>189180.79999999999</v>
      </c>
      <c r="W97" s="1391">
        <f t="shared" si="422"/>
        <v>38531.815952787591</v>
      </c>
      <c r="X97" s="1391">
        <f t="shared" si="422"/>
        <v>37255.700000000004</v>
      </c>
      <c r="Y97" s="1586">
        <f t="shared" si="422"/>
        <v>118164.23558854863</v>
      </c>
      <c r="Z97" s="1586">
        <f t="shared" si="422"/>
        <v>116049.1</v>
      </c>
      <c r="AA97" s="2579">
        <f t="shared" si="422"/>
        <v>232858.98841747883</v>
      </c>
      <c r="AB97" s="2579">
        <f t="shared" si="422"/>
        <v>226436.5</v>
      </c>
      <c r="AC97" s="1391">
        <f t="shared" si="422"/>
        <v>39816.20981788051</v>
      </c>
      <c r="AD97" s="1391">
        <f t="shared" si="422"/>
        <v>37977</v>
      </c>
      <c r="AE97" s="1391">
        <f t="shared" si="422"/>
        <v>272675.19823535933</v>
      </c>
      <c r="AF97" s="1391">
        <f t="shared" si="422"/>
        <v>264413.5</v>
      </c>
      <c r="AG97" s="1391">
        <f t="shared" si="422"/>
        <v>38531.815952787591</v>
      </c>
      <c r="AH97" s="1391">
        <f t="shared" si="422"/>
        <v>35289</v>
      </c>
      <c r="AI97" s="1391">
        <f t="shared" si="422"/>
        <v>311207.01418814692</v>
      </c>
      <c r="AJ97" s="1391">
        <f t="shared" si="422"/>
        <v>299702.5</v>
      </c>
      <c r="AK97" s="1391">
        <f t="shared" si="422"/>
        <v>39816.20981788051</v>
      </c>
      <c r="AL97" s="1391">
        <f t="shared" si="422"/>
        <v>37896</v>
      </c>
      <c r="AM97" s="1586">
        <f t="shared" si="422"/>
        <v>118164.23558854863</v>
      </c>
      <c r="AN97" s="1586">
        <f t="shared" si="422"/>
        <v>111162</v>
      </c>
      <c r="AO97" s="1391">
        <f t="shared" si="422"/>
        <v>351023.22400602739</v>
      </c>
      <c r="AP97" s="1391">
        <f t="shared" si="422"/>
        <v>337598.5</v>
      </c>
      <c r="AQ97" s="1391">
        <f t="shared" si="422"/>
        <v>39816.20981788051</v>
      </c>
      <c r="AR97" s="1391">
        <f t="shared" si="422"/>
        <v>40748.400000000001</v>
      </c>
      <c r="AS97" s="1391">
        <f t="shared" si="422"/>
        <v>390839.43382390792</v>
      </c>
      <c r="AT97" s="1391">
        <f t="shared" si="422"/>
        <v>378346.9</v>
      </c>
      <c r="AU97" s="1391">
        <f t="shared" si="422"/>
        <v>35963.028222601752</v>
      </c>
      <c r="AV97" s="1391">
        <f t="shared" si="422"/>
        <v>35113.297499999993</v>
      </c>
      <c r="AW97" s="1391">
        <f t="shared" si="422"/>
        <v>426802.46204650967</v>
      </c>
      <c r="AX97" s="1391">
        <f t="shared" si="422"/>
        <v>413460.19750000001</v>
      </c>
      <c r="AY97" s="1391">
        <f t="shared" ref="AY97:BB97" si="424">SUM(AY91:AY96)</f>
        <v>39816.20981788051</v>
      </c>
      <c r="AZ97" s="1391">
        <f t="shared" si="424"/>
        <v>37266.264000000003</v>
      </c>
      <c r="BA97" s="1586">
        <f t="shared" si="424"/>
        <v>115595.44785836278</v>
      </c>
      <c r="BB97" s="1586">
        <f t="shared" si="424"/>
        <v>113127.9615</v>
      </c>
      <c r="BC97" s="2579">
        <f>SUM(BC91:BC96)</f>
        <v>233759.6834469114</v>
      </c>
      <c r="BD97" s="2579">
        <f>SUM(BD91:BD96)</f>
        <v>224289.9615</v>
      </c>
      <c r="BE97" s="1391">
        <f t="shared" ref="BE97:BF97" si="425">SUM(BE91:BE96)</f>
        <v>466618.6718643902</v>
      </c>
      <c r="BF97" s="1391">
        <f t="shared" si="425"/>
        <v>450726.46150000003</v>
      </c>
      <c r="BG97" s="1222"/>
      <c r="BH97" s="1222"/>
      <c r="BI97" s="4713"/>
      <c r="BJ97" s="4713"/>
      <c r="BK97" s="26"/>
      <c r="BL97" s="26"/>
      <c r="BM97" s="26"/>
      <c r="BN97" s="26"/>
    </row>
    <row r="98" spans="1:66" x14ac:dyDescent="0.25">
      <c r="B98" s="2553" t="s">
        <v>1389</v>
      </c>
      <c r="C98" s="1406" t="s">
        <v>50</v>
      </c>
      <c r="D98" s="2444">
        <v>114950.68717948717</v>
      </c>
      <c r="E98" s="2444">
        <v>9796.6495726495705</v>
      </c>
      <c r="F98" s="1205">
        <v>14329.2</v>
      </c>
      <c r="G98" s="2444">
        <v>10123.204558404557</v>
      </c>
      <c r="H98" s="7182">
        <v>14869.8</v>
      </c>
      <c r="I98" s="2402">
        <f t="shared" ref="I98:J101" si="426">+E98+G98</f>
        <v>19919.854131054126</v>
      </c>
      <c r="J98" s="2402">
        <f t="shared" si="426"/>
        <v>29199</v>
      </c>
      <c r="K98" s="2444">
        <v>11905.016487140028</v>
      </c>
      <c r="L98" s="1205">
        <v>14358.7</v>
      </c>
      <c r="M98" s="2407">
        <f t="shared" ref="M98:N101" si="427">+E98+G98+K98</f>
        <v>31824.870618194152</v>
      </c>
      <c r="N98" s="2407">
        <f t="shared" si="427"/>
        <v>43557.7</v>
      </c>
      <c r="O98" s="2444">
        <v>12117.976901094069</v>
      </c>
      <c r="P98" s="1205">
        <v>13112.8</v>
      </c>
      <c r="Q98" s="2402">
        <f t="shared" ref="Q98:R101" si="428">+M98+O98</f>
        <v>43942.847519288218</v>
      </c>
      <c r="R98" s="2402">
        <f t="shared" si="428"/>
        <v>56670.5</v>
      </c>
      <c r="S98" s="2444">
        <v>12117.976901094069</v>
      </c>
      <c r="T98" s="1205">
        <v>15165.7</v>
      </c>
      <c r="U98" s="4883">
        <f t="shared" ref="U98:U101" si="429">+Q98+S98</f>
        <v>56060.824420382283</v>
      </c>
      <c r="V98" s="4883">
        <f t="shared" ref="V98:V101" si="430">+R98+T98</f>
        <v>71836.2</v>
      </c>
      <c r="W98" s="2444">
        <v>11727.074420413615</v>
      </c>
      <c r="X98" s="1205">
        <v>11854.1</v>
      </c>
      <c r="Y98" s="2407">
        <f t="shared" ref="Y98:Z101" si="431">+O98+S98+W98</f>
        <v>35963.028222601752</v>
      </c>
      <c r="Z98" s="2407">
        <f t="shared" si="431"/>
        <v>40132.6</v>
      </c>
      <c r="AA98" s="2404">
        <f t="shared" si="401"/>
        <v>67787.898840795911</v>
      </c>
      <c r="AB98" s="477">
        <f t="shared" si="401"/>
        <v>83690.299999999988</v>
      </c>
      <c r="AC98" s="2444">
        <v>12117.976901094069</v>
      </c>
      <c r="AD98" s="1205">
        <v>12083</v>
      </c>
      <c r="AE98" s="2402">
        <f t="shared" ref="AE98:AE101" si="432">+AA98+AC98</f>
        <v>79905.875741889977</v>
      </c>
      <c r="AF98" s="62">
        <f t="shared" ref="AF98:AF101" si="433">+AB98+AD98</f>
        <v>95773.299999999988</v>
      </c>
      <c r="AG98" s="2444">
        <v>11727.074420413615</v>
      </c>
      <c r="AH98" s="5523">
        <v>10303.299999999999</v>
      </c>
      <c r="AI98" s="2402">
        <f t="shared" ref="AI98:AI101" si="434">+AE98+AG98</f>
        <v>91632.95016230359</v>
      </c>
      <c r="AJ98" s="62">
        <f t="shared" ref="AJ98:AJ101" si="435">+AF98+AH98</f>
        <v>106076.59999999999</v>
      </c>
      <c r="AK98" s="2444">
        <v>12117.976901094069</v>
      </c>
      <c r="AL98" s="5936">
        <v>12057.8</v>
      </c>
      <c r="AM98" s="2407">
        <f t="shared" ref="AM98:AM101" si="436">+AC98+AG98+AK98</f>
        <v>35963.028222601759</v>
      </c>
      <c r="AN98" s="2407">
        <f t="shared" ref="AN98:AN101" si="437">+AD98+AH98+AL98</f>
        <v>34444.1</v>
      </c>
      <c r="AO98" s="761">
        <f t="shared" si="402"/>
        <v>103750.92706339766</v>
      </c>
      <c r="AP98" s="761">
        <f t="shared" si="402"/>
        <v>118134.39999999999</v>
      </c>
      <c r="AQ98" s="2444">
        <v>12117.976901094069</v>
      </c>
      <c r="AR98" s="6101">
        <v>10224.1</v>
      </c>
      <c r="AS98" s="2402">
        <f t="shared" ref="AS98:AS101" si="438">+AO98+AQ98</f>
        <v>115868.90396449172</v>
      </c>
      <c r="AT98" s="62">
        <f t="shared" ref="AT98:AT101" si="439">+AP98+AR98</f>
        <v>128358.5</v>
      </c>
      <c r="AU98" s="2444">
        <v>10945.269459052708</v>
      </c>
      <c r="AV98" s="6226">
        <v>11556.742499999998</v>
      </c>
      <c r="AW98" s="6214">
        <f t="shared" ref="AW98:AW101" si="440">+AS98+AU98</f>
        <v>126814.17342354443</v>
      </c>
      <c r="AX98" s="62">
        <f t="shared" ref="AX98:AX101" si="441">+AT98+AV98</f>
        <v>139915.24249999999</v>
      </c>
      <c r="AY98" s="2444">
        <v>12117.976901094069</v>
      </c>
      <c r="AZ98" s="6441">
        <v>13854.456000000004</v>
      </c>
      <c r="BA98" s="2407">
        <f t="shared" ref="BA98:BA101" si="442">+AQ98+AU98+AY98</f>
        <v>35181.223261240841</v>
      </c>
      <c r="BB98" s="2407">
        <f t="shared" ref="BB98:BB101" si="443">+AR98+AV98+AZ98</f>
        <v>35635.298500000004</v>
      </c>
      <c r="BC98" s="2883">
        <f t="shared" ref="BC98:BC101" si="444">+AM98+BA98</f>
        <v>71144.2514838426</v>
      </c>
      <c r="BD98" s="2883">
        <f t="shared" ref="BD98:BD101" si="445">+AN98+BB98</f>
        <v>70079.39850000001</v>
      </c>
      <c r="BE98" s="6421">
        <f t="shared" ref="BE98:BE101" si="446">AW98+AY98</f>
        <v>138932.1503246385</v>
      </c>
      <c r="BF98" s="6421">
        <f t="shared" ref="BF98:BF101" si="447">AX98+AZ98</f>
        <v>153769.6985</v>
      </c>
      <c r="BG98" s="1222"/>
      <c r="BH98" s="1222"/>
      <c r="BI98" s="4713"/>
      <c r="BJ98" s="4713"/>
      <c r="BK98" s="26"/>
      <c r="BL98" s="26"/>
      <c r="BM98" s="26"/>
      <c r="BN98" s="26"/>
    </row>
    <row r="99" spans="1:66" x14ac:dyDescent="0.25">
      <c r="B99" s="1909" t="s">
        <v>627</v>
      </c>
      <c r="C99" s="778" t="s">
        <v>50</v>
      </c>
      <c r="D99" s="2400">
        <v>33809.025641025633</v>
      </c>
      <c r="E99" s="2400">
        <v>2881.3675213675215</v>
      </c>
      <c r="F99" s="1970"/>
      <c r="G99" s="7176">
        <v>2977.4131054131053</v>
      </c>
      <c r="H99" s="1970"/>
      <c r="I99" s="2399">
        <f t="shared" si="426"/>
        <v>5858.7806267806263</v>
      </c>
      <c r="J99" s="2399">
        <f t="shared" si="426"/>
        <v>0</v>
      </c>
      <c r="K99" s="4585">
        <v>2834.5277350333399</v>
      </c>
      <c r="L99" s="1970"/>
      <c r="M99" s="2398">
        <f t="shared" si="427"/>
        <v>8693.3083618139663</v>
      </c>
      <c r="N99" s="2398">
        <f t="shared" si="427"/>
        <v>0</v>
      </c>
      <c r="O99" s="4778">
        <v>2885.2325954985877</v>
      </c>
      <c r="P99" s="1970">
        <v>1752.1</v>
      </c>
      <c r="Q99" s="2399">
        <f t="shared" si="428"/>
        <v>11578.540957312554</v>
      </c>
      <c r="R99" s="2399">
        <f t="shared" si="428"/>
        <v>1752.1</v>
      </c>
      <c r="S99" s="4889">
        <v>2885.2325954985877</v>
      </c>
      <c r="T99" s="1970"/>
      <c r="U99" s="4890">
        <f t="shared" si="429"/>
        <v>14463.773552811143</v>
      </c>
      <c r="V99" s="4890">
        <f t="shared" si="430"/>
        <v>1752.1</v>
      </c>
      <c r="W99" s="5043">
        <v>2792.1605762889562</v>
      </c>
      <c r="X99" s="1970">
        <v>2822.4</v>
      </c>
      <c r="Y99" s="2398">
        <f t="shared" si="431"/>
        <v>8562.625767286132</v>
      </c>
      <c r="Z99" s="2398">
        <f t="shared" si="431"/>
        <v>4574.5</v>
      </c>
      <c r="AA99" s="2405">
        <f t="shared" si="401"/>
        <v>17255.934129100096</v>
      </c>
      <c r="AB99" s="454">
        <f t="shared" si="401"/>
        <v>4574.5</v>
      </c>
      <c r="AC99" s="5337">
        <v>2885.2325954985877</v>
      </c>
      <c r="AD99" s="1970">
        <v>2877</v>
      </c>
      <c r="AE99" s="2399">
        <f t="shared" si="432"/>
        <v>20141.166724598683</v>
      </c>
      <c r="AF99" s="39">
        <f t="shared" si="433"/>
        <v>7451.5</v>
      </c>
      <c r="AG99" s="5510">
        <v>2792.1605762889562</v>
      </c>
      <c r="AH99" s="1970">
        <v>2673.4</v>
      </c>
      <c r="AI99" s="2399">
        <f t="shared" si="434"/>
        <v>22933.327300887639</v>
      </c>
      <c r="AJ99" s="39">
        <f t="shared" si="435"/>
        <v>10124.9</v>
      </c>
      <c r="AK99" s="5929">
        <v>2885.2325954985877</v>
      </c>
      <c r="AL99" s="1970">
        <v>2870.9</v>
      </c>
      <c r="AM99" s="2723">
        <f t="shared" si="436"/>
        <v>8562.625767286132</v>
      </c>
      <c r="AN99" s="2723">
        <f t="shared" si="437"/>
        <v>8421.2999999999993</v>
      </c>
      <c r="AO99" s="761">
        <f t="shared" ref="AO99:AO101" si="448">AI99+AK99</f>
        <v>25818.559896386225</v>
      </c>
      <c r="AP99" s="761">
        <f t="shared" ref="AP99:AP101" si="449">AJ99+AL99</f>
        <v>12995.8</v>
      </c>
      <c r="AQ99" s="6090">
        <v>2885.2325954985877</v>
      </c>
      <c r="AR99" s="1970">
        <v>1852.2</v>
      </c>
      <c r="AS99" s="2399">
        <f t="shared" si="438"/>
        <v>28703.792491884811</v>
      </c>
      <c r="AT99" s="39">
        <f t="shared" si="439"/>
        <v>14848</v>
      </c>
      <c r="AU99" s="6215">
        <v>2606.016537869692</v>
      </c>
      <c r="AV99" s="1970"/>
      <c r="AW99" s="6212">
        <f t="shared" si="440"/>
        <v>31309.809029754502</v>
      </c>
      <c r="AX99" s="39">
        <f t="shared" si="441"/>
        <v>14848</v>
      </c>
      <c r="AY99" s="6423">
        <v>2885.2325954985877</v>
      </c>
      <c r="AZ99" s="1970"/>
      <c r="BA99" s="6416">
        <f t="shared" si="442"/>
        <v>8376.4817288668673</v>
      </c>
      <c r="BB99" s="6416">
        <f t="shared" si="443"/>
        <v>1852.2</v>
      </c>
      <c r="BC99" s="2883">
        <f t="shared" si="444"/>
        <v>16939.107496152999</v>
      </c>
      <c r="BD99" s="2883">
        <f t="shared" si="445"/>
        <v>10273.5</v>
      </c>
      <c r="BE99" s="6421">
        <f t="shared" si="446"/>
        <v>34195.041625253092</v>
      </c>
      <c r="BF99" s="6421">
        <f t="shared" si="447"/>
        <v>14848</v>
      </c>
      <c r="BG99" s="1222"/>
      <c r="BH99" s="1222"/>
      <c r="BI99" s="4713"/>
      <c r="BJ99" s="4713"/>
      <c r="BK99" s="26"/>
      <c r="BL99" s="26"/>
      <c r="BM99" s="26"/>
      <c r="BN99" s="26"/>
    </row>
    <row r="100" spans="1:66" x14ac:dyDescent="0.25">
      <c r="B100" s="1910" t="s">
        <v>1374</v>
      </c>
      <c r="C100" s="1405" t="s">
        <v>50</v>
      </c>
      <c r="D100" s="231"/>
      <c r="E100" s="231"/>
      <c r="F100" s="1218"/>
      <c r="G100" s="6386"/>
      <c r="H100" s="1218"/>
      <c r="I100" s="2399">
        <f t="shared" si="426"/>
        <v>0</v>
      </c>
      <c r="J100" s="2399">
        <f t="shared" si="426"/>
        <v>0</v>
      </c>
      <c r="K100" s="4583"/>
      <c r="L100" s="1218"/>
      <c r="M100" s="2398">
        <f t="shared" ref="M100" si="450">+E100+G100+K100</f>
        <v>0</v>
      </c>
      <c r="N100" s="2398">
        <f t="shared" ref="N100" si="451">+F100+H100+L100</f>
        <v>0</v>
      </c>
      <c r="O100" s="4771"/>
      <c r="P100" s="1218"/>
      <c r="Q100" s="2399">
        <f t="shared" si="428"/>
        <v>0</v>
      </c>
      <c r="R100" s="2399">
        <f t="shared" si="428"/>
        <v>0</v>
      </c>
      <c r="S100" s="4880"/>
      <c r="T100" s="1218"/>
      <c r="U100" s="4890">
        <f t="shared" si="429"/>
        <v>0</v>
      </c>
      <c r="V100" s="4890">
        <f t="shared" si="430"/>
        <v>0</v>
      </c>
      <c r="W100" s="5040"/>
      <c r="X100" s="1218"/>
      <c r="Y100" s="2398">
        <f t="shared" ref="Y100" si="452">+O100+S100+W100</f>
        <v>0</v>
      </c>
      <c r="Z100" s="2398">
        <f t="shared" ref="Z100" si="453">+P100+T100+X100</f>
        <v>0</v>
      </c>
      <c r="AA100" s="2405">
        <f t="shared" ref="AA100" si="454">+M100+Y100</f>
        <v>0</v>
      </c>
      <c r="AB100" s="454">
        <f t="shared" ref="AB100" si="455">+N100+Z100</f>
        <v>0</v>
      </c>
      <c r="AC100" s="5331"/>
      <c r="AD100" s="1218"/>
      <c r="AE100" s="2399">
        <f t="shared" si="432"/>
        <v>0</v>
      </c>
      <c r="AF100" s="39">
        <f t="shared" si="433"/>
        <v>0</v>
      </c>
      <c r="AG100" s="5505"/>
      <c r="AH100" s="1218"/>
      <c r="AI100" s="2399">
        <f t="shared" si="434"/>
        <v>0</v>
      </c>
      <c r="AJ100" s="39">
        <f t="shared" si="435"/>
        <v>0</v>
      </c>
      <c r="AK100" s="5927"/>
      <c r="AL100" s="1218"/>
      <c r="AM100" s="2723">
        <f t="shared" si="436"/>
        <v>0</v>
      </c>
      <c r="AN100" s="2723">
        <f t="shared" si="437"/>
        <v>0</v>
      </c>
      <c r="AO100" s="761">
        <f t="shared" si="448"/>
        <v>0</v>
      </c>
      <c r="AP100" s="761">
        <f t="shared" si="449"/>
        <v>0</v>
      </c>
      <c r="AQ100" s="6087"/>
      <c r="AR100" s="1218"/>
      <c r="AS100" s="2399">
        <f t="shared" si="438"/>
        <v>0</v>
      </c>
      <c r="AT100" s="39">
        <f t="shared" si="439"/>
        <v>0</v>
      </c>
      <c r="AU100" s="6210"/>
      <c r="AV100" s="1218"/>
      <c r="AW100" s="6212">
        <f t="shared" si="440"/>
        <v>0</v>
      </c>
      <c r="AX100" s="39">
        <f t="shared" si="441"/>
        <v>0</v>
      </c>
      <c r="AY100" s="6386"/>
      <c r="AZ100" s="1218"/>
      <c r="BA100" s="6416">
        <f t="shared" si="442"/>
        <v>0</v>
      </c>
      <c r="BB100" s="6416">
        <f t="shared" si="443"/>
        <v>0</v>
      </c>
      <c r="BC100" s="2883">
        <f t="shared" si="444"/>
        <v>0</v>
      </c>
      <c r="BD100" s="2883">
        <f t="shared" si="445"/>
        <v>0</v>
      </c>
      <c r="BE100" s="6421">
        <f t="shared" si="446"/>
        <v>0</v>
      </c>
      <c r="BF100" s="6421">
        <f t="shared" si="447"/>
        <v>0</v>
      </c>
      <c r="BG100" s="1222"/>
      <c r="BH100" s="1222"/>
      <c r="BI100" s="4713"/>
      <c r="BJ100" s="4713"/>
      <c r="BK100" s="26"/>
      <c r="BL100" s="26"/>
      <c r="BM100" s="26"/>
      <c r="BN100" s="26"/>
    </row>
    <row r="101" spans="1:66" ht="15.75" thickBot="1" x14ac:dyDescent="0.3">
      <c r="A101" s="148"/>
      <c r="B101" s="1910" t="s">
        <v>1388</v>
      </c>
      <c r="C101" s="1405" t="s">
        <v>50</v>
      </c>
      <c r="D101" s="231">
        <v>20285.415384615382</v>
      </c>
      <c r="E101" s="231">
        <v>1728.8205128205127</v>
      </c>
      <c r="F101" s="1218"/>
      <c r="G101" s="6386">
        <v>1786.4478632478633</v>
      </c>
      <c r="H101" s="1218"/>
      <c r="I101" s="2401">
        <f t="shared" si="426"/>
        <v>3515.2683760683758</v>
      </c>
      <c r="J101" s="2401">
        <f t="shared" si="426"/>
        <v>0</v>
      </c>
      <c r="K101" s="4583"/>
      <c r="L101" s="1218"/>
      <c r="M101" s="2406">
        <f t="shared" si="427"/>
        <v>3515.2683760683758</v>
      </c>
      <c r="N101" s="2406">
        <f t="shared" si="427"/>
        <v>0</v>
      </c>
      <c r="O101" s="4771"/>
      <c r="P101" s="1218"/>
      <c r="Q101" s="2401">
        <f t="shared" si="428"/>
        <v>3515.2683760683758</v>
      </c>
      <c r="R101" s="2401">
        <f t="shared" si="428"/>
        <v>0</v>
      </c>
      <c r="S101" s="4880"/>
      <c r="T101" s="1218"/>
      <c r="U101" s="4882">
        <f t="shared" si="429"/>
        <v>3515.2683760683758</v>
      </c>
      <c r="V101" s="4882">
        <f t="shared" si="430"/>
        <v>0</v>
      </c>
      <c r="W101" s="5040"/>
      <c r="X101" s="1218"/>
      <c r="Y101" s="2406">
        <f t="shared" si="431"/>
        <v>0</v>
      </c>
      <c r="Z101" s="2406">
        <f t="shared" si="431"/>
        <v>0</v>
      </c>
      <c r="AA101" s="2405">
        <f t="shared" si="401"/>
        <v>3515.2683760683758</v>
      </c>
      <c r="AB101" s="454">
        <f t="shared" si="401"/>
        <v>0</v>
      </c>
      <c r="AC101" s="5331"/>
      <c r="AD101" s="1218"/>
      <c r="AE101" s="2399">
        <f t="shared" si="432"/>
        <v>3515.2683760683758</v>
      </c>
      <c r="AF101" s="165">
        <f t="shared" si="433"/>
        <v>0</v>
      </c>
      <c r="AG101" s="5505"/>
      <c r="AH101" s="1218"/>
      <c r="AI101" s="2399">
        <f t="shared" si="434"/>
        <v>3515.2683760683758</v>
      </c>
      <c r="AJ101" s="165">
        <f t="shared" si="435"/>
        <v>0</v>
      </c>
      <c r="AK101" s="5927"/>
      <c r="AL101" s="1218"/>
      <c r="AM101" s="2406">
        <f t="shared" si="436"/>
        <v>0</v>
      </c>
      <c r="AN101" s="2406">
        <f t="shared" si="437"/>
        <v>0</v>
      </c>
      <c r="AO101" s="761">
        <f t="shared" si="448"/>
        <v>3515.2683760683758</v>
      </c>
      <c r="AP101" s="761">
        <f t="shared" si="449"/>
        <v>0</v>
      </c>
      <c r="AQ101" s="6087"/>
      <c r="AR101" s="1218"/>
      <c r="AS101" s="2399">
        <f t="shared" si="438"/>
        <v>3515.2683760683758</v>
      </c>
      <c r="AT101" s="165">
        <f t="shared" si="439"/>
        <v>0</v>
      </c>
      <c r="AU101" s="6210"/>
      <c r="AV101" s="1218"/>
      <c r="AW101" s="6212">
        <f t="shared" si="440"/>
        <v>3515.2683760683758</v>
      </c>
      <c r="AX101" s="165">
        <f t="shared" si="441"/>
        <v>0</v>
      </c>
      <c r="AY101" s="6386"/>
      <c r="AZ101" s="1218"/>
      <c r="BA101" s="2406">
        <f t="shared" si="442"/>
        <v>0</v>
      </c>
      <c r="BB101" s="2406">
        <f t="shared" si="443"/>
        <v>0</v>
      </c>
      <c r="BC101" s="2883">
        <f t="shared" si="444"/>
        <v>0</v>
      </c>
      <c r="BD101" s="2883">
        <f t="shared" si="445"/>
        <v>0</v>
      </c>
      <c r="BE101" s="6421">
        <f t="shared" si="446"/>
        <v>3515.2683760683758</v>
      </c>
      <c r="BF101" s="6421">
        <f t="shared" si="447"/>
        <v>0</v>
      </c>
      <c r="BG101" s="1222"/>
      <c r="BH101" s="1222"/>
      <c r="BI101" s="4713"/>
      <c r="BJ101" s="4713"/>
      <c r="BK101" s="26"/>
      <c r="BL101" s="26"/>
      <c r="BM101" s="26"/>
      <c r="BN101" s="26"/>
    </row>
    <row r="102" spans="1:66" ht="16.5" thickBot="1" x14ac:dyDescent="0.3">
      <c r="A102" s="148"/>
      <c r="B102" s="1890" t="s">
        <v>134</v>
      </c>
      <c r="C102" s="1402" t="s">
        <v>50</v>
      </c>
      <c r="D102" s="1392">
        <f t="shared" ref="D102:AI102" si="456">SUM(D98:D101)</f>
        <v>169045.12820512819</v>
      </c>
      <c r="E102" s="455">
        <f t="shared" si="456"/>
        <v>14406.837606837606</v>
      </c>
      <c r="F102" s="372">
        <f t="shared" si="456"/>
        <v>14329.2</v>
      </c>
      <c r="G102" s="455">
        <f t="shared" ref="G102:H102" si="457">SUM(G98:G101)</f>
        <v>14887.065527065526</v>
      </c>
      <c r="H102" s="372">
        <f t="shared" si="457"/>
        <v>14869.8</v>
      </c>
      <c r="I102" s="712">
        <f t="shared" si="456"/>
        <v>29293.903133903128</v>
      </c>
      <c r="J102" s="712">
        <f t="shared" si="456"/>
        <v>29199</v>
      </c>
      <c r="K102" s="455">
        <f t="shared" ref="K102:L102" si="458">SUM(K98:K101)</f>
        <v>14739.544222173368</v>
      </c>
      <c r="L102" s="372">
        <f t="shared" si="458"/>
        <v>14358.7</v>
      </c>
      <c r="M102" s="354">
        <f t="shared" si="456"/>
        <v>44033.447356076489</v>
      </c>
      <c r="N102" s="1497">
        <f t="shared" si="456"/>
        <v>43557.7</v>
      </c>
      <c r="O102" s="455">
        <f t="shared" ref="O102:P102" si="459">SUM(O98:O101)</f>
        <v>15003.209496592657</v>
      </c>
      <c r="P102" s="372">
        <f t="shared" si="459"/>
        <v>14864.9</v>
      </c>
      <c r="Q102" s="712">
        <f t="shared" si="456"/>
        <v>59036.656852669141</v>
      </c>
      <c r="R102" s="712">
        <f t="shared" si="456"/>
        <v>58422.6</v>
      </c>
      <c r="S102" s="455">
        <f t="shared" ref="S102:T102" si="460">SUM(S98:S101)</f>
        <v>15003.209496592657</v>
      </c>
      <c r="T102" s="372">
        <f t="shared" si="460"/>
        <v>15165.7</v>
      </c>
      <c r="U102" s="712">
        <f t="shared" ref="U102:X102" si="461">SUM(U98:U101)</f>
        <v>74039.866349261792</v>
      </c>
      <c r="V102" s="712">
        <f t="shared" si="461"/>
        <v>73588.3</v>
      </c>
      <c r="W102" s="455">
        <f t="shared" si="461"/>
        <v>14519.234996702571</v>
      </c>
      <c r="X102" s="372">
        <f t="shared" si="461"/>
        <v>14676.5</v>
      </c>
      <c r="Y102" s="354">
        <f t="shared" si="456"/>
        <v>44525.653989887884</v>
      </c>
      <c r="Z102" s="1497">
        <f t="shared" si="456"/>
        <v>44707.1</v>
      </c>
      <c r="AA102" s="463">
        <f t="shared" si="456"/>
        <v>88559.101345964373</v>
      </c>
      <c r="AB102" s="2580">
        <f t="shared" si="456"/>
        <v>88264.799999999988</v>
      </c>
      <c r="AC102" s="455">
        <f t="shared" ref="AC102:AD102" si="462">SUM(AC98:AC101)</f>
        <v>15003.209496592657</v>
      </c>
      <c r="AD102" s="372">
        <f t="shared" si="462"/>
        <v>14960</v>
      </c>
      <c r="AE102" s="712">
        <f t="shared" si="456"/>
        <v>103562.31084255704</v>
      </c>
      <c r="AF102" s="372">
        <f t="shared" si="456"/>
        <v>103224.79999999999</v>
      </c>
      <c r="AG102" s="455">
        <f t="shared" ref="AG102:AH102" si="463">SUM(AG98:AG101)</f>
        <v>14519.234996702571</v>
      </c>
      <c r="AH102" s="372">
        <f t="shared" si="463"/>
        <v>12976.699999999999</v>
      </c>
      <c r="AI102" s="712">
        <f t="shared" si="456"/>
        <v>118081.5458392596</v>
      </c>
      <c r="AJ102" s="372">
        <f t="shared" ref="AJ102:BD102" si="464">SUM(AJ98:AJ101)</f>
        <v>116201.49999999999</v>
      </c>
      <c r="AK102" s="455">
        <f t="shared" si="464"/>
        <v>15003.209496592657</v>
      </c>
      <c r="AL102" s="372">
        <f t="shared" si="464"/>
        <v>14928.699999999999</v>
      </c>
      <c r="AM102" s="354">
        <f t="shared" si="464"/>
        <v>44525.653989887891</v>
      </c>
      <c r="AN102" s="1497">
        <f t="shared" si="464"/>
        <v>42865.399999999994</v>
      </c>
      <c r="AO102" s="712">
        <f t="shared" si="464"/>
        <v>133084.75533585227</v>
      </c>
      <c r="AP102" s="372">
        <f t="shared" si="464"/>
        <v>131130.19999999998</v>
      </c>
      <c r="AQ102" s="455">
        <f t="shared" ref="AQ102:AR102" si="465">SUM(AQ98:AQ101)</f>
        <v>15003.209496592657</v>
      </c>
      <c r="AR102" s="372">
        <f t="shared" si="465"/>
        <v>12076.300000000001</v>
      </c>
      <c r="AS102" s="712">
        <f t="shared" si="464"/>
        <v>148087.96483244491</v>
      </c>
      <c r="AT102" s="372">
        <f t="shared" si="464"/>
        <v>143206.5</v>
      </c>
      <c r="AU102" s="455">
        <f t="shared" si="464"/>
        <v>13551.285996922401</v>
      </c>
      <c r="AV102" s="372">
        <f t="shared" si="464"/>
        <v>11556.742499999998</v>
      </c>
      <c r="AW102" s="712">
        <f t="shared" ref="AW102:AX102" si="466">SUM(AW98:AW101)</f>
        <v>161639.25082936732</v>
      </c>
      <c r="AX102" s="372">
        <f t="shared" si="466"/>
        <v>154763.24249999999</v>
      </c>
      <c r="AY102" s="455">
        <f t="shared" ref="AY102:AZ102" si="467">SUM(AY98:AY101)</f>
        <v>15003.209496592657</v>
      </c>
      <c r="AZ102" s="372">
        <f t="shared" si="467"/>
        <v>13854.456000000004</v>
      </c>
      <c r="BA102" s="354">
        <f t="shared" ref="BA102:BB102" si="468">SUM(BA98:BA101)</f>
        <v>43557.704990107712</v>
      </c>
      <c r="BB102" s="1497">
        <f t="shared" si="468"/>
        <v>37487.498500000002</v>
      </c>
      <c r="BC102" s="463">
        <f t="shared" si="464"/>
        <v>88083.358979995595</v>
      </c>
      <c r="BD102" s="2580">
        <f t="shared" si="464"/>
        <v>80352.89850000001</v>
      </c>
      <c r="BE102" s="712">
        <f t="shared" ref="BE102:BF102" si="469">SUM(BE98:BE101)</f>
        <v>176642.46032595998</v>
      </c>
      <c r="BF102" s="372">
        <f t="shared" si="469"/>
        <v>168617.6985</v>
      </c>
      <c r="BG102" s="1222"/>
      <c r="BH102" s="1222"/>
      <c r="BI102" s="4713"/>
      <c r="BJ102" s="4713"/>
      <c r="BK102" s="26"/>
      <c r="BL102" s="26"/>
      <c r="BM102" s="26"/>
      <c r="BN102" s="26"/>
    </row>
    <row r="103" spans="1:66" ht="16.5" thickBot="1" x14ac:dyDescent="0.3">
      <c r="B103" s="1890" t="s">
        <v>12</v>
      </c>
      <c r="C103" s="1402" t="s">
        <v>50</v>
      </c>
      <c r="D103" s="1392">
        <f t="shared" ref="D103:AI103" si="470">+D97+D102</f>
        <v>622086.07179487171</v>
      </c>
      <c r="E103" s="455">
        <f t="shared" si="470"/>
        <v>53017.162393162391</v>
      </c>
      <c r="F103" s="372">
        <f t="shared" si="470"/>
        <v>49307.199999999997</v>
      </c>
      <c r="G103" s="455">
        <f t="shared" ref="G103:H103" si="471">+G97+G102</f>
        <v>54784.401139601134</v>
      </c>
      <c r="H103" s="372">
        <f t="shared" si="471"/>
        <v>52173.399999999994</v>
      </c>
      <c r="I103" s="712">
        <f t="shared" si="470"/>
        <v>107801.56353276354</v>
      </c>
      <c r="J103" s="712">
        <f t="shared" si="470"/>
        <v>101480.59999999999</v>
      </c>
      <c r="K103" s="455">
        <f t="shared" si="470"/>
        <v>53856.026965633457</v>
      </c>
      <c r="L103" s="372">
        <f t="shared" si="470"/>
        <v>52464.5</v>
      </c>
      <c r="M103" s="354">
        <f t="shared" si="470"/>
        <v>158728.20018500666</v>
      </c>
      <c r="N103" s="1497">
        <f t="shared" si="470"/>
        <v>153945.09999999998</v>
      </c>
      <c r="O103" s="455">
        <f t="shared" ref="O103:P103" si="472">+O97+O102</f>
        <v>54819.419314473169</v>
      </c>
      <c r="P103" s="372">
        <f t="shared" si="472"/>
        <v>54314.000000000007</v>
      </c>
      <c r="Q103" s="712">
        <f t="shared" si="470"/>
        <v>213547.61949947983</v>
      </c>
      <c r="R103" s="712">
        <f t="shared" si="470"/>
        <v>208259.1</v>
      </c>
      <c r="S103" s="455">
        <f t="shared" si="470"/>
        <v>54819.419314473169</v>
      </c>
      <c r="T103" s="372">
        <f t="shared" si="470"/>
        <v>54510</v>
      </c>
      <c r="U103" s="712">
        <f t="shared" ref="U103:X103" si="473">+U97+U102</f>
        <v>268367.038813953</v>
      </c>
      <c r="V103" s="712">
        <f t="shared" si="473"/>
        <v>262769.09999999998</v>
      </c>
      <c r="W103" s="455">
        <f t="shared" si="473"/>
        <v>53051.050949490163</v>
      </c>
      <c r="X103" s="372">
        <f t="shared" si="473"/>
        <v>51932.200000000004</v>
      </c>
      <c r="Y103" s="354">
        <f t="shared" si="470"/>
        <v>162689.8895784365</v>
      </c>
      <c r="Z103" s="1497">
        <f t="shared" si="470"/>
        <v>160756.20000000001</v>
      </c>
      <c r="AA103" s="463">
        <f t="shared" si="470"/>
        <v>321418.08976344322</v>
      </c>
      <c r="AB103" s="2580">
        <f t="shared" si="470"/>
        <v>314701.3</v>
      </c>
      <c r="AC103" s="455">
        <f t="shared" si="470"/>
        <v>54819.419314473169</v>
      </c>
      <c r="AD103" s="372">
        <f t="shared" si="470"/>
        <v>52937</v>
      </c>
      <c r="AE103" s="712">
        <f t="shared" si="470"/>
        <v>376237.50907791639</v>
      </c>
      <c r="AF103" s="372">
        <f t="shared" si="470"/>
        <v>367638.3</v>
      </c>
      <c r="AG103" s="455">
        <f t="shared" ref="AG103:AH103" si="474">+AG97+AG102</f>
        <v>53051.050949490163</v>
      </c>
      <c r="AH103" s="372">
        <f t="shared" si="474"/>
        <v>48265.7</v>
      </c>
      <c r="AI103" s="712">
        <f t="shared" si="470"/>
        <v>429288.56002740655</v>
      </c>
      <c r="AJ103" s="372">
        <f t="shared" ref="AJ103:BF103" si="475">+AJ97+AJ102</f>
        <v>415904</v>
      </c>
      <c r="AK103" s="455">
        <f t="shared" si="475"/>
        <v>54819.419314473169</v>
      </c>
      <c r="AL103" s="372">
        <f t="shared" si="475"/>
        <v>52824.7</v>
      </c>
      <c r="AM103" s="354">
        <f t="shared" si="475"/>
        <v>162689.88957843653</v>
      </c>
      <c r="AN103" s="1497">
        <f t="shared" si="475"/>
        <v>154027.4</v>
      </c>
      <c r="AO103" s="712">
        <f t="shared" si="475"/>
        <v>484107.97934187966</v>
      </c>
      <c r="AP103" s="372">
        <f t="shared" si="475"/>
        <v>468728.69999999995</v>
      </c>
      <c r="AQ103" s="455">
        <f t="shared" ref="AQ103:AR103" si="476">+AQ97+AQ102</f>
        <v>54819.419314473169</v>
      </c>
      <c r="AR103" s="372">
        <f t="shared" si="476"/>
        <v>52824.700000000004</v>
      </c>
      <c r="AS103" s="712">
        <f t="shared" si="475"/>
        <v>538927.39865635289</v>
      </c>
      <c r="AT103" s="372">
        <f t="shared" si="475"/>
        <v>521553.4</v>
      </c>
      <c r="AU103" s="455">
        <f t="shared" si="475"/>
        <v>49514.314219524153</v>
      </c>
      <c r="AV103" s="372">
        <f t="shared" si="475"/>
        <v>46670.039999999994</v>
      </c>
      <c r="AW103" s="712">
        <f t="shared" ref="AW103:BB103" si="477">+AW97+AW102</f>
        <v>588441.71287587704</v>
      </c>
      <c r="AX103" s="372">
        <f t="shared" si="477"/>
        <v>568223.43999999994</v>
      </c>
      <c r="AY103" s="455">
        <f t="shared" si="477"/>
        <v>54819.419314473169</v>
      </c>
      <c r="AZ103" s="372">
        <f t="shared" si="477"/>
        <v>51120.720000000008</v>
      </c>
      <c r="BA103" s="354">
        <f t="shared" si="477"/>
        <v>159153.15284847049</v>
      </c>
      <c r="BB103" s="1497">
        <f t="shared" si="477"/>
        <v>150615.46000000002</v>
      </c>
      <c r="BC103" s="463">
        <f t="shared" si="475"/>
        <v>321843.04242690699</v>
      </c>
      <c r="BD103" s="2580">
        <f t="shared" si="475"/>
        <v>304642.86</v>
      </c>
      <c r="BE103" s="712">
        <f t="shared" si="475"/>
        <v>643261.13219035021</v>
      </c>
      <c r="BF103" s="372">
        <f t="shared" si="475"/>
        <v>619344.16</v>
      </c>
      <c r="BG103" s="1222"/>
      <c r="BH103" s="1222"/>
      <c r="BI103" s="4713"/>
      <c r="BJ103" s="4713"/>
      <c r="BK103" s="26"/>
      <c r="BL103" s="26"/>
      <c r="BM103" s="26"/>
      <c r="BN103" s="26"/>
    </row>
    <row r="104" spans="1:66" ht="15" customHeight="1" x14ac:dyDescent="0.25">
      <c r="B104" s="1916" t="s">
        <v>1009</v>
      </c>
      <c r="C104" s="2555" t="s">
        <v>50</v>
      </c>
      <c r="D104" s="7620">
        <v>53499.996618765901</v>
      </c>
      <c r="E104" s="7606">
        <v>4559.5266272189401</v>
      </c>
      <c r="F104" s="29"/>
      <c r="G104" s="7606">
        <v>4711.5108481262296</v>
      </c>
      <c r="H104" s="29"/>
      <c r="I104" s="7585">
        <f>+E104+G104</f>
        <v>9271.0374753451688</v>
      </c>
      <c r="J104" s="62">
        <f>+F104+H104</f>
        <v>0</v>
      </c>
      <c r="K104" s="7606">
        <v>2803.1014</v>
      </c>
      <c r="L104" s="29">
        <v>2761.3</v>
      </c>
      <c r="M104" s="7315">
        <f>+E104+G104+K104</f>
        <v>12074.138875345168</v>
      </c>
      <c r="N104" s="84">
        <f>+F104+H104+L104</f>
        <v>2761.3</v>
      </c>
      <c r="O104" s="7606">
        <v>2853.24</v>
      </c>
      <c r="P104" s="29">
        <v>2858.6</v>
      </c>
      <c r="Q104" s="7585">
        <f>+M104+O104</f>
        <v>14927.378875345168</v>
      </c>
      <c r="R104" s="62">
        <f>+N104+P104</f>
        <v>5619.9</v>
      </c>
      <c r="S104" s="7606">
        <v>2853.24</v>
      </c>
      <c r="T104" s="29">
        <v>2013.3</v>
      </c>
      <c r="U104" s="7585">
        <f>+Q104+S104</f>
        <v>17780.618875345168</v>
      </c>
      <c r="V104" s="62">
        <f>+R104+T104</f>
        <v>7633.2</v>
      </c>
      <c r="W104" s="7606">
        <v>2761.2</v>
      </c>
      <c r="X104" s="29"/>
      <c r="Y104" s="7314">
        <f>O104+S104+W104</f>
        <v>8467.68</v>
      </c>
      <c r="Z104" s="84">
        <f>+P104+T104+X104</f>
        <v>4871.8999999999996</v>
      </c>
      <c r="AA104" s="7589">
        <f>+Y104+M104</f>
        <v>20541.818875345169</v>
      </c>
      <c r="AB104" s="477">
        <f>+N104+Z104</f>
        <v>7633.2</v>
      </c>
      <c r="AC104" s="7606">
        <v>2853.24</v>
      </c>
      <c r="AD104" s="29"/>
      <c r="AE104" s="7585">
        <f>+AA104+AC104</f>
        <v>23395.058875345167</v>
      </c>
      <c r="AF104" s="62">
        <f>+AB104+AD104</f>
        <v>7633.2</v>
      </c>
      <c r="AG104" s="7606">
        <v>2761.2040133779301</v>
      </c>
      <c r="AH104" s="29">
        <v>2529</v>
      </c>
      <c r="AI104" s="7585">
        <f>+AE104+AG104</f>
        <v>26156.262888723097</v>
      </c>
      <c r="AJ104" s="62">
        <f>+AF104+AH104</f>
        <v>10162.200000000001</v>
      </c>
      <c r="AK104" s="7606">
        <v>2853.2441471571901</v>
      </c>
      <c r="AL104" s="29">
        <v>1630.7</v>
      </c>
      <c r="AM104" s="7314">
        <f>AC104+AG104+AK104</f>
        <v>8467.6881605351191</v>
      </c>
      <c r="AN104" s="84">
        <f>+AD104+AH104+AL104</f>
        <v>4159.7</v>
      </c>
      <c r="AO104" s="7585">
        <f>AI104+AK104</f>
        <v>29009.507035880288</v>
      </c>
      <c r="AP104" s="761">
        <f t="shared" ref="AP104:AP106" si="478">AJ104+AL104</f>
        <v>11792.900000000001</v>
      </c>
      <c r="AQ104" s="7606">
        <v>2853.2441471571901</v>
      </c>
      <c r="AR104" s="29"/>
      <c r="AS104" s="7585">
        <f>+AO104+AQ104</f>
        <v>31862.751183037479</v>
      </c>
      <c r="AT104" s="62">
        <f>+AP104+AR104</f>
        <v>11792.900000000001</v>
      </c>
      <c r="AU104" s="7606">
        <v>2577.1237458194</v>
      </c>
      <c r="AV104" s="29"/>
      <c r="AW104" s="7585">
        <f>+AS104+AU104</f>
        <v>34439.87492885688</v>
      </c>
      <c r="AX104" s="62">
        <f>+AT104+AV104</f>
        <v>11792.900000000001</v>
      </c>
      <c r="AY104" s="7606">
        <v>2853.2441471571901</v>
      </c>
      <c r="AZ104" s="29"/>
      <c r="BA104" s="7314">
        <f>AQ104+AU104+AY104</f>
        <v>8283.6120401337794</v>
      </c>
      <c r="BB104" s="84">
        <f>+AR104+AV104+AZ104</f>
        <v>0</v>
      </c>
      <c r="BC104" s="7589">
        <f>+BA104+AM104</f>
        <v>16751.300200668898</v>
      </c>
      <c r="BD104" s="2883">
        <f>+AN104+BB104</f>
        <v>4159.7</v>
      </c>
      <c r="BE104" s="7585">
        <f>+AW104+AY104</f>
        <v>37293.119076014067</v>
      </c>
      <c r="BF104" s="6421">
        <f t="shared" ref="BF104:BF106" si="479">AX104+AZ104</f>
        <v>11792.900000000001</v>
      </c>
      <c r="BG104" s="1222"/>
      <c r="BH104" s="1222"/>
      <c r="BI104" s="4713"/>
      <c r="BJ104" s="4713"/>
      <c r="BK104" s="26"/>
      <c r="BL104" s="26"/>
      <c r="BM104" s="26"/>
      <c r="BN104" s="26"/>
    </row>
    <row r="105" spans="1:66" ht="15.75" customHeight="1" x14ac:dyDescent="0.25">
      <c r="B105" s="1906" t="s">
        <v>1189</v>
      </c>
      <c r="C105" s="1397" t="s">
        <v>50</v>
      </c>
      <c r="D105" s="7616"/>
      <c r="E105" s="7299"/>
      <c r="F105" s="18">
        <v>5805.2</v>
      </c>
      <c r="G105" s="7299"/>
      <c r="H105" s="18">
        <v>5018.1000000000004</v>
      </c>
      <c r="I105" s="7585"/>
      <c r="J105" s="62">
        <f>+F105+H105</f>
        <v>10823.3</v>
      </c>
      <c r="K105" s="7299"/>
      <c r="L105" s="18"/>
      <c r="M105" s="7309"/>
      <c r="N105" s="69">
        <f>+F105+H105+L105</f>
        <v>10823.3</v>
      </c>
      <c r="O105" s="7299"/>
      <c r="P105" s="18"/>
      <c r="Q105" s="7585"/>
      <c r="R105" s="62">
        <f>+N105+P105</f>
        <v>10823.3</v>
      </c>
      <c r="S105" s="7299"/>
      <c r="T105" s="18">
        <v>1806.3</v>
      </c>
      <c r="U105" s="7585"/>
      <c r="V105" s="62">
        <f>+R105+T105</f>
        <v>12629.599999999999</v>
      </c>
      <c r="W105" s="7299"/>
      <c r="X105" s="18">
        <v>4515.8</v>
      </c>
      <c r="Y105" s="7314"/>
      <c r="Z105" s="84">
        <f>+P105+T105+X105</f>
        <v>6322.1</v>
      </c>
      <c r="AA105" s="7589"/>
      <c r="AB105" s="454">
        <f>+N105+Z105</f>
        <v>17145.400000000001</v>
      </c>
      <c r="AC105" s="7299"/>
      <c r="AD105" s="18">
        <v>4603</v>
      </c>
      <c r="AE105" s="7585"/>
      <c r="AF105" s="62">
        <f>+AB105+AD105</f>
        <v>21748.400000000001</v>
      </c>
      <c r="AG105" s="7299"/>
      <c r="AH105" s="18">
        <v>2673.4</v>
      </c>
      <c r="AI105" s="7585"/>
      <c r="AJ105" s="62">
        <f>+AF105+AH105</f>
        <v>24421.800000000003</v>
      </c>
      <c r="AK105" s="7299"/>
      <c r="AL105" s="18">
        <v>2962.8</v>
      </c>
      <c r="AM105" s="7314"/>
      <c r="AN105" s="84">
        <f>+AD105+AH105+AL105</f>
        <v>10239.200000000001</v>
      </c>
      <c r="AO105" s="7585"/>
      <c r="AP105" s="761">
        <f t="shared" si="478"/>
        <v>27384.600000000002</v>
      </c>
      <c r="AQ105" s="7299"/>
      <c r="AR105" s="18">
        <v>4593.5</v>
      </c>
      <c r="AS105" s="7585"/>
      <c r="AT105" s="62">
        <f>+AP105+AR105</f>
        <v>31978.100000000002</v>
      </c>
      <c r="AU105" s="7299"/>
      <c r="AV105" s="18">
        <v>5021.4599999999991</v>
      </c>
      <c r="AW105" s="7585"/>
      <c r="AX105" s="62">
        <f>+AT105+AV105</f>
        <v>36999.56</v>
      </c>
      <c r="AY105" s="7299"/>
      <c r="AZ105" s="18">
        <v>6297.5</v>
      </c>
      <c r="BA105" s="7314"/>
      <c r="BB105" s="84">
        <f>+AR105+AV105+AZ105</f>
        <v>15912.46</v>
      </c>
      <c r="BC105" s="7589"/>
      <c r="BD105" s="2883">
        <f>+AN105+BB105</f>
        <v>26151.66</v>
      </c>
      <c r="BE105" s="7585"/>
      <c r="BF105" s="6421">
        <f t="shared" si="479"/>
        <v>43297.06</v>
      </c>
      <c r="BG105" s="1222"/>
      <c r="BH105" s="1222"/>
      <c r="BI105" s="4713"/>
      <c r="BJ105" s="4713"/>
      <c r="BK105" s="26"/>
      <c r="BL105" s="26"/>
      <c r="BM105" s="26"/>
      <c r="BN105" s="26"/>
    </row>
    <row r="106" spans="1:66" ht="15.75" thickBot="1" x14ac:dyDescent="0.3">
      <c r="A106" s="148"/>
      <c r="B106" s="1907" t="s">
        <v>1147</v>
      </c>
      <c r="C106" s="2556" t="s">
        <v>50</v>
      </c>
      <c r="D106" s="7621"/>
      <c r="E106" s="7607"/>
      <c r="F106" s="126"/>
      <c r="G106" s="7607"/>
      <c r="H106" s="126"/>
      <c r="I106" s="7585"/>
      <c r="J106" s="535">
        <f>+F106+H106</f>
        <v>0</v>
      </c>
      <c r="K106" s="7607"/>
      <c r="L106" s="126"/>
      <c r="M106" s="7313"/>
      <c r="N106" s="173">
        <f>+F106+H106+L106</f>
        <v>0</v>
      </c>
      <c r="O106" s="7607"/>
      <c r="P106" s="126"/>
      <c r="Q106" s="7585"/>
      <c r="R106" s="535">
        <f>+N106+P106</f>
        <v>0</v>
      </c>
      <c r="S106" s="7607"/>
      <c r="T106" s="126"/>
      <c r="U106" s="7585"/>
      <c r="V106" s="535">
        <f>+R106+T106</f>
        <v>0</v>
      </c>
      <c r="W106" s="7607"/>
      <c r="X106" s="126"/>
      <c r="Y106" s="7314"/>
      <c r="Z106" s="534">
        <f>+P106+T106+X106</f>
        <v>0</v>
      </c>
      <c r="AA106" s="7589"/>
      <c r="AB106" s="2433">
        <f>+N106+Z106</f>
        <v>0</v>
      </c>
      <c r="AC106" s="7607"/>
      <c r="AD106" s="126"/>
      <c r="AE106" s="7585"/>
      <c r="AF106" s="535">
        <f>+AB106+AD106</f>
        <v>0</v>
      </c>
      <c r="AG106" s="7607"/>
      <c r="AH106" s="126"/>
      <c r="AI106" s="7585"/>
      <c r="AJ106" s="535">
        <f>+AF106+AH106</f>
        <v>0</v>
      </c>
      <c r="AK106" s="7607"/>
      <c r="AL106" s="126"/>
      <c r="AM106" s="7314"/>
      <c r="AN106" s="534">
        <f>+AD106+AH106+AL106</f>
        <v>0</v>
      </c>
      <c r="AO106" s="7585"/>
      <c r="AP106" s="761">
        <f t="shared" si="478"/>
        <v>0</v>
      </c>
      <c r="AQ106" s="7607"/>
      <c r="AR106" s="126"/>
      <c r="AS106" s="7585"/>
      <c r="AT106" s="535">
        <f>+AP106+AR106</f>
        <v>0</v>
      </c>
      <c r="AU106" s="7607"/>
      <c r="AV106" s="126"/>
      <c r="AW106" s="7585"/>
      <c r="AX106" s="535">
        <f>+AT106+AV106</f>
        <v>0</v>
      </c>
      <c r="AY106" s="7607"/>
      <c r="AZ106" s="126"/>
      <c r="BA106" s="7314"/>
      <c r="BB106" s="534">
        <f>+AR106+AV106+AZ106</f>
        <v>0</v>
      </c>
      <c r="BC106" s="7589"/>
      <c r="BD106" s="2883">
        <f>+AN106+BB106</f>
        <v>0</v>
      </c>
      <c r="BE106" s="7585"/>
      <c r="BF106" s="6421">
        <f t="shared" si="479"/>
        <v>0</v>
      </c>
      <c r="BG106" s="1222"/>
      <c r="BH106" s="1222"/>
      <c r="BI106" s="4713"/>
      <c r="BJ106" s="4713"/>
      <c r="BK106" s="26"/>
      <c r="BL106" s="26"/>
      <c r="BM106" s="26"/>
      <c r="BN106" s="26"/>
    </row>
    <row r="107" spans="1:66" ht="16.5" thickBot="1" x14ac:dyDescent="0.3">
      <c r="A107" s="148"/>
      <c r="B107" s="1890" t="s">
        <v>11</v>
      </c>
      <c r="C107" s="1402" t="s">
        <v>50</v>
      </c>
      <c r="D107" s="1392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557">
        <f t="shared" ref="I107:N107" si="480">+I103+I104+I105+I106</f>
        <v>117072.6010081087</v>
      </c>
      <c r="J107" s="2557">
        <f t="shared" si="480"/>
        <v>112303.9</v>
      </c>
      <c r="K107" s="455">
        <f>+K103+K104+K105+K106</f>
        <v>56659.128365633456</v>
      </c>
      <c r="L107" s="401">
        <f>+L103+L104+L105+L106</f>
        <v>55225.8</v>
      </c>
      <c r="M107" s="354">
        <f t="shared" si="480"/>
        <v>170802.33906035183</v>
      </c>
      <c r="N107" s="67">
        <f t="shared" si="480"/>
        <v>167529.69999999995</v>
      </c>
      <c r="O107" s="455">
        <f>+O103+O104+O105+O106</f>
        <v>57672.659314473167</v>
      </c>
      <c r="P107" s="401">
        <f>+P103+P104+P105+P106</f>
        <v>57172.600000000006</v>
      </c>
      <c r="Q107" s="2557">
        <f t="shared" ref="Q107:R107" si="481">+Q103+Q104+Q105+Q106</f>
        <v>228474.99837482499</v>
      </c>
      <c r="R107" s="2557">
        <f t="shared" si="481"/>
        <v>224702.3</v>
      </c>
      <c r="S107" s="455">
        <f>+S103+S104+S105+S106</f>
        <v>57672.659314473167</v>
      </c>
      <c r="T107" s="401">
        <f>+T103+T104+T105+T106</f>
        <v>58329.600000000006</v>
      </c>
      <c r="U107" s="2557">
        <f t="shared" ref="U107:V107" si="482">+U103+U104+U105+U106</f>
        <v>286147.65768929815</v>
      </c>
      <c r="V107" s="2557">
        <f t="shared" si="482"/>
        <v>283031.89999999997</v>
      </c>
      <c r="W107" s="455">
        <f>+W103+W104+W105+W106</f>
        <v>55812.250949490161</v>
      </c>
      <c r="X107" s="401">
        <f>+X103+X104+X105+X106</f>
        <v>56448.000000000007</v>
      </c>
      <c r="Y107" s="1191">
        <f t="shared" ref="Y107:AF107" si="483">+Y103+Y104+Y105+Y106</f>
        <v>171157.56957843649</v>
      </c>
      <c r="Z107" s="1191">
        <f t="shared" si="483"/>
        <v>171950.2</v>
      </c>
      <c r="AA107" s="1192">
        <f t="shared" si="483"/>
        <v>341959.90863878839</v>
      </c>
      <c r="AB107" s="460">
        <f t="shared" si="483"/>
        <v>339479.9</v>
      </c>
      <c r="AC107" s="455">
        <f>+AC103+AC104+AC105+AC106</f>
        <v>57672.659314473167</v>
      </c>
      <c r="AD107" s="401">
        <f>+AD103+AD104+AD105+AD106</f>
        <v>57540</v>
      </c>
      <c r="AE107" s="2557">
        <f t="shared" si="483"/>
        <v>399632.56795326155</v>
      </c>
      <c r="AF107" s="401">
        <f t="shared" si="483"/>
        <v>397019.9</v>
      </c>
      <c r="AG107" s="455">
        <f>+AG103+AG104+AG105+AG106</f>
        <v>55812.254962868094</v>
      </c>
      <c r="AH107" s="401">
        <f>+AH103+AH104+AH105+AH106</f>
        <v>53468.1</v>
      </c>
      <c r="AI107" s="2557">
        <f t="shared" ref="AI107:AN107" si="484">+AI103+AI104+AI105+AI106</f>
        <v>455444.82291612966</v>
      </c>
      <c r="AJ107" s="401">
        <f t="shared" si="484"/>
        <v>450488</v>
      </c>
      <c r="AK107" s="455">
        <f>+AK103+AK104+AK105+AK106</f>
        <v>57672.663461630356</v>
      </c>
      <c r="AL107" s="401">
        <f>+AL103+AL104+AL105+AL106</f>
        <v>57418.2</v>
      </c>
      <c r="AM107" s="1191">
        <f t="shared" si="484"/>
        <v>171157.57773897165</v>
      </c>
      <c r="AN107" s="1191">
        <f t="shared" si="484"/>
        <v>168426.30000000002</v>
      </c>
      <c r="AO107" s="2557">
        <f t="shared" ref="AO107:AT107" si="485">+AO103+AO104+AO105+AO106</f>
        <v>513117.48637775995</v>
      </c>
      <c r="AP107" s="401">
        <f t="shared" si="485"/>
        <v>507906.19999999995</v>
      </c>
      <c r="AQ107" s="455">
        <f>+AQ103+AQ104+AQ105+AQ106</f>
        <v>57672.663461630356</v>
      </c>
      <c r="AR107" s="401">
        <f>+AR103+AR104+AR105+AR106</f>
        <v>57418.200000000004</v>
      </c>
      <c r="AS107" s="2557">
        <f t="shared" si="485"/>
        <v>570790.14983939042</v>
      </c>
      <c r="AT107" s="401">
        <f t="shared" si="485"/>
        <v>565324.4</v>
      </c>
      <c r="AU107" s="455">
        <f>+AU103+AU104+AU105+AU106</f>
        <v>52091.437965343554</v>
      </c>
      <c r="AV107" s="401">
        <f>+AV103+AV104+AV105+AV106</f>
        <v>51691.499999999993</v>
      </c>
      <c r="AW107" s="2557">
        <f t="shared" ref="AW107:AX107" si="486">+AW103+AW104+AW105+AW106</f>
        <v>622881.58780473389</v>
      </c>
      <c r="AX107" s="401">
        <f t="shared" si="486"/>
        <v>617015.89999999991</v>
      </c>
      <c r="AY107" s="455">
        <f>+AY103+AY104+AY105+AY106</f>
        <v>57672.663461630356</v>
      </c>
      <c r="AZ107" s="401">
        <f>+AZ103+AZ104+AZ105+AZ106</f>
        <v>57418.220000000008</v>
      </c>
      <c r="BA107" s="1191">
        <f t="shared" ref="BA107:BB107" si="487">+BA103+BA104+BA105+BA106</f>
        <v>167436.76488860426</v>
      </c>
      <c r="BB107" s="1191">
        <f t="shared" si="487"/>
        <v>166527.92000000001</v>
      </c>
      <c r="BC107" s="1192">
        <f t="shared" ref="BC107:BF107" si="488">+BC103+BC104+BC105+BC106</f>
        <v>338594.34262757591</v>
      </c>
      <c r="BD107" s="460">
        <f t="shared" si="488"/>
        <v>334954.21999999997</v>
      </c>
      <c r="BE107" s="2557">
        <f t="shared" si="488"/>
        <v>680554.25126636424</v>
      </c>
      <c r="BF107" s="401">
        <f t="shared" si="488"/>
        <v>674434.12000000011</v>
      </c>
      <c r="BG107" s="1222"/>
      <c r="BH107" s="1222"/>
      <c r="BI107" s="4713"/>
      <c r="BJ107" s="4713"/>
      <c r="BK107" s="26"/>
      <c r="BL107" s="26"/>
      <c r="BM107" s="26"/>
      <c r="BN107" s="26"/>
    </row>
    <row r="108" spans="1:66" ht="19.5" thickBot="1" x14ac:dyDescent="0.35">
      <c r="B108" s="1889" t="s">
        <v>192</v>
      </c>
      <c r="C108" s="1900"/>
      <c r="D108" s="1193"/>
      <c r="E108" s="1324"/>
      <c r="F108" s="1325"/>
      <c r="G108" s="1324"/>
      <c r="H108" s="1325"/>
      <c r="I108" s="536"/>
      <c r="J108" s="536"/>
      <c r="K108" s="1324"/>
      <c r="L108" s="1325"/>
      <c r="M108" s="1324"/>
      <c r="N108" s="1325"/>
      <c r="O108" s="1324"/>
      <c r="P108" s="1325"/>
      <c r="Q108" s="536"/>
      <c r="R108" s="536"/>
      <c r="S108" s="1324"/>
      <c r="T108" s="1325"/>
      <c r="U108" s="536"/>
      <c r="V108" s="536"/>
      <c r="W108" s="1324"/>
      <c r="X108" s="1325"/>
      <c r="Y108" s="536"/>
      <c r="Z108" s="536"/>
      <c r="AA108" s="2528"/>
      <c r="AB108" s="536"/>
      <c r="AC108" s="1324"/>
      <c r="AD108" s="1325"/>
      <c r="AE108" s="536"/>
      <c r="AF108" s="536"/>
      <c r="AG108" s="1324"/>
      <c r="AH108" s="1325"/>
      <c r="AI108" s="536"/>
      <c r="AJ108" s="536"/>
      <c r="AK108" s="1324"/>
      <c r="AL108" s="1325"/>
      <c r="AM108" s="536"/>
      <c r="AN108" s="536"/>
      <c r="AO108" s="536"/>
      <c r="AP108" s="536"/>
      <c r="AQ108" s="1324"/>
      <c r="AR108" s="1325"/>
      <c r="AS108" s="536"/>
      <c r="AT108" s="536"/>
      <c r="AU108" s="1324"/>
      <c r="AV108" s="1325"/>
      <c r="AW108" s="536"/>
      <c r="AX108" s="536"/>
      <c r="AY108" s="1324"/>
      <c r="AZ108" s="1325"/>
      <c r="BA108" s="536"/>
      <c r="BB108" s="536"/>
      <c r="BC108" s="2528"/>
      <c r="BD108" s="536"/>
      <c r="BE108" s="536"/>
      <c r="BF108" s="536"/>
      <c r="BG108" s="1222"/>
      <c r="BH108" s="1222"/>
      <c r="BI108" s="4713"/>
      <c r="BJ108" s="4713"/>
      <c r="BK108" s="26"/>
      <c r="BL108" s="26"/>
      <c r="BM108" s="26"/>
      <c r="BN108" s="26"/>
    </row>
    <row r="109" spans="1:66" ht="14.25" customHeight="1" x14ac:dyDescent="0.25">
      <c r="B109" s="1794" t="s">
        <v>2262</v>
      </c>
      <c r="C109" s="778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30">
        <f t="shared" ref="I109:J113" si="489">+E109+G109</f>
        <v>103169.03931623932</v>
      </c>
      <c r="J109" s="62">
        <f t="shared" si="489"/>
        <v>91841.527799999996</v>
      </c>
      <c r="K109" s="368">
        <v>56342.24540755646</v>
      </c>
      <c r="L109" s="88">
        <v>55318.25</v>
      </c>
      <c r="M109" s="714">
        <f t="shared" ref="M109:N111" si="490">+E109+G109+K109</f>
        <v>159511.28472379578</v>
      </c>
      <c r="N109" s="73">
        <f t="shared" si="490"/>
        <v>147159.77779999998</v>
      </c>
      <c r="O109" s="368">
        <v>57042.562186110219</v>
      </c>
      <c r="P109" s="88">
        <v>58407.37</v>
      </c>
      <c r="Q109" s="1130">
        <f t="shared" ref="Q109:R111" si="491">+M109+O109</f>
        <v>216553.84690990599</v>
      </c>
      <c r="R109" s="62">
        <f t="shared" si="491"/>
        <v>205567.14779999998</v>
      </c>
      <c r="S109" s="368">
        <v>60035.536127974025</v>
      </c>
      <c r="T109" s="88">
        <v>55746.98</v>
      </c>
      <c r="U109" s="1130">
        <f t="shared" ref="U109:U113" si="492">+Q109+S109</f>
        <v>276589.38303788</v>
      </c>
      <c r="V109" s="62">
        <f t="shared" ref="V109:V113" si="493">+R109+T109</f>
        <v>261314.12779999999</v>
      </c>
      <c r="W109" s="368">
        <v>58098.905930297449</v>
      </c>
      <c r="X109" s="88">
        <v>48480.72</v>
      </c>
      <c r="Y109" s="762">
        <f t="shared" ref="Y109:Z114" si="494">+O109+S109+W109</f>
        <v>175177.00424438168</v>
      </c>
      <c r="Z109" s="84">
        <f t="shared" si="494"/>
        <v>162635.07</v>
      </c>
      <c r="AA109" s="2405">
        <f t="shared" ref="AA109:AB121" si="495">+M109+Y109</f>
        <v>334688.28896817745</v>
      </c>
      <c r="AB109" s="2405">
        <f t="shared" si="495"/>
        <v>309794.84779999999</v>
      </c>
      <c r="AC109" s="368">
        <v>60035.536127974025</v>
      </c>
      <c r="AD109" s="88">
        <v>49390</v>
      </c>
      <c r="AE109" s="1130">
        <f t="shared" ref="AE109:AE114" si="496">+AA109+AC109</f>
        <v>394723.8250961515</v>
      </c>
      <c r="AF109" s="62">
        <f t="shared" ref="AF109:AF114" si="497">+AB109+AD109</f>
        <v>359184.84779999999</v>
      </c>
      <c r="AG109" s="368">
        <v>58098.905930297449</v>
      </c>
      <c r="AH109" s="88">
        <v>44257.37</v>
      </c>
      <c r="AI109" s="1130">
        <f t="shared" ref="AI109:AI114" si="498">+AE109+AG109</f>
        <v>452822.73102644895</v>
      </c>
      <c r="AJ109" s="62">
        <f t="shared" ref="AJ109:AJ114" si="499">+AF109+AH109</f>
        <v>403442.21779999998</v>
      </c>
      <c r="AK109" s="368">
        <v>60035.536127974025</v>
      </c>
      <c r="AL109" s="88">
        <v>50943.87</v>
      </c>
      <c r="AM109" s="762">
        <f t="shared" ref="AM109:AM114" si="500">+AC109+AG109+AK109</f>
        <v>178169.97818624548</v>
      </c>
      <c r="AN109" s="84">
        <f t="shared" ref="AN109:AN114" si="501">+AD109+AH109+AL109</f>
        <v>144591.24</v>
      </c>
      <c r="AO109" s="761">
        <f t="shared" ref="AO109:AP109" si="502">AI109+AK109</f>
        <v>512858.267154423</v>
      </c>
      <c r="AP109" s="761">
        <f t="shared" si="502"/>
        <v>454386.08779999998</v>
      </c>
      <c r="AQ109" s="368">
        <v>60035.536127974025</v>
      </c>
      <c r="AR109" s="88">
        <v>56953.33</v>
      </c>
      <c r="AS109" s="1130">
        <f t="shared" ref="AS109:AS114" si="503">+AO109+AQ109</f>
        <v>572893.80328239698</v>
      </c>
      <c r="AT109" s="62">
        <f t="shared" ref="AT109:AT114" si="504">+AP109+AR109</f>
        <v>511339.4178</v>
      </c>
      <c r="AU109" s="368">
        <v>54225.645534944277</v>
      </c>
      <c r="AV109" s="88">
        <v>52943.57</v>
      </c>
      <c r="AW109" s="1130">
        <f t="shared" ref="AW109:AW114" si="505">+AS109+AU109</f>
        <v>627119.44881734124</v>
      </c>
      <c r="AX109" s="62">
        <f t="shared" ref="AX109:AX114" si="506">+AT109+AV109</f>
        <v>564282.9878</v>
      </c>
      <c r="AY109" s="368">
        <v>60035.536127974025</v>
      </c>
      <c r="AZ109" s="88">
        <v>53421.34</v>
      </c>
      <c r="BA109" s="762">
        <f t="shared" ref="BA109:BA111" si="507">+AQ109+AU109+AY109</f>
        <v>174296.71779089232</v>
      </c>
      <c r="BB109" s="84">
        <f t="shared" ref="BB109:BB111" si="508">+AR109+AV109+AZ109</f>
        <v>163318.24</v>
      </c>
      <c r="BC109" s="2883">
        <f t="shared" ref="BC109:BC114" si="509">+AM109+BA109</f>
        <v>352466.69597713777</v>
      </c>
      <c r="BD109" s="2883">
        <f t="shared" ref="BD109:BD114" si="510">+AN109+BB109</f>
        <v>307909.48</v>
      </c>
      <c r="BE109" s="6421">
        <f t="shared" ref="BE109:BE114" si="511">AW109+AY109</f>
        <v>687154.98494531529</v>
      </c>
      <c r="BF109" s="6421">
        <f t="shared" ref="BF109:BF114" si="512">AX109+AZ109</f>
        <v>617704.32779999997</v>
      </c>
      <c r="BG109" s="1222"/>
      <c r="BH109" s="1222"/>
      <c r="BI109" s="4713"/>
      <c r="BJ109" s="4713"/>
      <c r="BK109" s="26"/>
      <c r="BL109" s="26"/>
      <c r="BM109" s="26"/>
      <c r="BN109" s="26"/>
    </row>
    <row r="110" spans="1:66" x14ac:dyDescent="0.25">
      <c r="B110" s="1794" t="s">
        <v>10</v>
      </c>
      <c r="C110" s="778" t="s">
        <v>50</v>
      </c>
      <c r="D110" s="448">
        <v>128123.56125356127</v>
      </c>
      <c r="E110" s="155">
        <v>10570.598290598291</v>
      </c>
      <c r="F110" s="18">
        <v>11570.072399999999</v>
      </c>
      <c r="G110" s="7174">
        <v>10922.951566951569</v>
      </c>
      <c r="H110" s="18">
        <v>12572.73</v>
      </c>
      <c r="I110" s="1130">
        <f t="shared" si="489"/>
        <v>21493.54985754986</v>
      </c>
      <c r="J110" s="62">
        <f t="shared" si="489"/>
        <v>24142.8024</v>
      </c>
      <c r="K110" s="4582">
        <v>10244.04461955572</v>
      </c>
      <c r="L110" s="18">
        <v>10057.86</v>
      </c>
      <c r="M110" s="72">
        <f t="shared" si="490"/>
        <v>31737.59447710558</v>
      </c>
      <c r="N110" s="69">
        <f t="shared" si="490"/>
        <v>34200.662400000001</v>
      </c>
      <c r="O110" s="4766">
        <v>10371.374942929129</v>
      </c>
      <c r="P110" s="18">
        <v>9694.6</v>
      </c>
      <c r="Q110" s="1130">
        <f t="shared" si="491"/>
        <v>42108.969420034708</v>
      </c>
      <c r="R110" s="62">
        <f t="shared" si="491"/>
        <v>43895.2624</v>
      </c>
      <c r="S110" s="4877">
        <v>10915.552023268005</v>
      </c>
      <c r="T110" s="18">
        <v>12107.01</v>
      </c>
      <c r="U110" s="1130">
        <f t="shared" si="492"/>
        <v>53024.521443302714</v>
      </c>
      <c r="V110" s="62">
        <f t="shared" si="493"/>
        <v>56002.272400000002</v>
      </c>
      <c r="W110" s="5038">
        <v>10563.437441872264</v>
      </c>
      <c r="X110" s="18">
        <v>10765.92</v>
      </c>
      <c r="Y110" s="762">
        <f t="shared" si="494"/>
        <v>31850.364408069399</v>
      </c>
      <c r="Z110" s="84">
        <f t="shared" si="494"/>
        <v>32567.53</v>
      </c>
      <c r="AA110" s="2405">
        <f t="shared" si="495"/>
        <v>63587.95888517498</v>
      </c>
      <c r="AB110" s="2405">
        <f t="shared" si="495"/>
        <v>66768.1924</v>
      </c>
      <c r="AC110" s="5329">
        <v>10915.552023268005</v>
      </c>
      <c r="AD110" s="18">
        <v>10509</v>
      </c>
      <c r="AE110" s="1130">
        <f t="shared" si="496"/>
        <v>74503.510908442986</v>
      </c>
      <c r="AF110" s="62">
        <f t="shared" si="497"/>
        <v>77277.1924</v>
      </c>
      <c r="AG110" s="5504">
        <v>10563.437441872264</v>
      </c>
      <c r="AH110" s="18">
        <v>9777.0300000000007</v>
      </c>
      <c r="AI110" s="1130">
        <f t="shared" si="498"/>
        <v>85066.948350315244</v>
      </c>
      <c r="AJ110" s="62">
        <f t="shared" si="499"/>
        <v>87054.222399999999</v>
      </c>
      <c r="AK110" s="5926">
        <v>10915.552023268005</v>
      </c>
      <c r="AL110" s="18">
        <v>10584.85</v>
      </c>
      <c r="AM110" s="762">
        <f t="shared" si="500"/>
        <v>32394.541488408271</v>
      </c>
      <c r="AN110" s="84">
        <f t="shared" si="501"/>
        <v>30870.879999999997</v>
      </c>
      <c r="AO110" s="761">
        <f t="shared" ref="AO110:AP116" si="513">AI110+AK110</f>
        <v>95982.500373583243</v>
      </c>
      <c r="AP110" s="761">
        <f t="shared" ref="AP110:AP114" si="514">AJ110+AL110</f>
        <v>97639.072400000005</v>
      </c>
      <c r="AQ110" s="6083">
        <v>10915.552023268005</v>
      </c>
      <c r="AR110" s="18">
        <v>10584.85</v>
      </c>
      <c r="AS110" s="1130">
        <f t="shared" si="503"/>
        <v>106898.05239685124</v>
      </c>
      <c r="AT110" s="62">
        <f t="shared" si="504"/>
        <v>108223.92240000001</v>
      </c>
      <c r="AU110" s="6205">
        <v>9859.2082790807781</v>
      </c>
      <c r="AV110" s="18">
        <v>9551.68</v>
      </c>
      <c r="AW110" s="1130">
        <f t="shared" si="505"/>
        <v>116757.26067593202</v>
      </c>
      <c r="AX110" s="62">
        <f t="shared" si="506"/>
        <v>117775.6024</v>
      </c>
      <c r="AY110" s="6414">
        <v>10915.552023268005</v>
      </c>
      <c r="AZ110" s="18">
        <v>10602.19</v>
      </c>
      <c r="BA110" s="762">
        <f t="shared" si="507"/>
        <v>31690.312325616789</v>
      </c>
      <c r="BB110" s="84">
        <f t="shared" si="508"/>
        <v>30738.720000000001</v>
      </c>
      <c r="BC110" s="2883">
        <f t="shared" si="509"/>
        <v>64084.85381402506</v>
      </c>
      <c r="BD110" s="2883">
        <f t="shared" si="510"/>
        <v>61609.599999999999</v>
      </c>
      <c r="BE110" s="6421">
        <f t="shared" si="511"/>
        <v>127672.81269920002</v>
      </c>
      <c r="BF110" s="6421">
        <f t="shared" si="512"/>
        <v>128377.79240000001</v>
      </c>
      <c r="BG110" s="1222"/>
      <c r="BH110" s="1222"/>
      <c r="BI110" s="4713"/>
      <c r="BJ110" s="4713"/>
      <c r="BK110" s="26"/>
      <c r="BL110" s="26"/>
      <c r="BM110" s="26"/>
      <c r="BN110" s="26"/>
    </row>
    <row r="111" spans="1:66" x14ac:dyDescent="0.25">
      <c r="B111" s="1794" t="s">
        <v>2264</v>
      </c>
      <c r="C111" s="778" t="s">
        <v>50</v>
      </c>
      <c r="D111" s="448">
        <v>32030.890313390319</v>
      </c>
      <c r="E111" s="155">
        <v>2642.6495726495727</v>
      </c>
      <c r="F111" s="18"/>
      <c r="G111" s="7174">
        <v>2730.7378917378924</v>
      </c>
      <c r="H111" s="18"/>
      <c r="I111" s="1130">
        <f t="shared" si="489"/>
        <v>5373.3874643874651</v>
      </c>
      <c r="J111" s="62">
        <f t="shared" si="489"/>
        <v>0</v>
      </c>
      <c r="K111" s="4582"/>
      <c r="L111" s="18"/>
      <c r="M111" s="72">
        <f t="shared" si="490"/>
        <v>5373.3874643874651</v>
      </c>
      <c r="N111" s="69">
        <f t="shared" si="490"/>
        <v>0</v>
      </c>
      <c r="O111" s="4766"/>
      <c r="P111" s="18"/>
      <c r="Q111" s="1130">
        <f t="shared" si="491"/>
        <v>5373.3874643874651</v>
      </c>
      <c r="R111" s="62">
        <f t="shared" si="491"/>
        <v>0</v>
      </c>
      <c r="S111" s="4877"/>
      <c r="T111" s="18"/>
      <c r="U111" s="1130">
        <f t="shared" si="492"/>
        <v>5373.3874643874651</v>
      </c>
      <c r="V111" s="62">
        <f t="shared" si="493"/>
        <v>0</v>
      </c>
      <c r="W111" s="5038"/>
      <c r="X111" s="18">
        <v>4940.0600000000004</v>
      </c>
      <c r="Y111" s="762">
        <f t="shared" si="494"/>
        <v>0</v>
      </c>
      <c r="Z111" s="84">
        <f t="shared" si="494"/>
        <v>4940.0600000000004</v>
      </c>
      <c r="AA111" s="2405">
        <f t="shared" si="495"/>
        <v>5373.3874643874651</v>
      </c>
      <c r="AB111" s="2405">
        <f t="shared" si="495"/>
        <v>4940.0600000000004</v>
      </c>
      <c r="AC111" s="5329"/>
      <c r="AD111" s="18">
        <v>5254</v>
      </c>
      <c r="AE111" s="1130">
        <f t="shared" si="496"/>
        <v>5373.3874643874651</v>
      </c>
      <c r="AF111" s="62">
        <f t="shared" si="497"/>
        <v>10194.060000000001</v>
      </c>
      <c r="AG111" s="5504"/>
      <c r="AH111" s="18">
        <v>4888.5200000000004</v>
      </c>
      <c r="AI111" s="1130">
        <f t="shared" si="498"/>
        <v>5373.3874643874651</v>
      </c>
      <c r="AJ111" s="62">
        <f t="shared" si="499"/>
        <v>15082.580000000002</v>
      </c>
      <c r="AK111" s="5926"/>
      <c r="AL111" s="18">
        <v>2731.57</v>
      </c>
      <c r="AM111" s="762">
        <f t="shared" si="500"/>
        <v>0</v>
      </c>
      <c r="AN111" s="84">
        <f t="shared" si="501"/>
        <v>12874.09</v>
      </c>
      <c r="AO111" s="761">
        <f t="shared" si="513"/>
        <v>5373.3874643874651</v>
      </c>
      <c r="AP111" s="761">
        <f t="shared" si="514"/>
        <v>17814.150000000001</v>
      </c>
      <c r="AQ111" s="6083"/>
      <c r="AR111" s="18"/>
      <c r="AS111" s="1130">
        <f t="shared" si="503"/>
        <v>5373.3874643874651</v>
      </c>
      <c r="AT111" s="62">
        <f t="shared" si="504"/>
        <v>17814.150000000001</v>
      </c>
      <c r="AU111" s="6205"/>
      <c r="AV111" s="18"/>
      <c r="AW111" s="1130">
        <f t="shared" si="505"/>
        <v>5373.3874643874651</v>
      </c>
      <c r="AX111" s="62">
        <f t="shared" si="506"/>
        <v>17814.150000000001</v>
      </c>
      <c r="AY111" s="6414"/>
      <c r="AZ111" s="18"/>
      <c r="BA111" s="762">
        <f t="shared" si="507"/>
        <v>0</v>
      </c>
      <c r="BB111" s="84">
        <f t="shared" si="508"/>
        <v>0</v>
      </c>
      <c r="BC111" s="2883">
        <f t="shared" si="509"/>
        <v>0</v>
      </c>
      <c r="BD111" s="2883">
        <f t="shared" si="510"/>
        <v>12874.09</v>
      </c>
      <c r="BE111" s="6421">
        <f t="shared" si="511"/>
        <v>5373.3874643874651</v>
      </c>
      <c r="BF111" s="6421">
        <f t="shared" si="512"/>
        <v>17814.150000000001</v>
      </c>
      <c r="BG111" s="1222"/>
      <c r="BH111" s="1222"/>
      <c r="BI111" s="4713"/>
      <c r="BJ111" s="4713"/>
      <c r="BK111" s="26"/>
      <c r="BL111" s="26"/>
      <c r="BM111" s="26"/>
      <c r="BN111" s="26"/>
    </row>
    <row r="112" spans="1:66" x14ac:dyDescent="0.25">
      <c r="B112" s="6309" t="s">
        <v>2263</v>
      </c>
      <c r="C112" s="6310" t="s">
        <v>50</v>
      </c>
      <c r="D112" s="6311">
        <v>32030.890313390319</v>
      </c>
      <c r="E112" s="6276">
        <v>2642.6495726495727</v>
      </c>
      <c r="F112" s="5679"/>
      <c r="G112" s="7179">
        <v>2730.7378917378924</v>
      </c>
      <c r="H112" s="5679"/>
      <c r="I112" s="1130">
        <f t="shared" ref="I112" si="515">+E112+G112</f>
        <v>5373.3874643874651</v>
      </c>
      <c r="J112" s="62">
        <f t="shared" ref="J112" si="516">+F112+H112</f>
        <v>0</v>
      </c>
      <c r="K112" s="6276"/>
      <c r="L112" s="5679"/>
      <c r="M112" s="6266"/>
      <c r="N112" s="69"/>
      <c r="O112" s="6276"/>
      <c r="P112" s="5679"/>
      <c r="Q112" s="1130"/>
      <c r="R112" s="62"/>
      <c r="S112" s="6276"/>
      <c r="T112" s="5679"/>
      <c r="U112" s="1130"/>
      <c r="V112" s="62"/>
      <c r="W112" s="6276"/>
      <c r="X112" s="5679"/>
      <c r="Y112" s="762"/>
      <c r="Z112" s="84"/>
      <c r="AA112" s="6308"/>
      <c r="AB112" s="6308"/>
      <c r="AC112" s="6276"/>
      <c r="AD112" s="5679"/>
      <c r="AE112" s="1130"/>
      <c r="AF112" s="62"/>
      <c r="AG112" s="6276"/>
      <c r="AH112" s="5679"/>
      <c r="AI112" s="1130"/>
      <c r="AJ112" s="62"/>
      <c r="AK112" s="6276"/>
      <c r="AL112" s="5679"/>
      <c r="AM112" s="762"/>
      <c r="AN112" s="84"/>
      <c r="AO112" s="761"/>
      <c r="AP112" s="761"/>
      <c r="AQ112" s="6276"/>
      <c r="AR112" s="5679"/>
      <c r="AS112" s="1130">
        <f t="shared" ref="AS112" si="517">+AO112+AQ112</f>
        <v>0</v>
      </c>
      <c r="AT112" s="62">
        <f t="shared" ref="AT112" si="518">+AP112+AR112</f>
        <v>0</v>
      </c>
      <c r="AU112" s="6276"/>
      <c r="AV112" s="5679"/>
      <c r="AW112" s="1130">
        <f t="shared" ref="AW112" si="519">+AS112+AU112</f>
        <v>0</v>
      </c>
      <c r="AX112" s="62">
        <f t="shared" ref="AX112" si="520">+AT112+AV112</f>
        <v>0</v>
      </c>
      <c r="AY112" s="6425"/>
      <c r="AZ112" s="5679">
        <v>5814.1</v>
      </c>
      <c r="BA112" s="762">
        <f t="shared" ref="BA112" si="521">+AQ112+AU112+AY112</f>
        <v>0</v>
      </c>
      <c r="BB112" s="84">
        <f t="shared" ref="BB112" si="522">+AR112+AV112+AZ112</f>
        <v>5814.1</v>
      </c>
      <c r="BC112" s="2883">
        <f t="shared" si="509"/>
        <v>0</v>
      </c>
      <c r="BD112" s="2883">
        <f t="shared" si="510"/>
        <v>5814.1</v>
      </c>
      <c r="BE112" s="6421">
        <f t="shared" si="511"/>
        <v>0</v>
      </c>
      <c r="BF112" s="6421">
        <f t="shared" si="512"/>
        <v>5814.1</v>
      </c>
      <c r="BG112" s="1222"/>
      <c r="BH112" s="1222"/>
      <c r="BI112" s="4713"/>
      <c r="BJ112" s="4713"/>
      <c r="BK112" s="26"/>
      <c r="BL112" s="26"/>
      <c r="BM112" s="26"/>
      <c r="BN112" s="26"/>
    </row>
    <row r="113" spans="1:66" x14ac:dyDescent="0.25">
      <c r="B113" s="1794" t="s">
        <v>1284</v>
      </c>
      <c r="C113" s="778" t="s">
        <v>50</v>
      </c>
      <c r="D113" s="1152"/>
      <c r="E113" s="1314"/>
      <c r="F113" s="126"/>
      <c r="G113" s="7179"/>
      <c r="H113" s="126"/>
      <c r="I113" s="1130">
        <f t="shared" si="489"/>
        <v>0</v>
      </c>
      <c r="J113" s="62">
        <f t="shared" si="489"/>
        <v>0</v>
      </c>
      <c r="K113" s="4586"/>
      <c r="L113" s="126"/>
      <c r="M113" s="72">
        <f t="shared" ref="M113" si="523">+E113+G113+K113</f>
        <v>0</v>
      </c>
      <c r="N113" s="69">
        <f t="shared" ref="N113" si="524">+F113+H113+L113</f>
        <v>0</v>
      </c>
      <c r="O113" s="4781"/>
      <c r="P113" s="126"/>
      <c r="Q113" s="1130">
        <f t="shared" ref="Q113" si="525">+M113+O113</f>
        <v>0</v>
      </c>
      <c r="R113" s="62">
        <f t="shared" ref="R113" si="526">+N113+P113</f>
        <v>0</v>
      </c>
      <c r="S113" s="4894"/>
      <c r="T113" s="126"/>
      <c r="U113" s="1130">
        <f t="shared" si="492"/>
        <v>0</v>
      </c>
      <c r="V113" s="62">
        <f t="shared" si="493"/>
        <v>0</v>
      </c>
      <c r="W113" s="5044"/>
      <c r="X113" s="126"/>
      <c r="Y113" s="762">
        <f t="shared" si="494"/>
        <v>0</v>
      </c>
      <c r="Z113" s="84">
        <f t="shared" si="494"/>
        <v>0</v>
      </c>
      <c r="AA113" s="2405">
        <f t="shared" si="495"/>
        <v>0</v>
      </c>
      <c r="AB113" s="2405">
        <f t="shared" si="495"/>
        <v>0</v>
      </c>
      <c r="AC113" s="5340"/>
      <c r="AD113" s="126"/>
      <c r="AE113" s="1130">
        <f t="shared" si="496"/>
        <v>0</v>
      </c>
      <c r="AF113" s="62">
        <f t="shared" si="497"/>
        <v>0</v>
      </c>
      <c r="AG113" s="5514"/>
      <c r="AH113" s="126"/>
      <c r="AI113" s="1130">
        <f t="shared" si="498"/>
        <v>0</v>
      </c>
      <c r="AJ113" s="62">
        <f t="shared" si="499"/>
        <v>0</v>
      </c>
      <c r="AK113" s="5930"/>
      <c r="AL113" s="126">
        <v>1365.79</v>
      </c>
      <c r="AM113" s="762">
        <f t="shared" si="500"/>
        <v>0</v>
      </c>
      <c r="AN113" s="84">
        <f t="shared" si="501"/>
        <v>1365.79</v>
      </c>
      <c r="AO113" s="761">
        <f t="shared" si="513"/>
        <v>0</v>
      </c>
      <c r="AP113" s="761">
        <f t="shared" si="514"/>
        <v>1365.79</v>
      </c>
      <c r="AQ113" s="6091"/>
      <c r="AR113" s="126"/>
      <c r="AS113" s="1130">
        <f t="shared" si="503"/>
        <v>0</v>
      </c>
      <c r="AT113" s="62">
        <f t="shared" si="504"/>
        <v>1365.79</v>
      </c>
      <c r="AU113" s="6216"/>
      <c r="AV113" s="126"/>
      <c r="AW113" s="1130">
        <f t="shared" si="505"/>
        <v>0</v>
      </c>
      <c r="AX113" s="62">
        <f t="shared" si="506"/>
        <v>1365.79</v>
      </c>
      <c r="AY113" s="6425"/>
      <c r="AZ113" s="126"/>
      <c r="BA113" s="762">
        <f t="shared" ref="BA113:BA114" si="527">+AQ113+AU113+AY113</f>
        <v>0</v>
      </c>
      <c r="BB113" s="84">
        <f t="shared" ref="BB113:BB114" si="528">+AR113+AV113+AZ113</f>
        <v>0</v>
      </c>
      <c r="BC113" s="2883">
        <f t="shared" si="509"/>
        <v>0</v>
      </c>
      <c r="BD113" s="2883">
        <f t="shared" si="510"/>
        <v>1365.79</v>
      </c>
      <c r="BE113" s="6421">
        <f t="shared" si="511"/>
        <v>0</v>
      </c>
      <c r="BF113" s="6421">
        <f t="shared" si="512"/>
        <v>1365.79</v>
      </c>
      <c r="BG113" s="1222"/>
      <c r="BH113" s="1222"/>
      <c r="BI113" s="4713"/>
      <c r="BJ113" s="4713"/>
      <c r="BK113" s="26"/>
      <c r="BL113" s="26"/>
      <c r="BM113" s="26"/>
      <c r="BN113" s="26"/>
    </row>
    <row r="114" spans="1:66" ht="15.75" thickBot="1" x14ac:dyDescent="0.3">
      <c r="B114" s="1794" t="s">
        <v>612</v>
      </c>
      <c r="C114" s="778" t="s">
        <v>50</v>
      </c>
      <c r="D114" s="1340">
        <v>115311.20512820513</v>
      </c>
      <c r="E114" s="721">
        <v>9513.538461538461</v>
      </c>
      <c r="F114" s="38">
        <v>14119.357499999995</v>
      </c>
      <c r="G114" s="721">
        <v>9830.6564102564116</v>
      </c>
      <c r="H114" s="38">
        <v>15715.91</v>
      </c>
      <c r="I114" s="1130">
        <f>+E114+G114</f>
        <v>19344.194871794873</v>
      </c>
      <c r="J114" s="62">
        <f>+F114+H114</f>
        <v>29835.267499999994</v>
      </c>
      <c r="K114" s="721">
        <v>10244.04461955572</v>
      </c>
      <c r="L114" s="38">
        <v>10057.86</v>
      </c>
      <c r="M114" s="1544">
        <f>+E114+G114+K114</f>
        <v>29588.239491350592</v>
      </c>
      <c r="N114" s="74">
        <f>+F114+H114+L114</f>
        <v>39893.127499999995</v>
      </c>
      <c r="O114" s="721">
        <v>10371.374942929129</v>
      </c>
      <c r="P114" s="38">
        <v>10619.52</v>
      </c>
      <c r="Q114" s="1130">
        <f>+M114+O114</f>
        <v>39959.61443427972</v>
      </c>
      <c r="R114" s="62">
        <f>+N114+P114</f>
        <v>50512.647499999992</v>
      </c>
      <c r="S114" s="721">
        <v>10915.552023268005</v>
      </c>
      <c r="T114" s="38">
        <v>10602.19</v>
      </c>
      <c r="U114" s="1130">
        <f>+Q114+S114</f>
        <v>50875.166457547726</v>
      </c>
      <c r="V114" s="62">
        <f>+R114+T114</f>
        <v>61114.837499999994</v>
      </c>
      <c r="W114" s="721">
        <v>10563.437441872264</v>
      </c>
      <c r="X114" s="38">
        <v>10220.81</v>
      </c>
      <c r="Y114" s="762">
        <f t="shared" si="494"/>
        <v>31850.364408069399</v>
      </c>
      <c r="Z114" s="84">
        <f t="shared" si="494"/>
        <v>31442.519999999997</v>
      </c>
      <c r="AA114" s="2405">
        <f t="shared" si="495"/>
        <v>61438.603899419992</v>
      </c>
      <c r="AB114" s="2405">
        <f t="shared" si="495"/>
        <v>71335.647499999992</v>
      </c>
      <c r="AC114" s="721">
        <v>10915.552023268005</v>
      </c>
      <c r="AD114" s="38">
        <v>10509</v>
      </c>
      <c r="AE114" s="1130">
        <f t="shared" si="496"/>
        <v>72354.155922687991</v>
      </c>
      <c r="AF114" s="62">
        <f t="shared" si="497"/>
        <v>81844.647499999992</v>
      </c>
      <c r="AG114" s="721">
        <v>10563.437441872264</v>
      </c>
      <c r="AH114" s="38">
        <v>9777.0300000000007</v>
      </c>
      <c r="AI114" s="1130">
        <f t="shared" si="498"/>
        <v>82917.593364560249</v>
      </c>
      <c r="AJ114" s="62">
        <f t="shared" si="499"/>
        <v>91621.677499999991</v>
      </c>
      <c r="AK114" s="721">
        <v>10915.552023268005</v>
      </c>
      <c r="AL114" s="38">
        <v>10584.85</v>
      </c>
      <c r="AM114" s="762">
        <f t="shared" si="500"/>
        <v>32394.541488408271</v>
      </c>
      <c r="AN114" s="84">
        <f t="shared" si="501"/>
        <v>30870.879999999997</v>
      </c>
      <c r="AO114" s="761">
        <f t="shared" si="513"/>
        <v>93833.145387828248</v>
      </c>
      <c r="AP114" s="761">
        <f t="shared" si="514"/>
        <v>102206.5275</v>
      </c>
      <c r="AQ114" s="721">
        <v>10915.552023268005</v>
      </c>
      <c r="AR114" s="38">
        <v>10584.85</v>
      </c>
      <c r="AS114" s="1130">
        <f t="shared" si="503"/>
        <v>104748.69741109625</v>
      </c>
      <c r="AT114" s="62">
        <f t="shared" si="504"/>
        <v>112791.3775</v>
      </c>
      <c r="AU114" s="721">
        <v>9859.2082790807781</v>
      </c>
      <c r="AV114" s="38">
        <v>9551.68</v>
      </c>
      <c r="AW114" s="1130">
        <f t="shared" si="505"/>
        <v>114607.90569017702</v>
      </c>
      <c r="AX114" s="62">
        <f t="shared" si="506"/>
        <v>122343.0575</v>
      </c>
      <c r="AY114" s="721">
        <v>10915.552023268005</v>
      </c>
      <c r="AZ114" s="38">
        <v>4788.08</v>
      </c>
      <c r="BA114" s="762">
        <f t="shared" si="527"/>
        <v>31690.312325616789</v>
      </c>
      <c r="BB114" s="84">
        <f t="shared" si="528"/>
        <v>24924.61</v>
      </c>
      <c r="BC114" s="2883">
        <f t="shared" si="509"/>
        <v>64084.85381402506</v>
      </c>
      <c r="BD114" s="2883">
        <f t="shared" si="510"/>
        <v>55795.49</v>
      </c>
      <c r="BE114" s="6421">
        <f t="shared" si="511"/>
        <v>125523.45771344502</v>
      </c>
      <c r="BF114" s="6421">
        <f t="shared" si="512"/>
        <v>127131.1375</v>
      </c>
      <c r="BG114" s="1222"/>
      <c r="BH114" s="1222"/>
      <c r="BI114" s="4713"/>
      <c r="BJ114" s="4713"/>
      <c r="BK114" s="26"/>
      <c r="BL114" s="26"/>
      <c r="BM114" s="26"/>
      <c r="BN114" s="26"/>
    </row>
    <row r="115" spans="1:66" ht="16.5" thickBot="1" x14ac:dyDescent="0.3">
      <c r="B115" s="1911" t="s">
        <v>13</v>
      </c>
      <c r="C115" s="1675" t="s">
        <v>50</v>
      </c>
      <c r="D115" s="615">
        <f t="shared" ref="D115:AX115" si="529">SUM(D109:D114)</f>
        <v>922489.641025641</v>
      </c>
      <c r="E115" s="1187">
        <f t="shared" si="529"/>
        <v>76108.307692307688</v>
      </c>
      <c r="F115" s="1187">
        <f t="shared" si="529"/>
        <v>71430.94769999999</v>
      </c>
      <c r="G115" s="1187">
        <f t="shared" ref="G115:H115" si="530">SUM(G109:G114)</f>
        <v>78645.251282051293</v>
      </c>
      <c r="H115" s="1187">
        <f t="shared" si="530"/>
        <v>74388.650000000009</v>
      </c>
      <c r="I115" s="776">
        <f t="shared" si="529"/>
        <v>154753.55897435898</v>
      </c>
      <c r="J115" s="776">
        <f t="shared" si="529"/>
        <v>145819.59769999998</v>
      </c>
      <c r="K115" s="1187">
        <f t="shared" si="529"/>
        <v>76830.334646667892</v>
      </c>
      <c r="L115" s="1187">
        <f t="shared" si="529"/>
        <v>75433.97</v>
      </c>
      <c r="M115" s="1588">
        <f t="shared" si="529"/>
        <v>226210.50615663943</v>
      </c>
      <c r="N115" s="1588">
        <f t="shared" si="529"/>
        <v>221253.56769999999</v>
      </c>
      <c r="O115" s="1187">
        <f t="shared" si="529"/>
        <v>77785.312071968481</v>
      </c>
      <c r="P115" s="1187">
        <f t="shared" si="529"/>
        <v>78721.490000000005</v>
      </c>
      <c r="Q115" s="776">
        <f t="shared" si="529"/>
        <v>303995.81822860788</v>
      </c>
      <c r="R115" s="776">
        <f t="shared" si="529"/>
        <v>299975.0577</v>
      </c>
      <c r="S115" s="1187">
        <f t="shared" si="529"/>
        <v>81866.64017451003</v>
      </c>
      <c r="T115" s="1187">
        <f t="shared" si="529"/>
        <v>78456.180000000008</v>
      </c>
      <c r="U115" s="776">
        <f t="shared" si="529"/>
        <v>385862.4584031179</v>
      </c>
      <c r="V115" s="776">
        <f t="shared" si="529"/>
        <v>378431.23769999994</v>
      </c>
      <c r="W115" s="1187">
        <f t="shared" si="529"/>
        <v>79225.780814041966</v>
      </c>
      <c r="X115" s="1187">
        <f t="shared" si="529"/>
        <v>74407.509999999995</v>
      </c>
      <c r="Y115" s="1586">
        <f t="shared" si="529"/>
        <v>238877.73306052049</v>
      </c>
      <c r="Z115" s="1586">
        <f t="shared" si="529"/>
        <v>231585.18</v>
      </c>
      <c r="AA115" s="2581">
        <f t="shared" si="529"/>
        <v>465088.23921715992</v>
      </c>
      <c r="AB115" s="2579">
        <f t="shared" si="529"/>
        <v>452838.74769999995</v>
      </c>
      <c r="AC115" s="1187">
        <f t="shared" si="529"/>
        <v>81866.64017451003</v>
      </c>
      <c r="AD115" s="1187">
        <f t="shared" si="529"/>
        <v>75662</v>
      </c>
      <c r="AE115" s="776">
        <f t="shared" si="529"/>
        <v>546954.87939166988</v>
      </c>
      <c r="AF115" s="776">
        <f t="shared" si="529"/>
        <v>528500.74769999995</v>
      </c>
      <c r="AG115" s="1187">
        <f t="shared" si="529"/>
        <v>79225.780814041966</v>
      </c>
      <c r="AH115" s="1187">
        <f t="shared" si="529"/>
        <v>68699.95</v>
      </c>
      <c r="AI115" s="776">
        <f t="shared" si="529"/>
        <v>626180.66020571196</v>
      </c>
      <c r="AJ115" s="776">
        <f t="shared" si="529"/>
        <v>597200.6976999999</v>
      </c>
      <c r="AK115" s="1187">
        <f t="shared" si="529"/>
        <v>81866.64017451003</v>
      </c>
      <c r="AL115" s="1187">
        <f t="shared" si="529"/>
        <v>76210.930000000008</v>
      </c>
      <c r="AM115" s="1586">
        <f t="shared" si="529"/>
        <v>242959.06116306206</v>
      </c>
      <c r="AN115" s="1586">
        <f t="shared" si="529"/>
        <v>220572.88</v>
      </c>
      <c r="AO115" s="776">
        <f t="shared" si="529"/>
        <v>708047.30038022192</v>
      </c>
      <c r="AP115" s="776">
        <f t="shared" si="529"/>
        <v>673411.62770000007</v>
      </c>
      <c r="AQ115" s="1187">
        <f t="shared" si="529"/>
        <v>81866.64017451003</v>
      </c>
      <c r="AR115" s="1187">
        <f t="shared" si="529"/>
        <v>78123.030000000013</v>
      </c>
      <c r="AS115" s="776">
        <f t="shared" si="529"/>
        <v>789913.94055473199</v>
      </c>
      <c r="AT115" s="776">
        <f t="shared" si="529"/>
        <v>751534.6577000001</v>
      </c>
      <c r="AU115" s="1187">
        <f t="shared" si="529"/>
        <v>73944.062093105837</v>
      </c>
      <c r="AV115" s="1187">
        <f t="shared" si="529"/>
        <v>72046.929999999993</v>
      </c>
      <c r="AW115" s="776">
        <f t="shared" si="529"/>
        <v>863858.00264783774</v>
      </c>
      <c r="AX115" s="776">
        <f t="shared" si="529"/>
        <v>823581.58770000003</v>
      </c>
      <c r="AY115" s="1187">
        <f t="shared" ref="AY115:BB115" si="531">SUM(AY109:AY114)</f>
        <v>81866.64017451003</v>
      </c>
      <c r="AZ115" s="1187">
        <f t="shared" si="531"/>
        <v>74625.710000000006</v>
      </c>
      <c r="BA115" s="1586">
        <f t="shared" si="531"/>
        <v>237677.3424421259</v>
      </c>
      <c r="BB115" s="1586">
        <f t="shared" si="531"/>
        <v>224795.66999999998</v>
      </c>
      <c r="BC115" s="2581">
        <f>SUM(BC109:BC114)</f>
        <v>480636.40360518789</v>
      </c>
      <c r="BD115" s="2579">
        <f>SUM(BD109:BD114)</f>
        <v>445368.54999999993</v>
      </c>
      <c r="BE115" s="776">
        <f t="shared" ref="BE115:BF115" si="532">SUM(BE109:BE114)</f>
        <v>945724.64282234781</v>
      </c>
      <c r="BF115" s="776">
        <f t="shared" si="532"/>
        <v>898207.2977</v>
      </c>
      <c r="BG115" s="1222"/>
      <c r="BH115" s="1222"/>
      <c r="BI115" s="4713"/>
      <c r="BJ115" s="4713"/>
      <c r="BK115" s="26"/>
      <c r="BL115" s="26"/>
      <c r="BM115" s="26"/>
      <c r="BN115" s="26"/>
    </row>
    <row r="116" spans="1:66" ht="15" customHeight="1" x14ac:dyDescent="0.25">
      <c r="B116" s="1794" t="s">
        <v>1389</v>
      </c>
      <c r="C116" s="778" t="s">
        <v>50</v>
      </c>
      <c r="D116" s="448">
        <v>217810.05413105414</v>
      </c>
      <c r="E116" s="155">
        <v>17970.017094017094</v>
      </c>
      <c r="F116" s="29">
        <v>23929.580699999999</v>
      </c>
      <c r="G116" s="7174">
        <v>18569.017663817664</v>
      </c>
      <c r="H116" s="29">
        <v>24803.96</v>
      </c>
      <c r="I116" s="719">
        <f t="shared" ref="I116:J119" si="533">+E116+G116</f>
        <v>36539.034757834757</v>
      </c>
      <c r="J116" s="62">
        <f t="shared" si="533"/>
        <v>48733.540699999998</v>
      </c>
      <c r="K116" s="4582">
        <v>20488.089239111439</v>
      </c>
      <c r="L116" s="29">
        <v>15086.79</v>
      </c>
      <c r="M116" s="72">
        <f t="shared" ref="M116:N119" si="534">+E116+G116+K116</f>
        <v>57027.123996946197</v>
      </c>
      <c r="N116" s="84">
        <f t="shared" si="534"/>
        <v>63820.330699999999</v>
      </c>
      <c r="O116" s="4766">
        <v>20742.749885858258</v>
      </c>
      <c r="P116" s="29">
        <v>19252.169999999998</v>
      </c>
      <c r="Q116" s="719">
        <f t="shared" ref="Q116:R119" si="535">+M116+O116</f>
        <v>77769.873882804459</v>
      </c>
      <c r="R116" s="62">
        <f t="shared" si="535"/>
        <v>83072.500700000004</v>
      </c>
      <c r="S116" s="4877">
        <v>21831.104046536009</v>
      </c>
      <c r="T116" s="29">
        <v>22264.59</v>
      </c>
      <c r="U116" s="4879">
        <f t="shared" ref="U116:U119" si="536">+Q116+S116</f>
        <v>99600.977929340472</v>
      </c>
      <c r="V116" s="62">
        <f t="shared" ref="V116:V119" si="537">+R116+T116</f>
        <v>105337.0907</v>
      </c>
      <c r="W116" s="5038">
        <v>21126.874883744527</v>
      </c>
      <c r="X116" s="29">
        <v>17375.38</v>
      </c>
      <c r="Y116" s="762">
        <f t="shared" ref="Y116:Z119" si="538">+O116+S116+W116</f>
        <v>63700.728816138799</v>
      </c>
      <c r="Z116" s="84">
        <f t="shared" si="538"/>
        <v>58892.14</v>
      </c>
      <c r="AA116" s="2405">
        <f t="shared" si="495"/>
        <v>120727.85281308499</v>
      </c>
      <c r="AB116" s="454">
        <f t="shared" si="495"/>
        <v>122712.47070000001</v>
      </c>
      <c r="AC116" s="5329">
        <v>21831.104046536009</v>
      </c>
      <c r="AD116" s="29">
        <v>17865</v>
      </c>
      <c r="AE116" s="719">
        <f t="shared" ref="AE116:AE119" si="539">+AA116+AC116</f>
        <v>142558.95685962099</v>
      </c>
      <c r="AF116" s="62">
        <f t="shared" ref="AF116:AF119" si="540">+AB116+AD116</f>
        <v>140577.47070000001</v>
      </c>
      <c r="AG116" s="5504">
        <v>21126.874883744527</v>
      </c>
      <c r="AH116" s="29">
        <v>16620.96</v>
      </c>
      <c r="AI116" s="719">
        <f t="shared" ref="AI116:AI119" si="541">+AE116+AG116</f>
        <v>163685.8317433655</v>
      </c>
      <c r="AJ116" s="62">
        <f t="shared" ref="AJ116:AJ119" si="542">+AF116+AH116</f>
        <v>157198.4307</v>
      </c>
      <c r="AK116" s="5926">
        <v>21831.104046536009</v>
      </c>
      <c r="AL116" s="29">
        <v>17994.25</v>
      </c>
      <c r="AM116" s="762">
        <f t="shared" ref="AM116:AM119" si="543">+AC116+AG116+AK116</f>
        <v>64789.082976816542</v>
      </c>
      <c r="AN116" s="84">
        <f t="shared" ref="AN116:AN119" si="544">+AD116+AH116+AL116</f>
        <v>52480.21</v>
      </c>
      <c r="AO116" s="761">
        <f t="shared" si="513"/>
        <v>185516.9357899015</v>
      </c>
      <c r="AP116" s="761">
        <f t="shared" si="513"/>
        <v>175192.6807</v>
      </c>
      <c r="AQ116" s="6083">
        <v>21831.104046536009</v>
      </c>
      <c r="AR116" s="29">
        <v>17994.25</v>
      </c>
      <c r="AS116" s="719">
        <f t="shared" ref="AS116:AS119" si="545">+AO116+AQ116</f>
        <v>207348.0398364375</v>
      </c>
      <c r="AT116" s="62">
        <f t="shared" ref="AT116:AT119" si="546">+AP116+AR116</f>
        <v>193186.9307</v>
      </c>
      <c r="AU116" s="6205">
        <v>19718.416558161556</v>
      </c>
      <c r="AV116" s="29">
        <v>20604.330000000002</v>
      </c>
      <c r="AW116" s="6209">
        <f t="shared" ref="AW116:AW119" si="547">+AS116+AU116</f>
        <v>227066.45639459905</v>
      </c>
      <c r="AX116" s="62">
        <f t="shared" ref="AX116:AX119" si="548">+AT116+AV116</f>
        <v>213791.26069999998</v>
      </c>
      <c r="AY116" s="6414">
        <v>21831.104046536009</v>
      </c>
      <c r="AZ116" s="29">
        <v>24316.63</v>
      </c>
      <c r="BA116" s="762">
        <f t="shared" ref="BA116:BA119" si="549">+AQ116+AU116+AY116</f>
        <v>63380.624651233578</v>
      </c>
      <c r="BB116" s="84">
        <f t="shared" ref="BB116:BB119" si="550">+AR116+AV116+AZ116</f>
        <v>62915.210000000006</v>
      </c>
      <c r="BC116" s="2883">
        <f t="shared" ref="BC116:BC119" si="551">+AM116+BA116</f>
        <v>128169.70762805012</v>
      </c>
      <c r="BD116" s="2883">
        <f t="shared" ref="BD116:BD119" si="552">+AN116+BB116</f>
        <v>115395.42000000001</v>
      </c>
      <c r="BE116" s="6421">
        <f t="shared" ref="BE116:BE119" si="553">AW116+AY116</f>
        <v>248897.56044113505</v>
      </c>
      <c r="BF116" s="6421">
        <f t="shared" ref="BF116:BF119" si="554">AX116+AZ116</f>
        <v>238107.89069999999</v>
      </c>
      <c r="BG116" s="1222"/>
      <c r="BH116" s="1222"/>
      <c r="BI116" s="4713"/>
      <c r="BJ116" s="4713"/>
      <c r="BK116" s="26"/>
      <c r="BL116" s="26"/>
      <c r="BM116" s="26"/>
      <c r="BN116" s="26"/>
    </row>
    <row r="117" spans="1:66" ht="15.75" customHeight="1" x14ac:dyDescent="0.25">
      <c r="B117" s="1794" t="s">
        <v>627</v>
      </c>
      <c r="C117" s="778" t="s">
        <v>50</v>
      </c>
      <c r="D117" s="448">
        <v>64061.780626780637</v>
      </c>
      <c r="E117" s="155">
        <v>5285.2991452991455</v>
      </c>
      <c r="F117" s="29">
        <v>171.6165</v>
      </c>
      <c r="G117" s="7174">
        <v>5461.4757834757847</v>
      </c>
      <c r="H117" s="29">
        <v>341.5</v>
      </c>
      <c r="I117" s="719">
        <f t="shared" si="533"/>
        <v>10746.77492877493</v>
      </c>
      <c r="J117" s="62">
        <f t="shared" si="533"/>
        <v>513.11649999999997</v>
      </c>
      <c r="K117" s="4582">
        <v>5122.0223097778598</v>
      </c>
      <c r="L117" s="29">
        <v>10057.86</v>
      </c>
      <c r="M117" s="72">
        <f t="shared" si="534"/>
        <v>15868.79723855279</v>
      </c>
      <c r="N117" s="84">
        <f t="shared" si="534"/>
        <v>10570.976500000001</v>
      </c>
      <c r="O117" s="4766">
        <v>5185.6874714645646</v>
      </c>
      <c r="P117" s="29">
        <v>8221.57</v>
      </c>
      <c r="Q117" s="719">
        <f t="shared" si="535"/>
        <v>21054.484710017354</v>
      </c>
      <c r="R117" s="62">
        <f t="shared" si="535"/>
        <v>18792.5465</v>
      </c>
      <c r="S117" s="4877">
        <v>5457.7760116340023</v>
      </c>
      <c r="T117" s="29">
        <v>5301.09</v>
      </c>
      <c r="U117" s="4879">
        <f t="shared" si="536"/>
        <v>26512.260721651357</v>
      </c>
      <c r="V117" s="62">
        <f t="shared" si="537"/>
        <v>24093.636500000001</v>
      </c>
      <c r="W117" s="5038">
        <v>5281.7187209361318</v>
      </c>
      <c r="X117" s="29">
        <v>8176.65</v>
      </c>
      <c r="Y117" s="762">
        <f t="shared" si="538"/>
        <v>15925.1822040347</v>
      </c>
      <c r="Z117" s="84">
        <f t="shared" si="538"/>
        <v>21699.309999999998</v>
      </c>
      <c r="AA117" s="2405">
        <f t="shared" si="495"/>
        <v>31793.97944258749</v>
      </c>
      <c r="AB117" s="454">
        <f t="shared" si="495"/>
        <v>32270.286499999998</v>
      </c>
      <c r="AC117" s="5329">
        <v>5457.7760116340023</v>
      </c>
      <c r="AD117" s="29">
        <v>8407</v>
      </c>
      <c r="AE117" s="719">
        <f t="shared" si="539"/>
        <v>37251.755454221493</v>
      </c>
      <c r="AF117" s="62">
        <f t="shared" si="540"/>
        <v>40677.286500000002</v>
      </c>
      <c r="AG117" s="5504">
        <v>5281.7187209361318</v>
      </c>
      <c r="AH117" s="29">
        <v>7821.63</v>
      </c>
      <c r="AI117" s="719">
        <f t="shared" si="541"/>
        <v>42533.474175157622</v>
      </c>
      <c r="AJ117" s="62">
        <f t="shared" si="542"/>
        <v>48498.916499999999</v>
      </c>
      <c r="AK117" s="5926">
        <v>5457.7760116340023</v>
      </c>
      <c r="AL117" s="29">
        <v>8467.8799999999992</v>
      </c>
      <c r="AM117" s="762">
        <f t="shared" si="543"/>
        <v>16197.270744204136</v>
      </c>
      <c r="AN117" s="84">
        <f t="shared" si="544"/>
        <v>24696.510000000002</v>
      </c>
      <c r="AO117" s="761">
        <f t="shared" ref="AO117:AO119" si="555">AI117+AK117</f>
        <v>47991.250186791622</v>
      </c>
      <c r="AP117" s="761">
        <f t="shared" ref="AP117:AP119" si="556">AJ117+AL117</f>
        <v>56966.796499999997</v>
      </c>
      <c r="AQ117" s="6083">
        <v>5457.7760116340023</v>
      </c>
      <c r="AR117" s="29">
        <v>6555.78</v>
      </c>
      <c r="AS117" s="719">
        <f t="shared" si="545"/>
        <v>53449.026198425621</v>
      </c>
      <c r="AT117" s="62">
        <f t="shared" si="546"/>
        <v>63522.576499999996</v>
      </c>
      <c r="AU117" s="6205">
        <v>4929.604139540389</v>
      </c>
      <c r="AV117" s="29"/>
      <c r="AW117" s="6209">
        <f t="shared" si="547"/>
        <v>58378.630337966009</v>
      </c>
      <c r="AX117" s="62">
        <f t="shared" si="548"/>
        <v>63522.576499999996</v>
      </c>
      <c r="AY117" s="6414">
        <v>5457.7760116340023</v>
      </c>
      <c r="AZ117" s="29">
        <v>2188.84</v>
      </c>
      <c r="BA117" s="762">
        <f t="shared" si="549"/>
        <v>15845.156162808395</v>
      </c>
      <c r="BB117" s="84">
        <f t="shared" si="550"/>
        <v>8744.619999999999</v>
      </c>
      <c r="BC117" s="2883">
        <f t="shared" si="551"/>
        <v>32042.42690701253</v>
      </c>
      <c r="BD117" s="2883">
        <f t="shared" si="552"/>
        <v>33441.130000000005</v>
      </c>
      <c r="BE117" s="6421">
        <f t="shared" si="553"/>
        <v>63836.406349600009</v>
      </c>
      <c r="BF117" s="6421">
        <f t="shared" si="554"/>
        <v>65711.416499999992</v>
      </c>
      <c r="BG117" s="1222"/>
      <c r="BH117" s="1222"/>
      <c r="BI117" s="4713"/>
      <c r="BJ117" s="4713"/>
      <c r="BK117" s="26"/>
      <c r="BL117" s="26"/>
      <c r="BM117" s="26"/>
      <c r="BN117" s="26"/>
    </row>
    <row r="118" spans="1:66" x14ac:dyDescent="0.25">
      <c r="B118" s="1794" t="s">
        <v>1374</v>
      </c>
      <c r="C118" s="778" t="s">
        <v>50</v>
      </c>
      <c r="D118" s="448"/>
      <c r="E118" s="155"/>
      <c r="F118" s="29"/>
      <c r="G118" s="7174"/>
      <c r="H118" s="29"/>
      <c r="I118" s="719">
        <f t="shared" si="533"/>
        <v>0</v>
      </c>
      <c r="J118" s="62">
        <f t="shared" si="533"/>
        <v>0</v>
      </c>
      <c r="K118" s="4582"/>
      <c r="L118" s="29"/>
      <c r="M118" s="72">
        <f t="shared" ref="M118" si="557">+E118+G118+K118</f>
        <v>0</v>
      </c>
      <c r="N118" s="84">
        <f t="shared" ref="N118" si="558">+F118+H118+L118</f>
        <v>0</v>
      </c>
      <c r="O118" s="4766"/>
      <c r="P118" s="29"/>
      <c r="Q118" s="719">
        <f t="shared" ref="Q118" si="559">+M118+O118</f>
        <v>0</v>
      </c>
      <c r="R118" s="62">
        <f t="shared" ref="R118" si="560">+N118+P118</f>
        <v>0</v>
      </c>
      <c r="S118" s="4877"/>
      <c r="T118" s="29"/>
      <c r="U118" s="4879">
        <f t="shared" si="536"/>
        <v>0</v>
      </c>
      <c r="V118" s="62">
        <f t="shared" si="537"/>
        <v>0</v>
      </c>
      <c r="W118" s="5038"/>
      <c r="X118" s="29"/>
      <c r="Y118" s="762">
        <f t="shared" ref="Y118" si="561">+O118+S118+W118</f>
        <v>0</v>
      </c>
      <c r="Z118" s="84">
        <f t="shared" ref="Z118" si="562">+P118+T118+X118</f>
        <v>0</v>
      </c>
      <c r="AA118" s="2405">
        <f t="shared" ref="AA118" si="563">+M118+Y118</f>
        <v>0</v>
      </c>
      <c r="AB118" s="454">
        <f t="shared" si="495"/>
        <v>0</v>
      </c>
      <c r="AC118" s="5329"/>
      <c r="AD118" s="29"/>
      <c r="AE118" s="719">
        <f t="shared" si="539"/>
        <v>0</v>
      </c>
      <c r="AF118" s="62">
        <f t="shared" si="540"/>
        <v>0</v>
      </c>
      <c r="AG118" s="5504"/>
      <c r="AH118" s="29"/>
      <c r="AI118" s="719">
        <f t="shared" si="541"/>
        <v>0</v>
      </c>
      <c r="AJ118" s="62">
        <f t="shared" si="542"/>
        <v>0</v>
      </c>
      <c r="AK118" s="5926"/>
      <c r="AL118" s="29"/>
      <c r="AM118" s="762">
        <f t="shared" si="543"/>
        <v>0</v>
      </c>
      <c r="AN118" s="84">
        <f t="shared" si="544"/>
        <v>0</v>
      </c>
      <c r="AO118" s="761">
        <f t="shared" si="555"/>
        <v>0</v>
      </c>
      <c r="AP118" s="761">
        <f t="shared" si="556"/>
        <v>0</v>
      </c>
      <c r="AQ118" s="6083"/>
      <c r="AR118" s="29"/>
      <c r="AS118" s="719">
        <f t="shared" si="545"/>
        <v>0</v>
      </c>
      <c r="AT118" s="62">
        <f t="shared" si="546"/>
        <v>0</v>
      </c>
      <c r="AU118" s="6205"/>
      <c r="AV118" s="29"/>
      <c r="AW118" s="6209">
        <f t="shared" si="547"/>
        <v>0</v>
      </c>
      <c r="AX118" s="62">
        <f t="shared" si="548"/>
        <v>0</v>
      </c>
      <c r="AY118" s="6414"/>
      <c r="AZ118" s="29"/>
      <c r="BA118" s="762">
        <f t="shared" si="549"/>
        <v>0</v>
      </c>
      <c r="BB118" s="84">
        <f t="shared" si="550"/>
        <v>0</v>
      </c>
      <c r="BC118" s="2883">
        <f t="shared" si="551"/>
        <v>0</v>
      </c>
      <c r="BD118" s="2883">
        <f t="shared" si="552"/>
        <v>0</v>
      </c>
      <c r="BE118" s="6421">
        <f t="shared" si="553"/>
        <v>0</v>
      </c>
      <c r="BF118" s="6421">
        <f t="shared" si="554"/>
        <v>0</v>
      </c>
      <c r="BG118" s="1222"/>
      <c r="BH118" s="1222"/>
      <c r="BI118" s="4713"/>
      <c r="BJ118" s="4713"/>
      <c r="BK118" s="26"/>
      <c r="BL118" s="26"/>
      <c r="BM118" s="26"/>
      <c r="BN118" s="26"/>
    </row>
    <row r="119" spans="1:66" ht="15.75" thickBot="1" x14ac:dyDescent="0.3">
      <c r="B119" s="1794" t="s">
        <v>1388</v>
      </c>
      <c r="C119" s="778" t="s">
        <v>50</v>
      </c>
      <c r="D119" s="448">
        <v>38437.068376068375</v>
      </c>
      <c r="E119" s="155">
        <v>3171.1794871794873</v>
      </c>
      <c r="F119" s="29"/>
      <c r="G119" s="7174">
        <v>3276.8854700854699</v>
      </c>
      <c r="H119" s="29"/>
      <c r="I119" s="719">
        <f t="shared" si="533"/>
        <v>6448.0649572649572</v>
      </c>
      <c r="J119" s="62">
        <f t="shared" si="533"/>
        <v>0</v>
      </c>
      <c r="K119" s="4582"/>
      <c r="L119" s="29"/>
      <c r="M119" s="72">
        <f t="shared" si="534"/>
        <v>6448.0649572649572</v>
      </c>
      <c r="N119" s="84">
        <f t="shared" si="534"/>
        <v>0</v>
      </c>
      <c r="O119" s="4766"/>
      <c r="P119" s="29"/>
      <c r="Q119" s="719">
        <f t="shared" si="535"/>
        <v>6448.0649572649572</v>
      </c>
      <c r="R119" s="62">
        <f t="shared" si="535"/>
        <v>0</v>
      </c>
      <c r="S119" s="4877"/>
      <c r="T119" s="29"/>
      <c r="U119" s="4879">
        <f t="shared" si="536"/>
        <v>6448.0649572649572</v>
      </c>
      <c r="V119" s="62">
        <f t="shared" si="537"/>
        <v>0</v>
      </c>
      <c r="W119" s="5038"/>
      <c r="X119" s="29"/>
      <c r="Y119" s="781">
        <f t="shared" si="538"/>
        <v>0</v>
      </c>
      <c r="Z119" s="84">
        <f t="shared" si="538"/>
        <v>0</v>
      </c>
      <c r="AA119" s="2405">
        <f t="shared" si="495"/>
        <v>6448.0649572649572</v>
      </c>
      <c r="AB119" s="454">
        <f t="shared" si="495"/>
        <v>0</v>
      </c>
      <c r="AC119" s="5329"/>
      <c r="AD119" s="29"/>
      <c r="AE119" s="719">
        <f t="shared" si="539"/>
        <v>6448.0649572649572</v>
      </c>
      <c r="AF119" s="62">
        <f t="shared" si="540"/>
        <v>0</v>
      </c>
      <c r="AG119" s="5504"/>
      <c r="AH119" s="29"/>
      <c r="AI119" s="719">
        <f t="shared" si="541"/>
        <v>6448.0649572649572</v>
      </c>
      <c r="AJ119" s="62">
        <f t="shared" si="542"/>
        <v>0</v>
      </c>
      <c r="AK119" s="5926"/>
      <c r="AL119" s="29"/>
      <c r="AM119" s="781">
        <f t="shared" si="543"/>
        <v>0</v>
      </c>
      <c r="AN119" s="84">
        <f t="shared" si="544"/>
        <v>0</v>
      </c>
      <c r="AO119" s="761">
        <f t="shared" si="555"/>
        <v>6448.0649572649572</v>
      </c>
      <c r="AP119" s="761">
        <f t="shared" si="556"/>
        <v>0</v>
      </c>
      <c r="AQ119" s="6083"/>
      <c r="AR119" s="29"/>
      <c r="AS119" s="719">
        <f t="shared" si="545"/>
        <v>6448.0649572649572</v>
      </c>
      <c r="AT119" s="62">
        <f t="shared" si="546"/>
        <v>0</v>
      </c>
      <c r="AU119" s="6205"/>
      <c r="AV119" s="29"/>
      <c r="AW119" s="6209">
        <f t="shared" si="547"/>
        <v>6448.0649572649572</v>
      </c>
      <c r="AX119" s="62">
        <f t="shared" si="548"/>
        <v>0</v>
      </c>
      <c r="AY119" s="6414"/>
      <c r="AZ119" s="29"/>
      <c r="BA119" s="781">
        <f t="shared" si="549"/>
        <v>0</v>
      </c>
      <c r="BB119" s="84">
        <f t="shared" si="550"/>
        <v>0</v>
      </c>
      <c r="BC119" s="2883">
        <f t="shared" si="551"/>
        <v>0</v>
      </c>
      <c r="BD119" s="2883">
        <f t="shared" si="552"/>
        <v>0</v>
      </c>
      <c r="BE119" s="6421">
        <f t="shared" si="553"/>
        <v>6448.0649572649572</v>
      </c>
      <c r="BF119" s="6421">
        <f t="shared" si="554"/>
        <v>0</v>
      </c>
      <c r="BG119" s="1222"/>
      <c r="BH119" s="1222"/>
      <c r="BI119" s="4713"/>
      <c r="BJ119" s="4713"/>
      <c r="BK119" s="26"/>
      <c r="BL119" s="26"/>
      <c r="BM119" s="26"/>
      <c r="BN119" s="26"/>
    </row>
    <row r="120" spans="1:66" ht="16.5" thickBot="1" x14ac:dyDescent="0.3">
      <c r="B120" s="1911" t="s">
        <v>134</v>
      </c>
      <c r="C120" s="1675" t="s">
        <v>50</v>
      </c>
      <c r="D120" s="139">
        <f>SUM(D116:D119)</f>
        <v>320308.90313390316</v>
      </c>
      <c r="E120" s="776">
        <f>SUM(E116:E119)</f>
        <v>26426.495726495727</v>
      </c>
      <c r="F120" s="776">
        <f>SUM(F116:F119)</f>
        <v>24101.197199999999</v>
      </c>
      <c r="G120" s="776">
        <f>SUM(G116:G119)</f>
        <v>27307.378917378919</v>
      </c>
      <c r="H120" s="776">
        <f>SUM(H116:H119)</f>
        <v>25145.46</v>
      </c>
      <c r="I120" s="776">
        <f t="shared" ref="I120:N120" si="564">SUM(I116:I119)</f>
        <v>53733.874643874646</v>
      </c>
      <c r="J120" s="776">
        <f t="shared" si="564"/>
        <v>49246.657199999994</v>
      </c>
      <c r="K120" s="776">
        <f>SUM(K116:K119)</f>
        <v>25610.111548889297</v>
      </c>
      <c r="L120" s="776">
        <f>SUM(L116:L119)</f>
        <v>25144.65</v>
      </c>
      <c r="M120" s="1586">
        <f t="shared" si="564"/>
        <v>79343.986192763943</v>
      </c>
      <c r="N120" s="1586">
        <f t="shared" si="564"/>
        <v>74391.307199999996</v>
      </c>
      <c r="O120" s="776">
        <f>SUM(O116:O119)</f>
        <v>25928.437357322822</v>
      </c>
      <c r="P120" s="776">
        <f>SUM(P116:P119)</f>
        <v>27473.739999999998</v>
      </c>
      <c r="Q120" s="776">
        <f t="shared" ref="Q120:R120" si="565">SUM(Q116:Q119)</f>
        <v>105272.42355008677</v>
      </c>
      <c r="R120" s="776">
        <f t="shared" si="565"/>
        <v>101865.0472</v>
      </c>
      <c r="S120" s="776">
        <f>SUM(S116:S119)</f>
        <v>27288.880058170012</v>
      </c>
      <c r="T120" s="776">
        <f>SUM(T116:T119)</f>
        <v>27565.68</v>
      </c>
      <c r="U120" s="776">
        <f t="shared" ref="U120:V120" si="566">SUM(U116:U119)</f>
        <v>132561.3036082568</v>
      </c>
      <c r="V120" s="776">
        <f t="shared" si="566"/>
        <v>129430.72719999999</v>
      </c>
      <c r="W120" s="776">
        <f>SUM(W116:W119)</f>
        <v>26408.59360468066</v>
      </c>
      <c r="X120" s="776">
        <f>SUM(X116:X119)</f>
        <v>25552.03</v>
      </c>
      <c r="Y120" s="1586">
        <f t="shared" ref="Y120:Z120" si="567">SUM(Y116:Y119)</f>
        <v>79625.911020173502</v>
      </c>
      <c r="Z120" s="1586">
        <f t="shared" si="567"/>
        <v>80591.45</v>
      </c>
      <c r="AA120" s="2581">
        <f t="shared" si="495"/>
        <v>158969.89721293745</v>
      </c>
      <c r="AB120" s="2581">
        <f t="shared" si="495"/>
        <v>154982.75719999999</v>
      </c>
      <c r="AC120" s="776">
        <f>SUM(AC116:AC119)</f>
        <v>27288.880058170012</v>
      </c>
      <c r="AD120" s="776">
        <f>SUM(AD116:AD119)</f>
        <v>26272</v>
      </c>
      <c r="AE120" s="776">
        <f t="shared" ref="AE120:AF120" si="568">SUM(AE116:AE119)</f>
        <v>186258.77727110745</v>
      </c>
      <c r="AF120" s="776">
        <f t="shared" si="568"/>
        <v>181254.75719999999</v>
      </c>
      <c r="AG120" s="776">
        <f>SUM(AG116:AG119)</f>
        <v>26408.59360468066</v>
      </c>
      <c r="AH120" s="776">
        <f>SUM(AH116:AH119)</f>
        <v>24442.59</v>
      </c>
      <c r="AI120" s="776">
        <f t="shared" ref="AI120:AN120" si="569">SUM(AI116:AI119)</f>
        <v>212667.37087578807</v>
      </c>
      <c r="AJ120" s="776">
        <f t="shared" si="569"/>
        <v>205697.34719999999</v>
      </c>
      <c r="AK120" s="776">
        <f>SUM(AK116:AK119)</f>
        <v>27288.880058170012</v>
      </c>
      <c r="AL120" s="776">
        <f>SUM(AL116:AL119)</f>
        <v>26462.129999999997</v>
      </c>
      <c r="AM120" s="1586">
        <f t="shared" si="569"/>
        <v>80986.353721020685</v>
      </c>
      <c r="AN120" s="1586">
        <f t="shared" si="569"/>
        <v>77176.72</v>
      </c>
      <c r="AO120" s="776">
        <f t="shared" ref="AO120:AT120" si="570">SUM(AO116:AO119)</f>
        <v>239956.25093395807</v>
      </c>
      <c r="AP120" s="776">
        <f t="shared" si="570"/>
        <v>232159.47719999999</v>
      </c>
      <c r="AQ120" s="776">
        <f>SUM(AQ116:AQ119)</f>
        <v>27288.880058170012</v>
      </c>
      <c r="AR120" s="776">
        <f>SUM(AR116:AR119)</f>
        <v>24550.03</v>
      </c>
      <c r="AS120" s="776">
        <f t="shared" si="570"/>
        <v>267245.13099212811</v>
      </c>
      <c r="AT120" s="776">
        <f t="shared" si="570"/>
        <v>256709.50719999999</v>
      </c>
      <c r="AU120" s="776">
        <f>SUM(AU116:AU119)</f>
        <v>24648.020697701944</v>
      </c>
      <c r="AV120" s="776">
        <f>SUM(AV116:AV119)</f>
        <v>20604.330000000002</v>
      </c>
      <c r="AW120" s="776">
        <f t="shared" ref="AW120:AX120" si="571">SUM(AW116:AW119)</f>
        <v>291893.15168983006</v>
      </c>
      <c r="AX120" s="776">
        <f t="shared" si="571"/>
        <v>277313.83719999995</v>
      </c>
      <c r="AY120" s="776">
        <f>SUM(AY116:AY119)</f>
        <v>27288.880058170012</v>
      </c>
      <c r="AZ120" s="776">
        <f>SUM(AZ116:AZ119)</f>
        <v>26505.47</v>
      </c>
      <c r="BA120" s="1586">
        <f t="shared" ref="BA120:BB120" si="572">SUM(BA116:BA119)</f>
        <v>79225.780814041966</v>
      </c>
      <c r="BB120" s="1586">
        <f t="shared" si="572"/>
        <v>71659.83</v>
      </c>
      <c r="BC120" s="2883">
        <f>+AM120+BA120</f>
        <v>160212.13453506265</v>
      </c>
      <c r="BD120" s="2883">
        <f>+AN120+BB120</f>
        <v>148836.54999999999</v>
      </c>
      <c r="BE120" s="776">
        <f t="shared" ref="BE120:BF120" si="573">SUM(BE116:BE119)</f>
        <v>319182.03174800007</v>
      </c>
      <c r="BF120" s="776">
        <f t="shared" si="573"/>
        <v>303819.30719999998</v>
      </c>
      <c r="BG120" s="1222"/>
      <c r="BH120" s="1222"/>
      <c r="BI120" s="4713"/>
      <c r="BJ120" s="4713"/>
      <c r="BK120" s="26"/>
      <c r="BL120" s="26"/>
      <c r="BM120" s="26"/>
      <c r="BN120" s="26"/>
    </row>
    <row r="121" spans="1:66" ht="15" customHeight="1" thickBot="1" x14ac:dyDescent="0.3">
      <c r="B121" s="1911" t="s">
        <v>12</v>
      </c>
      <c r="C121" s="1675" t="s">
        <v>50</v>
      </c>
      <c r="D121" s="215">
        <f>+D115+D120</f>
        <v>1242798.5441595442</v>
      </c>
      <c r="E121" s="1323">
        <f>+E115+E120</f>
        <v>102534.80341880341</v>
      </c>
      <c r="F121" s="92">
        <f>+F115+F120</f>
        <v>95532.144899999985</v>
      </c>
      <c r="G121" s="1323">
        <f>+G115+G120</f>
        <v>105952.63019943022</v>
      </c>
      <c r="H121" s="92">
        <f>+H115+H120</f>
        <v>99534.110000000015</v>
      </c>
      <c r="I121" s="27">
        <f t="shared" ref="I121:N121" si="574">+I115+I120</f>
        <v>208487.43361823363</v>
      </c>
      <c r="J121" s="27">
        <f t="shared" si="574"/>
        <v>195066.25489999997</v>
      </c>
      <c r="K121" s="1323">
        <f>+K115+K120</f>
        <v>102440.44619555719</v>
      </c>
      <c r="L121" s="92">
        <f>+L115+L120</f>
        <v>100578.62</v>
      </c>
      <c r="M121" s="1582">
        <f t="shared" si="574"/>
        <v>305554.49234940339</v>
      </c>
      <c r="N121" s="1497">
        <f t="shared" si="574"/>
        <v>295644.8749</v>
      </c>
      <c r="O121" s="1323">
        <f>+O115+O120</f>
        <v>103713.7494292913</v>
      </c>
      <c r="P121" s="92">
        <f>+P115+P120</f>
        <v>106195.23000000001</v>
      </c>
      <c r="Q121" s="27">
        <f t="shared" ref="Q121:R121" si="575">+Q115+Q120</f>
        <v>409268.24177869468</v>
      </c>
      <c r="R121" s="27">
        <f t="shared" si="575"/>
        <v>401840.10490000003</v>
      </c>
      <c r="S121" s="1323">
        <f>+S115+S120</f>
        <v>109155.52023268005</v>
      </c>
      <c r="T121" s="92">
        <f>+T115+T120</f>
        <v>106021.86000000002</v>
      </c>
      <c r="U121" s="27">
        <f t="shared" ref="U121:V121" si="576">+U115+U120</f>
        <v>518423.7620113747</v>
      </c>
      <c r="V121" s="27">
        <f t="shared" si="576"/>
        <v>507861.9648999999</v>
      </c>
      <c r="W121" s="1323">
        <f>+W115+W120</f>
        <v>105634.37441872263</v>
      </c>
      <c r="X121" s="92">
        <f>+X115+X120</f>
        <v>99959.54</v>
      </c>
      <c r="Y121" s="728">
        <f t="shared" ref="Y121:Z121" si="577">+Y115+Y120</f>
        <v>318503.64408069401</v>
      </c>
      <c r="Z121" s="728">
        <f t="shared" si="577"/>
        <v>312176.63</v>
      </c>
      <c r="AA121" s="2530">
        <f t="shared" si="495"/>
        <v>624058.13643009739</v>
      </c>
      <c r="AB121" s="2530">
        <f t="shared" si="495"/>
        <v>607821.50490000006</v>
      </c>
      <c r="AC121" s="1323">
        <f>+AC115+AC120</f>
        <v>109155.52023268005</v>
      </c>
      <c r="AD121" s="92">
        <f>+AD115+AD120</f>
        <v>101934</v>
      </c>
      <c r="AE121" s="27">
        <f t="shared" ref="AE121:AF121" si="578">+AE115+AE120</f>
        <v>733213.6566627773</v>
      </c>
      <c r="AF121" s="27">
        <f t="shared" si="578"/>
        <v>709755.50489999994</v>
      </c>
      <c r="AG121" s="1323">
        <f>+AG115+AG120</f>
        <v>105634.37441872263</v>
      </c>
      <c r="AH121" s="92">
        <f>+AH115+AH120</f>
        <v>93142.54</v>
      </c>
      <c r="AI121" s="27">
        <f t="shared" ref="AI121:AN121" si="579">+AI115+AI120</f>
        <v>838848.0310815</v>
      </c>
      <c r="AJ121" s="27">
        <f t="shared" si="579"/>
        <v>802898.04489999986</v>
      </c>
      <c r="AK121" s="1323">
        <f>+AK115+AK120</f>
        <v>109155.52023268005</v>
      </c>
      <c r="AL121" s="92">
        <f>+AL115+AL120</f>
        <v>102673.06</v>
      </c>
      <c r="AM121" s="728">
        <f t="shared" si="579"/>
        <v>323945.41488408274</v>
      </c>
      <c r="AN121" s="728">
        <f t="shared" si="579"/>
        <v>297749.59999999998</v>
      </c>
      <c r="AO121" s="27">
        <f t="shared" ref="AO121:AT121" si="580">+AO115+AO120</f>
        <v>948003.55131418002</v>
      </c>
      <c r="AP121" s="27">
        <f t="shared" si="580"/>
        <v>905571.10490000003</v>
      </c>
      <c r="AQ121" s="1323">
        <f>+AQ115+AQ120</f>
        <v>109155.52023268005</v>
      </c>
      <c r="AR121" s="92">
        <f>+AR115+AR120</f>
        <v>102673.06000000001</v>
      </c>
      <c r="AS121" s="27">
        <f t="shared" si="580"/>
        <v>1057159.07154686</v>
      </c>
      <c r="AT121" s="27">
        <f t="shared" si="580"/>
        <v>1008244.1649000001</v>
      </c>
      <c r="AU121" s="1323">
        <f>+AU115+AU120</f>
        <v>98592.082790807777</v>
      </c>
      <c r="AV121" s="92">
        <f>+AV115+AV120</f>
        <v>92651.26</v>
      </c>
      <c r="AW121" s="27">
        <f t="shared" ref="AW121:AX121" si="581">+AW115+AW120</f>
        <v>1155751.1543376679</v>
      </c>
      <c r="AX121" s="27">
        <f t="shared" si="581"/>
        <v>1100895.4249</v>
      </c>
      <c r="AY121" s="1323">
        <f>+AY115+AY120</f>
        <v>109155.52023268005</v>
      </c>
      <c r="AZ121" s="92">
        <f>+AZ115+AZ120</f>
        <v>101131.18000000001</v>
      </c>
      <c r="BA121" s="728">
        <f t="shared" ref="BA121:BB121" si="582">+BA115+BA120</f>
        <v>316903.12325616786</v>
      </c>
      <c r="BB121" s="728">
        <f t="shared" si="582"/>
        <v>296455.5</v>
      </c>
      <c r="BC121" s="2883">
        <f>+AM121+BA121</f>
        <v>640848.5381402506</v>
      </c>
      <c r="BD121" s="2883">
        <f>+AN121+BB121</f>
        <v>594205.1</v>
      </c>
      <c r="BE121" s="27">
        <f t="shared" ref="BE121:BF121" si="583">+BE115+BE120</f>
        <v>1264906.6745703479</v>
      </c>
      <c r="BF121" s="27">
        <f t="shared" si="583"/>
        <v>1202026.6048999999</v>
      </c>
      <c r="BG121" s="1222"/>
      <c r="BH121" s="1222"/>
      <c r="BI121" s="4713"/>
      <c r="BJ121" s="4713"/>
      <c r="BK121" s="26"/>
      <c r="BL121" s="26"/>
      <c r="BM121" s="26"/>
      <c r="BN121" s="26"/>
    </row>
    <row r="122" spans="1:66" ht="15.75" customHeight="1" x14ac:dyDescent="0.25">
      <c r="B122" s="1794" t="s">
        <v>1009</v>
      </c>
      <c r="C122" s="778" t="s">
        <v>50</v>
      </c>
      <c r="D122" s="7616">
        <v>38014.683009298402</v>
      </c>
      <c r="E122" s="7299">
        <v>3136.33136094675</v>
      </c>
      <c r="F122" s="29"/>
      <c r="G122" s="7299">
        <v>3240.8757396449701</v>
      </c>
      <c r="H122" s="29"/>
      <c r="I122" s="7586">
        <f>+E122+G122</f>
        <v>6377.2071005917205</v>
      </c>
      <c r="J122" s="62">
        <f>+F122+H122</f>
        <v>0</v>
      </c>
      <c r="K122" s="7299">
        <v>0</v>
      </c>
      <c r="L122" s="29"/>
      <c r="M122" s="7309">
        <f>+K122+G122+E122</f>
        <v>6377.2071005917205</v>
      </c>
      <c r="N122" s="84">
        <f>+F122+H122+L122</f>
        <v>0</v>
      </c>
      <c r="O122" s="7299">
        <v>0</v>
      </c>
      <c r="P122" s="29"/>
      <c r="Q122" s="7586">
        <f>+M122+O122</f>
        <v>6377.2071005917205</v>
      </c>
      <c r="R122" s="62">
        <f>+N122+P122</f>
        <v>0</v>
      </c>
      <c r="S122" s="7299">
        <v>0</v>
      </c>
      <c r="T122" s="29">
        <v>0</v>
      </c>
      <c r="U122" s="7586">
        <f>+Q122+S122</f>
        <v>6377.2071005917205</v>
      </c>
      <c r="V122" s="62">
        <f>+R122+T122</f>
        <v>0</v>
      </c>
      <c r="W122" s="7299">
        <v>0</v>
      </c>
      <c r="X122" s="29">
        <v>2248.58</v>
      </c>
      <c r="Y122" s="7590">
        <f>+O122+S122+W122</f>
        <v>0</v>
      </c>
      <c r="Z122" s="84">
        <f>+P122+T122+X122</f>
        <v>2248.58</v>
      </c>
      <c r="AA122" s="7592">
        <f>+Y122+M122</f>
        <v>6377.2071005917205</v>
      </c>
      <c r="AB122" s="454">
        <f t="shared" ref="AB122:AB124" si="584">+N122+Z122</f>
        <v>2248.58</v>
      </c>
      <c r="AC122" s="7299">
        <v>0</v>
      </c>
      <c r="AD122" s="29">
        <v>3153</v>
      </c>
      <c r="AE122" s="7586">
        <f>+AA122+AC122</f>
        <v>6377.2071005917205</v>
      </c>
      <c r="AF122" s="62">
        <f>+AB122+AD122</f>
        <v>5401.58</v>
      </c>
      <c r="AG122" s="7299">
        <v>0</v>
      </c>
      <c r="AH122" s="29">
        <v>4627.8</v>
      </c>
      <c r="AI122" s="7586">
        <f>+AE122+AG122</f>
        <v>6377.2071005917205</v>
      </c>
      <c r="AJ122" s="62">
        <f>+AF122+AH122</f>
        <v>10029.380000000001</v>
      </c>
      <c r="AK122" s="7299">
        <v>0</v>
      </c>
      <c r="AL122" s="29">
        <v>0</v>
      </c>
      <c r="AM122" s="7590">
        <f>+AC122+AG122+AK122</f>
        <v>0</v>
      </c>
      <c r="AN122" s="84">
        <f>+AD122+AH122+AL122</f>
        <v>7780.8</v>
      </c>
      <c r="AO122" s="7586">
        <f>AI122+AK122</f>
        <v>6377.2071005917205</v>
      </c>
      <c r="AP122" s="761">
        <f t="shared" ref="AP122:AP124" si="585">AJ122+AL122</f>
        <v>10029.380000000001</v>
      </c>
      <c r="AQ122" s="7299">
        <v>0</v>
      </c>
      <c r="AR122" s="29"/>
      <c r="AS122" s="7586">
        <f>+AO122+AQ122</f>
        <v>6377.2071005917205</v>
      </c>
      <c r="AT122" s="62">
        <f>+AP122+AR122</f>
        <v>10029.380000000001</v>
      </c>
      <c r="AU122" s="7299">
        <v>0</v>
      </c>
      <c r="AV122" s="29"/>
      <c r="AW122" s="7586">
        <f>+AS122+AU122</f>
        <v>6377.2071005917205</v>
      </c>
      <c r="AX122" s="62">
        <f>+AT122+AV122</f>
        <v>10029.380000000001</v>
      </c>
      <c r="AY122" s="7299"/>
      <c r="AZ122" s="29"/>
      <c r="BA122" s="7590">
        <f>+AQ122+AU122+AY122</f>
        <v>0</v>
      </c>
      <c r="BB122" s="84">
        <f>+AR122+AV122+AZ122</f>
        <v>0</v>
      </c>
      <c r="BC122" s="7592">
        <f>+BA122+AM122</f>
        <v>0</v>
      </c>
      <c r="BD122" s="2883">
        <f>+AN122+BB122</f>
        <v>7780.8</v>
      </c>
      <c r="BE122" s="7586">
        <f>+AW122+AY122</f>
        <v>6377.2071005917205</v>
      </c>
      <c r="BF122" s="6488">
        <f t="shared" ref="BF122:BF124" si="586">AX122+AZ122</f>
        <v>10029.380000000001</v>
      </c>
      <c r="BG122" s="1222"/>
      <c r="BH122" s="1222"/>
      <c r="BI122" s="4713"/>
      <c r="BJ122" s="4713"/>
      <c r="BK122" s="26"/>
      <c r="BL122" s="26"/>
      <c r="BM122" s="26"/>
      <c r="BN122" s="26"/>
    </row>
    <row r="123" spans="1:66" x14ac:dyDescent="0.25">
      <c r="B123" s="1906" t="s">
        <v>1189</v>
      </c>
      <c r="C123" s="1397" t="s">
        <v>50</v>
      </c>
      <c r="D123" s="7616"/>
      <c r="E123" s="7299"/>
      <c r="F123" s="29">
        <v>5461.5651000000007</v>
      </c>
      <c r="G123" s="7299"/>
      <c r="H123" s="29">
        <v>5238.6400000000003</v>
      </c>
      <c r="I123" s="7585"/>
      <c r="J123" s="62">
        <f>+F123+H123</f>
        <v>10700.205100000001</v>
      </c>
      <c r="K123" s="7299"/>
      <c r="L123" s="29"/>
      <c r="M123" s="7309"/>
      <c r="N123" s="84">
        <f>+F123+H123+L123</f>
        <v>10700.205100000001</v>
      </c>
      <c r="O123" s="7299"/>
      <c r="P123" s="29"/>
      <c r="Q123" s="7585"/>
      <c r="R123" s="62">
        <f>+N123+P123</f>
        <v>10700.205100000001</v>
      </c>
      <c r="S123" s="7299"/>
      <c r="T123" s="29"/>
      <c r="U123" s="7585"/>
      <c r="V123" s="62">
        <f>+R123+T123</f>
        <v>10700.205100000001</v>
      </c>
      <c r="W123" s="7299"/>
      <c r="X123" s="29"/>
      <c r="Y123" s="7314"/>
      <c r="Z123" s="84">
        <f>+P123+T123+X123</f>
        <v>0</v>
      </c>
      <c r="AA123" s="7589"/>
      <c r="AB123" s="454">
        <f t="shared" si="584"/>
        <v>10700.205100000001</v>
      </c>
      <c r="AC123" s="7299"/>
      <c r="AD123" s="29"/>
      <c r="AE123" s="7585"/>
      <c r="AF123" s="62">
        <f>+AB123+AD123</f>
        <v>10700.205100000001</v>
      </c>
      <c r="AG123" s="7299"/>
      <c r="AH123" s="29"/>
      <c r="AI123" s="7585"/>
      <c r="AJ123" s="62">
        <f>+AF123+AH123</f>
        <v>10700.205100000001</v>
      </c>
      <c r="AK123" s="7299"/>
      <c r="AL123" s="29">
        <v>3175.46</v>
      </c>
      <c r="AM123" s="7314"/>
      <c r="AN123" s="84">
        <f>+AD123+AH123+AL123</f>
        <v>3175.46</v>
      </c>
      <c r="AO123" s="7585"/>
      <c r="AP123" s="761">
        <f t="shared" si="585"/>
        <v>13875.665100000002</v>
      </c>
      <c r="AQ123" s="7299"/>
      <c r="AR123" s="29">
        <v>3175.46</v>
      </c>
      <c r="AS123" s="7585"/>
      <c r="AT123" s="62">
        <f>+AP123+AR123</f>
        <v>17051.125100000001</v>
      </c>
      <c r="AU123" s="7299"/>
      <c r="AV123" s="29">
        <v>2865.5</v>
      </c>
      <c r="AW123" s="7585"/>
      <c r="AX123" s="62">
        <f>+AT123+AV123</f>
        <v>19916.625100000001</v>
      </c>
      <c r="AY123" s="7299"/>
      <c r="AZ123" s="29">
        <v>4890.6899999999996</v>
      </c>
      <c r="BA123" s="7314"/>
      <c r="BB123" s="84">
        <f>+AR123+AV123+AZ123</f>
        <v>10931.65</v>
      </c>
      <c r="BC123" s="7589"/>
      <c r="BD123" s="2883">
        <f>+AN123+BB123</f>
        <v>14107.11</v>
      </c>
      <c r="BE123" s="7585"/>
      <c r="BF123" s="6421">
        <f t="shared" si="586"/>
        <v>24807.3151</v>
      </c>
      <c r="BG123" s="1222"/>
      <c r="BH123" s="1222"/>
      <c r="BI123" s="4713"/>
      <c r="BJ123" s="4713"/>
      <c r="BK123" s="26"/>
      <c r="BL123" s="26"/>
      <c r="BM123" s="26"/>
      <c r="BN123" s="26"/>
    </row>
    <row r="124" spans="1:66" ht="15.75" thickBot="1" x14ac:dyDescent="0.3">
      <c r="A124" s="148"/>
      <c r="B124" s="1906" t="s">
        <v>1137</v>
      </c>
      <c r="C124" s="1397" t="s">
        <v>50</v>
      </c>
      <c r="D124" s="7616"/>
      <c r="E124" s="7299"/>
      <c r="F124" s="29"/>
      <c r="G124" s="7299"/>
      <c r="H124" s="29"/>
      <c r="I124" s="7587"/>
      <c r="J124" s="62">
        <f>+F124+H124</f>
        <v>0</v>
      </c>
      <c r="K124" s="7299"/>
      <c r="L124" s="29"/>
      <c r="M124" s="7309"/>
      <c r="N124" s="84">
        <f>+F124+H124+L124</f>
        <v>0</v>
      </c>
      <c r="O124" s="7299"/>
      <c r="P124" s="29"/>
      <c r="Q124" s="7587"/>
      <c r="R124" s="62">
        <f>+N124+P124</f>
        <v>0</v>
      </c>
      <c r="S124" s="7299"/>
      <c r="T124" s="29"/>
      <c r="U124" s="7587"/>
      <c r="V124" s="62">
        <f>+R124+T124</f>
        <v>0</v>
      </c>
      <c r="W124" s="7299"/>
      <c r="X124" s="29"/>
      <c r="Y124" s="7591"/>
      <c r="Z124" s="84">
        <f>+P124+T124+X124</f>
        <v>0</v>
      </c>
      <c r="AA124" s="7593"/>
      <c r="AB124" s="454">
        <f t="shared" si="584"/>
        <v>0</v>
      </c>
      <c r="AC124" s="7299"/>
      <c r="AD124" s="29"/>
      <c r="AE124" s="7587"/>
      <c r="AF124" s="62">
        <f>+AB124+AD124</f>
        <v>0</v>
      </c>
      <c r="AG124" s="7299"/>
      <c r="AH124" s="29"/>
      <c r="AI124" s="7587"/>
      <c r="AJ124" s="62">
        <f>+AF124+AH124</f>
        <v>0</v>
      </c>
      <c r="AK124" s="7299"/>
      <c r="AL124" s="29"/>
      <c r="AM124" s="7591"/>
      <c r="AN124" s="84">
        <f>+AD124+AH124+AL124</f>
        <v>0</v>
      </c>
      <c r="AO124" s="7587"/>
      <c r="AP124" s="761">
        <f t="shared" si="585"/>
        <v>0</v>
      </c>
      <c r="AQ124" s="7299"/>
      <c r="AR124" s="29"/>
      <c r="AS124" s="7587"/>
      <c r="AT124" s="62">
        <f>+AP124+AR124</f>
        <v>0</v>
      </c>
      <c r="AU124" s="7299"/>
      <c r="AV124" s="29"/>
      <c r="AW124" s="7587"/>
      <c r="AX124" s="62">
        <f>+AT124+AV124</f>
        <v>0</v>
      </c>
      <c r="AY124" s="7299"/>
      <c r="AZ124" s="29"/>
      <c r="BA124" s="7591"/>
      <c r="BB124" s="84">
        <f>+AR124+AV124+AZ124</f>
        <v>0</v>
      </c>
      <c r="BC124" s="7593"/>
      <c r="BD124" s="2883">
        <f>+AN124+BB124</f>
        <v>0</v>
      </c>
      <c r="BE124" s="7587"/>
      <c r="BF124" s="6421">
        <f t="shared" si="586"/>
        <v>0</v>
      </c>
      <c r="BG124" s="1222"/>
      <c r="BH124" s="1222"/>
      <c r="BI124" s="4713"/>
      <c r="BJ124" s="4713"/>
      <c r="BK124" s="26"/>
      <c r="BL124" s="26"/>
      <c r="BM124" s="26"/>
      <c r="BN124" s="26"/>
    </row>
    <row r="125" spans="1:66" ht="16.5" thickBot="1" x14ac:dyDescent="0.3">
      <c r="B125" s="1912" t="s">
        <v>11</v>
      </c>
      <c r="C125" s="1399" t="s">
        <v>50</v>
      </c>
      <c r="D125" s="615">
        <f>SUM(D121:D124)</f>
        <v>1280813.2271688427</v>
      </c>
      <c r="E125" s="1123">
        <f>SUM(E121:E124)</f>
        <v>105671.13477975015</v>
      </c>
      <c r="F125" s="1187">
        <f>SUM(F121:F124)</f>
        <v>100993.70999999999</v>
      </c>
      <c r="G125" s="1123">
        <f>SUM(G121:G124)</f>
        <v>109193.50593907518</v>
      </c>
      <c r="H125" s="1187">
        <f>SUM(H121:H124)</f>
        <v>104772.75000000001</v>
      </c>
      <c r="I125" s="537">
        <f t="shared" ref="I125:N125" si="587">SUM(I121:I124)</f>
        <v>214864.64071882534</v>
      </c>
      <c r="J125" s="537">
        <f t="shared" si="587"/>
        <v>205766.45999999996</v>
      </c>
      <c r="K125" s="1123">
        <f>SUM(K121:K124)</f>
        <v>102440.44619555719</v>
      </c>
      <c r="L125" s="1187">
        <f>SUM(L121:L124)</f>
        <v>100578.62</v>
      </c>
      <c r="M125" s="849">
        <f t="shared" si="587"/>
        <v>311931.69944999513</v>
      </c>
      <c r="N125" s="1588">
        <f t="shared" si="587"/>
        <v>306345.08</v>
      </c>
      <c r="O125" s="1123">
        <f>SUM(O121:O124)</f>
        <v>103713.7494292913</v>
      </c>
      <c r="P125" s="1187">
        <f>SUM(P121:P124)</f>
        <v>106195.23000000001</v>
      </c>
      <c r="Q125" s="537">
        <f t="shared" ref="Q125:R125" si="588">SUM(Q121:Q124)</f>
        <v>415645.44887928641</v>
      </c>
      <c r="R125" s="537">
        <f t="shared" si="588"/>
        <v>412540.31000000006</v>
      </c>
      <c r="S125" s="1123">
        <f>SUM(S121:S124)</f>
        <v>109155.52023268005</v>
      </c>
      <c r="T125" s="1187">
        <f>SUM(T121:T124)</f>
        <v>106021.86000000002</v>
      </c>
      <c r="U125" s="537">
        <f t="shared" ref="U125:V125" si="589">SUM(U121:U124)</f>
        <v>524800.96911196643</v>
      </c>
      <c r="V125" s="537">
        <f t="shared" si="589"/>
        <v>518562.16999999993</v>
      </c>
      <c r="W125" s="1123">
        <f>SUM(W121:W124)</f>
        <v>105634.37441872263</v>
      </c>
      <c r="X125" s="1187">
        <f>SUM(X121:X124)</f>
        <v>102208.12</v>
      </c>
      <c r="Y125" s="354">
        <f t="shared" ref="Y125:AF125" si="590">SUM(Y121:Y124)</f>
        <v>318503.64408069401</v>
      </c>
      <c r="Z125" s="354">
        <f t="shared" si="590"/>
        <v>314425.21000000002</v>
      </c>
      <c r="AA125" s="2529">
        <f t="shared" si="590"/>
        <v>630435.34353068913</v>
      </c>
      <c r="AB125" s="463">
        <f t="shared" si="590"/>
        <v>620770.29</v>
      </c>
      <c r="AC125" s="1123">
        <f>SUM(AC121:AC124)</f>
        <v>109155.52023268005</v>
      </c>
      <c r="AD125" s="1187">
        <f>SUM(AD121:AD124)</f>
        <v>105087</v>
      </c>
      <c r="AE125" s="537">
        <f t="shared" si="590"/>
        <v>739590.86376336904</v>
      </c>
      <c r="AF125" s="537">
        <f t="shared" si="590"/>
        <v>725857.28999999992</v>
      </c>
      <c r="AG125" s="1123">
        <f>SUM(AG121:AG124)</f>
        <v>105634.37441872263</v>
      </c>
      <c r="AH125" s="1187">
        <f>SUM(AH121:AH124)</f>
        <v>97770.34</v>
      </c>
      <c r="AI125" s="537">
        <f t="shared" ref="AI125:AN125" si="591">SUM(AI121:AI124)</f>
        <v>845225.23818209174</v>
      </c>
      <c r="AJ125" s="537">
        <f t="shared" si="591"/>
        <v>823627.62999999989</v>
      </c>
      <c r="AK125" s="1123">
        <f>SUM(AK121:AK124)</f>
        <v>109155.52023268005</v>
      </c>
      <c r="AL125" s="1187">
        <f>SUM(AL121:AL124)</f>
        <v>105848.52</v>
      </c>
      <c r="AM125" s="354">
        <f t="shared" si="591"/>
        <v>323945.41488408274</v>
      </c>
      <c r="AN125" s="354">
        <f t="shared" si="591"/>
        <v>308705.86</v>
      </c>
      <c r="AO125" s="537">
        <f t="shared" ref="AO125:AT125" si="592">SUM(AO121:AO124)</f>
        <v>954380.75841477176</v>
      </c>
      <c r="AP125" s="537">
        <f t="shared" si="592"/>
        <v>929476.15</v>
      </c>
      <c r="AQ125" s="1123">
        <f>SUM(AQ121:AQ124)</f>
        <v>109155.52023268005</v>
      </c>
      <c r="AR125" s="1187">
        <f>SUM(AR121:AR124)</f>
        <v>105848.52000000002</v>
      </c>
      <c r="AS125" s="537">
        <f t="shared" si="592"/>
        <v>1063536.2786474517</v>
      </c>
      <c r="AT125" s="537">
        <f t="shared" si="592"/>
        <v>1035324.67</v>
      </c>
      <c r="AU125" s="1123">
        <f>SUM(AU121:AU124)</f>
        <v>98592.082790807777</v>
      </c>
      <c r="AV125" s="1187">
        <f>SUM(AV121:AV124)</f>
        <v>95516.76</v>
      </c>
      <c r="AW125" s="537">
        <f t="shared" ref="AW125:AX125" si="593">SUM(AW121:AW124)</f>
        <v>1162128.3614382595</v>
      </c>
      <c r="AX125" s="537">
        <f t="shared" si="593"/>
        <v>1130841.43</v>
      </c>
      <c r="AY125" s="1123">
        <f>SUM(AY121:AY124)</f>
        <v>109155.52023268005</v>
      </c>
      <c r="AZ125" s="1187">
        <f>SUM(AZ121:AZ124)</f>
        <v>106021.87000000001</v>
      </c>
      <c r="BA125" s="354">
        <f t="shared" ref="BA125:BB125" si="594">SUM(BA121:BA124)</f>
        <v>316903.12325616786</v>
      </c>
      <c r="BB125" s="354">
        <f t="shared" si="594"/>
        <v>307387.15000000002</v>
      </c>
      <c r="BC125" s="2529">
        <f t="shared" ref="BC125:BD125" si="595">SUM(BC121:BC124)</f>
        <v>640848.5381402506</v>
      </c>
      <c r="BD125" s="463">
        <f t="shared" si="595"/>
        <v>616093.01</v>
      </c>
      <c r="BE125" s="537">
        <f t="shared" ref="BE125:BF125" si="596">SUM(BE121:BE124)</f>
        <v>1271283.8816709395</v>
      </c>
      <c r="BF125" s="537">
        <f t="shared" si="596"/>
        <v>1236863.2999999998</v>
      </c>
      <c r="BG125" s="1222"/>
      <c r="BH125" s="1222"/>
      <c r="BI125" s="4713"/>
      <c r="BJ125" s="4713"/>
      <c r="BK125" s="26"/>
      <c r="BL125" s="26"/>
      <c r="BM125" s="26"/>
      <c r="BN125" s="26"/>
    </row>
    <row r="126" spans="1:66" ht="18.75" x14ac:dyDescent="0.3">
      <c r="B126" s="1913" t="s">
        <v>647</v>
      </c>
      <c r="C126" s="1398"/>
      <c r="D126" s="536"/>
      <c r="E126" s="780"/>
      <c r="F126" s="1321"/>
      <c r="G126" s="780"/>
      <c r="H126" s="1321"/>
      <c r="I126" s="536"/>
      <c r="J126" s="536"/>
      <c r="K126" s="780"/>
      <c r="L126" s="1321"/>
      <c r="M126" s="780"/>
      <c r="N126" s="1321"/>
      <c r="O126" s="780"/>
      <c r="P126" s="1321"/>
      <c r="Q126" s="536"/>
      <c r="R126" s="536"/>
      <c r="S126" s="780"/>
      <c r="T126" s="1321"/>
      <c r="U126" s="536"/>
      <c r="V126" s="536"/>
      <c r="W126" s="780"/>
      <c r="X126" s="1321"/>
      <c r="Y126" s="536"/>
      <c r="Z126" s="536"/>
      <c r="AA126" s="2528"/>
      <c r="AB126" s="536"/>
      <c r="AC126" s="780"/>
      <c r="AD126" s="1321"/>
      <c r="AE126" s="536"/>
      <c r="AF126" s="536"/>
      <c r="AG126" s="780"/>
      <c r="AH126" s="1321"/>
      <c r="AI126" s="536"/>
      <c r="AJ126" s="536"/>
      <c r="AK126" s="780"/>
      <c r="AL126" s="1321"/>
      <c r="AM126" s="536"/>
      <c r="AN126" s="536"/>
      <c r="AO126" s="536"/>
      <c r="AP126" s="536"/>
      <c r="AQ126" s="780"/>
      <c r="AR126" s="1321"/>
      <c r="AS126" s="536"/>
      <c r="AT126" s="536"/>
      <c r="AU126" s="780"/>
      <c r="AV126" s="1321"/>
      <c r="AW126" s="536"/>
      <c r="AX126" s="536"/>
      <c r="AY126" s="780"/>
      <c r="AZ126" s="1321"/>
      <c r="BA126" s="536"/>
      <c r="BB126" s="536"/>
      <c r="BC126" s="2528"/>
      <c r="BD126" s="536"/>
      <c r="BE126" s="536"/>
      <c r="BF126" s="536"/>
      <c r="BG126" s="1222"/>
      <c r="BH126" s="1222"/>
      <c r="BI126" s="4713"/>
      <c r="BJ126" s="4713"/>
      <c r="BK126" s="26"/>
      <c r="BL126" s="26"/>
      <c r="BM126" s="26"/>
      <c r="BN126" s="26"/>
    </row>
    <row r="127" spans="1:66" x14ac:dyDescent="0.25">
      <c r="B127" s="1906" t="s">
        <v>2262</v>
      </c>
      <c r="C127" s="1397" t="s">
        <v>50</v>
      </c>
      <c r="D127" s="1316">
        <f>+D109+D91</f>
        <v>905750.71452991455</v>
      </c>
      <c r="E127" s="1125">
        <f>+E109+E91</f>
        <v>75518.632478632484</v>
      </c>
      <c r="F127" s="1326">
        <f>+F109+F91</f>
        <v>68668.31779999999</v>
      </c>
      <c r="G127" s="7185">
        <f>+G109+G91</f>
        <v>78035.920227920229</v>
      </c>
      <c r="H127" s="1326">
        <f>+H109+H91</f>
        <v>69677.61</v>
      </c>
      <c r="I127" s="719">
        <f>+E127+G127</f>
        <v>153554.55270655273</v>
      </c>
      <c r="J127" s="62">
        <f>+F127+H127</f>
        <v>138345.9278</v>
      </c>
      <c r="K127" s="4589">
        <f>+K109+K91</f>
        <v>85254.42830489653</v>
      </c>
      <c r="L127" s="1326">
        <f>+L109+L91</f>
        <v>84035.65</v>
      </c>
      <c r="M127" s="1126">
        <f t="shared" ref="M127:N132" si="597">+E127+G127+K127</f>
        <v>238808.98101144924</v>
      </c>
      <c r="N127" s="1589">
        <f t="shared" si="597"/>
        <v>222381.5778</v>
      </c>
      <c r="O127" s="4796">
        <f>+O109+O91</f>
        <v>86471.93466019581</v>
      </c>
      <c r="P127" s="1326">
        <f>+P109+P91</f>
        <v>88137.07</v>
      </c>
      <c r="Q127" s="719">
        <f>+M127+O127</f>
        <v>325280.91567164508</v>
      </c>
      <c r="R127" s="62">
        <f>+N127+P127</f>
        <v>310518.64780000004</v>
      </c>
      <c r="S127" s="4905">
        <f>+S109+S91</f>
        <v>89464.908602059615</v>
      </c>
      <c r="T127" s="1326">
        <f>+T109+T91</f>
        <v>83895.680000000008</v>
      </c>
      <c r="U127" s="4879">
        <f>+Q127+S127</f>
        <v>414745.82427370467</v>
      </c>
      <c r="V127" s="62">
        <f>+R127+T127</f>
        <v>394414.32780000003</v>
      </c>
      <c r="W127" s="5055">
        <f>+W109+W91</f>
        <v>86578.943808444805</v>
      </c>
      <c r="X127" s="1326">
        <f>+X109+X91</f>
        <v>73543.62</v>
      </c>
      <c r="Y127" s="762">
        <f t="shared" ref="Y127:Y129" si="598">+O127+S127+W127</f>
        <v>262515.7870707002</v>
      </c>
      <c r="Z127" s="84">
        <f t="shared" ref="Z127:Z129" si="599">+P127+T127+X127</f>
        <v>245576.37</v>
      </c>
      <c r="AA127" s="2606">
        <f t="shared" ref="AA127:AA129" si="600">+M127+Y127</f>
        <v>501324.76808214944</v>
      </c>
      <c r="AB127" s="454">
        <f t="shared" ref="AB127:AB129" si="601">+N127+Z127</f>
        <v>467957.94779999997</v>
      </c>
      <c r="AC127" s="5350">
        <f>+AC109+AC91</f>
        <v>89464.908602059615</v>
      </c>
      <c r="AD127" s="1326">
        <f>+AD109+AD91</f>
        <v>74708</v>
      </c>
      <c r="AE127" s="719">
        <f t="shared" ref="AE127:AE132" si="602">+AA127+AC127</f>
        <v>590789.67668420903</v>
      </c>
      <c r="AF127" s="62">
        <f t="shared" ref="AF127:AF132" si="603">+AB127+AD127</f>
        <v>542665.94779999997</v>
      </c>
      <c r="AG127" s="5526">
        <f>+AG109+AG91</f>
        <v>86578.943808444805</v>
      </c>
      <c r="AH127" s="1326">
        <f>+AH109+AH91</f>
        <v>67783.37</v>
      </c>
      <c r="AI127" s="719">
        <f t="shared" ref="AI127:AI132" si="604">+AE127+AG127</f>
        <v>677368.6204926538</v>
      </c>
      <c r="AJ127" s="62">
        <f t="shared" ref="AJ127:AJ132" si="605">+AF127+AH127</f>
        <v>610449.31779999996</v>
      </c>
      <c r="AK127" s="5939">
        <f>+AK109+AK91</f>
        <v>89464.908602059615</v>
      </c>
      <c r="AL127" s="1326">
        <f>+AL109+AL91</f>
        <v>76207.87</v>
      </c>
      <c r="AM127" s="762">
        <f t="shared" ref="AM127:AM132" si="606">+AC127+AG127+AK127</f>
        <v>265508.76101256406</v>
      </c>
      <c r="AN127" s="84">
        <f t="shared" ref="AN127:AN132" si="607">+AD127+AH127+AL127</f>
        <v>218699.24</v>
      </c>
      <c r="AO127" s="761">
        <f t="shared" ref="AO127" si="608">AI127+AK127</f>
        <v>766833.52909471339</v>
      </c>
      <c r="AP127" s="761">
        <f t="shared" ref="AP127" si="609">AJ127+AL127</f>
        <v>686657.18779999996</v>
      </c>
      <c r="AQ127" s="6105">
        <f>+AQ109+AQ91</f>
        <v>89464.908602059615</v>
      </c>
      <c r="AR127" s="1326">
        <f>+AR109+AR91</f>
        <v>84458.53</v>
      </c>
      <c r="AS127" s="719">
        <f t="shared" ref="AS127:AS132" si="610">+AO127+AQ127</f>
        <v>856298.43769677298</v>
      </c>
      <c r="AT127" s="62">
        <f t="shared" ref="AT127:AT132" si="611">+AP127+AR127</f>
        <v>771115.71779999998</v>
      </c>
      <c r="AU127" s="6225">
        <f>+AU109+AU91</f>
        <v>80807.01422121514</v>
      </c>
      <c r="AV127" s="1326">
        <f>+AV109+AV91</f>
        <v>77349.342499999999</v>
      </c>
      <c r="AW127" s="6209">
        <f t="shared" ref="AW127:AW132" si="612">+AS127+AU127</f>
        <v>937105.45191798813</v>
      </c>
      <c r="AX127" s="62">
        <f t="shared" ref="AX127:AX132" si="613">+AT127+AV127</f>
        <v>848465.06030000001</v>
      </c>
      <c r="AY127" s="6439">
        <f>+AY109+AY91</f>
        <v>89464.908602059615</v>
      </c>
      <c r="AZ127" s="1326">
        <f>+AZ109+AZ91</f>
        <v>78500.127999999997</v>
      </c>
      <c r="BA127" s="762">
        <f t="shared" ref="BA127:BA129" si="614">+AQ127+AU127+AY127</f>
        <v>259736.83142533436</v>
      </c>
      <c r="BB127" s="84">
        <f t="shared" ref="BB127:BB129" si="615">+AR127+AV127+AZ127</f>
        <v>240308.00049999999</v>
      </c>
      <c r="BC127" s="2883">
        <f t="shared" ref="BC127:BC132" si="616">+AM127+BA127</f>
        <v>525245.59243789839</v>
      </c>
      <c r="BD127" s="2883">
        <f t="shared" ref="BD127:BD132" si="617">+AN127+BB127</f>
        <v>459007.24049999996</v>
      </c>
      <c r="BE127" s="6421">
        <f t="shared" ref="BE127:BE132" si="618">AW127+AY127</f>
        <v>1026570.3605200477</v>
      </c>
      <c r="BF127" s="6421">
        <f t="shared" ref="BF127:BF132" si="619">AX127+AZ127</f>
        <v>926965.18830000004</v>
      </c>
      <c r="BG127" s="1222"/>
      <c r="BH127" s="1222"/>
      <c r="BI127" s="4713"/>
      <c r="BJ127" s="4713"/>
      <c r="BK127" s="26"/>
      <c r="BL127" s="26"/>
      <c r="BM127" s="26"/>
      <c r="BN127" s="26"/>
    </row>
    <row r="128" spans="1:66" x14ac:dyDescent="0.25">
      <c r="B128" s="1906" t="s">
        <v>10</v>
      </c>
      <c r="C128" s="1397" t="s">
        <v>50</v>
      </c>
      <c r="D128" s="1316">
        <f t="shared" ref="D128:E132" si="620">+D110+D92</f>
        <v>195741.61253561254</v>
      </c>
      <c r="E128" s="1125">
        <f t="shared" si="620"/>
        <v>16333.333333333334</v>
      </c>
      <c r="F128" s="1327">
        <f>F110+F92</f>
        <v>17595.672399999999</v>
      </c>
      <c r="G128" s="7185">
        <f t="shared" ref="G128" si="621">+G110+G92</f>
        <v>16877.777777777781</v>
      </c>
      <c r="H128" s="1327">
        <f>H110+H92</f>
        <v>19435.73</v>
      </c>
      <c r="I128" s="719">
        <f>+E128+G128</f>
        <v>33211.111111111117</v>
      </c>
      <c r="J128" s="62">
        <f>+F128+H128</f>
        <v>37031.402399999999</v>
      </c>
      <c r="K128" s="4589">
        <f>+K110+K92</f>
        <v>14779.288995609064</v>
      </c>
      <c r="L128" s="1327">
        <f>L110+L92</f>
        <v>13923.66</v>
      </c>
      <c r="M128" s="72">
        <f t="shared" si="597"/>
        <v>47990.400106720183</v>
      </c>
      <c r="N128" s="427">
        <f t="shared" si="597"/>
        <v>50955.062399999995</v>
      </c>
      <c r="O128" s="4796">
        <f>+O110+O92</f>
        <v>14987.747095726871</v>
      </c>
      <c r="P128" s="1327">
        <f>P110+P92</f>
        <v>13696.7</v>
      </c>
      <c r="Q128" s="719">
        <f t="shared" ref="Q128:Q132" si="622">+M128+O128</f>
        <v>62978.147202447057</v>
      </c>
      <c r="R128" s="62">
        <f t="shared" ref="R128:R132" si="623">+N128+P128</f>
        <v>64651.762399999992</v>
      </c>
      <c r="S128" s="4905">
        <f>+S110+S92</f>
        <v>15531.924176065746</v>
      </c>
      <c r="T128" s="1327">
        <f>T110+T92</f>
        <v>17469.61</v>
      </c>
      <c r="U128" s="4879">
        <f t="shared" ref="U128:U132" si="624">+Q128+S128</f>
        <v>78510.071378512803</v>
      </c>
      <c r="V128" s="62">
        <f t="shared" ref="V128:V132" si="625">+R128+T128</f>
        <v>82121.372399999993</v>
      </c>
      <c r="W128" s="5055">
        <f>+W110+W92</f>
        <v>15030.894363934593</v>
      </c>
      <c r="X128" s="1327">
        <f>X110+X92</f>
        <v>17313.919999999998</v>
      </c>
      <c r="Y128" s="762">
        <f t="shared" si="598"/>
        <v>45550.565635727209</v>
      </c>
      <c r="Z128" s="84">
        <f t="shared" si="599"/>
        <v>48480.229999999996</v>
      </c>
      <c r="AA128" s="2606">
        <f t="shared" si="600"/>
        <v>93540.965742447384</v>
      </c>
      <c r="AB128" s="454">
        <f t="shared" si="601"/>
        <v>99435.292399999991</v>
      </c>
      <c r="AC128" s="5350">
        <f>+AC110+AC92</f>
        <v>15531.924176065746</v>
      </c>
      <c r="AD128" s="1327">
        <f>AD110+AD92</f>
        <v>17414</v>
      </c>
      <c r="AE128" s="719">
        <f t="shared" si="602"/>
        <v>109072.88991851313</v>
      </c>
      <c r="AF128" s="62">
        <f t="shared" si="603"/>
        <v>116849.29239999999</v>
      </c>
      <c r="AG128" s="5526">
        <f>+AG110+AG92</f>
        <v>15030.894363934593</v>
      </c>
      <c r="AH128" s="1327">
        <f>AH110+AH92</f>
        <v>16193.23</v>
      </c>
      <c r="AI128" s="719">
        <f t="shared" si="604"/>
        <v>124103.78428244773</v>
      </c>
      <c r="AJ128" s="62">
        <f t="shared" si="605"/>
        <v>133042.52239999999</v>
      </c>
      <c r="AK128" s="5939">
        <f>+AK110+AK92</f>
        <v>15531.924176065746</v>
      </c>
      <c r="AL128" s="1327">
        <f>AL110+AL92</f>
        <v>17475.05</v>
      </c>
      <c r="AM128" s="762">
        <f t="shared" si="606"/>
        <v>46094.742716066088</v>
      </c>
      <c r="AN128" s="84">
        <f t="shared" si="607"/>
        <v>51082.28</v>
      </c>
      <c r="AO128" s="761">
        <f t="shared" ref="AO128:AO132" si="626">AI128+AK128</f>
        <v>139635.70845851349</v>
      </c>
      <c r="AP128" s="761">
        <f t="shared" ref="AO128:AP134" si="627">AJ128+AL128</f>
        <v>150517.57239999998</v>
      </c>
      <c r="AQ128" s="6105">
        <f>+AQ110+AQ92</f>
        <v>15531.924176065746</v>
      </c>
      <c r="AR128" s="1327">
        <f>AR110+AR92</f>
        <v>17067.55</v>
      </c>
      <c r="AS128" s="719">
        <f t="shared" si="610"/>
        <v>155167.63263457923</v>
      </c>
      <c r="AT128" s="62">
        <f t="shared" si="611"/>
        <v>167585.12239999996</v>
      </c>
      <c r="AU128" s="6225">
        <f>+AU110+AU92</f>
        <v>14028.834739672286</v>
      </c>
      <c r="AV128" s="1327">
        <f>AV110+AV92</f>
        <v>12690.092499999999</v>
      </c>
      <c r="AW128" s="6209">
        <f t="shared" si="612"/>
        <v>169196.46737425152</v>
      </c>
      <c r="AX128" s="62">
        <f t="shared" si="613"/>
        <v>180275.21489999996</v>
      </c>
      <c r="AY128" s="6439">
        <f>+AY110+AY92</f>
        <v>15531.924176065746</v>
      </c>
      <c r="AZ128" s="1327">
        <f>AZ110+AZ92</f>
        <v>14195.458000000001</v>
      </c>
      <c r="BA128" s="762">
        <f t="shared" si="614"/>
        <v>45092.683091803774</v>
      </c>
      <c r="BB128" s="84">
        <f t="shared" si="615"/>
        <v>43953.1005</v>
      </c>
      <c r="BC128" s="2883">
        <f t="shared" si="616"/>
        <v>91187.425807869862</v>
      </c>
      <c r="BD128" s="2883">
        <f t="shared" si="617"/>
        <v>95035.380499999999</v>
      </c>
      <c r="BE128" s="6421">
        <f t="shared" si="618"/>
        <v>184728.39155031726</v>
      </c>
      <c r="BF128" s="6421">
        <f t="shared" si="619"/>
        <v>194470.67289999998</v>
      </c>
      <c r="BG128" s="1222"/>
      <c r="BH128" s="1222"/>
      <c r="BI128" s="4713"/>
      <c r="BJ128" s="4713"/>
      <c r="BK128" s="26"/>
      <c r="BL128" s="26"/>
      <c r="BM128" s="26"/>
      <c r="BN128" s="26"/>
    </row>
    <row r="129" spans="1:66" x14ac:dyDescent="0.25">
      <c r="B129" s="1907" t="s">
        <v>2264</v>
      </c>
      <c r="C129" s="1397" t="s">
        <v>50</v>
      </c>
      <c r="D129" s="1316">
        <f t="shared" si="620"/>
        <v>48935.403133903135</v>
      </c>
      <c r="E129" s="1125">
        <f t="shared" si="620"/>
        <v>4083.3333333333335</v>
      </c>
      <c r="F129" s="1327">
        <f>F111+F93</f>
        <v>0</v>
      </c>
      <c r="G129" s="7185">
        <f t="shared" ref="G129" si="628">+G111+G93</f>
        <v>4219.4444444444453</v>
      </c>
      <c r="H129" s="1327">
        <f>H111+H93</f>
        <v>0</v>
      </c>
      <c r="I129" s="719">
        <f t="shared" ref="I129:I131" si="629">+E129+G129</f>
        <v>8302.7777777777792</v>
      </c>
      <c r="J129" s="62">
        <f>+F129+H129</f>
        <v>0</v>
      </c>
      <c r="K129" s="4589">
        <f>+K111+K93</f>
        <v>0</v>
      </c>
      <c r="L129" s="1327">
        <f>L111+L93</f>
        <v>0</v>
      </c>
      <c r="M129" s="72">
        <f t="shared" si="597"/>
        <v>8302.7777777777792</v>
      </c>
      <c r="N129" s="427">
        <f t="shared" si="597"/>
        <v>0</v>
      </c>
      <c r="O129" s="4796">
        <f>+O111+O93</f>
        <v>0</v>
      </c>
      <c r="P129" s="1327">
        <f>P111+P93</f>
        <v>0</v>
      </c>
      <c r="Q129" s="719">
        <f t="shared" si="622"/>
        <v>8302.7777777777792</v>
      </c>
      <c r="R129" s="62">
        <f t="shared" si="623"/>
        <v>0</v>
      </c>
      <c r="S129" s="4905">
        <f>+S111+S93</f>
        <v>0</v>
      </c>
      <c r="T129" s="1327">
        <f>T111+T93</f>
        <v>0</v>
      </c>
      <c r="U129" s="4879">
        <f t="shared" si="624"/>
        <v>8302.7777777777792</v>
      </c>
      <c r="V129" s="62">
        <f t="shared" si="625"/>
        <v>0</v>
      </c>
      <c r="W129" s="5055">
        <f>+W111+W93</f>
        <v>0</v>
      </c>
      <c r="X129" s="1327">
        <f>X111+X93</f>
        <v>4940.0600000000004</v>
      </c>
      <c r="Y129" s="762">
        <f t="shared" si="598"/>
        <v>0</v>
      </c>
      <c r="Z129" s="84">
        <f t="shared" si="599"/>
        <v>4940.0600000000004</v>
      </c>
      <c r="AA129" s="2606">
        <f t="shared" si="600"/>
        <v>8302.7777777777792</v>
      </c>
      <c r="AB129" s="454">
        <f t="shared" si="601"/>
        <v>4940.0600000000004</v>
      </c>
      <c r="AC129" s="5350">
        <f>+AC111+AC93</f>
        <v>0</v>
      </c>
      <c r="AD129" s="1327">
        <f>AD111+AD93</f>
        <v>5254</v>
      </c>
      <c r="AE129" s="719">
        <f t="shared" si="602"/>
        <v>8302.7777777777792</v>
      </c>
      <c r="AF129" s="62">
        <f t="shared" si="603"/>
        <v>10194.060000000001</v>
      </c>
      <c r="AG129" s="5526">
        <f>+AG111+AG93</f>
        <v>0</v>
      </c>
      <c r="AH129" s="1327">
        <f>AH111+AH93</f>
        <v>4888.5200000000004</v>
      </c>
      <c r="AI129" s="719">
        <f t="shared" si="604"/>
        <v>8302.7777777777792</v>
      </c>
      <c r="AJ129" s="62">
        <f t="shared" si="605"/>
        <v>15082.580000000002</v>
      </c>
      <c r="AK129" s="5939">
        <f>+AK111+AK93</f>
        <v>0</v>
      </c>
      <c r="AL129" s="1327">
        <f>AL111+AL93</f>
        <v>2731.57</v>
      </c>
      <c r="AM129" s="762">
        <f t="shared" si="606"/>
        <v>0</v>
      </c>
      <c r="AN129" s="84">
        <f t="shared" si="607"/>
        <v>12874.09</v>
      </c>
      <c r="AO129" s="761">
        <f t="shared" si="626"/>
        <v>8302.7777777777792</v>
      </c>
      <c r="AP129" s="761">
        <f t="shared" si="627"/>
        <v>17814.150000000001</v>
      </c>
      <c r="AQ129" s="6105">
        <f>+AQ111+AQ93</f>
        <v>0</v>
      </c>
      <c r="AR129" s="1327">
        <f>AR111+AR93</f>
        <v>0</v>
      </c>
      <c r="AS129" s="719">
        <f t="shared" si="610"/>
        <v>8302.7777777777792</v>
      </c>
      <c r="AT129" s="62">
        <f t="shared" si="611"/>
        <v>17814.150000000001</v>
      </c>
      <c r="AU129" s="6225">
        <f>+AU111+AU93</f>
        <v>0</v>
      </c>
      <c r="AV129" s="1327">
        <f>AV111+AV93</f>
        <v>0</v>
      </c>
      <c r="AW129" s="6209">
        <f t="shared" si="612"/>
        <v>8302.7777777777792</v>
      </c>
      <c r="AX129" s="62">
        <f t="shared" si="613"/>
        <v>17814.150000000001</v>
      </c>
      <c r="AY129" s="6439">
        <f>+AY111+AY93</f>
        <v>0</v>
      </c>
      <c r="AZ129" s="1327">
        <f>AZ111+AZ93</f>
        <v>0</v>
      </c>
      <c r="BA129" s="762">
        <f t="shared" si="614"/>
        <v>0</v>
      </c>
      <c r="BB129" s="84">
        <f t="shared" si="615"/>
        <v>0</v>
      </c>
      <c r="BC129" s="2883">
        <f t="shared" si="616"/>
        <v>0</v>
      </c>
      <c r="BD129" s="2883">
        <f t="shared" si="617"/>
        <v>12874.09</v>
      </c>
      <c r="BE129" s="6421">
        <f t="shared" si="618"/>
        <v>8302.7777777777792</v>
      </c>
      <c r="BF129" s="6421">
        <f t="shared" si="619"/>
        <v>17814.150000000001</v>
      </c>
      <c r="BG129" s="1222"/>
      <c r="BH129" s="1222"/>
      <c r="BI129" s="4713"/>
      <c r="BJ129" s="4713"/>
      <c r="BK129" s="26"/>
      <c r="BL129" s="26"/>
      <c r="BM129" s="26"/>
      <c r="BN129" s="26"/>
    </row>
    <row r="130" spans="1:66" s="5172" customFormat="1" x14ac:dyDescent="0.25">
      <c r="A130" s="147"/>
      <c r="B130" s="1907" t="s">
        <v>2263</v>
      </c>
      <c r="C130" s="1397" t="s">
        <v>50</v>
      </c>
      <c r="D130" s="1316">
        <f t="shared" si="620"/>
        <v>48935.403133903135</v>
      </c>
      <c r="E130" s="7020">
        <f t="shared" si="620"/>
        <v>4083.3333333333335</v>
      </c>
      <c r="F130" s="1327">
        <f>F112+F94</f>
        <v>0</v>
      </c>
      <c r="G130" s="7185">
        <f t="shared" ref="G130" si="630">+G112+G94</f>
        <v>4219.4444444444453</v>
      </c>
      <c r="H130" s="1327">
        <f>H112+H94</f>
        <v>0</v>
      </c>
      <c r="I130" s="7251">
        <f t="shared" ref="I130" si="631">+E130+G130</f>
        <v>8302.7777777777792</v>
      </c>
      <c r="J130" s="62">
        <f>+F130+H130</f>
        <v>0</v>
      </c>
      <c r="K130" s="6283"/>
      <c r="L130" s="1327"/>
      <c r="M130" s="6266"/>
      <c r="N130" s="427"/>
      <c r="O130" s="6283"/>
      <c r="P130" s="1327"/>
      <c r="Q130" s="6267"/>
      <c r="R130" s="62"/>
      <c r="S130" s="6283"/>
      <c r="T130" s="1327"/>
      <c r="U130" s="6267"/>
      <c r="V130" s="62"/>
      <c r="W130" s="6283"/>
      <c r="X130" s="1327"/>
      <c r="Y130" s="762">
        <f t="shared" ref="Y130:Y132" si="632">+O130+S130+W130</f>
        <v>0</v>
      </c>
      <c r="Z130" s="84">
        <f t="shared" ref="Z130:Z132" si="633">+P130+T130+X130</f>
        <v>0</v>
      </c>
      <c r="AA130" s="6487">
        <f t="shared" ref="AA130:AA132" si="634">+M130+Y130</f>
        <v>0</v>
      </c>
      <c r="AB130" s="454">
        <f t="shared" ref="AB130:AB132" si="635">+N130+Z130</f>
        <v>0</v>
      </c>
      <c r="AC130" s="6283"/>
      <c r="AD130" s="1327"/>
      <c r="AE130" s="6267"/>
      <c r="AF130" s="62"/>
      <c r="AG130" s="6283"/>
      <c r="AH130" s="1327"/>
      <c r="AI130" s="6267"/>
      <c r="AJ130" s="62"/>
      <c r="AK130" s="6283"/>
      <c r="AL130" s="1327"/>
      <c r="AM130" s="762"/>
      <c r="AN130" s="84"/>
      <c r="AO130" s="761"/>
      <c r="AP130" s="761"/>
      <c r="AQ130" s="6283"/>
      <c r="AR130" s="1327"/>
      <c r="AS130" s="6267">
        <f t="shared" ref="AS130" si="636">+AO130+AQ130</f>
        <v>0</v>
      </c>
      <c r="AT130" s="62">
        <f t="shared" ref="AT130" si="637">+AP130+AR130</f>
        <v>0</v>
      </c>
      <c r="AU130" s="6283">
        <f>+AU112+AU94</f>
        <v>0</v>
      </c>
      <c r="AV130" s="1327">
        <f>AV112+AV94</f>
        <v>2215.35</v>
      </c>
      <c r="AW130" s="6267">
        <f t="shared" ref="AW130" si="638">+AS130+AU130</f>
        <v>0</v>
      </c>
      <c r="AX130" s="62">
        <f t="shared" ref="AX130" si="639">+AT130+AV130</f>
        <v>2215.35</v>
      </c>
      <c r="AY130" s="6439">
        <f>+AY112+AY94</f>
        <v>0</v>
      </c>
      <c r="AZ130" s="1327">
        <f>AZ112+AZ94</f>
        <v>9148.0600000000013</v>
      </c>
      <c r="BA130" s="762">
        <f t="shared" ref="BA130:BA131" si="640">+AQ130+AU130+AY130</f>
        <v>0</v>
      </c>
      <c r="BB130" s="84">
        <f t="shared" ref="BB130:BB131" si="641">+AR130+AV130+AZ130</f>
        <v>11363.410000000002</v>
      </c>
      <c r="BC130" s="2883">
        <f t="shared" si="616"/>
        <v>0</v>
      </c>
      <c r="BD130" s="2883">
        <f t="shared" si="617"/>
        <v>11363.410000000002</v>
      </c>
      <c r="BE130" s="6421">
        <f t="shared" si="618"/>
        <v>0</v>
      </c>
      <c r="BF130" s="6421">
        <f t="shared" si="619"/>
        <v>11363.410000000002</v>
      </c>
      <c r="BG130" s="1222"/>
      <c r="BH130" s="1222"/>
      <c r="BI130" s="4713"/>
      <c r="BJ130" s="4713"/>
      <c r="BK130" s="26"/>
      <c r="BL130" s="26"/>
      <c r="BM130" s="26"/>
      <c r="BN130" s="26"/>
    </row>
    <row r="131" spans="1:66" x14ac:dyDescent="0.25">
      <c r="B131" s="1907" t="s">
        <v>1284</v>
      </c>
      <c r="C131" s="1397" t="s">
        <v>50</v>
      </c>
      <c r="D131" s="1316">
        <f t="shared" si="620"/>
        <v>0</v>
      </c>
      <c r="E131" s="1125">
        <f t="shared" si="620"/>
        <v>0</v>
      </c>
      <c r="F131" s="1327">
        <f>F95+F113</f>
        <v>0</v>
      </c>
      <c r="G131" s="7185">
        <f t="shared" ref="G131" si="642">+G113+G95</f>
        <v>0</v>
      </c>
      <c r="H131" s="1327">
        <f>H95+H113</f>
        <v>0</v>
      </c>
      <c r="I131" s="719">
        <f t="shared" si="629"/>
        <v>0</v>
      </c>
      <c r="J131" s="62">
        <f>+F131+H131</f>
        <v>0</v>
      </c>
      <c r="K131" s="4589">
        <f>+K113+K95</f>
        <v>0</v>
      </c>
      <c r="L131" s="1327">
        <f>L95+L113</f>
        <v>0</v>
      </c>
      <c r="M131" s="72">
        <f t="shared" si="597"/>
        <v>0</v>
      </c>
      <c r="N131" s="427">
        <f t="shared" si="597"/>
        <v>0</v>
      </c>
      <c r="O131" s="4796">
        <f>+O113+O95</f>
        <v>0</v>
      </c>
      <c r="P131" s="1327">
        <f>P95+P113</f>
        <v>0</v>
      </c>
      <c r="Q131" s="719">
        <f t="shared" si="622"/>
        <v>0</v>
      </c>
      <c r="R131" s="62">
        <f t="shared" si="623"/>
        <v>0</v>
      </c>
      <c r="S131" s="4905">
        <f>+S113+S95</f>
        <v>0</v>
      </c>
      <c r="T131" s="1327">
        <f>T95+T113</f>
        <v>0</v>
      </c>
      <c r="U131" s="4879">
        <f t="shared" si="624"/>
        <v>0</v>
      </c>
      <c r="V131" s="62">
        <f t="shared" si="625"/>
        <v>0</v>
      </c>
      <c r="W131" s="5055">
        <f>+W113+W95</f>
        <v>0</v>
      </c>
      <c r="X131" s="1327">
        <f>X95+X113</f>
        <v>0</v>
      </c>
      <c r="Y131" s="762">
        <f t="shared" si="632"/>
        <v>0</v>
      </c>
      <c r="Z131" s="84">
        <f t="shared" si="633"/>
        <v>0</v>
      </c>
      <c r="AA131" s="6487">
        <f t="shared" si="634"/>
        <v>0</v>
      </c>
      <c r="AB131" s="454">
        <f t="shared" si="635"/>
        <v>0</v>
      </c>
      <c r="AC131" s="5350">
        <f>+AC113+AC95</f>
        <v>0</v>
      </c>
      <c r="AD131" s="1327">
        <f>AD95+AD113</f>
        <v>0</v>
      </c>
      <c r="AE131" s="719">
        <f t="shared" si="602"/>
        <v>0</v>
      </c>
      <c r="AF131" s="62">
        <f t="shared" si="603"/>
        <v>0</v>
      </c>
      <c r="AG131" s="5526">
        <f>+AG113+AG95</f>
        <v>0</v>
      </c>
      <c r="AH131" s="1327">
        <f>AH95+AH113</f>
        <v>0</v>
      </c>
      <c r="AI131" s="719">
        <f t="shared" si="604"/>
        <v>0</v>
      </c>
      <c r="AJ131" s="62">
        <f t="shared" si="605"/>
        <v>0</v>
      </c>
      <c r="AK131" s="5939">
        <f>+AK113+AK95</f>
        <v>0</v>
      </c>
      <c r="AL131" s="1327">
        <f>AL95+AL113</f>
        <v>1365.79</v>
      </c>
      <c r="AM131" s="762">
        <f t="shared" si="606"/>
        <v>0</v>
      </c>
      <c r="AN131" s="84">
        <f t="shared" si="607"/>
        <v>1365.79</v>
      </c>
      <c r="AO131" s="761">
        <f t="shared" si="626"/>
        <v>0</v>
      </c>
      <c r="AP131" s="761">
        <f t="shared" si="627"/>
        <v>1365.79</v>
      </c>
      <c r="AQ131" s="6105">
        <f>+AQ113+AQ95</f>
        <v>0</v>
      </c>
      <c r="AR131" s="1327">
        <f>AR95+AR113</f>
        <v>0</v>
      </c>
      <c r="AS131" s="719">
        <f t="shared" si="610"/>
        <v>0</v>
      </c>
      <c r="AT131" s="62">
        <f t="shared" si="611"/>
        <v>1365.79</v>
      </c>
      <c r="AU131" s="6225">
        <f>+AU113+AU95</f>
        <v>0</v>
      </c>
      <c r="AV131" s="1327">
        <f>AV95+AV113</f>
        <v>0</v>
      </c>
      <c r="AW131" s="6209">
        <f t="shared" si="612"/>
        <v>0</v>
      </c>
      <c r="AX131" s="62">
        <f t="shared" si="613"/>
        <v>1365.79</v>
      </c>
      <c r="AY131" s="6439">
        <f>+AY113+AY95</f>
        <v>0</v>
      </c>
      <c r="AZ131" s="1327">
        <f>AZ95+AZ113</f>
        <v>0</v>
      </c>
      <c r="BA131" s="762">
        <f t="shared" si="640"/>
        <v>0</v>
      </c>
      <c r="BB131" s="84">
        <f t="shared" si="641"/>
        <v>0</v>
      </c>
      <c r="BC131" s="2883">
        <f t="shared" si="616"/>
        <v>0</v>
      </c>
      <c r="BD131" s="2883">
        <f t="shared" si="617"/>
        <v>1365.79</v>
      </c>
      <c r="BE131" s="6421">
        <f t="shared" si="618"/>
        <v>0</v>
      </c>
      <c r="BF131" s="6421">
        <f t="shared" si="619"/>
        <v>1365.79</v>
      </c>
      <c r="BG131" s="1222"/>
      <c r="BH131" s="1222"/>
      <c r="BI131" s="4713"/>
      <c r="BJ131" s="4713"/>
      <c r="BK131" s="26"/>
      <c r="BL131" s="26"/>
      <c r="BM131" s="26"/>
      <c r="BN131" s="26"/>
    </row>
    <row r="132" spans="1:66" ht="15.75" thickBot="1" x14ac:dyDescent="0.3">
      <c r="B132" s="1907" t="s">
        <v>612</v>
      </c>
      <c r="C132" s="1397" t="s">
        <v>50</v>
      </c>
      <c r="D132" s="1316">
        <f t="shared" si="620"/>
        <v>176167.45128205128</v>
      </c>
      <c r="E132" s="1125">
        <f t="shared" si="620"/>
        <v>14700</v>
      </c>
      <c r="F132" s="1327">
        <f>F96+F114</f>
        <v>20144.957499999997</v>
      </c>
      <c r="G132" s="7185">
        <f t="shared" ref="G132" si="643">+G114+G96</f>
        <v>15190</v>
      </c>
      <c r="H132" s="1327">
        <f>H96+H114</f>
        <v>22578.91</v>
      </c>
      <c r="I132" s="719">
        <f>+E132+G132</f>
        <v>29890</v>
      </c>
      <c r="J132" s="62">
        <f>+F132+H132</f>
        <v>42723.867499999993</v>
      </c>
      <c r="K132" s="4589">
        <f>+K114+K96</f>
        <v>15913.1000896224</v>
      </c>
      <c r="L132" s="1327">
        <f>L96+L114</f>
        <v>15580.460000000001</v>
      </c>
      <c r="M132" s="72">
        <f t="shared" si="597"/>
        <v>45803.1000896224</v>
      </c>
      <c r="N132" s="427">
        <f t="shared" si="597"/>
        <v>58304.327499999992</v>
      </c>
      <c r="O132" s="4796">
        <f>+O114+O96</f>
        <v>16141.840133926304</v>
      </c>
      <c r="P132" s="1327">
        <f>P96+P114</f>
        <v>16336.82</v>
      </c>
      <c r="Q132" s="719">
        <f t="shared" si="622"/>
        <v>61944.940223548707</v>
      </c>
      <c r="R132" s="62">
        <f t="shared" si="623"/>
        <v>74641.147499999992</v>
      </c>
      <c r="S132" s="4905">
        <f>+S114+S96</f>
        <v>16686.017214265179</v>
      </c>
      <c r="T132" s="1327">
        <f>T96+T114</f>
        <v>16435.190000000002</v>
      </c>
      <c r="U132" s="4879">
        <f t="shared" si="624"/>
        <v>78630.957437813893</v>
      </c>
      <c r="V132" s="62">
        <f t="shared" si="625"/>
        <v>91076.337499999994</v>
      </c>
      <c r="W132" s="5055">
        <f>+W114+W96</f>
        <v>16147.758594450177</v>
      </c>
      <c r="X132" s="1327">
        <f>X96+X114</f>
        <v>15865.61</v>
      </c>
      <c r="Y132" s="762">
        <f t="shared" si="632"/>
        <v>48975.615942641656</v>
      </c>
      <c r="Z132" s="84">
        <f t="shared" si="633"/>
        <v>48637.62</v>
      </c>
      <c r="AA132" s="6487">
        <f t="shared" si="634"/>
        <v>94778.716032264056</v>
      </c>
      <c r="AB132" s="454">
        <f t="shared" si="635"/>
        <v>106941.94749999999</v>
      </c>
      <c r="AC132" s="5350">
        <f>+AC114+AC96</f>
        <v>16686.017214265179</v>
      </c>
      <c r="AD132" s="1327">
        <f>AD96+AD114</f>
        <v>16263</v>
      </c>
      <c r="AE132" s="719">
        <f t="shared" si="602"/>
        <v>111464.73324652924</v>
      </c>
      <c r="AF132" s="62">
        <f t="shared" si="603"/>
        <v>123204.94749999999</v>
      </c>
      <c r="AG132" s="5526">
        <f>+AG114+AG96</f>
        <v>16147.758594450177</v>
      </c>
      <c r="AH132" s="1327">
        <f>AH96+AH114</f>
        <v>15123.830000000002</v>
      </c>
      <c r="AI132" s="719">
        <f t="shared" si="604"/>
        <v>127612.49184097942</v>
      </c>
      <c r="AJ132" s="62">
        <f t="shared" si="605"/>
        <v>138328.7775</v>
      </c>
      <c r="AK132" s="5939">
        <f>+AK114+AK96</f>
        <v>16686.017214265179</v>
      </c>
      <c r="AL132" s="1327">
        <f>AL96+AL114</f>
        <v>16326.650000000001</v>
      </c>
      <c r="AM132" s="762">
        <f t="shared" si="606"/>
        <v>49519.793022980535</v>
      </c>
      <c r="AN132" s="84">
        <f t="shared" si="607"/>
        <v>47713.48</v>
      </c>
      <c r="AO132" s="761">
        <f t="shared" si="626"/>
        <v>144298.50905524459</v>
      </c>
      <c r="AP132" s="761">
        <f t="shared" si="627"/>
        <v>154655.42749999999</v>
      </c>
      <c r="AQ132" s="6105">
        <f>+AQ114+AQ96</f>
        <v>16686.017214265179</v>
      </c>
      <c r="AR132" s="1327">
        <f>AR96+AR114</f>
        <v>17345.349999999999</v>
      </c>
      <c r="AS132" s="719">
        <f t="shared" si="610"/>
        <v>160984.52626950978</v>
      </c>
      <c r="AT132" s="62">
        <f t="shared" si="611"/>
        <v>172000.7775</v>
      </c>
      <c r="AU132" s="6225">
        <f>+AU114+AU96</f>
        <v>15071.241354820162</v>
      </c>
      <c r="AV132" s="1327">
        <f>AV96+AV114</f>
        <v>14905.442500000001</v>
      </c>
      <c r="AW132" s="6209">
        <f t="shared" si="612"/>
        <v>176055.76762432995</v>
      </c>
      <c r="AX132" s="62">
        <f t="shared" si="613"/>
        <v>186906.22</v>
      </c>
      <c r="AY132" s="6439">
        <f>+AY114+AY96</f>
        <v>16686.017214265179</v>
      </c>
      <c r="AZ132" s="1327">
        <f>AZ96+AZ114</f>
        <v>10048.328000000001</v>
      </c>
      <c r="BA132" s="762">
        <f t="shared" ref="BA132" si="644">+AQ132+AU132+AY132</f>
        <v>48443.275783350517</v>
      </c>
      <c r="BB132" s="84">
        <f t="shared" ref="BB132" si="645">+AR132+AV132+AZ132</f>
        <v>42299.120500000005</v>
      </c>
      <c r="BC132" s="2883">
        <f t="shared" si="616"/>
        <v>97963.068806331052</v>
      </c>
      <c r="BD132" s="2883">
        <f t="shared" si="617"/>
        <v>90012.6005</v>
      </c>
      <c r="BE132" s="6421">
        <f t="shared" si="618"/>
        <v>192741.78483859514</v>
      </c>
      <c r="BF132" s="6421">
        <f t="shared" si="619"/>
        <v>196954.54800000001</v>
      </c>
      <c r="BG132" s="1222"/>
      <c r="BH132" s="1222"/>
      <c r="BI132" s="4713"/>
      <c r="BJ132" s="4713"/>
      <c r="BK132" s="26"/>
      <c r="BL132" s="26"/>
      <c r="BM132" s="26"/>
      <c r="BN132" s="26"/>
    </row>
    <row r="133" spans="1:66" ht="16.5" thickBot="1" x14ac:dyDescent="0.3">
      <c r="B133" s="1912" t="s">
        <v>13</v>
      </c>
      <c r="C133" s="1399" t="s">
        <v>50</v>
      </c>
      <c r="D133" s="139">
        <f>SUM(D127:D132)</f>
        <v>1375530.5846153847</v>
      </c>
      <c r="E133" s="537">
        <f>SUM(E127:E132)</f>
        <v>114718.63247863247</v>
      </c>
      <c r="F133" s="776">
        <f>SUM(F127:F132)</f>
        <v>106408.94769999999</v>
      </c>
      <c r="G133" s="537">
        <f>SUM(G127:G132)</f>
        <v>118542.58689458689</v>
      </c>
      <c r="H133" s="776">
        <f>SUM(H127:H132)</f>
        <v>111692.25</v>
      </c>
      <c r="I133" s="537">
        <f t="shared" ref="I133:N133" si="646">SUM(I127:I132)</f>
        <v>233261.21937321941</v>
      </c>
      <c r="J133" s="537">
        <f t="shared" si="646"/>
        <v>218101.19769999999</v>
      </c>
      <c r="K133" s="537">
        <f>SUM(K127:K132)</f>
        <v>115946.817390128</v>
      </c>
      <c r="L133" s="776">
        <f>SUM(L127:L132)</f>
        <v>113539.77</v>
      </c>
      <c r="M133" s="354">
        <f t="shared" si="646"/>
        <v>340905.25898556958</v>
      </c>
      <c r="N133" s="1586">
        <f t="shared" si="646"/>
        <v>331640.96770000004</v>
      </c>
      <c r="O133" s="537">
        <f>SUM(O127:O132)</f>
        <v>117601.52188984898</v>
      </c>
      <c r="P133" s="776">
        <f>SUM(P127:P132)</f>
        <v>118170.59</v>
      </c>
      <c r="Q133" s="537">
        <f t="shared" ref="Q133:R133" si="647">SUM(Q127:Q132)</f>
        <v>458506.78087541857</v>
      </c>
      <c r="R133" s="537">
        <f t="shared" si="647"/>
        <v>449811.5577</v>
      </c>
      <c r="S133" s="537">
        <f>SUM(S127:S132)</f>
        <v>121682.84999239055</v>
      </c>
      <c r="T133" s="776">
        <f>SUM(T127:T132)</f>
        <v>117800.48000000001</v>
      </c>
      <c r="U133" s="537">
        <f t="shared" ref="U133:V133" si="648">SUM(U127:U132)</f>
        <v>580189.63086780906</v>
      </c>
      <c r="V133" s="537">
        <f t="shared" si="648"/>
        <v>567612.03769999999</v>
      </c>
      <c r="W133" s="537">
        <f>SUM(W127:W132)</f>
        <v>117757.59676682958</v>
      </c>
      <c r="X133" s="776">
        <f>SUM(X127:X132)</f>
        <v>111663.20999999999</v>
      </c>
      <c r="Y133" s="354">
        <f t="shared" ref="Y133:AF133" si="649">SUM(Y127:Y132)</f>
        <v>357041.96864906908</v>
      </c>
      <c r="Z133" s="354">
        <f t="shared" si="649"/>
        <v>347634.27999999997</v>
      </c>
      <c r="AA133" s="2529">
        <f t="shared" si="649"/>
        <v>697947.22763463866</v>
      </c>
      <c r="AB133" s="463">
        <f t="shared" si="649"/>
        <v>679275.24770000007</v>
      </c>
      <c r="AC133" s="537">
        <f>SUM(AC127:AC132)</f>
        <v>121682.84999239055</v>
      </c>
      <c r="AD133" s="776">
        <f>SUM(AD127:AD132)</f>
        <v>113639</v>
      </c>
      <c r="AE133" s="537">
        <f t="shared" si="649"/>
        <v>819630.07762702915</v>
      </c>
      <c r="AF133" s="537">
        <f t="shared" si="649"/>
        <v>792914.24770000007</v>
      </c>
      <c r="AG133" s="537">
        <f>SUM(AG127:AG132)</f>
        <v>117757.59676682958</v>
      </c>
      <c r="AH133" s="776">
        <f>SUM(AH127:AH132)</f>
        <v>103988.95</v>
      </c>
      <c r="AI133" s="537">
        <f t="shared" ref="AI133:AN133" si="650">SUM(AI127:AI132)</f>
        <v>937387.67439385876</v>
      </c>
      <c r="AJ133" s="537">
        <f t="shared" si="650"/>
        <v>896903.1976999999</v>
      </c>
      <c r="AK133" s="537">
        <f>SUM(AK127:AK132)</f>
        <v>121682.84999239055</v>
      </c>
      <c r="AL133" s="776">
        <f>SUM(AL127:AL132)</f>
        <v>114106.93</v>
      </c>
      <c r="AM133" s="354">
        <f t="shared" si="650"/>
        <v>361123.2967516107</v>
      </c>
      <c r="AN133" s="354">
        <f t="shared" si="650"/>
        <v>331734.88</v>
      </c>
      <c r="AO133" s="537">
        <f t="shared" ref="AO133:AT133" si="651">SUM(AO127:AO132)</f>
        <v>1059070.5243862492</v>
      </c>
      <c r="AP133" s="537">
        <f t="shared" si="651"/>
        <v>1011010.1277</v>
      </c>
      <c r="AQ133" s="537">
        <f>SUM(AQ127:AQ132)</f>
        <v>121682.84999239055</v>
      </c>
      <c r="AR133" s="776">
        <f>SUM(AR127:AR132)</f>
        <v>118871.43</v>
      </c>
      <c r="AS133" s="537">
        <f t="shared" si="651"/>
        <v>1180753.3743786397</v>
      </c>
      <c r="AT133" s="537">
        <f t="shared" si="651"/>
        <v>1129881.5577</v>
      </c>
      <c r="AU133" s="537">
        <f>SUM(AU127:AU132)</f>
        <v>109907.09031570758</v>
      </c>
      <c r="AV133" s="776">
        <f>SUM(AV127:AV132)</f>
        <v>107160.22750000001</v>
      </c>
      <c r="AW133" s="537">
        <f t="shared" ref="AW133:AX133" si="652">SUM(AW127:AW132)</f>
        <v>1290660.4646943475</v>
      </c>
      <c r="AX133" s="537">
        <f t="shared" si="652"/>
        <v>1237041.7852</v>
      </c>
      <c r="AY133" s="537">
        <f>SUM(AY127:AY132)</f>
        <v>121682.84999239055</v>
      </c>
      <c r="AZ133" s="776">
        <f>SUM(AZ127:AZ132)</f>
        <v>111891.97399999999</v>
      </c>
      <c r="BA133" s="354">
        <f t="shared" ref="BA133:BB133" si="653">SUM(BA127:BA132)</f>
        <v>353272.79030048865</v>
      </c>
      <c r="BB133" s="354">
        <f t="shared" si="653"/>
        <v>337923.63150000002</v>
      </c>
      <c r="BC133" s="2529">
        <f>SUM(BC127:BC132)</f>
        <v>714396.08705209929</v>
      </c>
      <c r="BD133" s="463">
        <f>SUM(BD127:BD132)</f>
        <v>669658.51150000002</v>
      </c>
      <c r="BE133" s="537">
        <f t="shared" ref="BE133:BF133" si="654">SUM(BE127:BE132)</f>
        <v>1412343.314686738</v>
      </c>
      <c r="BF133" s="537">
        <f t="shared" si="654"/>
        <v>1348933.7591999997</v>
      </c>
      <c r="BG133" s="1222"/>
      <c r="BH133" s="1222"/>
      <c r="BI133" s="4713"/>
      <c r="BJ133" s="4713"/>
      <c r="BK133" s="26"/>
      <c r="BL133" s="26"/>
      <c r="BM133" s="26"/>
      <c r="BN133" s="26"/>
    </row>
    <row r="134" spans="1:66" x14ac:dyDescent="0.25">
      <c r="B134" s="1916" t="s">
        <v>1389</v>
      </c>
      <c r="C134" s="1397" t="s">
        <v>50</v>
      </c>
      <c r="D134" s="1316">
        <f t="shared" ref="D134:F135" si="655">+D116+D98</f>
        <v>332760.74131054129</v>
      </c>
      <c r="E134" s="1125">
        <f t="shared" si="655"/>
        <v>27766.666666666664</v>
      </c>
      <c r="F134" s="85">
        <f t="shared" si="655"/>
        <v>38258.780700000003</v>
      </c>
      <c r="G134" s="7185">
        <f t="shared" ref="G134:H134" si="656">+G116+G98</f>
        <v>28692.222222222219</v>
      </c>
      <c r="H134" s="85">
        <f t="shared" si="656"/>
        <v>39673.759999999995</v>
      </c>
      <c r="I134" s="719">
        <f t="shared" ref="I134:J137" si="657">+E134+G134</f>
        <v>56458.888888888883</v>
      </c>
      <c r="J134" s="62">
        <f t="shared" si="657"/>
        <v>77932.540699999998</v>
      </c>
      <c r="K134" s="4589">
        <f>+K116+K98</f>
        <v>32393.105726251466</v>
      </c>
      <c r="L134" s="85">
        <f>+L116+L98</f>
        <v>29445.49</v>
      </c>
      <c r="M134" s="1126">
        <f t="shared" ref="M134:N137" si="658">+E134+G134+K134</f>
        <v>88851.994615140342</v>
      </c>
      <c r="N134" s="1580">
        <f t="shared" si="658"/>
        <v>107378.0307</v>
      </c>
      <c r="O134" s="4796">
        <f>+O116+O98</f>
        <v>32860.726786952328</v>
      </c>
      <c r="P134" s="85">
        <f>+P116+P98</f>
        <v>32364.969999999998</v>
      </c>
      <c r="Q134" s="719">
        <f t="shared" ref="Q134:R137" si="659">+M134+O134</f>
        <v>121712.72140209266</v>
      </c>
      <c r="R134" s="62">
        <f t="shared" si="659"/>
        <v>139743.0007</v>
      </c>
      <c r="S134" s="4905">
        <f>+S116+S98</f>
        <v>33949.080947630078</v>
      </c>
      <c r="T134" s="85">
        <f>+T116+T98</f>
        <v>37430.29</v>
      </c>
      <c r="U134" s="4879">
        <f t="shared" ref="U134:U137" si="660">+Q134+S134</f>
        <v>155661.80234972274</v>
      </c>
      <c r="V134" s="62">
        <f t="shared" ref="V134:V137" si="661">+R134+T134</f>
        <v>177173.29070000001</v>
      </c>
      <c r="W134" s="5055">
        <f>+W116+W98</f>
        <v>32853.949304158145</v>
      </c>
      <c r="X134" s="85">
        <f>+X116+X98</f>
        <v>29229.480000000003</v>
      </c>
      <c r="Y134" s="762">
        <f t="shared" ref="Y134:Y137" si="662">+O134+S134+W134</f>
        <v>99663.757038740543</v>
      </c>
      <c r="Z134" s="84">
        <f t="shared" ref="Z134:Z137" si="663">+P134+T134+X134</f>
        <v>99024.739999999991</v>
      </c>
      <c r="AA134" s="2606">
        <f t="shared" ref="AA134:AA139" si="664">+M134+Y134</f>
        <v>188515.75165388087</v>
      </c>
      <c r="AB134" s="454">
        <f t="shared" ref="AB134:AB139" si="665">+N134+Z134</f>
        <v>206402.77069999999</v>
      </c>
      <c r="AC134" s="5350">
        <f>+AC116+AC98</f>
        <v>33949.080947630078</v>
      </c>
      <c r="AD134" s="85">
        <f>+AD116+AD98</f>
        <v>29948</v>
      </c>
      <c r="AE134" s="719">
        <f t="shared" ref="AE134:AE137" si="666">+AA134+AC134</f>
        <v>222464.83260151095</v>
      </c>
      <c r="AF134" s="62">
        <f t="shared" ref="AF134:AF137" si="667">+AB134+AD134</f>
        <v>236350.77069999999</v>
      </c>
      <c r="AG134" s="5526">
        <f>+AG116+AG98</f>
        <v>32853.949304158145</v>
      </c>
      <c r="AH134" s="85">
        <f>+AH116+AH98</f>
        <v>26924.26</v>
      </c>
      <c r="AI134" s="719">
        <f t="shared" ref="AI134:AI137" si="668">+AE134+AG134</f>
        <v>255318.78190566908</v>
      </c>
      <c r="AJ134" s="62">
        <f t="shared" ref="AJ134:AJ137" si="669">+AF134+AH134</f>
        <v>263275.0307</v>
      </c>
      <c r="AK134" s="5939">
        <f>+AK116+AK98</f>
        <v>33949.080947630078</v>
      </c>
      <c r="AL134" s="85">
        <f>+AL116+AL98</f>
        <v>30052.05</v>
      </c>
      <c r="AM134" s="762">
        <f t="shared" ref="AM134:AM137" si="670">+AC134+AG134+AK134</f>
        <v>100752.1111994183</v>
      </c>
      <c r="AN134" s="84">
        <f t="shared" ref="AN134:AN137" si="671">+AD134+AH134+AL134</f>
        <v>86924.31</v>
      </c>
      <c r="AO134" s="761">
        <f t="shared" si="627"/>
        <v>289267.86285329913</v>
      </c>
      <c r="AP134" s="761">
        <f t="shared" si="627"/>
        <v>293327.08069999999</v>
      </c>
      <c r="AQ134" s="6105">
        <f>+AQ116+AQ98</f>
        <v>33949.080947630078</v>
      </c>
      <c r="AR134" s="85">
        <f>+AR116+AR98</f>
        <v>28218.35</v>
      </c>
      <c r="AS134" s="719">
        <f t="shared" ref="AS134:AS137" si="672">+AO134+AQ134</f>
        <v>323216.94380092924</v>
      </c>
      <c r="AT134" s="62">
        <f t="shared" ref="AT134:AT137" si="673">+AP134+AR134</f>
        <v>321545.43069999997</v>
      </c>
      <c r="AU134" s="6225">
        <f>+AU116+AU98</f>
        <v>30663.686017214262</v>
      </c>
      <c r="AV134" s="85">
        <f>+AV116+AV98</f>
        <v>32161.072500000002</v>
      </c>
      <c r="AW134" s="6209">
        <f t="shared" ref="AW134:AW137" si="674">+AS134+AU134</f>
        <v>353880.6298181435</v>
      </c>
      <c r="AX134" s="62">
        <f t="shared" ref="AX134:AX137" si="675">+AT134+AV134</f>
        <v>353706.50319999998</v>
      </c>
      <c r="AY134" s="6439">
        <f>+AY116+AY98</f>
        <v>33949.080947630078</v>
      </c>
      <c r="AZ134" s="85">
        <f>+AZ116+AZ98</f>
        <v>38171.086000000003</v>
      </c>
      <c r="BA134" s="762">
        <f t="shared" ref="BA134:BA137" si="676">+AQ134+AU134+AY134</f>
        <v>98561.847912474419</v>
      </c>
      <c r="BB134" s="84">
        <f t="shared" ref="BB134:BB137" si="677">+AR134+AV134+AZ134</f>
        <v>98550.508499999996</v>
      </c>
      <c r="BC134" s="2883">
        <f t="shared" ref="BC134:BC137" si="678">+AM134+BA134</f>
        <v>199313.95911189273</v>
      </c>
      <c r="BD134" s="2883">
        <f t="shared" ref="BD134:BD137" si="679">+AN134+BB134</f>
        <v>185474.81849999999</v>
      </c>
      <c r="BE134" s="6421">
        <f t="shared" ref="BE134:BE137" si="680">AW134+AY134</f>
        <v>387829.71076577355</v>
      </c>
      <c r="BF134" s="6421">
        <f t="shared" ref="BF134:BF137" si="681">AX134+AZ134</f>
        <v>391877.58919999999</v>
      </c>
      <c r="BG134" s="1222"/>
      <c r="BH134" s="1222"/>
      <c r="BI134" s="4713"/>
      <c r="BJ134" s="4713"/>
      <c r="BK134" s="26"/>
      <c r="BL134" s="26"/>
      <c r="BM134" s="26"/>
      <c r="BN134" s="26"/>
    </row>
    <row r="135" spans="1:66" x14ac:dyDescent="0.25">
      <c r="B135" s="1794" t="s">
        <v>627</v>
      </c>
      <c r="C135" s="1676" t="s">
        <v>50</v>
      </c>
      <c r="D135" s="1316">
        <f t="shared" si="655"/>
        <v>97870.806267806271</v>
      </c>
      <c r="E135" s="1125">
        <f t="shared" si="655"/>
        <v>8166.666666666667</v>
      </c>
      <c r="F135" s="85">
        <f t="shared" si="655"/>
        <v>171.6165</v>
      </c>
      <c r="G135" s="7185">
        <f t="shared" ref="G135:H135" si="682">+G117+G99</f>
        <v>8438.8888888888905</v>
      </c>
      <c r="H135" s="85">
        <f t="shared" si="682"/>
        <v>341.5</v>
      </c>
      <c r="I135" s="719">
        <f t="shared" si="657"/>
        <v>16605.555555555558</v>
      </c>
      <c r="J135" s="62">
        <f t="shared" si="657"/>
        <v>513.11649999999997</v>
      </c>
      <c r="K135" s="4589">
        <f>+K117+K99</f>
        <v>7956.5500448111998</v>
      </c>
      <c r="L135" s="85">
        <f>+L117+L99</f>
        <v>10057.86</v>
      </c>
      <c r="M135" s="1126">
        <f t="shared" si="658"/>
        <v>24562.105600366758</v>
      </c>
      <c r="N135" s="1580">
        <f t="shared" si="658"/>
        <v>10570.976500000001</v>
      </c>
      <c r="O135" s="4796">
        <f>+O117+O99</f>
        <v>8070.9200669631518</v>
      </c>
      <c r="P135" s="85">
        <f>+P117+P99</f>
        <v>9973.67</v>
      </c>
      <c r="Q135" s="719">
        <f t="shared" si="659"/>
        <v>32633.025667329908</v>
      </c>
      <c r="R135" s="62">
        <f t="shared" si="659"/>
        <v>20544.646500000003</v>
      </c>
      <c r="S135" s="4905">
        <f>+S117+S99</f>
        <v>8343.0086071325895</v>
      </c>
      <c r="T135" s="85">
        <f>+T117+T99</f>
        <v>5301.09</v>
      </c>
      <c r="U135" s="4879">
        <f t="shared" si="660"/>
        <v>40976.034274462494</v>
      </c>
      <c r="V135" s="62">
        <f t="shared" si="661"/>
        <v>25845.736500000003</v>
      </c>
      <c r="W135" s="5055">
        <f>+W117+W99</f>
        <v>8073.8792972250885</v>
      </c>
      <c r="X135" s="85">
        <f>+X117+X99</f>
        <v>10999.05</v>
      </c>
      <c r="Y135" s="762">
        <f t="shared" si="662"/>
        <v>24487.807971320828</v>
      </c>
      <c r="Z135" s="84">
        <f t="shared" si="663"/>
        <v>26273.809999999998</v>
      </c>
      <c r="AA135" s="2606">
        <f t="shared" si="664"/>
        <v>49049.91357168759</v>
      </c>
      <c r="AB135" s="454">
        <f t="shared" si="665"/>
        <v>36844.786500000002</v>
      </c>
      <c r="AC135" s="5350">
        <f>+AC117+AC99</f>
        <v>8343.0086071325895</v>
      </c>
      <c r="AD135" s="85">
        <f>+AD117+AD99</f>
        <v>11284</v>
      </c>
      <c r="AE135" s="719">
        <f t="shared" si="666"/>
        <v>57392.922178820183</v>
      </c>
      <c r="AF135" s="62">
        <f t="shared" si="667"/>
        <v>48128.786500000002</v>
      </c>
      <c r="AG135" s="5526">
        <f>+AG117+AG99</f>
        <v>8073.8792972250885</v>
      </c>
      <c r="AH135" s="85">
        <f>+AH117+AH99</f>
        <v>10495.03</v>
      </c>
      <c r="AI135" s="719">
        <f t="shared" si="668"/>
        <v>65466.801476045272</v>
      </c>
      <c r="AJ135" s="62">
        <f t="shared" si="669"/>
        <v>58623.816500000001</v>
      </c>
      <c r="AK135" s="5939">
        <f>+AK117+AK99</f>
        <v>8343.0086071325895</v>
      </c>
      <c r="AL135" s="85">
        <f>+AL117+AL99</f>
        <v>11338.779999999999</v>
      </c>
      <c r="AM135" s="762">
        <f t="shared" si="670"/>
        <v>24759.896511490268</v>
      </c>
      <c r="AN135" s="84">
        <f t="shared" si="671"/>
        <v>33117.81</v>
      </c>
      <c r="AO135" s="761">
        <f t="shared" ref="AO135:AO137" si="683">AI135+AK135</f>
        <v>73809.810083177857</v>
      </c>
      <c r="AP135" s="761">
        <f t="shared" ref="AP135:AP137" si="684">AJ135+AL135</f>
        <v>69962.5965</v>
      </c>
      <c r="AQ135" s="6105">
        <f>+AQ117+AQ99</f>
        <v>8343.0086071325895</v>
      </c>
      <c r="AR135" s="85">
        <f>+AR117+AR99</f>
        <v>8407.98</v>
      </c>
      <c r="AS135" s="719">
        <f t="shared" si="672"/>
        <v>82152.818690310451</v>
      </c>
      <c r="AT135" s="62">
        <f t="shared" si="673"/>
        <v>78370.576499999996</v>
      </c>
      <c r="AU135" s="6225">
        <f>+AU117+AU99</f>
        <v>7535.620677410081</v>
      </c>
      <c r="AV135" s="85">
        <f>+AV117+AV99</f>
        <v>0</v>
      </c>
      <c r="AW135" s="6209">
        <f t="shared" si="674"/>
        <v>89688.439367720537</v>
      </c>
      <c r="AX135" s="62">
        <f t="shared" si="675"/>
        <v>78370.576499999996</v>
      </c>
      <c r="AY135" s="6439">
        <f>+AY117+AY99</f>
        <v>8343.0086071325895</v>
      </c>
      <c r="AZ135" s="85">
        <f>+AZ117+AZ99</f>
        <v>2188.84</v>
      </c>
      <c r="BA135" s="762">
        <f t="shared" si="676"/>
        <v>24221.637891675258</v>
      </c>
      <c r="BB135" s="84">
        <f t="shared" si="677"/>
        <v>10596.82</v>
      </c>
      <c r="BC135" s="2883">
        <f t="shared" si="678"/>
        <v>48981.534403165526</v>
      </c>
      <c r="BD135" s="2883">
        <f t="shared" si="679"/>
        <v>43714.63</v>
      </c>
      <c r="BE135" s="6421">
        <f t="shared" si="680"/>
        <v>98031.44797485313</v>
      </c>
      <c r="BF135" s="6421">
        <f t="shared" si="681"/>
        <v>80559.416499999992</v>
      </c>
      <c r="BG135" s="1222"/>
      <c r="BH135" s="1222"/>
      <c r="BI135" s="4713"/>
      <c r="BJ135" s="4713"/>
      <c r="BK135" s="26"/>
      <c r="BL135" s="26"/>
      <c r="BM135" s="26"/>
      <c r="BN135" s="26"/>
    </row>
    <row r="136" spans="1:66" x14ac:dyDescent="0.25">
      <c r="B136" s="1794" t="s">
        <v>1374</v>
      </c>
      <c r="C136" s="1676" t="s">
        <v>50</v>
      </c>
      <c r="D136" s="1316">
        <f>+D118+D100</f>
        <v>0</v>
      </c>
      <c r="E136" s="1125">
        <f>+E118+E100</f>
        <v>0</v>
      </c>
      <c r="F136" s="85">
        <f>F100+F118</f>
        <v>0</v>
      </c>
      <c r="G136" s="7185">
        <f>+G118+G100</f>
        <v>0</v>
      </c>
      <c r="H136" s="85">
        <f>H100+H118</f>
        <v>0</v>
      </c>
      <c r="I136" s="719">
        <f t="shared" si="657"/>
        <v>0</v>
      </c>
      <c r="J136" s="62">
        <f t="shared" si="657"/>
        <v>0</v>
      </c>
      <c r="K136" s="4589">
        <f>+K118+K100</f>
        <v>0</v>
      </c>
      <c r="L136" s="85">
        <f>L100+L118</f>
        <v>0</v>
      </c>
      <c r="M136" s="1126">
        <f t="shared" ref="M136" si="685">+E136+G136+K136</f>
        <v>0</v>
      </c>
      <c r="N136" s="1580">
        <f t="shared" ref="N136" si="686">+F136+H136+L136</f>
        <v>0</v>
      </c>
      <c r="O136" s="4796">
        <f>+O118+O100</f>
        <v>0</v>
      </c>
      <c r="P136" s="85">
        <f>P100+P118</f>
        <v>0</v>
      </c>
      <c r="Q136" s="719">
        <f t="shared" ref="Q136" si="687">+M136+O136</f>
        <v>0</v>
      </c>
      <c r="R136" s="62">
        <f t="shared" ref="R136" si="688">+N136+P136</f>
        <v>0</v>
      </c>
      <c r="S136" s="4905">
        <f>+S118+S100</f>
        <v>0</v>
      </c>
      <c r="T136" s="85">
        <f>T100+T118</f>
        <v>0</v>
      </c>
      <c r="U136" s="4879">
        <f t="shared" si="660"/>
        <v>0</v>
      </c>
      <c r="V136" s="62">
        <f t="shared" si="661"/>
        <v>0</v>
      </c>
      <c r="W136" s="5055">
        <f>+W118+W100</f>
        <v>0</v>
      </c>
      <c r="X136" s="85">
        <f>X100+X118</f>
        <v>0</v>
      </c>
      <c r="Y136" s="762">
        <f t="shared" si="662"/>
        <v>0</v>
      </c>
      <c r="Z136" s="84">
        <f t="shared" si="663"/>
        <v>0</v>
      </c>
      <c r="AA136" s="2606">
        <f t="shared" si="664"/>
        <v>0</v>
      </c>
      <c r="AB136" s="454">
        <f t="shared" si="665"/>
        <v>0</v>
      </c>
      <c r="AC136" s="5350">
        <f>+AC118+AC100</f>
        <v>0</v>
      </c>
      <c r="AD136" s="85">
        <f>AD100+AD118</f>
        <v>0</v>
      </c>
      <c r="AE136" s="719">
        <f t="shared" si="666"/>
        <v>0</v>
      </c>
      <c r="AF136" s="62">
        <f t="shared" si="667"/>
        <v>0</v>
      </c>
      <c r="AG136" s="5526">
        <f>+AG118+AG100</f>
        <v>0</v>
      </c>
      <c r="AH136" s="85">
        <f>AH100+AH118</f>
        <v>0</v>
      </c>
      <c r="AI136" s="719">
        <f t="shared" si="668"/>
        <v>0</v>
      </c>
      <c r="AJ136" s="62">
        <f t="shared" si="669"/>
        <v>0</v>
      </c>
      <c r="AK136" s="5939">
        <f>+AK118+AK100</f>
        <v>0</v>
      </c>
      <c r="AL136" s="85">
        <f>AL100+AL118</f>
        <v>0</v>
      </c>
      <c r="AM136" s="762">
        <f t="shared" si="670"/>
        <v>0</v>
      </c>
      <c r="AN136" s="84">
        <f t="shared" si="671"/>
        <v>0</v>
      </c>
      <c r="AO136" s="761">
        <f t="shared" si="683"/>
        <v>0</v>
      </c>
      <c r="AP136" s="761">
        <f t="shared" si="684"/>
        <v>0</v>
      </c>
      <c r="AQ136" s="6105">
        <f>+AQ118+AQ100</f>
        <v>0</v>
      </c>
      <c r="AR136" s="85">
        <f>AR100+AR118</f>
        <v>0</v>
      </c>
      <c r="AS136" s="719">
        <f t="shared" si="672"/>
        <v>0</v>
      </c>
      <c r="AT136" s="62">
        <f t="shared" si="673"/>
        <v>0</v>
      </c>
      <c r="AU136" s="6225">
        <f>+AU118+AU100</f>
        <v>0</v>
      </c>
      <c r="AV136" s="85">
        <f>AV100+AV118</f>
        <v>0</v>
      </c>
      <c r="AW136" s="6209">
        <f t="shared" si="674"/>
        <v>0</v>
      </c>
      <c r="AX136" s="62">
        <f t="shared" si="675"/>
        <v>0</v>
      </c>
      <c r="AY136" s="6439">
        <f>+AY118+AY100</f>
        <v>0</v>
      </c>
      <c r="AZ136" s="85">
        <f>AZ100+AZ118</f>
        <v>0</v>
      </c>
      <c r="BA136" s="762">
        <f t="shared" si="676"/>
        <v>0</v>
      </c>
      <c r="BB136" s="84">
        <f t="shared" si="677"/>
        <v>0</v>
      </c>
      <c r="BC136" s="2883">
        <f t="shared" si="678"/>
        <v>0</v>
      </c>
      <c r="BD136" s="2883">
        <f t="shared" si="679"/>
        <v>0</v>
      </c>
      <c r="BE136" s="6421">
        <f t="shared" si="680"/>
        <v>0</v>
      </c>
      <c r="BF136" s="6421">
        <f t="shared" si="681"/>
        <v>0</v>
      </c>
      <c r="BG136" s="1222"/>
      <c r="BH136" s="1222"/>
      <c r="BI136" s="4713"/>
      <c r="BJ136" s="4713"/>
      <c r="BK136" s="26"/>
      <c r="BL136" s="26"/>
      <c r="BM136" s="26"/>
      <c r="BN136" s="26"/>
    </row>
    <row r="137" spans="1:66" ht="15.75" thickBot="1" x14ac:dyDescent="0.3">
      <c r="B137" s="1794" t="s">
        <v>1388</v>
      </c>
      <c r="C137" s="1676" t="s">
        <v>50</v>
      </c>
      <c r="D137" s="1316">
        <f>+D119+D101</f>
        <v>58722.483760683754</v>
      </c>
      <c r="E137" s="1129">
        <f>+E119+E101</f>
        <v>4900</v>
      </c>
      <c r="F137" s="124">
        <f>+F119+F101</f>
        <v>0</v>
      </c>
      <c r="G137" s="7175">
        <f>+G119+G101</f>
        <v>5063.333333333333</v>
      </c>
      <c r="H137" s="124">
        <f>+H119+H101</f>
        <v>0</v>
      </c>
      <c r="I137" s="719">
        <f t="shared" si="657"/>
        <v>9963.3333333333321</v>
      </c>
      <c r="J137" s="62">
        <f t="shared" si="657"/>
        <v>0</v>
      </c>
      <c r="K137" s="4581">
        <f>+K119+K101</f>
        <v>0</v>
      </c>
      <c r="L137" s="124">
        <f>+L119+L101</f>
        <v>0</v>
      </c>
      <c r="M137" s="72">
        <f t="shared" si="658"/>
        <v>9963.3333333333321</v>
      </c>
      <c r="N137" s="125">
        <f t="shared" si="658"/>
        <v>0</v>
      </c>
      <c r="O137" s="4767">
        <f>+O119+O101</f>
        <v>0</v>
      </c>
      <c r="P137" s="124">
        <f>+P119+P101</f>
        <v>0</v>
      </c>
      <c r="Q137" s="719">
        <f t="shared" si="659"/>
        <v>9963.3333333333321</v>
      </c>
      <c r="R137" s="62">
        <f t="shared" si="659"/>
        <v>0</v>
      </c>
      <c r="S137" s="4876">
        <f>+S119+S101</f>
        <v>0</v>
      </c>
      <c r="T137" s="124">
        <f>+T119+T101</f>
        <v>0</v>
      </c>
      <c r="U137" s="4879">
        <f t="shared" si="660"/>
        <v>9963.3333333333321</v>
      </c>
      <c r="V137" s="62">
        <f t="shared" si="661"/>
        <v>0</v>
      </c>
      <c r="W137" s="5037">
        <f>+W119+W101</f>
        <v>0</v>
      </c>
      <c r="X137" s="124">
        <f>+X119+X101</f>
        <v>0</v>
      </c>
      <c r="Y137" s="762">
        <f t="shared" si="662"/>
        <v>0</v>
      </c>
      <c r="Z137" s="84">
        <f t="shared" si="663"/>
        <v>0</v>
      </c>
      <c r="AA137" s="2606">
        <f t="shared" si="664"/>
        <v>9963.3333333333321</v>
      </c>
      <c r="AB137" s="454">
        <f t="shared" si="665"/>
        <v>0</v>
      </c>
      <c r="AC137" s="5330">
        <f>+AC119+AC101</f>
        <v>0</v>
      </c>
      <c r="AD137" s="124">
        <f>+AD119+AD101</f>
        <v>0</v>
      </c>
      <c r="AE137" s="719">
        <f t="shared" si="666"/>
        <v>9963.3333333333321</v>
      </c>
      <c r="AF137" s="62">
        <f t="shared" si="667"/>
        <v>0</v>
      </c>
      <c r="AG137" s="5503">
        <f>+AG119+AG101</f>
        <v>0</v>
      </c>
      <c r="AH137" s="124">
        <f>+AH119+AH101</f>
        <v>0</v>
      </c>
      <c r="AI137" s="719">
        <f t="shared" si="668"/>
        <v>9963.3333333333321</v>
      </c>
      <c r="AJ137" s="62">
        <f t="shared" si="669"/>
        <v>0</v>
      </c>
      <c r="AK137" s="5925">
        <f>+AK119+AK101</f>
        <v>0</v>
      </c>
      <c r="AL137" s="124">
        <f>+AL119+AL101</f>
        <v>0</v>
      </c>
      <c r="AM137" s="762">
        <f t="shared" si="670"/>
        <v>0</v>
      </c>
      <c r="AN137" s="84">
        <f t="shared" si="671"/>
        <v>0</v>
      </c>
      <c r="AO137" s="761">
        <f t="shared" si="683"/>
        <v>9963.3333333333321</v>
      </c>
      <c r="AP137" s="761">
        <f t="shared" si="684"/>
        <v>0</v>
      </c>
      <c r="AQ137" s="6082">
        <f>+AQ119+AQ101</f>
        <v>0</v>
      </c>
      <c r="AR137" s="124">
        <f>+AR119+AR101</f>
        <v>0</v>
      </c>
      <c r="AS137" s="719">
        <f t="shared" si="672"/>
        <v>9963.3333333333321</v>
      </c>
      <c r="AT137" s="62">
        <f t="shared" si="673"/>
        <v>0</v>
      </c>
      <c r="AU137" s="6206">
        <f>+AU119+AU101</f>
        <v>0</v>
      </c>
      <c r="AV137" s="124">
        <f>+AV119+AV101</f>
        <v>0</v>
      </c>
      <c r="AW137" s="6209">
        <f t="shared" si="674"/>
        <v>9963.3333333333321</v>
      </c>
      <c r="AX137" s="62">
        <f t="shared" si="675"/>
        <v>0</v>
      </c>
      <c r="AY137" s="6415">
        <f>+AY119+AY101</f>
        <v>0</v>
      </c>
      <c r="AZ137" s="124">
        <f>+AZ119+AZ101</f>
        <v>0</v>
      </c>
      <c r="BA137" s="762">
        <f t="shared" si="676"/>
        <v>0</v>
      </c>
      <c r="BB137" s="84">
        <f t="shared" si="677"/>
        <v>0</v>
      </c>
      <c r="BC137" s="2883">
        <f t="shared" si="678"/>
        <v>0</v>
      </c>
      <c r="BD137" s="2883">
        <f t="shared" si="679"/>
        <v>0</v>
      </c>
      <c r="BE137" s="6421">
        <f t="shared" si="680"/>
        <v>9963.3333333333321</v>
      </c>
      <c r="BF137" s="6421">
        <f t="shared" si="681"/>
        <v>0</v>
      </c>
      <c r="BG137" s="1222"/>
      <c r="BH137" s="1222"/>
      <c r="BI137" s="4713"/>
      <c r="BJ137" s="4713"/>
      <c r="BK137" s="26"/>
      <c r="BL137" s="26"/>
      <c r="BM137" s="26"/>
      <c r="BN137" s="26"/>
    </row>
    <row r="138" spans="1:66" ht="16.5" thickBot="1" x14ac:dyDescent="0.3">
      <c r="B138" s="1911" t="s">
        <v>134</v>
      </c>
      <c r="C138" s="1677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689">SUM(I134:I137)</f>
        <v>83027.777777777766</v>
      </c>
      <c r="J138" s="27">
        <f t="shared" si="689"/>
        <v>78445.657200000001</v>
      </c>
      <c r="K138" s="537">
        <f>SUM(K134:K137)</f>
        <v>40349.655771062666</v>
      </c>
      <c r="L138" s="92">
        <f>SUM(L134:L137)</f>
        <v>39503.350000000006</v>
      </c>
      <c r="M138" s="354">
        <f t="shared" si="689"/>
        <v>123377.43354884043</v>
      </c>
      <c r="N138" s="1497">
        <f t="shared" si="689"/>
        <v>117949.00720000001</v>
      </c>
      <c r="O138" s="537">
        <f>SUM(O134:O137)</f>
        <v>40931.646853915481</v>
      </c>
      <c r="P138" s="92">
        <f>SUM(P134:P137)</f>
        <v>42338.64</v>
      </c>
      <c r="Q138" s="27">
        <f t="shared" ref="Q138:R138" si="690">SUM(Q134:Q137)</f>
        <v>164309.08040275591</v>
      </c>
      <c r="R138" s="27">
        <f t="shared" si="690"/>
        <v>160287.64720000001</v>
      </c>
      <c r="S138" s="537">
        <f>SUM(S134:S137)</f>
        <v>42292.089554762671</v>
      </c>
      <c r="T138" s="92">
        <f>SUM(T134:T137)</f>
        <v>42731.380000000005</v>
      </c>
      <c r="U138" s="27">
        <f t="shared" ref="U138:V138" si="691">SUM(U134:U137)</f>
        <v>206601.16995751858</v>
      </c>
      <c r="V138" s="27">
        <f t="shared" si="691"/>
        <v>203019.02720000001</v>
      </c>
      <c r="W138" s="537">
        <f>SUM(W134:W137)</f>
        <v>40927.828601383233</v>
      </c>
      <c r="X138" s="92">
        <f>SUM(X134:X137)</f>
        <v>40228.53</v>
      </c>
      <c r="Y138" s="728">
        <f t="shared" ref="Y138" si="692">SUM(Y134:Y137)</f>
        <v>124151.56501006137</v>
      </c>
      <c r="Z138" s="728">
        <f>SUM(Z134:Z137)</f>
        <v>125298.54999999999</v>
      </c>
      <c r="AA138" s="2529">
        <f t="shared" si="664"/>
        <v>247528.9985589018</v>
      </c>
      <c r="AB138" s="463">
        <f t="shared" si="665"/>
        <v>243247.55719999998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693">SUM(AE134:AE137)</f>
        <v>289821.08811366447</v>
      </c>
      <c r="AF138" s="27">
        <f t="shared" si="693"/>
        <v>284479.55719999998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694">SUM(AI134:AI137)</f>
        <v>330748.91671504767</v>
      </c>
      <c r="AJ138" s="27">
        <f t="shared" si="694"/>
        <v>321898.84720000002</v>
      </c>
      <c r="AK138" s="537">
        <f>SUM(AK134:AK137)</f>
        <v>42292.089554762671</v>
      </c>
      <c r="AL138" s="92">
        <f>SUM(AL134:AL137)</f>
        <v>41390.83</v>
      </c>
      <c r="AM138" s="728">
        <f t="shared" si="694"/>
        <v>125512.00771090857</v>
      </c>
      <c r="AN138" s="728">
        <f>SUM(AN134:AN137)</f>
        <v>120042.12</v>
      </c>
      <c r="AO138" s="27">
        <f t="shared" ref="AO138:AT138" si="695">SUM(AO134:AO137)</f>
        <v>373041.00626981031</v>
      </c>
      <c r="AP138" s="27">
        <f t="shared" si="695"/>
        <v>363289.67719999998</v>
      </c>
      <c r="AQ138" s="537">
        <f>SUM(AQ134:AQ137)</f>
        <v>42292.089554762671</v>
      </c>
      <c r="AR138" s="92">
        <f>SUM(AR134:AR137)</f>
        <v>36626.33</v>
      </c>
      <c r="AS138" s="27">
        <f t="shared" si="695"/>
        <v>415333.09582457301</v>
      </c>
      <c r="AT138" s="27">
        <f t="shared" si="695"/>
        <v>399916.00719999999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696">SUM(AW134:AW137)</f>
        <v>453532.40251919738</v>
      </c>
      <c r="AX138" s="27">
        <f t="shared" si="696"/>
        <v>432077.0797</v>
      </c>
      <c r="AY138" s="537">
        <f>SUM(AY134:AY137)</f>
        <v>42292.089554762671</v>
      </c>
      <c r="AZ138" s="92">
        <f>SUM(AZ134:AZ137)</f>
        <v>40359.926000000007</v>
      </c>
      <c r="BA138" s="728">
        <f t="shared" ref="BA138" si="697">SUM(BA134:BA137)</f>
        <v>122783.48580414968</v>
      </c>
      <c r="BB138" s="728">
        <f>SUM(BB134:BB137)</f>
        <v>109147.3285</v>
      </c>
      <c r="BC138" s="2883">
        <f>+AM138+BA138</f>
        <v>248295.49351505825</v>
      </c>
      <c r="BD138" s="2883">
        <f>+AN138+BB138</f>
        <v>229189.4485</v>
      </c>
      <c r="BE138" s="27">
        <f t="shared" ref="BE138:BF138" si="698">SUM(BE134:BE137)</f>
        <v>495824.49207395996</v>
      </c>
      <c r="BF138" s="27">
        <f t="shared" si="698"/>
        <v>472437.00569999998</v>
      </c>
      <c r="BG138" s="1222"/>
      <c r="BH138" s="1222"/>
      <c r="BI138" s="4713"/>
      <c r="BJ138" s="4713"/>
      <c r="BK138" s="26"/>
      <c r="BL138" s="26"/>
      <c r="BM138" s="26"/>
      <c r="BN138" s="26"/>
    </row>
    <row r="139" spans="1:66" ht="16.5" thickBot="1" x14ac:dyDescent="0.3">
      <c r="A139" s="148"/>
      <c r="B139" s="1917" t="s">
        <v>12</v>
      </c>
      <c r="C139" s="1399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699">+I133+I138</f>
        <v>316288.99715099717</v>
      </c>
      <c r="J139" s="27">
        <f t="shared" si="699"/>
        <v>296546.85489999998</v>
      </c>
      <c r="K139" s="537">
        <f>+K133+K138</f>
        <v>156296.47316119066</v>
      </c>
      <c r="L139" s="92">
        <f>+L133+L138</f>
        <v>153043.12</v>
      </c>
      <c r="M139" s="354">
        <f t="shared" si="699"/>
        <v>464282.69253441005</v>
      </c>
      <c r="N139" s="1497">
        <f t="shared" si="699"/>
        <v>449589.97490000003</v>
      </c>
      <c r="O139" s="537">
        <f>+O133+O138</f>
        <v>158533.16874376446</v>
      </c>
      <c r="P139" s="92">
        <f>+P133+P138</f>
        <v>160509.22999999998</v>
      </c>
      <c r="Q139" s="27">
        <f t="shared" ref="Q139:R139" si="700">+Q133+Q138</f>
        <v>622815.86127817445</v>
      </c>
      <c r="R139" s="27">
        <f t="shared" si="700"/>
        <v>610099.20490000001</v>
      </c>
      <c r="S139" s="537">
        <f>+S133+S138</f>
        <v>163974.93954715322</v>
      </c>
      <c r="T139" s="92">
        <f>+T133+T138</f>
        <v>160531.86000000002</v>
      </c>
      <c r="U139" s="27">
        <f t="shared" ref="U139:V139" si="701">+U133+U138</f>
        <v>786790.80082532763</v>
      </c>
      <c r="V139" s="27">
        <f t="shared" si="701"/>
        <v>770631.0649</v>
      </c>
      <c r="W139" s="537">
        <f>+W133+W138</f>
        <v>158685.4253682128</v>
      </c>
      <c r="X139" s="92">
        <f>+X133+X138</f>
        <v>151891.74</v>
      </c>
      <c r="Y139" s="728">
        <f t="shared" ref="Y139:Z139" si="702">+Y133+Y138</f>
        <v>481193.53365913045</v>
      </c>
      <c r="Z139" s="728">
        <f t="shared" si="702"/>
        <v>472932.82999999996</v>
      </c>
      <c r="AA139" s="2529">
        <f t="shared" si="664"/>
        <v>945476.2261935405</v>
      </c>
      <c r="AB139" s="463">
        <f t="shared" si="665"/>
        <v>922522.80489999999</v>
      </c>
      <c r="AC139" s="537">
        <f>+AC133+AC138</f>
        <v>163974.93954715322</v>
      </c>
      <c r="AD139" s="92">
        <f>+AD133+AD138</f>
        <v>154871</v>
      </c>
      <c r="AE139" s="27">
        <f t="shared" ref="AE139:AF139" si="703">+AE133+AE138</f>
        <v>1109451.1657406937</v>
      </c>
      <c r="AF139" s="27">
        <f t="shared" si="703"/>
        <v>1077393.8049000001</v>
      </c>
      <c r="AG139" s="537">
        <f>+AG133+AG138</f>
        <v>158685.4253682128</v>
      </c>
      <c r="AH139" s="92">
        <f>+AH133+AH138</f>
        <v>141408.24</v>
      </c>
      <c r="AI139" s="27">
        <f t="shared" ref="AI139:AJ139" si="704">+AI133+AI138</f>
        <v>1268136.5911089065</v>
      </c>
      <c r="AJ139" s="27">
        <f t="shared" si="704"/>
        <v>1218802.0448999999</v>
      </c>
      <c r="AK139" s="537">
        <f>+AK133+AK138</f>
        <v>163974.93954715322</v>
      </c>
      <c r="AL139" s="92">
        <f>+AL133+AL138</f>
        <v>155497.76</v>
      </c>
      <c r="AM139" s="728">
        <f t="shared" ref="AM139:AT139" si="705">+AM133+AM138</f>
        <v>486635.30446251924</v>
      </c>
      <c r="AN139" s="728">
        <f t="shared" si="705"/>
        <v>451777</v>
      </c>
      <c r="AO139" s="27">
        <f t="shared" si="705"/>
        <v>1432111.5306560595</v>
      </c>
      <c r="AP139" s="27">
        <f t="shared" si="705"/>
        <v>1374299.8048999999</v>
      </c>
      <c r="AQ139" s="537">
        <f>+AQ133+AQ138</f>
        <v>163974.93954715322</v>
      </c>
      <c r="AR139" s="92">
        <f>+AR133+AR138</f>
        <v>155497.76</v>
      </c>
      <c r="AS139" s="27">
        <f t="shared" si="705"/>
        <v>1596086.4702032127</v>
      </c>
      <c r="AT139" s="27">
        <f t="shared" si="705"/>
        <v>1529797.5649000001</v>
      </c>
      <c r="AU139" s="537">
        <f>+AU133+AU138</f>
        <v>148106.39701033192</v>
      </c>
      <c r="AV139" s="92">
        <f>+AV133+AV138</f>
        <v>139321.30000000002</v>
      </c>
      <c r="AW139" s="27">
        <f t="shared" ref="AW139:AX139" si="706">+AW133+AW138</f>
        <v>1744192.8672135449</v>
      </c>
      <c r="AX139" s="27">
        <f t="shared" si="706"/>
        <v>1669118.8648999999</v>
      </c>
      <c r="AY139" s="537">
        <f>+AY133+AY138</f>
        <v>163974.93954715322</v>
      </c>
      <c r="AZ139" s="92">
        <f>+AZ133+AZ138</f>
        <v>152251.9</v>
      </c>
      <c r="BA139" s="728">
        <f t="shared" ref="BA139:BB139" si="707">+BA133+BA138</f>
        <v>476056.27610463835</v>
      </c>
      <c r="BB139" s="728">
        <f t="shared" si="707"/>
        <v>447070.96</v>
      </c>
      <c r="BC139" s="2883">
        <f>+AM139+BA139</f>
        <v>962691.58056715759</v>
      </c>
      <c r="BD139" s="2883">
        <f>+AN139+BB139</f>
        <v>898847.96</v>
      </c>
      <c r="BE139" s="27">
        <f t="shared" ref="BE139:BF139" si="708">+BE133+BE138</f>
        <v>1908167.8067606979</v>
      </c>
      <c r="BF139" s="27">
        <f t="shared" si="708"/>
        <v>1821370.7648999998</v>
      </c>
      <c r="BG139" s="1222"/>
      <c r="BH139" s="1222"/>
      <c r="BI139" s="4713"/>
      <c r="BJ139" s="4713"/>
      <c r="BK139" s="26"/>
      <c r="BL139" s="26"/>
      <c r="BM139" s="26"/>
      <c r="BN139" s="26"/>
    </row>
    <row r="140" spans="1:66" ht="15.75" customHeight="1" x14ac:dyDescent="0.25">
      <c r="B140" s="1918" t="s">
        <v>1009</v>
      </c>
      <c r="C140" s="1397" t="s">
        <v>50</v>
      </c>
      <c r="D140" s="7617">
        <f>+D104+D122</f>
        <v>91514.679628064303</v>
      </c>
      <c r="E140" s="7608">
        <f>+E104+E122</f>
        <v>7695.8579881656897</v>
      </c>
      <c r="F140" s="1326">
        <f>F104+F122</f>
        <v>0</v>
      </c>
      <c r="G140" s="7608">
        <f>+G104+G122</f>
        <v>7952.3865877711996</v>
      </c>
      <c r="H140" s="1326">
        <f>H104+H122</f>
        <v>0</v>
      </c>
      <c r="I140" s="7586">
        <f>+E140+G140</f>
        <v>15648.244575936889</v>
      </c>
      <c r="J140" s="62">
        <f>+F140+H140</f>
        <v>0</v>
      </c>
      <c r="K140" s="7608">
        <f>+K104+K122</f>
        <v>2803.1014</v>
      </c>
      <c r="L140" s="1326">
        <f>L104+L122</f>
        <v>2761.3</v>
      </c>
      <c r="M140" s="7594">
        <f>+K140+G140+E140</f>
        <v>18451.345975936889</v>
      </c>
      <c r="N140" s="1589">
        <f>+F140+H140+L140</f>
        <v>2761.3</v>
      </c>
      <c r="O140" s="7608">
        <f>+O104+O122</f>
        <v>2853.24</v>
      </c>
      <c r="P140" s="1326">
        <f>P104+P122</f>
        <v>2858.6</v>
      </c>
      <c r="Q140" s="7586">
        <f>+M140+O140</f>
        <v>21304.58597593689</v>
      </c>
      <c r="R140" s="62">
        <f>+N140+P140</f>
        <v>5619.9</v>
      </c>
      <c r="S140" s="7608">
        <f>+S104+S122</f>
        <v>2853.24</v>
      </c>
      <c r="T140" s="1326">
        <f>T104+T122</f>
        <v>2013.3</v>
      </c>
      <c r="U140" s="7586">
        <f>+Q140+S140</f>
        <v>24157.825975936888</v>
      </c>
      <c r="V140" s="62">
        <f>+R140+T140</f>
        <v>7633.2</v>
      </c>
      <c r="W140" s="7608">
        <f>+W104+W122</f>
        <v>2761.2</v>
      </c>
      <c r="X140" s="1326">
        <f>X104+X122</f>
        <v>2248.58</v>
      </c>
      <c r="Y140" s="7594">
        <f>O140+S140+W140</f>
        <v>8467.68</v>
      </c>
      <c r="Z140" s="1126">
        <f t="shared" ref="Z140:Z142" si="709">+P140+T140+X140</f>
        <v>7120.48</v>
      </c>
      <c r="AA140" s="7597">
        <f>Y140+M140</f>
        <v>26919.025975936889</v>
      </c>
      <c r="AB140" s="797">
        <f t="shared" ref="AB140:AB142" si="710">+N140+Z140</f>
        <v>9881.7799999999988</v>
      </c>
      <c r="AC140" s="7608">
        <f>+AC104+AC122</f>
        <v>2853.24</v>
      </c>
      <c r="AD140" s="1326">
        <f>AD104+AD122</f>
        <v>3153</v>
      </c>
      <c r="AE140" s="7586">
        <f>+AA140+AC140</f>
        <v>29772.265975936891</v>
      </c>
      <c r="AF140" s="62">
        <f>+AB140+AD140</f>
        <v>13034.779999999999</v>
      </c>
      <c r="AG140" s="7608">
        <f>+AG104+AG122</f>
        <v>2761.2040133779301</v>
      </c>
      <c r="AH140" s="1326">
        <f>AH104+AH122</f>
        <v>7156.8</v>
      </c>
      <c r="AI140" s="7586">
        <f>+AE140+AG140</f>
        <v>32533.469989314821</v>
      </c>
      <c r="AJ140" s="62">
        <f>+AF140+AH140</f>
        <v>20191.579999999998</v>
      </c>
      <c r="AK140" s="7608">
        <f>+AK104+AK122</f>
        <v>2853.2441471571901</v>
      </c>
      <c r="AL140" s="1326">
        <f>AL104+AL122</f>
        <v>1630.7</v>
      </c>
      <c r="AM140" s="7594">
        <f>AC140+AG140+AK140</f>
        <v>8467.6881605351191</v>
      </c>
      <c r="AN140" s="2731">
        <f t="shared" ref="AN140:AN142" si="711">+AD140+AH140+AL140</f>
        <v>11940.5</v>
      </c>
      <c r="AO140" s="7586">
        <f>AI140+AK140</f>
        <v>35386.714136472008</v>
      </c>
      <c r="AP140" s="761">
        <f t="shared" ref="AP140:AP142" si="712">AJ140+AL140</f>
        <v>21822.28</v>
      </c>
      <c r="AQ140" s="7608">
        <f>+AQ104+AQ122</f>
        <v>2853.2441471571901</v>
      </c>
      <c r="AR140" s="1326">
        <f>AR104+AR122</f>
        <v>0</v>
      </c>
      <c r="AS140" s="7586">
        <f>+AO140+AQ140</f>
        <v>38239.958283629196</v>
      </c>
      <c r="AT140" s="62">
        <f>+AP140+AR140</f>
        <v>21822.28</v>
      </c>
      <c r="AU140" s="7608">
        <f>+AU104+AU122</f>
        <v>2577.1237458194</v>
      </c>
      <c r="AV140" s="1326">
        <f>AV104+AV122</f>
        <v>0</v>
      </c>
      <c r="AW140" s="7586">
        <f>+AS140+AU140</f>
        <v>40817.082029448597</v>
      </c>
      <c r="AX140" s="62">
        <f>+AT140+AV140</f>
        <v>21822.28</v>
      </c>
      <c r="AY140" s="7608">
        <f>+AY104+AY122</f>
        <v>2853.2441471571901</v>
      </c>
      <c r="AZ140" s="1326">
        <f>AZ104+AZ122</f>
        <v>0</v>
      </c>
      <c r="BA140" s="7594">
        <f>AQ140+AU140+AY140</f>
        <v>8283.6120401337794</v>
      </c>
      <c r="BB140" s="6417">
        <f t="shared" ref="BB140:BB142" si="713">+AR140+AV140+AZ140</f>
        <v>0</v>
      </c>
      <c r="BC140" s="7597">
        <f>BA140+AM140</f>
        <v>16751.300200668898</v>
      </c>
      <c r="BD140" s="2883">
        <f>+AN140+BB140</f>
        <v>11940.5</v>
      </c>
      <c r="BE140" s="7585">
        <f>+AW140+AY140</f>
        <v>43670.326176605784</v>
      </c>
      <c r="BF140" s="6421">
        <f t="shared" ref="BF140:BF142" si="714">AX140+AZ140</f>
        <v>21822.28</v>
      </c>
      <c r="BG140" s="1222"/>
      <c r="BH140" s="1222"/>
      <c r="BI140" s="4713"/>
      <c r="BJ140" s="4713"/>
      <c r="BK140" s="26"/>
      <c r="BL140" s="26"/>
      <c r="BM140" s="26"/>
      <c r="BN140" s="26"/>
    </row>
    <row r="141" spans="1:66" ht="15.75" thickBot="1" x14ac:dyDescent="0.3">
      <c r="B141" s="1918" t="s">
        <v>1189</v>
      </c>
      <c r="C141" s="1397" t="s">
        <v>50</v>
      </c>
      <c r="D141" s="7618"/>
      <c r="E141" s="7609"/>
      <c r="F141" s="1326">
        <f>+F105+F123</f>
        <v>11266.765100000001</v>
      </c>
      <c r="G141" s="7609"/>
      <c r="H141" s="1326">
        <f>+H105+H123</f>
        <v>10256.740000000002</v>
      </c>
      <c r="I141" s="7585"/>
      <c r="J141" s="62">
        <f>+F141+H141</f>
        <v>21523.505100000002</v>
      </c>
      <c r="K141" s="7609"/>
      <c r="L141" s="1326">
        <f>+L105+L123</f>
        <v>0</v>
      </c>
      <c r="M141" s="7595"/>
      <c r="N141" s="1589">
        <f>+F141+H141+L141</f>
        <v>21523.505100000002</v>
      </c>
      <c r="O141" s="7609"/>
      <c r="P141" s="1326">
        <f>+P105+P123</f>
        <v>0</v>
      </c>
      <c r="Q141" s="7585"/>
      <c r="R141" s="62">
        <f>+N141+P141</f>
        <v>21523.505100000002</v>
      </c>
      <c r="S141" s="7609"/>
      <c r="T141" s="1326">
        <f>+T105+T123</f>
        <v>1806.3</v>
      </c>
      <c r="U141" s="7585"/>
      <c r="V141" s="62">
        <f>+R141+T141</f>
        <v>23329.805100000001</v>
      </c>
      <c r="W141" s="7609"/>
      <c r="X141" s="1326">
        <f>+X105+X123</f>
        <v>4515.8</v>
      </c>
      <c r="Y141" s="7595"/>
      <c r="Z141" s="1126">
        <f t="shared" si="709"/>
        <v>6322.1</v>
      </c>
      <c r="AA141" s="7598"/>
      <c r="AB141" s="797">
        <f t="shared" si="710"/>
        <v>27845.605100000001</v>
      </c>
      <c r="AC141" s="7609"/>
      <c r="AD141" s="1326">
        <f>+AD105+AD123</f>
        <v>4603</v>
      </c>
      <c r="AE141" s="7585"/>
      <c r="AF141" s="62">
        <f t="shared" ref="AF141:AF142" si="715">+AB141+AD141</f>
        <v>32448.605100000001</v>
      </c>
      <c r="AG141" s="7609"/>
      <c r="AH141" s="1326">
        <f>+AH105+AH123</f>
        <v>2673.4</v>
      </c>
      <c r="AI141" s="7585"/>
      <c r="AJ141" s="62">
        <f t="shared" ref="AJ141:AJ142" si="716">+AF141+AH141</f>
        <v>35122.005100000002</v>
      </c>
      <c r="AK141" s="7609"/>
      <c r="AL141" s="1326">
        <f>+AL105+AL123</f>
        <v>6138.26</v>
      </c>
      <c r="AM141" s="7595"/>
      <c r="AN141" s="2731">
        <f t="shared" si="711"/>
        <v>13414.66</v>
      </c>
      <c r="AO141" s="7585"/>
      <c r="AP141" s="761">
        <f t="shared" si="712"/>
        <v>41260.265100000004</v>
      </c>
      <c r="AQ141" s="7609"/>
      <c r="AR141" s="1326">
        <f>+AR105+AR123</f>
        <v>7768.96</v>
      </c>
      <c r="AS141" s="7585"/>
      <c r="AT141" s="62">
        <f t="shared" ref="AT141:AT142" si="717">+AP141+AR141</f>
        <v>49029.225100000003</v>
      </c>
      <c r="AU141" s="7609"/>
      <c r="AV141" s="1326">
        <f>+AV105+AV123</f>
        <v>7886.9599999999991</v>
      </c>
      <c r="AW141" s="7585"/>
      <c r="AX141" s="62">
        <f t="shared" ref="AX141:AX142" si="718">+AT141+AV141</f>
        <v>56916.185100000002</v>
      </c>
      <c r="AY141" s="7609"/>
      <c r="AZ141" s="1326">
        <f>+AZ105+AZ123</f>
        <v>11188.189999999999</v>
      </c>
      <c r="BA141" s="7595"/>
      <c r="BB141" s="6417">
        <f t="shared" si="713"/>
        <v>26844.109999999997</v>
      </c>
      <c r="BC141" s="7598"/>
      <c r="BD141" s="2883">
        <f>+AN141+BB141</f>
        <v>40258.769999999997</v>
      </c>
      <c r="BE141" s="7585"/>
      <c r="BF141" s="6421">
        <f t="shared" si="714"/>
        <v>68104.375100000005</v>
      </c>
      <c r="BG141" s="1222"/>
      <c r="BH141" s="1222"/>
      <c r="BI141" s="4713"/>
      <c r="BJ141" s="4713"/>
      <c r="BK141" s="26"/>
      <c r="BL141" s="26"/>
      <c r="BM141" s="26"/>
      <c r="BN141" s="26"/>
    </row>
    <row r="142" spans="1:66" ht="15.75" hidden="1" customHeight="1" thickBot="1" x14ac:dyDescent="0.3">
      <c r="A142" s="148"/>
      <c r="B142" s="1906" t="s">
        <v>1137</v>
      </c>
      <c r="C142" s="1397" t="s">
        <v>50</v>
      </c>
      <c r="D142" s="7619"/>
      <c r="E142" s="7610"/>
      <c r="F142" s="1326">
        <f>+F106+F124</f>
        <v>0</v>
      </c>
      <c r="G142" s="7610"/>
      <c r="H142" s="1326">
        <f>+H106+H124</f>
        <v>0</v>
      </c>
      <c r="I142" s="7587"/>
      <c r="J142" s="62">
        <f>+F142+H142</f>
        <v>0</v>
      </c>
      <c r="K142" s="7610"/>
      <c r="L142" s="1326">
        <f>+L106+L124</f>
        <v>0</v>
      </c>
      <c r="M142" s="7596"/>
      <c r="N142" s="1589">
        <f>+F142+H142+L142</f>
        <v>0</v>
      </c>
      <c r="O142" s="7610"/>
      <c r="P142" s="1326">
        <f>+P106+P124</f>
        <v>0</v>
      </c>
      <c r="Q142" s="7587"/>
      <c r="R142" s="62">
        <f>+N142+P142</f>
        <v>0</v>
      </c>
      <c r="S142" s="7610"/>
      <c r="T142" s="1326">
        <f>+T106+T124</f>
        <v>0</v>
      </c>
      <c r="U142" s="7587"/>
      <c r="V142" s="62">
        <f>+R142+T142</f>
        <v>0</v>
      </c>
      <c r="W142" s="7610"/>
      <c r="X142" s="1326">
        <f>+X106+X124</f>
        <v>0</v>
      </c>
      <c r="Y142" s="7596"/>
      <c r="Z142" s="1126">
        <f t="shared" si="709"/>
        <v>0</v>
      </c>
      <c r="AA142" s="7599"/>
      <c r="AB142" s="797">
        <f t="shared" si="710"/>
        <v>0</v>
      </c>
      <c r="AC142" s="7610"/>
      <c r="AD142" s="1326">
        <f>+AD106+AD124</f>
        <v>0</v>
      </c>
      <c r="AE142" s="7587"/>
      <c r="AF142" s="62">
        <f t="shared" si="715"/>
        <v>0</v>
      </c>
      <c r="AG142" s="7610"/>
      <c r="AH142" s="1326">
        <f>+AH106+AH124</f>
        <v>0</v>
      </c>
      <c r="AI142" s="7587"/>
      <c r="AJ142" s="62">
        <f t="shared" si="716"/>
        <v>0</v>
      </c>
      <c r="AK142" s="7610"/>
      <c r="AL142" s="1326">
        <f>+AL106+AL124</f>
        <v>0</v>
      </c>
      <c r="AM142" s="7596"/>
      <c r="AN142" s="2731">
        <f t="shared" si="711"/>
        <v>0</v>
      </c>
      <c r="AO142" s="7587"/>
      <c r="AP142" s="761">
        <f t="shared" si="712"/>
        <v>0</v>
      </c>
      <c r="AQ142" s="7610"/>
      <c r="AR142" s="1326">
        <f>+AR106+AR124</f>
        <v>0</v>
      </c>
      <c r="AS142" s="7587"/>
      <c r="AT142" s="62">
        <f t="shared" si="717"/>
        <v>0</v>
      </c>
      <c r="AU142" s="7610"/>
      <c r="AV142" s="1326">
        <f>+AV106+AV124</f>
        <v>0</v>
      </c>
      <c r="AW142" s="7587"/>
      <c r="AX142" s="62">
        <f t="shared" si="718"/>
        <v>0</v>
      </c>
      <c r="AY142" s="7610"/>
      <c r="AZ142" s="1326">
        <f>+AZ106+AZ124</f>
        <v>0</v>
      </c>
      <c r="BA142" s="7596"/>
      <c r="BB142" s="6417">
        <f t="shared" si="713"/>
        <v>0</v>
      </c>
      <c r="BC142" s="7599"/>
      <c r="BD142" s="2883">
        <f>+AN142+BB142</f>
        <v>0</v>
      </c>
      <c r="BE142" s="7585"/>
      <c r="BF142" s="6421">
        <f t="shared" si="714"/>
        <v>0</v>
      </c>
      <c r="BG142" s="1222"/>
      <c r="BH142" s="1222"/>
      <c r="BI142" s="4713"/>
      <c r="BJ142" s="4713"/>
      <c r="BK142" s="26"/>
      <c r="BL142" s="26"/>
      <c r="BM142" s="26"/>
      <c r="BN142" s="26"/>
    </row>
    <row r="143" spans="1:66" ht="16.5" thickBot="1" x14ac:dyDescent="0.3">
      <c r="A143" s="148"/>
      <c r="B143" s="1919" t="s">
        <v>11</v>
      </c>
      <c r="C143" s="1939" t="s">
        <v>50</v>
      </c>
      <c r="D143" s="215">
        <f>SUM(D139:D142)</f>
        <v>1956399.2955824803</v>
      </c>
      <c r="E143" s="1940">
        <f>SUM(E139:E142)</f>
        <v>163247.8238001315</v>
      </c>
      <c r="F143" s="1420">
        <f>SUM(F139:F142)</f>
        <v>156106.10999999999</v>
      </c>
      <c r="G143" s="1940">
        <f>SUM(G139:G142)</f>
        <v>168689.41792680253</v>
      </c>
      <c r="H143" s="1420">
        <f>SUM(H139:H142)</f>
        <v>161964.25</v>
      </c>
      <c r="I143" s="1420">
        <f t="shared" ref="I143:N143" si="719">SUM(I139:I142)</f>
        <v>331937.24172693404</v>
      </c>
      <c r="J143" s="1420">
        <f t="shared" si="719"/>
        <v>318070.36</v>
      </c>
      <c r="K143" s="1940">
        <f>SUM(K139:K142)</f>
        <v>159099.57456119068</v>
      </c>
      <c r="L143" s="1420">
        <f>SUM(L139:L142)</f>
        <v>155804.41999999998</v>
      </c>
      <c r="M143" s="1941">
        <f t="shared" si="719"/>
        <v>482734.03851034696</v>
      </c>
      <c r="N143" s="1583">
        <f t="shared" si="719"/>
        <v>473874.78</v>
      </c>
      <c r="O143" s="1940">
        <f>SUM(O139:O142)</f>
        <v>161386.40874376445</v>
      </c>
      <c r="P143" s="1420">
        <f>SUM(P139:P142)</f>
        <v>163367.82999999999</v>
      </c>
      <c r="Q143" s="1420">
        <f t="shared" ref="Q143:R143" si="720">SUM(Q139:Q142)</f>
        <v>644120.44725411129</v>
      </c>
      <c r="R143" s="1420">
        <f t="shared" si="720"/>
        <v>637242.61</v>
      </c>
      <c r="S143" s="1940">
        <f>SUM(S139:S142)</f>
        <v>166828.17954715321</v>
      </c>
      <c r="T143" s="1420">
        <f>SUM(T139:T142)</f>
        <v>164351.46</v>
      </c>
      <c r="U143" s="1420">
        <f t="shared" ref="U143:V143" si="721">SUM(U139:U142)</f>
        <v>810948.62680126447</v>
      </c>
      <c r="V143" s="1420">
        <f t="shared" si="721"/>
        <v>801594.07</v>
      </c>
      <c r="W143" s="1940">
        <f>SUM(W139:W142)</f>
        <v>161446.62536821282</v>
      </c>
      <c r="X143" s="1420">
        <f>SUM(X139:X142)</f>
        <v>158656.11999999997</v>
      </c>
      <c r="Y143" s="67">
        <f t="shared" ref="Y143:AF143" si="722">SUM(Y139:Y142)</f>
        <v>489661.21365913044</v>
      </c>
      <c r="Z143" s="67">
        <f t="shared" si="722"/>
        <v>486375.40999999992</v>
      </c>
      <c r="AA143" s="2531">
        <f t="shared" si="722"/>
        <v>972395.2521694774</v>
      </c>
      <c r="AB143" s="460">
        <f t="shared" si="722"/>
        <v>960250.19000000006</v>
      </c>
      <c r="AC143" s="1940">
        <f>SUM(AC139:AC142)</f>
        <v>166828.17954715321</v>
      </c>
      <c r="AD143" s="1420">
        <f>SUM(AD139:AD142)</f>
        <v>162627</v>
      </c>
      <c r="AE143" s="1420">
        <f t="shared" si="722"/>
        <v>1139223.4317166305</v>
      </c>
      <c r="AF143" s="1420">
        <f t="shared" si="722"/>
        <v>1122877.1900000002</v>
      </c>
      <c r="AG143" s="1940">
        <f>SUM(AG139:AG142)</f>
        <v>161446.62938159073</v>
      </c>
      <c r="AH143" s="1420">
        <f>SUM(AH139:AH142)</f>
        <v>151238.43999999997</v>
      </c>
      <c r="AI143" s="1420">
        <f t="shared" ref="AI143:AN143" si="723">SUM(AI139:AI142)</f>
        <v>1300670.0610982215</v>
      </c>
      <c r="AJ143" s="1420">
        <f t="shared" si="723"/>
        <v>1274115.6299999999</v>
      </c>
      <c r="AK143" s="1940">
        <f>SUM(AK139:AK142)</f>
        <v>166828.1836943104</v>
      </c>
      <c r="AL143" s="1420">
        <f>SUM(AL139:AL142)</f>
        <v>163266.72000000003</v>
      </c>
      <c r="AM143" s="67">
        <f t="shared" si="723"/>
        <v>495102.99262305436</v>
      </c>
      <c r="AN143" s="67">
        <f t="shared" si="723"/>
        <v>477132.16</v>
      </c>
      <c r="AO143" s="1420">
        <f t="shared" ref="AO143:AT143" si="724">SUM(AO139:AO142)</f>
        <v>1467498.2447925315</v>
      </c>
      <c r="AP143" s="1420">
        <f t="shared" si="724"/>
        <v>1437382.3499999999</v>
      </c>
      <c r="AQ143" s="1940">
        <f>SUM(AQ139:AQ142)</f>
        <v>166828.1836943104</v>
      </c>
      <c r="AR143" s="1420">
        <f>SUM(AR139:AR142)</f>
        <v>163266.72</v>
      </c>
      <c r="AS143" s="1420">
        <f t="shared" si="724"/>
        <v>1634326.428486842</v>
      </c>
      <c r="AT143" s="1420">
        <f t="shared" si="724"/>
        <v>1600649.07</v>
      </c>
      <c r="AU143" s="1940">
        <f>SUM(AU139:AU142)</f>
        <v>150683.52075615132</v>
      </c>
      <c r="AV143" s="1420">
        <f>SUM(AV139:AV142)</f>
        <v>147208.26</v>
      </c>
      <c r="AW143" s="1420">
        <f t="shared" ref="AW143:AX143" si="725">SUM(AW139:AW142)</f>
        <v>1785009.9492429935</v>
      </c>
      <c r="AX143" s="1420">
        <f t="shared" si="725"/>
        <v>1747857.33</v>
      </c>
      <c r="AY143" s="1940">
        <f>SUM(AY139:AY142)</f>
        <v>166828.1836943104</v>
      </c>
      <c r="AZ143" s="1420">
        <f>SUM(AZ139:AZ142)</f>
        <v>163440.09</v>
      </c>
      <c r="BA143" s="67">
        <f t="shared" ref="BA143:BB143" si="726">SUM(BA139:BA142)</f>
        <v>484339.88814477215</v>
      </c>
      <c r="BB143" s="67">
        <f t="shared" si="726"/>
        <v>473915.07</v>
      </c>
      <c r="BC143" s="2531">
        <f t="shared" ref="BC143:BD143" si="727">SUM(BC139:BC142)</f>
        <v>979442.88076782646</v>
      </c>
      <c r="BD143" s="460">
        <f t="shared" si="727"/>
        <v>951047.23</v>
      </c>
      <c r="BE143" s="1420">
        <f t="shared" ref="BE143:BF143" si="728">SUM(BE139:BE142)</f>
        <v>1951838.1329373037</v>
      </c>
      <c r="BF143" s="1420">
        <f t="shared" si="728"/>
        <v>1911297.42</v>
      </c>
      <c r="BG143" s="1222"/>
      <c r="BH143" s="1222"/>
      <c r="BI143" s="4713"/>
      <c r="BJ143" s="4713"/>
      <c r="BK143" s="26"/>
      <c r="BL143" s="26"/>
      <c r="BM143" s="26"/>
      <c r="BN143" s="26"/>
    </row>
    <row r="144" spans="1:66" ht="19.5" thickBot="1" x14ac:dyDescent="0.3">
      <c r="A144" s="148"/>
      <c r="B144" s="1924" t="s">
        <v>1141</v>
      </c>
      <c r="C144" s="1942"/>
      <c r="D144" s="1942"/>
      <c r="E144" s="1942"/>
      <c r="F144" s="1942"/>
      <c r="G144" s="1942"/>
      <c r="H144" s="1942"/>
      <c r="I144" s="1942"/>
      <c r="J144" s="1942"/>
      <c r="K144" s="1942"/>
      <c r="L144" s="1942"/>
      <c r="M144" s="1942"/>
      <c r="N144" s="1942"/>
      <c r="O144" s="1942"/>
      <c r="P144" s="1942"/>
      <c r="Q144" s="1942"/>
      <c r="R144" s="1942"/>
      <c r="S144" s="1942"/>
      <c r="T144" s="1942"/>
      <c r="U144" s="1942"/>
      <c r="V144" s="1942"/>
      <c r="W144" s="1942"/>
      <c r="X144" s="1942"/>
      <c r="Y144" s="1942"/>
      <c r="Z144" s="1942"/>
      <c r="AA144" s="2597"/>
      <c r="AB144" s="1943"/>
      <c r="AC144" s="1942"/>
      <c r="AD144" s="1942"/>
      <c r="AE144" s="1942"/>
      <c r="AF144" s="1943"/>
      <c r="AG144" s="1942"/>
      <c r="AH144" s="1942"/>
      <c r="AI144" s="1942"/>
      <c r="AJ144" s="1943"/>
      <c r="AK144" s="1942"/>
      <c r="AL144" s="1942"/>
      <c r="AM144" s="1942"/>
      <c r="AN144" s="1942"/>
      <c r="AO144" s="1942"/>
      <c r="AP144" s="1943"/>
      <c r="AQ144" s="1942"/>
      <c r="AR144" s="1942"/>
      <c r="AS144" s="1942"/>
      <c r="AT144" s="1943"/>
      <c r="AU144" s="1942"/>
      <c r="AV144" s="1942"/>
      <c r="AW144" s="1942"/>
      <c r="AX144" s="1943"/>
      <c r="AY144" s="1942"/>
      <c r="AZ144" s="1942"/>
      <c r="BA144" s="1942"/>
      <c r="BB144" s="1942"/>
      <c r="BC144" s="2597"/>
      <c r="BD144" s="1943"/>
      <c r="BE144" s="1942"/>
      <c r="BF144" s="1943"/>
      <c r="BG144" s="1222"/>
      <c r="BH144" s="1222"/>
      <c r="BI144" s="4713"/>
      <c r="BJ144" s="4713"/>
      <c r="BK144" s="26"/>
      <c r="BL144" s="26"/>
      <c r="BM144" s="26"/>
      <c r="BN144" s="26"/>
    </row>
    <row r="145" spans="1:66" ht="19.5" thickBot="1" x14ac:dyDescent="0.3">
      <c r="B145" s="1926" t="s">
        <v>648</v>
      </c>
      <c r="C145" s="1901"/>
      <c r="D145" s="1901"/>
      <c r="E145" s="1901"/>
      <c r="F145" s="1901"/>
      <c r="G145" s="1901"/>
      <c r="H145" s="1901"/>
      <c r="I145" s="1901"/>
      <c r="J145" s="1901"/>
      <c r="K145" s="1901"/>
      <c r="L145" s="1901"/>
      <c r="M145" s="1901"/>
      <c r="N145" s="1901"/>
      <c r="O145" s="1901"/>
      <c r="P145" s="1901"/>
      <c r="Q145" s="1901"/>
      <c r="R145" s="1901"/>
      <c r="S145" s="1901"/>
      <c r="T145" s="1901"/>
      <c r="U145" s="1901"/>
      <c r="V145" s="1901"/>
      <c r="W145" s="1901"/>
      <c r="X145" s="1901"/>
      <c r="Y145" s="1928"/>
      <c r="Z145" s="1928"/>
      <c r="AA145" s="2598"/>
      <c r="AB145" s="1929"/>
      <c r="AC145" s="1901"/>
      <c r="AD145" s="1901"/>
      <c r="AE145" s="1901"/>
      <c r="AF145" s="1902"/>
      <c r="AG145" s="1901"/>
      <c r="AH145" s="1901"/>
      <c r="AI145" s="1901"/>
      <c r="AJ145" s="1902"/>
      <c r="AK145" s="1901"/>
      <c r="AL145" s="1901"/>
      <c r="AM145" s="1928"/>
      <c r="AN145" s="1928"/>
      <c r="AO145" s="1901"/>
      <c r="AP145" s="1902"/>
      <c r="AQ145" s="1901"/>
      <c r="AR145" s="1901"/>
      <c r="AS145" s="1901"/>
      <c r="AT145" s="1902"/>
      <c r="AU145" s="1901"/>
      <c r="AV145" s="1901"/>
      <c r="AW145" s="1901"/>
      <c r="AX145" s="1902"/>
      <c r="AY145" s="1901"/>
      <c r="AZ145" s="1901"/>
      <c r="BA145" s="1928"/>
      <c r="BB145" s="1928"/>
      <c r="BC145" s="2598"/>
      <c r="BD145" s="1929"/>
      <c r="BE145" s="1901"/>
      <c r="BF145" s="1902"/>
      <c r="BG145" s="1222"/>
      <c r="BH145" s="1222"/>
      <c r="BI145" s="4713"/>
      <c r="BJ145" s="4713"/>
      <c r="BK145" s="26"/>
      <c r="BL145" s="26"/>
      <c r="BM145" s="26"/>
      <c r="BN145" s="26"/>
    </row>
    <row r="146" spans="1:66" ht="15.75" x14ac:dyDescent="0.25">
      <c r="B146" s="1958" t="s">
        <v>427</v>
      </c>
      <c r="C146" s="1935"/>
      <c r="D146" s="239"/>
      <c r="E146" s="784"/>
      <c r="F146" s="610"/>
      <c r="G146" s="784"/>
      <c r="H146" s="610"/>
      <c r="I146" s="239"/>
      <c r="J146" s="239"/>
      <c r="K146" s="784"/>
      <c r="L146" s="610"/>
      <c r="M146" s="784"/>
      <c r="N146" s="610"/>
      <c r="O146" s="784"/>
      <c r="P146" s="610"/>
      <c r="Q146" s="239"/>
      <c r="R146" s="239"/>
      <c r="S146" s="784"/>
      <c r="T146" s="610"/>
      <c r="U146" s="239"/>
      <c r="V146" s="239"/>
      <c r="W146" s="784"/>
      <c r="X146" s="610"/>
      <c r="Y146" s="239"/>
      <c r="Z146" s="239"/>
      <c r="AA146" s="2517"/>
      <c r="AB146" s="610"/>
      <c r="AC146" s="784"/>
      <c r="AD146" s="610"/>
      <c r="AE146" s="239"/>
      <c r="AF146" s="610"/>
      <c r="AG146" s="784"/>
      <c r="AH146" s="610"/>
      <c r="AI146" s="239"/>
      <c r="AJ146" s="610"/>
      <c r="AK146" s="784"/>
      <c r="AL146" s="610"/>
      <c r="AM146" s="239"/>
      <c r="AN146" s="239"/>
      <c r="AO146" s="239"/>
      <c r="AP146" s="610"/>
      <c r="AQ146" s="784"/>
      <c r="AR146" s="610"/>
      <c r="AS146" s="239"/>
      <c r="AT146" s="610"/>
      <c r="AU146" s="784"/>
      <c r="AV146" s="610"/>
      <c r="AW146" s="239"/>
      <c r="AX146" s="610"/>
      <c r="AY146" s="784"/>
      <c r="AZ146" s="610"/>
      <c r="BA146" s="239"/>
      <c r="BB146" s="239"/>
      <c r="BC146" s="2517"/>
      <c r="BD146" s="610"/>
      <c r="BE146" s="239"/>
      <c r="BF146" s="610"/>
      <c r="BG146" s="1222"/>
      <c r="BH146" s="1222"/>
      <c r="BI146" s="4713"/>
      <c r="BJ146" s="4713"/>
      <c r="BK146" s="26"/>
      <c r="BL146" s="26"/>
      <c r="BM146" s="26"/>
      <c r="BN146" s="26"/>
    </row>
    <row r="147" spans="1:66" x14ac:dyDescent="0.25">
      <c r="B147" s="1904" t="s">
        <v>194</v>
      </c>
      <c r="C147" s="1395" t="s">
        <v>49</v>
      </c>
      <c r="D147" s="106">
        <f t="shared" ref="D147:AX147" si="729">+D97/D107*100</f>
        <v>67.058952925648924</v>
      </c>
      <c r="E147" s="770">
        <f t="shared" si="729"/>
        <v>67.058952925648924</v>
      </c>
      <c r="F147" s="120">
        <f t="shared" si="729"/>
        <v>63.466660860350856</v>
      </c>
      <c r="G147" s="770">
        <f t="shared" ref="G147:H147" si="730">+G97/G107*100</f>
        <v>67.058952925648924</v>
      </c>
      <c r="H147" s="120">
        <f t="shared" si="730"/>
        <v>65.22577655770526</v>
      </c>
      <c r="I147" s="54">
        <f t="shared" si="729"/>
        <v>67.058952925648924</v>
      </c>
      <c r="J147" s="167">
        <f t="shared" si="729"/>
        <v>64.362502103666912</v>
      </c>
      <c r="K147" s="770">
        <f t="shared" si="729"/>
        <v>69.038271275606405</v>
      </c>
      <c r="L147" s="120">
        <f t="shared" si="729"/>
        <v>68.99999637850425</v>
      </c>
      <c r="M147" s="77">
        <f t="shared" si="729"/>
        <v>67.150575021343002</v>
      </c>
      <c r="N147" s="175">
        <f t="shared" si="729"/>
        <v>65.89124197082667</v>
      </c>
      <c r="O147" s="770">
        <f t="shared" si="729"/>
        <v>69.038276180006989</v>
      </c>
      <c r="P147" s="120">
        <f t="shared" si="729"/>
        <v>69.000010494537605</v>
      </c>
      <c r="Q147" s="54">
        <f t="shared" si="729"/>
        <v>67.627076811847701</v>
      </c>
      <c r="R147" s="167">
        <f t="shared" si="729"/>
        <v>66.682227996776177</v>
      </c>
      <c r="S147" s="770">
        <f t="shared" si="729"/>
        <v>69.038276180006989</v>
      </c>
      <c r="T147" s="120">
        <f t="shared" si="729"/>
        <v>67.451688336624969</v>
      </c>
      <c r="U147" s="54">
        <f t="shared" si="729"/>
        <v>67.911502066423864</v>
      </c>
      <c r="V147" s="167">
        <f t="shared" si="729"/>
        <v>66.840804870405066</v>
      </c>
      <c r="W147" s="770">
        <f t="shared" si="729"/>
        <v>69.038276180006989</v>
      </c>
      <c r="X147" s="120">
        <f t="shared" si="729"/>
        <v>66.000035430839006</v>
      </c>
      <c r="Y147" s="391">
        <f t="shared" si="729"/>
        <v>69.038276180007003</v>
      </c>
      <c r="Z147" s="175">
        <f t="shared" si="729"/>
        <v>67.489947670895418</v>
      </c>
      <c r="AA147" s="483">
        <f t="shared" si="729"/>
        <v>68.095406079736492</v>
      </c>
      <c r="AB147" s="481">
        <f t="shared" si="729"/>
        <v>66.701003505656743</v>
      </c>
      <c r="AC147" s="770">
        <f t="shared" si="729"/>
        <v>69.038276180006989</v>
      </c>
      <c r="AD147" s="120">
        <f t="shared" si="729"/>
        <v>66.001042752867562</v>
      </c>
      <c r="AE147" s="54">
        <f t="shared" si="729"/>
        <v>68.231475635701869</v>
      </c>
      <c r="AF147" s="167">
        <f t="shared" si="729"/>
        <v>66.599558359669118</v>
      </c>
      <c r="AG147" s="770">
        <f t="shared" si="729"/>
        <v>69.038271215565146</v>
      </c>
      <c r="AH147" s="120">
        <f t="shared" si="729"/>
        <v>66.000100994798771</v>
      </c>
      <c r="AI147" s="54">
        <f t="shared" si="729"/>
        <v>68.330343991077882</v>
      </c>
      <c r="AJ147" s="167">
        <f t="shared" si="729"/>
        <v>66.528409191809772</v>
      </c>
      <c r="AK147" s="770">
        <f t="shared" si="729"/>
        <v>69.038271215565146</v>
      </c>
      <c r="AL147" s="120">
        <f t="shared" si="729"/>
        <v>65.999979100703271</v>
      </c>
      <c r="AM147" s="391">
        <f t="shared" si="729"/>
        <v>69.038272888366109</v>
      </c>
      <c r="AN147" s="175">
        <f t="shared" si="729"/>
        <v>66.000381175623986</v>
      </c>
      <c r="AO147" s="54">
        <f t="shared" si="729"/>
        <v>68.409912607734086</v>
      </c>
      <c r="AP147" s="167">
        <f t="shared" si="729"/>
        <v>66.468670790000203</v>
      </c>
      <c r="AQ147" s="770">
        <f t="shared" si="729"/>
        <v>69.038271215565146</v>
      </c>
      <c r="AR147" s="120">
        <f t="shared" si="729"/>
        <v>70.967741935483858</v>
      </c>
      <c r="AS147" s="54">
        <f t="shared" si="729"/>
        <v>68.473401990886273</v>
      </c>
      <c r="AT147" s="167">
        <f t="shared" si="729"/>
        <v>66.925627126655073</v>
      </c>
      <c r="AU147" s="770">
        <f t="shared" si="729"/>
        <v>69.038271215565146</v>
      </c>
      <c r="AV147" s="120">
        <f t="shared" si="729"/>
        <v>67.928571428571431</v>
      </c>
      <c r="AW147" s="54">
        <f t="shared" si="729"/>
        <v>68.520641868821343</v>
      </c>
      <c r="AX147" s="167">
        <f t="shared" si="729"/>
        <v>67.00965039960883</v>
      </c>
      <c r="AY147" s="770">
        <f t="shared" ref="AY147:AZ147" si="731">+AY97/AY107*100</f>
        <v>69.038271215565146</v>
      </c>
      <c r="AZ147" s="120">
        <f t="shared" si="731"/>
        <v>64.903203199263231</v>
      </c>
      <c r="BA147" s="391">
        <f t="shared" ref="BA147:BF147" si="732">+BA97/BA107*100</f>
        <v>69.038271215565146</v>
      </c>
      <c r="BB147" s="175">
        <f t="shared" si="732"/>
        <v>67.933330038590526</v>
      </c>
      <c r="BC147" s="483">
        <f t="shared" si="732"/>
        <v>69.038272061156832</v>
      </c>
      <c r="BD147" s="481">
        <f t="shared" si="732"/>
        <v>66.961378035481985</v>
      </c>
      <c r="BE147" s="54">
        <f t="shared" si="732"/>
        <v>68.564507678280435</v>
      </c>
      <c r="BF147" s="167">
        <f t="shared" si="732"/>
        <v>66.830317170192984</v>
      </c>
      <c r="BG147" s="1222"/>
      <c r="BH147" s="1222"/>
      <c r="BI147" s="4713"/>
      <c r="BJ147" s="4713"/>
      <c r="BK147" s="26"/>
      <c r="BL147" s="26"/>
      <c r="BM147" s="26"/>
      <c r="BN147" s="26"/>
    </row>
    <row r="148" spans="1:66" x14ac:dyDescent="0.25">
      <c r="B148" s="1904" t="s">
        <v>195</v>
      </c>
      <c r="C148" s="1395" t="s">
        <v>49</v>
      </c>
      <c r="D148" s="106">
        <f t="shared" ref="D148:AX148" si="733">+D102/D107*100</f>
        <v>25.02199736031676</v>
      </c>
      <c r="E148" s="770">
        <f t="shared" si="733"/>
        <v>25.02199736031676</v>
      </c>
      <c r="F148" s="132">
        <f t="shared" si="733"/>
        <v>25.999956452631356</v>
      </c>
      <c r="G148" s="770">
        <f t="shared" ref="G148:H148" si="734">+G102/G107*100</f>
        <v>25.021997360316767</v>
      </c>
      <c r="H148" s="132">
        <f t="shared" si="734"/>
        <v>26.000017485115794</v>
      </c>
      <c r="I148" s="53">
        <f t="shared" si="733"/>
        <v>25.021997360316757</v>
      </c>
      <c r="J148" s="105">
        <f t="shared" si="733"/>
        <v>25.999987533825632</v>
      </c>
      <c r="K148" s="770">
        <f t="shared" si="733"/>
        <v>26.014421060373433</v>
      </c>
      <c r="L148" s="132">
        <f t="shared" si="733"/>
        <v>25.999985514016998</v>
      </c>
      <c r="M148" s="77">
        <f t="shared" si="733"/>
        <v>25.780353827893173</v>
      </c>
      <c r="N148" s="113">
        <f t="shared" si="733"/>
        <v>25.999986868000125</v>
      </c>
      <c r="O148" s="770">
        <f t="shared" si="733"/>
        <v>26.014422908408431</v>
      </c>
      <c r="P148" s="132">
        <f t="shared" si="733"/>
        <v>26.000041978150367</v>
      </c>
      <c r="Q148" s="53">
        <f t="shared" si="733"/>
        <v>25.839438569911472</v>
      </c>
      <c r="R148" s="105">
        <f t="shared" si="733"/>
        <v>26.000000890066548</v>
      </c>
      <c r="S148" s="770">
        <f t="shared" si="733"/>
        <v>26.014422908408431</v>
      </c>
      <c r="T148" s="132">
        <f t="shared" si="733"/>
        <v>26.000006857581742</v>
      </c>
      <c r="U148" s="53">
        <f t="shared" si="733"/>
        <v>25.87470641806021</v>
      </c>
      <c r="V148" s="105">
        <f t="shared" si="733"/>
        <v>26.000002119902387</v>
      </c>
      <c r="W148" s="770">
        <f t="shared" si="733"/>
        <v>26.014422908408431</v>
      </c>
      <c r="X148" s="132">
        <f t="shared" si="733"/>
        <v>26.000035430838999</v>
      </c>
      <c r="Y148" s="391">
        <f t="shared" si="733"/>
        <v>26.014422908408431</v>
      </c>
      <c r="Z148" s="113">
        <f t="shared" si="733"/>
        <v>26.000027915059125</v>
      </c>
      <c r="AA148" s="483">
        <f t="shared" si="733"/>
        <v>25.897509944509078</v>
      </c>
      <c r="AB148" s="471">
        <f t="shared" si="733"/>
        <v>26.000007658774493</v>
      </c>
      <c r="AC148" s="770">
        <f t="shared" si="733"/>
        <v>26.014422908408431</v>
      </c>
      <c r="AD148" s="132">
        <f t="shared" si="733"/>
        <v>25.999304831421622</v>
      </c>
      <c r="AE148" s="53">
        <f t="shared" si="733"/>
        <v>25.91438214681968</v>
      </c>
      <c r="AF148" s="105">
        <f t="shared" si="733"/>
        <v>25.999905798172833</v>
      </c>
      <c r="AG148" s="770">
        <f t="shared" si="733"/>
        <v>26.014421037749187</v>
      </c>
      <c r="AH148" s="132">
        <f t="shared" si="733"/>
        <v>24.269985280943214</v>
      </c>
      <c r="AI148" s="53">
        <f t="shared" si="733"/>
        <v>25.926641361999707</v>
      </c>
      <c r="AJ148" s="105">
        <f t="shared" si="733"/>
        <v>25.794582763580827</v>
      </c>
      <c r="AK148" s="770">
        <f t="shared" si="733"/>
        <v>26.014421037749191</v>
      </c>
      <c r="AL148" s="132">
        <f t="shared" si="733"/>
        <v>25.999944268542031</v>
      </c>
      <c r="AM148" s="391">
        <f t="shared" si="733"/>
        <v>26.01442166807999</v>
      </c>
      <c r="AN148" s="113">
        <f t="shared" si="733"/>
        <v>25.450538306665877</v>
      </c>
      <c r="AO148" s="53">
        <f t="shared" si="733"/>
        <v>25.936507499546511</v>
      </c>
      <c r="AP148" s="105">
        <f t="shared" si="733"/>
        <v>25.817798640772644</v>
      </c>
      <c r="AQ148" s="770">
        <f t="shared" si="733"/>
        <v>26.014421037749191</v>
      </c>
      <c r="AR148" s="132">
        <f t="shared" si="733"/>
        <v>21.032181433761423</v>
      </c>
      <c r="AS148" s="53">
        <f t="shared" si="733"/>
        <v>25.944379887094073</v>
      </c>
      <c r="AT148" s="105">
        <f t="shared" si="733"/>
        <v>25.331738732663933</v>
      </c>
      <c r="AU148" s="770">
        <f t="shared" si="733"/>
        <v>26.014421037749187</v>
      </c>
      <c r="AV148" s="132">
        <f t="shared" si="733"/>
        <v>22.357142857142858</v>
      </c>
      <c r="AW148" s="53">
        <f t="shared" si="733"/>
        <v>25.950237411743714</v>
      </c>
      <c r="AX148" s="105">
        <f t="shared" si="733"/>
        <v>25.082537176108431</v>
      </c>
      <c r="AY148" s="770">
        <f t="shared" ref="AY148:AZ148" si="735">+AY102/AY107*100</f>
        <v>26.014421037749191</v>
      </c>
      <c r="AZ148" s="132">
        <f t="shared" si="735"/>
        <v>24.129023853404028</v>
      </c>
      <c r="BA148" s="391">
        <f t="shared" ref="BA148:BF148" si="736">+BA102/BA107*100</f>
        <v>26.014421037749187</v>
      </c>
      <c r="BB148" s="113">
        <f t="shared" si="736"/>
        <v>22.511239256456214</v>
      </c>
      <c r="BC148" s="483">
        <f t="shared" si="736"/>
        <v>26.014421356377937</v>
      </c>
      <c r="BD148" s="471">
        <f t="shared" si="736"/>
        <v>23.989218138526518</v>
      </c>
      <c r="BE148" s="53">
        <f t="shared" si="736"/>
        <v>25.955676567630952</v>
      </c>
      <c r="BF148" s="105">
        <f t="shared" si="736"/>
        <v>25.001359435966847</v>
      </c>
      <c r="BG148" s="1222"/>
      <c r="BH148" s="1222"/>
      <c r="BI148" s="4713"/>
      <c r="BJ148" s="4713"/>
      <c r="BK148" s="26"/>
      <c r="BL148" s="26"/>
      <c r="BM148" s="26"/>
      <c r="BN148" s="26"/>
    </row>
    <row r="149" spans="1:66" x14ac:dyDescent="0.25">
      <c r="A149" s="148"/>
      <c r="B149" s="1920" t="s">
        <v>12</v>
      </c>
      <c r="C149" s="1396" t="s">
        <v>49</v>
      </c>
      <c r="D149" s="1441">
        <f t="shared" ref="D149:J149" si="737">SUM(D147:D148)</f>
        <v>92.080950285965685</v>
      </c>
      <c r="E149" s="1371">
        <f t="shared" si="737"/>
        <v>92.080950285965685</v>
      </c>
      <c r="F149" s="145">
        <f t="shared" si="737"/>
        <v>89.466617312982208</v>
      </c>
      <c r="G149" s="1371">
        <f t="shared" ref="G149:H149" si="738">SUM(G147:G148)</f>
        <v>92.080950285965685</v>
      </c>
      <c r="H149" s="145">
        <f t="shared" si="738"/>
        <v>91.22579404282105</v>
      </c>
      <c r="I149" s="1372">
        <f t="shared" si="737"/>
        <v>92.080950285965685</v>
      </c>
      <c r="J149" s="168">
        <f t="shared" si="737"/>
        <v>90.362489637492544</v>
      </c>
      <c r="K149" s="1371">
        <f t="shared" ref="K149:L149" si="739">SUM(K147:K148)</f>
        <v>95.052692335979842</v>
      </c>
      <c r="L149" s="145">
        <f t="shared" si="739"/>
        <v>94.999981892521248</v>
      </c>
      <c r="M149" s="1373">
        <f t="shared" ref="M149:R149" si="740">SUM(M147:M148)</f>
        <v>92.930928849236182</v>
      </c>
      <c r="N149" s="176">
        <f t="shared" si="740"/>
        <v>91.891228838826791</v>
      </c>
      <c r="O149" s="1371">
        <f t="shared" si="740"/>
        <v>95.052699088415423</v>
      </c>
      <c r="P149" s="145">
        <f t="shared" si="740"/>
        <v>95.000052472687969</v>
      </c>
      <c r="Q149" s="1372">
        <f t="shared" si="740"/>
        <v>93.466515381759166</v>
      </c>
      <c r="R149" s="168">
        <f t="shared" si="740"/>
        <v>92.682228886842722</v>
      </c>
      <c r="S149" s="1371">
        <f t="shared" ref="S149:V149" si="741">SUM(S147:S148)</f>
        <v>95.052699088415423</v>
      </c>
      <c r="T149" s="145">
        <f t="shared" si="741"/>
        <v>93.451695194206707</v>
      </c>
      <c r="U149" s="1372">
        <f t="shared" si="741"/>
        <v>93.786208484484078</v>
      </c>
      <c r="V149" s="168">
        <f t="shared" si="741"/>
        <v>92.840806990307456</v>
      </c>
      <c r="W149" s="1371">
        <f t="shared" ref="W149:X149" si="742">SUM(W147:W148)</f>
        <v>95.052699088415423</v>
      </c>
      <c r="X149" s="145">
        <f t="shared" si="742"/>
        <v>92.000070861678012</v>
      </c>
      <c r="Y149" s="1374">
        <f t="shared" ref="Y149:AF149" si="743">SUM(Y147:Y148)</f>
        <v>95.052699088415437</v>
      </c>
      <c r="Z149" s="176">
        <f t="shared" si="743"/>
        <v>93.489975585954539</v>
      </c>
      <c r="AA149" s="483">
        <f t="shared" si="743"/>
        <v>93.992916024245574</v>
      </c>
      <c r="AB149" s="482">
        <f t="shared" si="743"/>
        <v>92.701011164431236</v>
      </c>
      <c r="AC149" s="1371">
        <f t="shared" si="743"/>
        <v>95.052699088415423</v>
      </c>
      <c r="AD149" s="145">
        <f t="shared" si="743"/>
        <v>92.000347584289187</v>
      </c>
      <c r="AE149" s="1372">
        <f t="shared" si="743"/>
        <v>94.145857782521546</v>
      </c>
      <c r="AF149" s="168">
        <f t="shared" si="743"/>
        <v>92.59946415784195</v>
      </c>
      <c r="AG149" s="1371">
        <f t="shared" ref="AG149:AH149" si="744">SUM(AG147:AG148)</f>
        <v>95.052692253314333</v>
      </c>
      <c r="AH149" s="145">
        <f t="shared" si="744"/>
        <v>90.270086275741988</v>
      </c>
      <c r="AI149" s="1372">
        <f t="shared" ref="AI149:AN149" si="745">SUM(AI147:AI148)</f>
        <v>94.256985353077596</v>
      </c>
      <c r="AJ149" s="168">
        <f t="shared" si="745"/>
        <v>92.322991955390592</v>
      </c>
      <c r="AK149" s="1371">
        <f t="shared" si="745"/>
        <v>95.052692253314333</v>
      </c>
      <c r="AL149" s="145">
        <f t="shared" si="745"/>
        <v>91.999923369245295</v>
      </c>
      <c r="AM149" s="1374">
        <f t="shared" si="745"/>
        <v>95.052694556446099</v>
      </c>
      <c r="AN149" s="176">
        <f t="shared" si="745"/>
        <v>91.450919482289862</v>
      </c>
      <c r="AO149" s="1372">
        <f t="shared" ref="AO149:AT149" si="746">SUM(AO147:AO148)</f>
        <v>94.346420107280593</v>
      </c>
      <c r="AP149" s="168">
        <f t="shared" si="746"/>
        <v>92.286469430772854</v>
      </c>
      <c r="AQ149" s="1371">
        <f t="shared" si="746"/>
        <v>95.052692253314333</v>
      </c>
      <c r="AR149" s="145">
        <f t="shared" si="746"/>
        <v>91.99992336924528</v>
      </c>
      <c r="AS149" s="1372">
        <f t="shared" si="746"/>
        <v>94.417781877980346</v>
      </c>
      <c r="AT149" s="168">
        <f t="shared" si="746"/>
        <v>92.257365859319009</v>
      </c>
      <c r="AU149" s="1371">
        <f t="shared" ref="AU149:AX149" si="747">SUM(AU147:AU148)</f>
        <v>95.052692253314333</v>
      </c>
      <c r="AV149" s="145">
        <f t="shared" si="747"/>
        <v>90.285714285714292</v>
      </c>
      <c r="AW149" s="1372">
        <f t="shared" si="747"/>
        <v>94.470879280565057</v>
      </c>
      <c r="AX149" s="168">
        <f t="shared" si="747"/>
        <v>92.092187575717261</v>
      </c>
      <c r="AY149" s="1371">
        <f t="shared" ref="AY149:AZ149" si="748">SUM(AY147:AY148)</f>
        <v>95.052692253314333</v>
      </c>
      <c r="AZ149" s="145">
        <f t="shared" si="748"/>
        <v>89.032227052667253</v>
      </c>
      <c r="BA149" s="1374">
        <f t="shared" ref="BA149:BF149" si="749">SUM(BA147:BA148)</f>
        <v>95.052692253314333</v>
      </c>
      <c r="BB149" s="176">
        <f t="shared" si="749"/>
        <v>90.444569295046733</v>
      </c>
      <c r="BC149" s="483">
        <f t="shared" si="749"/>
        <v>95.052693417534769</v>
      </c>
      <c r="BD149" s="482">
        <f t="shared" si="749"/>
        <v>90.950596174008496</v>
      </c>
      <c r="BE149" s="1372">
        <f t="shared" si="749"/>
        <v>94.520184245911395</v>
      </c>
      <c r="BF149" s="168">
        <f t="shared" si="749"/>
        <v>91.831676606159832</v>
      </c>
      <c r="BG149" s="1222"/>
      <c r="BH149" s="1222"/>
      <c r="BI149" s="4713"/>
      <c r="BJ149" s="4713"/>
      <c r="BK149" s="26"/>
      <c r="BL149" s="26"/>
      <c r="BM149" s="26"/>
      <c r="BN149" s="26"/>
    </row>
    <row r="150" spans="1:66" x14ac:dyDescent="0.25">
      <c r="B150" s="1904" t="s">
        <v>198</v>
      </c>
      <c r="C150" s="1395" t="s">
        <v>49</v>
      </c>
      <c r="D150" s="106">
        <f t="shared" ref="D150:AX150" si="750">+((+D104+D105+D106)/D107)*100</f>
        <v>7.9190497140343252</v>
      </c>
      <c r="E150" s="1328">
        <f t="shared" si="750"/>
        <v>7.9190497140343252</v>
      </c>
      <c r="F150" s="132">
        <f t="shared" si="750"/>
        <v>10.533382687017804</v>
      </c>
      <c r="G150" s="1328">
        <f t="shared" ref="G150:H150" si="751">+((+G104+G105+G106)/G107)*100</f>
        <v>7.9190497140343128</v>
      </c>
      <c r="H150" s="132">
        <f t="shared" si="751"/>
        <v>8.7742059571789532</v>
      </c>
      <c r="I150" s="105">
        <f t="shared" si="750"/>
        <v>7.9190497140343163</v>
      </c>
      <c r="J150" s="105">
        <f t="shared" si="750"/>
        <v>9.637510362507447</v>
      </c>
      <c r="K150" s="1328">
        <f t="shared" si="750"/>
        <v>4.9473076640201521</v>
      </c>
      <c r="L150" s="132">
        <f t="shared" si="750"/>
        <v>5.0000181074787511</v>
      </c>
      <c r="M150" s="1590">
        <f t="shared" si="750"/>
        <v>7.0690711507638397</v>
      </c>
      <c r="N150" s="113">
        <f t="shared" si="750"/>
        <v>8.1087711611732143</v>
      </c>
      <c r="O150" s="1328">
        <f t="shared" si="750"/>
        <v>4.9473009115845796</v>
      </c>
      <c r="P150" s="132">
        <f t="shared" si="750"/>
        <v>4.9999475273120337</v>
      </c>
      <c r="Q150" s="105">
        <f t="shared" si="750"/>
        <v>6.5334846182408253</v>
      </c>
      <c r="R150" s="105">
        <f t="shared" si="750"/>
        <v>7.3177711131572742</v>
      </c>
      <c r="S150" s="1328">
        <f t="shared" si="750"/>
        <v>4.9473009115845796</v>
      </c>
      <c r="T150" s="132">
        <f t="shared" si="750"/>
        <v>6.5483048057932844</v>
      </c>
      <c r="U150" s="105">
        <f t="shared" si="750"/>
        <v>6.2137915155159273</v>
      </c>
      <c r="V150" s="105">
        <f t="shared" si="750"/>
        <v>7.1591930096925482</v>
      </c>
      <c r="W150" s="1328">
        <f t="shared" si="750"/>
        <v>4.9473009115845796</v>
      </c>
      <c r="X150" s="132">
        <f t="shared" si="750"/>
        <v>7.9999291383219946</v>
      </c>
      <c r="Y150" s="113">
        <f t="shared" si="750"/>
        <v>4.9473009115845796</v>
      </c>
      <c r="Z150" s="113">
        <f t="shared" si="750"/>
        <v>6.5100244140454624</v>
      </c>
      <c r="AA150" s="471">
        <f t="shared" si="750"/>
        <v>6.007083975754437</v>
      </c>
      <c r="AB150" s="471">
        <f t="shared" si="750"/>
        <v>7.2989888355687631</v>
      </c>
      <c r="AC150" s="1328">
        <f t="shared" si="750"/>
        <v>4.9473009115845796</v>
      </c>
      <c r="AD150" s="132">
        <f t="shared" si="750"/>
        <v>7.99965241571081</v>
      </c>
      <c r="AE150" s="105">
        <f t="shared" si="750"/>
        <v>5.854142217478457</v>
      </c>
      <c r="AF150" s="105">
        <f t="shared" si="750"/>
        <v>7.4005358421580372</v>
      </c>
      <c r="AG150" s="1328">
        <f t="shared" si="750"/>
        <v>4.9473077466856692</v>
      </c>
      <c r="AH150" s="132">
        <f t="shared" si="750"/>
        <v>9.7299137242580152</v>
      </c>
      <c r="AI150" s="105">
        <f t="shared" si="750"/>
        <v>5.7430146469223962</v>
      </c>
      <c r="AJ150" s="105">
        <f t="shared" si="750"/>
        <v>7.6770080446094013</v>
      </c>
      <c r="AK150" s="1328">
        <f t="shared" si="750"/>
        <v>4.947307746685663</v>
      </c>
      <c r="AL150" s="132">
        <f t="shared" si="750"/>
        <v>8.0000766307547089</v>
      </c>
      <c r="AM150" s="113">
        <f t="shared" si="750"/>
        <v>4.9473054435538861</v>
      </c>
      <c r="AN150" s="113">
        <f t="shared" si="750"/>
        <v>8.5490805177101201</v>
      </c>
      <c r="AO150" s="105">
        <f t="shared" si="750"/>
        <v>5.6535798927194083</v>
      </c>
      <c r="AP150" s="105">
        <f t="shared" si="750"/>
        <v>7.713530569227153</v>
      </c>
      <c r="AQ150" s="1328">
        <f t="shared" si="750"/>
        <v>4.947307746685663</v>
      </c>
      <c r="AR150" s="132">
        <f t="shared" si="750"/>
        <v>8.0000766307547071</v>
      </c>
      <c r="AS150" s="105">
        <f t="shared" si="750"/>
        <v>5.5822181220196345</v>
      </c>
      <c r="AT150" s="105">
        <f t="shared" si="750"/>
        <v>7.7426341406809955</v>
      </c>
      <c r="AU150" s="1328">
        <f t="shared" si="750"/>
        <v>4.9473077466856665</v>
      </c>
      <c r="AV150" s="132">
        <f t="shared" si="750"/>
        <v>9.7142857142857135</v>
      </c>
      <c r="AW150" s="105">
        <f t="shared" si="750"/>
        <v>5.5291207194349399</v>
      </c>
      <c r="AX150" s="105">
        <f t="shared" si="750"/>
        <v>7.9078124242827466</v>
      </c>
      <c r="AY150" s="1328">
        <f t="shared" ref="AY150:AZ150" si="752">+((+AY104+AY105+AY106)/AY107)*100</f>
        <v>4.947307746685663</v>
      </c>
      <c r="AZ150" s="132">
        <f t="shared" si="752"/>
        <v>10.967772947332744</v>
      </c>
      <c r="BA150" s="113">
        <f t="shared" ref="BA150:BF150" si="753">+((+BA104+BA105+BA106)/BA107)*100</f>
        <v>4.947307746685663</v>
      </c>
      <c r="BB150" s="113">
        <f t="shared" si="753"/>
        <v>9.5554307049532579</v>
      </c>
      <c r="BC150" s="471">
        <f t="shared" si="753"/>
        <v>4.9473065824652185</v>
      </c>
      <c r="BD150" s="471">
        <f t="shared" si="753"/>
        <v>9.0494038259915044</v>
      </c>
      <c r="BE150" s="105">
        <f t="shared" si="753"/>
        <v>5.4798157540886185</v>
      </c>
      <c r="BF150" s="105">
        <f t="shared" si="753"/>
        <v>8.168323393840156</v>
      </c>
      <c r="BG150" s="1222"/>
      <c r="BH150" s="1222"/>
      <c r="BI150" s="4713"/>
      <c r="BJ150" s="4713"/>
      <c r="BK150" s="26"/>
      <c r="BL150" s="26"/>
      <c r="BM150" s="26"/>
      <c r="BN150" s="26"/>
    </row>
    <row r="151" spans="1:66" ht="18.75" x14ac:dyDescent="0.3">
      <c r="B151" s="1957" t="s">
        <v>193</v>
      </c>
      <c r="C151" s="1400"/>
      <c r="D151" s="1375"/>
      <c r="E151" s="1376"/>
      <c r="F151" s="1377"/>
      <c r="G151" s="1376"/>
      <c r="H151" s="1377"/>
      <c r="I151" s="1378"/>
      <c r="J151" s="1375"/>
      <c r="K151" s="1376"/>
      <c r="L151" s="1377"/>
      <c r="M151" s="1376"/>
      <c r="N151" s="1377"/>
      <c r="O151" s="1376"/>
      <c r="P151" s="1377"/>
      <c r="Q151" s="1378"/>
      <c r="R151" s="1375"/>
      <c r="S151" s="1376"/>
      <c r="T151" s="1377"/>
      <c r="U151" s="1378"/>
      <c r="V151" s="1375"/>
      <c r="W151" s="1376"/>
      <c r="X151" s="1377"/>
      <c r="Y151" s="1375"/>
      <c r="Z151" s="1375"/>
      <c r="AA151" s="2532"/>
      <c r="AB151" s="1377"/>
      <c r="AC151" s="1376"/>
      <c r="AD151" s="1377"/>
      <c r="AE151" s="1378"/>
      <c r="AF151" s="1377"/>
      <c r="AG151" s="1376"/>
      <c r="AH151" s="1377"/>
      <c r="AI151" s="1378"/>
      <c r="AJ151" s="1377"/>
      <c r="AK151" s="1376"/>
      <c r="AL151" s="1377"/>
      <c r="AM151" s="1375"/>
      <c r="AN151" s="1375"/>
      <c r="AO151" s="1378"/>
      <c r="AP151" s="1377"/>
      <c r="AQ151" s="1376"/>
      <c r="AR151" s="1377"/>
      <c r="AS151" s="1378"/>
      <c r="AT151" s="1377"/>
      <c r="AU151" s="1376"/>
      <c r="AV151" s="1377"/>
      <c r="AW151" s="1378"/>
      <c r="AX151" s="1377"/>
      <c r="AY151" s="1376"/>
      <c r="AZ151" s="1377"/>
      <c r="BA151" s="1375"/>
      <c r="BB151" s="1375"/>
      <c r="BC151" s="2532"/>
      <c r="BD151" s="1377"/>
      <c r="BE151" s="1378"/>
      <c r="BF151" s="1377"/>
      <c r="BG151" s="1222"/>
      <c r="BH151" s="1222"/>
      <c r="BI151" s="4713"/>
      <c r="BJ151" s="4713"/>
      <c r="BK151" s="26"/>
      <c r="BL151" s="26"/>
      <c r="BM151" s="26"/>
      <c r="BN151" s="26"/>
    </row>
    <row r="152" spans="1:66" x14ac:dyDescent="0.25">
      <c r="B152" s="1904" t="s">
        <v>199</v>
      </c>
      <c r="C152" s="1395" t="s">
        <v>49</v>
      </c>
      <c r="D152" s="106">
        <v>9.6999999999999993</v>
      </c>
      <c r="E152" s="770">
        <f>+$D$152</f>
        <v>9.6999999999999993</v>
      </c>
      <c r="F152" s="134">
        <v>8.27</v>
      </c>
      <c r="G152" s="770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70">
        <f>+$D$152</f>
        <v>9.6999999999999993</v>
      </c>
      <c r="L152" s="134">
        <v>8.7152808988764026</v>
      </c>
      <c r="M152" s="77">
        <f>+$D$152</f>
        <v>9.6999999999999993</v>
      </c>
      <c r="N152" s="114">
        <f>+((F152*F$107)+(H152*H$107)+(L152*L$107))/N$107</f>
        <v>8.4953035662641838</v>
      </c>
      <c r="O152" s="770">
        <f>+$D$152</f>
        <v>9.6999999999999993</v>
      </c>
      <c r="P152" s="134">
        <v>10.113666666666667</v>
      </c>
      <c r="Q152" s="53">
        <f>+$D$152</f>
        <v>9.6999999999999993</v>
      </c>
      <c r="R152" s="107">
        <f>+((N152*N$107)+(P152*P$107))/R$107</f>
        <v>8.9070751689316729</v>
      </c>
      <c r="S152" s="770">
        <f>+$D$152</f>
        <v>9.6999999999999993</v>
      </c>
      <c r="T152" s="134">
        <v>10.99</v>
      </c>
      <c r="U152" s="53">
        <f>+$D$152</f>
        <v>9.6999999999999993</v>
      </c>
      <c r="V152" s="107">
        <f>+((R152*R$107)+(T152*T$107))/V$107</f>
        <v>9.3363418778301526</v>
      </c>
      <c r="W152" s="770">
        <f>+$D$152</f>
        <v>9.6999999999999993</v>
      </c>
      <c r="X152" s="134">
        <v>10.29</v>
      </c>
      <c r="Y152" s="77">
        <f>+$D$152</f>
        <v>9.6999999999999993</v>
      </c>
      <c r="Z152" s="114">
        <f>+((P152*P$107)+(T152*T$107)+(X$107*X152))/Z$107</f>
        <v>10.468826688579989</v>
      </c>
      <c r="AA152" s="667">
        <f>+$D$152</f>
        <v>9.6999999999999993</v>
      </c>
      <c r="AB152" s="474">
        <f>+((N152*N$107)+(Z$107*Z152))/AB$107</f>
        <v>9.4949141340380834</v>
      </c>
      <c r="AC152" s="770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9.5985513590926672</v>
      </c>
      <c r="AG152" s="770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9.6473859053556037</v>
      </c>
      <c r="AK152" s="770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9.5934179888566753</v>
      </c>
      <c r="AQ152" s="770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9.4965823582563136</v>
      </c>
      <c r="AU152" s="770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9.3980122776930646</v>
      </c>
      <c r="AY152" s="770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8.3475836700536465</v>
      </c>
      <c r="BC152" s="667">
        <f>+$D$152</f>
        <v>9.6999999999999993</v>
      </c>
      <c r="BD152" s="474">
        <f>+((AN152*AN$107)+(BB$107*BB152))/BD$107</f>
        <v>9.0738660363795418</v>
      </c>
      <c r="BE152" s="53">
        <f>+$D$152</f>
        <v>9.6999999999999993</v>
      </c>
      <c r="BF152" s="107">
        <f>+((AX152*AX$107)+(AZ152*AZ$107))/BF$107</f>
        <v>9.2858027724514223</v>
      </c>
      <c r="BG152" s="1222"/>
      <c r="BH152" s="1222"/>
      <c r="BI152" s="4713"/>
      <c r="BJ152" s="4713"/>
      <c r="BK152" s="26"/>
      <c r="BL152" s="26"/>
      <c r="BM152" s="26"/>
      <c r="BN152" s="26"/>
    </row>
    <row r="153" spans="1:66" x14ac:dyDescent="0.25">
      <c r="A153" s="148"/>
      <c r="B153" s="1904" t="s">
        <v>200</v>
      </c>
      <c r="C153" s="1395" t="s">
        <v>49</v>
      </c>
      <c r="D153" s="106" t="s">
        <v>2265</v>
      </c>
      <c r="E153" s="770" t="str">
        <f>+$D$153</f>
        <v>10.5-10.7</v>
      </c>
      <c r="F153" s="134">
        <v>10.63</v>
      </c>
      <c r="G153" s="770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70" t="str">
        <f>+$D$153</f>
        <v>10.5-10.7</v>
      </c>
      <c r="L153" s="134">
        <v>9.832696629213487</v>
      </c>
      <c r="M153" s="77" t="str">
        <f>+$D$153</f>
        <v>10.5-10.7</v>
      </c>
      <c r="N153" s="114">
        <f>+((F153*F$107)+(H153*H$107)+(L153*L$107))/N$107</f>
        <v>10.285239181504048</v>
      </c>
      <c r="O153" s="770" t="str">
        <f>+$D$153</f>
        <v>10.5-10.7</v>
      </c>
      <c r="P153" s="134">
        <v>9.8792333333333353</v>
      </c>
      <c r="Q153" s="53" t="str">
        <f>+$D$153</f>
        <v>10.5-10.7</v>
      </c>
      <c r="R153" s="107">
        <f>+((N153*N$107)+(P153*P$107))/R$107</f>
        <v>10.181936233758854</v>
      </c>
      <c r="S153" s="770" t="str">
        <f>+$D$153</f>
        <v>10.5-10.7</v>
      </c>
      <c r="T153" s="134">
        <v>10.14</v>
      </c>
      <c r="U153" s="53" t="str">
        <f>+$D$153</f>
        <v>10.5-10.7</v>
      </c>
      <c r="V153" s="107">
        <f>+((R153*R$107)+(T153*T$107))/V$107</f>
        <v>10.173293661170181</v>
      </c>
      <c r="W153" s="770" t="str">
        <f>+$D$153</f>
        <v>10.5-10.7</v>
      </c>
      <c r="X153" s="134">
        <v>10.37</v>
      </c>
      <c r="Y153" s="77" t="str">
        <f>+$D$153</f>
        <v>10.5-10.7</v>
      </c>
      <c r="Z153" s="114">
        <f>+((P153*P$107)+(T153*T$107)+(X$107*X153))/Z$107</f>
        <v>10.128801011416872</v>
      </c>
      <c r="AA153" s="667" t="str">
        <f>+$D$153</f>
        <v>10.5-10.7</v>
      </c>
      <c r="AB153" s="474">
        <f>+((N153*N$107)+(Z$107*Z153))/AB$107</f>
        <v>10.206001575288999</v>
      </c>
      <c r="AC153" s="770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10.232668423368581</v>
      </c>
      <c r="AG153" s="770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10.285761889726146</v>
      </c>
      <c r="AK153" s="770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10.309981256733925</v>
      </c>
      <c r="AQ153" s="770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10.338421869247021</v>
      </c>
      <c r="AU153" s="770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10.37206472341953</v>
      </c>
      <c r="AY153" s="770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10.743447981575702</v>
      </c>
      <c r="BC153" s="667" t="str">
        <f>+$D$153</f>
        <v>10.5-10.7</v>
      </c>
      <c r="BD153" s="474">
        <f>+((AN153*AN$107)+(BB$107*BB153))/BD$107</f>
        <v>10.630870851545026</v>
      </c>
      <c r="BE153" s="53" t="str">
        <f>+$D$153</f>
        <v>10.5-10.7</v>
      </c>
      <c r="BF153" s="107">
        <f>+((AX153*AX$107)+(AZ153*AZ$107))/BF$107</f>
        <v>10.417010705476986</v>
      </c>
      <c r="BG153" s="1222"/>
      <c r="BH153" s="1222"/>
      <c r="BI153" s="4713"/>
      <c r="BJ153" s="4713"/>
      <c r="BK153" s="26"/>
      <c r="BL153" s="26"/>
      <c r="BM153" s="26"/>
      <c r="BN153" s="26"/>
    </row>
    <row r="154" spans="1:66" x14ac:dyDescent="0.25">
      <c r="B154" s="1904" t="s">
        <v>201</v>
      </c>
      <c r="C154" s="1395" t="s">
        <v>49</v>
      </c>
      <c r="D154" s="106" t="s">
        <v>1761</v>
      </c>
      <c r="E154" s="770" t="str">
        <f>+$D$154</f>
        <v>25.0-25.2</v>
      </c>
      <c r="F154" s="134">
        <v>24.73</v>
      </c>
      <c r="G154" s="770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70" t="str">
        <f>+$D$154</f>
        <v>25.0-25.2</v>
      </c>
      <c r="L154" s="134">
        <v>24.988089887640445</v>
      </c>
      <c r="M154" s="77" t="str">
        <f>+$D$154</f>
        <v>25.0-25.2</v>
      </c>
      <c r="N154" s="114">
        <f>+((F154*F$107)+(H154*H$107)+(L154*L$107))/N$107</f>
        <v>24.927734583878884</v>
      </c>
      <c r="O154" s="770" t="str">
        <f>+$D$154</f>
        <v>25.0-25.2</v>
      </c>
      <c r="P154" s="134">
        <v>25.442777777777781</v>
      </c>
      <c r="Q154" s="53" t="str">
        <f>+$D$154</f>
        <v>25.0-25.2</v>
      </c>
      <c r="R154" s="107">
        <f>+((N154*N$107)+(P154*P$107))/R$107</f>
        <v>25.058780676898419</v>
      </c>
      <c r="S154" s="770" t="str">
        <f>+$D$154</f>
        <v>25.0-25.2</v>
      </c>
      <c r="T154" s="134">
        <v>24.98</v>
      </c>
      <c r="U154" s="53" t="str">
        <f>+$D$154</f>
        <v>25.0-25.2</v>
      </c>
      <c r="V154" s="107">
        <f>+((R154*R$107)+(T154*T$107))/V$107</f>
        <v>25.042544890857293</v>
      </c>
      <c r="W154" s="770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25.215941620177109</v>
      </c>
      <c r="AA154" s="667" t="str">
        <f>+$D$154</f>
        <v>25.0-25.2</v>
      </c>
      <c r="AB154" s="474">
        <f>+((N154*N$107)+(Z$107*Z154))/AB$107</f>
        <v>25.073714530063874</v>
      </c>
      <c r="AC154" s="770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25.065929695953859</v>
      </c>
      <c r="AG154" s="770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25.054543868637193</v>
      </c>
      <c r="AK154" s="770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25.048377748282327</v>
      </c>
      <c r="AQ154" s="770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25.065808874151958</v>
      </c>
      <c r="AU154" s="770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25.039351477481592</v>
      </c>
      <c r="AY154" s="770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24.967221647877423</v>
      </c>
      <c r="BC154" s="667" t="str">
        <f>+$D$154</f>
        <v>25.0-25.2</v>
      </c>
      <c r="BD154" s="474">
        <f>+((AN154*AN$107)+(BB$107*BB154))/BD$107</f>
        <v>24.982350561817078</v>
      </c>
      <c r="BE154" s="53" t="str">
        <f>+$D$154</f>
        <v>25.0-25.2</v>
      </c>
      <c r="BF154" s="107">
        <f>+((AX154*AX$107)+(AZ154*AZ$107))/BF$107</f>
        <v>25.028339087433224</v>
      </c>
      <c r="BG154" s="1222"/>
      <c r="BH154" s="1222"/>
      <c r="BI154" s="4713"/>
      <c r="BJ154" s="4713"/>
      <c r="BK154" s="26"/>
      <c r="BL154" s="26"/>
      <c r="BM154" s="26"/>
      <c r="BN154" s="26"/>
    </row>
    <row r="155" spans="1:66" ht="18.75" x14ac:dyDescent="0.25">
      <c r="B155" s="1956" t="s">
        <v>197</v>
      </c>
      <c r="C155" s="1400"/>
      <c r="D155" s="1375"/>
      <c r="E155" s="1376"/>
      <c r="F155" s="1377"/>
      <c r="G155" s="1376"/>
      <c r="H155" s="1377"/>
      <c r="I155" s="1379"/>
      <c r="J155" s="1375"/>
      <c r="K155" s="1376"/>
      <c r="L155" s="1377"/>
      <c r="M155" s="1376"/>
      <c r="N155" s="1377"/>
      <c r="O155" s="1376"/>
      <c r="P155" s="1377"/>
      <c r="Q155" s="1379"/>
      <c r="R155" s="1375"/>
      <c r="S155" s="1376"/>
      <c r="T155" s="1377"/>
      <c r="U155" s="1379"/>
      <c r="V155" s="1375"/>
      <c r="W155" s="1376"/>
      <c r="X155" s="1377"/>
      <c r="Y155" s="1375"/>
      <c r="Z155" s="1375"/>
      <c r="AA155" s="2533"/>
      <c r="AB155" s="1377"/>
      <c r="AC155" s="1376"/>
      <c r="AD155" s="1377"/>
      <c r="AE155" s="1379"/>
      <c r="AF155" s="1377"/>
      <c r="AG155" s="1376"/>
      <c r="AH155" s="1377"/>
      <c r="AI155" s="1379"/>
      <c r="AJ155" s="1377"/>
      <c r="AK155" s="1376"/>
      <c r="AL155" s="1377"/>
      <c r="AM155" s="1375"/>
      <c r="AN155" s="1375"/>
      <c r="AO155" s="1379"/>
      <c r="AP155" s="1377"/>
      <c r="AQ155" s="1376"/>
      <c r="AR155" s="1377"/>
      <c r="AS155" s="1379"/>
      <c r="AT155" s="1377"/>
      <c r="AU155" s="1376"/>
      <c r="AV155" s="1377"/>
      <c r="AW155" s="1379"/>
      <c r="AX155" s="1377"/>
      <c r="AY155" s="1376"/>
      <c r="AZ155" s="1377"/>
      <c r="BA155" s="1375"/>
      <c r="BB155" s="1375"/>
      <c r="BC155" s="2533"/>
      <c r="BD155" s="1377"/>
      <c r="BE155" s="1379"/>
      <c r="BF155" s="1377"/>
      <c r="BG155" s="1222"/>
      <c r="BH155" s="1222"/>
      <c r="BI155" s="4713"/>
      <c r="BJ155" s="4713"/>
      <c r="BK155" s="26"/>
      <c r="BL155" s="26"/>
      <c r="BM155" s="26"/>
      <c r="BN155" s="26"/>
    </row>
    <row r="156" spans="1:66" x14ac:dyDescent="0.25">
      <c r="B156" s="1904" t="s">
        <v>202</v>
      </c>
      <c r="C156" s="1395" t="s">
        <v>49</v>
      </c>
      <c r="D156" s="396" t="s">
        <v>2266</v>
      </c>
      <c r="E156" s="775" t="str">
        <f>+$D$156</f>
        <v>&lt;=3.6</v>
      </c>
      <c r="F156" s="134">
        <v>3.12</v>
      </c>
      <c r="G156" s="775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754">+((F156*F$21)+(H$21*H156))/J$21</f>
        <v>3.3848131942107034</v>
      </c>
      <c r="K156" s="775" t="str">
        <f>+$D$156</f>
        <v>&lt;=3.6</v>
      </c>
      <c r="L156" s="134">
        <v>4.274651162790696</v>
      </c>
      <c r="M156" s="77" t="str">
        <f>+$D$156</f>
        <v>&lt;=3.6</v>
      </c>
      <c r="N156" s="114">
        <f t="shared" ref="N156:N161" si="755">+((F156*F$21)+(H156*H$21)+(L$21*L156))/N$21</f>
        <v>3.6767766812942129</v>
      </c>
      <c r="O156" s="775" t="str">
        <f>+$D$156</f>
        <v>&lt;=3.6</v>
      </c>
      <c r="P156" s="134">
        <v>5.3007865168539325</v>
      </c>
      <c r="Q156" s="53" t="str">
        <f>+$D$156</f>
        <v>&lt;=3.6</v>
      </c>
      <c r="R156" s="107">
        <f t="shared" ref="R156:R161" si="756">+((N156*N$21)+(P$21*P156))/R$21</f>
        <v>4.0907064804694553</v>
      </c>
      <c r="S156" s="775" t="str">
        <f>+$D$156</f>
        <v>&lt;=3.6</v>
      </c>
      <c r="T156" s="134">
        <v>4.9800000000000004</v>
      </c>
      <c r="U156" s="53" t="str">
        <f>+$D$156</f>
        <v>&lt;=3.6</v>
      </c>
      <c r="V156" s="107">
        <f t="shared" ref="V156:V161" si="757">+((R156*R$21)+(T$21*T156))/V$21</f>
        <v>4.2719437159594991</v>
      </c>
      <c r="W156" s="775" t="str">
        <f>+$D$156</f>
        <v>&lt;=3.6</v>
      </c>
      <c r="X156" s="134">
        <v>4.22</v>
      </c>
      <c r="Y156" s="77" t="str">
        <f>+$D$156</f>
        <v>&lt;=3.6</v>
      </c>
      <c r="Z156" s="114">
        <f t="shared" ref="Z156:Z161" si="758">+((P156*P$21)+(T156*T$21)+(X$21*X156))/Z$21</f>
        <v>4.8396074606196704</v>
      </c>
      <c r="AA156" s="667" t="str">
        <f>+$D$156</f>
        <v>&lt;=3.6</v>
      </c>
      <c r="AB156" s="474">
        <f t="shared" ref="AB156:AB161" si="759">+((N156*N$21)+(Z$21*Z156))/AB$21</f>
        <v>4.2633867635374507</v>
      </c>
      <c r="AC156" s="775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760">+((AB156*AB$21)+(AD$21*AD156))/AF$21</f>
        <v>4.4258150308764073</v>
      </c>
      <c r="AG156" s="775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761">+((AF156*AF$21)+(AH$21*AH156))/AJ$21</f>
        <v>4.5384397299848409</v>
      </c>
      <c r="AK156" s="775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762">+((AD156*AD$21)+(AH156*AH$21)+(AL$21*AL156))/AN$21</f>
        <v>4.9862696990928495</v>
      </c>
      <c r="AO156" s="53" t="str">
        <f>+$D$156</f>
        <v>&lt;=3.6</v>
      </c>
      <c r="AP156" s="107">
        <f t="shared" ref="AP156:AP161" si="763">+((AL156*AL$21)+(AJ$21*AJ156))/AP$21</f>
        <v>4.5036280796243506</v>
      </c>
      <c r="AQ156" s="775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764">+((AP156*AP$21)+(AR$21*AR156))/AT$21</f>
        <v>4.4869088548321363</v>
      </c>
      <c r="AU156" s="775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765">+((AT156*AT$21)+(AV$21*AV156))/AX$21</f>
        <v>4.3702218190364714</v>
      </c>
      <c r="AY156" s="775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766">+((AN156*AN$21)+(BB$21*BB156))/BD$21</f>
        <v>4.2410338117829616</v>
      </c>
      <c r="BE156" s="53" t="str">
        <f>+$D$156</f>
        <v>&lt;=3.6</v>
      </c>
      <c r="BF156" s="107">
        <f t="shared" ref="BF156:BF161" si="767">+((AX156*AX$21)+(AZ$21*AZ156))/BF$21</f>
        <v>4.2522568987770697</v>
      </c>
      <c r="BG156" s="1222"/>
      <c r="BH156" s="1222"/>
      <c r="BI156" s="4713"/>
      <c r="BJ156" s="4713"/>
      <c r="BK156" s="26"/>
      <c r="BL156" s="26"/>
      <c r="BM156" s="26"/>
      <c r="BN156" s="26"/>
    </row>
    <row r="157" spans="1:66" x14ac:dyDescent="0.25">
      <c r="B157" s="1904" t="s">
        <v>203</v>
      </c>
      <c r="C157" s="1395" t="s">
        <v>49</v>
      </c>
      <c r="D157" s="396" t="s">
        <v>2267</v>
      </c>
      <c r="E157" s="775" t="str">
        <f>+$D$157</f>
        <v>13.4-14.1</v>
      </c>
      <c r="F157" s="134">
        <v>14</v>
      </c>
      <c r="G157" s="775" t="str">
        <f>+$D$157</f>
        <v>13.4-14.1</v>
      </c>
      <c r="H157" s="134">
        <v>13.68</v>
      </c>
      <c r="I157" s="53" t="str">
        <f>+$D$157</f>
        <v>13.4-14.1</v>
      </c>
      <c r="J157" s="107">
        <f t="shared" si="754"/>
        <v>13.837038034331876</v>
      </c>
      <c r="K157" s="775" t="str">
        <f>+$D$157</f>
        <v>13.4-14.1</v>
      </c>
      <c r="L157" s="134">
        <v>13.257093023255813</v>
      </c>
      <c r="M157" s="77" t="str">
        <f>+$D$157</f>
        <v>13.4-14.1</v>
      </c>
      <c r="N157" s="114">
        <f t="shared" si="755"/>
        <v>13.64675309063515</v>
      </c>
      <c r="O157" s="775" t="str">
        <f>+$D$157</f>
        <v>13.4-14.1</v>
      </c>
      <c r="P157" s="134">
        <v>13.296853932584265</v>
      </c>
      <c r="Q157" s="53" t="str">
        <f>+$D$157</f>
        <v>13.4-14.1</v>
      </c>
      <c r="R157" s="107">
        <f t="shared" si="756"/>
        <v>13.55757032520339</v>
      </c>
      <c r="S157" s="775" t="str">
        <f>+$D$157</f>
        <v>13.4-14.1</v>
      </c>
      <c r="T157" s="134">
        <v>13.42</v>
      </c>
      <c r="U157" s="53" t="str">
        <f>+$D$157</f>
        <v>13.4-14.1</v>
      </c>
      <c r="V157" s="107">
        <f t="shared" si="757"/>
        <v>13.529533614176316</v>
      </c>
      <c r="W157" s="775" t="str">
        <f>+$D$157</f>
        <v>13.4-14.1</v>
      </c>
      <c r="X157" s="134">
        <v>13.56</v>
      </c>
      <c r="Y157" s="77" t="str">
        <f>+$D$157</f>
        <v>13.4-14.1</v>
      </c>
      <c r="Z157" s="114">
        <f t="shared" si="758"/>
        <v>13.4243390750775</v>
      </c>
      <c r="AA157" s="667" t="str">
        <f>+$D$157</f>
        <v>13.4-14.1</v>
      </c>
      <c r="AB157" s="474">
        <f t="shared" si="759"/>
        <v>13.534552496810132</v>
      </c>
      <c r="AC157" s="775" t="str">
        <f>+$D$157</f>
        <v>13.4-14.1</v>
      </c>
      <c r="AD157" s="134">
        <v>13.48</v>
      </c>
      <c r="AE157" s="53" t="str">
        <f>+$D$157</f>
        <v>13.4-14.1</v>
      </c>
      <c r="AF157" s="107">
        <f t="shared" si="760"/>
        <v>13.526617011857478</v>
      </c>
      <c r="AG157" s="775" t="str">
        <f>+$D$157</f>
        <v>13.4-14.1</v>
      </c>
      <c r="AH157" s="134">
        <v>14.08</v>
      </c>
      <c r="AI157" s="53" t="str">
        <f>+$D$157</f>
        <v>13.4-14.1</v>
      </c>
      <c r="AJ157" s="107">
        <f t="shared" si="761"/>
        <v>13.592625892076287</v>
      </c>
      <c r="AK157" s="775" t="str">
        <f>+$D$157</f>
        <v>13.4-14.1</v>
      </c>
      <c r="AL157" s="134">
        <v>13.62</v>
      </c>
      <c r="AM157" s="77" t="str">
        <f>+$D$157</f>
        <v>13.4-14.1</v>
      </c>
      <c r="AN157" s="114">
        <f t="shared" si="762"/>
        <v>13.718590967936464</v>
      </c>
      <c r="AO157" s="53" t="str">
        <f>+$D$157</f>
        <v>13.4-14.1</v>
      </c>
      <c r="AP157" s="107">
        <f t="shared" si="763"/>
        <v>13.595715435287914</v>
      </c>
      <c r="AQ157" s="775" t="str">
        <f>+$D$157</f>
        <v>13.4-14.1</v>
      </c>
      <c r="AR157" s="134">
        <v>13.65</v>
      </c>
      <c r="AS157" s="53" t="str">
        <f>+$D$157</f>
        <v>13.4-14.1</v>
      </c>
      <c r="AT157" s="107">
        <f t="shared" si="764"/>
        <v>13.601262135110174</v>
      </c>
      <c r="AU157" s="775" t="str">
        <f>+$D$157</f>
        <v>13.4-14.1</v>
      </c>
      <c r="AV157" s="134">
        <v>13.83</v>
      </c>
      <c r="AW157" s="53" t="str">
        <f>+$D$157</f>
        <v>13.4-14.1</v>
      </c>
      <c r="AX157" s="107">
        <f t="shared" si="765"/>
        <v>13.620506906196054</v>
      </c>
      <c r="AY157" s="775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766"/>
        <v>13.779188105702021</v>
      </c>
      <c r="BE157" s="53" t="str">
        <f>+$D$157</f>
        <v>13.4-14.1</v>
      </c>
      <c r="BF157" s="107">
        <f t="shared" si="767"/>
        <v>13.656360178965279</v>
      </c>
      <c r="BG157" s="1222"/>
      <c r="BH157" s="1222"/>
      <c r="BI157" s="4713"/>
      <c r="BJ157" s="4713"/>
      <c r="BK157" s="26"/>
      <c r="BL157" s="26"/>
      <c r="BM157" s="26"/>
      <c r="BN157" s="26"/>
    </row>
    <row r="158" spans="1:66" x14ac:dyDescent="0.25">
      <c r="B158" s="1904" t="s">
        <v>204</v>
      </c>
      <c r="C158" s="1395" t="s">
        <v>49</v>
      </c>
      <c r="D158" s="396" t="s">
        <v>2268</v>
      </c>
      <c r="E158" s="775" t="str">
        <f>+$D$158</f>
        <v>85.0-86.5</v>
      </c>
      <c r="F158" s="134">
        <v>86.12</v>
      </c>
      <c r="G158" s="775" t="str">
        <f>+$D$158</f>
        <v>85.0-86.5</v>
      </c>
      <c r="H158" s="134">
        <v>86.48</v>
      </c>
      <c r="I158" s="53" t="str">
        <f>+$D$158</f>
        <v>85.0-86.5</v>
      </c>
      <c r="J158" s="107">
        <f t="shared" si="754"/>
        <v>86.303332211376642</v>
      </c>
      <c r="K158" s="775" t="str">
        <f>+$D$158</f>
        <v>85.0-86.5</v>
      </c>
      <c r="L158" s="134">
        <v>86.74639534883724</v>
      </c>
      <c r="M158" s="77" t="str">
        <f>+$D$158</f>
        <v>85.0-86.5</v>
      </c>
      <c r="N158" s="114">
        <f t="shared" si="755"/>
        <v>86.448705035619682</v>
      </c>
      <c r="O158" s="775" t="str">
        <f>+$D$158</f>
        <v>85.0-86.5</v>
      </c>
      <c r="P158" s="134">
        <v>86.803258426966309</v>
      </c>
      <c r="Q158" s="53" t="str">
        <f>+$D$158</f>
        <v>85.0-86.5</v>
      </c>
      <c r="R158" s="107">
        <f t="shared" si="756"/>
        <v>86.539074078259389</v>
      </c>
      <c r="S158" s="775" t="str">
        <f>+$D$158</f>
        <v>85.0-86.5</v>
      </c>
      <c r="T158" s="134">
        <v>87.09</v>
      </c>
      <c r="U158" s="53" t="str">
        <f>+$D$158</f>
        <v>85.0-86.5</v>
      </c>
      <c r="V158" s="107">
        <f t="shared" si="757"/>
        <v>86.651352295544484</v>
      </c>
      <c r="W158" s="775" t="str">
        <f>+$D$158</f>
        <v>85.0-86.5</v>
      </c>
      <c r="X158" s="134">
        <v>86.85</v>
      </c>
      <c r="Y158" s="77" t="str">
        <f>+$D$158</f>
        <v>85.0-86.5</v>
      </c>
      <c r="Z158" s="114">
        <f>+((P158*P$21)+(T158*T$21)+(X158*X$21))/Z$21</f>
        <v>86.915279409844004</v>
      </c>
      <c r="AA158" s="667" t="str">
        <f>+$D$158</f>
        <v>85.0-86.5</v>
      </c>
      <c r="AB158" s="474">
        <f t="shared" si="759"/>
        <v>86.684076541863334</v>
      </c>
      <c r="AC158" s="775" t="str">
        <f>+$D$158</f>
        <v>85.0-86.5</v>
      </c>
      <c r="AD158" s="134">
        <v>86.86</v>
      </c>
      <c r="AE158" s="53" t="str">
        <f>+$D$158</f>
        <v>85.0-86.5</v>
      </c>
      <c r="AF158" s="107">
        <f t="shared" si="760"/>
        <v>86.709667267063708</v>
      </c>
      <c r="AG158" s="775" t="str">
        <f>+$D$158</f>
        <v>85.0-86.5</v>
      </c>
      <c r="AH158" s="134">
        <v>86.55</v>
      </c>
      <c r="AI158" s="53" t="str">
        <f>+$D$158</f>
        <v>85.0-86.5</v>
      </c>
      <c r="AJ158" s="107">
        <f t="shared" si="761"/>
        <v>86.690621763800493</v>
      </c>
      <c r="AK158" s="775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763"/>
        <v>86.669107485491253</v>
      </c>
      <c r="AQ158" s="775" t="str">
        <f>+$D$158</f>
        <v>85.0-86.5</v>
      </c>
      <c r="AR158" s="134">
        <v>86.4</v>
      </c>
      <c r="AS158" s="53" t="str">
        <f>+$D$158</f>
        <v>85.0-86.5</v>
      </c>
      <c r="AT158" s="107">
        <f t="shared" si="764"/>
        <v>86.641610563486651</v>
      </c>
      <c r="AU158" s="775" t="str">
        <f>+$D$158</f>
        <v>85.0-86.5</v>
      </c>
      <c r="AV158" s="134">
        <v>86.45</v>
      </c>
      <c r="AW158" s="53" t="str">
        <f>+$D$158</f>
        <v>85.0-86.5</v>
      </c>
      <c r="AX158" s="107">
        <f t="shared" si="765"/>
        <v>86.625489483429746</v>
      </c>
      <c r="AY158" s="775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766"/>
        <v>86.532855538033445</v>
      </c>
      <c r="BE158" s="53" t="str">
        <f>+$D$158</f>
        <v>85.0-86.5</v>
      </c>
      <c r="BF158" s="107">
        <f t="shared" si="767"/>
        <v>86.608781371004426</v>
      </c>
      <c r="BG158" s="1222"/>
      <c r="BH158" s="1222"/>
      <c r="BI158" s="4713"/>
      <c r="BJ158" s="4713"/>
      <c r="BK158" s="26"/>
      <c r="BL158" s="26"/>
      <c r="BM158" s="26"/>
      <c r="BN158" s="26"/>
    </row>
    <row r="159" spans="1:66" x14ac:dyDescent="0.25">
      <c r="B159" s="1904" t="s">
        <v>205</v>
      </c>
      <c r="C159" s="1395" t="s">
        <v>49</v>
      </c>
      <c r="D159" s="396" t="s">
        <v>2269</v>
      </c>
      <c r="E159" s="775" t="str">
        <f>+$D$159</f>
        <v>7.5-8.0</v>
      </c>
      <c r="F159" s="134">
        <v>7.74</v>
      </c>
      <c r="G159" s="775" t="str">
        <f>+$D$159</f>
        <v>7.5-8.0</v>
      </c>
      <c r="H159" s="134">
        <v>7.64</v>
      </c>
      <c r="I159" s="53" t="str">
        <f>+$D$159</f>
        <v>7.5-8.0</v>
      </c>
      <c r="J159" s="107">
        <f t="shared" si="754"/>
        <v>7.6890743857287109</v>
      </c>
      <c r="K159" s="775" t="str">
        <f>+$D$159</f>
        <v>7.5-8.0</v>
      </c>
      <c r="L159" s="134">
        <v>7.4724418604651159</v>
      </c>
      <c r="M159" s="77" t="str">
        <f>+$D$159</f>
        <v>7.5-8.0</v>
      </c>
      <c r="N159" s="114">
        <f t="shared" si="755"/>
        <v>7.6179953918837997</v>
      </c>
      <c r="O159" s="775" t="str">
        <f>+$D$159</f>
        <v>7.5-8.0</v>
      </c>
      <c r="P159" s="134">
        <v>7.6134831460674164</v>
      </c>
      <c r="Q159" s="53" t="str">
        <f>+$D$159</f>
        <v>7.5-8.0</v>
      </c>
      <c r="R159" s="107">
        <f t="shared" si="756"/>
        <v>7.6168453046345057</v>
      </c>
      <c r="S159" s="775" t="str">
        <f>+$D$159</f>
        <v>7.5-8.0</v>
      </c>
      <c r="T159" s="134">
        <v>7.6</v>
      </c>
      <c r="U159" s="53" t="str">
        <f>+$D$159</f>
        <v>7.5-8.0</v>
      </c>
      <c r="V159" s="107">
        <f t="shared" si="757"/>
        <v>7.6134122463968188</v>
      </c>
      <c r="W159" s="775" t="str">
        <f>+$D$159</f>
        <v>7.5-8.0</v>
      </c>
      <c r="X159" s="134">
        <v>7.73</v>
      </c>
      <c r="Y159" s="77" t="str">
        <f>+$D$159</f>
        <v>7.5-8.0</v>
      </c>
      <c r="Z159" s="114">
        <f t="shared" si="758"/>
        <v>7.6469823023367436</v>
      </c>
      <c r="AA159" s="667" t="str">
        <f>+$D$159</f>
        <v>7.5-8.0</v>
      </c>
      <c r="AB159" s="474">
        <f t="shared" si="759"/>
        <v>7.6326183398028791</v>
      </c>
      <c r="AC159" s="775" t="str">
        <f>+$D$159</f>
        <v>7.5-8.0</v>
      </c>
      <c r="AD159" s="134">
        <v>7.73</v>
      </c>
      <c r="AE159" s="53" t="str">
        <f>+$D$159</f>
        <v>7.5-8.0</v>
      </c>
      <c r="AF159" s="107">
        <f t="shared" si="760"/>
        <v>7.6467839737214947</v>
      </c>
      <c r="AG159" s="775" t="str">
        <f>+$D$159</f>
        <v>7.5-8.0</v>
      </c>
      <c r="AH159" s="134">
        <v>7.85</v>
      </c>
      <c r="AI159" s="53" t="str">
        <f>+$D$159</f>
        <v>7.5-8.0</v>
      </c>
      <c r="AJ159" s="107">
        <f t="shared" si="761"/>
        <v>7.6710240798045985</v>
      </c>
      <c r="AK159" s="775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768">+((AD159*AD$21)+(AH159*AH$21)+(AL$21*AL159))/AN$21</f>
        <v>7.7682092426953133</v>
      </c>
      <c r="AO159" s="53" t="str">
        <f>+$D$159</f>
        <v>7.5-8.0</v>
      </c>
      <c r="AP159" s="107">
        <f t="shared" si="763"/>
        <v>7.6776803205996202</v>
      </c>
      <c r="AQ159" s="775" t="str">
        <f>+$D$159</f>
        <v>7.5-8.0</v>
      </c>
      <c r="AR159" s="134">
        <v>7.73</v>
      </c>
      <c r="AS159" s="53" t="str">
        <f>+$D$159</f>
        <v>7.5-8.0</v>
      </c>
      <c r="AT159" s="107">
        <f t="shared" si="764"/>
        <v>7.6830262519517429</v>
      </c>
      <c r="AU159" s="775" t="str">
        <f>+$D$159</f>
        <v>7.5-8.0</v>
      </c>
      <c r="AV159" s="134">
        <v>7.76</v>
      </c>
      <c r="AW159" s="53" t="str">
        <f>+$D$159</f>
        <v>7.5-8.0</v>
      </c>
      <c r="AX159" s="107">
        <f t="shared" si="765"/>
        <v>7.6895024082345014</v>
      </c>
      <c r="AY159" s="775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766"/>
        <v>7.7675465880069119</v>
      </c>
      <c r="BE159" s="53" t="str">
        <f>+$D$159</f>
        <v>7.5-8.0</v>
      </c>
      <c r="BF159" s="107">
        <f t="shared" si="767"/>
        <v>7.6998011070436467</v>
      </c>
      <c r="BG159" s="1222"/>
      <c r="BH159" s="1222"/>
      <c r="BI159" s="4713"/>
      <c r="BJ159" s="4713"/>
      <c r="BK159" s="26"/>
      <c r="BL159" s="26"/>
      <c r="BM159" s="26"/>
      <c r="BN159" s="26"/>
    </row>
    <row r="160" spans="1:66" x14ac:dyDescent="0.25">
      <c r="A160" s="148"/>
      <c r="B160" s="1904" t="s">
        <v>206</v>
      </c>
      <c r="C160" s="1395" t="s">
        <v>49</v>
      </c>
      <c r="D160" s="396" t="s">
        <v>2270</v>
      </c>
      <c r="E160" s="775" t="str">
        <f>+$D$160</f>
        <v>64.0-65.5</v>
      </c>
      <c r="F160" s="134">
        <v>65.14</v>
      </c>
      <c r="G160" s="775" t="str">
        <f>+$D$160</f>
        <v>64.0-65.5</v>
      </c>
      <c r="H160" s="134">
        <v>65.19</v>
      </c>
      <c r="I160" s="53" t="str">
        <f>+$D$160</f>
        <v>64.0-65.5</v>
      </c>
      <c r="J160" s="107">
        <f t="shared" si="754"/>
        <v>65.16546280713564</v>
      </c>
      <c r="K160" s="775" t="str">
        <f>+$D$160</f>
        <v>64.0-65.5</v>
      </c>
      <c r="L160" s="134">
        <v>65.455454545454543</v>
      </c>
      <c r="M160" s="77" t="str">
        <f>+$D$160</f>
        <v>64.0-65.5</v>
      </c>
      <c r="N160" s="114">
        <f t="shared" si="755"/>
        <v>65.260611589424741</v>
      </c>
      <c r="O160" s="775" t="str">
        <f>+$D$160</f>
        <v>64.0-65.5</v>
      </c>
      <c r="P160" s="134">
        <v>65.259999999999991</v>
      </c>
      <c r="Q160" s="53" t="str">
        <f>+$D$160</f>
        <v>64.0-65.5</v>
      </c>
      <c r="R160" s="107">
        <f t="shared" si="756"/>
        <v>65.260455706694088</v>
      </c>
      <c r="S160" s="775" t="str">
        <f>+$D$160</f>
        <v>64.0-65.5</v>
      </c>
      <c r="T160" s="134">
        <v>65.17</v>
      </c>
      <c r="U160" s="53" t="str">
        <f>+$D$160</f>
        <v>64.0-65.5</v>
      </c>
      <c r="V160" s="107">
        <f t="shared" si="757"/>
        <v>65.242020913394128</v>
      </c>
      <c r="W160" s="775" t="str">
        <f>+$D$160</f>
        <v>64.0-65.5</v>
      </c>
      <c r="X160" s="134">
        <v>64.73</v>
      </c>
      <c r="Y160" s="77" t="str">
        <f>+$D$160</f>
        <v>64.0-65.5</v>
      </c>
      <c r="Z160" s="114">
        <f t="shared" si="758"/>
        <v>65.056557752720124</v>
      </c>
      <c r="AA160" s="667" t="str">
        <f>+$D$160</f>
        <v>64.0-65.5</v>
      </c>
      <c r="AB160" s="474">
        <f t="shared" si="759"/>
        <v>65.157673105115975</v>
      </c>
      <c r="AC160" s="775" t="str">
        <f>+$D$160</f>
        <v>64.0-65.5</v>
      </c>
      <c r="AD160" s="134">
        <v>64.73</v>
      </c>
      <c r="AE160" s="53" t="str">
        <f>+$D$160</f>
        <v>64.0-65.5</v>
      </c>
      <c r="AF160" s="107">
        <f t="shared" si="760"/>
        <v>65.095461589809631</v>
      </c>
      <c r="AG160" s="775" t="str">
        <f>+$D$160</f>
        <v>64.0-65.5</v>
      </c>
      <c r="AH160" s="134">
        <v>64.39</v>
      </c>
      <c r="AI160" s="53" t="str">
        <f>+$D$160</f>
        <v>64.0-65.5</v>
      </c>
      <c r="AJ160" s="107">
        <f t="shared" si="761"/>
        <v>65.011312400950359</v>
      </c>
      <c r="AK160" s="775" t="str">
        <f>+$D$160</f>
        <v>64.0-65.5</v>
      </c>
      <c r="AL160" s="134">
        <v>64.7</v>
      </c>
      <c r="AM160" s="77" t="str">
        <f>+$D$160</f>
        <v>64.0-65.5</v>
      </c>
      <c r="AN160" s="114">
        <f t="shared" si="768"/>
        <v>64.611552317359966</v>
      </c>
      <c r="AO160" s="53" t="str">
        <f>+$D$160</f>
        <v>64.0-65.5</v>
      </c>
      <c r="AP160" s="107">
        <f t="shared" si="763"/>
        <v>64.976176530304585</v>
      </c>
      <c r="AQ160" s="775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764"/>
        <v>64.942848395276499</v>
      </c>
      <c r="AU160" s="775" t="str">
        <f>+$D$160</f>
        <v>64.0-65.5</v>
      </c>
      <c r="AV160" s="134">
        <v>65</v>
      </c>
      <c r="AW160" s="53" t="str">
        <f>+$D$160</f>
        <v>64.0-65.5</v>
      </c>
      <c r="AX160" s="107">
        <f t="shared" si="765"/>
        <v>64.947656823258569</v>
      </c>
      <c r="AY160" s="775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766"/>
        <v>64.741433246033111</v>
      </c>
      <c r="BE160" s="53" t="str">
        <f>+$D$160</f>
        <v>64.0-65.5</v>
      </c>
      <c r="BF160" s="107">
        <f t="shared" si="767"/>
        <v>64.950421132743188</v>
      </c>
      <c r="BG160" s="1222"/>
      <c r="BH160" s="1222"/>
      <c r="BI160" s="4713"/>
      <c r="BJ160" s="4713"/>
      <c r="BK160" s="26"/>
      <c r="BL160" s="26"/>
      <c r="BM160" s="26"/>
      <c r="BN160" s="26"/>
    </row>
    <row r="161" spans="1:66" x14ac:dyDescent="0.25">
      <c r="B161" s="1904" t="s">
        <v>207</v>
      </c>
      <c r="C161" s="1395" t="s">
        <v>49</v>
      </c>
      <c r="D161" s="396" t="s">
        <v>2271</v>
      </c>
      <c r="E161" s="775" t="str">
        <f>+$D$161</f>
        <v>22.5-24.0</v>
      </c>
      <c r="F161" s="134">
        <v>23.41</v>
      </c>
      <c r="G161" s="775" t="str">
        <f>+$D$161</f>
        <v>22.5-24.0</v>
      </c>
      <c r="H161" s="134">
        <v>23.19</v>
      </c>
      <c r="I161" s="53" t="str">
        <f>+$D$161</f>
        <v>22.5-24.0</v>
      </c>
      <c r="J161" s="107">
        <f t="shared" si="754"/>
        <v>23.297963648603162</v>
      </c>
      <c r="K161" s="775" t="str">
        <f>+$D$161</f>
        <v>22.5-24.0</v>
      </c>
      <c r="L161" s="134">
        <v>22.873636363636365</v>
      </c>
      <c r="M161" s="77" t="str">
        <f>+$D$161</f>
        <v>22.5-24.0</v>
      </c>
      <c r="N161" s="114">
        <f t="shared" si="755"/>
        <v>23.158738218628212</v>
      </c>
      <c r="O161" s="775" t="str">
        <f>+$D$161</f>
        <v>22.5-24.0</v>
      </c>
      <c r="P161" s="134">
        <v>23.161666666666665</v>
      </c>
      <c r="Q161" s="53" t="str">
        <f>+$D$161</f>
        <v>22.5-24.0</v>
      </c>
      <c r="R161" s="107">
        <f t="shared" si="756"/>
        <v>23.159484625381367</v>
      </c>
      <c r="S161" s="775" t="str">
        <f>+$D$161</f>
        <v>22.5-24.0</v>
      </c>
      <c r="T161" s="134">
        <v>23.13</v>
      </c>
      <c r="U161" s="53" t="str">
        <f>+$D$161</f>
        <v>22.5-24.0</v>
      </c>
      <c r="V161" s="107">
        <f t="shared" si="757"/>
        <v>23.153475684715296</v>
      </c>
      <c r="W161" s="775" t="str">
        <f>+$D$161</f>
        <v>22.5-24.0</v>
      </c>
      <c r="X161" s="134">
        <v>23.56</v>
      </c>
      <c r="Y161" s="77" t="str">
        <f>+$D$161</f>
        <v>22.5-24.0</v>
      </c>
      <c r="Z161" s="114">
        <f t="shared" si="758"/>
        <v>23.28105791237283</v>
      </c>
      <c r="AA161" s="667" t="str">
        <f>+$D$161</f>
        <v>22.5-24.0</v>
      </c>
      <c r="AB161" s="474">
        <f t="shared" si="759"/>
        <v>23.2204445020215</v>
      </c>
      <c r="AC161" s="775" t="str">
        <f>+$D$161</f>
        <v>22.5-24.0</v>
      </c>
      <c r="AD161" s="134">
        <v>23.4</v>
      </c>
      <c r="AE161" s="53" t="str">
        <f>+$D$161</f>
        <v>22.5-24.0</v>
      </c>
      <c r="AF161" s="107">
        <f t="shared" si="760"/>
        <v>23.246563562297219</v>
      </c>
      <c r="AG161" s="775" t="str">
        <f>+$D$161</f>
        <v>22.5-24.0</v>
      </c>
      <c r="AH161" s="134">
        <v>23.59</v>
      </c>
      <c r="AI161" s="53" t="str">
        <f>+$D$161</f>
        <v>22.5-24.0</v>
      </c>
      <c r="AJ161" s="107">
        <f t="shared" si="761"/>
        <v>23.287529503001668</v>
      </c>
      <c r="AK161" s="775" t="str">
        <f>+$D$161</f>
        <v>22.5-24.0</v>
      </c>
      <c r="AL161" s="134">
        <v>23.35</v>
      </c>
      <c r="AM161" s="77" t="str">
        <f>+$D$161</f>
        <v>22.5-24.0</v>
      </c>
      <c r="AN161" s="114">
        <f t="shared" si="768"/>
        <v>23.443517698150945</v>
      </c>
      <c r="AO161" s="53" t="str">
        <f>+$D$161</f>
        <v>22.5-24.0</v>
      </c>
      <c r="AP161" s="107">
        <f t="shared" si="763"/>
        <v>23.294580154678282</v>
      </c>
      <c r="AQ161" s="775" t="str">
        <f>+$D$161</f>
        <v>22.5-24.0</v>
      </c>
      <c r="AR161" s="134">
        <v>23.62</v>
      </c>
      <c r="AS161" s="53" t="str">
        <f>+$D$161</f>
        <v>22.5-24.0</v>
      </c>
      <c r="AT161" s="107">
        <f t="shared" si="764"/>
        <v>23.327830972986927</v>
      </c>
      <c r="AU161" s="775" t="str">
        <f>+$D$161</f>
        <v>22.5-24.0</v>
      </c>
      <c r="AV161" s="134">
        <v>23.38</v>
      </c>
      <c r="AW161" s="53" t="str">
        <f>+$D$161</f>
        <v>22.5-24.0</v>
      </c>
      <c r="AX161" s="107">
        <f t="shared" si="765"/>
        <v>23.33222019373585</v>
      </c>
      <c r="AY161" s="775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766"/>
        <v>23.470298809490902</v>
      </c>
      <c r="BE161" s="53" t="str">
        <f>+$D$161</f>
        <v>22.5-24.0</v>
      </c>
      <c r="BF161" s="107">
        <f t="shared" si="767"/>
        <v>23.344850651261925</v>
      </c>
      <c r="BG161" s="1222"/>
      <c r="BH161" s="1222"/>
      <c r="BI161" s="4713"/>
      <c r="BJ161" s="4713"/>
      <c r="BK161" s="26"/>
      <c r="BL161" s="26"/>
      <c r="BM161" s="26"/>
      <c r="BN161" s="26"/>
    </row>
    <row r="162" spans="1:66" x14ac:dyDescent="0.25">
      <c r="B162" s="1955" t="s">
        <v>5</v>
      </c>
      <c r="C162" s="1401"/>
      <c r="D162" s="414"/>
      <c r="E162" s="1002"/>
      <c r="F162" s="693"/>
      <c r="G162" s="1002"/>
      <c r="H162" s="693"/>
      <c r="I162" s="414"/>
      <c r="J162" s="414"/>
      <c r="K162" s="1002"/>
      <c r="L162" s="693"/>
      <c r="M162" s="1002"/>
      <c r="N162" s="693"/>
      <c r="O162" s="1002"/>
      <c r="P162" s="693"/>
      <c r="Q162" s="414"/>
      <c r="R162" s="414"/>
      <c r="S162" s="1002"/>
      <c r="T162" s="693"/>
      <c r="U162" s="414"/>
      <c r="V162" s="414"/>
      <c r="W162" s="1002"/>
      <c r="X162" s="693"/>
      <c r="Y162" s="414"/>
      <c r="Z162" s="414"/>
      <c r="AA162" s="2534"/>
      <c r="AB162" s="693"/>
      <c r="AC162" s="1002"/>
      <c r="AD162" s="693"/>
      <c r="AE162" s="414"/>
      <c r="AF162" s="693"/>
      <c r="AG162" s="1002"/>
      <c r="AH162" s="693"/>
      <c r="AI162" s="414"/>
      <c r="AJ162" s="693"/>
      <c r="AK162" s="1002"/>
      <c r="AL162" s="693"/>
      <c r="AM162" s="414"/>
      <c r="AN162" s="414"/>
      <c r="AO162" s="414"/>
      <c r="AP162" s="693"/>
      <c r="AQ162" s="1002"/>
      <c r="AR162" s="693"/>
      <c r="AS162" s="414"/>
      <c r="AT162" s="693"/>
      <c r="AU162" s="1002"/>
      <c r="AV162" s="693"/>
      <c r="AW162" s="414"/>
      <c r="AX162" s="693"/>
      <c r="AY162" s="1002"/>
      <c r="AZ162" s="693"/>
      <c r="BA162" s="414"/>
      <c r="BB162" s="414"/>
      <c r="BC162" s="2534"/>
      <c r="BD162" s="693"/>
      <c r="BE162" s="414"/>
      <c r="BF162" s="693"/>
      <c r="BG162" s="1222"/>
      <c r="BH162" s="1222"/>
      <c r="BI162" s="4713"/>
      <c r="BJ162" s="4713"/>
      <c r="BK162" s="26"/>
      <c r="BL162" s="26"/>
      <c r="BM162" s="26"/>
      <c r="BN162" s="26"/>
    </row>
    <row r="163" spans="1:66" x14ac:dyDescent="0.25">
      <c r="B163" s="1921" t="s">
        <v>215</v>
      </c>
      <c r="C163" s="1395" t="s">
        <v>210</v>
      </c>
      <c r="D163" s="396">
        <f>+(D164*D17)/1000000</f>
        <v>183.93800400000001</v>
      </c>
      <c r="E163" s="775">
        <f>+(E164*E17)/1000000</f>
        <v>15.676080000000001</v>
      </c>
      <c r="F163" s="134">
        <v>15.58093</v>
      </c>
      <c r="G163" s="775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5">
        <f>+(K164*K17)/1000000</f>
        <v>15.589168399999997</v>
      </c>
      <c r="L163" s="134">
        <v>15.68</v>
      </c>
      <c r="M163" s="77">
        <f>+(M164*M17)/1000000</f>
        <v>47.463864399999999</v>
      </c>
      <c r="N163" s="2475">
        <f>+L163+H163+F163</f>
        <v>47.426189999999998</v>
      </c>
      <c r="O163" s="775">
        <f>+(O164*O17)/1000000</f>
        <v>15.868031999999999</v>
      </c>
      <c r="P163" s="134">
        <v>16.123999999999999</v>
      </c>
      <c r="Q163" s="53">
        <f>+(Q164*Q17)/1000000</f>
        <v>63.331896399999998</v>
      </c>
      <c r="R163" s="107">
        <f>+N163+P163</f>
        <v>63.550190000000001</v>
      </c>
      <c r="S163" s="775">
        <f>+(S164*S17)/1000000</f>
        <v>15.868031999999999</v>
      </c>
      <c r="T163" s="134">
        <v>16.255430000000004</v>
      </c>
      <c r="U163" s="53">
        <f>+(U164*U17)/1000000</f>
        <v>79.199928400000005</v>
      </c>
      <c r="V163" s="107">
        <f>+R163+T163</f>
        <v>79.805620000000005</v>
      </c>
      <c r="W163" s="775">
        <f>+(W164*W17)/1000000</f>
        <v>15.356159999999997</v>
      </c>
      <c r="X163" s="134">
        <v>15.7335091928053</v>
      </c>
      <c r="Y163" s="77">
        <f>+(Y164*Y17)/1000000</f>
        <v>47.092224000000002</v>
      </c>
      <c r="Z163" s="123">
        <f>+P163+T163+X163</f>
        <v>48.1129391928053</v>
      </c>
      <c r="AA163" s="667">
        <f>+(AA164*AA17)/1000000</f>
        <v>94.556088400000007</v>
      </c>
      <c r="AB163" s="474">
        <f>+N163+Z163</f>
        <v>95.539129192805291</v>
      </c>
      <c r="AC163" s="775">
        <f>+(AC164*AC17)/1000000</f>
        <v>15.868031999999999</v>
      </c>
      <c r="AD163" s="134">
        <v>16.240020000000001</v>
      </c>
      <c r="AE163" s="53">
        <f>+(AE164*AE17)/1000000</f>
        <v>110.42412040000001</v>
      </c>
      <c r="AF163" s="107">
        <f>+AB163+AD163</f>
        <v>111.77914919280529</v>
      </c>
      <c r="AG163" s="775">
        <f>+(AG164*AG17)/1000000</f>
        <v>15.356159999999997</v>
      </c>
      <c r="AH163" s="134">
        <f>14741.71/1000</f>
        <v>14.741709999999999</v>
      </c>
      <c r="AI163" s="53">
        <f>+(AI164*AI17)/1000000</f>
        <v>125.78028040000001</v>
      </c>
      <c r="AJ163" s="107">
        <f>+AF163+AH163</f>
        <v>126.52085919280529</v>
      </c>
      <c r="AK163" s="775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141.64831240000001</v>
      </c>
      <c r="AP163" s="107">
        <f>+AL163+AJ163</f>
        <v>142.74681919280528</v>
      </c>
      <c r="AQ163" s="775">
        <f>+(AQ164*AQ17)/1000000</f>
        <v>15.868031999999999</v>
      </c>
      <c r="AR163" s="134">
        <v>16.215</v>
      </c>
      <c r="AS163" s="53">
        <f>+(AS164*AS17)/1000000</f>
        <v>157.51634440000001</v>
      </c>
      <c r="AT163" s="107">
        <f>+AP163+AR163</f>
        <v>158.96181919280528</v>
      </c>
      <c r="AU163" s="775">
        <f>+(AU164*AU17)/1000000</f>
        <v>14.332415999999998</v>
      </c>
      <c r="AV163" s="134">
        <v>14.603014</v>
      </c>
      <c r="AW163" s="53">
        <f>+(AW164*AW17)/1000000</f>
        <v>171.84876040000003</v>
      </c>
      <c r="AX163" s="107">
        <f>+AT163+AV163</f>
        <v>173.56483319280528</v>
      </c>
      <c r="AY163" s="775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187.7167924</v>
      </c>
      <c r="BF163" s="107">
        <f>+AX163+AZ163</f>
        <v>189.76710319280528</v>
      </c>
      <c r="BG163" s="1222"/>
      <c r="BH163" s="1222"/>
      <c r="BI163" s="4713"/>
      <c r="BJ163" s="4713"/>
      <c r="BK163" s="26"/>
      <c r="BL163" s="26"/>
      <c r="BM163" s="26"/>
      <c r="BN163" s="26"/>
    </row>
    <row r="164" spans="1:66" x14ac:dyDescent="0.25">
      <c r="B164" s="1922" t="s">
        <v>216</v>
      </c>
      <c r="C164" s="1395" t="s">
        <v>211</v>
      </c>
      <c r="D164" s="3318">
        <v>310</v>
      </c>
      <c r="E164" s="3316">
        <f>+$D$164</f>
        <v>310</v>
      </c>
      <c r="F164" s="181">
        <f>+(F163*1000000)/F17</f>
        <v>310.65432896289917</v>
      </c>
      <c r="G164" s="7174">
        <f>+$D$164</f>
        <v>310</v>
      </c>
      <c r="H164" s="181">
        <f>+(H163*1000000)/H17</f>
        <v>310.58846585407093</v>
      </c>
      <c r="I164" s="2589">
        <f>+$D$164</f>
        <v>310</v>
      </c>
      <c r="J164" s="39">
        <f>+(J163*1000000)/J17</f>
        <v>310.62078777015023</v>
      </c>
      <c r="K164" s="4582">
        <f>+$D$164</f>
        <v>310</v>
      </c>
      <c r="L164" s="181">
        <f>+(L163*1000000)/L17</f>
        <v>311.98764783598364</v>
      </c>
      <c r="M164" s="2591">
        <f>+$D$164</f>
        <v>310</v>
      </c>
      <c r="N164" s="69">
        <f>+(N163*1000000)/N17</f>
        <v>311.07137047687013</v>
      </c>
      <c r="O164" s="4766">
        <f>+$D$164</f>
        <v>310</v>
      </c>
      <c r="P164" s="181">
        <f>+(P163*1000000)/P17</f>
        <v>309.89813569094753</v>
      </c>
      <c r="Q164" s="2589">
        <f>+$D$164</f>
        <v>310</v>
      </c>
      <c r="R164" s="39">
        <f>+(R163*1000000)/R17</f>
        <v>310.77285628497714</v>
      </c>
      <c r="S164" s="4877">
        <f>+$D$164</f>
        <v>310</v>
      </c>
      <c r="T164" s="181">
        <f>+(T163*1000000)/T17</f>
        <v>311.08727436961289</v>
      </c>
      <c r="U164" s="4875">
        <f>+$D$164</f>
        <v>310</v>
      </c>
      <c r="V164" s="39">
        <f>+(V163*1000000)/V17</f>
        <v>310.83684785335146</v>
      </c>
      <c r="W164" s="5095">
        <f>+$D$164</f>
        <v>310</v>
      </c>
      <c r="X164" s="181">
        <f>+(X163*1000000)/X17</f>
        <v>311.13568250287335</v>
      </c>
      <c r="Y164" s="2591">
        <f>+$D$164</f>
        <v>310</v>
      </c>
      <c r="Z164" s="69">
        <f>+(Z163*1000000)/Z17</f>
        <v>310.70353288442163</v>
      </c>
      <c r="AA164" s="640">
        <f>+$D$164</f>
        <v>310</v>
      </c>
      <c r="AB164" s="454">
        <f>+(AB163*1000000)/AB17</f>
        <v>310.88602084655645</v>
      </c>
      <c r="AC164" s="5329">
        <f>+$D$164</f>
        <v>310</v>
      </c>
      <c r="AD164" s="181">
        <f>+(AD163*1000000)/AD17</f>
        <v>310.79236645896174</v>
      </c>
      <c r="AE164" s="2614">
        <f>+$D$164</f>
        <v>310</v>
      </c>
      <c r="AF164" s="39">
        <f>+(AF163*1000000)/AF17</f>
        <v>310.87241060835925</v>
      </c>
      <c r="AG164" s="5504">
        <f>+$D$164</f>
        <v>310</v>
      </c>
      <c r="AH164" s="181">
        <f>+(AH163*1000000)/AH17</f>
        <v>302.96082106422682</v>
      </c>
      <c r="AI164" s="2663">
        <f>+$D$164</f>
        <v>310</v>
      </c>
      <c r="AJ164" s="39">
        <f>+(AJ163*1000000)/AJ17</f>
        <v>309.92938006903381</v>
      </c>
      <c r="AK164" s="5926">
        <f>+$D$164</f>
        <v>310</v>
      </c>
      <c r="AL164" s="181">
        <f>+(AL163*1000000)/AL17</f>
        <v>310.52329408882832</v>
      </c>
      <c r="AM164" s="2724">
        <f>+$D$164</f>
        <v>310</v>
      </c>
      <c r="AN164" s="69">
        <f>+(AN163*1000000)/AN17</f>
        <v>308.21259287309192</v>
      </c>
      <c r="AO164" s="2722">
        <f>+$D$164</f>
        <v>310</v>
      </c>
      <c r="AP164" s="39">
        <f>+(AP163*1000000)/AP17</f>
        <v>309.99677551174022</v>
      </c>
      <c r="AQ164" s="6083">
        <f>+$D$164</f>
        <v>310</v>
      </c>
      <c r="AR164" s="181">
        <f>+(AR163*1000000)/AR17</f>
        <v>310.3135477746988</v>
      </c>
      <c r="AS164" s="2791">
        <f>+$D$164</f>
        <v>310</v>
      </c>
      <c r="AT164" s="39">
        <f>+(AT163*1000000)/AT17</f>
        <v>310.02905844145738</v>
      </c>
      <c r="AU164" s="6205">
        <f>+$D$164</f>
        <v>310</v>
      </c>
      <c r="AV164" s="181">
        <f>+(AV163*1000000)/AV17</f>
        <v>310.42502444623955</v>
      </c>
      <c r="AW164" s="6207">
        <f>+$D$164</f>
        <v>310</v>
      </c>
      <c r="AX164" s="39">
        <f>+(AX163*1000000)/AX17</f>
        <v>310.06233442926134</v>
      </c>
      <c r="AY164" s="6414">
        <f>+$D$164</f>
        <v>310</v>
      </c>
      <c r="AZ164" s="181">
        <f>+(AZ163*1000000)/AZ17</f>
        <v>310.06992819633479</v>
      </c>
      <c r="BA164" s="3033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3032">
        <f>+$D$164</f>
        <v>310</v>
      </c>
      <c r="BF164" s="39">
        <f>+(BF163*1000000)/BF17</f>
        <v>310.06298276875964</v>
      </c>
      <c r="BG164" s="1222"/>
      <c r="BH164" s="1222"/>
      <c r="BI164" s="4713"/>
      <c r="BJ164" s="4713"/>
      <c r="BK164" s="26"/>
      <c r="BL164" s="26"/>
      <c r="BM164" s="26"/>
      <c r="BN164" s="26"/>
    </row>
    <row r="165" spans="1:66" x14ac:dyDescent="0.25">
      <c r="B165" s="1921" t="s">
        <v>217</v>
      </c>
      <c r="C165" s="1395" t="s">
        <v>212</v>
      </c>
      <c r="D165" s="3318">
        <v>4225</v>
      </c>
      <c r="E165" s="3316">
        <f>+$D$165</f>
        <v>4225</v>
      </c>
      <c r="F165" s="181">
        <v>4221.21</v>
      </c>
      <c r="G165" s="7174">
        <f>+$D$165</f>
        <v>4225</v>
      </c>
      <c r="H165" s="181">
        <v>4217.0200000000004</v>
      </c>
      <c r="I165" s="2589">
        <f>+$D$165</f>
        <v>4225</v>
      </c>
      <c r="J165" s="39">
        <f>+((F165*F163)+(H163*H165))/J163</f>
        <v>4219.0764387947029</v>
      </c>
      <c r="K165" s="4582">
        <f>+$D$165</f>
        <v>4225</v>
      </c>
      <c r="L165" s="181">
        <v>4216.97</v>
      </c>
      <c r="M165" s="2591">
        <f>+$D$165</f>
        <v>4225</v>
      </c>
      <c r="N165" s="69">
        <f>+((F165*F163)+(H165*H163)+(L163*L165))/N163</f>
        <v>4218.3800100851449</v>
      </c>
      <c r="O165" s="4766">
        <f>+$D$165</f>
        <v>4225</v>
      </c>
      <c r="P165" s="181">
        <v>4223.88</v>
      </c>
      <c r="Q165" s="2589">
        <f>+$D$165</f>
        <v>4225</v>
      </c>
      <c r="R165" s="39">
        <f>+((N165*N163)+(P163*P165))/R163</f>
        <v>4219.7754714895427</v>
      </c>
      <c r="S165" s="4877">
        <f>+$D$165</f>
        <v>4225</v>
      </c>
      <c r="T165" s="181">
        <v>4223.0200000000004</v>
      </c>
      <c r="U165" s="4875">
        <f>+$D$165</f>
        <v>4225</v>
      </c>
      <c r="V165" s="39">
        <f>+((R165*R163)+(T163*T165))/V163</f>
        <v>4220.4363423164941</v>
      </c>
      <c r="W165" s="5038">
        <f>+$D$165</f>
        <v>4225</v>
      </c>
      <c r="X165" s="181">
        <v>4225.09</v>
      </c>
      <c r="Y165" s="2591">
        <f>+$D$165</f>
        <v>4225</v>
      </c>
      <c r="Z165" s="69">
        <f>+((P165*P163)+(T165*T163)+(X163*X165))/Z163</f>
        <v>4223.9851250746306</v>
      </c>
      <c r="AA165" s="640">
        <f>+$D$165</f>
        <v>4225</v>
      </c>
      <c r="AB165" s="454">
        <f>+((N165*N163)+(Z163*Z165))/AB163</f>
        <v>4221.2027127718484</v>
      </c>
      <c r="AC165" s="5329">
        <f>+$D$165</f>
        <v>4225</v>
      </c>
      <c r="AD165" s="181">
        <v>4220.6099999999997</v>
      </c>
      <c r="AE165" s="2614">
        <f>+$D$165</f>
        <v>4225</v>
      </c>
      <c r="AF165" s="39">
        <f>+((AB165*AB163)+(AD163*AD165))/AF163</f>
        <v>4221.1165995088777</v>
      </c>
      <c r="AG165" s="5504">
        <f>+$D$165</f>
        <v>4225</v>
      </c>
      <c r="AH165" s="181">
        <v>4214.67</v>
      </c>
      <c r="AI165" s="2663">
        <f>+$D$165</f>
        <v>4225</v>
      </c>
      <c r="AJ165" s="39">
        <f>+((AF165*AF163)+(AH163*AH165))/AJ163</f>
        <v>4220.3654672366793</v>
      </c>
      <c r="AK165" s="5926">
        <f>+$D$165</f>
        <v>4225</v>
      </c>
      <c r="AL165" s="181">
        <v>4227.41</v>
      </c>
      <c r="AM165" s="2724">
        <f>+$D$165</f>
        <v>4225</v>
      </c>
      <c r="AN165" s="69">
        <f>+((AD165*AD163)+(AH165*AH163)+(AL163*AL165))/AN163</f>
        <v>4221.09235299376</v>
      </c>
      <c r="AO165" s="2722">
        <f>+$D$165</f>
        <v>4225</v>
      </c>
      <c r="AP165" s="39">
        <f>+((AL165*AL163)+(AJ163*AJ165))/AP163</f>
        <v>4221.1662157751243</v>
      </c>
      <c r="AQ165" s="6083">
        <f>+$D$165</f>
        <v>4225</v>
      </c>
      <c r="AR165" s="181">
        <v>4222.26</v>
      </c>
      <c r="AS165" s="2791">
        <f>+$D$165</f>
        <v>4225</v>
      </c>
      <c r="AT165" s="39">
        <f>+((AP165*AP163)+(AR163*AR165))/AT163</f>
        <v>4221.2777879205396</v>
      </c>
      <c r="AU165" s="6205">
        <f>+$D$165</f>
        <v>4225</v>
      </c>
      <c r="AV165" s="181">
        <v>4224.67</v>
      </c>
      <c r="AW165" s="6207">
        <f>+$D$165</f>
        <v>4225</v>
      </c>
      <c r="AX165" s="39">
        <f>+((AT165*AT163)+(AV163*AV165))/AX163</f>
        <v>4221.5631943567168</v>
      </c>
      <c r="AY165" s="6414">
        <f>+$D$165</f>
        <v>4225</v>
      </c>
      <c r="AZ165" s="181">
        <v>4227.1099999999997</v>
      </c>
      <c r="BA165" s="3033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3032">
        <f>+$D$165</f>
        <v>4225</v>
      </c>
      <c r="BF165" s="39">
        <f>+((AX165*AX163)+(AZ165*AZ163))/BF163</f>
        <v>4222.0367792993011</v>
      </c>
      <c r="BG165" s="1222"/>
      <c r="BH165" s="1222"/>
      <c r="BI165" s="4713"/>
      <c r="BJ165" s="4713"/>
      <c r="BK165" s="26"/>
      <c r="BL165" s="26"/>
      <c r="BM165" s="26"/>
      <c r="BN165" s="26"/>
    </row>
    <row r="166" spans="1:66" x14ac:dyDescent="0.25">
      <c r="B166" s="1921" t="s">
        <v>574</v>
      </c>
      <c r="C166" s="1395" t="s">
        <v>301</v>
      </c>
      <c r="D166" s="396">
        <v>13.476669361111112</v>
      </c>
      <c r="E166" s="775">
        <f>+(EMD!D21)/(E2*24)</f>
        <v>14.236886666666667</v>
      </c>
      <c r="F166" s="1320">
        <f>+(EMD!E21)/(F2*24)</f>
        <v>13.016388888888887</v>
      </c>
      <c r="G166" s="775">
        <f>+(EMD!F21)/(G2*24)</f>
        <v>14.236886666666667</v>
      </c>
      <c r="H166" s="1320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5">
        <f>+(EMD!J21)/(K2*24)</f>
        <v>12.990973666666664</v>
      </c>
      <c r="L166" s="1320">
        <f>+(EMD!K21)/(L2*24)</f>
        <v>13.32277777777778</v>
      </c>
      <c r="M166" s="77">
        <f>+(EMD!L21)/(M2*24)</f>
        <v>13.826146117216116</v>
      </c>
      <c r="N166" s="113">
        <f>+(EMD!M21)/(N2*24)</f>
        <v>13.139368131868133</v>
      </c>
      <c r="O166" s="775">
        <f>+(EMD!N21)/(O2*24)</f>
        <v>12.796799999999998</v>
      </c>
      <c r="P166" s="1320">
        <f>+(EMD!O21)/(P2*24)</f>
        <v>13.034274193548379</v>
      </c>
      <c r="Q166" s="53">
        <f>+(EMD!P21)/(Q2*24)</f>
        <v>13.564590956284151</v>
      </c>
      <c r="R166" s="390">
        <f>+(EMD!Q21)/(R2*24)</f>
        <v>13.112663934426228</v>
      </c>
      <c r="S166" s="775">
        <f>+(EMD!R21)/(S2*24)</f>
        <v>12.796799999999998</v>
      </c>
      <c r="T166" s="1320">
        <f>+(EMD!S21)/(T2*24)</f>
        <v>13.077822580645163</v>
      </c>
      <c r="U166" s="53">
        <f>+(EMD!T21)/(U2*24)</f>
        <v>13.409025468409585</v>
      </c>
      <c r="V166" s="390">
        <f>+(EMD!U21)/(V2*24)</f>
        <v>13.105604575163399</v>
      </c>
      <c r="W166" s="775">
        <f>+(EMD!V21)/(W2*24)</f>
        <v>12.796799999999999</v>
      </c>
      <c r="X166" s="1320">
        <f>+(EMD!W21)/(X2*24)</f>
        <v>13.072277777777771</v>
      </c>
      <c r="Y166" s="77">
        <f>+(EMD!X21)/(Y2*24)</f>
        <v>12.796799999999998</v>
      </c>
      <c r="Z166" s="391">
        <f>+((P166*P2)+(T166*T2)+(X166*X2))/Z2</f>
        <v>13.061340579710141</v>
      </c>
      <c r="AA166" s="667">
        <f>+(EMD!Z21)/(AA2*24)</f>
        <v>13.308660637522767</v>
      </c>
      <c r="AB166" s="471">
        <f>+((N166*N2)+(Z166*Z2))/AB2</f>
        <v>13.10014116575592</v>
      </c>
      <c r="AC166" s="775">
        <f>+(EMD!AB21)/(AC2*24)</f>
        <v>12.796799999999998</v>
      </c>
      <c r="AD166" s="1320">
        <f>+(EMD!AC21)/(AD2*24)</f>
        <v>13.094879032258065</v>
      </c>
      <c r="AE166" s="53">
        <f>+(EMD!AD21)/(AE2*24)</f>
        <v>13.234512601246104</v>
      </c>
      <c r="AF166" s="105">
        <f>+(EMD!AE21)/(AF2*24)</f>
        <v>13.099378894080994</v>
      </c>
      <c r="AG166" s="775">
        <f>+(EMD!AF21)/(AG2*24)</f>
        <v>12.796799999999999</v>
      </c>
      <c r="AH166" s="1320">
        <f>+(EMD!AG21)/(AH2*24)</f>
        <v>13.290333333333335</v>
      </c>
      <c r="AI166" s="53">
        <f>+(EMD!AH21)/(AI2*24)</f>
        <v>13.180695478142074</v>
      </c>
      <c r="AJ166" s="105">
        <f>+(EMD!AI21)/(AJ2*24)</f>
        <v>13.1228568989071</v>
      </c>
      <c r="AK166" s="775">
        <f>+(EMD!AJ21)/(AK2*24)</f>
        <v>12.796799999999998</v>
      </c>
      <c r="AL166" s="1320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13.137419987878785</v>
      </c>
      <c r="AP166" s="107">
        <f>+(EMD!AO21)/(AP2*24)</f>
        <v>13.124954545454543</v>
      </c>
      <c r="AQ166" s="775">
        <f>+(EMD!AP21)/(AQ2*24)</f>
        <v>12.796799999999998</v>
      </c>
      <c r="AR166" s="1320">
        <f>+(EMD!AQ21)/(AR2*24)</f>
        <v>13.170551075268817</v>
      </c>
      <c r="AS166" s="53">
        <f>+(EMD!AR21)/(AS2*24)</f>
        <v>13.102912734204791</v>
      </c>
      <c r="AT166" s="105">
        <f>+(EMD!AS21)/(AT2*24)</f>
        <v>13.129573801742916</v>
      </c>
      <c r="AU166" s="775">
        <f>+(EMD!AT21)/(AU2*24)</f>
        <v>12.796799999999999</v>
      </c>
      <c r="AV166" s="1320">
        <f>+(EMD!AU21)/(AV2*24)</f>
        <v>13.070520833333335</v>
      </c>
      <c r="AW166" s="53">
        <f>+(EMD!AV21)/(AW2*24)</f>
        <v>13.077250588822352</v>
      </c>
      <c r="AX166" s="105">
        <f>+(EMD!AW21)/(AX2*24)</f>
        <v>13.124623253493011</v>
      </c>
      <c r="AY166" s="775">
        <f>+(EMD!AX21)/(AY2*24)</f>
        <v>12.796799999999998</v>
      </c>
      <c r="AZ166" s="1320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13.053431497716891</v>
      </c>
      <c r="BF166" s="107">
        <f>+(EMD!BE21)/(BF2*24)</f>
        <v>13.12097716894977</v>
      </c>
      <c r="BG166" s="1222"/>
      <c r="BH166" s="1222"/>
      <c r="BI166" s="4713"/>
      <c r="BJ166" s="4713"/>
      <c r="BK166" s="26"/>
      <c r="BL166" s="26"/>
      <c r="BM166" s="26"/>
      <c r="BN166" s="26"/>
    </row>
    <row r="167" spans="1:66" x14ac:dyDescent="0.25">
      <c r="A167" s="1547">
        <v>0.77013299999999996</v>
      </c>
      <c r="B167" s="1953" t="s">
        <v>783</v>
      </c>
      <c r="C167" s="1395" t="s">
        <v>213</v>
      </c>
      <c r="D167" s="3318">
        <f>1.61199713888889*1000*24*365</f>
        <v>14121094.936666677</v>
      </c>
      <c r="E167" s="3316">
        <f>+'POWER DISTRIBUTION'!I36</f>
        <v>1203518.4000000001</v>
      </c>
      <c r="F167" s="496">
        <f>+'POWER DISTRIBUTION'!J36</f>
        <v>1090632.9999999993</v>
      </c>
      <c r="G167" s="7174">
        <f>+'POWER DISTRIBUTION'!K36</f>
        <v>1243635.68</v>
      </c>
      <c r="H167" s="496">
        <f>+'POWER DISTRIBUTION'!L36</f>
        <v>1231879.1000000001</v>
      </c>
      <c r="I167" s="2589">
        <f>+'POWER DISTRIBUTION'!M36</f>
        <v>2447154.08</v>
      </c>
      <c r="J167" s="39">
        <f>+'POWER DISTRIBUTION'!N36</f>
        <v>2322512.0999999996</v>
      </c>
      <c r="K167" s="4582">
        <f>+'POWER DISTRIBUTION'!O36</f>
        <v>1204891.8543999998</v>
      </c>
      <c r="L167" s="496">
        <f>+'POWER DISTRIBUTION'!P36</f>
        <v>1191765.0000000007</v>
      </c>
      <c r="M167" s="2591">
        <f>+'POWER DISTRIBUTION'!Q36</f>
        <v>3652045.9343999997</v>
      </c>
      <c r="N167" s="125">
        <f>+L167+H167+F167</f>
        <v>3514277.0999999996</v>
      </c>
      <c r="O167" s="4766">
        <f>+'POWER DISTRIBUTION'!S36</f>
        <v>1226445.3120000002</v>
      </c>
      <c r="P167" s="496">
        <f>+'POWER DISTRIBUTION'!T36</f>
        <v>1234727.9999999998</v>
      </c>
      <c r="Q167" s="2589">
        <f>+'POWER DISTRIBUTION'!U36</f>
        <v>4878491.2463999996</v>
      </c>
      <c r="R167" s="39">
        <f>+'POWER DISTRIBUTION'!V36</f>
        <v>4749005.1000000006</v>
      </c>
      <c r="S167" s="4877">
        <f>+'POWER DISTRIBUTION'!W36</f>
        <v>1226445.3120000002</v>
      </c>
      <c r="T167" s="496">
        <f>+'POWER DISTRIBUTION'!X36</f>
        <v>1250789</v>
      </c>
      <c r="U167" s="4875">
        <f>+'POWER DISTRIBUTION'!Y36</f>
        <v>6104936.5583999995</v>
      </c>
      <c r="V167" s="39">
        <f>+'POWER DISTRIBUTION'!Z36</f>
        <v>5999794.1000000006</v>
      </c>
      <c r="W167" s="5038">
        <f>+'POWER DISTRIBUTION'!AA36</f>
        <v>1186882.5600000001</v>
      </c>
      <c r="X167" s="496">
        <f>+'POWER DISTRIBUTION'!AB36</f>
        <v>1260254</v>
      </c>
      <c r="Y167" s="2591">
        <f>+'POWER DISTRIBUTION'!AC36</f>
        <v>3639773.1840000004</v>
      </c>
      <c r="Z167" s="84">
        <f>+P167+T167+X167</f>
        <v>3745771</v>
      </c>
      <c r="AA167" s="640">
        <f>+'POWER DISTRIBUTION'!AE36</f>
        <v>7291819.1184</v>
      </c>
      <c r="AB167" s="454">
        <f>+N167+Z167</f>
        <v>7260048.0999999996</v>
      </c>
      <c r="AC167" s="5329">
        <f>+'POWER DISTRIBUTION'!AG36</f>
        <v>1226445.3120000002</v>
      </c>
      <c r="AD167" s="496">
        <f>+'POWER DISTRIBUTION'!AH36</f>
        <v>1233627</v>
      </c>
      <c r="AE167" s="2614">
        <f>+'POWER DISTRIBUTION'!AI36</f>
        <v>8518264.4304000009</v>
      </c>
      <c r="AF167" s="39">
        <f>+'POWER DISTRIBUTION'!AJ36</f>
        <v>8493675.1000000015</v>
      </c>
      <c r="AG167" s="5504">
        <f>+'POWER DISTRIBUTION'!AK36</f>
        <v>1186882.5600000001</v>
      </c>
      <c r="AH167" s="496">
        <f>+'POWER DISTRIBUTION'!AL36</f>
        <v>1139976.9999999995</v>
      </c>
      <c r="AI167" s="2663">
        <f>+'POWER DISTRIBUTION'!AM36</f>
        <v>9705146.9904000014</v>
      </c>
      <c r="AJ167" s="39">
        <f>+'POWER DISTRIBUTION'!AN36</f>
        <v>9633652.1000000015</v>
      </c>
      <c r="AK167" s="5926">
        <f>+'POWER DISTRIBUTION'!AO36</f>
        <v>1226445.3120000002</v>
      </c>
      <c r="AL167" s="496">
        <f>+'POWER DISTRIBUTION'!AP36</f>
        <v>1124007</v>
      </c>
      <c r="AM167" s="2724">
        <f>+'POWER DISTRIBUTION'!AQ36</f>
        <v>3639773.1840000004</v>
      </c>
      <c r="AN167" s="2724">
        <f>+'POWER DISTRIBUTION'!AR36</f>
        <v>3497610.9999999995</v>
      </c>
      <c r="AO167" s="2722">
        <f>+'POWER DISTRIBUTION'!AS36</f>
        <v>10931592.302400002</v>
      </c>
      <c r="AP167" s="39">
        <f>+'POWER DISTRIBUTION'!AT36</f>
        <v>10757659.100000001</v>
      </c>
      <c r="AQ167" s="6083">
        <f>+'POWER DISTRIBUTION'!AU36</f>
        <v>1226445.3120000002</v>
      </c>
      <c r="AR167" s="496">
        <f>+'POWER DISTRIBUTION'!AV36</f>
        <v>1063826.0000000007</v>
      </c>
      <c r="AS167" s="2791">
        <f>+'POWER DISTRIBUTION'!AW36</f>
        <v>12158037.614400003</v>
      </c>
      <c r="AT167" s="39">
        <f>+'POWER DISTRIBUTION'!AX36</f>
        <v>11821485.100000001</v>
      </c>
      <c r="AU167" s="6205">
        <f>+'POWER DISTRIBUTION'!AY36</f>
        <v>1107757.0560000001</v>
      </c>
      <c r="AV167" s="496">
        <f>+'POWER DISTRIBUTION'!AZ36</f>
        <v>1031726.9999999995</v>
      </c>
      <c r="AW167" s="6207">
        <f>+'POWER DISTRIBUTION'!BA36</f>
        <v>13265794.670400003</v>
      </c>
      <c r="AX167" s="39">
        <f>+'POWER DISTRIBUTION'!BB36</f>
        <v>12853212.100000001</v>
      </c>
      <c r="AY167" s="6414">
        <f>+'POWER DISTRIBUTION'!BC36</f>
        <v>1226445.3120000002</v>
      </c>
      <c r="AZ167" s="496">
        <f>+'POWER DISTRIBUTION'!BD36</f>
        <v>1164705.0000000002</v>
      </c>
      <c r="BA167" s="3120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3119">
        <f>+'POWER DISTRIBUTION'!BI36</f>
        <v>14492239.982400004</v>
      </c>
      <c r="BF167" s="39">
        <f>+'POWER DISTRIBUTION'!BJ36</f>
        <v>14017917.100000001</v>
      </c>
      <c r="BG167" s="1222"/>
      <c r="BH167" s="1222"/>
      <c r="BI167" s="4713"/>
      <c r="BJ167" s="4713"/>
      <c r="BK167" s="26"/>
      <c r="BL167" s="26"/>
      <c r="BM167" s="26"/>
      <c r="BN167" s="26"/>
    </row>
    <row r="168" spans="1:66" x14ac:dyDescent="0.25">
      <c r="A168" s="148"/>
      <c r="B168" s="1953" t="s">
        <v>784</v>
      </c>
      <c r="C168" s="1395" t="s">
        <v>214</v>
      </c>
      <c r="D168" s="396">
        <f t="shared" ref="D168:AX168" si="769">+D167/D17</f>
        <v>23.798993873863445</v>
      </c>
      <c r="E168" s="775">
        <f t="shared" si="769"/>
        <v>23.800000000000004</v>
      </c>
      <c r="F168" s="134">
        <f t="shared" si="769"/>
        <v>21.745163014004518</v>
      </c>
      <c r="G168" s="775">
        <f t="shared" ref="G168:H168" si="770">+G167/G17</f>
        <v>23.8</v>
      </c>
      <c r="H168" s="134">
        <f t="shared" si="770"/>
        <v>23.668498977850877</v>
      </c>
      <c r="I168" s="53">
        <f t="shared" si="769"/>
        <v>23.8</v>
      </c>
      <c r="J168" s="107">
        <f t="shared" si="769"/>
        <v>22.724633668093897</v>
      </c>
      <c r="K168" s="775">
        <f t="shared" si="769"/>
        <v>23.96</v>
      </c>
      <c r="L168" s="134">
        <f t="shared" si="769"/>
        <v>23.71275249510531</v>
      </c>
      <c r="M168" s="77">
        <f t="shared" si="769"/>
        <v>23.852550861071482</v>
      </c>
      <c r="N168" s="114">
        <f t="shared" si="769"/>
        <v>23.050365077449417</v>
      </c>
      <c r="O168" s="775">
        <f t="shared" si="769"/>
        <v>23.960000000000004</v>
      </c>
      <c r="P168" s="134">
        <f t="shared" si="769"/>
        <v>23.731078224101477</v>
      </c>
      <c r="Q168" s="53">
        <f t="shared" si="769"/>
        <v>23.879472625171537</v>
      </c>
      <c r="R168" s="107">
        <f t="shared" si="769"/>
        <v>23.223563602861354</v>
      </c>
      <c r="S168" s="775">
        <f t="shared" si="769"/>
        <v>23.960000000000004</v>
      </c>
      <c r="T168" s="134">
        <f t="shared" si="769"/>
        <v>23.93689621384938</v>
      </c>
      <c r="U168" s="53">
        <f t="shared" si="769"/>
        <v>23.89560661653325</v>
      </c>
      <c r="V168" s="107">
        <f t="shared" si="769"/>
        <v>23.368743777858448</v>
      </c>
      <c r="W168" s="775">
        <f t="shared" si="769"/>
        <v>23.960000000000004</v>
      </c>
      <c r="X168" s="134">
        <f t="shared" si="769"/>
        <v>24.921966461003006</v>
      </c>
      <c r="Y168" s="77">
        <f t="shared" si="769"/>
        <v>23.960000000000004</v>
      </c>
      <c r="Z168" s="114">
        <f t="shared" si="769"/>
        <v>24.189423938790434</v>
      </c>
      <c r="AA168" s="667">
        <f t="shared" si="769"/>
        <v>23.906064273107134</v>
      </c>
      <c r="AB168" s="474">
        <f t="shared" si="769"/>
        <v>23.624325279422504</v>
      </c>
      <c r="AC168" s="775">
        <f t="shared" si="769"/>
        <v>23.960000000000004</v>
      </c>
      <c r="AD168" s="134">
        <f t="shared" si="769"/>
        <v>23.608459512837392</v>
      </c>
      <c r="AE168" s="53">
        <f t="shared" si="769"/>
        <v>23.913814879018044</v>
      </c>
      <c r="AF168" s="107">
        <f t="shared" si="769"/>
        <v>23.622019601408372</v>
      </c>
      <c r="AG168" s="775">
        <f t="shared" si="769"/>
        <v>23.960000000000004</v>
      </c>
      <c r="AH168" s="134">
        <f t="shared" si="769"/>
        <v>23.427971918748504</v>
      </c>
      <c r="AI168" s="53">
        <f t="shared" si="769"/>
        <v>23.919453490294494</v>
      </c>
      <c r="AJ168" s="107">
        <f t="shared" si="769"/>
        <v>23.598889876362247</v>
      </c>
      <c r="AK168" s="775">
        <f t="shared" si="769"/>
        <v>23.960000000000004</v>
      </c>
      <c r="AL168" s="134">
        <f t="shared" si="769"/>
        <v>21.510613622793453</v>
      </c>
      <c r="AM168" s="77">
        <f t="shared" si="769"/>
        <v>23.960000000000008</v>
      </c>
      <c r="AN168" s="114">
        <f t="shared" si="769"/>
        <v>22.835426922424034</v>
      </c>
      <c r="AO168" s="53">
        <f t="shared" si="769"/>
        <v>23.923995678638246</v>
      </c>
      <c r="AP168" s="107">
        <f t="shared" si="769"/>
        <v>23.361919038982077</v>
      </c>
      <c r="AQ168" s="775">
        <f t="shared" si="769"/>
        <v>23.960000000000004</v>
      </c>
      <c r="AR168" s="134">
        <f t="shared" si="769"/>
        <v>20.358903501385566</v>
      </c>
      <c r="AS168" s="53">
        <f t="shared" si="769"/>
        <v>23.927622716363654</v>
      </c>
      <c r="AT168" s="107">
        <f t="shared" si="769"/>
        <v>23.055875389092165</v>
      </c>
      <c r="AU168" s="775">
        <f t="shared" si="769"/>
        <v>23.960000000000008</v>
      </c>
      <c r="AV168" s="134">
        <f t="shared" si="769"/>
        <v>21.932039454104832</v>
      </c>
      <c r="AW168" s="53">
        <f t="shared" si="769"/>
        <v>23.930323025035914</v>
      </c>
      <c r="AX168" s="107">
        <f t="shared" si="769"/>
        <v>22.961431041813309</v>
      </c>
      <c r="AY168" s="775">
        <f t="shared" ref="AY168:AZ168" si="771">+AY167/AY17</f>
        <v>23.960000000000004</v>
      </c>
      <c r="AZ168" s="134">
        <f t="shared" si="771"/>
        <v>22.289469050936209</v>
      </c>
      <c r="BA168" s="77">
        <f t="shared" ref="BA168:BF168" si="772">+BA167/BA17</f>
        <v>23.960000000000004</v>
      </c>
      <c r="BB168" s="114">
        <f t="shared" si="772"/>
        <v>21.512868428206815</v>
      </c>
      <c r="BC168" s="667">
        <f t="shared" si="772"/>
        <v>23.960000000000004</v>
      </c>
      <c r="BD168" s="474">
        <f t="shared" si="772"/>
        <v>22.177656382090554</v>
      </c>
      <c r="BE168" s="53">
        <f t="shared" si="772"/>
        <v>23.932831672144005</v>
      </c>
      <c r="BF168" s="107">
        <f t="shared" si="772"/>
        <v>22.904060372440728</v>
      </c>
      <c r="BG168" s="1222"/>
      <c r="BH168" s="1222"/>
      <c r="BI168" s="4713"/>
      <c r="BJ168" s="4713"/>
      <c r="BK168" s="26"/>
      <c r="BL168" s="26"/>
      <c r="BM168" s="26"/>
      <c r="BN168" s="26"/>
    </row>
    <row r="169" spans="1:66" ht="15.75" thickBot="1" x14ac:dyDescent="0.3">
      <c r="A169" s="148"/>
      <c r="B169" s="1954" t="s">
        <v>218</v>
      </c>
      <c r="C169" s="1415" t="s">
        <v>1093</v>
      </c>
      <c r="D169" s="3319">
        <v>0.84071734845074231</v>
      </c>
      <c r="E169" s="791">
        <v>0.85644299240626509</v>
      </c>
      <c r="F169" s="388">
        <v>0.7</v>
      </c>
      <c r="G169" s="791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1">
        <f>+$D$169</f>
        <v>0.84071734845074231</v>
      </c>
      <c r="L169" s="388">
        <v>0.71399999999999997</v>
      </c>
      <c r="M169" s="1591">
        <f>+((E169*E17)+(G169*G17)+(K169*K17))/M17</f>
        <v>0.85127801658897606</v>
      </c>
      <c r="N169" s="1591">
        <f>+((F169*F17)+(H169*H17)+(L169*L17))/N17</f>
        <v>0.70461507220216613</v>
      </c>
      <c r="O169" s="791">
        <v>0.78585000000000005</v>
      </c>
      <c r="P169" s="388">
        <v>0.69899999999999995</v>
      </c>
      <c r="Q169" s="392">
        <f>+((M169*M17)+(O169*O17))/Q17</f>
        <v>0.8348847942169012</v>
      </c>
      <c r="R169" s="392">
        <f>+((N169*N17)+(P169*P17))/R17</f>
        <v>0.70318639078139455</v>
      </c>
      <c r="S169" s="791">
        <v>0.78585000000000005</v>
      </c>
      <c r="T169" s="388">
        <v>0.69799999999999995</v>
      </c>
      <c r="U169" s="392">
        <f>+((Q169*Q17)+(S169*S17))/U17</f>
        <v>0.82506047114658887</v>
      </c>
      <c r="V169" s="392">
        <f>+((R169*R17)+(T169*T17))/V17</f>
        <v>0.70213083673879551</v>
      </c>
      <c r="W169" s="791">
        <v>0.78585000000000016</v>
      </c>
      <c r="X169" s="388">
        <v>0.69799999999999995</v>
      </c>
      <c r="Y169" s="393">
        <f>+((O169*O17)+(S169*S17)+(W169*W17))/Y17</f>
        <v>0.78585000000000005</v>
      </c>
      <c r="Z169" s="393">
        <f>+((P169*P17)+(T169*T17)+(X169*X17))/Z17</f>
        <v>0.69833599911140742</v>
      </c>
      <c r="AA169" s="2599">
        <f>+((M169*M17)+(Y169*Y17))/AA17</f>
        <v>0.81869258644671372</v>
      </c>
      <c r="AB169" s="2599">
        <f>+((N169*N17)+(Z169*Z17))/AB17</f>
        <v>0.7014511109867354</v>
      </c>
      <c r="AC169" s="791">
        <v>0.78585000000000005</v>
      </c>
      <c r="AD169" s="388">
        <v>0.69750000000000001</v>
      </c>
      <c r="AE169" s="1927">
        <f>+((AA169*AA17)+(AC169*AC17))/AE17</f>
        <v>0.81397308122619283</v>
      </c>
      <c r="AF169" s="1927">
        <f>+((AB169*AB17)+(AD169*AD17))/AF17</f>
        <v>0.70087691939727348</v>
      </c>
      <c r="AG169" s="791">
        <v>0.78585000000000016</v>
      </c>
      <c r="AH169" s="388">
        <v>0.73599999999999999</v>
      </c>
      <c r="AI169" s="1927">
        <f>+((AE169*AE17)+(AG169*AG17))/AI17</f>
        <v>0.81053961348682213</v>
      </c>
      <c r="AJ169" s="1927">
        <f>+((AF169*AF17)+(AH169*AH17))/AJ17</f>
        <v>0.70506345327378461</v>
      </c>
      <c r="AK169" s="791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927">
        <f>+((AK169*AK17)+(AI169*AI17))/AO17</f>
        <v>0.80777378048649529</v>
      </c>
      <c r="AP169" s="1927">
        <f>+((AL169*AL17)+(AJ169*AJ17))/AP17</f>
        <v>0.70471582250112075</v>
      </c>
      <c r="AQ169" s="791">
        <v>0.78585000000000005</v>
      </c>
      <c r="AR169" s="388">
        <v>0.70299999999999996</v>
      </c>
      <c r="AS169" s="1927">
        <f>+((AO169*AO17)+(AQ169*AQ17))/AS17</f>
        <v>0.80556520174093182</v>
      </c>
      <c r="AT169" s="1927">
        <f>+((AP169*AP17)+(AR169*AR17))/AT17</f>
        <v>0.70454095940959427</v>
      </c>
      <c r="AU169" s="791">
        <v>0.78585000000000016</v>
      </c>
      <c r="AV169" s="388">
        <v>0.7</v>
      </c>
      <c r="AW169" s="1927">
        <f>+((AS169*AS17)+(AU169*AU17))/AW17</f>
        <v>0.80392092760001133</v>
      </c>
      <c r="AX169" s="1927">
        <f>+((AT169*AT17)+(AV169*AV17))/AX17</f>
        <v>0.70415934859425433</v>
      </c>
      <c r="AY169" s="791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599">
        <f>+((AM169*AM17)+(BA169*BA17))/BC17</f>
        <v>0.81358514317290276</v>
      </c>
      <c r="BD169" s="2599">
        <f>+((AN169*AN17)+(BB169*BB17))/BD17</f>
        <v>0.706005926845789</v>
      </c>
      <c r="BE169" s="1927">
        <f>+((AW169*AW17)+(AY169*AY17))/BE17</f>
        <v>0.80239336017378116</v>
      </c>
      <c r="BF169" s="1927">
        <f>+((AX169*AX17)+(AZ169*AZ17))/BF17</f>
        <v>0.70371885450917604</v>
      </c>
      <c r="BG169" s="1222"/>
      <c r="BH169" s="1222"/>
      <c r="BI169" s="4713"/>
      <c r="BJ169" s="4713"/>
      <c r="BK169" s="26"/>
      <c r="BL169" s="26"/>
      <c r="BM169" s="26"/>
      <c r="BN169" s="26"/>
    </row>
    <row r="170" spans="1:66" ht="19.5" thickBot="1" x14ac:dyDescent="0.3">
      <c r="B170" s="1926" t="s">
        <v>208</v>
      </c>
      <c r="C170" s="1901"/>
      <c r="D170" s="1901"/>
      <c r="E170" s="1901"/>
      <c r="F170" s="1901"/>
      <c r="G170" s="1901"/>
      <c r="H170" s="1901"/>
      <c r="I170" s="1901"/>
      <c r="J170" s="1901"/>
      <c r="K170" s="1901"/>
      <c r="L170" s="1901"/>
      <c r="M170" s="1901"/>
      <c r="N170" s="1901"/>
      <c r="O170" s="1901"/>
      <c r="P170" s="1901"/>
      <c r="Q170" s="1901"/>
      <c r="R170" s="1901"/>
      <c r="S170" s="1901"/>
      <c r="T170" s="1901"/>
      <c r="U170" s="1901"/>
      <c r="V170" s="1901"/>
      <c r="W170" s="1901"/>
      <c r="X170" s="1901"/>
      <c r="Y170" s="1928"/>
      <c r="Z170" s="1928"/>
      <c r="AA170" s="2598"/>
      <c r="AB170" s="1929"/>
      <c r="AC170" s="1901"/>
      <c r="AD170" s="1901"/>
      <c r="AE170" s="1901"/>
      <c r="AF170" s="1902"/>
      <c r="AG170" s="1901"/>
      <c r="AH170" s="1901"/>
      <c r="AI170" s="1901"/>
      <c r="AJ170" s="1902"/>
      <c r="AK170" s="1901"/>
      <c r="AL170" s="1901"/>
      <c r="AM170" s="1928"/>
      <c r="AN170" s="1928"/>
      <c r="AO170" s="1901"/>
      <c r="AP170" s="1902"/>
      <c r="AQ170" s="1901"/>
      <c r="AR170" s="1901"/>
      <c r="AS170" s="1901"/>
      <c r="AT170" s="1902"/>
      <c r="AU170" s="1901"/>
      <c r="AV170" s="1901"/>
      <c r="AW170" s="1901"/>
      <c r="AX170" s="1902"/>
      <c r="AY170" s="1901"/>
      <c r="AZ170" s="1901"/>
      <c r="BA170" s="1928"/>
      <c r="BB170" s="1928"/>
      <c r="BC170" s="2598"/>
      <c r="BD170" s="1929"/>
      <c r="BE170" s="1901"/>
      <c r="BF170" s="1902"/>
      <c r="BG170" s="1222"/>
      <c r="BH170" s="1222"/>
      <c r="BI170" s="4713"/>
      <c r="BJ170" s="4713"/>
      <c r="BK170" s="26"/>
      <c r="BL170" s="26"/>
      <c r="BM170" s="26"/>
      <c r="BN170" s="26"/>
    </row>
    <row r="171" spans="1:66" ht="21" thickBot="1" x14ac:dyDescent="0.3">
      <c r="B171" s="1966" t="s">
        <v>196</v>
      </c>
      <c r="C171" s="1901"/>
      <c r="D171" s="1901"/>
      <c r="E171" s="1901"/>
      <c r="F171" s="1901"/>
      <c r="G171" s="1901"/>
      <c r="H171" s="1901"/>
      <c r="I171" s="1901"/>
      <c r="J171" s="1901"/>
      <c r="K171" s="1901"/>
      <c r="L171" s="1901"/>
      <c r="M171" s="1901"/>
      <c r="N171" s="1901"/>
      <c r="O171" s="1901"/>
      <c r="P171" s="1901"/>
      <c r="Q171" s="1901"/>
      <c r="R171" s="1901"/>
      <c r="S171" s="1901"/>
      <c r="T171" s="1901"/>
      <c r="U171" s="1901"/>
      <c r="V171" s="1901"/>
      <c r="W171" s="1901"/>
      <c r="X171" s="1901"/>
      <c r="Y171" s="1901"/>
      <c r="Z171" s="1901"/>
      <c r="AA171" s="2535"/>
      <c r="AB171" s="1902"/>
      <c r="AC171" s="1901"/>
      <c r="AD171" s="1901"/>
      <c r="AE171" s="1901"/>
      <c r="AF171" s="1902"/>
      <c r="AG171" s="1901"/>
      <c r="AH171" s="1901"/>
      <c r="AI171" s="1901"/>
      <c r="AJ171" s="1902"/>
      <c r="AK171" s="1901"/>
      <c r="AL171" s="1901"/>
      <c r="AM171" s="1901"/>
      <c r="AN171" s="1901"/>
      <c r="AO171" s="1901"/>
      <c r="AP171" s="1902"/>
      <c r="AQ171" s="1901"/>
      <c r="AR171" s="1901"/>
      <c r="AS171" s="1901"/>
      <c r="AT171" s="1902"/>
      <c r="AU171" s="1901"/>
      <c r="AV171" s="1901"/>
      <c r="AW171" s="1901"/>
      <c r="AX171" s="1902"/>
      <c r="AY171" s="1901"/>
      <c r="AZ171" s="1901"/>
      <c r="BA171" s="1901"/>
      <c r="BB171" s="1901"/>
      <c r="BC171" s="2535"/>
      <c r="BD171" s="1902"/>
      <c r="BE171" s="1901"/>
      <c r="BF171" s="1902"/>
      <c r="BG171" s="1222"/>
      <c r="BH171" s="1222"/>
      <c r="BI171" s="4713"/>
      <c r="BJ171" s="4713"/>
      <c r="BK171" s="26"/>
      <c r="BL171" s="26"/>
      <c r="BM171" s="26"/>
      <c r="BN171" s="26"/>
    </row>
    <row r="172" spans="1:66" x14ac:dyDescent="0.25">
      <c r="B172" s="1948" t="s">
        <v>194</v>
      </c>
      <c r="C172" s="1332" t="s">
        <v>49</v>
      </c>
      <c r="D172" s="1949">
        <f>+D115/D125*100</f>
        <v>72.02374409145871</v>
      </c>
      <c r="E172" s="768">
        <f>+E115/E125*100</f>
        <v>72.023744091458724</v>
      </c>
      <c r="F172" s="1950">
        <f>+F115/F125*100</f>
        <v>70.728115345005151</v>
      </c>
      <c r="G172" s="768">
        <f>+G115/G125*100</f>
        <v>72.023744091458724</v>
      </c>
      <c r="H172" s="1950">
        <f>+H115/H125*100</f>
        <v>70.99999761388338</v>
      </c>
      <c r="I172" s="769">
        <f t="shared" ref="I172:N172" si="773">+I115/I125*100</f>
        <v>72.023744091458724</v>
      </c>
      <c r="J172" s="1951">
        <f t="shared" si="773"/>
        <v>70.866553130184585</v>
      </c>
      <c r="K172" s="768">
        <f>+K115/K125*100</f>
        <v>75</v>
      </c>
      <c r="L172" s="1950">
        <f>+L115/L125*100</f>
        <v>75.000004971235441</v>
      </c>
      <c r="M172" s="1577">
        <f t="shared" ref="M172" si="774">+M115/M125*100</f>
        <v>72.519242691749113</v>
      </c>
      <c r="N172" s="1952">
        <f t="shared" si="773"/>
        <v>72.223639987950833</v>
      </c>
      <c r="O172" s="768">
        <f>+O115/O125*100</f>
        <v>75</v>
      </c>
      <c r="P172" s="1950">
        <f>+P115/P125*100</f>
        <v>74.129026322557053</v>
      </c>
      <c r="Q172" s="769">
        <f t="shared" ref="Q172" si="775">+Q115/Q125*100</f>
        <v>73.138252577594258</v>
      </c>
      <c r="R172" s="1951">
        <f t="shared" ref="R172:AB172" si="776">+R115/R125*100</f>
        <v>72.714120397107365</v>
      </c>
      <c r="S172" s="768">
        <f>+S115/S125*100</f>
        <v>74.999999999999986</v>
      </c>
      <c r="T172" s="1950">
        <f>+T115/T125*100</f>
        <v>74.000003395526164</v>
      </c>
      <c r="U172" s="769">
        <f t="shared" ref="U172:V172" si="777">+U115/U125*100</f>
        <v>73.525485110297879</v>
      </c>
      <c r="V172" s="1951">
        <f t="shared" si="777"/>
        <v>72.977023699974097</v>
      </c>
      <c r="W172" s="768">
        <f>+W115/W125*100</f>
        <v>75</v>
      </c>
      <c r="X172" s="1950">
        <f>+X115/X125*100</f>
        <v>72.799998669381651</v>
      </c>
      <c r="Y172" s="353">
        <f t="shared" si="776"/>
        <v>75</v>
      </c>
      <c r="Z172" s="353">
        <f t="shared" si="776"/>
        <v>73.653502529266007</v>
      </c>
      <c r="AA172" s="466">
        <f t="shared" si="776"/>
        <v>73.772551616868512</v>
      </c>
      <c r="AB172" s="474">
        <f t="shared" si="776"/>
        <v>72.947877015828183</v>
      </c>
      <c r="AC172" s="768">
        <f>+AC115/AC125*100</f>
        <v>74.999999999999986</v>
      </c>
      <c r="AD172" s="1950">
        <f>+AD115/AD125*100</f>
        <v>71.999390980806382</v>
      </c>
      <c r="AE172" s="769">
        <f t="shared" ref="AE172:AF172" si="778">+AE115/AE125*100</f>
        <v>73.953709569709787</v>
      </c>
      <c r="AF172" s="1951">
        <f t="shared" si="778"/>
        <v>72.810558629231366</v>
      </c>
      <c r="AG172" s="768">
        <f>+AG115/AG125*100</f>
        <v>75</v>
      </c>
      <c r="AH172" s="1950">
        <f>+AH115/AH125*100</f>
        <v>70.266657556882791</v>
      </c>
      <c r="AI172" s="769">
        <f t="shared" ref="AI172:AN172" si="779">+AI115/AI125*100</f>
        <v>74.084472625604462</v>
      </c>
      <c r="AJ172" s="1951">
        <f t="shared" si="779"/>
        <v>72.50857984208227</v>
      </c>
      <c r="AK172" s="768">
        <f>+AK115/AK125*100</f>
        <v>74.999999999999986</v>
      </c>
      <c r="AL172" s="1950">
        <f>+AL115/AL125*100</f>
        <v>71.999995843116182</v>
      </c>
      <c r="AM172" s="353">
        <f t="shared" si="779"/>
        <v>75</v>
      </c>
      <c r="AN172" s="353">
        <f t="shared" si="779"/>
        <v>71.450823771210565</v>
      </c>
      <c r="AO172" s="769">
        <f t="shared" ref="AO172:AT172" si="780">+AO115/AO125*100</f>
        <v>74.189184362464502</v>
      </c>
      <c r="AP172" s="1951">
        <f t="shared" si="780"/>
        <v>72.450662418825914</v>
      </c>
      <c r="AQ172" s="768">
        <f>+AQ115/AQ125*100</f>
        <v>74.999999999999986</v>
      </c>
      <c r="AR172" s="1950">
        <f>+AR115/AR125*100</f>
        <v>73.806445286150435</v>
      </c>
      <c r="AS172" s="769">
        <f t="shared" si="780"/>
        <v>74.272402024621314</v>
      </c>
      <c r="AT172" s="1951">
        <f t="shared" si="780"/>
        <v>72.589273633361799</v>
      </c>
      <c r="AU172" s="768">
        <f>+AU115/AU125*100</f>
        <v>75</v>
      </c>
      <c r="AV172" s="1950">
        <f>+AV115/AV125*100</f>
        <v>75.428574001044424</v>
      </c>
      <c r="AW172" s="769">
        <f t="shared" ref="AW172:AX172" si="781">+AW115/AW125*100</f>
        <v>74.334129629081602</v>
      </c>
      <c r="AX172" s="1951">
        <f t="shared" si="781"/>
        <v>72.829095738029352</v>
      </c>
      <c r="AY172" s="768">
        <f>+AY115/AY125*100</f>
        <v>74.999999999999986</v>
      </c>
      <c r="AZ172" s="1950">
        <f t="shared" ref="AZ172:BF172" si="782">+AZ115/AZ125*100</f>
        <v>70.38709088983245</v>
      </c>
      <c r="BA172" s="353">
        <f t="shared" si="782"/>
        <v>75</v>
      </c>
      <c r="BB172" s="353">
        <f t="shared" si="782"/>
        <v>73.131121453840848</v>
      </c>
      <c r="BC172" s="466">
        <f t="shared" si="782"/>
        <v>74.999999999999986</v>
      </c>
      <c r="BD172" s="474">
        <f t="shared" si="782"/>
        <v>72.289174324506604</v>
      </c>
      <c r="BE172" s="769">
        <f t="shared" si="782"/>
        <v>74.391302875587016</v>
      </c>
      <c r="BF172" s="1951">
        <f t="shared" si="782"/>
        <v>72.619771133964448</v>
      </c>
      <c r="BG172" s="1222"/>
      <c r="BH172" s="1222"/>
      <c r="BI172" s="4713"/>
      <c r="BJ172" s="4713"/>
      <c r="BK172" s="26"/>
      <c r="BL172" s="26"/>
      <c r="BM172" s="26"/>
      <c r="BN172" s="26"/>
    </row>
    <row r="173" spans="1:66" x14ac:dyDescent="0.25">
      <c r="B173" s="1906" t="s">
        <v>195</v>
      </c>
      <c r="C173" s="1395" t="s">
        <v>49</v>
      </c>
      <c r="D173" s="106">
        <f>+D120/D125*100</f>
        <v>25.008244476200947</v>
      </c>
      <c r="E173" s="770">
        <f>+E120/E125*100</f>
        <v>25.008244476200947</v>
      </c>
      <c r="F173" s="132">
        <f>+F120/F125*100</f>
        <v>23.864057672502575</v>
      </c>
      <c r="G173" s="770">
        <f>+G120/G125*100</f>
        <v>25.008244476200943</v>
      </c>
      <c r="H173" s="132">
        <f>+H120/H125*100</f>
        <v>23.999999999999996</v>
      </c>
      <c r="I173" s="53">
        <f t="shared" ref="I173:N173" si="783">+I120/I125*100</f>
        <v>25.008244476200947</v>
      </c>
      <c r="J173" s="105">
        <f t="shared" si="783"/>
        <v>23.933277172577107</v>
      </c>
      <c r="K173" s="770">
        <f>+K120/K125*100</f>
        <v>25</v>
      </c>
      <c r="L173" s="132">
        <f>+L120/L125*100</f>
        <v>24.999995028764566</v>
      </c>
      <c r="M173" s="77">
        <f t="shared" ref="M173" si="784">+M120/M125*100</f>
        <v>25.436333124419548</v>
      </c>
      <c r="N173" s="113">
        <f t="shared" si="783"/>
        <v>24.283499901483644</v>
      </c>
      <c r="O173" s="770">
        <f>+O120/O125*100</f>
        <v>24.999999999999996</v>
      </c>
      <c r="P173" s="132">
        <f>+P120/P125*100</f>
        <v>25.870973677442947</v>
      </c>
      <c r="Q173" s="53">
        <f t="shared" ref="Q173" si="785">+Q120/Q125*100</f>
        <v>25.327457291769949</v>
      </c>
      <c r="R173" s="105">
        <f t="shared" ref="R173" si="786">+R120/R125*100</f>
        <v>24.692143950732955</v>
      </c>
      <c r="S173" s="770">
        <f>+S120/S125*100</f>
        <v>25</v>
      </c>
      <c r="T173" s="132">
        <f>+T120/T125*100</f>
        <v>25.999996604473829</v>
      </c>
      <c r="U173" s="53">
        <f t="shared" ref="U173:V173" si="787">+U120/U125*100</f>
        <v>25.259348097730893</v>
      </c>
      <c r="V173" s="105">
        <f t="shared" si="787"/>
        <v>24.959539026921306</v>
      </c>
      <c r="W173" s="770">
        <f>+W120/W125*100</f>
        <v>25.000000000000007</v>
      </c>
      <c r="X173" s="132">
        <f>+X120/X125*100</f>
        <v>25</v>
      </c>
      <c r="Y173" s="353">
        <f t="shared" ref="Y173:AF173" si="788">+Y120/Y125*100</f>
        <v>25</v>
      </c>
      <c r="Z173" s="353">
        <f t="shared" si="788"/>
        <v>25.631357612832634</v>
      </c>
      <c r="AA173" s="466">
        <f t="shared" si="788"/>
        <v>25.215892294781995</v>
      </c>
      <c r="AB173" s="474">
        <f t="shared" si="788"/>
        <v>24.966200814797368</v>
      </c>
      <c r="AC173" s="770">
        <f>+AC120/AC125*100</f>
        <v>25</v>
      </c>
      <c r="AD173" s="132">
        <f>+AD120/AD125*100</f>
        <v>25.000237898122506</v>
      </c>
      <c r="AE173" s="53">
        <f t="shared" si="788"/>
        <v>25.184028953973215</v>
      </c>
      <c r="AF173" s="105">
        <f t="shared" si="788"/>
        <v>24.971128580936345</v>
      </c>
      <c r="AG173" s="770">
        <f>+AG120/AG125*100</f>
        <v>25.000000000000007</v>
      </c>
      <c r="AH173" s="132">
        <f>+AH120/AH125*100</f>
        <v>25.000005114025381</v>
      </c>
      <c r="AI173" s="53">
        <f t="shared" ref="AI173:AN173" si="789">+AI120/AI125*100</f>
        <v>25.161029423729996</v>
      </c>
      <c r="AJ173" s="105">
        <f t="shared" si="789"/>
        <v>24.974556426670631</v>
      </c>
      <c r="AK173" s="770">
        <f>+AK120/AK125*100</f>
        <v>25</v>
      </c>
      <c r="AL173" s="132">
        <f>+AL120/AL125*100</f>
        <v>24.999999999999996</v>
      </c>
      <c r="AM173" s="353">
        <f t="shared" si="789"/>
        <v>25</v>
      </c>
      <c r="AN173" s="353">
        <f t="shared" si="789"/>
        <v>25.000082602902324</v>
      </c>
      <c r="AO173" s="53">
        <f t="shared" ref="AO173:AT173" si="790">+AO120/AO125*100</f>
        <v>25.142611983557366</v>
      </c>
      <c r="AP173" s="105">
        <f t="shared" si="790"/>
        <v>24.977453934670617</v>
      </c>
      <c r="AQ173" s="770">
        <f>+AQ120/AQ125*100</f>
        <v>25</v>
      </c>
      <c r="AR173" s="132">
        <f>+AR120/AR125*100</f>
        <v>23.193550556965743</v>
      </c>
      <c r="AS173" s="53">
        <f t="shared" si="790"/>
        <v>25.12797507312079</v>
      </c>
      <c r="AT173" s="105">
        <f t="shared" si="790"/>
        <v>24.795072950401149</v>
      </c>
      <c r="AU173" s="770">
        <f>+AU120/AU125*100</f>
        <v>25</v>
      </c>
      <c r="AV173" s="132">
        <f>+AV120/AV125*100</f>
        <v>21.571428930378296</v>
      </c>
      <c r="AW173" s="53">
        <f t="shared" ref="AW173:AX173" si="791">+AW120/AW125*100</f>
        <v>25.117117985880729</v>
      </c>
      <c r="AX173" s="105">
        <f t="shared" si="791"/>
        <v>24.522787178039625</v>
      </c>
      <c r="AY173" s="770">
        <f>+AY120/AY125*100</f>
        <v>25</v>
      </c>
      <c r="AZ173" s="132">
        <f>+AZ120/AZ125*100</f>
        <v>25.00000235800406</v>
      </c>
      <c r="BA173" s="353">
        <f t="shared" ref="BA173:BF173" si="792">+BA120/BA125*100</f>
        <v>25</v>
      </c>
      <c r="BB173" s="353">
        <f t="shared" si="792"/>
        <v>23.312565278021545</v>
      </c>
      <c r="BC173" s="466">
        <f t="shared" si="792"/>
        <v>25</v>
      </c>
      <c r="BD173" s="474">
        <f t="shared" si="792"/>
        <v>24.15812995508584</v>
      </c>
      <c r="BE173" s="53">
        <f t="shared" si="792"/>
        <v>25.107061951298892</v>
      </c>
      <c r="BF173" s="105">
        <f t="shared" si="792"/>
        <v>24.563693271519984</v>
      </c>
      <c r="BG173" s="1222"/>
      <c r="BH173" s="1222"/>
      <c r="BI173" s="4713"/>
      <c r="BJ173" s="4713"/>
      <c r="BK173" s="26"/>
      <c r="BL173" s="26"/>
      <c r="BM173" s="26"/>
      <c r="BN173" s="26"/>
    </row>
    <row r="174" spans="1:66" ht="15.75" thickBot="1" x14ac:dyDescent="0.3">
      <c r="A174" s="148"/>
      <c r="B174" s="1937" t="s">
        <v>12</v>
      </c>
      <c r="C174" s="1396" t="s">
        <v>49</v>
      </c>
      <c r="D174" s="540">
        <f t="shared" ref="D174:J174" si="793">SUM(D172:D173)</f>
        <v>97.031988567659653</v>
      </c>
      <c r="E174" s="1380">
        <f t="shared" si="793"/>
        <v>97.031988567659667</v>
      </c>
      <c r="F174" s="538">
        <f t="shared" si="793"/>
        <v>94.592173017507719</v>
      </c>
      <c r="G174" s="1380">
        <f t="shared" ref="G174:H174" si="794">SUM(G172:G173)</f>
        <v>97.031988567659667</v>
      </c>
      <c r="H174" s="538">
        <f t="shared" si="794"/>
        <v>94.99999761388338</v>
      </c>
      <c r="I174" s="1381">
        <f t="shared" si="793"/>
        <v>97.031988567659667</v>
      </c>
      <c r="J174" s="539">
        <f t="shared" si="793"/>
        <v>94.799830302761691</v>
      </c>
      <c r="K174" s="1380">
        <f t="shared" ref="K174:L174" si="795">SUM(K172:K173)</f>
        <v>100</v>
      </c>
      <c r="L174" s="538">
        <f t="shared" si="795"/>
        <v>100</v>
      </c>
      <c r="M174" s="1382">
        <f t="shared" ref="M174" si="796">SUM(M172:M173)</f>
        <v>97.955575816168661</v>
      </c>
      <c r="N174" s="541">
        <f t="shared" ref="N174:P174" si="797">SUM(N172:N173)</f>
        <v>96.507139889434484</v>
      </c>
      <c r="O174" s="1380">
        <f t="shared" si="797"/>
        <v>100</v>
      </c>
      <c r="P174" s="538">
        <f t="shared" si="797"/>
        <v>100</v>
      </c>
      <c r="Q174" s="1381">
        <f t="shared" ref="Q174" si="798">SUM(Q172:Q173)</f>
        <v>98.465709869364204</v>
      </c>
      <c r="R174" s="539">
        <f t="shared" ref="R174:U174" si="799">SUM(R172:R173)</f>
        <v>97.40626434784032</v>
      </c>
      <c r="S174" s="1380">
        <f t="shared" si="799"/>
        <v>99.999999999999986</v>
      </c>
      <c r="T174" s="538">
        <f t="shared" si="799"/>
        <v>100</v>
      </c>
      <c r="U174" s="1381">
        <f t="shared" si="799"/>
        <v>98.784833208028772</v>
      </c>
      <c r="V174" s="539">
        <f t="shared" ref="V174:X174" si="800">SUM(V172:V173)</f>
        <v>97.936562726895403</v>
      </c>
      <c r="W174" s="1380">
        <f t="shared" si="800"/>
        <v>100</v>
      </c>
      <c r="X174" s="538">
        <f t="shared" si="800"/>
        <v>97.799998669381651</v>
      </c>
      <c r="Y174" s="620">
        <f t="shared" ref="Y174:AF174" si="801">SUM(Y172:Y173)</f>
        <v>100</v>
      </c>
      <c r="Z174" s="620">
        <f t="shared" si="801"/>
        <v>99.284860142098637</v>
      </c>
      <c r="AA174" s="466">
        <f t="shared" si="801"/>
        <v>98.988443911650506</v>
      </c>
      <c r="AB174" s="2459">
        <f t="shared" si="801"/>
        <v>97.914077830625558</v>
      </c>
      <c r="AC174" s="1380">
        <f t="shared" si="801"/>
        <v>99.999999999999986</v>
      </c>
      <c r="AD174" s="538">
        <f t="shared" si="801"/>
        <v>96.999628878928888</v>
      </c>
      <c r="AE174" s="1381">
        <f t="shared" si="801"/>
        <v>99.137738523682998</v>
      </c>
      <c r="AF174" s="539">
        <f t="shared" si="801"/>
        <v>97.781687210167718</v>
      </c>
      <c r="AG174" s="1380">
        <f t="shared" ref="AG174:AH174" si="802">SUM(AG172:AG173)</f>
        <v>100</v>
      </c>
      <c r="AH174" s="538">
        <f t="shared" si="802"/>
        <v>95.266662670908175</v>
      </c>
      <c r="AI174" s="1381">
        <f t="shared" ref="AI174:AN174" si="803">SUM(AI172:AI173)</f>
        <v>99.245502049334462</v>
      </c>
      <c r="AJ174" s="539">
        <f t="shared" si="803"/>
        <v>97.483136268752901</v>
      </c>
      <c r="AK174" s="1380">
        <f t="shared" si="803"/>
        <v>99.999999999999986</v>
      </c>
      <c r="AL174" s="538">
        <f t="shared" si="803"/>
        <v>96.999995843116182</v>
      </c>
      <c r="AM174" s="620">
        <f t="shared" si="803"/>
        <v>100</v>
      </c>
      <c r="AN174" s="620">
        <f t="shared" si="803"/>
        <v>96.45090637411289</v>
      </c>
      <c r="AO174" s="1381">
        <f t="shared" ref="AO174:AT174" si="804">SUM(AO172:AO173)</f>
        <v>99.331796346021861</v>
      </c>
      <c r="AP174" s="539">
        <f t="shared" si="804"/>
        <v>97.428116353496534</v>
      </c>
      <c r="AQ174" s="1380">
        <f t="shared" si="804"/>
        <v>99.999999999999986</v>
      </c>
      <c r="AR174" s="538">
        <f t="shared" si="804"/>
        <v>96.999995843116182</v>
      </c>
      <c r="AS174" s="1381">
        <f t="shared" si="804"/>
        <v>99.400377097742108</v>
      </c>
      <c r="AT174" s="539">
        <f t="shared" si="804"/>
        <v>97.384346583762948</v>
      </c>
      <c r="AU174" s="1380">
        <f t="shared" ref="AU174:AX174" si="805">SUM(AU172:AU173)</f>
        <v>100</v>
      </c>
      <c r="AV174" s="538">
        <f t="shared" si="805"/>
        <v>97.000002931422728</v>
      </c>
      <c r="AW174" s="1381">
        <f t="shared" si="805"/>
        <v>99.451247614962327</v>
      </c>
      <c r="AX174" s="539">
        <f t="shared" si="805"/>
        <v>97.351882916068973</v>
      </c>
      <c r="AY174" s="1380">
        <f t="shared" ref="AY174:AZ174" si="806">SUM(AY172:AY173)</f>
        <v>99.999999999999986</v>
      </c>
      <c r="AZ174" s="538">
        <f t="shared" si="806"/>
        <v>95.387093247836503</v>
      </c>
      <c r="BA174" s="620">
        <f t="shared" ref="BA174:BF174" si="807">SUM(BA172:BA173)</f>
        <v>100</v>
      </c>
      <c r="BB174" s="620">
        <f t="shared" si="807"/>
        <v>96.443686731862385</v>
      </c>
      <c r="BC174" s="466">
        <f t="shared" si="807"/>
        <v>99.999999999999986</v>
      </c>
      <c r="BD174" s="2459">
        <f t="shared" si="807"/>
        <v>96.447304279592444</v>
      </c>
      <c r="BE174" s="1381">
        <f t="shared" si="807"/>
        <v>99.498364826885904</v>
      </c>
      <c r="BF174" s="539">
        <f t="shared" si="807"/>
        <v>97.183464405484429</v>
      </c>
      <c r="BG174" s="1222"/>
      <c r="BH174" s="1222"/>
      <c r="BI174" s="4713"/>
      <c r="BJ174" s="4713"/>
      <c r="BK174" s="26"/>
      <c r="BL174" s="26"/>
      <c r="BM174" s="26"/>
      <c r="BN174" s="26"/>
    </row>
    <row r="175" spans="1:66" ht="15.75" thickBot="1" x14ac:dyDescent="0.3">
      <c r="B175" s="1938" t="s">
        <v>198</v>
      </c>
      <c r="C175" s="1415" t="s">
        <v>49</v>
      </c>
      <c r="D175" s="1896">
        <f>+((+D122+D123+D124)/D125)*100</f>
        <v>2.9680114323403322</v>
      </c>
      <c r="E175" s="1897">
        <f>+((+E122+E123+E124)/E125)*100</f>
        <v>2.9680114323403366</v>
      </c>
      <c r="F175" s="1898">
        <f>+((+F122+F123+F124)/F125)*100</f>
        <v>5.4078269824922778</v>
      </c>
      <c r="G175" s="1897">
        <f>+((+G122+G123+G124)/G125)*100</f>
        <v>2.9680114323403313</v>
      </c>
      <c r="H175" s="1898">
        <f>+((+H122+H123+H124)/H125)*100</f>
        <v>5.0000023861166181</v>
      </c>
      <c r="I175" s="593">
        <f t="shared" ref="I175:N175" si="808">+((+I122+I123+I124)/I125)*100</f>
        <v>2.9680114323403339</v>
      </c>
      <c r="J175" s="593">
        <f t="shared" si="808"/>
        <v>5.2001696972383176</v>
      </c>
      <c r="K175" s="1897">
        <f>+((+K122+K123+K124)/K125)*100</f>
        <v>0</v>
      </c>
      <c r="L175" s="1898">
        <f>+((+L122+L123+L124)/L125)*100</f>
        <v>0</v>
      </c>
      <c r="M175" s="1899">
        <f t="shared" ref="M175" si="809">+((+M122+M123+M124)/M125)*100</f>
        <v>2.0444241838313175</v>
      </c>
      <c r="N175" s="177">
        <f t="shared" si="808"/>
        <v>3.4928601105655099</v>
      </c>
      <c r="O175" s="1897">
        <f>+((+O122+O123+O124)/O125)*100</f>
        <v>0</v>
      </c>
      <c r="P175" s="1898">
        <f>+((+P122+P123+P124)/P125)*100</f>
        <v>0</v>
      </c>
      <c r="Q175" s="593">
        <f t="shared" ref="Q175" si="810">+((+Q122+Q123+Q124)/Q125)*100</f>
        <v>1.5342901306357903</v>
      </c>
      <c r="R175" s="593">
        <f t="shared" ref="R175" si="811">+((+R122+R123+R124)/R125)*100</f>
        <v>2.5937356521596637</v>
      </c>
      <c r="S175" s="1897">
        <f>+((+S122+S123+S124)/S125)*100</f>
        <v>0</v>
      </c>
      <c r="T175" s="1898">
        <f>+((+T122+T123+T124)/T125)*100</f>
        <v>0</v>
      </c>
      <c r="U175" s="593">
        <f t="shared" ref="U175:V175" si="812">+((+U122+U123+U124)/U125)*100</f>
        <v>1.2151667919712132</v>
      </c>
      <c r="V175" s="593">
        <f t="shared" si="812"/>
        <v>2.0634372731045927</v>
      </c>
      <c r="W175" s="1897">
        <f>+((+W122+W123+W124)/W125)*100</f>
        <v>0</v>
      </c>
      <c r="X175" s="1898">
        <f>+((+X122+X123+X124)/X125)*100</f>
        <v>2.2000013306183499</v>
      </c>
      <c r="Y175" s="353">
        <f t="shared" ref="Y175:AF175" si="813">+((+Y122+Y123+Y124)/Y125)*100</f>
        <v>0</v>
      </c>
      <c r="Z175" s="353">
        <f t="shared" si="813"/>
        <v>0.71513985790134316</v>
      </c>
      <c r="AA175" s="466">
        <f t="shared" si="813"/>
        <v>1.0115560883494918</v>
      </c>
      <c r="AB175" s="474">
        <f t="shared" si="813"/>
        <v>2.0859221693744394</v>
      </c>
      <c r="AC175" s="1897">
        <f>+((+AC122+AC123+AC124)/AC125)*100</f>
        <v>0</v>
      </c>
      <c r="AD175" s="1898">
        <f>+((+AD122+AD123+AD124)/AD125)*100</f>
        <v>3.0003711210711126</v>
      </c>
      <c r="AE175" s="593">
        <f t="shared" si="813"/>
        <v>0.86226147631700578</v>
      </c>
      <c r="AF175" s="131">
        <f t="shared" si="813"/>
        <v>2.2183127898322827</v>
      </c>
      <c r="AG175" s="1897">
        <f>+((+AG122+AG123+AG124)/AG125)*100</f>
        <v>0</v>
      </c>
      <c r="AH175" s="1898">
        <f>+((+AH122+AH123+AH124)/AH125)*100</f>
        <v>4.733337329091829</v>
      </c>
      <c r="AI175" s="593">
        <f t="shared" ref="AI175:AN175" si="814">+((+AI122+AI123+AI124)/AI125)*100</f>
        <v>0.75449795066552927</v>
      </c>
      <c r="AJ175" s="131">
        <f t="shared" si="814"/>
        <v>2.5168637312470934</v>
      </c>
      <c r="AK175" s="1897">
        <f>+((+AK122+AK123+AK124)/AK125)*100</f>
        <v>0</v>
      </c>
      <c r="AL175" s="1898">
        <f>+((+AL122+AL123+AL124)/AL125)*100</f>
        <v>3.0000041568838185</v>
      </c>
      <c r="AM175" s="353">
        <f t="shared" si="814"/>
        <v>0</v>
      </c>
      <c r="AN175" s="353">
        <f t="shared" si="814"/>
        <v>3.5490936258871146</v>
      </c>
      <c r="AO175" s="593">
        <f t="shared" ref="AO175:AT175" si="815">+((+AO122+AO123+AO124)/AO125)*100</f>
        <v>0.66820365397813275</v>
      </c>
      <c r="AP175" s="131">
        <f t="shared" si="815"/>
        <v>2.5718836465034633</v>
      </c>
      <c r="AQ175" s="1897">
        <f>+((+AQ122+AQ123+AQ124)/AQ125)*100</f>
        <v>0</v>
      </c>
      <c r="AR175" s="1898">
        <f>+((+AR122+AR123+AR124)/AR125)*100</f>
        <v>3.0000041568838181</v>
      </c>
      <c r="AS175" s="593">
        <f t="shared" si="815"/>
        <v>0.59962290225791925</v>
      </c>
      <c r="AT175" s="131">
        <f t="shared" si="815"/>
        <v>2.6156534162370537</v>
      </c>
      <c r="AU175" s="1897">
        <f>+((+AU122+AU123+AU124)/AU125)*100</f>
        <v>0</v>
      </c>
      <c r="AV175" s="1898">
        <f>+((+AV122+AV123+AV124)/AV125)*100</f>
        <v>2.9999970685772848</v>
      </c>
      <c r="AW175" s="593">
        <f t="shared" ref="AW175:AX175" si="816">+((+AW122+AW123+AW124)/AW125)*100</f>
        <v>0.54875238503767665</v>
      </c>
      <c r="AX175" s="131">
        <f t="shared" si="816"/>
        <v>2.6481170839310337</v>
      </c>
      <c r="AY175" s="1897">
        <f>+((+AY122+AY123+AY124)/AY125)*100</f>
        <v>0</v>
      </c>
      <c r="AZ175" s="1898">
        <f>+((+AZ122+AZ123+AZ124)/AZ125)*100</f>
        <v>4.6129067521634912</v>
      </c>
      <c r="BA175" s="353">
        <f t="shared" ref="BA175:BF175" si="817">+((+BA122+BA123+BA124)/BA125)*100</f>
        <v>0</v>
      </c>
      <c r="BB175" s="353">
        <f t="shared" si="817"/>
        <v>3.5563132681375911</v>
      </c>
      <c r="BC175" s="466">
        <f t="shared" si="817"/>
        <v>0</v>
      </c>
      <c r="BD175" s="474">
        <f t="shared" si="817"/>
        <v>3.5526957204075402</v>
      </c>
      <c r="BE175" s="593">
        <f t="shared" si="817"/>
        <v>0.5016351731141041</v>
      </c>
      <c r="BF175" s="131">
        <f t="shared" si="817"/>
        <v>2.8165355945155781</v>
      </c>
      <c r="BG175" s="1222"/>
      <c r="BH175" s="1222"/>
      <c r="BI175" s="4713"/>
      <c r="BJ175" s="4713"/>
      <c r="BK175" s="26"/>
      <c r="BL175" s="26"/>
      <c r="BM175" s="26"/>
      <c r="BN175" s="26"/>
    </row>
    <row r="176" spans="1:66" ht="18.75" x14ac:dyDescent="0.3">
      <c r="B176" s="1959" t="s">
        <v>193</v>
      </c>
      <c r="C176" s="1925"/>
      <c r="D176" s="1945"/>
      <c r="E176" s="1946"/>
      <c r="F176" s="1947"/>
      <c r="G176" s="1946"/>
      <c r="H176" s="1947"/>
      <c r="I176" s="1378"/>
      <c r="J176" s="1945"/>
      <c r="K176" s="1946"/>
      <c r="L176" s="1947"/>
      <c r="M176" s="1946"/>
      <c r="N176" s="1947"/>
      <c r="O176" s="1946"/>
      <c r="P176" s="1947"/>
      <c r="Q176" s="1378"/>
      <c r="R176" s="1945"/>
      <c r="S176" s="1946"/>
      <c r="T176" s="1947"/>
      <c r="U176" s="1378"/>
      <c r="V176" s="1945"/>
      <c r="W176" s="1946"/>
      <c r="X176" s="1947"/>
      <c r="Y176" s="1375"/>
      <c r="Z176" s="1375"/>
      <c r="AA176" s="2532"/>
      <c r="AB176" s="1377"/>
      <c r="AC176" s="1946"/>
      <c r="AD176" s="1947"/>
      <c r="AE176" s="1378"/>
      <c r="AF176" s="1947"/>
      <c r="AG176" s="1946"/>
      <c r="AH176" s="1947"/>
      <c r="AI176" s="1378"/>
      <c r="AJ176" s="1947"/>
      <c r="AK176" s="1946"/>
      <c r="AL176" s="1947"/>
      <c r="AM176" s="1375"/>
      <c r="AN176" s="1375"/>
      <c r="AO176" s="1378"/>
      <c r="AP176" s="1947"/>
      <c r="AQ176" s="1946"/>
      <c r="AR176" s="1947"/>
      <c r="AS176" s="1378"/>
      <c r="AT176" s="1947"/>
      <c r="AU176" s="1946"/>
      <c r="AV176" s="1947"/>
      <c r="AW176" s="1378"/>
      <c r="AX176" s="1947"/>
      <c r="AY176" s="1946"/>
      <c r="AZ176" s="1947"/>
      <c r="BA176" s="1375"/>
      <c r="BB176" s="1375"/>
      <c r="BC176" s="2532"/>
      <c r="BD176" s="1377"/>
      <c r="BE176" s="1378"/>
      <c r="BF176" s="1947"/>
      <c r="BG176" s="1222"/>
      <c r="BH176" s="1222"/>
      <c r="BI176" s="4713"/>
      <c r="BJ176" s="4713"/>
      <c r="BK176" s="26"/>
      <c r="BL176" s="26"/>
      <c r="BM176" s="26"/>
      <c r="BN176" s="26"/>
    </row>
    <row r="177" spans="1:66" x14ac:dyDescent="0.25">
      <c r="B177" s="1904" t="s">
        <v>199</v>
      </c>
      <c r="C177" s="1395" t="s">
        <v>49</v>
      </c>
      <c r="D177" s="106">
        <v>9.6999999999999993</v>
      </c>
      <c r="E177" s="770">
        <f>+$D$177</f>
        <v>9.6999999999999993</v>
      </c>
      <c r="F177" s="134">
        <v>8.9</v>
      </c>
      <c r="G177" s="770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70">
        <f>+$D$177</f>
        <v>9.6999999999999993</v>
      </c>
      <c r="L177" s="134">
        <v>9.2333333333333378</v>
      </c>
      <c r="M177" s="77">
        <f>+$D$177</f>
        <v>9.6999999999999993</v>
      </c>
      <c r="N177" s="114">
        <f>+((F177*F$125)+(H177*H$125)+(L$125*L177))/N$125</f>
        <v>8.9820786371586809</v>
      </c>
      <c r="O177" s="770">
        <f>+$D$177</f>
        <v>9.6999999999999993</v>
      </c>
      <c r="P177" s="134">
        <v>10.206666666666665</v>
      </c>
      <c r="Q177" s="53">
        <f>+$D$177</f>
        <v>9.6999999999999993</v>
      </c>
      <c r="R177" s="107">
        <f>+((N177*N$125)+(P$125*P177))/R$125</f>
        <v>9.2973094262392593</v>
      </c>
      <c r="S177" s="770">
        <f>+$D$177</f>
        <v>9.6999999999999993</v>
      </c>
      <c r="T177" s="134">
        <v>10.8</v>
      </c>
      <c r="U177" s="53">
        <f>+$D$177</f>
        <v>9.6999999999999993</v>
      </c>
      <c r="V177" s="107">
        <f>+((R177*R$125)+(T$125*T177))/V$125</f>
        <v>9.6045398006311711</v>
      </c>
      <c r="W177" s="770">
        <f>+$D$177</f>
        <v>9.6999999999999993</v>
      </c>
      <c r="X177" s="134">
        <v>10.42</v>
      </c>
      <c r="Y177" s="77">
        <f>+$D$177</f>
        <v>9.6999999999999993</v>
      </c>
      <c r="Z177" s="114">
        <f>+((P177*P$125)+(T177*T$125)+(X$125*X177))/Z$125</f>
        <v>10.476081140567576</v>
      </c>
      <c r="AA177" s="667">
        <f>+$D$177</f>
        <v>9.6999999999999993</v>
      </c>
      <c r="AB177" s="474">
        <f>+((N177*N$125)+(Z$125*Z177))/AB$125</f>
        <v>9.7388030784570354</v>
      </c>
      <c r="AC177" s="770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9.8229466721573715</v>
      </c>
      <c r="AG177" s="770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9.839215857373155</v>
      </c>
      <c r="AK177" s="770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9.8185318710827207</v>
      </c>
      <c r="AO177" s="53">
        <f>+$D$177</f>
        <v>9.6999999999999993</v>
      </c>
      <c r="AP177" s="107">
        <f>+((AL177*AL$125)+(AJ$125*AJ177))/AP$125</f>
        <v>9.765283311967357</v>
      </c>
      <c r="AQ177" s="770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9.6941996107044055</v>
      </c>
      <c r="AU177" s="770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9.6304959814451347</v>
      </c>
      <c r="AY177" s="770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8.8468001365704456</v>
      </c>
      <c r="BC177" s="667">
        <f>+$D$177</f>
        <v>9.6999999999999993</v>
      </c>
      <c r="BD177" s="474">
        <f>+((AN177*AN$125)+(BB$125*BB177))/BD$125</f>
        <v>9.3337059704670242</v>
      </c>
      <c r="BE177" s="53">
        <f>+$D$177</f>
        <v>9.6999999999999993</v>
      </c>
      <c r="BF177" s="107">
        <f>+((AX177*AX$125)+(AZ$125*AZ177))/BF$125</f>
        <v>9.537020475154101</v>
      </c>
      <c r="BG177" s="1222"/>
      <c r="BH177" s="1222"/>
      <c r="BI177" s="4713"/>
      <c r="BJ177" s="4713"/>
      <c r="BK177" s="26"/>
      <c r="BL177" s="26"/>
      <c r="BM177" s="26"/>
      <c r="BN177" s="26"/>
    </row>
    <row r="178" spans="1:66" x14ac:dyDescent="0.25">
      <c r="A178" s="148"/>
      <c r="B178" s="1904" t="s">
        <v>200</v>
      </c>
      <c r="C178" s="1395" t="s">
        <v>49</v>
      </c>
      <c r="D178" s="106" t="s">
        <v>2272</v>
      </c>
      <c r="E178" s="770" t="str">
        <f>+$D$178</f>
        <v>10.0-10.2</v>
      </c>
      <c r="F178" s="134">
        <v>10.14</v>
      </c>
      <c r="G178" s="770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70" t="str">
        <f>+$D$178</f>
        <v>10.0-10.2</v>
      </c>
      <c r="L178" s="134">
        <v>9.4846666666666657</v>
      </c>
      <c r="M178" s="77" t="str">
        <f>+$D$178</f>
        <v>10.0-10.2</v>
      </c>
      <c r="N178" s="114">
        <f>+((F178*F$125)+(H178*H$125)+(L$125*L178))/N$125</f>
        <v>9.9624632176019716</v>
      </c>
      <c r="O178" s="770" t="str">
        <f>+$D$178</f>
        <v>10.0-10.2</v>
      </c>
      <c r="P178" s="134">
        <v>9.5562222222222211</v>
      </c>
      <c r="Q178" s="53" t="str">
        <f>+$D$178</f>
        <v>10.0-10.2</v>
      </c>
      <c r="R178" s="107">
        <f>+((N178*N$125)+(P$125*P178))/R$125</f>
        <v>9.8578895434808125</v>
      </c>
      <c r="S178" s="770" t="str">
        <f>+$D$178</f>
        <v>10.0-10.2</v>
      </c>
      <c r="T178" s="134">
        <v>9.48</v>
      </c>
      <c r="U178" s="53" t="str">
        <f>+$D$178</f>
        <v>10.0-10.2</v>
      </c>
      <c r="V178" s="107">
        <f>+((R178*R$125)+(T$125*T178))/V$125</f>
        <v>9.7806286968703002</v>
      </c>
      <c r="W178" s="770" t="str">
        <f>+$D$178</f>
        <v>10.0-10.2</v>
      </c>
      <c r="X178" s="134">
        <v>9.9700000000000006</v>
      </c>
      <c r="Y178" s="77" t="str">
        <f>+$D$178</f>
        <v>10.0-10.2</v>
      </c>
      <c r="Z178" s="114">
        <f>+((P178*P$125)+(T178*T$125)+(X$125*X178))/Z$125</f>
        <v>9.6650246525079844</v>
      </c>
      <c r="AA178" s="667" t="str">
        <f>+$D$178</f>
        <v>10.0-10.2</v>
      </c>
      <c r="AB178" s="474">
        <f>+((N178*N$125)+(Z$125*Z178))/AB$125</f>
        <v>9.8118081608147403</v>
      </c>
      <c r="AC178" s="770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9.8448449521163237</v>
      </c>
      <c r="AG178" s="770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9.9048103770065801</v>
      </c>
      <c r="AK178" s="770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10.162181683885107</v>
      </c>
      <c r="AO178" s="53" t="str">
        <f>+$D$178</f>
        <v>10.0-10.2</v>
      </c>
      <c r="AP178" s="107">
        <f>+((AL178*AL$125)+(AJ$125*AJ178))/AP$125</f>
        <v>9.928177321831587</v>
      </c>
      <c r="AQ178" s="770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9.9314307779542563</v>
      </c>
      <c r="AU178" s="770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9.9321545791025141</v>
      </c>
      <c r="AY178" s="770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10.05036092888073</v>
      </c>
      <c r="BC178" s="667" t="str">
        <f>+$D$178</f>
        <v>10.0-10.2</v>
      </c>
      <c r="BD178" s="474">
        <f>+((AN178*AN$125)+(BB$125*BB178))/BD$125</f>
        <v>10.106390979180238</v>
      </c>
      <c r="BE178" s="53" t="str">
        <f>+$D$178</f>
        <v>10.0-10.2</v>
      </c>
      <c r="BF178" s="107">
        <f>+((AX178*AX$125)+(AZ$125*AZ178))/BF$125</f>
        <v>9.9585425778364804</v>
      </c>
      <c r="BG178" s="1222"/>
      <c r="BH178" s="1222"/>
      <c r="BI178" s="4713"/>
      <c r="BJ178" s="4713"/>
      <c r="BK178" s="26"/>
      <c r="BL178" s="26"/>
      <c r="BM178" s="26"/>
      <c r="BN178" s="26"/>
    </row>
    <row r="179" spans="1:66" x14ac:dyDescent="0.25">
      <c r="B179" s="1904" t="s">
        <v>201</v>
      </c>
      <c r="C179" s="1395" t="s">
        <v>49</v>
      </c>
      <c r="D179" s="106" t="s">
        <v>2273</v>
      </c>
      <c r="E179" s="770" t="str">
        <f>+$D$179</f>
        <v>25.0-25.4</v>
      </c>
      <c r="F179" s="134">
        <v>24.41</v>
      </c>
      <c r="G179" s="770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70" t="str">
        <f>+$D$179</f>
        <v>25.0-25.4</v>
      </c>
      <c r="L179" s="134">
        <v>25.183444444444451</v>
      </c>
      <c r="M179" s="77" t="str">
        <f>+$D$179</f>
        <v>25.0-25.4</v>
      </c>
      <c r="N179" s="114">
        <f>+((F179*F$125)+(H179*H$125)+(L$125*L179))/N$125</f>
        <v>24.602374167944497</v>
      </c>
      <c r="O179" s="770" t="str">
        <f>+$D$179</f>
        <v>25.0-25.4</v>
      </c>
      <c r="P179" s="134">
        <v>25.245555555555544</v>
      </c>
      <c r="Q179" s="53" t="str">
        <f>+$D$179</f>
        <v>25.0-25.4</v>
      </c>
      <c r="R179" s="107">
        <f>+((N179*N$125)+(P$125*P179))/R$125</f>
        <v>24.767940522876145</v>
      </c>
      <c r="S179" s="770" t="str">
        <f>+$D$179</f>
        <v>25.0-25.4</v>
      </c>
      <c r="T179" s="134">
        <v>25.09</v>
      </c>
      <c r="U179" s="53" t="str">
        <f>+$D$179</f>
        <v>25.0-25.4</v>
      </c>
      <c r="V179" s="107">
        <f>+((R179*R$125)+(T$125*T179))/V$125</f>
        <v>24.833786716005321</v>
      </c>
      <c r="W179" s="770" t="str">
        <f>+$D$179</f>
        <v>25.0-25.4</v>
      </c>
      <c r="X179" s="134">
        <v>25.16</v>
      </c>
      <c r="Y179" s="77" t="str">
        <f>+$D$179</f>
        <v>25.0-25.4</v>
      </c>
      <c r="Z179" s="114">
        <f>+((P179*P$125)+(T179*T$125)+(X$125*X179))/Z$125</f>
        <v>25.165292392744206</v>
      </c>
      <c r="AA179" s="667" t="str">
        <f>+$D$179</f>
        <v>25.0-25.4</v>
      </c>
      <c r="AB179" s="474">
        <f>+((N179*N$125)+(Z$125*Z179))/AB$125</f>
        <v>24.887496835534591</v>
      </c>
      <c r="AC179" s="770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24.883515942877548</v>
      </c>
      <c r="AG179" s="770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24.909214109255768</v>
      </c>
      <c r="AK179" s="770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25.032016388674968</v>
      </c>
      <c r="AO179" s="53" t="str">
        <f>+$D$179</f>
        <v>25.0-25.4</v>
      </c>
      <c r="AP179" s="107">
        <f>+((AL179*AL$125)+(AJ$125*AJ179))/AP$125</f>
        <v>24.935495950884686</v>
      </c>
      <c r="AQ179" s="770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24.931866950266809</v>
      </c>
      <c r="AU179" s="770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24.913126911497127</v>
      </c>
      <c r="AY179" s="770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24.744384165050491</v>
      </c>
      <c r="BC179" s="667" t="str">
        <f>+$D$179</f>
        <v>25.0-25.4</v>
      </c>
      <c r="BD179" s="474">
        <f>+((AN179*AN$125)+(BB$125*BB179))/BD$125</f>
        <v>24.888508106592546</v>
      </c>
      <c r="BE179" s="53" t="str">
        <f>+$D$179</f>
        <v>25.0-25.4</v>
      </c>
      <c r="BF179" s="107">
        <f>+((AX179*AX$125)+(AZ$125*AZ179))/BF$125</f>
        <v>24.88800055896953</v>
      </c>
      <c r="BG179" s="1222"/>
      <c r="BH179" s="1222"/>
      <c r="BI179" s="4713"/>
      <c r="BJ179" s="4713"/>
      <c r="BK179" s="26"/>
      <c r="BL179" s="26"/>
      <c r="BM179" s="26"/>
      <c r="BN179" s="26"/>
    </row>
    <row r="180" spans="1:66" ht="18.75" x14ac:dyDescent="0.25">
      <c r="B180" s="1960" t="s">
        <v>197</v>
      </c>
      <c r="C180" s="1400"/>
      <c r="D180" s="1379"/>
      <c r="E180" s="1383"/>
      <c r="F180" s="1377"/>
      <c r="G180" s="1383"/>
      <c r="H180" s="1377"/>
      <c r="I180" s="1383"/>
      <c r="J180" s="1375"/>
      <c r="K180" s="1383"/>
      <c r="L180" s="1377"/>
      <c r="M180" s="1383"/>
      <c r="N180" s="1377"/>
      <c r="O180" s="1383"/>
      <c r="P180" s="1377"/>
      <c r="Q180" s="1383"/>
      <c r="R180" s="1375"/>
      <c r="S180" s="1383"/>
      <c r="T180" s="1377"/>
      <c r="U180" s="1383"/>
      <c r="V180" s="1375"/>
      <c r="W180" s="1383"/>
      <c r="X180" s="1377"/>
      <c r="Y180" s="1383"/>
      <c r="Z180" s="1375"/>
      <c r="AA180" s="2536"/>
      <c r="AB180" s="1377"/>
      <c r="AC180" s="1383"/>
      <c r="AD180" s="1377"/>
      <c r="AE180" s="1383"/>
      <c r="AF180" s="1377"/>
      <c r="AG180" s="1383"/>
      <c r="AH180" s="1377"/>
      <c r="AI180" s="1383"/>
      <c r="AJ180" s="1377"/>
      <c r="AK180" s="1383"/>
      <c r="AL180" s="1377"/>
      <c r="AM180" s="1383"/>
      <c r="AN180" s="1375"/>
      <c r="AO180" s="1383"/>
      <c r="AP180" s="1377"/>
      <c r="AQ180" s="1383"/>
      <c r="AR180" s="1377"/>
      <c r="AS180" s="1383"/>
      <c r="AT180" s="1377"/>
      <c r="AU180" s="1383"/>
      <c r="AV180" s="1377"/>
      <c r="AW180" s="1383"/>
      <c r="AX180" s="1377"/>
      <c r="AY180" s="1383"/>
      <c r="AZ180" s="1377"/>
      <c r="BA180" s="1383"/>
      <c r="BB180" s="1375"/>
      <c r="BC180" s="2536"/>
      <c r="BD180" s="1377"/>
      <c r="BE180" s="1383"/>
      <c r="BF180" s="1377"/>
      <c r="BG180" s="1222"/>
      <c r="BH180" s="1222"/>
      <c r="BI180" s="4713"/>
      <c r="BJ180" s="4713"/>
      <c r="BK180" s="26"/>
      <c r="BL180" s="26"/>
      <c r="BM180" s="26"/>
      <c r="BN180" s="26"/>
    </row>
    <row r="181" spans="1:66" ht="15.75" customHeight="1" x14ac:dyDescent="0.25">
      <c r="B181" s="1904" t="s">
        <v>202</v>
      </c>
      <c r="C181" s="1395" t="s">
        <v>49</v>
      </c>
      <c r="D181" s="106" t="s">
        <v>1762</v>
      </c>
      <c r="E181" s="770" t="str">
        <f>+$D$181</f>
        <v>&lt;=0.4</v>
      </c>
      <c r="F181" s="2205">
        <v>0.3</v>
      </c>
      <c r="G181" s="770" t="str">
        <f>+$D$181</f>
        <v>&lt;=0.4</v>
      </c>
      <c r="H181" s="2205">
        <v>0.33</v>
      </c>
      <c r="I181" s="53" t="str">
        <f>+$D$181</f>
        <v>&lt;=0.4</v>
      </c>
      <c r="J181" s="107">
        <f t="shared" ref="J181:J186" si="818">+((F181*F$22)+(H$22*H181))/J$22</f>
        <v>0.31527548441449038</v>
      </c>
      <c r="K181" s="770" t="str">
        <f>+$D$181</f>
        <v>&lt;=0.4</v>
      </c>
      <c r="L181" s="2205">
        <v>0.27566666666666656</v>
      </c>
      <c r="M181" s="77" t="str">
        <f>+$D$181</f>
        <v>&lt;=0.4</v>
      </c>
      <c r="N181" s="114">
        <f t="shared" ref="N181:N186" si="819">+((F181*F$22)+(H181*H$22)+(L$22*L181))/N$22</f>
        <v>0.30233212483768129</v>
      </c>
      <c r="O181" s="770" t="str">
        <f>+$D$181</f>
        <v>&lt;=0.4</v>
      </c>
      <c r="P181" s="2205">
        <v>0.3354444444444446</v>
      </c>
      <c r="Q181" s="53" t="str">
        <f>+$D$181</f>
        <v>&lt;=0.4</v>
      </c>
      <c r="R181" s="107">
        <f t="shared" ref="R181:R186" si="820">+((N181*N$22)+(P$22*P181))/R$22</f>
        <v>0.31087055637467897</v>
      </c>
      <c r="S181" s="770" t="str">
        <f>+$D$181</f>
        <v>&lt;=0.4</v>
      </c>
      <c r="T181" s="2205">
        <v>0.42</v>
      </c>
      <c r="U181" s="53" t="str">
        <f>+$D$181</f>
        <v>&lt;=0.4</v>
      </c>
      <c r="V181" s="107">
        <f t="shared" ref="V181:V186" si="821">+((R181*R$22)+(T$22*T181))/V$22</f>
        <v>0.3332122719334053</v>
      </c>
      <c r="W181" s="770" t="str">
        <f>+$D$181</f>
        <v>&lt;=0.4</v>
      </c>
      <c r="X181" s="2205">
        <v>0.4</v>
      </c>
      <c r="Y181" s="77" t="str">
        <f>+$D$181</f>
        <v>&lt;=0.4</v>
      </c>
      <c r="Z181" s="114">
        <f t="shared" ref="Z181:Z186" si="822">+((P181*P$22)+(T181*T$22)+(X$22*X181))/Z$22</f>
        <v>0.38494146403159835</v>
      </c>
      <c r="AA181" s="667" t="str">
        <f>+$D$181</f>
        <v>&lt;=0.4</v>
      </c>
      <c r="AB181" s="474">
        <f t="shared" ref="AB181:AB186" si="823">+((N181*N$22)+(Z$22*Z181))/AB$22</f>
        <v>0.34422407953740447</v>
      </c>
      <c r="AC181" s="770" t="str">
        <f>+$D$181</f>
        <v>&lt;=0.4</v>
      </c>
      <c r="AD181" s="2205">
        <v>0.4</v>
      </c>
      <c r="AE181" s="53" t="str">
        <f>+$D$181</f>
        <v>&lt;=0.4</v>
      </c>
      <c r="AF181" s="107">
        <f t="shared" ref="AF181:AF186" si="824">+((AB181*AB$22)+(AD$22*AD181))/AF$22</f>
        <v>0.35230637764387518</v>
      </c>
      <c r="AG181" s="770" t="str">
        <f>+$D$181</f>
        <v>&lt;=0.4</v>
      </c>
      <c r="AH181" s="2205">
        <v>0.38</v>
      </c>
      <c r="AI181" s="53" t="str">
        <f>+$D$181</f>
        <v>&lt;=0.4</v>
      </c>
      <c r="AJ181" s="107">
        <f t="shared" ref="AJ181:AJ186" si="825">+((AF181*AF$22)+(AH$22*AH181))/AJ$22</f>
        <v>0.35559602141544761</v>
      </c>
      <c r="AK181" s="770" t="str">
        <f>+$D$181</f>
        <v>&lt;=0.4</v>
      </c>
      <c r="AL181" s="2205">
        <v>0.27</v>
      </c>
      <c r="AM181" s="77" t="str">
        <f>+$D$181</f>
        <v>&lt;=0.4</v>
      </c>
      <c r="AN181" s="114">
        <f t="shared" ref="AN181:AN186" si="826">+((AD181*AD$22)+(AH181*AH$22)+(AL$22*AL181))/AN$22</f>
        <v>0.34927902966601032</v>
      </c>
      <c r="AO181" s="53" t="str">
        <f>+$D$181</f>
        <v>&lt;=0.4</v>
      </c>
      <c r="AP181" s="107">
        <f t="shared" ref="AP181:AP186" si="827">+((AL181*AL$22)+(AJ$22*AJ181))/AP$22</f>
        <v>0.3459014336207944</v>
      </c>
      <c r="AQ181" s="770" t="str">
        <f>+$D$181</f>
        <v>&lt;=0.4</v>
      </c>
      <c r="AR181" s="2205">
        <v>0.3</v>
      </c>
      <c r="AS181" s="53" t="str">
        <f>+$D$181</f>
        <v>&lt;=0.4</v>
      </c>
      <c r="AT181" s="107">
        <f t="shared" ref="AT181:AT186" si="828">+((AP181*AP$22)+(AR$22*AR181))/AT$22</f>
        <v>0.3411965344769517</v>
      </c>
      <c r="AU181" s="770" t="str">
        <f>+$D$181</f>
        <v>&lt;=0.4</v>
      </c>
      <c r="AV181" s="2205">
        <v>0.33</v>
      </c>
      <c r="AW181" s="53" t="str">
        <f>+$D$181</f>
        <v>&lt;=0.4</v>
      </c>
      <c r="AX181" s="107">
        <f t="shared" ref="AX181:AX186" si="829">+((AT181*AT$22)+(AV$22*AV181))/AX$22</f>
        <v>0.3402497576126568</v>
      </c>
      <c r="AY181" s="770" t="str">
        <f>+$D$181</f>
        <v>&lt;=0.4</v>
      </c>
      <c r="AZ181" s="2205">
        <v>0.28000000000000003</v>
      </c>
      <c r="BA181" s="77" t="str">
        <f>+$D$181</f>
        <v>&lt;=0.4</v>
      </c>
      <c r="BB181" s="114">
        <f t="shared" ref="BB181:BB186" si="830">+((AR181*AR$22)+(AV181*AV$22)+(AZ$22*AZ181))/BB$22</f>
        <v>0.30242274226337229</v>
      </c>
      <c r="BC181" s="667" t="str">
        <f>+$D$181</f>
        <v>&lt;=0.4</v>
      </c>
      <c r="BD181" s="474">
        <f t="shared" ref="BD181:BD186" si="831">+((AN181*AN$22)+(BB$22*BB181))/BD$22</f>
        <v>0.32586708763883926</v>
      </c>
      <c r="BE181" s="53" t="str">
        <f>+$D$181</f>
        <v>&lt;=0.4</v>
      </c>
      <c r="BF181" s="107">
        <f t="shared" ref="BF181:BF186" si="832">+((AX181*AX$22)+(AZ$22*AZ181))/BF$22</f>
        <v>0.33507996035335003</v>
      </c>
      <c r="BG181" s="1222"/>
      <c r="BH181" s="1222"/>
      <c r="BI181" s="4713"/>
      <c r="BJ181" s="4713"/>
      <c r="BK181" s="26"/>
      <c r="BL181" s="26"/>
      <c r="BM181" s="26"/>
      <c r="BN181" s="26"/>
    </row>
    <row r="182" spans="1:66" x14ac:dyDescent="0.25">
      <c r="B182" s="1904" t="s">
        <v>203</v>
      </c>
      <c r="C182" s="1395" t="s">
        <v>49</v>
      </c>
      <c r="D182" s="106" t="s">
        <v>2274</v>
      </c>
      <c r="E182" s="770" t="str">
        <f>+$D$182</f>
        <v>12.5-13.5</v>
      </c>
      <c r="F182" s="134">
        <v>13.14</v>
      </c>
      <c r="G182" s="770" t="str">
        <f>+$D$182</f>
        <v>12.5-13.5</v>
      </c>
      <c r="H182" s="134">
        <v>13.15</v>
      </c>
      <c r="I182" s="53" t="str">
        <f>+$D$182</f>
        <v>12.5-13.5</v>
      </c>
      <c r="J182" s="107">
        <f t="shared" si="818"/>
        <v>13.145091828138165</v>
      </c>
      <c r="K182" s="770" t="str">
        <f>+$D$182</f>
        <v>12.5-13.5</v>
      </c>
      <c r="L182" s="134">
        <v>12.444777777777773</v>
      </c>
      <c r="M182" s="77" t="str">
        <f>+$D$182</f>
        <v>12.5-13.5</v>
      </c>
      <c r="N182" s="114">
        <f t="shared" si="819"/>
        <v>12.916243377567984</v>
      </c>
      <c r="O182" s="770" t="str">
        <f>+$D$182</f>
        <v>12.5-13.5</v>
      </c>
      <c r="P182" s="134">
        <v>12.461444444444446</v>
      </c>
      <c r="Q182" s="53" t="str">
        <f>+$D$182</f>
        <v>12.5-13.5</v>
      </c>
      <c r="R182" s="107">
        <f t="shared" si="820"/>
        <v>12.798967704957548</v>
      </c>
      <c r="S182" s="770" t="str">
        <f>+$D$182</f>
        <v>12.5-13.5</v>
      </c>
      <c r="T182" s="134">
        <v>12.41</v>
      </c>
      <c r="U182" s="53" t="str">
        <f>+$D$182</f>
        <v>12.5-13.5</v>
      </c>
      <c r="V182" s="107">
        <f t="shared" si="821"/>
        <v>12.719335613589717</v>
      </c>
      <c r="W182" s="770" t="str">
        <f>+$D$182</f>
        <v>12.5-13.5</v>
      </c>
      <c r="X182" s="134">
        <v>12.89</v>
      </c>
      <c r="Y182" s="77" t="str">
        <f>+$D$182</f>
        <v>12.5-13.5</v>
      </c>
      <c r="Z182" s="114">
        <f t="shared" si="822"/>
        <v>12.583437315695621</v>
      </c>
      <c r="AA182" s="667" t="str">
        <f>+$D$182</f>
        <v>12.5-13.5</v>
      </c>
      <c r="AB182" s="474">
        <f t="shared" si="823"/>
        <v>12.747474366657206</v>
      </c>
      <c r="AC182" s="770" t="str">
        <f>+$D$182</f>
        <v>12.5-13.5</v>
      </c>
      <c r="AD182" s="134">
        <v>13.02</v>
      </c>
      <c r="AE182" s="53" t="str">
        <f>+$D$182</f>
        <v>12.5-13.5</v>
      </c>
      <c r="AF182" s="107">
        <f t="shared" si="824"/>
        <v>12.786965125250934</v>
      </c>
      <c r="AG182" s="770" t="str">
        <f>+$D$182</f>
        <v>12.5-13.5</v>
      </c>
      <c r="AH182" s="134">
        <v>13.44</v>
      </c>
      <c r="AI182" s="53" t="str">
        <f>+$D$182</f>
        <v>12.5-13.5</v>
      </c>
      <c r="AJ182" s="107">
        <f t="shared" si="825"/>
        <v>12.864537213174735</v>
      </c>
      <c r="AK182" s="770" t="str">
        <f>+$D$182</f>
        <v>12.5-13.5</v>
      </c>
      <c r="AL182" s="134">
        <v>13.06</v>
      </c>
      <c r="AM182" s="77" t="str">
        <f>+$D$182</f>
        <v>12.5-13.5</v>
      </c>
      <c r="AN182" s="114">
        <f t="shared" si="826"/>
        <v>13.166976559682402</v>
      </c>
      <c r="AO182" s="53" t="str">
        <f>+$D$182</f>
        <v>12.5-13.5</v>
      </c>
      <c r="AP182" s="107">
        <f t="shared" si="827"/>
        <v>12.886675288240957</v>
      </c>
      <c r="AQ182" s="770" t="str">
        <f>+$D$182</f>
        <v>12.5-13.5</v>
      </c>
      <c r="AR182" s="134">
        <v>13</v>
      </c>
      <c r="AS182" s="53" t="str">
        <f>+$D$182</f>
        <v>12.5-13.5</v>
      </c>
      <c r="AT182" s="107">
        <f t="shared" si="828"/>
        <v>12.898291076622121</v>
      </c>
      <c r="AU182" s="770" t="str">
        <f>+$D$182</f>
        <v>12.5-13.5</v>
      </c>
      <c r="AV182" s="134">
        <v>12.95</v>
      </c>
      <c r="AW182" s="53" t="str">
        <f>+$D$182</f>
        <v>12.5-13.5</v>
      </c>
      <c r="AX182" s="107">
        <f t="shared" si="829"/>
        <v>12.902663573525745</v>
      </c>
      <c r="AY182" s="770" t="str">
        <f>+$D$182</f>
        <v>12.5-13.5</v>
      </c>
      <c r="AZ182" s="134">
        <v>13.24</v>
      </c>
      <c r="BA182" s="77" t="str">
        <f>+$D$182</f>
        <v>12.5-13.5</v>
      </c>
      <c r="BB182" s="114">
        <f t="shared" si="830"/>
        <v>13.067211086791749</v>
      </c>
      <c r="BC182" s="667" t="str">
        <f>+$D$182</f>
        <v>12.5-13.5</v>
      </c>
      <c r="BD182" s="474">
        <f t="shared" si="831"/>
        <v>13.117128319518633</v>
      </c>
      <c r="BE182" s="53" t="str">
        <f>+$D$182</f>
        <v>12.5-13.5</v>
      </c>
      <c r="BF182" s="107">
        <f t="shared" si="832"/>
        <v>12.931609099651556</v>
      </c>
      <c r="BG182" s="1222"/>
      <c r="BH182" s="1222"/>
      <c r="BI182" s="4713"/>
      <c r="BJ182" s="4713"/>
      <c r="BK182" s="26"/>
      <c r="BL182" s="26"/>
      <c r="BM182" s="26"/>
      <c r="BN182" s="26"/>
    </row>
    <row r="183" spans="1:66" x14ac:dyDescent="0.25">
      <c r="B183" s="1904" t="s">
        <v>204</v>
      </c>
      <c r="C183" s="1395" t="s">
        <v>49</v>
      </c>
      <c r="D183" s="106" t="s">
        <v>2275</v>
      </c>
      <c r="E183" s="770" t="str">
        <f>+$D$183</f>
        <v>89.0-90.5</v>
      </c>
      <c r="F183" s="134">
        <v>89.6</v>
      </c>
      <c r="G183" s="770" t="str">
        <f>+$D$183</f>
        <v>89.0-90.5</v>
      </c>
      <c r="H183" s="134">
        <v>89.66</v>
      </c>
      <c r="I183" s="53" t="str">
        <f>+$D$183</f>
        <v>89.0-90.5</v>
      </c>
      <c r="J183" s="107">
        <f t="shared" si="818"/>
        <v>89.630550968828985</v>
      </c>
      <c r="K183" s="770" t="str">
        <f>+$D$183</f>
        <v>89.0-90.5</v>
      </c>
      <c r="L183" s="134">
        <v>90.414923076923074</v>
      </c>
      <c r="M183" s="77" t="str">
        <f>+$D$183</f>
        <v>89.0-90.5</v>
      </c>
      <c r="N183" s="114">
        <f t="shared" si="819"/>
        <v>89.886867890523519</v>
      </c>
      <c r="O183" s="770" t="str">
        <f>+$D$183</f>
        <v>89.0-90.5</v>
      </c>
      <c r="P183" s="134">
        <v>90.199344262295114</v>
      </c>
      <c r="Q183" s="53" t="str">
        <f>+$D$183</f>
        <v>89.0-90.5</v>
      </c>
      <c r="R183" s="107">
        <f t="shared" si="820"/>
        <v>89.967443885771999</v>
      </c>
      <c r="S183" s="770" t="str">
        <f>+$D$183</f>
        <v>89.0-90.5</v>
      </c>
      <c r="T183" s="134">
        <v>90.37</v>
      </c>
      <c r="U183" s="53" t="str">
        <f>+$D$183</f>
        <v>89.0-90.5</v>
      </c>
      <c r="V183" s="107">
        <f t="shared" si="821"/>
        <v>90.049857887912324</v>
      </c>
      <c r="W183" s="770" t="str">
        <f>+$D$183</f>
        <v>89.0-90.5</v>
      </c>
      <c r="X183" s="134">
        <v>89.73</v>
      </c>
      <c r="Y183" s="77" t="str">
        <f>+$D$183</f>
        <v>89.0-90.5</v>
      </c>
      <c r="Z183" s="114">
        <f t="shared" si="822"/>
        <v>90.104281742923646</v>
      </c>
      <c r="AA183" s="667" t="str">
        <f>+$D$183</f>
        <v>89.0-90.5</v>
      </c>
      <c r="AB183" s="474">
        <f t="shared" si="823"/>
        <v>89.997120452094777</v>
      </c>
      <c r="AC183" s="770" t="str">
        <f>+$D$183</f>
        <v>89.0-90.5</v>
      </c>
      <c r="AD183" s="134">
        <v>89.73</v>
      </c>
      <c r="AE183" s="53" t="str">
        <f>+$D$183</f>
        <v>89.0-90.5</v>
      </c>
      <c r="AF183" s="107">
        <f t="shared" si="824"/>
        <v>89.958412939851868</v>
      </c>
      <c r="AG183" s="770" t="str">
        <f>+$D$183</f>
        <v>89.0-90.5</v>
      </c>
      <c r="AH183" s="134">
        <v>89.42</v>
      </c>
      <c r="AI183" s="53" t="str">
        <f>+$D$183</f>
        <v>89.0-90.5</v>
      </c>
      <c r="AJ183" s="107">
        <f t="shared" si="825"/>
        <v>89.89445645372156</v>
      </c>
      <c r="AK183" s="770" t="str">
        <f>+$D$183</f>
        <v>89.0-90.5</v>
      </c>
      <c r="AL183" s="134">
        <v>89.7</v>
      </c>
      <c r="AM183" s="77" t="str">
        <f>+$D$183</f>
        <v>89.0-90.5</v>
      </c>
      <c r="AN183" s="114">
        <f t="shared" si="826"/>
        <v>89.621354765549114</v>
      </c>
      <c r="AO183" s="53" t="str">
        <f>+$D$183</f>
        <v>89.0-90.5</v>
      </c>
      <c r="AP183" s="107">
        <f t="shared" si="827"/>
        <v>89.872432355735853</v>
      </c>
      <c r="AQ183" s="770" t="str">
        <f>+$D$183</f>
        <v>89.0-90.5</v>
      </c>
      <c r="AR183" s="134">
        <v>89.69</v>
      </c>
      <c r="AS183" s="53" t="str">
        <f>+$D$183</f>
        <v>89.0-90.5</v>
      </c>
      <c r="AT183" s="107">
        <f t="shared" si="828"/>
        <v>89.853733030538265</v>
      </c>
      <c r="AU183" s="770" t="str">
        <f>+$D$183</f>
        <v>89.0-90.5</v>
      </c>
      <c r="AV183" s="134">
        <v>89.77</v>
      </c>
      <c r="AW183" s="53" t="str">
        <f>+$D$183</f>
        <v>89.0-90.5</v>
      </c>
      <c r="AX183" s="107">
        <f t="shared" si="829"/>
        <v>89.846652581114014</v>
      </c>
      <c r="AY183" s="770" t="str">
        <f>+$D$183</f>
        <v>89.0-90.5</v>
      </c>
      <c r="AZ183" s="134">
        <v>89.71</v>
      </c>
      <c r="BA183" s="77" t="str">
        <f>+$D$183</f>
        <v>89.0-90.5</v>
      </c>
      <c r="BB183" s="114">
        <f t="shared" si="830"/>
        <v>89.72174254591323</v>
      </c>
      <c r="BC183" s="667" t="str">
        <f>+$D$183</f>
        <v>89.0-90.5</v>
      </c>
      <c r="BD183" s="474">
        <f t="shared" si="831"/>
        <v>89.671513944272021</v>
      </c>
      <c r="BE183" s="53" t="str">
        <f>+$D$183</f>
        <v>89.0-90.5</v>
      </c>
      <c r="BF183" s="107">
        <f t="shared" si="832"/>
        <v>89.834926954865651</v>
      </c>
      <c r="BG183" s="1222"/>
      <c r="BH183" s="1222"/>
      <c r="BI183" s="4713"/>
      <c r="BJ183" s="4713"/>
      <c r="BK183" s="26"/>
      <c r="BL183" s="26"/>
      <c r="BM183" s="26"/>
      <c r="BN183" s="26"/>
    </row>
    <row r="184" spans="1:66" x14ac:dyDescent="0.25">
      <c r="B184" s="1904" t="s">
        <v>205</v>
      </c>
      <c r="C184" s="1395" t="s">
        <v>49</v>
      </c>
      <c r="D184" s="106" t="s">
        <v>2276</v>
      </c>
      <c r="E184" s="770" t="str">
        <f>+$D$184</f>
        <v>5.5-5.9</v>
      </c>
      <c r="F184" s="134">
        <v>5.7</v>
      </c>
      <c r="G184" s="770" t="str">
        <f>+$D$184</f>
        <v>5.5-5.9</v>
      </c>
      <c r="H184" s="134">
        <v>5.62</v>
      </c>
      <c r="I184" s="53" t="str">
        <f>+$D$184</f>
        <v>5.5-5.9</v>
      </c>
      <c r="J184" s="107">
        <f t="shared" si="818"/>
        <v>5.6592653748946926</v>
      </c>
      <c r="K184" s="770" t="str">
        <f>+$D$184</f>
        <v>5.5-5.9</v>
      </c>
      <c r="L184" s="134">
        <v>5.476461538461538</v>
      </c>
      <c r="M184" s="77" t="str">
        <f>+$D$184</f>
        <v>5.5-5.9</v>
      </c>
      <c r="N184" s="114">
        <f t="shared" si="819"/>
        <v>5.5995287828550451</v>
      </c>
      <c r="O184" s="770" t="str">
        <f>+$D$184</f>
        <v>5.5-5.9</v>
      </c>
      <c r="P184" s="134">
        <v>5.5011475409836059</v>
      </c>
      <c r="Q184" s="53" t="str">
        <f>+$D$184</f>
        <v>5.5-5.9</v>
      </c>
      <c r="R184" s="107">
        <f t="shared" si="820"/>
        <v>5.5741599319795982</v>
      </c>
      <c r="S184" s="770" t="str">
        <f>+$D$184</f>
        <v>5.5-5.9</v>
      </c>
      <c r="T184" s="134">
        <v>5.43</v>
      </c>
      <c r="U184" s="53" t="str">
        <f>+$D$184</f>
        <v>5.5-5.9</v>
      </c>
      <c r="V184" s="107">
        <f t="shared" si="821"/>
        <v>5.5446465386344306</v>
      </c>
      <c r="W184" s="770" t="str">
        <f>+$D$184</f>
        <v>5.5-5.9</v>
      </c>
      <c r="X184" s="134">
        <v>5.7</v>
      </c>
      <c r="Y184" s="77" t="str">
        <f>+$D$184</f>
        <v>5.5-5.9</v>
      </c>
      <c r="Z184" s="114">
        <f t="shared" si="822"/>
        <v>5.5418135565367797</v>
      </c>
      <c r="AA184" s="667" t="str">
        <f>+$D$184</f>
        <v>5.5-5.9</v>
      </c>
      <c r="AB184" s="474">
        <f t="shared" si="823"/>
        <v>5.5702608614553411</v>
      </c>
      <c r="AC184" s="770" t="str">
        <f>+$D$184</f>
        <v>5.5-5.9</v>
      </c>
      <c r="AD184" s="134">
        <v>5.72</v>
      </c>
      <c r="AE184" s="53" t="str">
        <f>+$D$184</f>
        <v>5.5-5.9</v>
      </c>
      <c r="AF184" s="107">
        <f t="shared" si="824"/>
        <v>5.5919590485204145</v>
      </c>
      <c r="AG184" s="770" t="str">
        <f>+$D$184</f>
        <v>5.5-5.9</v>
      </c>
      <c r="AH184" s="134">
        <v>5.82</v>
      </c>
      <c r="AI184" s="53" t="str">
        <f>+$D$184</f>
        <v>5.5-5.9</v>
      </c>
      <c r="AJ184" s="107">
        <f t="shared" si="825"/>
        <v>5.6190473609864204</v>
      </c>
      <c r="AK184" s="770" t="str">
        <f>+$D$184</f>
        <v>5.5-5.9</v>
      </c>
      <c r="AL184" s="134">
        <v>5.69</v>
      </c>
      <c r="AM184" s="77" t="str">
        <f>+$D$184</f>
        <v>5.5-5.9</v>
      </c>
      <c r="AN184" s="114">
        <f t="shared" si="826"/>
        <v>5.7415039610434278</v>
      </c>
      <c r="AO184" s="53" t="str">
        <f>+$D$184</f>
        <v>5.5-5.9</v>
      </c>
      <c r="AP184" s="107">
        <f t="shared" si="827"/>
        <v>5.6270834422996039</v>
      </c>
      <c r="AQ184" s="770" t="str">
        <f>+$D$184</f>
        <v>5.5-5.9</v>
      </c>
      <c r="AR184" s="134">
        <v>5.65</v>
      </c>
      <c r="AS184" s="53" t="str">
        <f>+$D$184</f>
        <v>5.5-5.9</v>
      </c>
      <c r="AT184" s="107">
        <f t="shared" si="828"/>
        <v>5.6294323905611137</v>
      </c>
      <c r="AU184" s="770" t="str">
        <f>+$D$184</f>
        <v>5.5-5.9</v>
      </c>
      <c r="AV184" s="134">
        <v>5.6</v>
      </c>
      <c r="AW184" s="53" t="str">
        <f>+$D$184</f>
        <v>5.5-5.9</v>
      </c>
      <c r="AX184" s="107">
        <f t="shared" si="829"/>
        <v>5.626943593112089</v>
      </c>
      <c r="AY184" s="770" t="str">
        <f>+$D$184</f>
        <v>5.5-5.9</v>
      </c>
      <c r="AZ184" s="134">
        <v>5.64</v>
      </c>
      <c r="BA184" s="77" t="str">
        <f>+$D$184</f>
        <v>5.5-5.9</v>
      </c>
      <c r="BB184" s="114">
        <f t="shared" si="830"/>
        <v>5.6310227917546083</v>
      </c>
      <c r="BC184" s="667" t="str">
        <f>+$D$184</f>
        <v>5.5-5.9</v>
      </c>
      <c r="BD184" s="474">
        <f t="shared" si="831"/>
        <v>5.6863015778870905</v>
      </c>
      <c r="BE184" s="53" t="str">
        <f>+$D$184</f>
        <v>5.5-5.9</v>
      </c>
      <c r="BF184" s="107">
        <f t="shared" si="832"/>
        <v>5.6280639125825749</v>
      </c>
      <c r="BG184" s="1222"/>
      <c r="BH184" s="1222"/>
      <c r="BI184" s="4713"/>
      <c r="BJ184" s="4713"/>
      <c r="BK184" s="26"/>
      <c r="BL184" s="26"/>
      <c r="BM184" s="26"/>
      <c r="BN184" s="26"/>
    </row>
    <row r="185" spans="1:66" x14ac:dyDescent="0.25">
      <c r="A185" s="148"/>
      <c r="B185" s="1904" t="s">
        <v>206</v>
      </c>
      <c r="C185" s="1395" t="s">
        <v>49</v>
      </c>
      <c r="D185" s="106" t="s">
        <v>2277</v>
      </c>
      <c r="E185" s="770" t="str">
        <f>+$D$185</f>
        <v>67.0-68.4</v>
      </c>
      <c r="F185" s="134">
        <v>67.97</v>
      </c>
      <c r="G185" s="770" t="str">
        <f>+$D$185</f>
        <v>67.0-68.4</v>
      </c>
      <c r="H185" s="134">
        <v>68.13</v>
      </c>
      <c r="I185" s="53" t="str">
        <f>+$D$185</f>
        <v>67.0-68.4</v>
      </c>
      <c r="J185" s="107">
        <f t="shared" si="818"/>
        <v>68.051469250210616</v>
      </c>
      <c r="K185" s="770" t="str">
        <f>+$D$185</f>
        <v>67.0-68.4</v>
      </c>
      <c r="L185" s="134">
        <v>68.341000000000008</v>
      </c>
      <c r="M185" s="77" t="str">
        <f>+$D$185</f>
        <v>67.0-68.4</v>
      </c>
      <c r="N185" s="114">
        <f t="shared" si="819"/>
        <v>68.146082036356532</v>
      </c>
      <c r="O185" s="770" t="str">
        <f>+$D$185</f>
        <v>67.0-68.4</v>
      </c>
      <c r="P185" s="134">
        <v>68.219090909090895</v>
      </c>
      <c r="Q185" s="53" t="str">
        <f>+$D$185</f>
        <v>67.0-68.4</v>
      </c>
      <c r="R185" s="107">
        <f t="shared" si="820"/>
        <v>68.164908300080697</v>
      </c>
      <c r="S185" s="770" t="str">
        <f>+$D$185</f>
        <v>67.0-68.4</v>
      </c>
      <c r="T185" s="134">
        <v>68.42</v>
      </c>
      <c r="U185" s="53" t="str">
        <f>+$D$185</f>
        <v>67.0-68.4</v>
      </c>
      <c r="V185" s="107">
        <f t="shared" si="821"/>
        <v>68.217132392971308</v>
      </c>
      <c r="W185" s="770" t="str">
        <f>+$D$185</f>
        <v>67.0-68.4</v>
      </c>
      <c r="X185" s="134">
        <v>67.64</v>
      </c>
      <c r="Y185" s="77" t="str">
        <f>+$D$185</f>
        <v>67.0-68.4</v>
      </c>
      <c r="Z185" s="114">
        <f t="shared" si="822"/>
        <v>68.098546099479975</v>
      </c>
      <c r="AA185" s="667" t="str">
        <f>+$D$185</f>
        <v>67.0-68.4</v>
      </c>
      <c r="AB185" s="474">
        <f t="shared" si="823"/>
        <v>68.121976126132907</v>
      </c>
      <c r="AC185" s="770" t="str">
        <f>+$D$185</f>
        <v>67.0-68.4</v>
      </c>
      <c r="AD185" s="134">
        <v>67.5</v>
      </c>
      <c r="AE185" s="53" t="str">
        <f>+$D$185</f>
        <v>67.0-68.4</v>
      </c>
      <c r="AF185" s="107">
        <f t="shared" si="824"/>
        <v>68.03184769033443</v>
      </c>
      <c r="AG185" s="770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825"/>
        <v>67.908089674089311</v>
      </c>
      <c r="AK185" s="770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826"/>
        <v>67.420025059685145</v>
      </c>
      <c r="AO185" s="53" t="str">
        <f>+$D$185</f>
        <v>67.0-68.4</v>
      </c>
      <c r="AP185" s="107">
        <f t="shared" si="827"/>
        <v>67.889051872146098</v>
      </c>
      <c r="AQ185" s="770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828"/>
        <v>67.881974051944994</v>
      </c>
      <c r="AU185" s="770" t="str">
        <f>+$D$185</f>
        <v>67.0-68.4</v>
      </c>
      <c r="AV185" s="134">
        <v>67.97</v>
      </c>
      <c r="AW185" s="53" t="str">
        <f>+$D$185</f>
        <v>67.0-68.4</v>
      </c>
      <c r="AX185" s="107">
        <f t="shared" si="829"/>
        <v>67.889417509672697</v>
      </c>
      <c r="AY185" s="770" t="str">
        <f>+$D$185</f>
        <v>67.0-68.4</v>
      </c>
      <c r="AZ185" s="134">
        <v>67.73</v>
      </c>
      <c r="BA185" s="77" t="str">
        <f>+$D$185</f>
        <v>67.0-68.4</v>
      </c>
      <c r="BB185" s="114">
        <f t="shared" si="830"/>
        <v>67.835561243118335</v>
      </c>
      <c r="BC185" s="667" t="str">
        <f>+$D$185</f>
        <v>67.0-68.4</v>
      </c>
      <c r="BD185" s="474">
        <f t="shared" si="831"/>
        <v>67.627649469897833</v>
      </c>
      <c r="BE185" s="53" t="str">
        <f>+$D$185</f>
        <v>67.0-68.4</v>
      </c>
      <c r="BF185" s="107">
        <f t="shared" si="832"/>
        <v>67.875738513486695</v>
      </c>
      <c r="BG185" s="1222"/>
      <c r="BH185" s="1222"/>
      <c r="BI185" s="4713"/>
      <c r="BJ185" s="4713"/>
      <c r="BK185" s="26"/>
      <c r="BL185" s="26"/>
      <c r="BM185" s="26"/>
      <c r="BN185" s="26"/>
    </row>
    <row r="186" spans="1:66" x14ac:dyDescent="0.25">
      <c r="B186" s="1904" t="s">
        <v>207</v>
      </c>
      <c r="C186" s="1395" t="s">
        <v>49</v>
      </c>
      <c r="D186" s="106" t="s">
        <v>2278</v>
      </c>
      <c r="E186" s="770" t="str">
        <f>+$D$186</f>
        <v>21.0-22.5</v>
      </c>
      <c r="F186" s="134">
        <v>21.56</v>
      </c>
      <c r="G186" s="770" t="str">
        <f>+$D$186</f>
        <v>21.0-22.5</v>
      </c>
      <c r="H186" s="134">
        <v>22.14</v>
      </c>
      <c r="I186" s="53" t="str">
        <f>+$D$186</f>
        <v>21.0-22.5</v>
      </c>
      <c r="J186" s="107">
        <f t="shared" si="818"/>
        <v>21.85532603201348</v>
      </c>
      <c r="K186" s="770" t="str">
        <f>+$D$186</f>
        <v>21.0-22.5</v>
      </c>
      <c r="L186" s="134">
        <v>20.452999999999996</v>
      </c>
      <c r="M186" s="77" t="str">
        <f>+$D$186</f>
        <v>21.0-22.5</v>
      </c>
      <c r="N186" s="114">
        <f t="shared" si="819"/>
        <v>21.397074281309116</v>
      </c>
      <c r="O186" s="770" t="str">
        <f>+$D$186</f>
        <v>21.0-22.5</v>
      </c>
      <c r="P186" s="134">
        <v>20.570909090909087</v>
      </c>
      <c r="Q186" s="53" t="str">
        <f>+$D$186</f>
        <v>21.0-22.5</v>
      </c>
      <c r="R186" s="107">
        <f t="shared" si="820"/>
        <v>21.18403710963841</v>
      </c>
      <c r="S186" s="770" t="str">
        <f>+$D$186</f>
        <v>21.0-22.5</v>
      </c>
      <c r="T186" s="134">
        <v>20.53</v>
      </c>
      <c r="U186" s="53" t="str">
        <f>+$D$186</f>
        <v>21.0-22.5</v>
      </c>
      <c r="V186" s="107">
        <f t="shared" si="821"/>
        <v>21.050138222381534</v>
      </c>
      <c r="W186" s="770" t="str">
        <f>+$D$186</f>
        <v>21.0-22.5</v>
      </c>
      <c r="X186" s="134">
        <v>21.17</v>
      </c>
      <c r="Y186" s="77" t="str">
        <f>+$D$186</f>
        <v>21.0-22.5</v>
      </c>
      <c r="Z186" s="114">
        <f t="shared" si="822"/>
        <v>20.751900553286546</v>
      </c>
      <c r="AA186" s="667" t="str">
        <f>+$D$186</f>
        <v>21.0-22.5</v>
      </c>
      <c r="AB186" s="474">
        <f t="shared" si="823"/>
        <v>21.069900757691787</v>
      </c>
      <c r="AC186" s="770" t="str">
        <f>+$D$186</f>
        <v>21.0-22.5</v>
      </c>
      <c r="AD186" s="134">
        <v>21.54</v>
      </c>
      <c r="AE186" s="53" t="str">
        <f>+$D$186</f>
        <v>21.0-22.5</v>
      </c>
      <c r="AF186" s="107">
        <f t="shared" si="824"/>
        <v>21.138021233059092</v>
      </c>
      <c r="AG186" s="770" t="str">
        <f>+$D$186</f>
        <v>21.0-22.5</v>
      </c>
      <c r="AH186" s="134">
        <v>21.62</v>
      </c>
      <c r="AI186" s="53" t="str">
        <f>+$D$186</f>
        <v>21.0-22.5</v>
      </c>
      <c r="AJ186" s="107">
        <f t="shared" si="825"/>
        <v>21.195274070131401</v>
      </c>
      <c r="AK186" s="770" t="str">
        <f>+$D$186</f>
        <v>21.0-22.5</v>
      </c>
      <c r="AL186" s="134">
        <v>20.92</v>
      </c>
      <c r="AM186" s="77" t="str">
        <f>+$D$186</f>
        <v>21.0-22.5</v>
      </c>
      <c r="AN186" s="114">
        <f t="shared" si="826"/>
        <v>21.353773564697384</v>
      </c>
      <c r="AO186" s="53" t="str">
        <f>+$D$186</f>
        <v>21.0-22.5</v>
      </c>
      <c r="AP186" s="107">
        <f t="shared" si="827"/>
        <v>21.164096585519964</v>
      </c>
      <c r="AQ186" s="770" t="str">
        <f>+$D$186</f>
        <v>21.0-22.5</v>
      </c>
      <c r="AR186" s="134">
        <v>20.71</v>
      </c>
      <c r="AS186" s="53" t="str">
        <f>+$D$186</f>
        <v>21.0-22.5</v>
      </c>
      <c r="AT186" s="107">
        <f t="shared" si="828"/>
        <v>21.117551663762509</v>
      </c>
      <c r="AU186" s="770" t="str">
        <f>+$D$186</f>
        <v>21.0-22.5</v>
      </c>
      <c r="AV186" s="134">
        <v>20.6</v>
      </c>
      <c r="AW186" s="53" t="str">
        <f>+$D$186</f>
        <v>21.0-22.5</v>
      </c>
      <c r="AX186" s="107">
        <f t="shared" si="829"/>
        <v>21.073787591733225</v>
      </c>
      <c r="AY186" s="770" t="str">
        <f>+$D$186</f>
        <v>21.0-22.5</v>
      </c>
      <c r="AZ186" s="134">
        <v>21.57</v>
      </c>
      <c r="BA186" s="77" t="str">
        <f>+$D$186</f>
        <v>21.0-22.5</v>
      </c>
      <c r="BB186" s="114">
        <f t="shared" si="830"/>
        <v>20.972322446751168</v>
      </c>
      <c r="BC186" s="667" t="str">
        <f>+$D$186</f>
        <v>21.0-22.5</v>
      </c>
      <c r="BD186" s="474">
        <f t="shared" si="831"/>
        <v>21.163179901507291</v>
      </c>
      <c r="BE186" s="53" t="str">
        <f>+$D$186</f>
        <v>21.0-22.5</v>
      </c>
      <c r="BF186" s="107">
        <f t="shared" si="832"/>
        <v>21.11636564764482</v>
      </c>
      <c r="BG186" s="1222"/>
      <c r="BH186" s="1222"/>
      <c r="BI186" s="4713"/>
      <c r="BJ186" s="4713"/>
      <c r="BK186" s="26"/>
      <c r="BL186" s="26"/>
      <c r="BM186" s="26"/>
      <c r="BN186" s="26"/>
    </row>
    <row r="187" spans="1:66" x14ac:dyDescent="0.25">
      <c r="B187" s="1955" t="s">
        <v>5</v>
      </c>
      <c r="C187" s="1401"/>
      <c r="D187" s="1384"/>
      <c r="E187" s="1385"/>
      <c r="F187" s="1386"/>
      <c r="G187" s="1385"/>
      <c r="H187" s="1386"/>
      <c r="I187" s="1387"/>
      <c r="J187" s="1384"/>
      <c r="K187" s="1385"/>
      <c r="L187" s="1386"/>
      <c r="M187" s="1385"/>
      <c r="N187" s="1386"/>
      <c r="O187" s="1385"/>
      <c r="P187" s="1386"/>
      <c r="Q187" s="1387"/>
      <c r="R187" s="1384"/>
      <c r="S187" s="1385"/>
      <c r="T187" s="1386"/>
      <c r="U187" s="1387"/>
      <c r="V187" s="1384"/>
      <c r="W187" s="1385"/>
      <c r="X187" s="1386"/>
      <c r="Y187" s="1384"/>
      <c r="Z187" s="1384"/>
      <c r="AA187" s="2537"/>
      <c r="AB187" s="1386"/>
      <c r="AC187" s="1385"/>
      <c r="AD187" s="1386"/>
      <c r="AE187" s="1387"/>
      <c r="AF187" s="1386"/>
      <c r="AG187" s="1385"/>
      <c r="AH187" s="1386"/>
      <c r="AI187" s="1387"/>
      <c r="AJ187" s="1386"/>
      <c r="AK187" s="1385"/>
      <c r="AL187" s="1386"/>
      <c r="AM187" s="1384"/>
      <c r="AN187" s="1384"/>
      <c r="AO187" s="1387"/>
      <c r="AP187" s="1386"/>
      <c r="AQ187" s="1385"/>
      <c r="AR187" s="1386"/>
      <c r="AS187" s="1387"/>
      <c r="AT187" s="1386"/>
      <c r="AU187" s="1385"/>
      <c r="AV187" s="1386"/>
      <c r="AW187" s="1387"/>
      <c r="AX187" s="1386"/>
      <c r="AY187" s="1385"/>
      <c r="AZ187" s="1386"/>
      <c r="BA187" s="1384"/>
      <c r="BB187" s="1384"/>
      <c r="BC187" s="2537"/>
      <c r="BD187" s="1386"/>
      <c r="BE187" s="1387"/>
      <c r="BF187" s="1386"/>
      <c r="BG187" s="1222"/>
      <c r="BH187" s="1222"/>
      <c r="BI187" s="4713"/>
      <c r="BJ187" s="4713"/>
      <c r="BK187" s="26"/>
      <c r="BL187" s="26"/>
      <c r="BM187" s="26"/>
      <c r="BN187" s="26"/>
    </row>
    <row r="188" spans="1:66" x14ac:dyDescent="0.25">
      <c r="B188" s="1921" t="s">
        <v>215</v>
      </c>
      <c r="C188" s="1395" t="s">
        <v>210</v>
      </c>
      <c r="D188" s="3322">
        <f>+(D189*D18)/1000000</f>
        <v>382.25664499999999</v>
      </c>
      <c r="E188" s="964">
        <f>+(E189*E18)/1000000</f>
        <v>31.537379999999999</v>
      </c>
      <c r="F188" s="410">
        <v>31.262</v>
      </c>
      <c r="G188" s="964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4">
        <f>+(K189*K18)/1000000</f>
        <v>30.8959054</v>
      </c>
      <c r="L188" s="410">
        <v>30.187999999999999</v>
      </c>
      <c r="M188" s="241">
        <f>+(M189*M18)/1000000</f>
        <v>95.021911400000008</v>
      </c>
      <c r="N188" s="123">
        <f>+L188+H188+F188</f>
        <v>93.696775915850594</v>
      </c>
      <c r="O188" s="964">
        <f>+(O189*O18)/1000000</f>
        <v>31.279931999999995</v>
      </c>
      <c r="P188" s="410">
        <v>32.396000000000001</v>
      </c>
      <c r="Q188" s="54">
        <f>+(Q189*Q18)/1000000</f>
        <v>126.30184340000001</v>
      </c>
      <c r="R188" s="127">
        <f>+N188+P188</f>
        <v>126.09277591585059</v>
      </c>
      <c r="S188" s="964">
        <f>+(S189*S18)/1000000</f>
        <v>32.921163000000007</v>
      </c>
      <c r="T188" s="410">
        <v>32.851200000000013</v>
      </c>
      <c r="U188" s="54">
        <f>+(U189*U18)/1000000</f>
        <v>159.2230064</v>
      </c>
      <c r="V188" s="127">
        <f>+R188+T188</f>
        <v>158.94397591585061</v>
      </c>
      <c r="W188" s="964">
        <f>+(W189*W18)/1000000</f>
        <v>31.859190000000005</v>
      </c>
      <c r="X188" s="410">
        <v>31.967860000000002</v>
      </c>
      <c r="Y188" s="241">
        <f>+(Y189*Y18)/1000000</f>
        <v>96.060284999999993</v>
      </c>
      <c r="Z188" s="241">
        <f>+P188+T188+X188</f>
        <v>97.215060000000022</v>
      </c>
      <c r="AA188" s="462">
        <f>+(AA189*AA18)/1000000</f>
        <v>191.08219639999999</v>
      </c>
      <c r="AB188" s="480">
        <f>+N188+Z188</f>
        <v>190.91183591585062</v>
      </c>
      <c r="AC188" s="964">
        <f>+(AC189*AC18)/1000000</f>
        <v>32.921163000000007</v>
      </c>
      <c r="AD188" s="410">
        <v>32.933039999999998</v>
      </c>
      <c r="AE188" s="54">
        <f>+(AE189*AE18)/1000000</f>
        <v>224.00335939999997</v>
      </c>
      <c r="AF188" s="127">
        <f>+AB188+AD188</f>
        <v>223.84487591585062</v>
      </c>
      <c r="AG188" s="964">
        <f>+(AG189*AG18)/1000000</f>
        <v>31.859190000000005</v>
      </c>
      <c r="AH188" s="410">
        <v>29.1062381653553</v>
      </c>
      <c r="AI188" s="54">
        <f>+(AI189*AI18)/1000000</f>
        <v>255.86254939999998</v>
      </c>
      <c r="AJ188" s="127">
        <f>+AF188+AH188</f>
        <v>252.95111408120593</v>
      </c>
      <c r="AK188" s="964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288.78371239999996</v>
      </c>
      <c r="AP188" s="127">
        <f>+AL188+AJ188</f>
        <v>285.90187781862704</v>
      </c>
      <c r="AQ188" s="964">
        <f>+(AQ189*AQ18)/1000000</f>
        <v>32.921163000000007</v>
      </c>
      <c r="AR188" s="410">
        <v>32.887</v>
      </c>
      <c r="AS188" s="54">
        <f>+(AS189*AS18)/1000000</f>
        <v>321.70487539999993</v>
      </c>
      <c r="AT188" s="127">
        <f>+AP188+AR188</f>
        <v>318.78887781862704</v>
      </c>
      <c r="AU188" s="964">
        <f>+(AU189*AU18)/1000000</f>
        <v>29.735244000000005</v>
      </c>
      <c r="AV188" s="410">
        <v>29.467410000000001</v>
      </c>
      <c r="AW188" s="54">
        <f>+(AW189*AW18)/1000000</f>
        <v>351.4401193999999</v>
      </c>
      <c r="AX188" s="127">
        <f>+AT188+AV188</f>
        <v>348.25628781862702</v>
      </c>
      <c r="AY188" s="964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384.36128239999999</v>
      </c>
      <c r="BF188" s="127">
        <f>+AX188+AZ188</f>
        <v>381.10708781862701</v>
      </c>
      <c r="BG188" s="1222"/>
      <c r="BH188" s="1222"/>
      <c r="BI188" s="4713"/>
      <c r="BJ188" s="4713"/>
      <c r="BK188" s="26"/>
      <c r="BL188" s="26"/>
      <c r="BM188" s="26"/>
      <c r="BN188" s="26"/>
    </row>
    <row r="189" spans="1:66" x14ac:dyDescent="0.25">
      <c r="B189" s="1922" t="s">
        <v>216</v>
      </c>
      <c r="C189" s="1395" t="s">
        <v>211</v>
      </c>
      <c r="D189" s="3318">
        <v>340</v>
      </c>
      <c r="E189" s="3316">
        <f>+$D$189</f>
        <v>340</v>
      </c>
      <c r="F189" s="496">
        <f>+(F188*1000000)/F18</f>
        <v>340.15504027793867</v>
      </c>
      <c r="G189" s="7174">
        <f>+$D$189</f>
        <v>340</v>
      </c>
      <c r="H189" s="496">
        <f>+(H188*1000000)/H18</f>
        <v>338.21469724765979</v>
      </c>
      <c r="I189" s="2589">
        <f>+$D$189</f>
        <v>340</v>
      </c>
      <c r="J189" s="89">
        <f>+(J188*1000000)/J18</f>
        <v>339.16705095401238</v>
      </c>
      <c r="K189" s="4582">
        <f>+$D$189</f>
        <v>340</v>
      </c>
      <c r="L189" s="496">
        <f>+(L188*1000000)/L18</f>
        <v>329.82779313761961</v>
      </c>
      <c r="M189" s="2591">
        <f>+$D$189</f>
        <v>340</v>
      </c>
      <c r="N189" s="125">
        <f>+(N188*1000000)/N18</f>
        <v>336.10082337078973</v>
      </c>
      <c r="O189" s="4766">
        <f>+$D$189</f>
        <v>340</v>
      </c>
      <c r="P189" s="496">
        <f>+(P188*1000000)/P18</f>
        <v>335.2316617798549</v>
      </c>
      <c r="Q189" s="2589">
        <f>+$D$189</f>
        <v>340</v>
      </c>
      <c r="R189" s="89">
        <f>+(R188*1000000)/R18</f>
        <v>335.87708675821443</v>
      </c>
      <c r="S189" s="4877">
        <f>+$D$189</f>
        <v>340</v>
      </c>
      <c r="T189" s="496">
        <f>+(T188*1000000)/T18</f>
        <v>340.49786535848415</v>
      </c>
      <c r="U189" s="4875">
        <f>+$D$189</f>
        <v>340</v>
      </c>
      <c r="V189" s="89">
        <f>+(V188*1000000)/V18</f>
        <v>336.82181771760634</v>
      </c>
      <c r="W189" s="5095">
        <f>+$D$189</f>
        <v>340</v>
      </c>
      <c r="X189" s="496">
        <f>+(X188*1000000)/X18</f>
        <v>343.58914005069812</v>
      </c>
      <c r="Y189" s="2591">
        <f>+$D$189</f>
        <v>340</v>
      </c>
      <c r="Z189" s="125">
        <f>+(Z188*1000000)/Z18</f>
        <v>339.72452329740349</v>
      </c>
      <c r="AA189" s="640">
        <f>+$D$189</f>
        <v>340</v>
      </c>
      <c r="AB189" s="484">
        <f>+(AB188*1000000)/AB18</f>
        <v>337.93635103382923</v>
      </c>
      <c r="AC189" s="5329">
        <f>+$D$189</f>
        <v>340</v>
      </c>
      <c r="AD189" s="496">
        <f>+(AD188*1000000)/AD18</f>
        <v>344.1597263696799</v>
      </c>
      <c r="AE189" s="2614">
        <f>+$D$189</f>
        <v>340</v>
      </c>
      <c r="AF189" s="89">
        <f>+(AF188*1000000)/AF18</f>
        <v>338.8378027456414</v>
      </c>
      <c r="AG189" s="5504">
        <f>+$D$189</f>
        <v>340</v>
      </c>
      <c r="AH189" s="496">
        <f>+(AH188*1000000)/AH18</f>
        <v>327.14298103151918</v>
      </c>
      <c r="AI189" s="2663">
        <f>+$D$189</f>
        <v>340</v>
      </c>
      <c r="AJ189" s="89">
        <f>+(AJ188*1000000)/AJ18</f>
        <v>337.44972255565767</v>
      </c>
      <c r="AK189" s="5926">
        <f>+$D$189</f>
        <v>340</v>
      </c>
      <c r="AL189" s="496">
        <f>+(AL188*1000000)/AL18</f>
        <v>342.08916368063933</v>
      </c>
      <c r="AM189" s="2724">
        <f>+$D$189</f>
        <v>340</v>
      </c>
      <c r="AN189" s="125">
        <f>+(AN188*1000000)/AN18</f>
        <v>338.06174189368011</v>
      </c>
      <c r="AO189" s="2722">
        <f>+$D$189</f>
        <v>340</v>
      </c>
      <c r="AP189" s="89">
        <f>+(AP188*1000000)/AP18</f>
        <v>337.97800145147187</v>
      </c>
      <c r="AQ189" s="6083">
        <f>+$D$189</f>
        <v>340</v>
      </c>
      <c r="AR189" s="496">
        <f>+(AR188*1000000)/AR18</f>
        <v>341.42717952205174</v>
      </c>
      <c r="AS189" s="2791">
        <f>+$D$189</f>
        <v>340</v>
      </c>
      <c r="AT189" s="89">
        <f>+(AT188*1000000)/AT18</f>
        <v>338.33059949766238</v>
      </c>
      <c r="AU189" s="6205">
        <f>+$D$189</f>
        <v>340</v>
      </c>
      <c r="AV189" s="496">
        <f>+(AV188*1000000)/AV18</f>
        <v>339.01662731066693</v>
      </c>
      <c r="AW189" s="6207">
        <f>+$D$189</f>
        <v>340</v>
      </c>
      <c r="AX189" s="89">
        <f>+(AX188*1000000)/AX18</f>
        <v>338.3885396149164</v>
      </c>
      <c r="AY189" s="6414">
        <f>+$D$189</f>
        <v>340</v>
      </c>
      <c r="AZ189" s="496">
        <f>+(AZ188*1000000)/AZ18</f>
        <v>340.49371941720506</v>
      </c>
      <c r="BA189" s="3033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3032">
        <f>+$D$189</f>
        <v>340</v>
      </c>
      <c r="BF189" s="89">
        <f>+(BF188*1000000)/BF18</f>
        <v>338.568976854543</v>
      </c>
      <c r="BG189" s="1222"/>
      <c r="BH189" s="1222"/>
      <c r="BI189" s="4713"/>
      <c r="BJ189" s="4713"/>
      <c r="BK189" s="26"/>
      <c r="BL189" s="26"/>
      <c r="BM189" s="26"/>
      <c r="BN189" s="26"/>
    </row>
    <row r="190" spans="1:66" x14ac:dyDescent="0.25">
      <c r="B190" s="1921" t="s">
        <v>217</v>
      </c>
      <c r="C190" s="1395" t="s">
        <v>212</v>
      </c>
      <c r="D190" s="3318">
        <v>4225</v>
      </c>
      <c r="E190" s="3316">
        <f>+$D$190</f>
        <v>4225</v>
      </c>
      <c r="F190" s="181">
        <v>4263.8599999999997</v>
      </c>
      <c r="G190" s="7174">
        <f>+$D$190</f>
        <v>4225</v>
      </c>
      <c r="H190" s="181">
        <v>4266.08</v>
      </c>
      <c r="I190" s="2589">
        <f>+$D$190</f>
        <v>4225</v>
      </c>
      <c r="J190" s="39">
        <f>+((F190*F188)+(H188*H190))/J188</f>
        <v>4264.9872118144431</v>
      </c>
      <c r="K190" s="4582">
        <f>+$D$190</f>
        <v>4225</v>
      </c>
      <c r="L190" s="181">
        <v>4265.93</v>
      </c>
      <c r="M190" s="2591">
        <f>+$D$190</f>
        <v>4225</v>
      </c>
      <c r="N190" s="69">
        <f>+((J190*J188)+(L188*L190))/N188</f>
        <v>4265.2909670874233</v>
      </c>
      <c r="O190" s="4766">
        <f>+$D$190</f>
        <v>4225</v>
      </c>
      <c r="P190" s="181">
        <v>4263.71</v>
      </c>
      <c r="Q190" s="2589">
        <f>+$D$190</f>
        <v>4225</v>
      </c>
      <c r="R190" s="39">
        <f>+((N190*N188)+(P188*P190))/R188</f>
        <v>4264.8847819638731</v>
      </c>
      <c r="S190" s="4877">
        <f>+$D$190</f>
        <v>4225</v>
      </c>
      <c r="T190" s="181">
        <v>4261.67</v>
      </c>
      <c r="U190" s="5011">
        <f>+$D$165</f>
        <v>4225</v>
      </c>
      <c r="V190" s="39">
        <f>+((R190*R188)+(T188*T190))/V188</f>
        <v>4264.220337497557</v>
      </c>
      <c r="W190" s="5038">
        <f>+$D$190</f>
        <v>4225</v>
      </c>
      <c r="X190" s="181">
        <v>4265.54</v>
      </c>
      <c r="Y190" s="2591">
        <f>+$D$190</f>
        <v>4225</v>
      </c>
      <c r="Z190" s="69">
        <f>+((P190*P188)+(T190*T188)+(X188*X190))/Z188</f>
        <v>4263.6224079725916</v>
      </c>
      <c r="AA190" s="640">
        <f>+$D$190</f>
        <v>4225</v>
      </c>
      <c r="AB190" s="454">
        <f>+((N190*N188)+(Z188*Z190))/AB188</f>
        <v>4264.4413127237549</v>
      </c>
      <c r="AC190" s="5329">
        <f>+$D$190</f>
        <v>4225</v>
      </c>
      <c r="AD190" s="181">
        <v>4262.01</v>
      </c>
      <c r="AE190" s="2614">
        <f>+$D$190</f>
        <v>4225</v>
      </c>
      <c r="AF190" s="39">
        <f>+((AB190*AB188)+(AD188*AD190))/AF188</f>
        <v>4264.0836073313203</v>
      </c>
      <c r="AG190" s="5504">
        <f>+$D$190</f>
        <v>4225</v>
      </c>
      <c r="AH190" s="181">
        <v>4252.9399999999996</v>
      </c>
      <c r="AI190" s="2663">
        <f>+$D$190</f>
        <v>4225</v>
      </c>
      <c r="AJ190" s="39">
        <f>+((AF190*AF188)+(AH188*AH190))/AJ188</f>
        <v>4262.8013497291558</v>
      </c>
      <c r="AK190" s="5926">
        <f>+$D$190</f>
        <v>4225</v>
      </c>
      <c r="AL190" s="181">
        <v>4263.49</v>
      </c>
      <c r="AM190" s="2724">
        <f>+$D$190</f>
        <v>4225</v>
      </c>
      <c r="AN190" s="69">
        <f>+((AD190*AD188)+(AH190*AH188)+(AL188*AL190))/AN188</f>
        <v>4259.7442209191913</v>
      </c>
      <c r="AO190" s="2722">
        <f>+$D$190</f>
        <v>4225</v>
      </c>
      <c r="AP190" s="39">
        <f>+((AL190*AL188)+(AJ188*AJ190))/AP188</f>
        <v>4262.8807180514123</v>
      </c>
      <c r="AQ190" s="6083">
        <f>+$D$190</f>
        <v>4225</v>
      </c>
      <c r="AR190" s="181">
        <v>4263.76</v>
      </c>
      <c r="AS190" s="2791">
        <f>+$D$190</f>
        <v>4225</v>
      </c>
      <c r="AT190" s="39">
        <f>+((AP190*AP188)+(AR188*AR190))/AT188</f>
        <v>4262.9714268165399</v>
      </c>
      <c r="AU190" s="6205">
        <f>+$D$190</f>
        <v>4225</v>
      </c>
      <c r="AV190" s="181">
        <v>4263.4399999999996</v>
      </c>
      <c r="AW190" s="6207">
        <f>+$D$190</f>
        <v>4225</v>
      </c>
      <c r="AX190" s="39">
        <f>+((AT190*AT188)+(AV188*AV190))/AX188</f>
        <v>4263.0110747384733</v>
      </c>
      <c r="AY190" s="6414">
        <f>+$D$190</f>
        <v>4225</v>
      </c>
      <c r="AZ190" s="181">
        <v>4264.7299999999996</v>
      </c>
      <c r="BA190" s="3033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3032">
        <f>+$D$190</f>
        <v>4225</v>
      </c>
      <c r="BF190" s="39">
        <f>+((AX190*AX188)+(AZ190*AZ188))/BF188</f>
        <v>4263.1592432501229</v>
      </c>
      <c r="BG190" s="1222"/>
      <c r="BH190" s="1222"/>
      <c r="BI190" s="4713"/>
      <c r="BJ190" s="4713"/>
      <c r="BK190" s="26"/>
      <c r="BL190" s="26"/>
      <c r="BM190" s="26"/>
      <c r="BN190" s="26"/>
    </row>
    <row r="191" spans="1:66" x14ac:dyDescent="0.25">
      <c r="A191" s="147">
        <v>30.467097599999999</v>
      </c>
      <c r="B191" s="1921" t="s">
        <v>574</v>
      </c>
      <c r="C191" s="1395" t="s">
        <v>301</v>
      </c>
      <c r="D191" s="396">
        <v>3.6664755917159737</v>
      </c>
      <c r="E191" s="775">
        <f>+(EMD!D23)/(24*E2)</f>
        <v>3.0229881656804674</v>
      </c>
      <c r="F191" s="134">
        <f>+(EMD!E23)/(24*F2)</f>
        <v>4.9151270360072674</v>
      </c>
      <c r="G191" s="775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5">
        <f>+(EMD!J23)/(24*K2)</f>
        <v>10.118761836928668</v>
      </c>
      <c r="L191" s="134">
        <f>+(EMD!K23)/(24*L2)</f>
        <v>5.5061388888888887</v>
      </c>
      <c r="M191" s="77">
        <f>+(EMD!L23)/(24*M2)</f>
        <v>5.3622542111469071</v>
      </c>
      <c r="N191" s="114">
        <f>+((F191*F$2)+(H191*H$2)+(L191*L$2))/N$2</f>
        <v>4.5363486610747268</v>
      </c>
      <c r="O191" s="775">
        <f>+(EMD!N23)/(24*O2)</f>
        <v>17.2</v>
      </c>
      <c r="P191" s="134">
        <f>+(EMD!O23)/(24*P2)</f>
        <v>2.6762096774193549</v>
      </c>
      <c r="Q191" s="53">
        <f>+(EMD!P23)/(24*Q2)</f>
        <v>8.3702060099538418</v>
      </c>
      <c r="R191" s="53">
        <f>+(EMD!Q23)/(24*R2)</f>
        <v>4.0636903947360672</v>
      </c>
      <c r="S191" s="775">
        <f>+(EMD!R23)/(24*S2)</f>
        <v>3.0293934911242606</v>
      </c>
      <c r="T191" s="134">
        <f>+(EMD!S23)/(24*T2)</f>
        <v>3.09744623655914</v>
      </c>
      <c r="U191" s="53">
        <f>+(EMD!T23)/(24*U2)</f>
        <v>7.2880805976419651</v>
      </c>
      <c r="V191" s="53">
        <f>+(EMD!U23)/(24*V2)</f>
        <v>3.8679154345825717</v>
      </c>
      <c r="W191" s="775">
        <f>+(EMD!V23)/(24*W2)</f>
        <v>3.029393491124261</v>
      </c>
      <c r="X191" s="134">
        <f>+(EMD!W23)/(24*X2)</f>
        <v>2.3257222222222218</v>
      </c>
      <c r="Y191" s="77">
        <f>+(EMD!X23)/(24*Y2)</f>
        <v>7.8042717712889109</v>
      </c>
      <c r="Z191" s="77">
        <f>+((P191*P$2)+(T191*T$2)+(X191*X$2))/Z$2</f>
        <v>2.703858695652174</v>
      </c>
      <c r="AA191" s="667">
        <f>+(EMD!Z23)/(24*AA2)</f>
        <v>6.5899351703439812</v>
      </c>
      <c r="AB191" s="2460">
        <f>+((N191*N$2)+(Z191*Z$2))/AB$2</f>
        <v>3.6150968751792361</v>
      </c>
      <c r="AC191" s="775">
        <f>+(EMD!AB23)/(24*AC2)</f>
        <v>3.0293934911242606</v>
      </c>
      <c r="AD191" s="134">
        <f>+(EMD!AC23)/(24*AD2)</f>
        <v>2.9954704301075266</v>
      </c>
      <c r="AE191" s="53">
        <f>+(EMD!AD23)/(24*AE2)</f>
        <v>6.0741557682140215</v>
      </c>
      <c r="AF191" s="1930">
        <f>+(EMD!AE23)/(24*AF2)</f>
        <v>3.525337904164175</v>
      </c>
      <c r="AG191" s="775">
        <f>+(EMD!AF23)/(24*AG2)</f>
        <v>3.029393491124261</v>
      </c>
      <c r="AH191" s="134">
        <f>+(EMD!AG23)/(24*AH2)</f>
        <v>18.165416666666662</v>
      </c>
      <c r="AI191" s="53">
        <f>+(EMD!AH23)/(24*AI2)</f>
        <v>5.699799750539051</v>
      </c>
      <c r="AJ191" s="1930">
        <f>+(EMD!AI23)/(24*AJ2)</f>
        <v>5.325347588078416</v>
      </c>
      <c r="AK191" s="775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5.3987721358413836</v>
      </c>
      <c r="AP191" s="105">
        <f>+(EMD!AO23)/(24*AP2)</f>
        <v>5.1568352509975508</v>
      </c>
      <c r="AQ191" s="775">
        <f>+(EMD!AP23)/(24*AQ2)</f>
        <v>3.0293934911242606</v>
      </c>
      <c r="AR191" s="134">
        <f>+(EMD!AQ23)/(24*AR2)</f>
        <v>3.4710752688172044</v>
      </c>
      <c r="AS191" s="53">
        <f>+(EMD!AR23)/(24*AS2)</f>
        <v>5.1587370443831126</v>
      </c>
      <c r="AT191" s="1930">
        <f>+(EMD!AS23)/(24*AT2)</f>
        <v>4.9860556449596727</v>
      </c>
      <c r="AU191" s="775">
        <f>+(EMD!AT23)/(24*AU2)</f>
        <v>3.0293934911242544</v>
      </c>
      <c r="AV191" s="134">
        <f>+(EMD!AU23)/(24*AV2)</f>
        <v>3.5551825618692723</v>
      </c>
      <c r="AW191" s="53">
        <f>+(EMD!AV23)/(24*AW2)</f>
        <v>4.9802292015949448</v>
      </c>
      <c r="AX191" s="1930">
        <f>+(EMD!AW23)/(24*AX2)</f>
        <v>4.8661022128443108</v>
      </c>
      <c r="AY191" s="775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4.8145417850892152</v>
      </c>
      <c r="BF191" s="107">
        <f>+(EMD!BE23)/(24*BF2)</f>
        <v>4.7346857460244376</v>
      </c>
      <c r="BG191" s="1222"/>
      <c r="BH191" s="1222"/>
      <c r="BI191" s="4713"/>
      <c r="BJ191" s="4713"/>
      <c r="BK191" s="26"/>
      <c r="BL191" s="26"/>
      <c r="BM191" s="26"/>
      <c r="BN191" s="26"/>
    </row>
    <row r="192" spans="1:66" x14ac:dyDescent="0.25">
      <c r="B192" s="1921" t="s">
        <v>575</v>
      </c>
      <c r="C192" s="1395" t="s">
        <v>301</v>
      </c>
      <c r="D192" s="396">
        <v>83.041666666666671</v>
      </c>
      <c r="E192" s="775">
        <f>+(EMD!D61)/(24*E2)</f>
        <v>86.5</v>
      </c>
      <c r="F192" s="134">
        <f>+(EMD!E61)/(24*F2)</f>
        <v>78.856944444444451</v>
      </c>
      <c r="G192" s="775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5">
        <f>+(EMD!J61)/(24*K2)</f>
        <v>50.4</v>
      </c>
      <c r="L192" s="134">
        <f>+(EMD!K61)/(24*L2)</f>
        <v>69.420833333333334</v>
      </c>
      <c r="M192" s="77">
        <f>+(EMD!L61)/(24*M2)</f>
        <v>74.598901098901095</v>
      </c>
      <c r="N192" s="114">
        <f>+((F192*F$2)+(H192*H$2)+(L192*L$2))/N$2</f>
        <v>78.494505494505489</v>
      </c>
      <c r="O192" s="775">
        <f>+(EMD!N61)/(24*O2)</f>
        <v>0</v>
      </c>
      <c r="P192" s="134">
        <f>+(EMD!O61)/(24*P2)</f>
        <v>89.214605734767034</v>
      </c>
      <c r="Q192" s="53">
        <f>+(EMD!P61)/(24*Q2)</f>
        <v>55.643442622950822</v>
      </c>
      <c r="R192" s="53">
        <f>+(EMD!Q61)/(24*R2)</f>
        <v>81.218465391621137</v>
      </c>
      <c r="S192" s="775">
        <f>+(EMD!R61)/(24*S2)</f>
        <v>87.5</v>
      </c>
      <c r="T192" s="134">
        <f>+(EMD!S61)/(24*T2)</f>
        <v>86.146505376344081</v>
      </c>
      <c r="U192" s="53">
        <f>+(EMD!T61)/(24*U2)</f>
        <v>62.098039215686278</v>
      </c>
      <c r="V192" s="53">
        <f>+(EMD!U61)/(24*V2)</f>
        <v>82.216957153231675</v>
      </c>
      <c r="W192" s="775">
        <f>+(EMD!V61)/(24*W2)</f>
        <v>87.5</v>
      </c>
      <c r="X192" s="134">
        <f>+(EMD!W61)/(24*X2)</f>
        <v>89.49028777777778</v>
      </c>
      <c r="Y192" s="77">
        <f>+(EMD!X61)/(24*Y2)</f>
        <v>58.016304347826086</v>
      </c>
      <c r="Z192" s="77">
        <f>+((P192*P$2)+(T192*T$2)+(X192*X$2))/Z$2</f>
        <v>88.270685628019322</v>
      </c>
      <c r="AA192" s="667">
        <f>+(EMD!Z61)/(24*AA2)</f>
        <v>66.26229508196721</v>
      </c>
      <c r="AB192" s="2460">
        <f>+((N192*N$2)+(Z192*Z$2))/AB$2</f>
        <v>83.409306435944131</v>
      </c>
      <c r="AC192" s="775">
        <f>+(EMD!AB61)/(24*AC2)</f>
        <v>87.5</v>
      </c>
      <c r="AD192" s="134">
        <f>+(EMD!AC61)/(24*AD2)</f>
        <v>85.916666666666671</v>
      </c>
      <c r="AE192" s="53">
        <f>+(EMD!AD61)/(24*AE2)</f>
        <v>69.338785046728972</v>
      </c>
      <c r="AF192" s="1930">
        <f>+(EMD!AE61)/(24*AF2)</f>
        <v>83.772522170301144</v>
      </c>
      <c r="AG192" s="775">
        <f>+(EMD!AF61)/(24*AG2)</f>
        <v>87.5</v>
      </c>
      <c r="AH192" s="134">
        <f>+(EMD!AG61)/(24*AH2)</f>
        <v>2.7986111111111103</v>
      </c>
      <c r="AI192" s="53">
        <f>+(EMD!AH61)/(24*AI2)</f>
        <v>71.571721311475414</v>
      </c>
      <c r="AJ192" s="1930">
        <f>+(EMD!AI61)/(24*AJ2)</f>
        <v>73.816713433515488</v>
      </c>
      <c r="AK192" s="775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73.367272727272734</v>
      </c>
      <c r="AP192" s="105">
        <f>+(EMD!AO61)/(24*AP2)</f>
        <v>74.997223313131315</v>
      </c>
      <c r="AQ192" s="775">
        <f>+(EMD!AP61)/(24*AQ2)</f>
        <v>87.5</v>
      </c>
      <c r="AR192" s="134">
        <f>+(EMD!AQ61)/(24*AR2)</f>
        <v>86.594086021505376</v>
      </c>
      <c r="AS192" s="53">
        <f>+(EMD!AR61)/(24*AS2)</f>
        <v>74.799019607843135</v>
      </c>
      <c r="AT192" s="1930">
        <f>+(EMD!AS61)/(24*AT2)</f>
        <v>76.172068881626714</v>
      </c>
      <c r="AU192" s="775">
        <f>+(EMD!AT61)/(24*AU2)</f>
        <v>87.5</v>
      </c>
      <c r="AV192" s="134">
        <f>+(EMD!AU61)/(24*AV2)</f>
        <v>87.02529761904762</v>
      </c>
      <c r="AW192" s="53">
        <f>+(EMD!AV61)/(24*AW2)</f>
        <v>75.863772455089816</v>
      </c>
      <c r="AX192" s="1930">
        <f>+(EMD!AW61)/(24*AX2)</f>
        <v>77.081920392548227</v>
      </c>
      <c r="AY192" s="775">
        <f>+(EMD!AX61)/(24*AY2)</f>
        <v>87.5</v>
      </c>
      <c r="AZ192" s="134">
        <f>+(EMD!AY61)/(24*AZ2)</f>
        <v>88.512365591397852</v>
      </c>
      <c r="BA192" s="3120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3119">
        <f>+(EMD!BD61)/(24*BE2)</f>
        <v>76.852054794520555</v>
      </c>
      <c r="BF192" s="39">
        <f>+(EMD!BE61)/(24*BF2)</f>
        <v>78.052725327245042</v>
      </c>
      <c r="BG192" s="1222"/>
      <c r="BH192" s="1222"/>
      <c r="BI192" s="4713"/>
      <c r="BJ192" s="4713"/>
      <c r="BK192" s="26"/>
      <c r="BL192" s="26"/>
      <c r="BM192" s="26"/>
      <c r="BN192" s="26"/>
    </row>
    <row r="193" spans="1:66" x14ac:dyDescent="0.25">
      <c r="B193" s="1953" t="s">
        <v>781</v>
      </c>
      <c r="C193" s="1395" t="s">
        <v>213</v>
      </c>
      <c r="D193" s="3318">
        <f>7.2882126796875*1000*24*365</f>
        <v>63844743.074062496</v>
      </c>
      <c r="E193" s="3316">
        <f>+'POWER DISTRIBUTION'!I20</f>
        <v>5267670.03</v>
      </c>
      <c r="F193" s="496">
        <f>+'POWER DISTRIBUTION'!J20</f>
        <v>5114575.7499999991</v>
      </c>
      <c r="G193" s="7174">
        <f>+'POWER DISTRIBUTION'!K20</f>
        <v>5443259.0310000004</v>
      </c>
      <c r="H193" s="496">
        <f>+'POWER DISTRIBUTION'!L20</f>
        <v>5230424.8400000054</v>
      </c>
      <c r="I193" s="2589">
        <f>+'POWER DISTRIBUTION'!M20</f>
        <v>10710929.061000001</v>
      </c>
      <c r="J193" s="39">
        <f>+'POWER DISTRIBUTION'!N20</f>
        <v>10345000.590000004</v>
      </c>
      <c r="K193" s="4582">
        <f>+'POWER DISTRIBUTION'!O20</f>
        <v>4673460.043300001</v>
      </c>
      <c r="L193" s="496">
        <f>+'POWER DISTRIBUTION'!P20</f>
        <v>4886850.0000000112</v>
      </c>
      <c r="M193" s="2591">
        <f>+'POWER DISTRIBUTION'!Q20</f>
        <v>15384389.104300002</v>
      </c>
      <c r="N193" s="125">
        <f>+L193+H193+F193</f>
        <v>15231850.590000015</v>
      </c>
      <c r="O193" s="4766">
        <f>+'POWER DISTRIBUTION'!S20</f>
        <v>4731549.7139999997</v>
      </c>
      <c r="P193" s="496">
        <f>+'POWER DISTRIBUTION'!T20</f>
        <v>5206299.9999999953</v>
      </c>
      <c r="Q193" s="2589">
        <f>+'POWER DISTRIBUTION'!U20</f>
        <v>20115938.818300001</v>
      </c>
      <c r="R193" s="39">
        <f>+'POWER DISTRIBUTION'!V20</f>
        <v>20438150.590000011</v>
      </c>
      <c r="S193" s="4877">
        <f>+'POWER DISTRIBUTION'!W20</f>
        <v>4979810.0384999998</v>
      </c>
      <c r="T193" s="496">
        <f>+'POWER DISTRIBUTION'!X20</f>
        <v>5130280.0000000075</v>
      </c>
      <c r="U193" s="4875">
        <f>+'POWER DISTRIBUTION'!Y20</f>
        <v>25095748.856800001</v>
      </c>
      <c r="V193" s="39">
        <f>+'POWER DISTRIBUTION'!Z20</f>
        <v>25568430.590000018</v>
      </c>
      <c r="W193" s="5038">
        <f>+'POWER DISTRIBUTION'!AA20</f>
        <v>4819171.0049999999</v>
      </c>
      <c r="X193" s="496">
        <f>+'POWER DISTRIBUTION'!AB20</f>
        <v>4762840</v>
      </c>
      <c r="Y193" s="2591">
        <f>+'POWER DISTRIBUTION'!AC20</f>
        <v>14530530.7575</v>
      </c>
      <c r="Z193" s="2594">
        <f>+P193+T193+X193</f>
        <v>15099420.000000004</v>
      </c>
      <c r="AA193" s="640">
        <f>+'POWER DISTRIBUTION'!AE20</f>
        <v>29914919.8618</v>
      </c>
      <c r="AB193" s="454">
        <f>+N193+Z193</f>
        <v>30331270.590000018</v>
      </c>
      <c r="AC193" s="5329">
        <f>+'POWER DISTRIBUTION'!AG20</f>
        <v>4979810.0384999998</v>
      </c>
      <c r="AD193" s="496">
        <f>+'POWER DISTRIBUTION'!AH20</f>
        <v>5000839.9999999776</v>
      </c>
      <c r="AE193" s="2614">
        <f>+'POWER DISTRIBUTION'!AI20</f>
        <v>34894729.900299996</v>
      </c>
      <c r="AF193" s="39">
        <f>+'POWER DISTRIBUTION'!AJ20</f>
        <v>35332110.589999996</v>
      </c>
      <c r="AG193" s="5504">
        <f>+'POWER DISTRIBUTION'!AK20</f>
        <v>4819171.0049999999</v>
      </c>
      <c r="AH193" s="496">
        <f>+'POWER DISTRIBUTION'!AL20</f>
        <v>4483330.0000000158</v>
      </c>
      <c r="AI193" s="2663">
        <f>+'POWER DISTRIBUTION'!AM20</f>
        <v>39713900.905299999</v>
      </c>
      <c r="AJ193" s="39">
        <f>+'POWER DISTRIBUTION'!AN20</f>
        <v>39815440.590000011</v>
      </c>
      <c r="AK193" s="5926">
        <f>+'POWER DISTRIBUTION'!AO20</f>
        <v>4979810.0384999998</v>
      </c>
      <c r="AL193" s="496">
        <f>+'POWER DISTRIBUTION'!AP20</f>
        <v>4868829.9999999832</v>
      </c>
      <c r="AM193" s="2724">
        <f>+'POWER DISTRIBUTION'!AQ20</f>
        <v>14778791.081999999</v>
      </c>
      <c r="AN193" s="2724">
        <f>+'POWER DISTRIBUTION'!AR20</f>
        <v>14352999.999999976</v>
      </c>
      <c r="AO193" s="2722">
        <f>+'POWER DISTRIBUTION'!AS20</f>
        <v>44693710.943800002</v>
      </c>
      <c r="AP193" s="39">
        <f>+'POWER DISTRIBUTION'!AT20</f>
        <v>44684270.589999996</v>
      </c>
      <c r="AQ193" s="6083">
        <f>+'POWER DISTRIBUTION'!AU20</f>
        <v>4979810.0384999998</v>
      </c>
      <c r="AR193" s="496">
        <f>+'POWER DISTRIBUTION'!AV20</f>
        <v>5053670.000000013</v>
      </c>
      <c r="AS193" s="2791">
        <f>+'POWER DISTRIBUTION'!AW20</f>
        <v>49673520.982299998</v>
      </c>
      <c r="AT193" s="39">
        <f>+'POWER DISTRIBUTION'!AX20</f>
        <v>49737940.590000011</v>
      </c>
      <c r="AU193" s="6205">
        <f>+'POWER DISTRIBUTION'!AY20</f>
        <v>4497892.9380000001</v>
      </c>
      <c r="AV193" s="496">
        <f>+'POWER DISTRIBUTION'!AZ20</f>
        <v>4831609.3899999885</v>
      </c>
      <c r="AW193" s="6207">
        <f>+'POWER DISTRIBUTION'!BA20</f>
        <v>54171413.920299999</v>
      </c>
      <c r="AX193" s="39">
        <f>+'POWER DISTRIBUTION'!BB20</f>
        <v>54569549.979999997</v>
      </c>
      <c r="AY193" s="6414">
        <f>+'POWER DISTRIBUTION'!BC20</f>
        <v>4979810.0384999998</v>
      </c>
      <c r="AZ193" s="496">
        <f>+'POWER DISTRIBUTION'!BD20</f>
        <v>5262355.5900000036</v>
      </c>
      <c r="BA193" s="3120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3119">
        <f>+'POWER DISTRIBUTION'!BI20</f>
        <v>59151223.958800003</v>
      </c>
      <c r="BF193" s="39">
        <f>+'POWER DISTRIBUTION'!BJ20</f>
        <v>59831905.57</v>
      </c>
      <c r="BG193" s="1222"/>
      <c r="BH193" s="1222"/>
      <c r="BI193" s="4713"/>
      <c r="BJ193" s="4713"/>
      <c r="BK193" s="26"/>
      <c r="BL193" s="26"/>
      <c r="BM193" s="26"/>
      <c r="BN193" s="26"/>
    </row>
    <row r="194" spans="1:66" x14ac:dyDescent="0.25">
      <c r="A194" s="533"/>
      <c r="B194" s="1953" t="s">
        <v>782</v>
      </c>
      <c r="C194" s="1395" t="s">
        <v>1867</v>
      </c>
      <c r="D194" s="396">
        <f t="shared" ref="D194:AX194" si="833">+D193/D18</f>
        <v>56.787011891398905</v>
      </c>
      <c r="E194" s="775">
        <f t="shared" si="833"/>
        <v>56.790000000000006</v>
      </c>
      <c r="F194" s="1320">
        <f t="shared" si="833"/>
        <v>55.650589221605088</v>
      </c>
      <c r="G194" s="775">
        <f t="shared" ref="G194:H194" si="834">+G193/G18</f>
        <v>56.79</v>
      </c>
      <c r="H194" s="1320">
        <f t="shared" si="834"/>
        <v>54.85840067712639</v>
      </c>
      <c r="I194" s="53">
        <f t="shared" si="833"/>
        <v>56.79</v>
      </c>
      <c r="J194" s="105">
        <f t="shared" si="833"/>
        <v>55.247220429454345</v>
      </c>
      <c r="K194" s="775">
        <f t="shared" si="833"/>
        <v>51.430000000000014</v>
      </c>
      <c r="L194" s="1320">
        <f t="shared" si="833"/>
        <v>53.39270408422486</v>
      </c>
      <c r="M194" s="77">
        <f t="shared" si="833"/>
        <v>55.047222460545036</v>
      </c>
      <c r="N194" s="113">
        <f t="shared" si="833"/>
        <v>54.638353077993195</v>
      </c>
      <c r="O194" s="775">
        <f t="shared" si="833"/>
        <v>51.43</v>
      </c>
      <c r="P194" s="1320">
        <f t="shared" si="833"/>
        <v>53.874447485012261</v>
      </c>
      <c r="Q194" s="53">
        <f t="shared" si="833"/>
        <v>54.151380645818826</v>
      </c>
      <c r="R194" s="105">
        <f t="shared" si="833"/>
        <v>54.44171110544923</v>
      </c>
      <c r="S194" s="775">
        <f t="shared" si="833"/>
        <v>51.429999999999993</v>
      </c>
      <c r="T194" s="1320">
        <f t="shared" si="833"/>
        <v>53.174599061566269</v>
      </c>
      <c r="U194" s="53">
        <f t="shared" si="833"/>
        <v>53.588704322518055</v>
      </c>
      <c r="V194" s="105">
        <f t="shared" si="833"/>
        <v>54.182646545029762</v>
      </c>
      <c r="W194" s="775">
        <f t="shared" si="833"/>
        <v>51.429999999999993</v>
      </c>
      <c r="X194" s="1320">
        <f t="shared" si="833"/>
        <v>51.190792871310968</v>
      </c>
      <c r="Y194" s="77">
        <f t="shared" si="833"/>
        <v>51.43</v>
      </c>
      <c r="Z194" s="113">
        <f t="shared" si="833"/>
        <v>52.765932166963424</v>
      </c>
      <c r="AA194" s="667">
        <f t="shared" si="833"/>
        <v>53.228782925021896</v>
      </c>
      <c r="AB194" s="471">
        <f t="shared" si="833"/>
        <v>53.689907994611083</v>
      </c>
      <c r="AC194" s="775">
        <f t="shared" si="833"/>
        <v>51.429999999999993</v>
      </c>
      <c r="AD194" s="1320">
        <f t="shared" si="833"/>
        <v>52.26021424133765</v>
      </c>
      <c r="AE194" s="53">
        <f t="shared" si="833"/>
        <v>52.964420702799515</v>
      </c>
      <c r="AF194" s="105">
        <f t="shared" si="833"/>
        <v>53.48281782059712</v>
      </c>
      <c r="AG194" s="775">
        <f t="shared" si="833"/>
        <v>51.429999999999993</v>
      </c>
      <c r="AH194" s="1320">
        <f t="shared" si="833"/>
        <v>50.390913893291241</v>
      </c>
      <c r="AI194" s="53">
        <f t="shared" si="833"/>
        <v>52.77335952239207</v>
      </c>
      <c r="AJ194" s="105">
        <f t="shared" si="833"/>
        <v>53.115833979736706</v>
      </c>
      <c r="AK194" s="775">
        <f t="shared" si="833"/>
        <v>51.429999999999993</v>
      </c>
      <c r="AL194" s="1320">
        <f t="shared" si="833"/>
        <v>50.547355930074055</v>
      </c>
      <c r="AM194" s="77">
        <f t="shared" si="833"/>
        <v>51.429999999999993</v>
      </c>
      <c r="AN194" s="113">
        <f t="shared" si="833"/>
        <v>51.081145814908425</v>
      </c>
      <c r="AO194" s="53">
        <f t="shared" si="833"/>
        <v>52.620217375154162</v>
      </c>
      <c r="AP194" s="105">
        <f t="shared" si="833"/>
        <v>52.823369281630633</v>
      </c>
      <c r="AQ194" s="775">
        <f t="shared" si="833"/>
        <v>51.429999999999993</v>
      </c>
      <c r="AR194" s="1320">
        <f t="shared" si="833"/>
        <v>52.466333029318932</v>
      </c>
      <c r="AS194" s="53">
        <f t="shared" si="833"/>
        <v>52.498418349994338</v>
      </c>
      <c r="AT194" s="105">
        <f t="shared" si="833"/>
        <v>52.786870648504646</v>
      </c>
      <c r="AU194" s="775">
        <f t="shared" si="833"/>
        <v>51.43</v>
      </c>
      <c r="AV194" s="1320">
        <f t="shared" si="833"/>
        <v>55.586694584978623</v>
      </c>
      <c r="AW194" s="53">
        <f t="shared" si="833"/>
        <v>52.408019791100728</v>
      </c>
      <c r="AX194" s="105">
        <f t="shared" si="833"/>
        <v>53.023336465334374</v>
      </c>
      <c r="AY194" s="775">
        <f t="shared" ref="AY194:AZ194" si="835">+AY193/AY18</f>
        <v>51.429999999999993</v>
      </c>
      <c r="AZ194" s="1320">
        <f t="shared" si="835"/>
        <v>54.543543162876453</v>
      </c>
      <c r="BA194" s="77">
        <f t="shared" ref="BA194:BF194" si="836">+BA193/BA18</f>
        <v>51.43</v>
      </c>
      <c r="BB194" s="113">
        <f t="shared" si="836"/>
        <v>54.152403937762564</v>
      </c>
      <c r="BC194" s="667">
        <f t="shared" si="836"/>
        <v>51.43</v>
      </c>
      <c r="BD194" s="471">
        <f t="shared" si="836"/>
        <v>52.613318587653467</v>
      </c>
      <c r="BE194" s="53">
        <f t="shared" si="836"/>
        <v>52.324250820513974</v>
      </c>
      <c r="BF194" s="105">
        <f t="shared" si="836"/>
        <v>53.153635026943313</v>
      </c>
      <c r="BG194" s="1222"/>
      <c r="BH194" s="1222"/>
      <c r="BI194" s="4713"/>
      <c r="BJ194" s="4713"/>
      <c r="BK194" s="26"/>
      <c r="BL194" s="26"/>
      <c r="BM194" s="26"/>
      <c r="BN194" s="26"/>
    </row>
    <row r="195" spans="1:66" ht="15.75" thickBot="1" x14ac:dyDescent="0.3">
      <c r="B195" s="1954" t="s">
        <v>218</v>
      </c>
      <c r="C195" s="1415" t="s">
        <v>1093</v>
      </c>
      <c r="D195" s="3319">
        <v>0.69015754301650478</v>
      </c>
      <c r="E195" s="791">
        <v>0.68999999999999984</v>
      </c>
      <c r="F195" s="388">
        <v>0.68640000000000001</v>
      </c>
      <c r="G195" s="791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1">
        <v>0.69015626234726191</v>
      </c>
      <c r="L195" s="388">
        <v>0.64</v>
      </c>
      <c r="M195" s="1591">
        <f>+((E195*E18)+(G195*G18)+(K195*K18))/M18</f>
        <v>0.69005080793079654</v>
      </c>
      <c r="N195" s="1591">
        <f>+((F195*F18)+(H195*H18)+(L195*L18))/N18</f>
        <v>0.67000330466274338</v>
      </c>
      <c r="O195" s="791">
        <v>0.58768040800088706</v>
      </c>
      <c r="P195" s="388">
        <v>0.67400000000000004</v>
      </c>
      <c r="Q195" s="394">
        <f>+((M195*M18)+(O195*O18))/Q18</f>
        <v>0.66469774052956199</v>
      </c>
      <c r="R195" s="394">
        <f>+((N195*N18)+(P195*P18))/R18</f>
        <v>0.6710321203462476</v>
      </c>
      <c r="S195" s="791">
        <v>0.68999999999999984</v>
      </c>
      <c r="T195" s="388">
        <v>0.66800000000000004</v>
      </c>
      <c r="U195" s="394">
        <f>+((Q195*Q18)+(S195*S18))/U18</f>
        <v>0.66992926973584987</v>
      </c>
      <c r="V195" s="394">
        <f>+((R195*R18)+(T195*T18))/V18</f>
        <v>0.67041219495888216</v>
      </c>
      <c r="W195" s="791">
        <v>0.69</v>
      </c>
      <c r="X195" s="388">
        <v>0.66200000000000003</v>
      </c>
      <c r="Y195" s="395">
        <f>+((O195*O18)+(S195*S18)+(W195*W18))/Y18</f>
        <v>0.65668186149978636</v>
      </c>
      <c r="Z195" s="395">
        <f>+((P195*P18)+(T195*T18)+(X195*X18))/Z18</f>
        <v>0.66807541345093713</v>
      </c>
      <c r="AA195" s="2461">
        <f>+((M195*M18)+(Y195*Y18))/AA18</f>
        <v>0.67327566841124387</v>
      </c>
      <c r="AB195" s="2461">
        <f>+((N195*N18)+(Z195*Z18))/AB18</f>
        <v>0.66902676197922473</v>
      </c>
      <c r="AC195" s="791">
        <v>0.68999999999999984</v>
      </c>
      <c r="AD195" s="388">
        <v>0.66</v>
      </c>
      <c r="AE195" s="1931">
        <f>+((AA195*AA18)+(AC195*AC18))/AE18</f>
        <v>0.67573359782700915</v>
      </c>
      <c r="AF195" s="1931">
        <f>+((AB195*AB18)+(AD195*AD18))/AF18</f>
        <v>0.66771924160657137</v>
      </c>
      <c r="AG195" s="791">
        <v>0.69</v>
      </c>
      <c r="AH195" s="388">
        <v>0.60499999999999998</v>
      </c>
      <c r="AI195" s="1931">
        <f>+((AE195*AE18)+(AG195*AG18))/AI18</f>
        <v>0.67751000480220569</v>
      </c>
      <c r="AJ195" s="1931">
        <f>+((AF195*AF18)+(AH195*AH18))/AJ18</f>
        <v>0.66027497790311029</v>
      </c>
      <c r="AK195" s="791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931">
        <f>+((AK195*AK18)+(AI195*AI18))/AO18</f>
        <v>0.6789338564604539</v>
      </c>
      <c r="AP195" s="1931">
        <f>+((AL195*AL18)+(AJ195*AJ18))/AP18</f>
        <v>0.66252100551991644</v>
      </c>
      <c r="AQ195" s="791">
        <v>0.68999999999999984</v>
      </c>
      <c r="AR195" s="388">
        <v>0.68400000000000005</v>
      </c>
      <c r="AS195" s="1931">
        <f>+((AO195*AO18)+(AQ195*AQ18))/AS18</f>
        <v>0.68006629287377796</v>
      </c>
      <c r="AT195" s="1931">
        <f>+((AP195*AP18)+(AR195*AR18))/AT18</f>
        <v>0.66471673196048886</v>
      </c>
      <c r="AU195" s="791">
        <v>0.68999999999999972</v>
      </c>
      <c r="AV195" s="388">
        <v>0.68899999999999995</v>
      </c>
      <c r="AW195" s="1931">
        <f>+((AS195*AS18)+(AU195*AU18))/AW18</f>
        <v>0.68090678087989132</v>
      </c>
      <c r="AX195" s="1931">
        <f>+((AT195*AT18)+(AV195*AV18))/AX18</f>
        <v>0.66676763335377065</v>
      </c>
      <c r="AY195" s="791">
        <v>0.68999999999999984</v>
      </c>
      <c r="AZ195" s="388">
        <v>0.69</v>
      </c>
      <c r="BA195" s="757">
        <f>+((AQ195*AQ18)+(AU195*AU18)+(AY195*AY18))/BA18</f>
        <v>0.68999999999999984</v>
      </c>
      <c r="BB195" s="757">
        <f>+((AR195*AR18)+(AV195*AV18)+(AZ195*AZ18))/BB18</f>
        <v>0.68762316715542515</v>
      </c>
      <c r="BC195" s="6595">
        <f>+((AM195*AM18)+(BA195*BA18))/BC18</f>
        <v>0.69</v>
      </c>
      <c r="BD195" s="6595">
        <f>+((AN195*AN18)+(BB195*BB18))/BD18</f>
        <v>0.66848902768399732</v>
      </c>
      <c r="BE195" s="1931">
        <f>+((AW195*AW18)+(AY195*AY18))/BE18</f>
        <v>0.68168562974567348</v>
      </c>
      <c r="BF195" s="1931">
        <f>+((AX195*AX18)+(AZ195*AZ18))/BF18</f>
        <v>0.6687589046471214</v>
      </c>
      <c r="BG195" s="1222"/>
      <c r="BH195" s="1222"/>
      <c r="BI195" s="4713"/>
      <c r="BJ195" s="4713"/>
      <c r="BK195" s="26"/>
      <c r="BL195" s="26"/>
      <c r="BM195" s="26"/>
      <c r="BN195" s="26"/>
    </row>
    <row r="196" spans="1:66" ht="15.75" thickBot="1" x14ac:dyDescent="0.3">
      <c r="B196" s="1944"/>
      <c r="C196" s="1928"/>
      <c r="D196" s="1928"/>
      <c r="E196" s="1928"/>
      <c r="F196" s="1928"/>
      <c r="G196" s="1928"/>
      <c r="H196" s="1928"/>
      <c r="I196" s="1928"/>
      <c r="J196" s="1928"/>
      <c r="K196" s="1928"/>
      <c r="L196" s="1928"/>
      <c r="M196" s="1928"/>
      <c r="N196" s="1928"/>
      <c r="O196" s="1928"/>
      <c r="P196" s="1928"/>
      <c r="Q196" s="1928"/>
      <c r="R196" s="1928"/>
      <c r="S196" s="1928"/>
      <c r="T196" s="1928"/>
      <c r="U196" s="1928"/>
      <c r="V196" s="1928"/>
      <c r="W196" s="1928"/>
      <c r="X196" s="1928"/>
      <c r="Y196" s="1928"/>
      <c r="Z196" s="1928"/>
      <c r="AA196" s="2598"/>
      <c r="AB196" s="1929"/>
      <c r="AC196" s="1928"/>
      <c r="AD196" s="1928"/>
      <c r="AE196" s="1928"/>
      <c r="AF196" s="1929"/>
      <c r="AG196" s="1928"/>
      <c r="AH196" s="1928"/>
      <c r="AI196" s="1928"/>
      <c r="AJ196" s="1929"/>
      <c r="AK196" s="1928"/>
      <c r="AL196" s="1928"/>
      <c r="AM196" s="1928"/>
      <c r="AN196" s="1928"/>
      <c r="AO196" s="1928"/>
      <c r="AP196" s="1929"/>
      <c r="AQ196" s="1928"/>
      <c r="AR196" s="1928"/>
      <c r="AS196" s="1928"/>
      <c r="AT196" s="1929"/>
      <c r="AU196" s="1928"/>
      <c r="AV196" s="1928"/>
      <c r="AW196" s="1928"/>
      <c r="AX196" s="1929"/>
      <c r="AY196" s="1928"/>
      <c r="AZ196" s="1928"/>
      <c r="BA196" s="1928"/>
      <c r="BB196" s="1928"/>
      <c r="BC196" s="2598"/>
      <c r="BD196" s="1929"/>
      <c r="BE196" s="1928"/>
      <c r="BF196" s="1929"/>
      <c r="BG196" s="1222"/>
      <c r="BH196" s="1222"/>
      <c r="BI196" s="4713"/>
      <c r="BJ196" s="4713"/>
      <c r="BK196" s="26"/>
      <c r="BL196" s="26"/>
      <c r="BM196" s="26"/>
      <c r="BN196" s="26"/>
    </row>
    <row r="197" spans="1:66" ht="15.75" thickBot="1" x14ac:dyDescent="0.3">
      <c r="B197" s="1936" t="s">
        <v>495</v>
      </c>
      <c r="C197" s="1332" t="s">
        <v>49</v>
      </c>
      <c r="D197" s="1442">
        <v>9.9532229029959769</v>
      </c>
      <c r="E197" s="1329">
        <f>+$D$197</f>
        <v>9.9532229029959769</v>
      </c>
      <c r="F197" s="94">
        <f>+((F152*F107)+(F177*F125))/F143</f>
        <v>8.6775819793344411</v>
      </c>
      <c r="G197" s="1329">
        <f>+$D$197</f>
        <v>9.9532229029959769</v>
      </c>
      <c r="H197" s="94">
        <f>+((H152*H107)+(H177*H125))/H143</f>
        <v>8.7070042000009256</v>
      </c>
      <c r="I197" s="1369">
        <f>+$D$197</f>
        <v>9.9532229029959769</v>
      </c>
      <c r="J197" s="573">
        <f>+((J152*J107)+(J177*J125))/J143</f>
        <v>8.6925640352027784</v>
      </c>
      <c r="K197" s="1329">
        <f>+$D$197</f>
        <v>9.9532229029959769</v>
      </c>
      <c r="L197" s="94">
        <f>+((L152*L107)+(L177*L125))/L143</f>
        <v>9.0497065778482764</v>
      </c>
      <c r="M197" s="1592">
        <f>+$D$197</f>
        <v>9.9532229029959769</v>
      </c>
      <c r="N197" s="95">
        <f>+((N152*N107)+(N177*N125))/N143</f>
        <v>8.8099882769280011</v>
      </c>
      <c r="O197" s="1329">
        <f>+$D$197</f>
        <v>9.9532229029959769</v>
      </c>
      <c r="P197" s="94">
        <f>+((P152*P107)+(P177*P125))/P143</f>
        <v>10.174120162253894</v>
      </c>
      <c r="Q197" s="1369">
        <f>+$D$197</f>
        <v>9.9532229029959769</v>
      </c>
      <c r="R197" s="573">
        <f>+((R152*R107)+(R177*R125))/R143</f>
        <v>9.1597063630106312</v>
      </c>
      <c r="S197" s="1329">
        <f>+$D$197</f>
        <v>9.9532229029959769</v>
      </c>
      <c r="T197" s="94">
        <f>+((T152*T107)+(T177*T125))/T143</f>
        <v>10.867432464548843</v>
      </c>
      <c r="U197" s="1369">
        <f>+$D$197</f>
        <v>9.9532229029959769</v>
      </c>
      <c r="V197" s="573">
        <f>+((V152*V107)+(V177*V125))/V143</f>
        <v>9.5098427831414742</v>
      </c>
      <c r="W197" s="1329">
        <f>+$D$197</f>
        <v>9.9532229029959769</v>
      </c>
      <c r="X197" s="94">
        <f>+((X152*X107)+(X177*X125))/X143</f>
        <v>10.373747513805332</v>
      </c>
      <c r="Y197" s="1592">
        <f>+$D$197</f>
        <v>9.9532229029959769</v>
      </c>
      <c r="Z197" s="2218">
        <f>+((Z152*Z107)+(Z177*Z125))/Z143</f>
        <v>10.473516445797843</v>
      </c>
      <c r="AA197" s="1620">
        <f>+$D$197</f>
        <v>9.9532229029959769</v>
      </c>
      <c r="AB197" s="2219">
        <f>+((AB152*AB107)+(AB177*AB125))/AB143</f>
        <v>9.6525803467932683</v>
      </c>
      <c r="AC197" s="1329">
        <f>+$D$197</f>
        <v>9.9532229029959769</v>
      </c>
      <c r="AD197" s="94">
        <f>+((AD152*AD107)+(AD177*AD125))/AD143</f>
        <v>10.281080263424894</v>
      </c>
      <c r="AE197" s="1369">
        <f>+$D$197</f>
        <v>9.9532229029959769</v>
      </c>
      <c r="AF197" s="573">
        <f>+((AF152*AF107)+(AF177*AF125))/AF143</f>
        <v>9.7436063796063941</v>
      </c>
      <c r="AG197" s="1329">
        <f>+$D$197</f>
        <v>9.9532229029959769</v>
      </c>
      <c r="AH197" s="94">
        <f>+((AH152*AH107)+(AH177*AH125))/AH143</f>
        <v>9.9776767559887567</v>
      </c>
      <c r="AI197" s="1369">
        <f>+$D$197</f>
        <v>9.9532229029959769</v>
      </c>
      <c r="AJ197" s="573">
        <f>+((AJ152*AJ107)+(AJ177*AJ125))/AJ143</f>
        <v>9.7713907013278742</v>
      </c>
      <c r="AK197" s="1329">
        <f>+$D$197</f>
        <v>9.9532229029959769</v>
      </c>
      <c r="AL197" s="94">
        <f>+((AL152*AL107)+(AL177*AL125))/AL143</f>
        <v>9.182966331411567</v>
      </c>
      <c r="AM197" s="1592">
        <f>+$D$197</f>
        <v>9.9532229029959769</v>
      </c>
      <c r="AN197" s="2218">
        <f>+((AN152*AN107)+(AN177*AN125))/AN143</f>
        <v>9.8091528774752899</v>
      </c>
      <c r="AO197" s="1369">
        <f>+$D$197</f>
        <v>9.9532229029959769</v>
      </c>
      <c r="AP197" s="573">
        <f>+((AP152*AP107)+(AP177*AP125))/AP143</f>
        <v>9.7045538455362994</v>
      </c>
      <c r="AQ197" s="1329">
        <f>+$D$197</f>
        <v>9.9532229029959769</v>
      </c>
      <c r="AR197" s="94">
        <f>+((AR152*AR107)+(AR177*AR125))/AR143</f>
        <v>8.9187761253487565</v>
      </c>
      <c r="AS197" s="1369">
        <f>+$D$197</f>
        <v>9.9532229029959769</v>
      </c>
      <c r="AT197" s="573">
        <f>+((AT152*AT107)+(AT177*AT125))/AT143</f>
        <v>9.6244042653262536</v>
      </c>
      <c r="AU197" s="1329">
        <f>+$D$197</f>
        <v>9.9532229029959769</v>
      </c>
      <c r="AV197" s="94">
        <f>+((AV152*AV107)+(AV177*AV125))/AV143</f>
        <v>8.7222898660713728</v>
      </c>
      <c r="AW197" s="1369">
        <f>+$D$197</f>
        <v>9.9532229029959769</v>
      </c>
      <c r="AX197" s="573">
        <f>+((AX152*AX107)+(AX177*AX125))/AX143</f>
        <v>9.5484262728689089</v>
      </c>
      <c r="AY197" s="1329">
        <f>+$D$197</f>
        <v>9.9532229029959769</v>
      </c>
      <c r="AZ197" s="94">
        <f>+((AZ152*AZ107)+(AZ177*AZ125))/AZ143</f>
        <v>8.378397169262449</v>
      </c>
      <c r="BA197" s="1592">
        <f>+$D$197</f>
        <v>9.9532229029959769</v>
      </c>
      <c r="BB197" s="2218">
        <f>+((BB152*BB107)+(BB177*BB125))/BB143</f>
        <v>8.6713816173855811</v>
      </c>
      <c r="BC197" s="1620">
        <f>+$D$197</f>
        <v>9.9532229029959769</v>
      </c>
      <c r="BD197" s="2462">
        <f>+((BD152*BD107)+(BD177*BD125))/BD143</f>
        <v>9.2421916064042389</v>
      </c>
      <c r="BE197" s="1369">
        <f>+$D$197</f>
        <v>9.9532229029959769</v>
      </c>
      <c r="BF197" s="573">
        <f>+((BF152*BF107)+(BF177*BF125))/BF143</f>
        <v>9.4483739942465395</v>
      </c>
      <c r="BG197" s="1222"/>
      <c r="BH197" s="1222"/>
      <c r="BI197" s="4713"/>
      <c r="BJ197" s="4713"/>
      <c r="BK197" s="26"/>
      <c r="BL197" s="26"/>
      <c r="BM197" s="26"/>
      <c r="BN197" s="26"/>
    </row>
    <row r="198" spans="1:66" ht="17.25" thickBot="1" x14ac:dyDescent="0.3">
      <c r="A198" s="148"/>
      <c r="B198" s="1775" t="s">
        <v>703</v>
      </c>
      <c r="C198" s="1395" t="s">
        <v>49</v>
      </c>
      <c r="D198" s="3320" t="s">
        <v>2279</v>
      </c>
      <c r="E198" s="3321" t="str">
        <f>D198</f>
        <v>&lt;=2</v>
      </c>
      <c r="F198" s="1330">
        <f>+((F156*F21)+(F22*F181))/(F21+F22)</f>
        <v>1.2956167502051064</v>
      </c>
      <c r="G198" s="3321">
        <f>F198</f>
        <v>1.2956167502051064</v>
      </c>
      <c r="H198" s="1330">
        <f>+((H156*H21)+(H22*H181))/(H21+H22)</f>
        <v>1.4988358268093165</v>
      </c>
      <c r="I198" s="1370" t="str">
        <f>+$D$198</f>
        <v>&lt;=2</v>
      </c>
      <c r="J198" s="574">
        <f>+((J156*J21)+(J22*J181))/(J21+J22)</f>
        <v>1.3990976731347016</v>
      </c>
      <c r="K198" s="3321">
        <v>1.6825030683712816</v>
      </c>
      <c r="L198" s="1330">
        <f>+((L156*L21)+(L22*L181))/(L21+L22)</f>
        <v>1.6931835639114019</v>
      </c>
      <c r="M198" s="1593" t="str">
        <f>+$D$198</f>
        <v>&lt;=2</v>
      </c>
      <c r="N198" s="1594">
        <f>+((N156*N21)+(N22*N181))/(N21+N22)</f>
        <v>1.4953371492046155</v>
      </c>
      <c r="O198" s="3321">
        <v>1.6869458819585577</v>
      </c>
      <c r="P198" s="1330">
        <f>+((P156*P21)+(P22*P181))/(P21+P22)</f>
        <v>2.0731913451822019</v>
      </c>
      <c r="Q198" s="1370" t="str">
        <f>+$D$198</f>
        <v>&lt;=2</v>
      </c>
      <c r="R198" s="574">
        <f>+((R156*R21)+(R22*R181))/(R21+R22)</f>
        <v>1.6437366851292581</v>
      </c>
      <c r="S198" s="3321">
        <v>1.6449750243473344</v>
      </c>
      <c r="T198" s="1330">
        <f>+((T156*T21)+(T22*T181))/(T21+T22)</f>
        <v>2.0220359636531113</v>
      </c>
      <c r="U198" s="1370" t="str">
        <f>+$D$198</f>
        <v>&lt;=2</v>
      </c>
      <c r="V198" s="574">
        <f>+((V156*V21)+(V22*V181))/(V21+V22)</f>
        <v>1.7210610144984531</v>
      </c>
      <c r="W198" s="3321">
        <v>1.6449750243473344</v>
      </c>
      <c r="X198" s="1330">
        <f>+((X156*X21)+(X22*X181))/(X21+X22)</f>
        <v>1.745109479597198</v>
      </c>
      <c r="Y198" s="1593" t="str">
        <f>+$D$198</f>
        <v>&lt;=2</v>
      </c>
      <c r="Z198" s="643">
        <f>+((Z156*Z21)+(Z22*Z181))/(Z21+Z22)</f>
        <v>1.9491054604220441</v>
      </c>
      <c r="AA198" s="1621" t="str">
        <f>+$D$198</f>
        <v>&lt;=2</v>
      </c>
      <c r="AB198" s="2462">
        <f>+((AB156*AB21)+(AB22*AB181))/(AB21+AB22)</f>
        <v>1.7250248619052164</v>
      </c>
      <c r="AC198" s="3321">
        <v>1.6449750243473344</v>
      </c>
      <c r="AD198" s="1330">
        <f>+((AD156*AD21)+(AD22*AD181))/(AD21+AD22)</f>
        <v>2.1596729236406191</v>
      </c>
      <c r="AE198" s="1370" t="str">
        <f>+$D$198</f>
        <v>&lt;=2</v>
      </c>
      <c r="AF198" s="1932">
        <f>+((AF156*AF21)+(AF22*AF181))/(AF21+AF22)</f>
        <v>1.7880937940751491</v>
      </c>
      <c r="AG198" s="3321">
        <v>1.6449750243473344</v>
      </c>
      <c r="AH198" s="1330">
        <f>+((AH156*AH21)+(AH22*AH181))/(AH21+AH22)</f>
        <v>2.1442066761704224</v>
      </c>
      <c r="AI198" s="1370" t="str">
        <f>+$D$198</f>
        <v>&lt;=2</v>
      </c>
      <c r="AJ198" s="1932">
        <f>+((AJ156*AJ21)+(AJ22*AJ181))/(AJ21+AJ22)</f>
        <v>1.8304575984529461</v>
      </c>
      <c r="AK198" s="3321">
        <v>1.6449750243473344</v>
      </c>
      <c r="AL198" s="1330">
        <f>+((AL156*AL21)+(AL22*AL181))/(AL21+AL22)</f>
        <v>1.6627189060125898</v>
      </c>
      <c r="AM198" s="1593" t="str">
        <f>+$D$198</f>
        <v>&lt;=2</v>
      </c>
      <c r="AN198" s="643">
        <f>+((AN156*AN21)+(AN22*AN181))/(AN21+AN22)</f>
        <v>1.9854368070031896</v>
      </c>
      <c r="AO198" s="1370" t="str">
        <f>+$D$198</f>
        <v>&lt;=2</v>
      </c>
      <c r="AP198" s="1932">
        <f>+((AP156*AP21)+(AP22*AP181))/(AP21+AP22)</f>
        <v>1.8114829683453886</v>
      </c>
      <c r="AQ198" s="3321">
        <v>1.6449750243473344</v>
      </c>
      <c r="AR198" s="1330">
        <f>+((AR156*AR21)+(AR22*AR181))/(AR21+AR22)</f>
        <v>1.7208546414875912</v>
      </c>
      <c r="AS198" s="1370" t="str">
        <f>+$D$198</f>
        <v>&lt;=2</v>
      </c>
      <c r="AT198" s="1932">
        <f>+((AT156*AT21)+(AT22*AT181))/(AT21+AT22)</f>
        <v>1.8022038394859776</v>
      </c>
      <c r="AU198" s="3321">
        <v>1.6449750243473344</v>
      </c>
      <c r="AV198" s="1330">
        <f>+((AV156*AV21)+(AV22*AV181))/(AV21+AV22)</f>
        <v>1.3027094013425424</v>
      </c>
      <c r="AW198" s="1370" t="str">
        <f>+$D$198</f>
        <v>&lt;=2</v>
      </c>
      <c r="AX198" s="1932">
        <f>+((AX156*AX21)+(AX22*AX181))/(AX21+AX22)</f>
        <v>1.7600415085942824</v>
      </c>
      <c r="AY198" s="6604">
        <v>1.6449750243473344</v>
      </c>
      <c r="AZ198" s="1330">
        <f>+((AZ156*AZ21)+(AZ22*AZ181))/(AZ21+AZ22)</f>
        <v>1.2320871626096339</v>
      </c>
      <c r="BA198" s="1593" t="str">
        <f>+$D$198</f>
        <v>&lt;=2</v>
      </c>
      <c r="BB198" s="2218">
        <f>+((BB156*BB21)+(BB22*BB181))/(BB21+BB22)</f>
        <v>1.422545916967801</v>
      </c>
      <c r="BC198" s="1621" t="str">
        <f>+$D$198</f>
        <v>&lt;=2</v>
      </c>
      <c r="BD198" s="2462">
        <f>+((BD156*BD21)+(BD22*BD181))/(BD21+BD22)</f>
        <v>1.7045005101889699</v>
      </c>
      <c r="BE198" s="1370" t="str">
        <f>+$D$198</f>
        <v>&lt;=2</v>
      </c>
      <c r="BF198" s="1932">
        <f>+((BF156*BF21)+(BF22*BF181))/(BF21+BF22)</f>
        <v>1.7148026581672864</v>
      </c>
      <c r="BG198" s="1222"/>
      <c r="BH198" s="1222"/>
      <c r="BI198" s="4713"/>
      <c r="BJ198" s="4713"/>
      <c r="BK198" s="26"/>
      <c r="BL198" s="26"/>
      <c r="BM198" s="26"/>
      <c r="BN198" s="26"/>
    </row>
    <row r="199" spans="1:66" ht="15.75" thickBot="1" x14ac:dyDescent="0.3">
      <c r="A199" s="148"/>
      <c r="B199" s="1961" t="s">
        <v>496</v>
      </c>
      <c r="C199" s="1415" t="s">
        <v>49</v>
      </c>
      <c r="D199" s="1437">
        <v>2.5</v>
      </c>
      <c r="E199" s="755">
        <f>+$D$199</f>
        <v>2.5</v>
      </c>
      <c r="F199" s="135">
        <f>+((F139*2.5)+((+F140+F141+F142)*2.5))/F143</f>
        <v>2.5000000000000004</v>
      </c>
      <c r="G199" s="755">
        <f>+$D$199</f>
        <v>2.5</v>
      </c>
      <c r="H199" s="135">
        <f>+((H139*2.5)+((+H140+H141+H142)*2.5))/H143</f>
        <v>2.5</v>
      </c>
      <c r="I199" s="756">
        <f>+$D$199</f>
        <v>2.5</v>
      </c>
      <c r="J199" s="1933">
        <f>+((J139*2.5)+((+J140+J141+J142)*2.5))/J143</f>
        <v>2.5</v>
      </c>
      <c r="K199" s="755">
        <f>+$D$199</f>
        <v>2.5</v>
      </c>
      <c r="L199" s="135">
        <f>+((L139*2.5)+((+L140+L141+L142)*2.5))/L143</f>
        <v>2.5</v>
      </c>
      <c r="M199" s="757">
        <f>+$D$199</f>
        <v>2.5</v>
      </c>
      <c r="N199" s="171">
        <f>+((N139*2.5)+((+N140+N141+N142)*2.5))/N143</f>
        <v>2.4999999999999996</v>
      </c>
      <c r="O199" s="755">
        <f>+$D$199</f>
        <v>2.5</v>
      </c>
      <c r="P199" s="135">
        <f>+((P139*2.5)+((+P140+P141+P142)*2.5))/P143</f>
        <v>2.5</v>
      </c>
      <c r="Q199" s="756">
        <f>+$D$199</f>
        <v>2.5</v>
      </c>
      <c r="R199" s="1933">
        <f>+((R139*2.5)+((+R140+R141+R142)*2.5))/R143</f>
        <v>2.5000000000000004</v>
      </c>
      <c r="S199" s="755">
        <f>+$D$199</f>
        <v>2.5</v>
      </c>
      <c r="T199" s="135">
        <f>+((T139*2.5)+((+T140+T141+T142)*2.5))/T143</f>
        <v>2.5000000000000004</v>
      </c>
      <c r="U199" s="756">
        <f>+$D$199</f>
        <v>2.5</v>
      </c>
      <c r="V199" s="1933">
        <f>+((V139*2.5)+((+V140+V141+V142)*2.5))/V143</f>
        <v>2.5</v>
      </c>
      <c r="W199" s="755">
        <f>+$D$199</f>
        <v>2.5</v>
      </c>
      <c r="X199" s="135">
        <f>+((X139*2.5)+((+X140+X141+X142)*2.5))/X143</f>
        <v>2.5000000000000004</v>
      </c>
      <c r="Y199" s="757">
        <f>+$D$199</f>
        <v>2.5</v>
      </c>
      <c r="Z199" s="2225">
        <f>+((Z139*2.5)+((+Z140+Z141+Z142)*2.5))/Z143</f>
        <v>2.5000000000000004</v>
      </c>
      <c r="AA199" s="758">
        <f>+$D$199</f>
        <v>2.5</v>
      </c>
      <c r="AB199" s="476">
        <f>+((AB139*2.5)+((+AB140+AB141+AB142)*2.5))/AB143</f>
        <v>2.5</v>
      </c>
      <c r="AC199" s="755">
        <f>+$D$199</f>
        <v>2.5</v>
      </c>
      <c r="AD199" s="135">
        <f>+((AD139*2.5)+((+AD140+AD141+AD142)*2.5))/AD143</f>
        <v>2.5</v>
      </c>
      <c r="AE199" s="756">
        <f>+$D$199</f>
        <v>2.5</v>
      </c>
      <c r="AF199" s="1934">
        <f>+((AF139*2.5)+((+AF140+AF141+AF142)*2.5))/AF143</f>
        <v>2.4999999999999996</v>
      </c>
      <c r="AG199" s="755">
        <f>+$D$199</f>
        <v>2.5</v>
      </c>
      <c r="AH199" s="135">
        <f>+((AH139*2.5)+((+AH140+AH141+AH142)*2.5))/AH143</f>
        <v>2.5000000000000004</v>
      </c>
      <c r="AI199" s="756">
        <f>+$D$199</f>
        <v>2.5</v>
      </c>
      <c r="AJ199" s="1934">
        <f>+((AJ139*2.5)+((+AJ140+AJ141+AJ142)*2.5))/AJ143</f>
        <v>2.5</v>
      </c>
      <c r="AK199" s="755">
        <f>+$D$199</f>
        <v>2.5</v>
      </c>
      <c r="AL199" s="135">
        <f>+((AL139*2.5)+((+AL140+AL141+AL142)*2.5))/AL143</f>
        <v>2.5</v>
      </c>
      <c r="AM199" s="757">
        <f>+$D$199</f>
        <v>2.5</v>
      </c>
      <c r="AN199" s="2225">
        <f>+((AN139*2.5)+((+AN140+AN141+AN142)*2.5))/AN143</f>
        <v>2.5</v>
      </c>
      <c r="AO199" s="756">
        <f>+$D$199</f>
        <v>2.5</v>
      </c>
      <c r="AP199" s="1934">
        <f>+((AP139*2.5)+((+AP140+AP141+AP142)*2.5))/AP143</f>
        <v>2.5</v>
      </c>
      <c r="AQ199" s="755">
        <f>+$D$199</f>
        <v>2.5</v>
      </c>
      <c r="AR199" s="135">
        <f>+((AR139*2.5)+((+AR140+AR141+AR142)*2.5))/AR143</f>
        <v>2.5000000000000004</v>
      </c>
      <c r="AS199" s="756">
        <f>+$D$199</f>
        <v>2.5</v>
      </c>
      <c r="AT199" s="1934">
        <f>+((AT139*2.5)+((+AT140+AT141+AT142)*2.5))/AT143</f>
        <v>2.5</v>
      </c>
      <c r="AU199" s="755">
        <f>+$D$199</f>
        <v>2.5</v>
      </c>
      <c r="AV199" s="135">
        <f>+((AV139*2.5)+((+AV140+AV141+AV142)*2.5))/AV143</f>
        <v>2.5000000000000004</v>
      </c>
      <c r="AW199" s="756">
        <f>+$D$199</f>
        <v>2.5</v>
      </c>
      <c r="AX199" s="1934">
        <f>+((AX139*2.5)+((+AX140+AX141+AX142)*2.5))/AX143</f>
        <v>2.5</v>
      </c>
      <c r="AY199" s="755">
        <f>+$D$199</f>
        <v>2.5</v>
      </c>
      <c r="AZ199" s="135">
        <f>+((AZ139*2.5)+((+AZ140+AZ141+AZ142)*2.5))/AZ143</f>
        <v>2.5</v>
      </c>
      <c r="BA199" s="757">
        <f>+$D$199</f>
        <v>2.5</v>
      </c>
      <c r="BB199" s="2225">
        <f>+((BB139*2.5)+((+BB140+BB141+BB142)*2.5))/BB143</f>
        <v>2.5</v>
      </c>
      <c r="BC199" s="758">
        <f>+$D$199</f>
        <v>2.5</v>
      </c>
      <c r="BD199" s="476">
        <f>+((BD139*2.5)+((+BD140+BD141+BD142)*2.5))/BD143</f>
        <v>2.4999999999999996</v>
      </c>
      <c r="BE199" s="756">
        <f>+$D$199</f>
        <v>2.5</v>
      </c>
      <c r="BF199" s="1934">
        <f>+((BF139*2.5)+((+BF140+BF141+BF142)*2.5))/BF143</f>
        <v>2.4999999999999996</v>
      </c>
      <c r="BG199" s="1222"/>
      <c r="BH199" s="1222"/>
      <c r="BI199" s="4713"/>
      <c r="BJ199" s="4713"/>
      <c r="BK199" s="26"/>
      <c r="BL199" s="26"/>
      <c r="BM199" s="26"/>
      <c r="BN199" s="26"/>
    </row>
    <row r="200" spans="1:66" x14ac:dyDescent="0.25">
      <c r="A200" s="148"/>
      <c r="B200" s="1944"/>
      <c r="C200" s="1928"/>
      <c r="D200" s="1928"/>
      <c r="E200" s="1928"/>
      <c r="F200" s="1928"/>
      <c r="G200" s="1928"/>
      <c r="H200" s="1928"/>
      <c r="I200" s="1928"/>
      <c r="J200" s="1928"/>
      <c r="K200" s="1928"/>
      <c r="L200" s="1928"/>
      <c r="M200" s="1928"/>
      <c r="N200" s="1928"/>
      <c r="O200" s="1928"/>
      <c r="P200" s="1928"/>
      <c r="Q200" s="1928"/>
      <c r="R200" s="1928"/>
      <c r="S200" s="1928"/>
      <c r="T200" s="1928"/>
      <c r="U200" s="1928"/>
      <c r="V200" s="1928"/>
      <c r="W200" s="1928"/>
      <c r="X200" s="1928"/>
      <c r="Y200" s="1928"/>
      <c r="Z200" s="1928"/>
      <c r="AA200" s="2598"/>
      <c r="AB200" s="1929"/>
      <c r="AC200" s="1928"/>
      <c r="AD200" s="1928"/>
      <c r="AE200" s="1928"/>
      <c r="AF200" s="1928"/>
      <c r="AG200" s="1928"/>
      <c r="AH200" s="1928"/>
      <c r="AI200" s="1928"/>
      <c r="AJ200" s="1928"/>
      <c r="AK200" s="1928"/>
      <c r="AL200" s="1928"/>
      <c r="AM200" s="1928"/>
      <c r="AN200" s="1928"/>
      <c r="AO200" s="1928"/>
      <c r="AP200" s="1928"/>
      <c r="AQ200" s="1928"/>
      <c r="AR200" s="1928"/>
      <c r="AS200" s="1928"/>
      <c r="AT200" s="1928"/>
      <c r="AU200" s="1928"/>
      <c r="AV200" s="1928"/>
      <c r="AW200" s="1928"/>
      <c r="AX200" s="1928"/>
      <c r="AY200" s="1928"/>
      <c r="AZ200" s="1928"/>
      <c r="BA200" s="1928"/>
      <c r="BB200" s="1928"/>
      <c r="BC200" s="2598"/>
      <c r="BD200" s="1929"/>
      <c r="BE200" s="1928"/>
      <c r="BF200" s="1928"/>
      <c r="BG200" s="1222"/>
      <c r="BH200" s="1222"/>
      <c r="BI200" s="4713"/>
      <c r="BJ200" s="4713"/>
      <c r="BK200" s="26"/>
      <c r="BL200" s="26"/>
      <c r="BM200" s="26"/>
      <c r="BN200" s="26"/>
    </row>
    <row r="201" spans="1:66" ht="15.75" thickBot="1" x14ac:dyDescent="0.3">
      <c r="B201" s="1944"/>
      <c r="C201" s="1928"/>
      <c r="D201" s="1928"/>
      <c r="E201" s="1928"/>
      <c r="F201" s="1928"/>
      <c r="G201" s="1928"/>
      <c r="H201" s="1928"/>
      <c r="I201" s="1928"/>
      <c r="J201" s="1928"/>
      <c r="K201" s="1928"/>
      <c r="L201" s="1928"/>
      <c r="M201" s="1928"/>
      <c r="N201" s="1928"/>
      <c r="O201" s="1928"/>
      <c r="P201" s="1928"/>
      <c r="Q201" s="1928"/>
      <c r="R201" s="1928"/>
      <c r="S201" s="1928"/>
      <c r="T201" s="1928"/>
      <c r="U201" s="1928"/>
      <c r="V201" s="1928"/>
      <c r="W201" s="1928"/>
      <c r="X201" s="1928"/>
      <c r="Y201" s="1928"/>
      <c r="Z201" s="1928"/>
      <c r="AA201" s="2598"/>
      <c r="AB201" s="1929"/>
      <c r="AC201" s="1928"/>
      <c r="AD201" s="1928"/>
      <c r="AE201" s="1928"/>
      <c r="AF201" s="1928"/>
      <c r="AG201" s="1928"/>
      <c r="AH201" s="1928"/>
      <c r="AI201" s="1928"/>
      <c r="AJ201" s="1928"/>
      <c r="AK201" s="1928"/>
      <c r="AL201" s="1928"/>
      <c r="AM201" s="1928"/>
      <c r="AN201" s="1928"/>
      <c r="AO201" s="1928"/>
      <c r="AP201" s="1928"/>
      <c r="AQ201" s="1928"/>
      <c r="AR201" s="1928"/>
      <c r="AS201" s="1928"/>
      <c r="AT201" s="1928"/>
      <c r="AU201" s="1928"/>
      <c r="AV201" s="1928"/>
      <c r="AW201" s="1928"/>
      <c r="AX201" s="1928"/>
      <c r="AY201" s="1928"/>
      <c r="AZ201" s="1928"/>
      <c r="BA201" s="1928"/>
      <c r="BB201" s="1928"/>
      <c r="BC201" s="2598"/>
      <c r="BD201" s="1929"/>
      <c r="BE201" s="1928"/>
      <c r="BF201" s="1928"/>
      <c r="BG201" s="1222"/>
      <c r="BH201" s="1222"/>
      <c r="BI201" s="4713"/>
      <c r="BJ201" s="4713"/>
      <c r="BK201" s="26"/>
      <c r="BL201" s="26"/>
      <c r="BM201" s="26"/>
      <c r="BN201" s="26"/>
    </row>
    <row r="202" spans="1:66" ht="19.5" thickBot="1" x14ac:dyDescent="0.3">
      <c r="B202" s="1926" t="s">
        <v>649</v>
      </c>
      <c r="C202" s="1964"/>
      <c r="D202" s="1928"/>
      <c r="E202" s="1928"/>
      <c r="F202" s="1928"/>
      <c r="G202" s="1928"/>
      <c r="H202" s="1928"/>
      <c r="I202" s="1928"/>
      <c r="J202" s="1928"/>
      <c r="K202" s="1928"/>
      <c r="L202" s="1928"/>
      <c r="M202" s="1928"/>
      <c r="N202" s="1928"/>
      <c r="O202" s="1928"/>
      <c r="P202" s="1928"/>
      <c r="Q202" s="1928"/>
      <c r="R202" s="1928"/>
      <c r="S202" s="1928"/>
      <c r="T202" s="1928"/>
      <c r="U202" s="1928"/>
      <c r="V202" s="1928"/>
      <c r="W202" s="1928"/>
      <c r="X202" s="1928"/>
      <c r="Y202" s="1928"/>
      <c r="Z202" s="1928"/>
      <c r="AA202" s="2598"/>
      <c r="AB202" s="1929"/>
      <c r="AC202" s="1928"/>
      <c r="AD202" s="1928"/>
      <c r="AE202" s="1928"/>
      <c r="AF202" s="1928"/>
      <c r="AG202" s="1928"/>
      <c r="AH202" s="1928"/>
      <c r="AI202" s="1928"/>
      <c r="AJ202" s="1928"/>
      <c r="AK202" s="1928"/>
      <c r="AL202" s="1928"/>
      <c r="AM202" s="1928"/>
      <c r="AN202" s="1928"/>
      <c r="AO202" s="1928"/>
      <c r="AP202" s="1928"/>
      <c r="AQ202" s="1928"/>
      <c r="AR202" s="1928"/>
      <c r="AS202" s="1928"/>
      <c r="AT202" s="1928"/>
      <c r="AU202" s="1928"/>
      <c r="AV202" s="1928"/>
      <c r="AW202" s="1928"/>
      <c r="AX202" s="1928"/>
      <c r="AY202" s="1928"/>
      <c r="AZ202" s="1928"/>
      <c r="BA202" s="1928"/>
      <c r="BB202" s="1928"/>
      <c r="BC202" s="2598"/>
      <c r="BD202" s="1929"/>
      <c r="BE202" s="1928"/>
      <c r="BF202" s="1928"/>
      <c r="BG202" s="1222"/>
      <c r="BH202" s="1222"/>
      <c r="BI202" s="4713"/>
      <c r="BJ202" s="4713"/>
      <c r="BK202" s="26"/>
      <c r="BL202" s="26"/>
      <c r="BM202" s="26"/>
      <c r="BN202" s="26"/>
    </row>
    <row r="203" spans="1:66" x14ac:dyDescent="0.25">
      <c r="B203" s="1965" t="s">
        <v>2262</v>
      </c>
      <c r="C203" s="1332" t="s">
        <v>49</v>
      </c>
      <c r="D203" s="1949">
        <f t="shared" ref="D203:AX203" si="837">+D127/D$143*100</f>
        <v>46.29682276900661</v>
      </c>
      <c r="E203" s="768">
        <f t="shared" si="837"/>
        <v>46.2601158904831</v>
      </c>
      <c r="F203" s="144">
        <f t="shared" si="837"/>
        <v>43.988231978876421</v>
      </c>
      <c r="G203" s="768">
        <f t="shared" ref="G203:H203" si="838">+G127/G$143*100</f>
        <v>46.2601158904831</v>
      </c>
      <c r="H203" s="144">
        <f t="shared" si="838"/>
        <v>43.020364061822285</v>
      </c>
      <c r="I203" s="1453">
        <f t="shared" si="837"/>
        <v>46.260115890483107</v>
      </c>
      <c r="J203" s="166">
        <f t="shared" si="837"/>
        <v>43.495385046252032</v>
      </c>
      <c r="K203" s="768">
        <f t="shared" si="837"/>
        <v>53.585579056408569</v>
      </c>
      <c r="L203" s="144">
        <f t="shared" si="837"/>
        <v>53.93662772853299</v>
      </c>
      <c r="M203" s="1577">
        <f t="shared" si="837"/>
        <v>49.470093666562647</v>
      </c>
      <c r="N203" s="174">
        <f t="shared" si="837"/>
        <v>46.928342082269069</v>
      </c>
      <c r="O203" s="768">
        <f t="shared" si="837"/>
        <v>53.580679645389814</v>
      </c>
      <c r="P203" s="144">
        <f t="shared" si="837"/>
        <v>53.950076952114756</v>
      </c>
      <c r="Q203" s="769">
        <f t="shared" si="837"/>
        <v>50.500013942783418</v>
      </c>
      <c r="R203" s="166">
        <f t="shared" si="837"/>
        <v>48.728481574701988</v>
      </c>
      <c r="S203" s="768">
        <f t="shared" si="837"/>
        <v>53.626976476580666</v>
      </c>
      <c r="T203" s="144">
        <f t="shared" si="837"/>
        <v>51.046507283841599</v>
      </c>
      <c r="U203" s="769">
        <f t="shared" si="837"/>
        <v>51.143292012176325</v>
      </c>
      <c r="V203" s="166">
        <f t="shared" si="837"/>
        <v>49.20374820138079</v>
      </c>
      <c r="W203" s="768">
        <f t="shared" si="837"/>
        <v>53.626976476580666</v>
      </c>
      <c r="X203" s="144">
        <f t="shared" si="837"/>
        <v>46.354102192843243</v>
      </c>
      <c r="Y203" s="1536">
        <f t="shared" si="837"/>
        <v>53.611717601436617</v>
      </c>
      <c r="Z203" s="1536">
        <f t="shared" si="837"/>
        <v>50.491115494510716</v>
      </c>
      <c r="AA203" s="2463">
        <f t="shared" si="837"/>
        <v>51.55565773934633</v>
      </c>
      <c r="AB203" s="478">
        <f t="shared" si="837"/>
        <v>48.73291905310635</v>
      </c>
      <c r="AC203" s="768">
        <f t="shared" si="837"/>
        <v>53.626976476580666</v>
      </c>
      <c r="AD203" s="144">
        <f t="shared" si="837"/>
        <v>45.938251335879038</v>
      </c>
      <c r="AE203" s="1453">
        <f t="shared" si="837"/>
        <v>51.858982201057955</v>
      </c>
      <c r="AF203" s="166">
        <f t="shared" si="837"/>
        <v>48.328165593959554</v>
      </c>
      <c r="AG203" s="768">
        <f t="shared" si="837"/>
        <v>53.626975143475583</v>
      </c>
      <c r="AH203" s="144">
        <f t="shared" si="837"/>
        <v>44.818876735306191</v>
      </c>
      <c r="AI203" s="1453">
        <f t="shared" si="837"/>
        <v>52.078435627304074</v>
      </c>
      <c r="AJ203" s="166">
        <f t="shared" si="837"/>
        <v>47.911610487032483</v>
      </c>
      <c r="AK203" s="768">
        <f t="shared" si="837"/>
        <v>53.626975143475576</v>
      </c>
      <c r="AL203" s="144">
        <f t="shared" si="837"/>
        <v>46.676916152906109</v>
      </c>
      <c r="AM203" s="1536">
        <f t="shared" si="837"/>
        <v>53.626975592674029</v>
      </c>
      <c r="AN203" s="1536">
        <f t="shared" si="837"/>
        <v>45.836197669006424</v>
      </c>
      <c r="AO203" s="1453">
        <f t="shared" si="837"/>
        <v>52.25447674747474</v>
      </c>
      <c r="AP203" s="166">
        <f t="shared" si="837"/>
        <v>47.771366317389386</v>
      </c>
      <c r="AQ203" s="768">
        <f t="shared" si="837"/>
        <v>53.626975143475576</v>
      </c>
      <c r="AR203" s="144">
        <f t="shared" si="837"/>
        <v>51.730401639721805</v>
      </c>
      <c r="AS203" s="1453">
        <f t="shared" si="837"/>
        <v>52.394578143705708</v>
      </c>
      <c r="AT203" s="166">
        <f t="shared" si="837"/>
        <v>48.175189193718772</v>
      </c>
      <c r="AU203" s="768">
        <f t="shared" si="837"/>
        <v>53.626975143475583</v>
      </c>
      <c r="AV203" s="144">
        <f t="shared" si="837"/>
        <v>52.544159206827111</v>
      </c>
      <c r="AW203" s="1453">
        <f t="shared" si="837"/>
        <v>52.498612252296184</v>
      </c>
      <c r="AX203" s="166">
        <f t="shared" si="837"/>
        <v>48.543153135959898</v>
      </c>
      <c r="AY203" s="768">
        <f t="shared" ref="AY203:AZ203" si="839">+AY127/AY$143*100</f>
        <v>53.626975143475576</v>
      </c>
      <c r="AZ203" s="144">
        <f t="shared" si="839"/>
        <v>48.029909919897868</v>
      </c>
      <c r="BA203" s="1536">
        <f t="shared" ref="BA203:BF206" si="840">+BA127/BA$143*100</f>
        <v>53.626975143475576</v>
      </c>
      <c r="BB203" s="1536">
        <f t="shared" si="840"/>
        <v>50.706975935582719</v>
      </c>
      <c r="BC203" s="2463">
        <f t="shared" si="840"/>
        <v>53.62697537054293</v>
      </c>
      <c r="BD203" s="478">
        <f t="shared" si="840"/>
        <v>48.263348656196598</v>
      </c>
      <c r="BE203" s="1453">
        <f t="shared" si="840"/>
        <v>52.595056075432403</v>
      </c>
      <c r="BF203" s="166">
        <f t="shared" si="840"/>
        <v>48.499264353111514</v>
      </c>
      <c r="BG203" s="1222"/>
      <c r="BH203" s="1222"/>
      <c r="BI203" s="4713"/>
      <c r="BJ203" s="4713"/>
      <c r="BK203" s="26"/>
      <c r="BL203" s="26"/>
      <c r="BM203" s="26"/>
      <c r="BN203" s="26"/>
    </row>
    <row r="204" spans="1:66" x14ac:dyDescent="0.25">
      <c r="B204" s="1904" t="s">
        <v>10</v>
      </c>
      <c r="C204" s="1395" t="s">
        <v>49</v>
      </c>
      <c r="D204" s="142">
        <f t="shared" ref="D204:AX204" si="841">+D128/D$143*100</f>
        <v>10.005197455222669</v>
      </c>
      <c r="E204" s="1366">
        <f t="shared" si="841"/>
        <v>10.005238019791708</v>
      </c>
      <c r="F204" s="690">
        <f t="shared" si="841"/>
        <v>11.271610316854352</v>
      </c>
      <c r="G204" s="1366">
        <f t="shared" ref="G204:H204" si="842">+G128/G$143*100</f>
        <v>10.005238019791712</v>
      </c>
      <c r="H204" s="690">
        <f t="shared" si="842"/>
        <v>12.000012348404047</v>
      </c>
      <c r="I204" s="348">
        <f t="shared" si="841"/>
        <v>10.00523801979171</v>
      </c>
      <c r="J204" s="127">
        <f t="shared" si="841"/>
        <v>11.642519095460514</v>
      </c>
      <c r="K204" s="1366">
        <f t="shared" si="841"/>
        <v>9.2893328196329392</v>
      </c>
      <c r="L204" s="690">
        <f t="shared" si="841"/>
        <v>8.9366270867026749</v>
      </c>
      <c r="M204" s="241">
        <f t="shared" si="841"/>
        <v>9.9413748106125208</v>
      </c>
      <c r="N204" s="123">
        <f t="shared" si="841"/>
        <v>10.752853823535407</v>
      </c>
      <c r="O204" s="1366">
        <f t="shared" si="841"/>
        <v>9.2868706927626938</v>
      </c>
      <c r="P204" s="690">
        <f t="shared" si="841"/>
        <v>8.3839639664675722</v>
      </c>
      <c r="Q204" s="54">
        <f t="shared" si="841"/>
        <v>9.7773867404649586</v>
      </c>
      <c r="R204" s="127">
        <f t="shared" si="841"/>
        <v>10.145549181025418</v>
      </c>
      <c r="S204" s="1366">
        <f t="shared" si="841"/>
        <v>9.3101322679575969</v>
      </c>
      <c r="T204" s="690">
        <f t="shared" si="841"/>
        <v>10.629421849979307</v>
      </c>
      <c r="U204" s="54">
        <f t="shared" si="841"/>
        <v>9.68126324946018</v>
      </c>
      <c r="V204" s="127">
        <f t="shared" si="841"/>
        <v>10.244757973321834</v>
      </c>
      <c r="W204" s="1366">
        <f t="shared" si="841"/>
        <v>9.3101322679575933</v>
      </c>
      <c r="X204" s="690">
        <f t="shared" si="841"/>
        <v>10.912859837994276</v>
      </c>
      <c r="Y204" s="452">
        <f t="shared" si="841"/>
        <v>9.3024655343513647</v>
      </c>
      <c r="Z204" s="452">
        <f t="shared" si="841"/>
        <v>9.9676564651983544</v>
      </c>
      <c r="AA204" s="472">
        <f t="shared" si="841"/>
        <v>9.6196444330380437</v>
      </c>
      <c r="AB204" s="480">
        <f t="shared" si="841"/>
        <v>10.355144256727508</v>
      </c>
      <c r="AC204" s="1366">
        <f t="shared" si="841"/>
        <v>9.3101322679575969</v>
      </c>
      <c r="AD204" s="690">
        <f t="shared" si="841"/>
        <v>10.707939026114975</v>
      </c>
      <c r="AE204" s="348">
        <f t="shared" si="841"/>
        <v>9.5743193900214507</v>
      </c>
      <c r="AF204" s="127">
        <f t="shared" si="841"/>
        <v>10.406239742032696</v>
      </c>
      <c r="AG204" s="1366">
        <f t="shared" si="841"/>
        <v>9.3101320365183913</v>
      </c>
      <c r="AH204" s="690">
        <f t="shared" si="841"/>
        <v>10.707086108531669</v>
      </c>
      <c r="AI204" s="348">
        <f t="shared" si="841"/>
        <v>9.5415269401727159</v>
      </c>
      <c r="AJ204" s="127">
        <f t="shared" si="841"/>
        <v>10.441950421721142</v>
      </c>
      <c r="AK204" s="1366">
        <f t="shared" si="841"/>
        <v>9.3101320365183931</v>
      </c>
      <c r="AL204" s="690">
        <f t="shared" si="841"/>
        <v>10.703375433768741</v>
      </c>
      <c r="AM204" s="452">
        <f t="shared" si="841"/>
        <v>9.3101321145033396</v>
      </c>
      <c r="AN204" s="452">
        <f t="shared" si="841"/>
        <v>10.706107087813994</v>
      </c>
      <c r="AO204" s="348">
        <f t="shared" si="841"/>
        <v>9.5152214971306197</v>
      </c>
      <c r="AP204" s="127">
        <f t="shared" si="841"/>
        <v>10.4716446810412</v>
      </c>
      <c r="AQ204" s="1366">
        <f t="shared" si="841"/>
        <v>9.3101320365183931</v>
      </c>
      <c r="AR204" s="690">
        <f t="shared" si="841"/>
        <v>10.4537838452319</v>
      </c>
      <c r="AS204" s="348">
        <f t="shared" si="841"/>
        <v>9.4942864491424022</v>
      </c>
      <c r="AT204" s="127">
        <f t="shared" si="841"/>
        <v>10.469822870043584</v>
      </c>
      <c r="AU204" s="1366">
        <f t="shared" si="841"/>
        <v>9.3101320365183931</v>
      </c>
      <c r="AV204" s="690">
        <f t="shared" si="841"/>
        <v>8.6205030206864741</v>
      </c>
      <c r="AW204" s="348">
        <f t="shared" si="841"/>
        <v>9.4787408577753975</v>
      </c>
      <c r="AX204" s="127">
        <f t="shared" si="841"/>
        <v>10.31406922097011</v>
      </c>
      <c r="AY204" s="1366">
        <f t="shared" ref="AY204:AZ204" si="843">+AY128/AY$143*100</f>
        <v>9.3101320365183931</v>
      </c>
      <c r="AZ204" s="690">
        <f t="shared" si="843"/>
        <v>8.6854198379357239</v>
      </c>
      <c r="BA204" s="452">
        <f t="shared" si="840"/>
        <v>9.3101320365183913</v>
      </c>
      <c r="BB204" s="452">
        <f t="shared" si="840"/>
        <v>9.2744677859684863</v>
      </c>
      <c r="BC204" s="472">
        <f t="shared" si="840"/>
        <v>9.3101320759393555</v>
      </c>
      <c r="BD204" s="480">
        <f t="shared" si="840"/>
        <v>9.9927088268791859</v>
      </c>
      <c r="BE204" s="348">
        <f t="shared" si="840"/>
        <v>9.4643294663129236</v>
      </c>
      <c r="BF204" s="127">
        <f t="shared" si="840"/>
        <v>10.174799111066658</v>
      </c>
      <c r="BG204" s="1222"/>
      <c r="BH204" s="1222"/>
      <c r="BI204" s="4713"/>
      <c r="BJ204" s="4713"/>
      <c r="BK204" s="26"/>
      <c r="BL204" s="26"/>
      <c r="BM204" s="26"/>
      <c r="BN204" s="26"/>
    </row>
    <row r="205" spans="1:66" x14ac:dyDescent="0.25">
      <c r="B205" s="1905" t="s">
        <v>2264</v>
      </c>
      <c r="C205" s="1395" t="s">
        <v>49</v>
      </c>
      <c r="D205" s="142">
        <f t="shared" ref="D205:AX206" si="844">+D129/D$143*100</f>
        <v>2.5012993638056673</v>
      </c>
      <c r="E205" s="1366">
        <f t="shared" si="844"/>
        <v>2.501309504947927</v>
      </c>
      <c r="F205" s="690">
        <f t="shared" si="844"/>
        <v>0</v>
      </c>
      <c r="G205" s="1366">
        <f t="shared" ref="G205:H205" si="845">+G129/G$143*100</f>
        <v>2.5013095049479279</v>
      </c>
      <c r="H205" s="690">
        <f t="shared" si="845"/>
        <v>0</v>
      </c>
      <c r="I205" s="348">
        <f t="shared" si="844"/>
        <v>2.5013095049479275</v>
      </c>
      <c r="J205" s="127">
        <f t="shared" si="844"/>
        <v>0</v>
      </c>
      <c r="K205" s="1366">
        <f t="shared" si="844"/>
        <v>0</v>
      </c>
      <c r="L205" s="690">
        <f t="shared" si="844"/>
        <v>0</v>
      </c>
      <c r="M205" s="241">
        <f t="shared" si="844"/>
        <v>1.7199486912915956</v>
      </c>
      <c r="N205" s="123">
        <f t="shared" si="844"/>
        <v>0</v>
      </c>
      <c r="O205" s="1366">
        <f t="shared" si="844"/>
        <v>0</v>
      </c>
      <c r="P205" s="690">
        <f t="shared" si="844"/>
        <v>0</v>
      </c>
      <c r="Q205" s="54">
        <f t="shared" si="844"/>
        <v>1.2890101242978023</v>
      </c>
      <c r="R205" s="127">
        <f t="shared" si="844"/>
        <v>0</v>
      </c>
      <c r="S205" s="1366">
        <f t="shared" si="844"/>
        <v>0</v>
      </c>
      <c r="T205" s="690">
        <f t="shared" si="844"/>
        <v>0</v>
      </c>
      <c r="U205" s="54">
        <f t="shared" si="844"/>
        <v>1.0238352348566839</v>
      </c>
      <c r="V205" s="127">
        <f t="shared" si="844"/>
        <v>0</v>
      </c>
      <c r="W205" s="1366">
        <f t="shared" si="844"/>
        <v>0</v>
      </c>
      <c r="X205" s="690">
        <f t="shared" si="844"/>
        <v>3.1136901620939685</v>
      </c>
      <c r="Y205" s="452">
        <f t="shared" si="844"/>
        <v>0</v>
      </c>
      <c r="Z205" s="452">
        <f t="shared" si="844"/>
        <v>1.0156886837679564</v>
      </c>
      <c r="AA205" s="472">
        <f t="shared" si="844"/>
        <v>0.85384803753964644</v>
      </c>
      <c r="AB205" s="480">
        <f t="shared" si="844"/>
        <v>0.51445550872528334</v>
      </c>
      <c r="AC205" s="1366">
        <f t="shared" si="844"/>
        <v>0</v>
      </c>
      <c r="AD205" s="690">
        <f t="shared" si="844"/>
        <v>3.2307058483523643</v>
      </c>
      <c r="AE205" s="348">
        <f t="shared" si="844"/>
        <v>0.72881030591749674</v>
      </c>
      <c r="AF205" s="127">
        <f t="shared" si="844"/>
        <v>0.90785173042832945</v>
      </c>
      <c r="AG205" s="1366">
        <f t="shared" si="844"/>
        <v>0</v>
      </c>
      <c r="AH205" s="690">
        <f t="shared" si="844"/>
        <v>3.2323263847471591</v>
      </c>
      <c r="AI205" s="348">
        <f t="shared" si="844"/>
        <v>0.63834618986826874</v>
      </c>
      <c r="AJ205" s="127">
        <f t="shared" si="844"/>
        <v>1.1837685406935949</v>
      </c>
      <c r="AK205" s="1366">
        <f t="shared" si="844"/>
        <v>0</v>
      </c>
      <c r="AL205" s="690">
        <f t="shared" si="844"/>
        <v>1.6730721361953003</v>
      </c>
      <c r="AM205" s="452">
        <f t="shared" si="844"/>
        <v>0</v>
      </c>
      <c r="AN205" s="452">
        <f t="shared" si="844"/>
        <v>2.6982230667494727</v>
      </c>
      <c r="AO205" s="348">
        <f t="shared" si="844"/>
        <v>0.56577769733220973</v>
      </c>
      <c r="AP205" s="127">
        <f t="shared" si="844"/>
        <v>1.2393466498318977</v>
      </c>
      <c r="AQ205" s="1366">
        <f t="shared" si="844"/>
        <v>0</v>
      </c>
      <c r="AR205" s="690">
        <f t="shared" si="844"/>
        <v>0</v>
      </c>
      <c r="AS205" s="348">
        <f t="shared" si="844"/>
        <v>0.50802444560998694</v>
      </c>
      <c r="AT205" s="127">
        <f t="shared" si="844"/>
        <v>1.1129328929045015</v>
      </c>
      <c r="AU205" s="1366">
        <f t="shared" si="844"/>
        <v>0</v>
      </c>
      <c r="AV205" s="690">
        <f t="shared" si="844"/>
        <v>0</v>
      </c>
      <c r="AW205" s="348">
        <f t="shared" si="844"/>
        <v>0.46513901960596415</v>
      </c>
      <c r="AX205" s="127">
        <f t="shared" si="844"/>
        <v>1.0191993187453121</v>
      </c>
      <c r="AY205" s="1366">
        <f t="shared" ref="AY205:AZ206" si="846">+AY129/AY$143*100</f>
        <v>0</v>
      </c>
      <c r="AZ205" s="690">
        <f t="shared" si="846"/>
        <v>0</v>
      </c>
      <c r="BA205" s="452">
        <f t="shared" si="840"/>
        <v>0</v>
      </c>
      <c r="BB205" s="452">
        <f t="shared" si="840"/>
        <v>0</v>
      </c>
      <c r="BC205" s="472">
        <f t="shared" si="840"/>
        <v>0</v>
      </c>
      <c r="BD205" s="480">
        <f t="shared" si="840"/>
        <v>1.3536751481837555</v>
      </c>
      <c r="BE205" s="348">
        <f t="shared" si="840"/>
        <v>0.4253824965128129</v>
      </c>
      <c r="BF205" s="127">
        <f t="shared" si="840"/>
        <v>0.93204489335835561</v>
      </c>
      <c r="BG205" s="1222"/>
      <c r="BH205" s="1222"/>
      <c r="BI205" s="4713"/>
      <c r="BJ205" s="4713"/>
      <c r="BK205" s="26"/>
      <c r="BL205" s="26"/>
      <c r="BM205" s="26"/>
      <c r="BN205" s="26"/>
    </row>
    <row r="206" spans="1:66" x14ac:dyDescent="0.25">
      <c r="B206" s="1905" t="s">
        <v>2263</v>
      </c>
      <c r="C206" s="1395" t="s">
        <v>49</v>
      </c>
      <c r="D206" s="142">
        <f t="shared" si="844"/>
        <v>2.5012993638056673</v>
      </c>
      <c r="E206" s="1366">
        <f t="shared" si="844"/>
        <v>2.501309504947927</v>
      </c>
      <c r="F206" s="690">
        <f t="shared" si="844"/>
        <v>0</v>
      </c>
      <c r="G206" s="1366">
        <f t="shared" ref="G206:H206" si="847">+G130/G$143*100</f>
        <v>2.5013095049479279</v>
      </c>
      <c r="H206" s="690">
        <f t="shared" si="847"/>
        <v>0</v>
      </c>
      <c r="I206" s="348">
        <f t="shared" si="844"/>
        <v>2.5013095049479275</v>
      </c>
      <c r="J206" s="127">
        <f t="shared" si="844"/>
        <v>0</v>
      </c>
      <c r="K206" s="1366">
        <f t="shared" si="844"/>
        <v>0</v>
      </c>
      <c r="L206" s="690">
        <f t="shared" si="844"/>
        <v>0</v>
      </c>
      <c r="M206" s="241">
        <f t="shared" si="844"/>
        <v>0</v>
      </c>
      <c r="N206" s="123">
        <f t="shared" si="844"/>
        <v>0</v>
      </c>
      <c r="O206" s="1366">
        <f t="shared" si="844"/>
        <v>0</v>
      </c>
      <c r="P206" s="690">
        <f t="shared" si="844"/>
        <v>0</v>
      </c>
      <c r="Q206" s="54">
        <f t="shared" si="844"/>
        <v>0</v>
      </c>
      <c r="R206" s="127">
        <f t="shared" si="844"/>
        <v>0</v>
      </c>
      <c r="S206" s="1366">
        <f t="shared" si="844"/>
        <v>0</v>
      </c>
      <c r="T206" s="690">
        <f t="shared" si="844"/>
        <v>0</v>
      </c>
      <c r="U206" s="54">
        <f t="shared" si="844"/>
        <v>0</v>
      </c>
      <c r="V206" s="127">
        <f t="shared" si="844"/>
        <v>0</v>
      </c>
      <c r="W206" s="1366">
        <f t="shared" si="844"/>
        <v>0</v>
      </c>
      <c r="X206" s="690">
        <f t="shared" si="844"/>
        <v>0</v>
      </c>
      <c r="Y206" s="452">
        <f t="shared" si="844"/>
        <v>0</v>
      </c>
      <c r="Z206" s="452">
        <f t="shared" si="844"/>
        <v>0</v>
      </c>
      <c r="AA206" s="472">
        <f t="shared" si="844"/>
        <v>0</v>
      </c>
      <c r="AB206" s="480">
        <f t="shared" si="844"/>
        <v>0</v>
      </c>
      <c r="AC206" s="1366">
        <f t="shared" si="844"/>
        <v>0</v>
      </c>
      <c r="AD206" s="690">
        <f t="shared" si="844"/>
        <v>0</v>
      </c>
      <c r="AE206" s="348">
        <f t="shared" si="844"/>
        <v>0</v>
      </c>
      <c r="AF206" s="127">
        <f t="shared" si="844"/>
        <v>0</v>
      </c>
      <c r="AG206" s="1366">
        <f t="shared" si="844"/>
        <v>0</v>
      </c>
      <c r="AH206" s="690">
        <f t="shared" si="844"/>
        <v>0</v>
      </c>
      <c r="AI206" s="348">
        <f t="shared" si="844"/>
        <v>0</v>
      </c>
      <c r="AJ206" s="127">
        <f t="shared" si="844"/>
        <v>0</v>
      </c>
      <c r="AK206" s="1366">
        <f t="shared" si="844"/>
        <v>0</v>
      </c>
      <c r="AL206" s="690">
        <f t="shared" si="844"/>
        <v>0</v>
      </c>
      <c r="AM206" s="452">
        <f t="shared" si="844"/>
        <v>0</v>
      </c>
      <c r="AN206" s="452">
        <f t="shared" si="844"/>
        <v>0</v>
      </c>
      <c r="AO206" s="348">
        <f t="shared" si="844"/>
        <v>0</v>
      </c>
      <c r="AP206" s="127">
        <f t="shared" si="844"/>
        <v>0</v>
      </c>
      <c r="AQ206" s="1366">
        <f t="shared" si="844"/>
        <v>0</v>
      </c>
      <c r="AR206" s="690">
        <f t="shared" si="844"/>
        <v>0</v>
      </c>
      <c r="AS206" s="348">
        <f t="shared" si="844"/>
        <v>0</v>
      </c>
      <c r="AT206" s="127">
        <f t="shared" si="844"/>
        <v>0</v>
      </c>
      <c r="AU206" s="1366">
        <f t="shared" si="844"/>
        <v>0</v>
      </c>
      <c r="AV206" s="690">
        <f t="shared" si="844"/>
        <v>1.5049087598752948</v>
      </c>
      <c r="AW206" s="348">
        <f t="shared" si="844"/>
        <v>0</v>
      </c>
      <c r="AX206" s="127">
        <f t="shared" si="844"/>
        <v>0.1267466149539791</v>
      </c>
      <c r="AY206" s="1366">
        <f t="shared" si="846"/>
        <v>0</v>
      </c>
      <c r="AZ206" s="690">
        <f t="shared" si="846"/>
        <v>5.5971946662535501</v>
      </c>
      <c r="BA206" s="452">
        <f t="shared" si="840"/>
        <v>0</v>
      </c>
      <c r="BB206" s="452">
        <f t="shared" si="840"/>
        <v>2.3977735082364022</v>
      </c>
      <c r="BC206" s="472">
        <f t="shared" si="840"/>
        <v>0</v>
      </c>
      <c r="BD206" s="480">
        <f t="shared" si="840"/>
        <v>1.1948313019112629</v>
      </c>
      <c r="BE206" s="348">
        <f t="shared" si="840"/>
        <v>0</v>
      </c>
      <c r="BF206" s="127">
        <f t="shared" si="840"/>
        <v>0.59453907492848501</v>
      </c>
      <c r="BG206" s="1222"/>
      <c r="BH206" s="1222"/>
      <c r="BI206" s="4713"/>
      <c r="BJ206" s="4713"/>
      <c r="BK206" s="26"/>
      <c r="BL206" s="26"/>
      <c r="BM206" s="26"/>
      <c r="BN206" s="26"/>
    </row>
    <row r="207" spans="1:66" x14ac:dyDescent="0.25">
      <c r="B207" s="1904" t="s">
        <v>1284</v>
      </c>
      <c r="C207" s="1395" t="s">
        <v>49</v>
      </c>
      <c r="D207" s="142">
        <f t="shared" ref="D207:AR207" si="848">+D131/D$143*100</f>
        <v>0</v>
      </c>
      <c r="E207" s="1366">
        <f t="shared" si="848"/>
        <v>0</v>
      </c>
      <c r="F207" s="690">
        <f t="shared" si="848"/>
        <v>0</v>
      </c>
      <c r="G207" s="1366">
        <f t="shared" ref="G207:H207" si="849">+G131/G$143*100</f>
        <v>0</v>
      </c>
      <c r="H207" s="690">
        <f t="shared" si="849"/>
        <v>0</v>
      </c>
      <c r="I207" s="348">
        <f t="shared" si="848"/>
        <v>0</v>
      </c>
      <c r="J207" s="127">
        <f t="shared" si="848"/>
        <v>0</v>
      </c>
      <c r="K207" s="1366">
        <f t="shared" si="848"/>
        <v>0</v>
      </c>
      <c r="L207" s="690">
        <f t="shared" si="848"/>
        <v>0</v>
      </c>
      <c r="M207" s="241">
        <f t="shared" si="848"/>
        <v>0</v>
      </c>
      <c r="N207" s="123">
        <f t="shared" si="848"/>
        <v>0</v>
      </c>
      <c r="O207" s="1366">
        <f t="shared" si="848"/>
        <v>0</v>
      </c>
      <c r="P207" s="690">
        <f t="shared" si="848"/>
        <v>0</v>
      </c>
      <c r="Q207" s="54">
        <f t="shared" si="848"/>
        <v>0</v>
      </c>
      <c r="R207" s="127">
        <f t="shared" si="848"/>
        <v>0</v>
      </c>
      <c r="S207" s="1366">
        <f t="shared" si="848"/>
        <v>0</v>
      </c>
      <c r="T207" s="690">
        <f t="shared" si="848"/>
        <v>0</v>
      </c>
      <c r="U207" s="54">
        <f t="shared" si="848"/>
        <v>0</v>
      </c>
      <c r="V207" s="127">
        <f t="shared" si="848"/>
        <v>0</v>
      </c>
      <c r="W207" s="1366">
        <f t="shared" si="848"/>
        <v>0</v>
      </c>
      <c r="X207" s="690">
        <f t="shared" si="848"/>
        <v>0</v>
      </c>
      <c r="Y207" s="452">
        <f t="shared" si="848"/>
        <v>0</v>
      </c>
      <c r="Z207" s="452">
        <f t="shared" si="848"/>
        <v>0</v>
      </c>
      <c r="AA207" s="472">
        <f t="shared" si="848"/>
        <v>0</v>
      </c>
      <c r="AB207" s="480">
        <f t="shared" si="848"/>
        <v>0</v>
      </c>
      <c r="AC207" s="1366">
        <f t="shared" si="848"/>
        <v>0</v>
      </c>
      <c r="AD207" s="690">
        <f t="shared" si="848"/>
        <v>0</v>
      </c>
      <c r="AE207" s="348">
        <f t="shared" si="848"/>
        <v>0</v>
      </c>
      <c r="AF207" s="127">
        <f t="shared" si="848"/>
        <v>0</v>
      </c>
      <c r="AG207" s="1366">
        <f t="shared" si="848"/>
        <v>0</v>
      </c>
      <c r="AH207" s="690">
        <f t="shared" si="848"/>
        <v>0</v>
      </c>
      <c r="AI207" s="348">
        <f t="shared" si="848"/>
        <v>0</v>
      </c>
      <c r="AJ207" s="127">
        <f t="shared" si="848"/>
        <v>0</v>
      </c>
      <c r="AK207" s="1366">
        <f t="shared" si="848"/>
        <v>0</v>
      </c>
      <c r="AL207" s="690">
        <f t="shared" si="848"/>
        <v>0.83653913057112916</v>
      </c>
      <c r="AM207" s="452">
        <f t="shared" si="848"/>
        <v>0</v>
      </c>
      <c r="AN207" s="452">
        <f t="shared" si="848"/>
        <v>0.28624983065488607</v>
      </c>
      <c r="AO207" s="348">
        <f t="shared" si="848"/>
        <v>0</v>
      </c>
      <c r="AP207" s="127">
        <f t="shared" si="848"/>
        <v>9.5019254967197847E-2</v>
      </c>
      <c r="AQ207" s="1366">
        <f t="shared" si="848"/>
        <v>0</v>
      </c>
      <c r="AR207" s="690">
        <f t="shared" si="848"/>
        <v>0</v>
      </c>
      <c r="AS207" s="348">
        <f t="shared" ref="AS207:AX208" si="850">+AS131/AS$143*100</f>
        <v>0</v>
      </c>
      <c r="AT207" s="127">
        <f t="shared" si="850"/>
        <v>8.5327260396933849E-2</v>
      </c>
      <c r="AU207" s="1366">
        <f t="shared" si="850"/>
        <v>0</v>
      </c>
      <c r="AV207" s="690">
        <f t="shared" si="850"/>
        <v>0</v>
      </c>
      <c r="AW207" s="348">
        <f t="shared" si="850"/>
        <v>0</v>
      </c>
      <c r="AX207" s="127">
        <f t="shared" si="850"/>
        <v>7.8140817134084967E-2</v>
      </c>
      <c r="AY207" s="1366">
        <f t="shared" ref="AY207:BF207" si="851">+AY131/AY$143*100</f>
        <v>0</v>
      </c>
      <c r="AZ207" s="690">
        <f t="shared" si="851"/>
        <v>0</v>
      </c>
      <c r="BA207" s="452">
        <f t="shared" si="851"/>
        <v>0</v>
      </c>
      <c r="BB207" s="452">
        <f t="shared" si="851"/>
        <v>0</v>
      </c>
      <c r="BC207" s="472">
        <f t="shared" si="851"/>
        <v>0</v>
      </c>
      <c r="BD207" s="480">
        <f t="shared" si="851"/>
        <v>0.14360906135019183</v>
      </c>
      <c r="BE207" s="348">
        <f t="shared" si="851"/>
        <v>0</v>
      </c>
      <c r="BF207" s="127">
        <f t="shared" si="851"/>
        <v>7.14587894959854E-2</v>
      </c>
      <c r="BG207" s="1222"/>
      <c r="BH207" s="1222"/>
      <c r="BI207" s="4713"/>
      <c r="BJ207" s="4713"/>
      <c r="BK207" s="26"/>
      <c r="BL207" s="26"/>
      <c r="BM207" s="26"/>
      <c r="BN207" s="26"/>
    </row>
    <row r="208" spans="1:66" ht="15.75" thickBot="1" x14ac:dyDescent="0.3">
      <c r="B208" s="1905" t="s">
        <v>612</v>
      </c>
      <c r="C208" s="1407" t="s">
        <v>49</v>
      </c>
      <c r="D208" s="142">
        <f t="shared" ref="D208:AR208" si="852">+D132/D$143*100</f>
        <v>9.0046777097004007</v>
      </c>
      <c r="E208" s="1366">
        <f t="shared" si="852"/>
        <v>9.0047142178125377</v>
      </c>
      <c r="F208" s="1408">
        <f t="shared" si="852"/>
        <v>12.904656646687307</v>
      </c>
      <c r="G208" s="1366">
        <f t="shared" ref="G208:H208" si="853">+G132/G$143*100</f>
        <v>9.0047142178125394</v>
      </c>
      <c r="H208" s="1408">
        <f t="shared" si="853"/>
        <v>13.940675179862222</v>
      </c>
      <c r="I208" s="2593">
        <f t="shared" si="852"/>
        <v>9.0047142178125377</v>
      </c>
      <c r="J208" s="1411">
        <f t="shared" si="852"/>
        <v>13.432206477837166</v>
      </c>
      <c r="K208" s="1366">
        <f t="shared" si="852"/>
        <v>10.001975262040769</v>
      </c>
      <c r="L208" s="1408">
        <f t="shared" si="852"/>
        <v>10.000011552945676</v>
      </c>
      <c r="M208" s="2596">
        <f t="shared" si="852"/>
        <v>9.4882681633482218</v>
      </c>
      <c r="N208" s="1573">
        <f t="shared" si="852"/>
        <v>12.303741401895241</v>
      </c>
      <c r="O208" s="1366">
        <f t="shared" si="852"/>
        <v>10.001982359961264</v>
      </c>
      <c r="P208" s="1408">
        <f t="shared" si="852"/>
        <v>10.000022648277817</v>
      </c>
      <c r="Q208" s="2595">
        <f t="shared" si="852"/>
        <v>9.6169808748690251</v>
      </c>
      <c r="R208" s="1411">
        <f t="shared" si="852"/>
        <v>11.713144464711798</v>
      </c>
      <c r="S208" s="1366">
        <f t="shared" si="852"/>
        <v>10.001917697332994</v>
      </c>
      <c r="T208" s="1408">
        <f t="shared" si="852"/>
        <v>10.000026771894818</v>
      </c>
      <c r="U208" s="4897">
        <f t="shared" si="852"/>
        <v>9.6961699963620038</v>
      </c>
      <c r="V208" s="1411">
        <f t="shared" si="852"/>
        <v>11.361902602398244</v>
      </c>
      <c r="W208" s="1366">
        <f t="shared" si="852"/>
        <v>10.001917697332994</v>
      </c>
      <c r="X208" s="1408">
        <f t="shared" si="852"/>
        <v>9.9999987394120087</v>
      </c>
      <c r="Y208" s="452">
        <f t="shared" si="852"/>
        <v>10.00193900935254</v>
      </c>
      <c r="Z208" s="452">
        <f t="shared" si="852"/>
        <v>10.000016242597464</v>
      </c>
      <c r="AA208" s="472">
        <f t="shared" si="852"/>
        <v>9.7469332373648001</v>
      </c>
      <c r="AB208" s="480">
        <f t="shared" si="852"/>
        <v>11.136883763594984</v>
      </c>
      <c r="AC208" s="1366">
        <f t="shared" si="852"/>
        <v>10.001917697332994</v>
      </c>
      <c r="AD208" s="1408">
        <f t="shared" si="852"/>
        <v>10.000184471213267</v>
      </c>
      <c r="AE208" s="2617">
        <f t="shared" si="852"/>
        <v>9.7842732288756942</v>
      </c>
      <c r="AF208" s="1411">
        <f t="shared" si="852"/>
        <v>10.972254899932555</v>
      </c>
      <c r="AG208" s="1366">
        <f t="shared" si="852"/>
        <v>10.001917448696799</v>
      </c>
      <c r="AH208" s="1408">
        <f t="shared" si="852"/>
        <v>9.9999907430941537</v>
      </c>
      <c r="AI208" s="2666">
        <f t="shared" si="852"/>
        <v>9.8112884779734024</v>
      </c>
      <c r="AJ208" s="1411">
        <f t="shared" si="852"/>
        <v>10.856846446503447</v>
      </c>
      <c r="AK208" s="1366">
        <f t="shared" si="852"/>
        <v>10.001917448696798</v>
      </c>
      <c r="AL208" s="1408">
        <f t="shared" si="852"/>
        <v>9.9999865251166913</v>
      </c>
      <c r="AM208" s="452">
        <f t="shared" si="852"/>
        <v>10.001917532476384</v>
      </c>
      <c r="AN208" s="452">
        <f t="shared" si="852"/>
        <v>10.000055330581784</v>
      </c>
      <c r="AO208" s="2729">
        <f t="shared" si="852"/>
        <v>9.832959566888265</v>
      </c>
      <c r="AP208" s="1411">
        <f t="shared" si="852"/>
        <v>10.75951903124454</v>
      </c>
      <c r="AQ208" s="1366">
        <f t="shared" si="852"/>
        <v>10.001917448696798</v>
      </c>
      <c r="AR208" s="1408">
        <f t="shared" si="852"/>
        <v>10.623934871724011</v>
      </c>
      <c r="AS208" s="2794">
        <f t="shared" si="850"/>
        <v>9.8502063886073827</v>
      </c>
      <c r="AT208" s="1411">
        <f t="shared" si="850"/>
        <v>10.745689403361849</v>
      </c>
      <c r="AU208" s="1366">
        <f t="shared" si="850"/>
        <v>10.001917448696799</v>
      </c>
      <c r="AV208" s="1408">
        <f t="shared" si="850"/>
        <v>10.12541178056177</v>
      </c>
      <c r="AW208" s="6218">
        <f t="shared" si="850"/>
        <v>9.8630132397297618</v>
      </c>
      <c r="AX208" s="1411">
        <f t="shared" si="850"/>
        <v>10.693448303357803</v>
      </c>
      <c r="AY208" s="1366">
        <f t="shared" ref="AY208:BF208" si="854">+AY132/AY$143*100</f>
        <v>10.001917448696798</v>
      </c>
      <c r="AZ208" s="1408">
        <f t="shared" si="854"/>
        <v>6.1480191304348892</v>
      </c>
      <c r="BA208" s="452">
        <f t="shared" si="854"/>
        <v>10.001917448696798</v>
      </c>
      <c r="BB208" s="452">
        <f t="shared" si="854"/>
        <v>8.9254643242300791</v>
      </c>
      <c r="BC208" s="472">
        <f t="shared" si="854"/>
        <v>10.001917491046919</v>
      </c>
      <c r="BD208" s="480">
        <f t="shared" si="854"/>
        <v>9.4645773270376914</v>
      </c>
      <c r="BE208" s="348">
        <f t="shared" si="854"/>
        <v>9.8748857083010133</v>
      </c>
      <c r="BF208" s="127">
        <f t="shared" si="854"/>
        <v>10.304756650589734</v>
      </c>
      <c r="BG208" s="1222"/>
      <c r="BH208" s="1222"/>
      <c r="BI208" s="4713"/>
      <c r="BJ208" s="4713"/>
      <c r="BK208" s="26"/>
      <c r="BL208" s="26"/>
      <c r="BM208" s="26"/>
      <c r="BN208" s="26"/>
    </row>
    <row r="209" spans="2:66" ht="19.5" thickBot="1" x14ac:dyDescent="0.3">
      <c r="B209" s="1962" t="s">
        <v>13</v>
      </c>
      <c r="C209" s="737" t="s">
        <v>49</v>
      </c>
      <c r="D209" s="1443">
        <f t="shared" ref="D209:AX209" si="855">SUM(D203:D208)</f>
        <v>70.309296661541012</v>
      </c>
      <c r="E209" s="1389">
        <f t="shared" si="855"/>
        <v>70.272687137983198</v>
      </c>
      <c r="F209" s="143">
        <f t="shared" si="855"/>
        <v>68.164498942418078</v>
      </c>
      <c r="G209" s="1389">
        <f t="shared" ref="G209:H209" si="856">SUM(G203:G208)</f>
        <v>70.272687137983198</v>
      </c>
      <c r="H209" s="143">
        <f t="shared" si="856"/>
        <v>68.961051590088559</v>
      </c>
      <c r="I209" s="604">
        <f t="shared" si="855"/>
        <v>70.272687137983212</v>
      </c>
      <c r="J209" s="169">
        <f t="shared" si="855"/>
        <v>68.570110619549709</v>
      </c>
      <c r="K209" s="1389">
        <f t="shared" si="855"/>
        <v>72.876887138082282</v>
      </c>
      <c r="L209" s="143">
        <f t="shared" si="855"/>
        <v>72.873266368181348</v>
      </c>
      <c r="M209" s="1595">
        <f t="shared" si="855"/>
        <v>70.619685331814992</v>
      </c>
      <c r="N209" s="1596">
        <f t="shared" si="855"/>
        <v>69.98493730769971</v>
      </c>
      <c r="O209" s="1389">
        <f t="shared" si="855"/>
        <v>72.869532698113773</v>
      </c>
      <c r="P209" s="143">
        <f t="shared" si="855"/>
        <v>72.334063566860152</v>
      </c>
      <c r="Q209" s="1722">
        <f t="shared" si="855"/>
        <v>71.183391682415206</v>
      </c>
      <c r="R209" s="169">
        <f t="shared" si="855"/>
        <v>70.587175220439207</v>
      </c>
      <c r="S209" s="1389">
        <f t="shared" si="855"/>
        <v>72.939026441871263</v>
      </c>
      <c r="T209" s="143">
        <f t="shared" si="855"/>
        <v>71.675955905715725</v>
      </c>
      <c r="U209" s="1722">
        <f t="shared" si="855"/>
        <v>71.544560492855197</v>
      </c>
      <c r="V209" s="169">
        <f t="shared" si="855"/>
        <v>70.810408777100861</v>
      </c>
      <c r="W209" s="1389">
        <f t="shared" si="855"/>
        <v>72.939026441871249</v>
      </c>
      <c r="X209" s="143">
        <f t="shared" si="855"/>
        <v>70.380650932343499</v>
      </c>
      <c r="Y209" s="1388">
        <f t="shared" si="855"/>
        <v>72.91612214514052</v>
      </c>
      <c r="Z209" s="355">
        <f t="shared" si="855"/>
        <v>71.474476886074484</v>
      </c>
      <c r="AA209" s="2538">
        <f t="shared" si="855"/>
        <v>71.776083447288826</v>
      </c>
      <c r="AB209" s="2464">
        <f t="shared" si="855"/>
        <v>70.739402582154128</v>
      </c>
      <c r="AC209" s="1389">
        <f t="shared" si="855"/>
        <v>72.939026441871263</v>
      </c>
      <c r="AD209" s="143">
        <f t="shared" si="855"/>
        <v>69.877080681559647</v>
      </c>
      <c r="AE209" s="604">
        <f t="shared" si="855"/>
        <v>71.946385125872595</v>
      </c>
      <c r="AF209" s="169">
        <f t="shared" si="855"/>
        <v>70.614511966353135</v>
      </c>
      <c r="AG209" s="1389">
        <f t="shared" si="855"/>
        <v>72.939024628690774</v>
      </c>
      <c r="AH209" s="143">
        <f t="shared" si="855"/>
        <v>68.758279971679173</v>
      </c>
      <c r="AI209" s="604">
        <f t="shared" si="855"/>
        <v>72.069597235318454</v>
      </c>
      <c r="AJ209" s="169">
        <f t="shared" si="855"/>
        <v>70.394175895950667</v>
      </c>
      <c r="AK209" s="1389">
        <f t="shared" si="855"/>
        <v>72.939024628690774</v>
      </c>
      <c r="AL209" s="143">
        <f t="shared" si="855"/>
        <v>69.889889378557982</v>
      </c>
      <c r="AM209" s="1388">
        <f t="shared" si="855"/>
        <v>72.939025239653745</v>
      </c>
      <c r="AN209" s="355">
        <f t="shared" si="855"/>
        <v>69.52683298480656</v>
      </c>
      <c r="AO209" s="604">
        <f t="shared" si="855"/>
        <v>72.168435508825837</v>
      </c>
      <c r="AP209" s="169">
        <f t="shared" si="855"/>
        <v>70.336895934474214</v>
      </c>
      <c r="AQ209" s="1389">
        <f t="shared" si="855"/>
        <v>72.939024628690774</v>
      </c>
      <c r="AR209" s="143">
        <f t="shared" si="855"/>
        <v>72.808120356677705</v>
      </c>
      <c r="AS209" s="604">
        <f t="shared" si="855"/>
        <v>72.247095427065489</v>
      </c>
      <c r="AT209" s="169">
        <f t="shared" si="855"/>
        <v>70.58896162042565</v>
      </c>
      <c r="AU209" s="1389">
        <f t="shared" si="855"/>
        <v>72.939024628690774</v>
      </c>
      <c r="AV209" s="143">
        <f t="shared" si="855"/>
        <v>72.794982767950643</v>
      </c>
      <c r="AW209" s="604">
        <f t="shared" si="855"/>
        <v>72.305505369407314</v>
      </c>
      <c r="AX209" s="169">
        <f t="shared" si="855"/>
        <v>70.774757411121186</v>
      </c>
      <c r="AY209" s="1389">
        <f t="shared" ref="AY209:AZ209" si="857">SUM(AY203:AY208)</f>
        <v>72.939024628690774</v>
      </c>
      <c r="AZ209" s="143">
        <f t="shared" si="857"/>
        <v>68.460543554522033</v>
      </c>
      <c r="BA209" s="1388">
        <f t="shared" ref="BA209:BF209" si="858">SUM(BA203:BA208)</f>
        <v>72.93902462869076</v>
      </c>
      <c r="BB209" s="355">
        <f t="shared" si="858"/>
        <v>71.304681554017691</v>
      </c>
      <c r="BC209" s="2538">
        <f t="shared" si="858"/>
        <v>72.939024937529211</v>
      </c>
      <c r="BD209" s="2464">
        <f t="shared" si="858"/>
        <v>70.41275032155869</v>
      </c>
      <c r="BE209" s="604">
        <f t="shared" si="858"/>
        <v>72.359653746559147</v>
      </c>
      <c r="BF209" s="169">
        <f t="shared" si="858"/>
        <v>70.576862872550734</v>
      </c>
      <c r="BG209" s="1222"/>
      <c r="BH209" s="1222"/>
      <c r="BI209" s="4713"/>
      <c r="BJ209" s="4713"/>
      <c r="BK209" s="26"/>
      <c r="BL209" s="26"/>
      <c r="BM209" s="26"/>
      <c r="BN209" s="26"/>
    </row>
    <row r="210" spans="2:66" ht="14.25" customHeight="1" x14ac:dyDescent="0.25">
      <c r="B210" s="1914" t="s">
        <v>1389</v>
      </c>
      <c r="C210" s="1410" t="s">
        <v>49</v>
      </c>
      <c r="D210" s="142">
        <f t="shared" ref="D210:AX210" si="859">+D134/D$143*100</f>
        <v>17.008835673878536</v>
      </c>
      <c r="E210" s="1366">
        <f t="shared" si="859"/>
        <v>17.008904633645901</v>
      </c>
      <c r="F210" s="690">
        <f t="shared" si="859"/>
        <v>24.508189141347515</v>
      </c>
      <c r="G210" s="1366">
        <f t="shared" ref="G210:H210" si="860">+G134/G$143*100</f>
        <v>17.008904633645901</v>
      </c>
      <c r="H210" s="690">
        <f t="shared" si="860"/>
        <v>24.495380925111558</v>
      </c>
      <c r="I210" s="348">
        <f t="shared" si="859"/>
        <v>17.008904633645901</v>
      </c>
      <c r="J210" s="127">
        <f t="shared" si="859"/>
        <v>24.501667083974755</v>
      </c>
      <c r="K210" s="1366">
        <f t="shared" si="859"/>
        <v>20.360271745285452</v>
      </c>
      <c r="L210" s="690">
        <f t="shared" si="859"/>
        <v>18.899008128267482</v>
      </c>
      <c r="M210" s="241">
        <f t="shared" si="859"/>
        <v>18.405993264805975</v>
      </c>
      <c r="N210" s="123">
        <f t="shared" si="859"/>
        <v>22.659579119192628</v>
      </c>
      <c r="O210" s="1366">
        <f t="shared" si="859"/>
        <v>20.361520553521817</v>
      </c>
      <c r="P210" s="690">
        <f t="shared" si="859"/>
        <v>19.811103569166587</v>
      </c>
      <c r="Q210" s="54">
        <f t="shared" si="859"/>
        <v>18.895956792080522</v>
      </c>
      <c r="R210" s="127">
        <f t="shared" si="859"/>
        <v>21.929324641363827</v>
      </c>
      <c r="S210" s="1366">
        <f t="shared" si="859"/>
        <v>20.349728109353691</v>
      </c>
      <c r="T210" s="690">
        <f t="shared" si="859"/>
        <v>22.77454060949626</v>
      </c>
      <c r="U210" s="54">
        <f t="shared" si="859"/>
        <v>19.195026319203581</v>
      </c>
      <c r="V210" s="127">
        <f t="shared" si="859"/>
        <v>22.102619933303654</v>
      </c>
      <c r="W210" s="1366">
        <f t="shared" si="859"/>
        <v>20.349728109353688</v>
      </c>
      <c r="X210" s="690">
        <f t="shared" si="859"/>
        <v>18.423165775136823</v>
      </c>
      <c r="Y210" s="353">
        <f t="shared" si="859"/>
        <v>20.353614756205669</v>
      </c>
      <c r="Z210" s="356">
        <f t="shared" si="859"/>
        <v>20.359734058101335</v>
      </c>
      <c r="AA210" s="466">
        <f t="shared" si="859"/>
        <v>19.386741269385048</v>
      </c>
      <c r="AB210" s="474">
        <f t="shared" si="859"/>
        <v>21.494686785742783</v>
      </c>
      <c r="AC210" s="1366">
        <f t="shared" si="859"/>
        <v>20.349728109353691</v>
      </c>
      <c r="AD210" s="690">
        <f t="shared" si="859"/>
        <v>18.415146316417321</v>
      </c>
      <c r="AE210" s="348">
        <f t="shared" si="859"/>
        <v>19.527761315995008</v>
      </c>
      <c r="AF210" s="127">
        <f t="shared" si="859"/>
        <v>21.048675029189965</v>
      </c>
      <c r="AG210" s="1366">
        <f t="shared" si="859"/>
        <v>20.349727603482805</v>
      </c>
      <c r="AH210" s="690">
        <f t="shared" si="859"/>
        <v>17.802524278880423</v>
      </c>
      <c r="AI210" s="348">
        <f t="shared" si="859"/>
        <v>19.629788486873494</v>
      </c>
      <c r="AJ210" s="127">
        <f t="shared" si="859"/>
        <v>20.663354604636631</v>
      </c>
      <c r="AK210" s="1366">
        <f t="shared" si="859"/>
        <v>20.349727603482805</v>
      </c>
      <c r="AL210" s="690">
        <f t="shared" si="859"/>
        <v>18.406721222794207</v>
      </c>
      <c r="AM210" s="353">
        <f t="shared" si="859"/>
        <v>20.349727773939293</v>
      </c>
      <c r="AN210" s="356">
        <f t="shared" si="859"/>
        <v>18.218078194519524</v>
      </c>
      <c r="AO210" s="348">
        <f t="shared" si="859"/>
        <v>19.711632629188909</v>
      </c>
      <c r="AP210" s="127">
        <f t="shared" si="859"/>
        <v>20.407032318158073</v>
      </c>
      <c r="AQ210" s="1366">
        <f t="shared" si="859"/>
        <v>20.349727603482805</v>
      </c>
      <c r="AR210" s="690">
        <f t="shared" si="859"/>
        <v>17.283589699113204</v>
      </c>
      <c r="AS210" s="348">
        <f t="shared" si="859"/>
        <v>19.776767857825256</v>
      </c>
      <c r="AT210" s="127">
        <f t="shared" si="859"/>
        <v>20.08844016633827</v>
      </c>
      <c r="AU210" s="1366">
        <f t="shared" si="859"/>
        <v>20.349727603482801</v>
      </c>
      <c r="AV210" s="690">
        <f t="shared" si="859"/>
        <v>21.847328743645228</v>
      </c>
      <c r="AW210" s="348">
        <f t="shared" si="859"/>
        <v>19.825134866515508</v>
      </c>
      <c r="AX210" s="127">
        <f t="shared" si="859"/>
        <v>20.236577501437143</v>
      </c>
      <c r="AY210" s="1366">
        <f t="shared" ref="AY210:AZ210" si="861">+AY134/AY$143*100</f>
        <v>20.349727603482805</v>
      </c>
      <c r="AZ210" s="690">
        <f t="shared" si="861"/>
        <v>23.354787677857985</v>
      </c>
      <c r="BA210" s="353">
        <f t="shared" ref="BA210:BF213" si="862">+BA134/BA$143*100</f>
        <v>20.349727603482801</v>
      </c>
      <c r="BB210" s="356">
        <f t="shared" si="862"/>
        <v>20.794972504250602</v>
      </c>
      <c r="BC210" s="466">
        <f t="shared" si="862"/>
        <v>20.349727689647622</v>
      </c>
      <c r="BD210" s="474">
        <f t="shared" si="862"/>
        <v>19.502166942855194</v>
      </c>
      <c r="BE210" s="348">
        <f t="shared" si="862"/>
        <v>19.869973038293505</v>
      </c>
      <c r="BF210" s="127">
        <f t="shared" si="862"/>
        <v>20.503223888619072</v>
      </c>
      <c r="BG210" s="1222"/>
      <c r="BH210" s="1222"/>
      <c r="BI210" s="4713"/>
      <c r="BJ210" s="4713"/>
      <c r="BK210" s="26"/>
      <c r="BL210" s="26"/>
      <c r="BM210" s="26"/>
      <c r="BN210" s="26"/>
    </row>
    <row r="211" spans="2:66" x14ac:dyDescent="0.25">
      <c r="B211" s="1908" t="s">
        <v>627</v>
      </c>
      <c r="C211" s="1678" t="s">
        <v>49</v>
      </c>
      <c r="D211" s="142">
        <f t="shared" ref="D211:AX211" si="863">+D135/D$143*100</f>
        <v>5.0025987276113346</v>
      </c>
      <c r="E211" s="1366">
        <f t="shared" si="863"/>
        <v>5.0026190098958541</v>
      </c>
      <c r="F211" s="101">
        <f t="shared" si="863"/>
        <v>0.10993579943795924</v>
      </c>
      <c r="G211" s="1366">
        <f t="shared" ref="G211:H211" si="864">+G135/G$143*100</f>
        <v>5.0026190098958558</v>
      </c>
      <c r="H211" s="101">
        <f t="shared" si="864"/>
        <v>0.21084899908467455</v>
      </c>
      <c r="I211" s="266">
        <f t="shared" si="863"/>
        <v>5.002619009895855</v>
      </c>
      <c r="J211" s="107">
        <f t="shared" si="863"/>
        <v>0.16132169624356069</v>
      </c>
      <c r="K211" s="1366">
        <f t="shared" si="863"/>
        <v>5.0009876310203847</v>
      </c>
      <c r="L211" s="101">
        <f t="shared" si="863"/>
        <v>6.4554394541566928</v>
      </c>
      <c r="M211" s="241">
        <f t="shared" si="863"/>
        <v>5.0881238199324308</v>
      </c>
      <c r="N211" s="123">
        <f t="shared" si="863"/>
        <v>2.2307531327157779</v>
      </c>
      <c r="O211" s="1366">
        <f t="shared" si="863"/>
        <v>5.0009911799806321</v>
      </c>
      <c r="P211" s="101">
        <f t="shared" si="863"/>
        <v>6.1050391622389801</v>
      </c>
      <c r="Q211" s="54">
        <f t="shared" si="863"/>
        <v>5.0662924622940722</v>
      </c>
      <c r="R211" s="127">
        <f t="shared" si="863"/>
        <v>3.2239913303976966</v>
      </c>
      <c r="S211" s="1366">
        <f t="shared" si="863"/>
        <v>5.0009588486664969</v>
      </c>
      <c r="T211" s="101">
        <f t="shared" si="863"/>
        <v>3.2254596338846033</v>
      </c>
      <c r="U211" s="54">
        <f t="shared" si="863"/>
        <v>5.0528520451523384</v>
      </c>
      <c r="V211" s="127">
        <f t="shared" si="863"/>
        <v>3.2242923778116279</v>
      </c>
      <c r="W211" s="1366">
        <f t="shared" si="863"/>
        <v>5.0009588486664969</v>
      </c>
      <c r="X211" s="101">
        <f t="shared" si="863"/>
        <v>6.9326351860867401</v>
      </c>
      <c r="Y211" s="353">
        <f t="shared" si="863"/>
        <v>5.0009695046762701</v>
      </c>
      <c r="Z211" s="356">
        <f t="shared" si="863"/>
        <v>5.4019610078560518</v>
      </c>
      <c r="AA211" s="466">
        <f t="shared" si="863"/>
        <v>5.0442362261903302</v>
      </c>
      <c r="AB211" s="474">
        <f t="shared" si="863"/>
        <v>3.8369986159544527</v>
      </c>
      <c r="AC211" s="1366">
        <f t="shared" si="863"/>
        <v>5.0009588486664969</v>
      </c>
      <c r="AD211" s="101">
        <f t="shared" si="863"/>
        <v>6.9385772350224748</v>
      </c>
      <c r="AE211" s="266">
        <f t="shared" si="863"/>
        <v>5.0378986756213466</v>
      </c>
      <c r="AF211" s="107">
        <f t="shared" si="863"/>
        <v>4.286202171405761</v>
      </c>
      <c r="AG211" s="1366">
        <f t="shared" si="863"/>
        <v>5.0009587243483997</v>
      </c>
      <c r="AH211" s="101">
        <f t="shared" si="863"/>
        <v>6.9393931860180533</v>
      </c>
      <c r="AI211" s="266">
        <f t="shared" si="863"/>
        <v>5.0333134769603554</v>
      </c>
      <c r="AJ211" s="107">
        <f t="shared" si="863"/>
        <v>4.601137849631435</v>
      </c>
      <c r="AK211" s="1366">
        <f t="shared" si="863"/>
        <v>5.0009587243483988</v>
      </c>
      <c r="AL211" s="101">
        <f t="shared" si="863"/>
        <v>6.9449426067970235</v>
      </c>
      <c r="AM211" s="353">
        <f t="shared" si="863"/>
        <v>5.0009587662381918</v>
      </c>
      <c r="AN211" s="356">
        <f t="shared" si="863"/>
        <v>6.9410139949484844</v>
      </c>
      <c r="AO211" s="266">
        <f t="shared" si="863"/>
        <v>5.0296353229105755</v>
      </c>
      <c r="AP211" s="107">
        <f t="shared" si="863"/>
        <v>4.8673615965856269</v>
      </c>
      <c r="AQ211" s="1366">
        <f t="shared" si="863"/>
        <v>5.0009587243483988</v>
      </c>
      <c r="AR211" s="101">
        <f t="shared" si="863"/>
        <v>5.1498431523582999</v>
      </c>
      <c r="AS211" s="266">
        <f t="shared" si="863"/>
        <v>5.0267080834256888</v>
      </c>
      <c r="AT211" s="107">
        <f t="shared" si="863"/>
        <v>4.8961748061366128</v>
      </c>
      <c r="AU211" s="1366">
        <f t="shared" si="863"/>
        <v>5.0009587243483997</v>
      </c>
      <c r="AV211" s="101">
        <f t="shared" si="863"/>
        <v>0</v>
      </c>
      <c r="AW211" s="266">
        <f t="shared" si="863"/>
        <v>5.0245344237860738</v>
      </c>
      <c r="AX211" s="107">
        <f t="shared" si="863"/>
        <v>4.4838085554728879</v>
      </c>
      <c r="AY211" s="1366">
        <f t="shared" ref="AY211:AZ211" si="865">+AY135/AY$143*100</f>
        <v>5.0009587243483988</v>
      </c>
      <c r="AZ211" s="101">
        <f t="shared" si="865"/>
        <v>1.3392307848092839</v>
      </c>
      <c r="BA211" s="353">
        <f t="shared" si="862"/>
        <v>5.0009587243483988</v>
      </c>
      <c r="BB211" s="356">
        <f t="shared" si="862"/>
        <v>2.2360166769965764</v>
      </c>
      <c r="BC211" s="466">
        <f t="shared" si="862"/>
        <v>5.0009587455234596</v>
      </c>
      <c r="BD211" s="474">
        <f t="shared" si="862"/>
        <v>4.5964730899852357</v>
      </c>
      <c r="BE211" s="266">
        <f t="shared" si="862"/>
        <v>5.0225193534530694</v>
      </c>
      <c r="BF211" s="107">
        <f t="shared" si="862"/>
        <v>4.2149074056721112</v>
      </c>
      <c r="BG211" s="1222"/>
      <c r="BH211" s="1222"/>
      <c r="BI211" s="4713"/>
      <c r="BJ211" s="4713"/>
      <c r="BK211" s="26"/>
      <c r="BL211" s="26"/>
      <c r="BM211" s="26"/>
      <c r="BN211" s="26"/>
    </row>
    <row r="212" spans="2:66" x14ac:dyDescent="0.25">
      <c r="B212" s="1908" t="s">
        <v>1374</v>
      </c>
      <c r="C212" s="1679" t="s">
        <v>49</v>
      </c>
      <c r="D212" s="142">
        <f t="shared" ref="D212:AX212" si="866">+D136/D$143*100</f>
        <v>0</v>
      </c>
      <c r="E212" s="1366">
        <f t="shared" si="866"/>
        <v>0</v>
      </c>
      <c r="F212" s="101">
        <f t="shared" si="866"/>
        <v>0</v>
      </c>
      <c r="G212" s="1366">
        <f t="shared" ref="G212:H212" si="867">+G136/G$143*100</f>
        <v>0</v>
      </c>
      <c r="H212" s="101">
        <f t="shared" si="867"/>
        <v>0</v>
      </c>
      <c r="I212" s="266">
        <f t="shared" si="866"/>
        <v>0</v>
      </c>
      <c r="J212" s="107">
        <f t="shared" si="866"/>
        <v>0</v>
      </c>
      <c r="K212" s="1366">
        <f t="shared" si="866"/>
        <v>0</v>
      </c>
      <c r="L212" s="101">
        <f t="shared" si="866"/>
        <v>0</v>
      </c>
      <c r="M212" s="241">
        <f t="shared" si="866"/>
        <v>0</v>
      </c>
      <c r="N212" s="123">
        <f t="shared" si="866"/>
        <v>0</v>
      </c>
      <c r="O212" s="1366">
        <f t="shared" si="866"/>
        <v>0</v>
      </c>
      <c r="P212" s="101">
        <f t="shared" si="866"/>
        <v>0</v>
      </c>
      <c r="Q212" s="54">
        <f t="shared" si="866"/>
        <v>0</v>
      </c>
      <c r="R212" s="127">
        <f t="shared" si="866"/>
        <v>0</v>
      </c>
      <c r="S212" s="1366">
        <f t="shared" si="866"/>
        <v>0</v>
      </c>
      <c r="T212" s="101">
        <f t="shared" si="866"/>
        <v>0</v>
      </c>
      <c r="U212" s="54">
        <f t="shared" si="866"/>
        <v>0</v>
      </c>
      <c r="V212" s="127">
        <f t="shared" si="866"/>
        <v>0</v>
      </c>
      <c r="W212" s="1366">
        <f t="shared" si="866"/>
        <v>0</v>
      </c>
      <c r="X212" s="101">
        <f t="shared" si="866"/>
        <v>0</v>
      </c>
      <c r="Y212" s="353">
        <f t="shared" si="866"/>
        <v>0</v>
      </c>
      <c r="Z212" s="356">
        <f t="shared" si="866"/>
        <v>0</v>
      </c>
      <c r="AA212" s="466">
        <f t="shared" si="866"/>
        <v>0</v>
      </c>
      <c r="AB212" s="474">
        <f t="shared" si="866"/>
        <v>0</v>
      </c>
      <c r="AC212" s="1366">
        <f t="shared" si="866"/>
        <v>0</v>
      </c>
      <c r="AD212" s="101">
        <f t="shared" si="866"/>
        <v>0</v>
      </c>
      <c r="AE212" s="266">
        <f t="shared" si="866"/>
        <v>0</v>
      </c>
      <c r="AF212" s="107">
        <f t="shared" si="866"/>
        <v>0</v>
      </c>
      <c r="AG212" s="1366">
        <f t="shared" si="866"/>
        <v>0</v>
      </c>
      <c r="AH212" s="101">
        <f t="shared" si="866"/>
        <v>0</v>
      </c>
      <c r="AI212" s="266">
        <f t="shared" si="866"/>
        <v>0</v>
      </c>
      <c r="AJ212" s="107">
        <f t="shared" si="866"/>
        <v>0</v>
      </c>
      <c r="AK212" s="1366">
        <f t="shared" si="866"/>
        <v>0</v>
      </c>
      <c r="AL212" s="101">
        <f t="shared" si="866"/>
        <v>0</v>
      </c>
      <c r="AM212" s="353">
        <f t="shared" si="866"/>
        <v>0</v>
      </c>
      <c r="AN212" s="356">
        <f t="shared" si="866"/>
        <v>0</v>
      </c>
      <c r="AO212" s="266">
        <f t="shared" si="866"/>
        <v>0</v>
      </c>
      <c r="AP212" s="107">
        <f t="shared" si="866"/>
        <v>0</v>
      </c>
      <c r="AQ212" s="1366">
        <f t="shared" si="866"/>
        <v>0</v>
      </c>
      <c r="AR212" s="101">
        <f t="shared" si="866"/>
        <v>0</v>
      </c>
      <c r="AS212" s="266">
        <f t="shared" si="866"/>
        <v>0</v>
      </c>
      <c r="AT212" s="107">
        <f t="shared" si="866"/>
        <v>0</v>
      </c>
      <c r="AU212" s="1366">
        <f t="shared" si="866"/>
        <v>0</v>
      </c>
      <c r="AV212" s="101">
        <f t="shared" si="866"/>
        <v>0</v>
      </c>
      <c r="AW212" s="266">
        <f t="shared" si="866"/>
        <v>0</v>
      </c>
      <c r="AX212" s="107">
        <f t="shared" si="866"/>
        <v>0</v>
      </c>
      <c r="AY212" s="1366">
        <f t="shared" ref="AY212:AZ212" si="868">+AY136/AY$143*100</f>
        <v>0</v>
      </c>
      <c r="AZ212" s="101">
        <f t="shared" si="868"/>
        <v>0</v>
      </c>
      <c r="BA212" s="353">
        <f t="shared" si="862"/>
        <v>0</v>
      </c>
      <c r="BB212" s="356">
        <f t="shared" si="862"/>
        <v>0</v>
      </c>
      <c r="BC212" s="466">
        <f t="shared" si="862"/>
        <v>0</v>
      </c>
      <c r="BD212" s="474">
        <f t="shared" si="862"/>
        <v>0</v>
      </c>
      <c r="BE212" s="266">
        <f t="shared" si="862"/>
        <v>0</v>
      </c>
      <c r="BF212" s="107">
        <f t="shared" si="862"/>
        <v>0</v>
      </c>
      <c r="BG212" s="1222"/>
      <c r="BH212" s="1222"/>
      <c r="BI212" s="4713"/>
      <c r="BJ212" s="4713"/>
      <c r="BK212" s="26"/>
      <c r="BL212" s="26"/>
      <c r="BM212" s="26"/>
      <c r="BN212" s="26"/>
    </row>
    <row r="213" spans="2:66" ht="15.75" thickBot="1" x14ac:dyDescent="0.3">
      <c r="B213" s="1908" t="s">
        <v>2171</v>
      </c>
      <c r="C213" s="1679" t="s">
        <v>49</v>
      </c>
      <c r="D213" s="142">
        <f t="shared" ref="D213:AX213" si="869">+D137/D$143*100</f>
        <v>3.0015592365668002</v>
      </c>
      <c r="E213" s="1366">
        <f t="shared" si="869"/>
        <v>3.0015714059375123</v>
      </c>
      <c r="F213" s="133">
        <f t="shared" si="869"/>
        <v>0</v>
      </c>
      <c r="G213" s="1366">
        <f t="shared" ref="G213:H213" si="870">+G137/G$143*100</f>
        <v>3.0015714059375127</v>
      </c>
      <c r="H213" s="133">
        <f t="shared" si="870"/>
        <v>0</v>
      </c>
      <c r="I213" s="603">
        <f t="shared" si="869"/>
        <v>3.0015714059375123</v>
      </c>
      <c r="J213" s="108">
        <f t="shared" si="869"/>
        <v>0</v>
      </c>
      <c r="K213" s="1366">
        <f t="shared" si="869"/>
        <v>0</v>
      </c>
      <c r="L213" s="133">
        <f t="shared" si="869"/>
        <v>0</v>
      </c>
      <c r="M213" s="1578">
        <f t="shared" si="869"/>
        <v>2.0639384295499141</v>
      </c>
      <c r="N213" s="115">
        <f t="shared" si="869"/>
        <v>0</v>
      </c>
      <c r="O213" s="1366">
        <f t="shared" si="869"/>
        <v>0</v>
      </c>
      <c r="P213" s="133">
        <f t="shared" si="869"/>
        <v>0</v>
      </c>
      <c r="Q213" s="771">
        <f t="shared" si="869"/>
        <v>1.5468121491573621</v>
      </c>
      <c r="R213" s="108">
        <f t="shared" si="869"/>
        <v>0</v>
      </c>
      <c r="S213" s="1366">
        <f t="shared" si="869"/>
        <v>0</v>
      </c>
      <c r="T213" s="133">
        <f t="shared" si="869"/>
        <v>0</v>
      </c>
      <c r="U213" s="771">
        <f t="shared" si="869"/>
        <v>1.2286022818280202</v>
      </c>
      <c r="V213" s="108">
        <f t="shared" si="869"/>
        <v>0</v>
      </c>
      <c r="W213" s="1366">
        <f t="shared" si="869"/>
        <v>0</v>
      </c>
      <c r="X213" s="133">
        <f t="shared" si="869"/>
        <v>0</v>
      </c>
      <c r="Y213" s="353">
        <f t="shared" si="869"/>
        <v>0</v>
      </c>
      <c r="Z213" s="356">
        <f t="shared" si="869"/>
        <v>0</v>
      </c>
      <c r="AA213" s="466">
        <f t="shared" si="869"/>
        <v>1.0246176450475755</v>
      </c>
      <c r="AB213" s="474">
        <f t="shared" si="869"/>
        <v>0</v>
      </c>
      <c r="AC213" s="1366">
        <f t="shared" si="869"/>
        <v>0</v>
      </c>
      <c r="AD213" s="133">
        <f t="shared" si="869"/>
        <v>0</v>
      </c>
      <c r="AE213" s="603">
        <f t="shared" si="869"/>
        <v>0.87457236710099584</v>
      </c>
      <c r="AF213" s="108">
        <f t="shared" si="869"/>
        <v>0</v>
      </c>
      <c r="AG213" s="1366">
        <f t="shared" si="869"/>
        <v>0</v>
      </c>
      <c r="AH213" s="133">
        <f t="shared" si="869"/>
        <v>0</v>
      </c>
      <c r="AI213" s="603">
        <f t="shared" si="869"/>
        <v>0.76601542784192223</v>
      </c>
      <c r="AJ213" s="108">
        <f t="shared" si="869"/>
        <v>0</v>
      </c>
      <c r="AK213" s="1366">
        <f t="shared" si="869"/>
        <v>0</v>
      </c>
      <c r="AL213" s="133">
        <f t="shared" si="869"/>
        <v>0</v>
      </c>
      <c r="AM213" s="353">
        <f t="shared" si="869"/>
        <v>0</v>
      </c>
      <c r="AN213" s="356">
        <f t="shared" si="869"/>
        <v>0</v>
      </c>
      <c r="AO213" s="603">
        <f t="shared" si="869"/>
        <v>0.67893323679865147</v>
      </c>
      <c r="AP213" s="108">
        <f t="shared" si="869"/>
        <v>0</v>
      </c>
      <c r="AQ213" s="1366">
        <f t="shared" si="869"/>
        <v>0</v>
      </c>
      <c r="AR213" s="133">
        <f t="shared" si="869"/>
        <v>0</v>
      </c>
      <c r="AS213" s="603">
        <f t="shared" si="869"/>
        <v>0.60962933473198422</v>
      </c>
      <c r="AT213" s="108">
        <f t="shared" si="869"/>
        <v>0</v>
      </c>
      <c r="AU213" s="1366">
        <f t="shared" si="869"/>
        <v>0</v>
      </c>
      <c r="AV213" s="133">
        <f t="shared" si="869"/>
        <v>0</v>
      </c>
      <c r="AW213" s="603">
        <f t="shared" si="869"/>
        <v>0.55816682352715685</v>
      </c>
      <c r="AX213" s="108">
        <f t="shared" si="869"/>
        <v>0</v>
      </c>
      <c r="AY213" s="1366">
        <f t="shared" ref="AY213:AZ213" si="871">+AY137/AY$143*100</f>
        <v>0</v>
      </c>
      <c r="AZ213" s="133">
        <f t="shared" si="871"/>
        <v>0</v>
      </c>
      <c r="BA213" s="353">
        <f t="shared" si="862"/>
        <v>0</v>
      </c>
      <c r="BB213" s="356">
        <f t="shared" si="862"/>
        <v>0</v>
      </c>
      <c r="BC213" s="466">
        <f t="shared" si="862"/>
        <v>0</v>
      </c>
      <c r="BD213" s="474">
        <f t="shared" si="862"/>
        <v>0</v>
      </c>
      <c r="BE213" s="603">
        <f t="shared" si="862"/>
        <v>0.51045899581537535</v>
      </c>
      <c r="BF213" s="108">
        <f t="shared" si="862"/>
        <v>0</v>
      </c>
      <c r="BG213" s="1222"/>
      <c r="BH213" s="1222"/>
      <c r="BI213" s="4713"/>
      <c r="BJ213" s="4713"/>
      <c r="BK213" s="26"/>
      <c r="BL213" s="26"/>
      <c r="BM213" s="26"/>
      <c r="BN213" s="26"/>
    </row>
    <row r="214" spans="2:66" ht="19.5" thickBot="1" x14ac:dyDescent="0.3">
      <c r="B214" s="1963" t="s">
        <v>134</v>
      </c>
      <c r="C214" s="737" t="s">
        <v>49</v>
      </c>
      <c r="D214" s="1443">
        <f>SUM(D210:D213)</f>
        <v>25.01299363805667</v>
      </c>
      <c r="E214" s="1389">
        <f>SUM(E210:E213)</f>
        <v>25.013095049479269</v>
      </c>
      <c r="F214" s="143">
        <f>SUM(F210:F213)</f>
        <v>24.618124940785474</v>
      </c>
      <c r="G214" s="1389">
        <f>SUM(G210:G213)</f>
        <v>25.013095049479269</v>
      </c>
      <c r="H214" s="143">
        <f>SUM(H210:H213)</f>
        <v>24.706229924196233</v>
      </c>
      <c r="I214" s="604">
        <f t="shared" ref="I214:N214" si="872">SUM(I210:I213)</f>
        <v>25.013095049479269</v>
      </c>
      <c r="J214" s="169">
        <f t="shared" si="872"/>
        <v>24.662988780218317</v>
      </c>
      <c r="K214" s="1389">
        <f>SUM(K210:K213)</f>
        <v>25.361259376305838</v>
      </c>
      <c r="L214" s="143">
        <f>SUM(L210:L213)</f>
        <v>25.354447582424175</v>
      </c>
      <c r="M214" s="1595">
        <f t="shared" si="872"/>
        <v>25.55805551428832</v>
      </c>
      <c r="N214" s="1596">
        <f t="shared" si="872"/>
        <v>24.890332251908404</v>
      </c>
      <c r="O214" s="1389">
        <f>SUM(O210:O213)</f>
        <v>25.362511733502451</v>
      </c>
      <c r="P214" s="143">
        <f>SUM(P210:P213)</f>
        <v>25.916142731405568</v>
      </c>
      <c r="Q214" s="1722">
        <f t="shared" ref="Q214:R214" si="873">SUM(Q210:Q213)</f>
        <v>25.509061403531955</v>
      </c>
      <c r="R214" s="169">
        <f t="shared" si="873"/>
        <v>25.153315971761522</v>
      </c>
      <c r="S214" s="1389">
        <f>SUM(S210:S213)</f>
        <v>25.350686958020187</v>
      </c>
      <c r="T214" s="143">
        <f>SUM(T210:T213)</f>
        <v>26.000000243380864</v>
      </c>
      <c r="U214" s="1722">
        <f t="shared" ref="U214:V214" si="874">SUM(U210:U213)</f>
        <v>25.476480646183941</v>
      </c>
      <c r="V214" s="169">
        <f t="shared" si="874"/>
        <v>25.326912311115283</v>
      </c>
      <c r="W214" s="1389">
        <f>SUM(W210:W213)</f>
        <v>25.350686958020184</v>
      </c>
      <c r="X214" s="143">
        <f>SUM(X210:X213)</f>
        <v>25.355800961223565</v>
      </c>
      <c r="Y214" s="605">
        <f t="shared" ref="Y214:AF214" si="875">SUM(Y210:Y213)</f>
        <v>25.354584260881939</v>
      </c>
      <c r="Z214" s="355">
        <f t="shared" si="875"/>
        <v>25.761695065957387</v>
      </c>
      <c r="AA214" s="2539">
        <f t="shared" si="875"/>
        <v>25.455595140622954</v>
      </c>
      <c r="AB214" s="2464">
        <f t="shared" si="875"/>
        <v>25.331685401697236</v>
      </c>
      <c r="AC214" s="1389">
        <f>SUM(AC210:AC213)</f>
        <v>25.350686958020187</v>
      </c>
      <c r="AD214" s="143">
        <f>SUM(AD210:AD213)</f>
        <v>25.353723551439796</v>
      </c>
      <c r="AE214" s="604">
        <f t="shared" si="875"/>
        <v>25.440232358717349</v>
      </c>
      <c r="AF214" s="169">
        <f t="shared" si="875"/>
        <v>25.334877200595727</v>
      </c>
      <c r="AG214" s="1389">
        <f>SUM(AG210:AG213)</f>
        <v>25.350686327831205</v>
      </c>
      <c r="AH214" s="143">
        <f>SUM(AH210:AH213)</f>
        <v>24.741917464898478</v>
      </c>
      <c r="AI214" s="604">
        <f t="shared" ref="AI214:AN214" si="876">SUM(AI210:AI213)</f>
        <v>25.429117391675771</v>
      </c>
      <c r="AJ214" s="169">
        <f t="shared" si="876"/>
        <v>25.264492454268066</v>
      </c>
      <c r="AK214" s="1389">
        <f>SUM(AK210:AK213)</f>
        <v>25.350686327831205</v>
      </c>
      <c r="AL214" s="143">
        <f>SUM(AL210:AL213)</f>
        <v>25.351663829591232</v>
      </c>
      <c r="AM214" s="605">
        <f t="shared" si="876"/>
        <v>25.350686540177485</v>
      </c>
      <c r="AN214" s="355">
        <f t="shared" si="876"/>
        <v>25.159092189468009</v>
      </c>
      <c r="AO214" s="604">
        <f t="shared" ref="AO214:AT214" si="877">SUM(AO210:AO213)</f>
        <v>25.420201188898137</v>
      </c>
      <c r="AP214" s="169">
        <f t="shared" si="877"/>
        <v>25.274393914743701</v>
      </c>
      <c r="AQ214" s="1389">
        <f>SUM(AQ210:AQ213)</f>
        <v>25.350686327831205</v>
      </c>
      <c r="AR214" s="143">
        <f>SUM(AR210:AR213)</f>
        <v>22.433432851471505</v>
      </c>
      <c r="AS214" s="604">
        <f t="shared" si="877"/>
        <v>25.413105275982929</v>
      </c>
      <c r="AT214" s="169">
        <f t="shared" si="877"/>
        <v>24.984614972474883</v>
      </c>
      <c r="AU214" s="1389">
        <f>SUM(AU210:AU213)</f>
        <v>25.350686327831202</v>
      </c>
      <c r="AV214" s="143">
        <f>SUM(AV210:AV213)</f>
        <v>21.847328743645228</v>
      </c>
      <c r="AW214" s="604">
        <f t="shared" ref="AW214:AX214" si="878">SUM(AW210:AW213)</f>
        <v>25.40783611382874</v>
      </c>
      <c r="AX214" s="169">
        <f t="shared" si="878"/>
        <v>24.72038605691003</v>
      </c>
      <c r="AY214" s="1389">
        <f>SUM(AY210:AY213)</f>
        <v>25.350686327831205</v>
      </c>
      <c r="AZ214" s="143">
        <f>SUM(AZ210:AZ213)</f>
        <v>24.69401846266727</v>
      </c>
      <c r="BA214" s="605">
        <f t="shared" ref="BA214:BF214" si="879">SUM(BA210:BA213)</f>
        <v>25.350686327831198</v>
      </c>
      <c r="BB214" s="355">
        <f t="shared" si="879"/>
        <v>23.030989181247179</v>
      </c>
      <c r="BC214" s="2539">
        <f t="shared" si="879"/>
        <v>25.350686435171081</v>
      </c>
      <c r="BD214" s="2464">
        <f t="shared" si="879"/>
        <v>24.098640032840429</v>
      </c>
      <c r="BE214" s="604">
        <f t="shared" si="879"/>
        <v>25.402951387561952</v>
      </c>
      <c r="BF214" s="169">
        <f t="shared" si="879"/>
        <v>24.718131294291183</v>
      </c>
      <c r="BG214" s="1222"/>
      <c r="BH214" s="1222"/>
      <c r="BI214" s="4713"/>
      <c r="BJ214" s="4713"/>
      <c r="BK214" s="26"/>
      <c r="BL214" s="26"/>
      <c r="BM214" s="26"/>
      <c r="BN214" s="26"/>
    </row>
    <row r="215" spans="2:66" ht="19.5" thickBot="1" x14ac:dyDescent="0.3">
      <c r="B215" s="1962" t="s">
        <v>12</v>
      </c>
      <c r="C215" s="737" t="s">
        <v>49</v>
      </c>
      <c r="D215" s="1443">
        <f>+D209+D214</f>
        <v>95.322290299597682</v>
      </c>
      <c r="E215" s="1389">
        <f>+E209+E214</f>
        <v>95.285782187462473</v>
      </c>
      <c r="F215" s="143">
        <f>+F209+F214</f>
        <v>92.782623883203556</v>
      </c>
      <c r="G215" s="1389">
        <f>+G209+G214</f>
        <v>95.285782187462473</v>
      </c>
      <c r="H215" s="143">
        <f>+H209+H214</f>
        <v>93.667281514284795</v>
      </c>
      <c r="I215" s="604">
        <f t="shared" ref="I215:N215" si="880">+I209+I214</f>
        <v>95.285782187462473</v>
      </c>
      <c r="J215" s="169">
        <f t="shared" si="880"/>
        <v>93.233099399768022</v>
      </c>
      <c r="K215" s="1389">
        <f>+K209+K214</f>
        <v>98.23814651438812</v>
      </c>
      <c r="L215" s="143">
        <f>+L209+L214</f>
        <v>98.227713950605519</v>
      </c>
      <c r="M215" s="1595">
        <f t="shared" si="880"/>
        <v>96.177740846103319</v>
      </c>
      <c r="N215" s="1596">
        <f t="shared" si="880"/>
        <v>94.875269559608114</v>
      </c>
      <c r="O215" s="1389">
        <f>+O209+O214</f>
        <v>98.232044431616231</v>
      </c>
      <c r="P215" s="143">
        <f>+P209+P214</f>
        <v>98.250206298265724</v>
      </c>
      <c r="Q215" s="1722">
        <f t="shared" ref="Q215:R215" si="881">+Q209+Q214</f>
        <v>96.692453085947164</v>
      </c>
      <c r="R215" s="169">
        <f t="shared" si="881"/>
        <v>95.740491192200722</v>
      </c>
      <c r="S215" s="1389">
        <f>+S209+S214</f>
        <v>98.289713399891454</v>
      </c>
      <c r="T215" s="143">
        <f>+T209+T214</f>
        <v>97.675956149096592</v>
      </c>
      <c r="U215" s="1722">
        <f t="shared" ref="U215:V215" si="882">+U209+U214</f>
        <v>97.021041139039141</v>
      </c>
      <c r="V215" s="169">
        <f t="shared" si="882"/>
        <v>96.13732108821614</v>
      </c>
      <c r="W215" s="1389">
        <f>+W209+W214</f>
        <v>98.28971339989144</v>
      </c>
      <c r="X215" s="143">
        <f>+X209+X214</f>
        <v>95.736451893567065</v>
      </c>
      <c r="Y215" s="605">
        <f t="shared" ref="Y215:AF215" si="883">+Y209+Y214</f>
        <v>98.270706406022455</v>
      </c>
      <c r="Z215" s="355">
        <f t="shared" si="883"/>
        <v>97.236171952031867</v>
      </c>
      <c r="AA215" s="2539">
        <f t="shared" si="883"/>
        <v>97.231678587911773</v>
      </c>
      <c r="AB215" s="2464">
        <f t="shared" si="883"/>
        <v>96.071087983851356</v>
      </c>
      <c r="AC215" s="1389">
        <f>+AC209+AC214</f>
        <v>98.289713399891454</v>
      </c>
      <c r="AD215" s="143">
        <f>+AD209+AD214</f>
        <v>95.230804232999446</v>
      </c>
      <c r="AE215" s="604">
        <f t="shared" si="883"/>
        <v>97.386617484589948</v>
      </c>
      <c r="AF215" s="169">
        <f t="shared" si="883"/>
        <v>95.949389166948862</v>
      </c>
      <c r="AG215" s="1389">
        <f>+AG209+AG214</f>
        <v>98.289710956521986</v>
      </c>
      <c r="AH215" s="143">
        <f>+AH209+AH214</f>
        <v>93.50019743657765</v>
      </c>
      <c r="AI215" s="604">
        <f t="shared" ref="AI215:AN215" si="884">+AI209+AI214</f>
        <v>97.498714626994229</v>
      </c>
      <c r="AJ215" s="169">
        <f t="shared" si="884"/>
        <v>95.658668350218733</v>
      </c>
      <c r="AK215" s="1389">
        <f>+AK209+AK214</f>
        <v>98.289710956521986</v>
      </c>
      <c r="AL215" s="143">
        <f>+AL209+AL214</f>
        <v>95.241553208149213</v>
      </c>
      <c r="AM215" s="605">
        <f t="shared" si="884"/>
        <v>98.289711779831237</v>
      </c>
      <c r="AN215" s="355">
        <f t="shared" si="884"/>
        <v>94.685925174274573</v>
      </c>
      <c r="AO215" s="604">
        <f t="shared" ref="AO215:AT215" si="885">+AO209+AO214</f>
        <v>97.58863669772397</v>
      </c>
      <c r="AP215" s="169">
        <f t="shared" si="885"/>
        <v>95.611289849217911</v>
      </c>
      <c r="AQ215" s="1389">
        <f>+AQ209+AQ214</f>
        <v>98.289710956521986</v>
      </c>
      <c r="AR215" s="143">
        <f>+AR209+AR214</f>
        <v>95.241553208149213</v>
      </c>
      <c r="AS215" s="604">
        <f t="shared" si="885"/>
        <v>97.660200703048417</v>
      </c>
      <c r="AT215" s="169">
        <f t="shared" si="885"/>
        <v>95.573576592900537</v>
      </c>
      <c r="AU215" s="1389">
        <f>+AU209+AU214</f>
        <v>98.289710956521972</v>
      </c>
      <c r="AV215" s="143">
        <f>+AV209+AV214</f>
        <v>94.642311511595864</v>
      </c>
      <c r="AW215" s="604">
        <f t="shared" ref="AW215:AX215" si="886">+AW209+AW214</f>
        <v>97.71334148323605</v>
      </c>
      <c r="AX215" s="169">
        <f t="shared" si="886"/>
        <v>95.495143468031216</v>
      </c>
      <c r="AY215" s="1389">
        <f>+AY209+AY214</f>
        <v>98.289710956521986</v>
      </c>
      <c r="AZ215" s="143">
        <f>+AZ209+AZ214</f>
        <v>93.154562017189306</v>
      </c>
      <c r="BA215" s="605">
        <f t="shared" ref="BA215:BF215" si="887">+BA209+BA214</f>
        <v>98.289710956521958</v>
      </c>
      <c r="BB215" s="355">
        <f t="shared" si="887"/>
        <v>94.33567073526487</v>
      </c>
      <c r="BC215" s="2539">
        <f t="shared" si="887"/>
        <v>98.289711372700296</v>
      </c>
      <c r="BD215" s="2464">
        <f t="shared" si="887"/>
        <v>94.511390354399111</v>
      </c>
      <c r="BE215" s="604">
        <f t="shared" si="887"/>
        <v>97.762605134121102</v>
      </c>
      <c r="BF215" s="169">
        <f t="shared" si="887"/>
        <v>95.294994166841917</v>
      </c>
      <c r="BG215" s="1222"/>
      <c r="BH215" s="1222"/>
      <c r="BI215" s="4713"/>
      <c r="BJ215" s="4713"/>
      <c r="BK215" s="26"/>
      <c r="BL215" s="26"/>
      <c r="BM215" s="26"/>
      <c r="BN215" s="26"/>
    </row>
    <row r="216" spans="2:66" x14ac:dyDescent="0.25">
      <c r="B216" s="1915" t="s">
        <v>1009</v>
      </c>
      <c r="C216" s="1410" t="s">
        <v>49</v>
      </c>
      <c r="D216" s="7615">
        <f t="shared" ref="D216:AX216" si="888">+D140/D$143*100</f>
        <v>4.6777097004023185</v>
      </c>
      <c r="E216" s="7611">
        <f t="shared" si="888"/>
        <v>4.7142178125375356</v>
      </c>
      <c r="F216" s="690">
        <f t="shared" si="888"/>
        <v>0</v>
      </c>
      <c r="G216" s="7611">
        <f t="shared" ref="G216:H216" si="889">+G140/G$143*100</f>
        <v>4.7142178125375285</v>
      </c>
      <c r="H216" s="690">
        <f t="shared" si="889"/>
        <v>0</v>
      </c>
      <c r="I216" s="7612">
        <f t="shared" si="888"/>
        <v>4.714217812537532</v>
      </c>
      <c r="J216" s="127">
        <f t="shared" si="888"/>
        <v>0</v>
      </c>
      <c r="K216" s="7611">
        <f t="shared" si="888"/>
        <v>1.7618534856118737</v>
      </c>
      <c r="L216" s="690">
        <f t="shared" si="888"/>
        <v>1.7722860493944912</v>
      </c>
      <c r="M216" s="7622">
        <f t="shared" si="888"/>
        <v>3.8222591538966859</v>
      </c>
      <c r="N216" s="123">
        <f t="shared" si="888"/>
        <v>0.58270668044414597</v>
      </c>
      <c r="O216" s="7611">
        <f t="shared" si="888"/>
        <v>1.7679555683837853</v>
      </c>
      <c r="P216" s="690">
        <f t="shared" si="888"/>
        <v>1.749793701734301</v>
      </c>
      <c r="Q216" s="7613">
        <f t="shared" si="888"/>
        <v>3.3075469140528684</v>
      </c>
      <c r="R216" s="127">
        <f t="shared" si="888"/>
        <v>0.88190901107507536</v>
      </c>
      <c r="S216" s="7611">
        <f t="shared" si="888"/>
        <v>1.7102866001085535</v>
      </c>
      <c r="T216" s="690">
        <f t="shared" si="888"/>
        <v>1.2249967234851458</v>
      </c>
      <c r="U216" s="7613">
        <f t="shared" si="888"/>
        <v>2.9789588609608852</v>
      </c>
      <c r="V216" s="127">
        <f t="shared" si="888"/>
        <v>0.95225255346512228</v>
      </c>
      <c r="W216" s="7611">
        <f t="shared" si="888"/>
        <v>1.7102866001085533</v>
      </c>
      <c r="X216" s="690">
        <f t="shared" si="888"/>
        <v>1.4172664754438722</v>
      </c>
      <c r="Y216" s="7600">
        <f t="shared" si="888"/>
        <v>1.7292935939775365</v>
      </c>
      <c r="Z216" s="356">
        <f t="shared" si="888"/>
        <v>1.4639884857665812</v>
      </c>
      <c r="AA216" s="7603">
        <f t="shared" si="888"/>
        <v>2.7683214120882207</v>
      </c>
      <c r="AB216" s="474">
        <f t="shared" si="888"/>
        <v>1.0290838890643697</v>
      </c>
      <c r="AC216" s="7611">
        <f t="shared" si="888"/>
        <v>1.7102866001085535</v>
      </c>
      <c r="AD216" s="690">
        <f t="shared" si="888"/>
        <v>1.9387924514379529</v>
      </c>
      <c r="AE216" s="7588">
        <f t="shared" si="888"/>
        <v>2.6133825154100605</v>
      </c>
      <c r="AF216" s="127">
        <f t="shared" si="888"/>
        <v>1.1608375444869441</v>
      </c>
      <c r="AG216" s="7611">
        <f t="shared" si="888"/>
        <v>1.7102890434780311</v>
      </c>
      <c r="AH216" s="690">
        <f t="shared" si="888"/>
        <v>4.7321302705846486</v>
      </c>
      <c r="AI216" s="7588">
        <f t="shared" si="888"/>
        <v>2.5012853730057545</v>
      </c>
      <c r="AJ216" s="127">
        <f t="shared" si="888"/>
        <v>1.5847525549937724</v>
      </c>
      <c r="AK216" s="7611">
        <f t="shared" si="888"/>
        <v>1.7102890434780287</v>
      </c>
      <c r="AL216" s="690">
        <f t="shared" si="888"/>
        <v>0.99879510043443009</v>
      </c>
      <c r="AM216" s="7600">
        <f t="shared" si="888"/>
        <v>1.7102882201687633</v>
      </c>
      <c r="AN216" s="356">
        <f t="shared" si="888"/>
        <v>2.5025561052099277</v>
      </c>
      <c r="AO216" s="7588">
        <f t="shared" si="888"/>
        <v>2.4113633022760332</v>
      </c>
      <c r="AP216" s="127">
        <f t="shared" si="888"/>
        <v>1.5181959066075912</v>
      </c>
      <c r="AQ216" s="7611">
        <f t="shared" si="888"/>
        <v>1.7102890434780287</v>
      </c>
      <c r="AR216" s="690">
        <f t="shared" si="888"/>
        <v>0</v>
      </c>
      <c r="AS216" s="7588">
        <f t="shared" si="888"/>
        <v>2.3397992969515924</v>
      </c>
      <c r="AT216" s="127">
        <f t="shared" si="888"/>
        <v>1.3633394357952551</v>
      </c>
      <c r="AU216" s="7611">
        <f t="shared" si="888"/>
        <v>1.7102890434780305</v>
      </c>
      <c r="AV216" s="690">
        <f t="shared" si="888"/>
        <v>0</v>
      </c>
      <c r="AW216" s="7588">
        <f t="shared" si="888"/>
        <v>2.2866585167639402</v>
      </c>
      <c r="AX216" s="127">
        <f t="shared" si="888"/>
        <v>1.2485160902692212</v>
      </c>
      <c r="AY216" s="7611">
        <f t="shared" ref="AY216:AZ216" si="890">+AY140/AY$143*100</f>
        <v>1.7102890434780287</v>
      </c>
      <c r="AZ216" s="690">
        <f t="shared" si="890"/>
        <v>0</v>
      </c>
      <c r="BA216" s="7600">
        <f t="shared" ref="BA216:BF216" si="891">+BA140/BA$143*100</f>
        <v>1.7102890434780291</v>
      </c>
      <c r="BB216" s="356">
        <f t="shared" si="891"/>
        <v>0</v>
      </c>
      <c r="BC216" s="7603">
        <f t="shared" si="891"/>
        <v>1.7102886272997206</v>
      </c>
      <c r="BD216" s="474">
        <f t="shared" si="891"/>
        <v>1.2555107278951856</v>
      </c>
      <c r="BE216" s="7588">
        <f t="shared" si="891"/>
        <v>2.2373948658788985</v>
      </c>
      <c r="BF216" s="127">
        <f t="shared" si="891"/>
        <v>1.1417521821381416</v>
      </c>
      <c r="BG216" s="1222"/>
      <c r="BH216" s="1222"/>
      <c r="BI216" s="4713"/>
      <c r="BJ216" s="4713"/>
      <c r="BK216" s="26"/>
      <c r="BL216" s="26"/>
      <c r="BM216" s="26"/>
      <c r="BN216" s="26"/>
    </row>
    <row r="217" spans="2:66" x14ac:dyDescent="0.25">
      <c r="B217" s="1915" t="s">
        <v>1189</v>
      </c>
      <c r="C217" s="1395" t="s">
        <v>49</v>
      </c>
      <c r="D217" s="7615"/>
      <c r="E217" s="7611"/>
      <c r="F217" s="101">
        <f>+F141/F$143*100</f>
        <v>7.217376116796455</v>
      </c>
      <c r="G217" s="7611"/>
      <c r="H217" s="101">
        <f>+H141/H$143*100</f>
        <v>6.3327184857152119</v>
      </c>
      <c r="I217" s="7613"/>
      <c r="J217" s="107">
        <f>+J141/J$143*100</f>
        <v>6.7669006002319749</v>
      </c>
      <c r="K217" s="7611"/>
      <c r="L217" s="101">
        <f>+L141/L$143*100</f>
        <v>0</v>
      </c>
      <c r="M217" s="7622"/>
      <c r="N217" s="114">
        <f>+N141/N$143*100</f>
        <v>4.5420237599477238</v>
      </c>
      <c r="O217" s="7611"/>
      <c r="P217" s="101">
        <f>+P141/P$143*100</f>
        <v>0</v>
      </c>
      <c r="Q217" s="7613"/>
      <c r="R217" s="107">
        <f>+R141/R$143*100</f>
        <v>3.3775997967242026</v>
      </c>
      <c r="S217" s="7611"/>
      <c r="T217" s="101">
        <f>+T141/T$143*100</f>
        <v>1.0990471274182778</v>
      </c>
      <c r="U217" s="7613"/>
      <c r="V217" s="107">
        <f>+V141/V$143*100</f>
        <v>2.9104263583187437</v>
      </c>
      <c r="W217" s="7611"/>
      <c r="X217" s="101">
        <f>+X141/X$143*100</f>
        <v>2.8462816309890857</v>
      </c>
      <c r="Y217" s="7601"/>
      <c r="Z217" s="356">
        <f>+Z141/Z$143*100</f>
        <v>1.2998395622015515</v>
      </c>
      <c r="AA217" s="7604"/>
      <c r="AB217" s="474">
        <f>+AB141/AB$143*100</f>
        <v>2.8998281270842545</v>
      </c>
      <c r="AC217" s="7611"/>
      <c r="AD217" s="101">
        <f>+AD141/AD$143*100</f>
        <v>2.8304033155626063</v>
      </c>
      <c r="AE217" s="7588"/>
      <c r="AF217" s="107">
        <f>+AF141/AF$143*100</f>
        <v>2.8897732885641747</v>
      </c>
      <c r="AG217" s="7611"/>
      <c r="AH217" s="101">
        <f>+AH141/AH$143*100</f>
        <v>1.7676722928377206</v>
      </c>
      <c r="AI217" s="7588"/>
      <c r="AJ217" s="107">
        <f>+AJ141/AJ$143*100</f>
        <v>2.7565790947874964</v>
      </c>
      <c r="AK217" s="7611"/>
      <c r="AL217" s="101">
        <f>+AL141/AL$143*100</f>
        <v>3.759651691416352</v>
      </c>
      <c r="AM217" s="7601"/>
      <c r="AN217" s="356">
        <f>+AN141/AN$143*100</f>
        <v>2.8115187205155068</v>
      </c>
      <c r="AO217" s="7588"/>
      <c r="AP217" s="107">
        <f>+AP141/AP$143*100</f>
        <v>2.8705142441744891</v>
      </c>
      <c r="AQ217" s="7611"/>
      <c r="AR217" s="101">
        <f>+AR141/AR$143*100</f>
        <v>4.7584467918507825</v>
      </c>
      <c r="AS217" s="7588"/>
      <c r="AT217" s="107">
        <f>+AT141/AT$143*100</f>
        <v>3.0630839713042159</v>
      </c>
      <c r="AU217" s="7611"/>
      <c r="AV217" s="101">
        <f>+AV141/AV$143*100</f>
        <v>5.357688488404114</v>
      </c>
      <c r="AW217" s="7588"/>
      <c r="AX217" s="107">
        <f>+AX141/AX$143*100</f>
        <v>3.2563404416995527</v>
      </c>
      <c r="AY217" s="7611"/>
      <c r="AZ217" s="101">
        <f>+AZ141/AZ$143*100</f>
        <v>6.8454379828107035</v>
      </c>
      <c r="BA217" s="7601"/>
      <c r="BB217" s="356">
        <f>+BB141/BB$143*100</f>
        <v>5.6643292647351347</v>
      </c>
      <c r="BC217" s="7604"/>
      <c r="BD217" s="474">
        <f>+BD141/BD$143*100</f>
        <v>4.2330989177056955</v>
      </c>
      <c r="BE217" s="7588"/>
      <c r="BF217" s="107">
        <f>+BF141/BF$143*100</f>
        <v>3.5632536510199446</v>
      </c>
      <c r="BG217" s="1222"/>
      <c r="BH217" s="1222"/>
      <c r="BI217" s="4713"/>
      <c r="BJ217" s="4713"/>
      <c r="BK217" s="26"/>
      <c r="BL217" s="26"/>
      <c r="BM217" s="26"/>
      <c r="BN217" s="26"/>
    </row>
    <row r="218" spans="2:66" ht="15" customHeight="1" thickBot="1" x14ac:dyDescent="0.3">
      <c r="B218" s="1905" t="s">
        <v>1137</v>
      </c>
      <c r="C218" s="1407" t="s">
        <v>49</v>
      </c>
      <c r="D218" s="7615"/>
      <c r="E218" s="7611"/>
      <c r="F218" s="133">
        <f>+F142/F$143*100</f>
        <v>0</v>
      </c>
      <c r="G218" s="7611"/>
      <c r="H218" s="133">
        <f>+H142/H$143*100</f>
        <v>0</v>
      </c>
      <c r="I218" s="7614"/>
      <c r="J218" s="108">
        <f>+J142/J$143*100</f>
        <v>0</v>
      </c>
      <c r="K218" s="7611"/>
      <c r="L218" s="133">
        <f>+L142/L$143*100</f>
        <v>0</v>
      </c>
      <c r="M218" s="7622"/>
      <c r="N218" s="115">
        <f>+N142/N$143*100</f>
        <v>0</v>
      </c>
      <c r="O218" s="7611"/>
      <c r="P218" s="133">
        <f>+P142/P$143*100</f>
        <v>0</v>
      </c>
      <c r="Q218" s="7613"/>
      <c r="R218" s="108">
        <f>+R142/R$143*100</f>
        <v>0</v>
      </c>
      <c r="S218" s="7611"/>
      <c r="T218" s="133">
        <f>+T142/T$143*100</f>
        <v>0</v>
      </c>
      <c r="U218" s="7613"/>
      <c r="V218" s="108">
        <f>+V142/V$143*100</f>
        <v>0</v>
      </c>
      <c r="W218" s="7611"/>
      <c r="X218" s="133">
        <f>+X142/X$143*100</f>
        <v>0</v>
      </c>
      <c r="Y218" s="7602"/>
      <c r="Z218" s="356">
        <f>+Z142/Z$143*100</f>
        <v>0</v>
      </c>
      <c r="AA218" s="7605"/>
      <c r="AB218" s="474">
        <f>+AB142/AB$143*100</f>
        <v>0</v>
      </c>
      <c r="AC218" s="7611"/>
      <c r="AD218" s="133">
        <f>+AD142/AD$143*100</f>
        <v>0</v>
      </c>
      <c r="AE218" s="7588"/>
      <c r="AF218" s="108">
        <f>+AF142/AF$143*100</f>
        <v>0</v>
      </c>
      <c r="AG218" s="7611"/>
      <c r="AH218" s="133">
        <f>+AH142/AH$143*100</f>
        <v>0</v>
      </c>
      <c r="AI218" s="7588"/>
      <c r="AJ218" s="108">
        <f>+AJ142/AJ$143*100</f>
        <v>0</v>
      </c>
      <c r="AK218" s="7611"/>
      <c r="AL218" s="133">
        <f>+AL142/AL$143*100</f>
        <v>0</v>
      </c>
      <c r="AM218" s="7602"/>
      <c r="AN218" s="356">
        <f>+AN142/AN$143*100</f>
        <v>0</v>
      </c>
      <c r="AO218" s="7588"/>
      <c r="AP218" s="108">
        <f>+AP142/AP$143*100</f>
        <v>0</v>
      </c>
      <c r="AQ218" s="7611"/>
      <c r="AR218" s="133">
        <f>+AR142/AR$143*100</f>
        <v>0</v>
      </c>
      <c r="AS218" s="7588"/>
      <c r="AT218" s="108">
        <f>+AT142/AT$143*100</f>
        <v>0</v>
      </c>
      <c r="AU218" s="7611"/>
      <c r="AV218" s="133">
        <f>+AV142/AV$143*100</f>
        <v>0</v>
      </c>
      <c r="AW218" s="7588"/>
      <c r="AX218" s="108">
        <f>+AX142/AX$143*100</f>
        <v>0</v>
      </c>
      <c r="AY218" s="7611"/>
      <c r="AZ218" s="133">
        <f>+AZ142/AZ$143*100</f>
        <v>0</v>
      </c>
      <c r="BA218" s="7602"/>
      <c r="BB218" s="356">
        <f>+BB142/BB$143*100</f>
        <v>0</v>
      </c>
      <c r="BC218" s="7605"/>
      <c r="BD218" s="474">
        <f>+BD142/BD$143*100</f>
        <v>0</v>
      </c>
      <c r="BE218" s="7588"/>
      <c r="BF218" s="108">
        <f>+BF142/BF$143*100</f>
        <v>0</v>
      </c>
      <c r="BG218" s="1222"/>
      <c r="BH218" s="1222"/>
      <c r="BI218" s="4713"/>
      <c r="BJ218" s="4713"/>
      <c r="BK218" s="26"/>
      <c r="BL218" s="26"/>
      <c r="BM218" s="26"/>
      <c r="BN218" s="26"/>
    </row>
    <row r="219" spans="2:66" ht="19.5" thickBot="1" x14ac:dyDescent="0.3">
      <c r="B219" s="1962" t="s">
        <v>608</v>
      </c>
      <c r="C219" s="737" t="s">
        <v>49</v>
      </c>
      <c r="D219" s="1443">
        <f>SUM(D216:D218)</f>
        <v>4.6777097004023185</v>
      </c>
      <c r="E219" s="1389">
        <f>SUM(E216:E218)</f>
        <v>4.7142178125375356</v>
      </c>
      <c r="F219" s="143">
        <f>SUM(F216:F218)</f>
        <v>7.217376116796455</v>
      </c>
      <c r="G219" s="1389">
        <f>SUM(G216:G218)</f>
        <v>4.7142178125375285</v>
      </c>
      <c r="H219" s="143">
        <f>SUM(H216:H218)</f>
        <v>6.3327184857152119</v>
      </c>
      <c r="I219" s="604">
        <f t="shared" ref="I219:N219" si="892">SUM(I216:I218)</f>
        <v>4.714217812537532</v>
      </c>
      <c r="J219" s="169">
        <f t="shared" si="892"/>
        <v>6.7669006002319749</v>
      </c>
      <c r="K219" s="1389">
        <f>SUM(K216:K218)</f>
        <v>1.7618534856118737</v>
      </c>
      <c r="L219" s="143">
        <f>SUM(L216:L218)</f>
        <v>1.7722860493944912</v>
      </c>
      <c r="M219" s="1595">
        <f t="shared" si="892"/>
        <v>3.8222591538966859</v>
      </c>
      <c r="N219" s="1596">
        <f t="shared" si="892"/>
        <v>5.1247304403918701</v>
      </c>
      <c r="O219" s="1389">
        <f>SUM(O216:O218)</f>
        <v>1.7679555683837853</v>
      </c>
      <c r="P219" s="143">
        <f>SUM(P216:P218)</f>
        <v>1.749793701734301</v>
      </c>
      <c r="Q219" s="1722">
        <f t="shared" ref="Q219:R219" si="893">SUM(Q216:Q218)</f>
        <v>3.3075469140528684</v>
      </c>
      <c r="R219" s="169">
        <f t="shared" si="893"/>
        <v>4.2595088077992784</v>
      </c>
      <c r="S219" s="1389">
        <f>SUM(S216:S218)</f>
        <v>1.7102866001085535</v>
      </c>
      <c r="T219" s="143">
        <f>SUM(T216:T218)</f>
        <v>2.3240438509034238</v>
      </c>
      <c r="U219" s="1722">
        <f t="shared" ref="U219:V219" si="894">SUM(U216:U218)</f>
        <v>2.9789588609608852</v>
      </c>
      <c r="V219" s="169">
        <f t="shared" si="894"/>
        <v>3.862678911783866</v>
      </c>
      <c r="W219" s="1389">
        <f>SUM(W216:W218)</f>
        <v>1.7102866001085533</v>
      </c>
      <c r="X219" s="143">
        <f>SUM(X216:X218)</f>
        <v>4.2635481064329577</v>
      </c>
      <c r="Y219" s="605">
        <f t="shared" ref="Y219:AF219" si="895">SUM(Y216:Y218)</f>
        <v>1.7292935939775365</v>
      </c>
      <c r="Z219" s="355">
        <f t="shared" si="895"/>
        <v>2.7638280479681328</v>
      </c>
      <c r="AA219" s="2539">
        <f t="shared" si="895"/>
        <v>2.7683214120882207</v>
      </c>
      <c r="AB219" s="2464">
        <f t="shared" si="895"/>
        <v>3.9289120161486242</v>
      </c>
      <c r="AC219" s="1389">
        <f>SUM(AC216:AC218)</f>
        <v>1.7102866001085535</v>
      </c>
      <c r="AD219" s="143">
        <f>SUM(AD216:AD218)</f>
        <v>4.7691957670005589</v>
      </c>
      <c r="AE219" s="604">
        <f t="shared" si="895"/>
        <v>2.6133825154100605</v>
      </c>
      <c r="AF219" s="169">
        <f t="shared" si="895"/>
        <v>4.0506108330511186</v>
      </c>
      <c r="AG219" s="1389">
        <f>SUM(AG216:AG218)</f>
        <v>1.7102890434780311</v>
      </c>
      <c r="AH219" s="143">
        <f>SUM(AH216:AH218)</f>
        <v>6.4998025634223691</v>
      </c>
      <c r="AI219" s="604">
        <f t="shared" ref="AI219:AN219" si="896">SUM(AI216:AI218)</f>
        <v>2.5012853730057545</v>
      </c>
      <c r="AJ219" s="169">
        <f t="shared" si="896"/>
        <v>4.3413316497812691</v>
      </c>
      <c r="AK219" s="1389">
        <f>SUM(AK216:AK218)</f>
        <v>1.7102890434780287</v>
      </c>
      <c r="AL219" s="143">
        <f>SUM(AL216:AL218)</f>
        <v>4.7584467918507825</v>
      </c>
      <c r="AM219" s="605">
        <f t="shared" si="896"/>
        <v>1.7102882201687633</v>
      </c>
      <c r="AN219" s="355">
        <f t="shared" si="896"/>
        <v>5.3140748257254344</v>
      </c>
      <c r="AO219" s="604">
        <f t="shared" ref="AO219:AT219" si="897">SUM(AO216:AO218)</f>
        <v>2.4113633022760332</v>
      </c>
      <c r="AP219" s="169">
        <f t="shared" si="897"/>
        <v>4.3887101507820798</v>
      </c>
      <c r="AQ219" s="1389">
        <f>SUM(AQ216:AQ218)</f>
        <v>1.7102890434780287</v>
      </c>
      <c r="AR219" s="143">
        <f>SUM(AR216:AR218)</f>
        <v>4.7584467918507825</v>
      </c>
      <c r="AS219" s="604">
        <f t="shared" si="897"/>
        <v>2.3397992969515924</v>
      </c>
      <c r="AT219" s="169">
        <f t="shared" si="897"/>
        <v>4.4264234070994712</v>
      </c>
      <c r="AU219" s="1389">
        <f>SUM(AU216:AU218)</f>
        <v>1.7102890434780305</v>
      </c>
      <c r="AV219" s="143">
        <f>SUM(AV216:AV218)</f>
        <v>5.357688488404114</v>
      </c>
      <c r="AW219" s="604">
        <f t="shared" ref="AW219:AX219" si="898">SUM(AW216:AW218)</f>
        <v>2.2866585167639402</v>
      </c>
      <c r="AX219" s="169">
        <f t="shared" si="898"/>
        <v>4.5048565319687741</v>
      </c>
      <c r="AY219" s="1389">
        <f>SUM(AY216:AY218)</f>
        <v>1.7102890434780287</v>
      </c>
      <c r="AZ219" s="143">
        <f>SUM(AZ216:AZ218)</f>
        <v>6.8454379828107035</v>
      </c>
      <c r="BA219" s="605">
        <f t="shared" ref="BA219:BF219" si="899">SUM(BA216:BA218)</f>
        <v>1.7102890434780291</v>
      </c>
      <c r="BB219" s="355">
        <f t="shared" si="899"/>
        <v>5.6643292647351347</v>
      </c>
      <c r="BC219" s="2539">
        <f t="shared" si="899"/>
        <v>1.7102886272997206</v>
      </c>
      <c r="BD219" s="2464">
        <f t="shared" si="899"/>
        <v>5.4886096456008815</v>
      </c>
      <c r="BE219" s="604">
        <f t="shared" si="899"/>
        <v>2.2373948658788985</v>
      </c>
      <c r="BF219" s="169">
        <f t="shared" si="899"/>
        <v>4.7050058331580864</v>
      </c>
      <c r="BG219" s="1222"/>
      <c r="BH219" s="1222"/>
      <c r="BI219" s="4713"/>
      <c r="BJ219" s="4713"/>
      <c r="BK219" s="26"/>
      <c r="BL219" s="26"/>
      <c r="BM219" s="26"/>
      <c r="BN219" s="26"/>
    </row>
    <row r="220" spans="2:66" ht="19.5" thickBot="1" x14ac:dyDescent="0.3">
      <c r="B220" s="1962" t="s">
        <v>11</v>
      </c>
      <c r="C220" s="737" t="s">
        <v>49</v>
      </c>
      <c r="D220" s="5729">
        <f>+D215+D219</f>
        <v>100</v>
      </c>
      <c r="E220" s="5730">
        <f>+E215+E219</f>
        <v>100.00000000000001</v>
      </c>
      <c r="F220" s="140">
        <f>+F215+F219</f>
        <v>100.00000000000001</v>
      </c>
      <c r="G220" s="5730">
        <f>+G215+G219</f>
        <v>100</v>
      </c>
      <c r="H220" s="140">
        <f>+H215+H219</f>
        <v>100</v>
      </c>
      <c r="I220" s="5731">
        <f t="shared" ref="I220:N220" si="900">+I215+I219</f>
        <v>100</v>
      </c>
      <c r="J220" s="5732">
        <f t="shared" si="900"/>
        <v>100</v>
      </c>
      <c r="K220" s="5730">
        <f>+K215+K219</f>
        <v>100</v>
      </c>
      <c r="L220" s="140">
        <f>+L215+L219</f>
        <v>100.00000000000001</v>
      </c>
      <c r="M220" s="5733">
        <f t="shared" si="900"/>
        <v>100</v>
      </c>
      <c r="N220" s="5734">
        <f t="shared" si="900"/>
        <v>99.999999999999986</v>
      </c>
      <c r="O220" s="5730">
        <f>+O215+O219</f>
        <v>100.00000000000001</v>
      </c>
      <c r="P220" s="140">
        <f>+P215+P219</f>
        <v>100.00000000000003</v>
      </c>
      <c r="Q220" s="5735">
        <f t="shared" ref="Q220:R220" si="901">+Q215+Q219</f>
        <v>100.00000000000003</v>
      </c>
      <c r="R220" s="5732">
        <f t="shared" si="901"/>
        <v>100</v>
      </c>
      <c r="S220" s="5730">
        <f>+S215+S219</f>
        <v>100.00000000000001</v>
      </c>
      <c r="T220" s="140">
        <f>+T215+T219</f>
        <v>100.00000000000001</v>
      </c>
      <c r="U220" s="5735">
        <f t="shared" ref="U220:V220" si="902">+U215+U219</f>
        <v>100.00000000000003</v>
      </c>
      <c r="V220" s="5732">
        <f t="shared" si="902"/>
        <v>100</v>
      </c>
      <c r="W220" s="5730">
        <f>+W215+W219</f>
        <v>100</v>
      </c>
      <c r="X220" s="140">
        <f>+X215+X219</f>
        <v>100.00000000000003</v>
      </c>
      <c r="Y220" s="5736">
        <f t="shared" ref="Y220:AF220" si="903">+Y215+Y219</f>
        <v>99.999999999999986</v>
      </c>
      <c r="Z220" s="5737">
        <f t="shared" si="903"/>
        <v>100</v>
      </c>
      <c r="AA220" s="5738">
        <f t="shared" si="903"/>
        <v>100</v>
      </c>
      <c r="AB220" s="5739">
        <f t="shared" si="903"/>
        <v>99.999999999999986</v>
      </c>
      <c r="AC220" s="5730">
        <f>+AC215+AC219</f>
        <v>100.00000000000001</v>
      </c>
      <c r="AD220" s="140">
        <f>+AD215+AD219</f>
        <v>100</v>
      </c>
      <c r="AE220" s="5731">
        <f t="shared" si="903"/>
        <v>100.00000000000001</v>
      </c>
      <c r="AF220" s="5732">
        <f t="shared" si="903"/>
        <v>99.999999999999986</v>
      </c>
      <c r="AG220" s="5730">
        <f>+AG215+AG219</f>
        <v>100.00000000000001</v>
      </c>
      <c r="AH220" s="140">
        <f>+AH215+AH219</f>
        <v>100.00000000000001</v>
      </c>
      <c r="AI220" s="5731">
        <f t="shared" ref="AI220:AN220" si="904">+AI215+AI219</f>
        <v>99.999999999999986</v>
      </c>
      <c r="AJ220" s="5732">
        <f t="shared" si="904"/>
        <v>100</v>
      </c>
      <c r="AK220" s="5730">
        <f>+AK215+AK219</f>
        <v>100.00000000000001</v>
      </c>
      <c r="AL220" s="140">
        <f>+AL215+AL219</f>
        <v>100</v>
      </c>
      <c r="AM220" s="605">
        <f t="shared" si="904"/>
        <v>100</v>
      </c>
      <c r="AN220" s="355">
        <f t="shared" si="904"/>
        <v>100</v>
      </c>
      <c r="AO220" s="604">
        <f t="shared" ref="AO220:AT220" si="905">+AO215+AO219</f>
        <v>100</v>
      </c>
      <c r="AP220" s="169">
        <f t="shared" si="905"/>
        <v>99.999999999999986</v>
      </c>
      <c r="AQ220" s="5730">
        <f>+AQ215+AQ219</f>
        <v>100.00000000000001</v>
      </c>
      <c r="AR220" s="140">
        <f>+AR215+AR219</f>
        <v>100</v>
      </c>
      <c r="AS220" s="604">
        <f t="shared" si="905"/>
        <v>100.00000000000001</v>
      </c>
      <c r="AT220" s="169">
        <f t="shared" si="905"/>
        <v>100.00000000000001</v>
      </c>
      <c r="AU220" s="5730">
        <f>+AU215+AU219</f>
        <v>100</v>
      </c>
      <c r="AV220" s="140">
        <f>+AV215+AV219</f>
        <v>99.999999999999972</v>
      </c>
      <c r="AW220" s="604">
        <f t="shared" ref="AW220:AX220" si="906">+AW215+AW219</f>
        <v>99.999999999999986</v>
      </c>
      <c r="AX220" s="169">
        <f t="shared" si="906"/>
        <v>99.999999999999986</v>
      </c>
      <c r="AY220" s="5730">
        <f>+AY215+AY219</f>
        <v>100.00000000000001</v>
      </c>
      <c r="AZ220" s="140">
        <f>+AZ215+AZ219</f>
        <v>100.00000000000001</v>
      </c>
      <c r="BA220" s="605">
        <f t="shared" ref="BA220:BF220" si="907">+BA215+BA219</f>
        <v>99.999999999999986</v>
      </c>
      <c r="BB220" s="355">
        <f t="shared" si="907"/>
        <v>100</v>
      </c>
      <c r="BC220" s="1390">
        <f t="shared" si="907"/>
        <v>100.00000000000001</v>
      </c>
      <c r="BD220" s="2464">
        <f t="shared" si="907"/>
        <v>100</v>
      </c>
      <c r="BE220" s="604">
        <f t="shared" si="907"/>
        <v>100</v>
      </c>
      <c r="BF220" s="169">
        <f t="shared" si="907"/>
        <v>100</v>
      </c>
      <c r="BG220" s="1222"/>
      <c r="BH220" s="1222"/>
      <c r="BI220" s="4713"/>
      <c r="BJ220" s="4713"/>
      <c r="BK220" s="26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22"/>
      <c r="BH221" s="1222"/>
      <c r="BI221" s="4713"/>
      <c r="BJ221" s="4713"/>
      <c r="BK221" s="26"/>
      <c r="BL221" s="26"/>
      <c r="BM221" s="26"/>
      <c r="BN221" s="26"/>
    </row>
    <row r="222" spans="2:66" x14ac:dyDescent="0.25">
      <c r="B222" s="2571" t="s">
        <v>132</v>
      </c>
      <c r="C222" s="2569" t="s">
        <v>175</v>
      </c>
      <c r="D222" s="2570">
        <v>77.5</v>
      </c>
      <c r="E222" s="4805">
        <f>E12</f>
        <v>78</v>
      </c>
      <c r="F222" s="4805">
        <f t="shared" ref="F222:AX222" si="908">F12</f>
        <v>77.83</v>
      </c>
      <c r="G222" s="4805">
        <f>G12</f>
        <v>78</v>
      </c>
      <c r="H222" s="4805">
        <f t="shared" ref="H222" si="909">H12</f>
        <v>77.83</v>
      </c>
      <c r="I222" s="4805">
        <f t="shared" si="908"/>
        <v>78</v>
      </c>
      <c r="J222" s="4805">
        <f t="shared" si="908"/>
        <v>77.83</v>
      </c>
      <c r="K222" s="4805">
        <f t="shared" si="908"/>
        <v>77</v>
      </c>
      <c r="L222" s="4805">
        <f t="shared" si="908"/>
        <v>77.73</v>
      </c>
      <c r="M222" s="4805">
        <f t="shared" si="908"/>
        <v>77.670329670329664</v>
      </c>
      <c r="N222" s="4805">
        <f t="shared" si="908"/>
        <v>77.797032967032976</v>
      </c>
      <c r="O222" s="4805">
        <f t="shared" si="908"/>
        <v>76</v>
      </c>
      <c r="P222" s="4805">
        <f t="shared" si="908"/>
        <v>77.7</v>
      </c>
      <c r="Q222" s="4805">
        <f t="shared" si="908"/>
        <v>77.245901639344268</v>
      </c>
      <c r="R222" s="4805">
        <f t="shared" si="908"/>
        <v>77.772377049180335</v>
      </c>
      <c r="S222" s="4805">
        <f t="shared" si="908"/>
        <v>76</v>
      </c>
      <c r="T222" s="4805">
        <f t="shared" si="908"/>
        <v>77.739999999999995</v>
      </c>
      <c r="U222" s="4805">
        <f t="shared" si="908"/>
        <v>76.993464052287578</v>
      </c>
      <c r="V222" s="4805">
        <f t="shared" si="908"/>
        <v>77.765816993464071</v>
      </c>
      <c r="W222" s="4805">
        <f t="shared" si="908"/>
        <v>76</v>
      </c>
      <c r="X222" s="4805">
        <f t="shared" si="908"/>
        <v>77.66</v>
      </c>
      <c r="Y222" s="4805">
        <f t="shared" si="908"/>
        <v>76</v>
      </c>
      <c r="Z222" s="4805">
        <f t="shared" si="908"/>
        <v>77.700434782608696</v>
      </c>
      <c r="AA222" s="4805">
        <f t="shared" si="908"/>
        <v>76.830601092896174</v>
      </c>
      <c r="AB222" s="4805">
        <f t="shared" si="908"/>
        <v>77.748469945355197</v>
      </c>
      <c r="AC222" s="4805">
        <f t="shared" si="908"/>
        <v>76</v>
      </c>
      <c r="AD222" s="4805">
        <f t="shared" si="908"/>
        <v>77.83</v>
      </c>
      <c r="AE222" s="4805">
        <f t="shared" si="908"/>
        <v>76.710280373831779</v>
      </c>
      <c r="AF222" s="4805">
        <f t="shared" si="908"/>
        <v>77.760280373831776</v>
      </c>
      <c r="AG222" s="4805">
        <f t="shared" si="908"/>
        <v>76</v>
      </c>
      <c r="AH222" s="4805">
        <f t="shared" si="908"/>
        <v>77.8</v>
      </c>
      <c r="AI222" s="4805">
        <f t="shared" si="908"/>
        <v>76.622950819672127</v>
      </c>
      <c r="AJ222" s="4805">
        <f t="shared" si="908"/>
        <v>77.765163934426226</v>
      </c>
      <c r="AK222" s="4805">
        <f t="shared" si="908"/>
        <v>76</v>
      </c>
      <c r="AL222" s="4805">
        <f t="shared" si="908"/>
        <v>77.8</v>
      </c>
      <c r="AM222" s="4805">
        <f t="shared" si="908"/>
        <v>76</v>
      </c>
      <c r="AN222" s="4805">
        <f t="shared" si="908"/>
        <v>77.810108695652161</v>
      </c>
      <c r="AO222" s="4805">
        <f t="shared" si="908"/>
        <v>76.552727272727267</v>
      </c>
      <c r="AP222" s="4805">
        <f t="shared" si="908"/>
        <v>77.769090909090906</v>
      </c>
      <c r="AQ222" s="4805">
        <f t="shared" si="908"/>
        <v>76</v>
      </c>
      <c r="AR222" s="4805">
        <f t="shared" si="908"/>
        <v>77.8</v>
      </c>
      <c r="AS222" s="4805">
        <f t="shared" si="908"/>
        <v>76.496732026143789</v>
      </c>
      <c r="AT222" s="4805">
        <f t="shared" si="908"/>
        <v>77.772222222222226</v>
      </c>
      <c r="AU222" s="4805">
        <f t="shared" si="908"/>
        <v>76</v>
      </c>
      <c r="AV222" s="4805">
        <f t="shared" si="908"/>
        <v>77.819999999999993</v>
      </c>
      <c r="AW222" s="4805">
        <f t="shared" si="908"/>
        <v>76.455089820359277</v>
      </c>
      <c r="AX222" s="4805">
        <f t="shared" si="908"/>
        <v>77.776227544910171</v>
      </c>
      <c r="AY222" s="4805">
        <f t="shared" ref="AY222:AZ222" si="910">AY12</f>
        <v>76</v>
      </c>
      <c r="AZ222" s="4805">
        <f t="shared" si="910"/>
        <v>77.83</v>
      </c>
      <c r="BA222" s="2570">
        <v>77.5</v>
      </c>
      <c r="BB222" s="2570">
        <v>77.5</v>
      </c>
      <c r="BC222" s="2570">
        <v>77.5</v>
      </c>
      <c r="BD222" s="2570">
        <v>77.5</v>
      </c>
      <c r="BE222" s="2570">
        <v>77.5</v>
      </c>
      <c r="BF222" s="2570">
        <v>77.5</v>
      </c>
      <c r="BG222" s="1222"/>
      <c r="BH222" s="1222"/>
      <c r="BI222" s="4713"/>
      <c r="BJ222" s="4713"/>
      <c r="BK222" s="26"/>
      <c r="BL222" s="26"/>
      <c r="BM222" s="26"/>
      <c r="BN222" s="26"/>
    </row>
    <row r="223" spans="2:66" x14ac:dyDescent="0.25">
      <c r="B223" s="2571" t="s">
        <v>133</v>
      </c>
      <c r="C223" s="2569" t="s">
        <v>175</v>
      </c>
      <c r="D223" s="2570">
        <v>73.5</v>
      </c>
      <c r="E223" s="4805">
        <f>E13</f>
        <v>73.3</v>
      </c>
      <c r="F223" s="4805">
        <f t="shared" ref="F223:AX223" si="911">F13</f>
        <v>74</v>
      </c>
      <c r="G223" s="4805">
        <f>G13</f>
        <v>73.3</v>
      </c>
      <c r="H223" s="4805">
        <f t="shared" ref="H223" si="912">H13</f>
        <v>74</v>
      </c>
      <c r="I223" s="4805">
        <f t="shared" si="911"/>
        <v>73.299999999999983</v>
      </c>
      <c r="J223" s="4805">
        <f t="shared" si="911"/>
        <v>74</v>
      </c>
      <c r="K223" s="4805">
        <f t="shared" si="911"/>
        <v>73.5</v>
      </c>
      <c r="L223" s="4805">
        <f t="shared" si="911"/>
        <v>74</v>
      </c>
      <c r="M223" s="4805">
        <f t="shared" si="911"/>
        <v>73.365934065934056</v>
      </c>
      <c r="N223" s="4805">
        <f t="shared" si="911"/>
        <v>74</v>
      </c>
      <c r="O223" s="4805">
        <f t="shared" si="911"/>
        <v>73.5</v>
      </c>
      <c r="P223" s="4805">
        <f t="shared" si="911"/>
        <v>74</v>
      </c>
      <c r="Q223" s="4805">
        <f t="shared" si="911"/>
        <v>73.399999999999991</v>
      </c>
      <c r="R223" s="4805">
        <f t="shared" si="911"/>
        <v>74</v>
      </c>
      <c r="S223" s="4805">
        <f t="shared" si="911"/>
        <v>73.5</v>
      </c>
      <c r="T223" s="4805">
        <f t="shared" si="911"/>
        <v>74</v>
      </c>
      <c r="U223" s="4805">
        <f t="shared" si="911"/>
        <v>73.420261437908493</v>
      </c>
      <c r="V223" s="4805">
        <f t="shared" si="911"/>
        <v>74</v>
      </c>
      <c r="W223" s="4805">
        <f t="shared" si="911"/>
        <v>73.5</v>
      </c>
      <c r="X223" s="4805">
        <f t="shared" si="911"/>
        <v>74</v>
      </c>
      <c r="Y223" s="4805">
        <f t="shared" si="911"/>
        <v>73.5</v>
      </c>
      <c r="Z223" s="4805">
        <f t="shared" si="911"/>
        <v>74</v>
      </c>
      <c r="AA223" s="4805">
        <f t="shared" si="911"/>
        <v>73.433333333333323</v>
      </c>
      <c r="AB223" s="4805">
        <f t="shared" si="911"/>
        <v>74</v>
      </c>
      <c r="AC223" s="4805">
        <f t="shared" si="911"/>
        <v>73.5</v>
      </c>
      <c r="AD223" s="4805">
        <f t="shared" si="911"/>
        <v>74</v>
      </c>
      <c r="AE223" s="4805">
        <f t="shared" si="911"/>
        <v>73.442990654205602</v>
      </c>
      <c r="AF223" s="4805">
        <f t="shared" si="911"/>
        <v>74</v>
      </c>
      <c r="AG223" s="4805">
        <f t="shared" si="911"/>
        <v>73.5</v>
      </c>
      <c r="AH223" s="4805">
        <f t="shared" si="911"/>
        <v>74</v>
      </c>
      <c r="AI223" s="4805">
        <f t="shared" si="911"/>
        <v>73.45</v>
      </c>
      <c r="AJ223" s="4805">
        <f t="shared" si="911"/>
        <v>74</v>
      </c>
      <c r="AK223" s="4805">
        <f t="shared" si="911"/>
        <v>73.5</v>
      </c>
      <c r="AL223" s="4805">
        <f t="shared" si="911"/>
        <v>74</v>
      </c>
      <c r="AM223" s="4805">
        <f t="shared" si="911"/>
        <v>73.5</v>
      </c>
      <c r="AN223" s="4805">
        <f t="shared" si="911"/>
        <v>74</v>
      </c>
      <c r="AO223" s="4805">
        <f t="shared" si="911"/>
        <v>73.455636363636359</v>
      </c>
      <c r="AP223" s="4805">
        <f t="shared" si="911"/>
        <v>74</v>
      </c>
      <c r="AQ223" s="4805">
        <f t="shared" si="911"/>
        <v>73.5</v>
      </c>
      <c r="AR223" s="4805">
        <f t="shared" si="911"/>
        <v>74</v>
      </c>
      <c r="AS223" s="4805">
        <f t="shared" si="911"/>
        <v>73.460130718954247</v>
      </c>
      <c r="AT223" s="4805">
        <f t="shared" si="911"/>
        <v>74</v>
      </c>
      <c r="AU223" s="4805">
        <f t="shared" si="911"/>
        <v>73.5</v>
      </c>
      <c r="AV223" s="4805">
        <f t="shared" si="911"/>
        <v>74</v>
      </c>
      <c r="AW223" s="4805">
        <f t="shared" si="911"/>
        <v>73.463473053892216</v>
      </c>
      <c r="AX223" s="4805">
        <f t="shared" si="911"/>
        <v>74</v>
      </c>
      <c r="AY223" s="4805">
        <f t="shared" ref="AY223:AZ223" si="913">AY13</f>
        <v>73.5</v>
      </c>
      <c r="AZ223" s="4805">
        <f t="shared" si="913"/>
        <v>74</v>
      </c>
      <c r="BA223" s="2570">
        <v>73.5</v>
      </c>
      <c r="BB223" s="2570">
        <v>73.5</v>
      </c>
      <c r="BC223" s="2570">
        <v>73.5</v>
      </c>
      <c r="BD223" s="2570">
        <v>73.5</v>
      </c>
      <c r="BE223" s="2570">
        <v>73.5</v>
      </c>
      <c r="BF223" s="2570">
        <v>73.5</v>
      </c>
      <c r="BG223" s="1222"/>
      <c r="BH223" s="1222"/>
      <c r="BI223" s="4713"/>
      <c r="BJ223" s="4713"/>
    </row>
    <row r="224" spans="2:66" ht="15.75" thickBot="1" x14ac:dyDescent="0.3">
      <c r="E224"/>
      <c r="F224"/>
      <c r="G224" s="5172"/>
      <c r="H224" s="5172"/>
      <c r="K224" s="3427"/>
      <c r="L224" s="3427"/>
      <c r="O224" s="4712"/>
      <c r="P224" s="4712"/>
      <c r="S224" s="4712"/>
      <c r="T224" s="4712"/>
      <c r="V224" s="93"/>
      <c r="W224" s="4712"/>
      <c r="X224" s="4712"/>
      <c r="AC224" s="5172"/>
      <c r="AD224" s="5172"/>
      <c r="AG224" s="5172"/>
      <c r="AH224" s="5172"/>
      <c r="AK224" s="5172"/>
      <c r="AL224" s="5172"/>
      <c r="AQ224" s="5172"/>
      <c r="AR224" s="5172"/>
      <c r="AU224" s="5172"/>
      <c r="AV224" s="5172"/>
      <c r="AW224" s="5172"/>
      <c r="AX224" s="5172"/>
      <c r="AY224" s="5172"/>
      <c r="AZ224" s="5172"/>
      <c r="BG224" s="1222"/>
      <c r="BH224" s="1222"/>
      <c r="BI224" s="4713"/>
      <c r="BJ224" s="4713"/>
    </row>
    <row r="225" spans="2:62" ht="19.5" thickBot="1" x14ac:dyDescent="0.3">
      <c r="B225" s="3200" t="s">
        <v>1869</v>
      </c>
      <c r="C225" s="3200" t="s">
        <v>175</v>
      </c>
      <c r="D225" s="5725"/>
      <c r="E225" s="5726"/>
      <c r="F225" s="5724">
        <v>21</v>
      </c>
      <c r="G225" s="5726"/>
      <c r="H225" s="5724">
        <v>12</v>
      </c>
      <c r="I225" s="5727"/>
      <c r="J225" s="5724">
        <f>F225+H225</f>
        <v>33</v>
      </c>
      <c r="K225" s="5726"/>
      <c r="L225" s="5724">
        <v>455</v>
      </c>
      <c r="M225" s="5727"/>
      <c r="N225" s="5724">
        <f>+L225+H225+F225</f>
        <v>488</v>
      </c>
      <c r="O225" s="5726"/>
      <c r="P225" s="5724">
        <v>86</v>
      </c>
      <c r="Q225" s="5727"/>
      <c r="R225" s="5728">
        <f>N225+P225</f>
        <v>574</v>
      </c>
      <c r="S225" s="5726"/>
      <c r="T225" s="5724">
        <v>61</v>
      </c>
      <c r="U225" s="5727"/>
      <c r="V225" s="5728">
        <f>R225+T225</f>
        <v>635</v>
      </c>
      <c r="W225" s="5726"/>
      <c r="X225" s="5724">
        <v>109</v>
      </c>
      <c r="Y225" s="5726"/>
      <c r="Z225" s="5726">
        <f>+P225+T225+X225</f>
        <v>256</v>
      </c>
      <c r="AA225" s="5726"/>
      <c r="AB225" s="5726">
        <f>+N225+Z225</f>
        <v>744</v>
      </c>
      <c r="AC225" s="5726"/>
      <c r="AD225" s="5724">
        <v>66</v>
      </c>
      <c r="AE225" s="5726"/>
      <c r="AF225" s="5726">
        <f t="shared" ref="AF225" si="914">+AB225+AD225</f>
        <v>810</v>
      </c>
      <c r="AG225" s="5726"/>
      <c r="AH225" s="5724">
        <v>387</v>
      </c>
      <c r="AI225" s="5726"/>
      <c r="AJ225" s="5726">
        <f>+AB225+AD225+AH225</f>
        <v>1197</v>
      </c>
      <c r="AK225" s="5726"/>
      <c r="AL225" s="5724">
        <v>30</v>
      </c>
      <c r="AM225" s="5726"/>
      <c r="AN225" s="5726">
        <f>+AD225+AH225+AL225</f>
        <v>483</v>
      </c>
      <c r="AO225" s="3201"/>
      <c r="AP225" s="5726">
        <f>AJ225+AL225</f>
        <v>1227</v>
      </c>
      <c r="AQ225" s="5726"/>
      <c r="AR225" s="5724">
        <v>77</v>
      </c>
      <c r="AS225" s="3201"/>
      <c r="AT225" s="5726">
        <f>AP225+AR225</f>
        <v>1304</v>
      </c>
      <c r="AU225" s="5726"/>
      <c r="AV225" s="5724">
        <v>55</v>
      </c>
      <c r="AW225" s="3201"/>
      <c r="AX225" s="5726">
        <f>AT225+AV225</f>
        <v>1359</v>
      </c>
      <c r="AY225" s="5726"/>
      <c r="AZ225" s="5724">
        <v>112</v>
      </c>
      <c r="BA225" s="3201"/>
      <c r="BB225" s="5724">
        <f>+AR225+AV225+AZ225</f>
        <v>244</v>
      </c>
      <c r="BC225" s="5724"/>
      <c r="BD225" s="5724">
        <f>+AN225+BB225</f>
        <v>727</v>
      </c>
      <c r="BE225" s="3201"/>
      <c r="BF225" s="5724">
        <f>AZ225+AX225</f>
        <v>1471</v>
      </c>
      <c r="BG225" s="1222"/>
      <c r="BH225" s="1222"/>
      <c r="BI225" s="4713"/>
      <c r="BJ225" s="4713"/>
    </row>
    <row r="226" spans="2:62" x14ac:dyDescent="0.25">
      <c r="E226"/>
      <c r="F226"/>
      <c r="G226"/>
      <c r="H226"/>
      <c r="K226"/>
      <c r="L226"/>
      <c r="T226" s="1805"/>
      <c r="V226" s="93"/>
      <c r="W226" s="87"/>
      <c r="X226" s="93"/>
    </row>
    <row r="227" spans="2:62" x14ac:dyDescent="0.25">
      <c r="E227"/>
      <c r="F227"/>
      <c r="G227"/>
      <c r="H227"/>
      <c r="K227"/>
      <c r="L227"/>
      <c r="T227" s="1805"/>
      <c r="V227" s="93"/>
      <c r="W227" s="87"/>
      <c r="X227" s="93"/>
    </row>
    <row r="228" spans="2:62" x14ac:dyDescent="0.25">
      <c r="E228"/>
      <c r="F228"/>
      <c r="G228"/>
      <c r="H228"/>
      <c r="K228"/>
      <c r="L228"/>
      <c r="T228" s="1805"/>
      <c r="V228" s="93"/>
      <c r="W228" s="87"/>
      <c r="X228" s="93"/>
    </row>
    <row r="229" spans="2:62" x14ac:dyDescent="0.25">
      <c r="E229"/>
      <c r="F229"/>
      <c r="G229"/>
      <c r="H229"/>
      <c r="K229"/>
      <c r="L229"/>
      <c r="T229" s="1805"/>
      <c r="V229" s="93"/>
      <c r="W229" s="87"/>
      <c r="X229" s="93"/>
    </row>
    <row r="230" spans="2:62" x14ac:dyDescent="0.25">
      <c r="E230"/>
      <c r="F230"/>
      <c r="G230"/>
      <c r="H230"/>
      <c r="K230"/>
      <c r="L230"/>
      <c r="T230" s="1805"/>
      <c r="V230" s="93"/>
      <c r="W230" s="87"/>
      <c r="X230" s="93"/>
    </row>
    <row r="231" spans="2:62" x14ac:dyDescent="0.25">
      <c r="E231"/>
      <c r="F231"/>
      <c r="G231"/>
      <c r="H231"/>
      <c r="K231"/>
      <c r="L231"/>
      <c r="T231" s="1805"/>
      <c r="V231" s="93"/>
      <c r="W231" s="87"/>
      <c r="X231" s="93"/>
    </row>
    <row r="232" spans="2:62" x14ac:dyDescent="0.25">
      <c r="E232"/>
      <c r="F232"/>
      <c r="G232"/>
      <c r="H232"/>
      <c r="K232"/>
      <c r="L232"/>
      <c r="T232" s="1805"/>
      <c r="V232" s="93"/>
      <c r="W232" s="87"/>
      <c r="X232" s="93"/>
    </row>
    <row r="233" spans="2:62" x14ac:dyDescent="0.25">
      <c r="E233"/>
      <c r="F233"/>
      <c r="G233"/>
      <c r="H233"/>
      <c r="K233"/>
      <c r="L233"/>
      <c r="T233" s="1805"/>
      <c r="V233" s="93"/>
      <c r="W233" s="87"/>
      <c r="X233" s="93"/>
    </row>
    <row r="234" spans="2:62" x14ac:dyDescent="0.25">
      <c r="E234"/>
      <c r="F234"/>
      <c r="G234"/>
      <c r="H234"/>
      <c r="T234" s="1805"/>
      <c r="V234" s="93"/>
      <c r="W234" s="87"/>
      <c r="X234" s="93"/>
    </row>
    <row r="235" spans="2:62" x14ac:dyDescent="0.25">
      <c r="E235"/>
      <c r="F235"/>
      <c r="G235"/>
      <c r="H235"/>
      <c r="T235" s="1805"/>
      <c r="V235" s="93"/>
      <c r="W235" s="87"/>
      <c r="X235" s="93"/>
    </row>
    <row r="236" spans="2:62" x14ac:dyDescent="0.25">
      <c r="E236"/>
      <c r="F236"/>
      <c r="G236"/>
      <c r="H236"/>
      <c r="T236" s="1805"/>
      <c r="V236" s="93"/>
      <c r="W236" s="87"/>
      <c r="X236" s="93"/>
    </row>
    <row r="237" spans="2:62" x14ac:dyDescent="0.25">
      <c r="E237"/>
      <c r="F237"/>
      <c r="G237"/>
      <c r="H237"/>
      <c r="T237" s="1805"/>
      <c r="V237" s="93"/>
      <c r="W237" s="87"/>
      <c r="X237" s="93"/>
    </row>
    <row r="238" spans="2:62" x14ac:dyDescent="0.25">
      <c r="E238"/>
      <c r="F238"/>
      <c r="G238"/>
      <c r="H238"/>
      <c r="T238" s="1805"/>
      <c r="V238" s="93"/>
      <c r="W238" s="87"/>
      <c r="X238" s="93"/>
    </row>
    <row r="239" spans="2:62" x14ac:dyDescent="0.25">
      <c r="T239" s="1805"/>
      <c r="V239" s="93"/>
      <c r="W239" s="87"/>
      <c r="X239" s="93"/>
    </row>
    <row r="240" spans="2:62" x14ac:dyDescent="0.25">
      <c r="T240" s="1805"/>
      <c r="V240" s="93"/>
      <c r="W240" s="87"/>
      <c r="X240" s="93"/>
    </row>
    <row r="241" spans="20:24" x14ac:dyDescent="0.25">
      <c r="T241" s="1805"/>
      <c r="V241" s="93"/>
      <c r="W241" s="87"/>
      <c r="X241" s="93"/>
    </row>
    <row r="242" spans="20:24" x14ac:dyDescent="0.25">
      <c r="T242" s="1805"/>
      <c r="V242" s="93"/>
      <c r="W242" s="87"/>
      <c r="X242" s="93"/>
    </row>
    <row r="243" spans="20:24" x14ac:dyDescent="0.25">
      <c r="T243" s="1805"/>
      <c r="V243" s="93"/>
    </row>
    <row r="244" spans="20:24" x14ac:dyDescent="0.25">
      <c r="T244" s="1805"/>
      <c r="V244" s="93"/>
    </row>
    <row r="245" spans="20:24" x14ac:dyDescent="0.25">
      <c r="T245" s="1805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W67"/>
  <sheetViews>
    <sheetView zoomScaleNormal="100" workbookViewId="0">
      <pane xSplit="4" ySplit="3" topLeftCell="E52" activePane="bottomRight" state="frozen"/>
      <selection pane="topRight" activeCell="E1" sqref="E1"/>
      <selection pane="bottomLeft" activeCell="A4" sqref="A4"/>
      <selection pane="bottomRight" activeCell="BH12" sqref="BH12"/>
    </sheetView>
  </sheetViews>
  <sheetFormatPr defaultRowHeight="15" x14ac:dyDescent="0.25"/>
  <cols>
    <col min="1" max="1" width="3.5703125" style="2156" customWidth="1"/>
    <col min="2" max="2" width="32.140625" bestFit="1" customWidth="1"/>
    <col min="3" max="3" width="53.5703125" style="261" bestFit="1" customWidth="1"/>
    <col min="4" max="4" width="7.28515625" style="261" hidden="1" customWidth="1"/>
    <col min="5" max="5" width="15" style="261" customWidth="1"/>
    <col min="6" max="6" width="6.7109375" style="261" hidden="1" customWidth="1"/>
    <col min="7" max="7" width="13.140625" style="261" customWidth="1"/>
    <col min="8" max="8" width="6.7109375" style="261" hidden="1" customWidth="1"/>
    <col min="9" max="9" width="15.5703125" style="261" customWidth="1"/>
    <col min="10" max="10" width="6.7109375" style="261" hidden="1" customWidth="1"/>
    <col min="11" max="11" width="9.85546875" style="261" hidden="1" customWidth="1"/>
    <col min="12" max="12" width="6.7109375" style="261" hidden="1" customWidth="1"/>
    <col min="13" max="13" width="10.28515625" hidden="1" customWidth="1"/>
    <col min="14" max="14" width="6.7109375" hidden="1" customWidth="1"/>
    <col min="15" max="15" width="11" hidden="1" customWidth="1"/>
    <col min="16" max="16" width="6.7109375" hidden="1" customWidth="1"/>
    <col min="17" max="17" width="15.5703125" hidden="1" customWidth="1"/>
    <col min="18" max="19" width="9.85546875" hidden="1" customWidth="1"/>
    <col min="20" max="20" width="11.28515625" hidden="1" customWidth="1"/>
    <col min="21" max="21" width="10.28515625" hidden="1" customWidth="1"/>
    <col min="22" max="23" width="9.85546875" hidden="1" customWidth="1"/>
    <col min="24" max="24" width="9.85546875" style="4712" hidden="1" customWidth="1"/>
    <col min="25" max="25" width="10.28515625" style="4712" hidden="1" customWidth="1"/>
    <col min="26" max="26" width="11.28515625" hidden="1" customWidth="1"/>
    <col min="27" max="27" width="10.28515625" hidden="1" customWidth="1"/>
    <col min="28" max="29" width="9.85546875" hidden="1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hidden="1" customWidth="1"/>
    <col min="38" max="38" width="9.85546875" style="5172" hidden="1" customWidth="1"/>
    <col min="39" max="39" width="10.28515625" style="5172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5172" hidden="1" customWidth="1"/>
    <col min="53" max="53" width="10.28515625" style="5172" hidden="1" customWidth="1"/>
    <col min="54" max="54" width="9.140625" style="5172" hidden="1" customWidth="1"/>
    <col min="55" max="55" width="10.28515625" style="5172" hidden="1" customWidth="1"/>
    <col min="56" max="56" width="9.140625" hidden="1" customWidth="1"/>
    <col min="57" max="57" width="10.28515625" hidden="1" customWidth="1"/>
  </cols>
  <sheetData>
    <row r="1" spans="1:73" x14ac:dyDescent="0.25">
      <c r="B1" s="2156"/>
      <c r="C1" s="2166"/>
      <c r="D1" s="2166"/>
      <c r="E1" s="4858"/>
      <c r="F1" s="4858"/>
      <c r="G1" s="4858"/>
      <c r="H1" s="4858"/>
      <c r="I1" s="4858"/>
      <c r="J1" s="4858"/>
      <c r="K1" s="4858"/>
      <c r="L1" s="4858"/>
      <c r="M1" s="4858"/>
      <c r="N1" s="4858"/>
      <c r="O1" s="4858"/>
      <c r="P1" s="4858"/>
      <c r="Q1" s="4858"/>
      <c r="R1" s="2166"/>
      <c r="S1" s="2166"/>
      <c r="T1" s="2166"/>
      <c r="U1" s="2166"/>
      <c r="V1" s="2166"/>
      <c r="W1" s="2166"/>
      <c r="X1" s="2166"/>
      <c r="Y1" s="2166"/>
      <c r="Z1" s="2166"/>
      <c r="AA1" s="2156"/>
      <c r="AB1" s="2156"/>
      <c r="AC1" s="2156"/>
      <c r="AD1" s="2156"/>
      <c r="AE1" s="2156"/>
      <c r="AF1" s="2156"/>
      <c r="AG1" s="2156"/>
      <c r="AH1" s="2156"/>
      <c r="AI1" s="2156"/>
      <c r="BF1" s="5172"/>
      <c r="BG1" s="5172"/>
      <c r="BH1" s="5172"/>
      <c r="BI1" s="5172"/>
      <c r="BJ1" s="5172"/>
      <c r="BK1" s="5172"/>
      <c r="BL1" s="5172"/>
      <c r="BM1" s="5172"/>
      <c r="BN1" s="5172"/>
      <c r="BO1" s="5172"/>
      <c r="BP1" s="5172"/>
      <c r="BQ1" s="5172"/>
      <c r="BR1" s="5172"/>
      <c r="BS1" s="5172"/>
      <c r="BT1" s="5172"/>
      <c r="BU1" s="5172"/>
    </row>
    <row r="2" spans="1:73" x14ac:dyDescent="0.25">
      <c r="B2" s="2156"/>
      <c r="C2" s="2156"/>
      <c r="D2" s="2156"/>
      <c r="E2" s="2166"/>
      <c r="F2" s="2156"/>
      <c r="G2" s="2166"/>
      <c r="H2" s="2156"/>
      <c r="I2" s="2156"/>
      <c r="J2" s="2156"/>
      <c r="K2" s="2166"/>
      <c r="L2" s="2156"/>
      <c r="M2" s="2156"/>
      <c r="N2" s="2156"/>
      <c r="O2" s="2166"/>
      <c r="P2" s="2156"/>
      <c r="Q2" s="2156"/>
      <c r="R2" s="2156"/>
      <c r="S2" s="2156"/>
      <c r="T2" s="2156"/>
      <c r="U2" s="2156"/>
      <c r="V2" s="2156"/>
      <c r="W2" s="2156"/>
      <c r="Z2" s="2156"/>
      <c r="AA2" s="2156"/>
      <c r="AB2" s="2156"/>
      <c r="AC2" s="2156"/>
      <c r="AD2" s="2156"/>
      <c r="AE2" s="2156"/>
      <c r="AF2" s="2156"/>
      <c r="AG2" s="2156"/>
      <c r="AH2" s="2156"/>
      <c r="AI2" s="2156"/>
      <c r="BF2" s="5172"/>
      <c r="BG2" s="5172"/>
      <c r="BH2" s="5172"/>
      <c r="BI2" s="5172"/>
      <c r="BJ2" s="5172"/>
      <c r="BK2" s="5172"/>
      <c r="BL2" s="5172"/>
      <c r="BM2" s="5172"/>
      <c r="BN2" s="5172"/>
      <c r="BO2" s="5172"/>
      <c r="BP2" s="5172"/>
      <c r="BQ2" s="5172"/>
      <c r="BR2" s="5172"/>
      <c r="BS2" s="5172"/>
      <c r="BT2" s="5172"/>
      <c r="BU2" s="5172"/>
    </row>
    <row r="3" spans="1:73" s="149" customFormat="1" ht="18.75" x14ac:dyDescent="0.25">
      <c r="B3" s="184"/>
      <c r="C3" s="2187" t="s">
        <v>171</v>
      </c>
      <c r="D3" s="7632" t="s">
        <v>2254</v>
      </c>
      <c r="E3" s="7633"/>
      <c r="F3" s="7634" t="s">
        <v>2306</v>
      </c>
      <c r="G3" s="7634"/>
      <c r="H3" s="7635" t="s">
        <v>14</v>
      </c>
      <c r="I3" s="7635"/>
      <c r="J3" s="7634" t="s">
        <v>1903</v>
      </c>
      <c r="K3" s="7634"/>
      <c r="L3" s="7646" t="s">
        <v>637</v>
      </c>
      <c r="M3" s="7646"/>
      <c r="N3" s="7647" t="s">
        <v>1938</v>
      </c>
      <c r="O3" s="7647"/>
      <c r="P3" s="7635" t="s">
        <v>17</v>
      </c>
      <c r="Q3" s="7635"/>
      <c r="R3" s="7647" t="s">
        <v>1961</v>
      </c>
      <c r="S3" s="7647"/>
      <c r="T3" s="7635" t="s">
        <v>18</v>
      </c>
      <c r="U3" s="7635"/>
      <c r="V3" s="7647" t="s">
        <v>1983</v>
      </c>
      <c r="W3" s="7647"/>
      <c r="X3" s="3929"/>
      <c r="Y3" s="5048" t="s">
        <v>2035</v>
      </c>
      <c r="Z3" s="7648" t="s">
        <v>657</v>
      </c>
      <c r="AA3" s="7648"/>
      <c r="AB3" s="7647" t="s">
        <v>2002</v>
      </c>
      <c r="AC3" s="7647"/>
      <c r="AD3" s="7635" t="s">
        <v>24</v>
      </c>
      <c r="AE3" s="7635"/>
      <c r="AF3" s="7647" t="s">
        <v>2018</v>
      </c>
      <c r="AG3" s="7647"/>
      <c r="AH3" s="7635" t="s">
        <v>27</v>
      </c>
      <c r="AI3" s="7635"/>
      <c r="AJ3" s="7647" t="s">
        <v>2033</v>
      </c>
      <c r="AK3" s="7647"/>
      <c r="AL3" s="3929"/>
      <c r="AM3" s="5984" t="s">
        <v>2036</v>
      </c>
      <c r="AN3" s="7635" t="s">
        <v>1683</v>
      </c>
      <c r="AO3" s="7635"/>
      <c r="AP3" s="7647" t="s">
        <v>2137</v>
      </c>
      <c r="AQ3" s="7647"/>
      <c r="AR3" s="7635" t="s">
        <v>28</v>
      </c>
      <c r="AS3" s="7635"/>
      <c r="AT3" s="7647" t="s">
        <v>2151</v>
      </c>
      <c r="AU3" s="7647"/>
      <c r="AV3" s="7635" t="s">
        <v>30</v>
      </c>
      <c r="AW3" s="7635"/>
      <c r="AX3" s="7647" t="s">
        <v>2163</v>
      </c>
      <c r="AY3" s="7647"/>
      <c r="AZ3" s="3929"/>
      <c r="BA3" s="6429" t="s">
        <v>2166</v>
      </c>
      <c r="BB3" s="7648" t="s">
        <v>671</v>
      </c>
      <c r="BC3" s="7648"/>
      <c r="BD3" s="7635" t="s">
        <v>1765</v>
      </c>
      <c r="BE3" s="7635"/>
      <c r="BF3" s="5172"/>
      <c r="BG3" s="5172"/>
      <c r="BH3" s="5172"/>
      <c r="BI3" s="5172"/>
      <c r="BJ3" s="5172"/>
      <c r="BK3" s="5172"/>
      <c r="BL3" s="5172"/>
      <c r="BM3" s="5172"/>
      <c r="BN3" s="5172"/>
      <c r="BO3" s="5172"/>
      <c r="BP3" s="5172"/>
      <c r="BQ3" s="5172"/>
      <c r="BR3" s="5172"/>
      <c r="BS3" s="5172"/>
      <c r="BT3" s="5172"/>
      <c r="BU3" s="5172"/>
    </row>
    <row r="4" spans="1:73" ht="18.75" x14ac:dyDescent="0.3">
      <c r="B4" s="7645" t="s">
        <v>1596</v>
      </c>
      <c r="C4" s="2181"/>
      <c r="D4" s="2154" t="s">
        <v>173</v>
      </c>
      <c r="E4" s="2154" t="s">
        <v>174</v>
      </c>
      <c r="F4" s="2154" t="s">
        <v>173</v>
      </c>
      <c r="G4" s="2154" t="s">
        <v>174</v>
      </c>
      <c r="H4" s="2157" t="s">
        <v>173</v>
      </c>
      <c r="I4" s="2157" t="s">
        <v>174</v>
      </c>
      <c r="J4" s="270" t="s">
        <v>173</v>
      </c>
      <c r="K4" s="2154" t="s">
        <v>174</v>
      </c>
      <c r="L4" s="2155" t="s">
        <v>173</v>
      </c>
      <c r="M4" s="2155" t="s">
        <v>174</v>
      </c>
      <c r="N4" s="270" t="s">
        <v>173</v>
      </c>
      <c r="O4" s="2154" t="s">
        <v>174</v>
      </c>
      <c r="P4" s="2157" t="s">
        <v>173</v>
      </c>
      <c r="Q4" s="2157" t="s">
        <v>174</v>
      </c>
      <c r="R4" s="4922" t="s">
        <v>173</v>
      </c>
      <c r="S4" s="4924" t="s">
        <v>174</v>
      </c>
      <c r="T4" s="4923" t="s">
        <v>173</v>
      </c>
      <c r="U4" s="4923" t="s">
        <v>174</v>
      </c>
      <c r="V4" s="5047" t="s">
        <v>173</v>
      </c>
      <c r="W4" s="5046" t="s">
        <v>174</v>
      </c>
      <c r="X4" s="3550"/>
      <c r="Y4" s="5048" t="s">
        <v>174</v>
      </c>
      <c r="Z4" s="6159" t="s">
        <v>173</v>
      </c>
      <c r="AA4" s="6159" t="s">
        <v>174</v>
      </c>
      <c r="AB4" s="5362" t="s">
        <v>173</v>
      </c>
      <c r="AC4" s="5360" t="s">
        <v>174</v>
      </c>
      <c r="AD4" s="5361" t="s">
        <v>173</v>
      </c>
      <c r="AE4" s="5361" t="s">
        <v>174</v>
      </c>
      <c r="AF4" s="5518" t="s">
        <v>173</v>
      </c>
      <c r="AG4" s="5516" t="s">
        <v>174</v>
      </c>
      <c r="AH4" s="5517" t="s">
        <v>173</v>
      </c>
      <c r="AI4" s="5517" t="s">
        <v>174</v>
      </c>
      <c r="AJ4" s="5932" t="s">
        <v>173</v>
      </c>
      <c r="AK4" s="5934" t="s">
        <v>174</v>
      </c>
      <c r="AL4" s="3550"/>
      <c r="AM4" s="5984" t="s">
        <v>174</v>
      </c>
      <c r="AN4" s="5933" t="s">
        <v>173</v>
      </c>
      <c r="AO4" s="5933" t="s">
        <v>174</v>
      </c>
      <c r="AP4" s="6093" t="s">
        <v>173</v>
      </c>
      <c r="AQ4" s="6095" t="s">
        <v>174</v>
      </c>
      <c r="AR4" s="6094" t="s">
        <v>173</v>
      </c>
      <c r="AS4" s="6094" t="s">
        <v>174</v>
      </c>
      <c r="AT4" s="6219" t="s">
        <v>173</v>
      </c>
      <c r="AU4" s="6221" t="s">
        <v>174</v>
      </c>
      <c r="AV4" s="6220" t="s">
        <v>173</v>
      </c>
      <c r="AW4" s="6220" t="s">
        <v>174</v>
      </c>
      <c r="AX4" s="6426" t="s">
        <v>173</v>
      </c>
      <c r="AY4" s="6428" t="s">
        <v>174</v>
      </c>
      <c r="AZ4" s="3550"/>
      <c r="BA4" s="6429" t="s">
        <v>174</v>
      </c>
      <c r="BB4" s="6430" t="s">
        <v>173</v>
      </c>
      <c r="BC4" s="6430" t="s">
        <v>174</v>
      </c>
      <c r="BD4" s="6427" t="s">
        <v>173</v>
      </c>
      <c r="BE4" s="6427" t="s">
        <v>174</v>
      </c>
      <c r="BF4" s="5172"/>
      <c r="BG4" s="5172"/>
      <c r="BH4" s="5172"/>
      <c r="BI4" s="5172"/>
      <c r="BJ4" s="5172"/>
      <c r="BK4" s="5172"/>
      <c r="BL4" s="5172"/>
      <c r="BM4" s="5172"/>
      <c r="BN4" s="5172"/>
      <c r="BO4" s="5172"/>
      <c r="BP4" s="5172"/>
      <c r="BQ4" s="5172"/>
      <c r="BR4" s="5172"/>
      <c r="BS4" s="5172"/>
      <c r="BT4" s="5172"/>
      <c r="BU4" s="5172"/>
    </row>
    <row r="5" spans="1:73" ht="18.75" x14ac:dyDescent="0.25">
      <c r="B5" s="7640"/>
      <c r="C5" s="2173" t="s">
        <v>786</v>
      </c>
      <c r="D5" s="1713"/>
      <c r="E5" s="2151">
        <v>252453</v>
      </c>
      <c r="F5" s="2151"/>
      <c r="G5" s="4137">
        <v>268159</v>
      </c>
      <c r="H5" s="2153">
        <f>+D5+F5</f>
        <v>0</v>
      </c>
      <c r="I5" s="3407">
        <f>+E5+G5</f>
        <v>520612</v>
      </c>
      <c r="J5" s="2151"/>
      <c r="K5" s="4137">
        <v>196824</v>
      </c>
      <c r="L5" s="2152">
        <f>+H5+J5</f>
        <v>0</v>
      </c>
      <c r="M5" s="2384">
        <f t="shared" ref="M5:M24" si="0">E5+G5+K5</f>
        <v>717436</v>
      </c>
      <c r="N5" s="2183"/>
      <c r="O5" s="4137">
        <v>290724</v>
      </c>
      <c r="P5" s="2153">
        <f>+L5+N5</f>
        <v>0</v>
      </c>
      <c r="Q5" s="2153">
        <f>+M5+O5</f>
        <v>1008160</v>
      </c>
      <c r="R5" s="2183"/>
      <c r="S5" s="4137">
        <v>272682</v>
      </c>
      <c r="T5" s="3413">
        <f>+P5+R5</f>
        <v>0</v>
      </c>
      <c r="U5" s="3413">
        <f>+Q5+S5</f>
        <v>1280842</v>
      </c>
      <c r="V5" s="2183"/>
      <c r="W5" s="4137">
        <v>282914</v>
      </c>
      <c r="X5" s="4668"/>
      <c r="Y5" s="3107">
        <f>O5+S5+W5</f>
        <v>846320</v>
      </c>
      <c r="Z5" s="6160">
        <f>+T5+V5</f>
        <v>0</v>
      </c>
      <c r="AA5" s="6160">
        <f>+U5+W5</f>
        <v>1563756</v>
      </c>
      <c r="AB5" s="2183"/>
      <c r="AC5" s="4137">
        <v>305051</v>
      </c>
      <c r="AD5" s="3413">
        <f>+Z5+AB5</f>
        <v>0</v>
      </c>
      <c r="AE5" s="3413">
        <f>+AA5+AC5</f>
        <v>1868807</v>
      </c>
      <c r="AF5" s="2183"/>
      <c r="AG5" s="4137">
        <v>13037</v>
      </c>
      <c r="AH5" s="3413">
        <f>+AD5+AF5</f>
        <v>0</v>
      </c>
      <c r="AI5" s="3413">
        <f>+AE5+AG5</f>
        <v>1881844</v>
      </c>
      <c r="AJ5" s="2183"/>
      <c r="AK5" s="4137">
        <v>289004</v>
      </c>
      <c r="AL5" s="5173"/>
      <c r="AM5" s="3107">
        <f>AC5+AG5+AK5</f>
        <v>607092</v>
      </c>
      <c r="AN5" s="3413">
        <f>+AH5+AJ5</f>
        <v>0</v>
      </c>
      <c r="AO5" s="3413">
        <f>+AI5+AK5</f>
        <v>2170848</v>
      </c>
      <c r="AP5" s="2183"/>
      <c r="AQ5" s="4137">
        <v>273021</v>
      </c>
      <c r="AR5" s="3413">
        <f>+AN5+AP5</f>
        <v>0</v>
      </c>
      <c r="AS5" s="3413">
        <f>+AO5+AQ5</f>
        <v>2443869</v>
      </c>
      <c r="AT5" s="2183"/>
      <c r="AU5" s="4137">
        <v>252045</v>
      </c>
      <c r="AV5" s="3413">
        <f>+AR5+AT5</f>
        <v>0</v>
      </c>
      <c r="AW5" s="3413">
        <f>+AS5+AU5</f>
        <v>2695914</v>
      </c>
      <c r="AX5" s="2183"/>
      <c r="AY5" s="4137">
        <v>312025</v>
      </c>
      <c r="AZ5" s="5173"/>
      <c r="BA5" s="3107">
        <f>AQ5+AU5+AY5</f>
        <v>837091</v>
      </c>
      <c r="BB5" s="6160">
        <f>+AV5+AX5</f>
        <v>0</v>
      </c>
      <c r="BC5" s="6160">
        <f>AM5+BA5</f>
        <v>1444183</v>
      </c>
      <c r="BD5" s="3413">
        <f>+AV5+AX5</f>
        <v>0</v>
      </c>
      <c r="BE5" s="3413">
        <f>+AW5+AY5</f>
        <v>3007939</v>
      </c>
      <c r="BF5" s="5172"/>
      <c r="BG5" s="26"/>
      <c r="BH5" s="5172"/>
      <c r="BI5" s="5172"/>
      <c r="BJ5" s="5172"/>
      <c r="BK5" s="5172"/>
      <c r="BL5" s="5172"/>
      <c r="BM5" s="5172"/>
      <c r="BN5" s="5172"/>
      <c r="BO5" s="5172"/>
      <c r="BP5" s="5172"/>
      <c r="BQ5" s="5172"/>
      <c r="BR5" s="5172"/>
      <c r="BS5" s="5172"/>
      <c r="BT5" s="5172"/>
      <c r="BU5" s="5172"/>
    </row>
    <row r="6" spans="1:73" ht="18.75" x14ac:dyDescent="0.25">
      <c r="B6" s="7640"/>
      <c r="C6" s="2173" t="s">
        <v>1190</v>
      </c>
      <c r="D6" s="1713"/>
      <c r="E6" s="2151">
        <v>3716</v>
      </c>
      <c r="F6" s="2151"/>
      <c r="G6" s="4137">
        <v>6799</v>
      </c>
      <c r="H6" s="2153">
        <f t="shared" ref="H6:H64" si="1">+D6+F6</f>
        <v>0</v>
      </c>
      <c r="I6" s="3407">
        <f t="shared" ref="I6:I64" si="2">+E6+G6</f>
        <v>10515</v>
      </c>
      <c r="J6" s="2151"/>
      <c r="K6" s="4137">
        <v>8122</v>
      </c>
      <c r="L6" s="2152">
        <f t="shared" ref="L6:L64" si="3">+H6+J6</f>
        <v>0</v>
      </c>
      <c r="M6" s="2384">
        <f t="shared" si="0"/>
        <v>18637</v>
      </c>
      <c r="N6" s="2183"/>
      <c r="O6" s="4137">
        <v>9722</v>
      </c>
      <c r="P6" s="2153">
        <f t="shared" ref="P6:P64" si="4">+L6+N6</f>
        <v>0</v>
      </c>
      <c r="Q6" s="3413">
        <f t="shared" ref="Q6:Q7" si="5">+M6+O6</f>
        <v>28359</v>
      </c>
      <c r="R6" s="2183"/>
      <c r="S6" s="4137">
        <v>8347</v>
      </c>
      <c r="T6" s="3413">
        <f t="shared" ref="T6:T19" si="6">+P6+R6</f>
        <v>0</v>
      </c>
      <c r="U6" s="3413">
        <f t="shared" ref="U6:U24" si="7">+Q6+S6</f>
        <v>36706</v>
      </c>
      <c r="V6" s="2183"/>
      <c r="W6" s="4137">
        <v>11211</v>
      </c>
      <c r="X6" s="4668"/>
      <c r="Y6" s="3107">
        <f t="shared" ref="Y6:Y64" si="8">O6+S6+W6</f>
        <v>29280</v>
      </c>
      <c r="Z6" s="6160">
        <f t="shared" ref="Z6:Z19" si="9">+T6+V6</f>
        <v>0</v>
      </c>
      <c r="AA6" s="6160">
        <f t="shared" ref="AA6:AA24" si="10">+U6+W6</f>
        <v>47917</v>
      </c>
      <c r="AB6" s="2183"/>
      <c r="AC6" s="4137">
        <v>10011</v>
      </c>
      <c r="AD6" s="3413">
        <f t="shared" ref="AD6:AD19" si="11">+Z6+AB6</f>
        <v>0</v>
      </c>
      <c r="AE6" s="3413">
        <f t="shared" ref="AE6:AE24" si="12">+AA6+AC6</f>
        <v>57928</v>
      </c>
      <c r="AF6" s="2183"/>
      <c r="AG6" s="4137">
        <v>745</v>
      </c>
      <c r="AH6" s="3413">
        <f t="shared" ref="AH6:AH19" si="13">+AD6+AF6</f>
        <v>0</v>
      </c>
      <c r="AI6" s="3413">
        <f t="shared" ref="AI6:AI24" si="14">+AE6+AG6</f>
        <v>58673</v>
      </c>
      <c r="AJ6" s="2183"/>
      <c r="AK6" s="4137">
        <v>10541</v>
      </c>
      <c r="AL6" s="5173"/>
      <c r="AM6" s="3107">
        <f t="shared" ref="AM6:AM43" si="15">AC6+AG6+AK6</f>
        <v>21297</v>
      </c>
      <c r="AN6" s="3413">
        <f t="shared" ref="AN6:AN19" si="16">+AH6+AJ6</f>
        <v>0</v>
      </c>
      <c r="AO6" s="3413">
        <f t="shared" ref="AO6:AO24" si="17">+AI6+AK6</f>
        <v>69214</v>
      </c>
      <c r="AP6" s="2183"/>
      <c r="AQ6" s="4137">
        <v>11247</v>
      </c>
      <c r="AR6" s="3413">
        <f t="shared" ref="AR6:AR21" si="18">+AN6+AP6</f>
        <v>0</v>
      </c>
      <c r="AS6" s="3413">
        <f t="shared" ref="AS6:AS24" si="19">+AO6+AQ6</f>
        <v>80461</v>
      </c>
      <c r="AT6" s="2183"/>
      <c r="AU6" s="4137">
        <v>10641</v>
      </c>
      <c r="AV6" s="3413">
        <f t="shared" ref="AV6:AV24" si="20">+AR6+AT6</f>
        <v>0</v>
      </c>
      <c r="AW6" s="3413">
        <f t="shared" ref="AW6:AW24" si="21">+AS6+AU6</f>
        <v>91102</v>
      </c>
      <c r="AX6" s="2183"/>
      <c r="AY6" s="4137">
        <v>7988</v>
      </c>
      <c r="AZ6" s="5173"/>
      <c r="BA6" s="3107">
        <f t="shared" ref="BA6:BA43" si="22">AQ6+AU6+AY6</f>
        <v>29876</v>
      </c>
      <c r="BB6" s="6160">
        <f t="shared" ref="BB6:BB19" si="23">+AV6+AX6</f>
        <v>0</v>
      </c>
      <c r="BC6" s="6160">
        <f t="shared" ref="BC6:BC7" si="24">AM6+BA6</f>
        <v>51173</v>
      </c>
      <c r="BD6" s="3413">
        <f t="shared" ref="BD6:BD24" si="25">+AV6+AX6</f>
        <v>0</v>
      </c>
      <c r="BE6" s="3413">
        <f t="shared" ref="BE6:BE24" si="26">+AW6+AY6</f>
        <v>99090</v>
      </c>
      <c r="BF6" s="5172"/>
      <c r="BG6" s="26"/>
      <c r="BH6" s="5172"/>
      <c r="BI6" s="5172"/>
      <c r="BJ6" s="5172"/>
      <c r="BK6" s="5172"/>
      <c r="BL6" s="5172"/>
      <c r="BM6" s="5172"/>
      <c r="BN6" s="5172"/>
      <c r="BO6" s="5172"/>
      <c r="BP6" s="5172"/>
      <c r="BQ6" s="5172"/>
      <c r="BR6" s="5172"/>
      <c r="BS6" s="5172"/>
      <c r="BT6" s="5172"/>
      <c r="BU6" s="5172"/>
    </row>
    <row r="7" spans="1:73" ht="18.75" x14ac:dyDescent="0.25">
      <c r="B7" s="7640"/>
      <c r="C7" s="2173" t="s">
        <v>1191</v>
      </c>
      <c r="D7" s="1713"/>
      <c r="E7" s="2151">
        <v>200</v>
      </c>
      <c r="F7" s="2151"/>
      <c r="G7" s="4137">
        <v>1101</v>
      </c>
      <c r="H7" s="2153">
        <f t="shared" si="1"/>
        <v>0</v>
      </c>
      <c r="I7" s="3407">
        <f t="shared" si="2"/>
        <v>1301</v>
      </c>
      <c r="J7" s="2151"/>
      <c r="K7" s="4137">
        <v>1621</v>
      </c>
      <c r="L7" s="2152">
        <f t="shared" si="3"/>
        <v>0</v>
      </c>
      <c r="M7" s="2384">
        <f t="shared" si="0"/>
        <v>2922</v>
      </c>
      <c r="N7" s="2183"/>
      <c r="O7" s="4137">
        <v>1844</v>
      </c>
      <c r="P7" s="2153">
        <f t="shared" si="4"/>
        <v>0</v>
      </c>
      <c r="Q7" s="3413">
        <f t="shared" si="5"/>
        <v>4766</v>
      </c>
      <c r="R7" s="2183"/>
      <c r="S7" s="4137">
        <v>1621</v>
      </c>
      <c r="T7" s="3413">
        <f t="shared" si="6"/>
        <v>0</v>
      </c>
      <c r="U7" s="3413">
        <f t="shared" si="7"/>
        <v>6387</v>
      </c>
      <c r="V7" s="2183"/>
      <c r="W7" s="4137">
        <v>2744</v>
      </c>
      <c r="X7" s="4668"/>
      <c r="Y7" s="3107">
        <f t="shared" si="8"/>
        <v>6209</v>
      </c>
      <c r="Z7" s="6160">
        <f t="shared" si="9"/>
        <v>0</v>
      </c>
      <c r="AA7" s="6160">
        <f t="shared" si="10"/>
        <v>9131</v>
      </c>
      <c r="AB7" s="2183"/>
      <c r="AC7" s="4137">
        <v>3773</v>
      </c>
      <c r="AD7" s="3413">
        <f t="shared" si="11"/>
        <v>0</v>
      </c>
      <c r="AE7" s="3413">
        <f t="shared" si="12"/>
        <v>12904</v>
      </c>
      <c r="AF7" s="2183"/>
      <c r="AG7" s="4137">
        <v>104</v>
      </c>
      <c r="AH7" s="3413">
        <f t="shared" si="13"/>
        <v>0</v>
      </c>
      <c r="AI7" s="3413">
        <f t="shared" si="14"/>
        <v>13008</v>
      </c>
      <c r="AJ7" s="2183"/>
      <c r="AK7" s="4137">
        <v>3687</v>
      </c>
      <c r="AL7" s="5173"/>
      <c r="AM7" s="3107">
        <f t="shared" si="15"/>
        <v>7564</v>
      </c>
      <c r="AN7" s="3413">
        <f t="shared" si="16"/>
        <v>0</v>
      </c>
      <c r="AO7" s="3413">
        <f t="shared" si="17"/>
        <v>16695</v>
      </c>
      <c r="AP7" s="2183"/>
      <c r="AQ7" s="4137">
        <v>1899</v>
      </c>
      <c r="AR7" s="3413">
        <f t="shared" si="18"/>
        <v>0</v>
      </c>
      <c r="AS7" s="3413">
        <f t="shared" si="19"/>
        <v>18594</v>
      </c>
      <c r="AT7" s="2183"/>
      <c r="AU7" s="4137">
        <v>1247</v>
      </c>
      <c r="AV7" s="3413">
        <f t="shared" si="20"/>
        <v>0</v>
      </c>
      <c r="AW7" s="3413">
        <f t="shared" si="21"/>
        <v>19841</v>
      </c>
      <c r="AX7" s="2183"/>
      <c r="AY7" s="4137">
        <v>901</v>
      </c>
      <c r="AZ7" s="5173"/>
      <c r="BA7" s="3107">
        <f t="shared" si="22"/>
        <v>4047</v>
      </c>
      <c r="BB7" s="6160">
        <f t="shared" si="23"/>
        <v>0</v>
      </c>
      <c r="BC7" s="6160">
        <f t="shared" si="24"/>
        <v>11611</v>
      </c>
      <c r="BD7" s="3413">
        <f t="shared" si="25"/>
        <v>0</v>
      </c>
      <c r="BE7" s="3413">
        <f t="shared" si="26"/>
        <v>20742</v>
      </c>
      <c r="BF7" s="5172"/>
      <c r="BG7" s="26"/>
      <c r="BH7" s="5172"/>
      <c r="BI7" s="5172"/>
      <c r="BJ7" s="5172"/>
      <c r="BK7" s="5172"/>
      <c r="BL7" s="5172"/>
      <c r="BM7" s="5172"/>
      <c r="BN7" s="5172"/>
      <c r="BO7" s="5172"/>
      <c r="BP7" s="5172"/>
      <c r="BQ7" s="5172"/>
      <c r="BR7" s="5172"/>
      <c r="BS7" s="5172"/>
      <c r="BT7" s="5172"/>
      <c r="BU7" s="5172"/>
    </row>
    <row r="8" spans="1:73" ht="18.75" x14ac:dyDescent="0.25">
      <c r="B8" s="7640"/>
      <c r="C8" s="2174" t="s">
        <v>1254</v>
      </c>
      <c r="D8" s="2169"/>
      <c r="E8" s="2182">
        <f>SUM(E5:E7)</f>
        <v>256369</v>
      </c>
      <c r="F8" s="2182">
        <f t="shared" ref="F8:N8" si="27">SUM(F5:F7)</f>
        <v>0</v>
      </c>
      <c r="G8" s="2182">
        <f>SUM(G5:G7)</f>
        <v>276059</v>
      </c>
      <c r="H8" s="2188">
        <f t="shared" si="1"/>
        <v>0</v>
      </c>
      <c r="I8" s="3817">
        <f t="shared" si="2"/>
        <v>532428</v>
      </c>
      <c r="J8" s="2182">
        <f t="shared" si="27"/>
        <v>0</v>
      </c>
      <c r="K8" s="2182">
        <f>SUM(K5:K7)</f>
        <v>206567</v>
      </c>
      <c r="L8" s="2189">
        <f t="shared" si="3"/>
        <v>0</v>
      </c>
      <c r="M8" s="2189">
        <f t="shared" si="0"/>
        <v>738995</v>
      </c>
      <c r="N8" s="2182">
        <f t="shared" si="27"/>
        <v>0</v>
      </c>
      <c r="O8" s="2182">
        <f>SUM(O5:O7)</f>
        <v>302290</v>
      </c>
      <c r="P8" s="2188">
        <f t="shared" si="4"/>
        <v>0</v>
      </c>
      <c r="Q8" s="2188">
        <f t="shared" ref="Q8:Q64" si="28">+M8+O8</f>
        <v>1041285</v>
      </c>
      <c r="R8" s="2182">
        <f t="shared" ref="R8" si="29">SUM(R5:R7)</f>
        <v>0</v>
      </c>
      <c r="S8" s="2182">
        <f>SUM(S5:S7)</f>
        <v>282650</v>
      </c>
      <c r="T8" s="2188">
        <f t="shared" si="6"/>
        <v>0</v>
      </c>
      <c r="U8" s="2188">
        <f t="shared" si="7"/>
        <v>1323935</v>
      </c>
      <c r="V8" s="2182">
        <f t="shared" ref="V8" si="30">SUM(V5:V7)</f>
        <v>0</v>
      </c>
      <c r="W8" s="2182">
        <f>SUM(W5:W7)</f>
        <v>296869</v>
      </c>
      <c r="X8" s="5057"/>
      <c r="Y8" s="5064">
        <f t="shared" si="8"/>
        <v>881809</v>
      </c>
      <c r="Z8" s="6161">
        <f t="shared" si="9"/>
        <v>0</v>
      </c>
      <c r="AA8" s="6161">
        <f t="shared" si="10"/>
        <v>1620804</v>
      </c>
      <c r="AB8" s="2182">
        <f t="shared" ref="AB8" si="31">SUM(AB5:AB7)</f>
        <v>0</v>
      </c>
      <c r="AC8" s="2182">
        <f>SUM(AC5:AC7)</f>
        <v>318835</v>
      </c>
      <c r="AD8" s="2188">
        <f t="shared" si="11"/>
        <v>0</v>
      </c>
      <c r="AE8" s="2188">
        <f t="shared" si="12"/>
        <v>1939639</v>
      </c>
      <c r="AF8" s="2182">
        <f t="shared" ref="AF8" si="32">SUM(AF5:AF7)</f>
        <v>0</v>
      </c>
      <c r="AG8" s="2182">
        <f>SUM(AG5:AG7)</f>
        <v>13886</v>
      </c>
      <c r="AH8" s="2188">
        <f t="shared" si="13"/>
        <v>0</v>
      </c>
      <c r="AI8" s="2188">
        <f t="shared" si="14"/>
        <v>1953525</v>
      </c>
      <c r="AJ8" s="2182">
        <f t="shared" ref="AJ8" si="33">SUM(AJ5:AJ7)</f>
        <v>0</v>
      </c>
      <c r="AK8" s="2182">
        <f>SUM(AK5:AK7)</f>
        <v>303232</v>
      </c>
      <c r="AL8" s="5057"/>
      <c r="AM8" s="5064">
        <f t="shared" si="15"/>
        <v>635953</v>
      </c>
      <c r="AN8" s="2188">
        <f t="shared" si="16"/>
        <v>0</v>
      </c>
      <c r="AO8" s="2188">
        <f t="shared" si="17"/>
        <v>2256757</v>
      </c>
      <c r="AP8" s="2182">
        <f t="shared" ref="AP8" si="34">SUM(AP5:AP7)</f>
        <v>0</v>
      </c>
      <c r="AQ8" s="2182">
        <f>SUM(AQ5:AQ7)</f>
        <v>286167</v>
      </c>
      <c r="AR8" s="2188">
        <f t="shared" si="18"/>
        <v>0</v>
      </c>
      <c r="AS8" s="2188">
        <f t="shared" si="19"/>
        <v>2542924</v>
      </c>
      <c r="AT8" s="2182">
        <f t="shared" ref="AT8" si="35">SUM(AT5:AT7)</f>
        <v>0</v>
      </c>
      <c r="AU8" s="2182">
        <f>SUM(AU5:AU7)</f>
        <v>263933</v>
      </c>
      <c r="AV8" s="2188">
        <f t="shared" si="20"/>
        <v>0</v>
      </c>
      <c r="AW8" s="2188">
        <f t="shared" si="21"/>
        <v>2806857</v>
      </c>
      <c r="AX8" s="2182">
        <f t="shared" ref="AX8" si="36">SUM(AX5:AX7)</f>
        <v>0</v>
      </c>
      <c r="AY8" s="2182">
        <f>SUM(AY5:AY7)</f>
        <v>320914</v>
      </c>
      <c r="AZ8" s="5057"/>
      <c r="BA8" s="5064">
        <f t="shared" si="22"/>
        <v>871014</v>
      </c>
      <c r="BB8" s="6161">
        <f t="shared" si="23"/>
        <v>0</v>
      </c>
      <c r="BC8" s="6161">
        <f t="shared" ref="BC8" si="37">+AW8+AY8</f>
        <v>3127771</v>
      </c>
      <c r="BD8" s="2188">
        <f t="shared" si="25"/>
        <v>0</v>
      </c>
      <c r="BE8" s="2188">
        <f t="shared" si="26"/>
        <v>3127771</v>
      </c>
      <c r="BF8" s="5172"/>
      <c r="BG8" s="26"/>
    </row>
    <row r="9" spans="1:73" ht="18.75" x14ac:dyDescent="0.25">
      <c r="B9" s="7640"/>
      <c r="C9" s="2173" t="s">
        <v>788</v>
      </c>
      <c r="D9" s="1713"/>
      <c r="E9" s="2151">
        <v>17957</v>
      </c>
      <c r="F9" s="2151"/>
      <c r="G9" s="4137">
        <v>17898</v>
      </c>
      <c r="H9" s="2153">
        <f t="shared" si="1"/>
        <v>0</v>
      </c>
      <c r="I9" s="3407">
        <f t="shared" si="2"/>
        <v>35855</v>
      </c>
      <c r="J9" s="2151"/>
      <c r="K9" s="4137">
        <v>12432</v>
      </c>
      <c r="L9" s="2152">
        <f t="shared" si="3"/>
        <v>0</v>
      </c>
      <c r="M9" s="2384">
        <f t="shared" si="0"/>
        <v>48287</v>
      </c>
      <c r="N9" s="2183"/>
      <c r="O9" s="4137">
        <v>15148</v>
      </c>
      <c r="P9" s="2153">
        <f t="shared" si="4"/>
        <v>0</v>
      </c>
      <c r="Q9" s="2153">
        <f t="shared" si="28"/>
        <v>63435</v>
      </c>
      <c r="R9" s="2183"/>
      <c r="S9" s="4137">
        <v>13744</v>
      </c>
      <c r="T9" s="3413">
        <f t="shared" si="6"/>
        <v>0</v>
      </c>
      <c r="U9" s="3413">
        <f t="shared" si="7"/>
        <v>77179</v>
      </c>
      <c r="V9" s="2183"/>
      <c r="W9" s="4137">
        <v>19001</v>
      </c>
      <c r="X9" s="4668"/>
      <c r="Y9" s="3107">
        <f t="shared" si="8"/>
        <v>47893</v>
      </c>
      <c r="Z9" s="6160">
        <f t="shared" si="9"/>
        <v>0</v>
      </c>
      <c r="AA9" s="6160">
        <f t="shared" si="10"/>
        <v>96180</v>
      </c>
      <c r="AB9" s="2183"/>
      <c r="AC9" s="4137">
        <v>16004</v>
      </c>
      <c r="AD9" s="3413">
        <f t="shared" si="11"/>
        <v>0</v>
      </c>
      <c r="AE9" s="3413">
        <f t="shared" si="12"/>
        <v>112184</v>
      </c>
      <c r="AF9" s="2183"/>
      <c r="AG9" s="4137">
        <v>698</v>
      </c>
      <c r="AH9" s="3413">
        <f t="shared" si="13"/>
        <v>0</v>
      </c>
      <c r="AI9" s="3413">
        <f t="shared" si="14"/>
        <v>112882</v>
      </c>
      <c r="AJ9" s="2183"/>
      <c r="AK9" s="4137">
        <v>20112</v>
      </c>
      <c r="AL9" s="5173"/>
      <c r="AM9" s="3107">
        <f t="shared" si="15"/>
        <v>36814</v>
      </c>
      <c r="AN9" s="3413">
        <f t="shared" si="16"/>
        <v>0</v>
      </c>
      <c r="AO9" s="3413">
        <f t="shared" si="17"/>
        <v>132994</v>
      </c>
      <c r="AP9" s="2183"/>
      <c r="AQ9" s="4137">
        <v>18997</v>
      </c>
      <c r="AR9" s="3413">
        <f t="shared" si="18"/>
        <v>0</v>
      </c>
      <c r="AS9" s="3413">
        <f t="shared" si="19"/>
        <v>151991</v>
      </c>
      <c r="AT9" s="2183"/>
      <c r="AU9" s="4137">
        <v>15876</v>
      </c>
      <c r="AV9" s="3413">
        <f t="shared" si="20"/>
        <v>0</v>
      </c>
      <c r="AW9" s="3413">
        <f t="shared" si="21"/>
        <v>167867</v>
      </c>
      <c r="AX9" s="2183"/>
      <c r="AY9" s="4137">
        <v>16441</v>
      </c>
      <c r="AZ9" s="5173"/>
      <c r="BA9" s="3107">
        <f t="shared" si="22"/>
        <v>51314</v>
      </c>
      <c r="BB9" s="6160">
        <f t="shared" si="23"/>
        <v>0</v>
      </c>
      <c r="BC9" s="6160">
        <f t="shared" ref="BC9:BC24" si="38">AM9+BA9</f>
        <v>88128</v>
      </c>
      <c r="BD9" s="3413">
        <f t="shared" si="25"/>
        <v>0</v>
      </c>
      <c r="BE9" s="3413">
        <f t="shared" si="26"/>
        <v>184308</v>
      </c>
      <c r="BF9" s="5172"/>
      <c r="BG9" s="26"/>
    </row>
    <row r="10" spans="1:73" ht="18.75" x14ac:dyDescent="0.25">
      <c r="B10" s="7640"/>
      <c r="C10" s="2173" t="s">
        <v>787</v>
      </c>
      <c r="D10" s="1713"/>
      <c r="E10" s="2151">
        <v>31854</v>
      </c>
      <c r="F10" s="2151"/>
      <c r="G10" s="4137">
        <v>32714</v>
      </c>
      <c r="H10" s="2153">
        <f t="shared" si="1"/>
        <v>0</v>
      </c>
      <c r="I10" s="3407">
        <f t="shared" si="2"/>
        <v>64568</v>
      </c>
      <c r="J10" s="2151"/>
      <c r="K10" s="4137">
        <v>22124</v>
      </c>
      <c r="L10" s="2152">
        <f t="shared" si="3"/>
        <v>0</v>
      </c>
      <c r="M10" s="2384">
        <f t="shared" si="0"/>
        <v>86692</v>
      </c>
      <c r="N10" s="2183"/>
      <c r="O10" s="4137">
        <v>32150</v>
      </c>
      <c r="P10" s="2153">
        <f t="shared" si="4"/>
        <v>0</v>
      </c>
      <c r="Q10" s="3413">
        <f t="shared" si="28"/>
        <v>118842</v>
      </c>
      <c r="R10" s="2183"/>
      <c r="S10" s="4137">
        <v>32753</v>
      </c>
      <c r="T10" s="3413">
        <f t="shared" si="6"/>
        <v>0</v>
      </c>
      <c r="U10" s="3413">
        <f t="shared" si="7"/>
        <v>151595</v>
      </c>
      <c r="V10" s="2183"/>
      <c r="W10" s="4137">
        <v>38134</v>
      </c>
      <c r="X10" s="4668"/>
      <c r="Y10" s="3107">
        <f t="shared" si="8"/>
        <v>103037</v>
      </c>
      <c r="Z10" s="6160">
        <f t="shared" si="9"/>
        <v>0</v>
      </c>
      <c r="AA10" s="6160">
        <f t="shared" si="10"/>
        <v>189729</v>
      </c>
      <c r="AB10" s="2183"/>
      <c r="AC10" s="4137">
        <v>40819</v>
      </c>
      <c r="AD10" s="3413">
        <f t="shared" si="11"/>
        <v>0</v>
      </c>
      <c r="AE10" s="3413">
        <f t="shared" si="12"/>
        <v>230548</v>
      </c>
      <c r="AF10" s="2183"/>
      <c r="AG10" s="4137">
        <v>1315</v>
      </c>
      <c r="AH10" s="3413">
        <f t="shared" si="13"/>
        <v>0</v>
      </c>
      <c r="AI10" s="3413">
        <f t="shared" si="14"/>
        <v>231863</v>
      </c>
      <c r="AJ10" s="2183"/>
      <c r="AK10" s="4137">
        <v>36987</v>
      </c>
      <c r="AL10" s="5173"/>
      <c r="AM10" s="3107">
        <f t="shared" si="15"/>
        <v>79121</v>
      </c>
      <c r="AN10" s="3413">
        <f t="shared" si="16"/>
        <v>0</v>
      </c>
      <c r="AO10" s="3413">
        <f t="shared" si="17"/>
        <v>268850</v>
      </c>
      <c r="AP10" s="2183"/>
      <c r="AQ10" s="4137">
        <v>34547</v>
      </c>
      <c r="AR10" s="3413">
        <f t="shared" si="18"/>
        <v>0</v>
      </c>
      <c r="AS10" s="3413">
        <f t="shared" si="19"/>
        <v>303397</v>
      </c>
      <c r="AT10" s="2183"/>
      <c r="AU10" s="4137">
        <v>30454</v>
      </c>
      <c r="AV10" s="3413">
        <f t="shared" si="20"/>
        <v>0</v>
      </c>
      <c r="AW10" s="3413">
        <f t="shared" si="21"/>
        <v>333851</v>
      </c>
      <c r="AX10" s="2183"/>
      <c r="AY10" s="4137">
        <v>40058</v>
      </c>
      <c r="AZ10" s="5173"/>
      <c r="BA10" s="3107">
        <f t="shared" si="22"/>
        <v>105059</v>
      </c>
      <c r="BB10" s="6160">
        <f t="shared" si="23"/>
        <v>0</v>
      </c>
      <c r="BC10" s="6160">
        <f t="shared" si="38"/>
        <v>184180</v>
      </c>
      <c r="BD10" s="3413">
        <f t="shared" si="25"/>
        <v>0</v>
      </c>
      <c r="BE10" s="3413">
        <f t="shared" si="26"/>
        <v>373909</v>
      </c>
      <c r="BF10" s="5172"/>
      <c r="BG10" s="26"/>
    </row>
    <row r="11" spans="1:73" ht="18.75" x14ac:dyDescent="0.25">
      <c r="B11" s="7640"/>
      <c r="C11" s="2173" t="s">
        <v>26</v>
      </c>
      <c r="D11" s="1713"/>
      <c r="E11" s="2151">
        <v>15008</v>
      </c>
      <c r="F11" s="2151"/>
      <c r="G11" s="4137">
        <v>14494</v>
      </c>
      <c r="H11" s="2153">
        <f t="shared" si="1"/>
        <v>0</v>
      </c>
      <c r="I11" s="3407">
        <f t="shared" si="2"/>
        <v>29502</v>
      </c>
      <c r="J11" s="2151"/>
      <c r="K11" s="4137">
        <v>11406</v>
      </c>
      <c r="L11" s="2152">
        <f t="shared" si="3"/>
        <v>0</v>
      </c>
      <c r="M11" s="2384">
        <f t="shared" si="0"/>
        <v>40908</v>
      </c>
      <c r="N11" s="2183"/>
      <c r="O11" s="4137">
        <v>16755</v>
      </c>
      <c r="P11" s="2153">
        <f t="shared" si="4"/>
        <v>0</v>
      </c>
      <c r="Q11" s="3413">
        <f t="shared" si="28"/>
        <v>57663</v>
      </c>
      <c r="R11" s="2183"/>
      <c r="S11" s="4137">
        <v>16902</v>
      </c>
      <c r="T11" s="3413">
        <f t="shared" si="6"/>
        <v>0</v>
      </c>
      <c r="U11" s="3413">
        <f t="shared" si="7"/>
        <v>74565</v>
      </c>
      <c r="V11" s="2183"/>
      <c r="W11" s="4137">
        <v>17223</v>
      </c>
      <c r="X11" s="4668"/>
      <c r="Y11" s="3107">
        <f t="shared" si="8"/>
        <v>50880</v>
      </c>
      <c r="Z11" s="6160">
        <f t="shared" si="9"/>
        <v>0</v>
      </c>
      <c r="AA11" s="6160">
        <f t="shared" si="10"/>
        <v>91788</v>
      </c>
      <c r="AB11" s="2183"/>
      <c r="AC11" s="4137">
        <v>16950</v>
      </c>
      <c r="AD11" s="3413">
        <f t="shared" si="11"/>
        <v>0</v>
      </c>
      <c r="AE11" s="3413">
        <f t="shared" si="12"/>
        <v>108738</v>
      </c>
      <c r="AF11" s="2183"/>
      <c r="AG11" s="4137">
        <v>764</v>
      </c>
      <c r="AH11" s="3413">
        <f t="shared" si="13"/>
        <v>0</v>
      </c>
      <c r="AI11" s="3413">
        <f t="shared" si="14"/>
        <v>109502</v>
      </c>
      <c r="AJ11" s="2183"/>
      <c r="AK11" s="4137">
        <v>17747</v>
      </c>
      <c r="AL11" s="5173"/>
      <c r="AM11" s="3107">
        <f t="shared" si="15"/>
        <v>35461</v>
      </c>
      <c r="AN11" s="3413">
        <f t="shared" si="16"/>
        <v>0</v>
      </c>
      <c r="AO11" s="3413">
        <f t="shared" si="17"/>
        <v>127249</v>
      </c>
      <c r="AP11" s="2183"/>
      <c r="AQ11" s="4137">
        <v>15889</v>
      </c>
      <c r="AR11" s="3413">
        <f t="shared" si="18"/>
        <v>0</v>
      </c>
      <c r="AS11" s="3413">
        <f t="shared" si="19"/>
        <v>143138</v>
      </c>
      <c r="AT11" s="2183"/>
      <c r="AU11" s="4137">
        <v>12897</v>
      </c>
      <c r="AV11" s="3413">
        <f t="shared" si="20"/>
        <v>0</v>
      </c>
      <c r="AW11" s="3413">
        <f t="shared" si="21"/>
        <v>156035</v>
      </c>
      <c r="AX11" s="2183"/>
      <c r="AY11" s="4137">
        <v>18521</v>
      </c>
      <c r="AZ11" s="5173"/>
      <c r="BA11" s="3107">
        <f t="shared" si="22"/>
        <v>47307</v>
      </c>
      <c r="BB11" s="6160">
        <f t="shared" si="23"/>
        <v>0</v>
      </c>
      <c r="BC11" s="6160">
        <f t="shared" si="38"/>
        <v>82768</v>
      </c>
      <c r="BD11" s="3413">
        <f t="shared" si="25"/>
        <v>0</v>
      </c>
      <c r="BE11" s="3413">
        <f t="shared" si="26"/>
        <v>174556</v>
      </c>
      <c r="BF11" s="5172"/>
      <c r="BG11" s="26"/>
    </row>
    <row r="12" spans="1:73" ht="18.75" x14ac:dyDescent="0.25">
      <c r="B12" s="7640"/>
      <c r="C12" s="2173" t="s">
        <v>789</v>
      </c>
      <c r="D12" s="1713"/>
      <c r="E12" s="2151">
        <v>0</v>
      </c>
      <c r="F12" s="2151"/>
      <c r="G12" s="4137">
        <v>0</v>
      </c>
      <c r="H12" s="2153">
        <f t="shared" si="1"/>
        <v>0</v>
      </c>
      <c r="I12" s="3407">
        <f t="shared" si="2"/>
        <v>0</v>
      </c>
      <c r="J12" s="2151"/>
      <c r="K12" s="4137">
        <v>0</v>
      </c>
      <c r="L12" s="2152">
        <f t="shared" si="3"/>
        <v>0</v>
      </c>
      <c r="M12" s="2384">
        <f t="shared" si="0"/>
        <v>0</v>
      </c>
      <c r="N12" s="2183"/>
      <c r="O12" s="4137">
        <v>0</v>
      </c>
      <c r="P12" s="2153">
        <f t="shared" si="4"/>
        <v>0</v>
      </c>
      <c r="Q12" s="3413">
        <f t="shared" si="28"/>
        <v>0</v>
      </c>
      <c r="R12" s="2183"/>
      <c r="S12" s="4137">
        <v>0</v>
      </c>
      <c r="T12" s="3413">
        <f t="shared" si="6"/>
        <v>0</v>
      </c>
      <c r="U12" s="3413">
        <f t="shared" si="7"/>
        <v>0</v>
      </c>
      <c r="V12" s="2183"/>
      <c r="W12" s="4137">
        <v>877</v>
      </c>
      <c r="X12" s="4668"/>
      <c r="Y12" s="3107">
        <f t="shared" si="8"/>
        <v>877</v>
      </c>
      <c r="Z12" s="6160">
        <f t="shared" si="9"/>
        <v>0</v>
      </c>
      <c r="AA12" s="6160">
        <f t="shared" si="10"/>
        <v>877</v>
      </c>
      <c r="AB12" s="2183"/>
      <c r="AC12" s="4137">
        <v>173</v>
      </c>
      <c r="AD12" s="3413">
        <f t="shared" si="11"/>
        <v>0</v>
      </c>
      <c r="AE12" s="3413">
        <f t="shared" si="12"/>
        <v>1050</v>
      </c>
      <c r="AF12" s="2183"/>
      <c r="AG12" s="4137">
        <v>0</v>
      </c>
      <c r="AH12" s="3413">
        <f t="shared" si="13"/>
        <v>0</v>
      </c>
      <c r="AI12" s="3413">
        <f t="shared" si="14"/>
        <v>1050</v>
      </c>
      <c r="AJ12" s="2183"/>
      <c r="AK12" s="4137">
        <v>500</v>
      </c>
      <c r="AL12" s="5173"/>
      <c r="AM12" s="3107">
        <f t="shared" si="15"/>
        <v>673</v>
      </c>
      <c r="AN12" s="3413">
        <f t="shared" si="16"/>
        <v>0</v>
      </c>
      <c r="AO12" s="3413">
        <f t="shared" si="17"/>
        <v>1550</v>
      </c>
      <c r="AP12" s="2183"/>
      <c r="AQ12" s="4137">
        <v>1450</v>
      </c>
      <c r="AR12" s="3413">
        <f t="shared" si="18"/>
        <v>0</v>
      </c>
      <c r="AS12" s="3413">
        <f t="shared" si="19"/>
        <v>3000</v>
      </c>
      <c r="AT12" s="2183"/>
      <c r="AU12" s="4137">
        <v>897</v>
      </c>
      <c r="AV12" s="3413">
        <f t="shared" si="20"/>
        <v>0</v>
      </c>
      <c r="AW12" s="3413">
        <f t="shared" si="21"/>
        <v>3897</v>
      </c>
      <c r="AX12" s="2183"/>
      <c r="AY12" s="4137">
        <v>0</v>
      </c>
      <c r="AZ12" s="5173"/>
      <c r="BA12" s="3107">
        <f t="shared" si="22"/>
        <v>2347</v>
      </c>
      <c r="BB12" s="6160">
        <f t="shared" si="23"/>
        <v>0</v>
      </c>
      <c r="BC12" s="6160">
        <f t="shared" si="38"/>
        <v>3020</v>
      </c>
      <c r="BD12" s="3413">
        <f t="shared" si="25"/>
        <v>0</v>
      </c>
      <c r="BE12" s="3413">
        <f t="shared" si="26"/>
        <v>3897</v>
      </c>
      <c r="BF12" s="5172"/>
      <c r="BG12" s="26"/>
    </row>
    <row r="13" spans="1:73" s="1730" customFormat="1" ht="18.75" x14ac:dyDescent="0.25">
      <c r="A13" s="2156"/>
      <c r="B13" s="7640"/>
      <c r="C13" s="2173" t="s">
        <v>41</v>
      </c>
      <c r="D13" s="1713"/>
      <c r="E13" s="2151">
        <v>0</v>
      </c>
      <c r="F13" s="2151"/>
      <c r="G13" s="4137">
        <v>0</v>
      </c>
      <c r="H13" s="2153">
        <f t="shared" si="1"/>
        <v>0</v>
      </c>
      <c r="I13" s="3407">
        <f t="shared" si="2"/>
        <v>0</v>
      </c>
      <c r="J13" s="2151"/>
      <c r="K13" s="4137">
        <v>3028</v>
      </c>
      <c r="L13" s="2152">
        <f t="shared" si="3"/>
        <v>0</v>
      </c>
      <c r="M13" s="2384">
        <f t="shared" si="0"/>
        <v>3028</v>
      </c>
      <c r="N13" s="2183"/>
      <c r="O13" s="4137">
        <v>4811</v>
      </c>
      <c r="P13" s="2153">
        <f t="shared" si="4"/>
        <v>0</v>
      </c>
      <c r="Q13" s="3413">
        <f t="shared" si="28"/>
        <v>7839</v>
      </c>
      <c r="R13" s="2183"/>
      <c r="S13" s="4137">
        <v>3502</v>
      </c>
      <c r="T13" s="3413">
        <f t="shared" si="6"/>
        <v>0</v>
      </c>
      <c r="U13" s="3413">
        <f t="shared" si="7"/>
        <v>11341</v>
      </c>
      <c r="V13" s="2183"/>
      <c r="W13" s="4137">
        <v>3237</v>
      </c>
      <c r="X13" s="4668"/>
      <c r="Y13" s="3107">
        <f t="shared" si="8"/>
        <v>11550</v>
      </c>
      <c r="Z13" s="6160">
        <f t="shared" si="9"/>
        <v>0</v>
      </c>
      <c r="AA13" s="6160">
        <f t="shared" si="10"/>
        <v>14578</v>
      </c>
      <c r="AB13" s="2183"/>
      <c r="AC13" s="4137">
        <v>2946</v>
      </c>
      <c r="AD13" s="3413">
        <f t="shared" si="11"/>
        <v>0</v>
      </c>
      <c r="AE13" s="3413">
        <f t="shared" si="12"/>
        <v>17524</v>
      </c>
      <c r="AF13" s="2183"/>
      <c r="AG13" s="4137">
        <v>111</v>
      </c>
      <c r="AH13" s="3413">
        <f t="shared" si="13"/>
        <v>0</v>
      </c>
      <c r="AI13" s="3413">
        <f t="shared" si="14"/>
        <v>17635</v>
      </c>
      <c r="AJ13" s="2183"/>
      <c r="AK13" s="4137">
        <v>1834</v>
      </c>
      <c r="AL13" s="5173"/>
      <c r="AM13" s="3107">
        <f t="shared" si="15"/>
        <v>4891</v>
      </c>
      <c r="AN13" s="3413">
        <f t="shared" si="16"/>
        <v>0</v>
      </c>
      <c r="AO13" s="3413">
        <f t="shared" si="17"/>
        <v>19469</v>
      </c>
      <c r="AP13" s="2183"/>
      <c r="AQ13" s="4137">
        <v>130</v>
      </c>
      <c r="AR13" s="3413">
        <f t="shared" si="18"/>
        <v>0</v>
      </c>
      <c r="AS13" s="3413">
        <f t="shared" si="19"/>
        <v>19599</v>
      </c>
      <c r="AT13" s="2183"/>
      <c r="AU13" s="4137">
        <v>5</v>
      </c>
      <c r="AV13" s="3413">
        <f t="shared" si="20"/>
        <v>0</v>
      </c>
      <c r="AW13" s="3413">
        <f t="shared" si="21"/>
        <v>19604</v>
      </c>
      <c r="AX13" s="2183"/>
      <c r="AY13" s="4137">
        <v>0</v>
      </c>
      <c r="AZ13" s="5173"/>
      <c r="BA13" s="3107">
        <f t="shared" si="22"/>
        <v>135</v>
      </c>
      <c r="BB13" s="6160">
        <f t="shared" si="23"/>
        <v>0</v>
      </c>
      <c r="BC13" s="6160">
        <f t="shared" si="38"/>
        <v>5026</v>
      </c>
      <c r="BD13" s="3413">
        <f t="shared" si="25"/>
        <v>0</v>
      </c>
      <c r="BE13" s="3413">
        <f t="shared" si="26"/>
        <v>19604</v>
      </c>
      <c r="BF13" s="5172"/>
      <c r="BG13" s="26"/>
    </row>
    <row r="14" spans="1:73" ht="18.75" x14ac:dyDescent="0.25">
      <c r="B14" s="7640"/>
      <c r="C14" s="2173" t="s">
        <v>1562</v>
      </c>
      <c r="D14" s="1713"/>
      <c r="E14" s="2151">
        <v>676</v>
      </c>
      <c r="F14" s="2151"/>
      <c r="G14" s="4137">
        <v>690</v>
      </c>
      <c r="H14" s="2153">
        <f t="shared" si="1"/>
        <v>0</v>
      </c>
      <c r="I14" s="3407">
        <f t="shared" si="2"/>
        <v>1366</v>
      </c>
      <c r="J14" s="2151"/>
      <c r="K14" s="4137">
        <v>523</v>
      </c>
      <c r="L14" s="2152">
        <f t="shared" si="3"/>
        <v>0</v>
      </c>
      <c r="M14" s="2384">
        <f t="shared" si="0"/>
        <v>1889</v>
      </c>
      <c r="N14" s="2183"/>
      <c r="O14" s="4137">
        <v>848</v>
      </c>
      <c r="P14" s="2153">
        <f t="shared" si="4"/>
        <v>0</v>
      </c>
      <c r="Q14" s="3413">
        <f t="shared" si="28"/>
        <v>2737</v>
      </c>
      <c r="R14" s="2183"/>
      <c r="S14" s="4137">
        <v>601</v>
      </c>
      <c r="T14" s="3413">
        <f t="shared" si="6"/>
        <v>0</v>
      </c>
      <c r="U14" s="3413">
        <f t="shared" si="7"/>
        <v>3338</v>
      </c>
      <c r="V14" s="2183"/>
      <c r="W14" s="4137">
        <v>346</v>
      </c>
      <c r="X14" s="4668"/>
      <c r="Y14" s="3107">
        <f t="shared" si="8"/>
        <v>1795</v>
      </c>
      <c r="Z14" s="6160">
        <f t="shared" si="9"/>
        <v>0</v>
      </c>
      <c r="AA14" s="6160">
        <f t="shared" si="10"/>
        <v>3684</v>
      </c>
      <c r="AB14" s="2183"/>
      <c r="AC14" s="4137">
        <v>1510</v>
      </c>
      <c r="AD14" s="3413">
        <f t="shared" si="11"/>
        <v>0</v>
      </c>
      <c r="AE14" s="3413">
        <f t="shared" si="12"/>
        <v>5194</v>
      </c>
      <c r="AF14" s="2183"/>
      <c r="AG14" s="4137">
        <v>20</v>
      </c>
      <c r="AH14" s="3413">
        <f t="shared" si="13"/>
        <v>0</v>
      </c>
      <c r="AI14" s="3413">
        <f t="shared" si="14"/>
        <v>5214</v>
      </c>
      <c r="AJ14" s="2183"/>
      <c r="AK14" s="4137">
        <v>1820</v>
      </c>
      <c r="AL14" s="5173"/>
      <c r="AM14" s="3107">
        <f t="shared" si="15"/>
        <v>3350</v>
      </c>
      <c r="AN14" s="3413">
        <f t="shared" si="16"/>
        <v>0</v>
      </c>
      <c r="AO14" s="3413">
        <f t="shared" si="17"/>
        <v>7034</v>
      </c>
      <c r="AP14" s="2183"/>
      <c r="AQ14" s="4137">
        <v>1850</v>
      </c>
      <c r="AR14" s="3413">
        <f t="shared" si="18"/>
        <v>0</v>
      </c>
      <c r="AS14" s="3413">
        <f t="shared" si="19"/>
        <v>8884</v>
      </c>
      <c r="AT14" s="2183"/>
      <c r="AU14" s="4137">
        <v>0</v>
      </c>
      <c r="AV14" s="3413">
        <f t="shared" si="20"/>
        <v>0</v>
      </c>
      <c r="AW14" s="3413">
        <f t="shared" si="21"/>
        <v>8884</v>
      </c>
      <c r="AX14" s="2183"/>
      <c r="AY14" s="4137">
        <v>0</v>
      </c>
      <c r="AZ14" s="5173"/>
      <c r="BA14" s="3107">
        <f t="shared" si="22"/>
        <v>1850</v>
      </c>
      <c r="BB14" s="6160">
        <f t="shared" si="23"/>
        <v>0</v>
      </c>
      <c r="BC14" s="6160">
        <f t="shared" si="38"/>
        <v>5200</v>
      </c>
      <c r="BD14" s="3413">
        <f t="shared" si="25"/>
        <v>0</v>
      </c>
      <c r="BE14" s="3413">
        <f t="shared" si="26"/>
        <v>8884</v>
      </c>
      <c r="BF14" s="5172"/>
      <c r="BG14" s="26"/>
    </row>
    <row r="15" spans="1:73" ht="18.75" x14ac:dyDescent="0.25">
      <c r="B15" s="7640"/>
      <c r="C15" s="2173" t="s">
        <v>600</v>
      </c>
      <c r="D15" s="1713"/>
      <c r="E15" s="2151">
        <v>9984</v>
      </c>
      <c r="F15" s="2151"/>
      <c r="G15" s="4137">
        <v>9999</v>
      </c>
      <c r="H15" s="2153">
        <f t="shared" si="1"/>
        <v>0</v>
      </c>
      <c r="I15" s="3407">
        <f t="shared" si="2"/>
        <v>19983</v>
      </c>
      <c r="J15" s="2151"/>
      <c r="K15" s="4137">
        <v>3957</v>
      </c>
      <c r="L15" s="2152">
        <f t="shared" si="3"/>
        <v>0</v>
      </c>
      <c r="M15" s="2384">
        <f t="shared" si="0"/>
        <v>23940</v>
      </c>
      <c r="N15" s="2183"/>
      <c r="O15" s="4137">
        <v>6695</v>
      </c>
      <c r="P15" s="2153">
        <f t="shared" si="4"/>
        <v>0</v>
      </c>
      <c r="Q15" s="3413">
        <f t="shared" si="28"/>
        <v>30635</v>
      </c>
      <c r="R15" s="2183"/>
      <c r="S15" s="4137">
        <v>2487</v>
      </c>
      <c r="T15" s="3413">
        <f t="shared" si="6"/>
        <v>0</v>
      </c>
      <c r="U15" s="3413">
        <f t="shared" si="7"/>
        <v>33122</v>
      </c>
      <c r="V15" s="2183"/>
      <c r="W15" s="4137">
        <v>5994</v>
      </c>
      <c r="X15" s="4668"/>
      <c r="Y15" s="3107">
        <f t="shared" si="8"/>
        <v>15176</v>
      </c>
      <c r="Z15" s="6160">
        <f t="shared" si="9"/>
        <v>0</v>
      </c>
      <c r="AA15" s="6160">
        <f t="shared" si="10"/>
        <v>39116</v>
      </c>
      <c r="AB15" s="2183"/>
      <c r="AC15" s="4137">
        <v>4401</v>
      </c>
      <c r="AD15" s="3413">
        <f t="shared" si="11"/>
        <v>0</v>
      </c>
      <c r="AE15" s="3413">
        <f t="shared" si="12"/>
        <v>43517</v>
      </c>
      <c r="AF15" s="2183"/>
      <c r="AG15" s="4137">
        <v>90</v>
      </c>
      <c r="AH15" s="3413">
        <f t="shared" si="13"/>
        <v>0</v>
      </c>
      <c r="AI15" s="3413">
        <f t="shared" si="14"/>
        <v>43607</v>
      </c>
      <c r="AJ15" s="2183"/>
      <c r="AK15" s="4137">
        <v>860</v>
      </c>
      <c r="AL15" s="5173"/>
      <c r="AM15" s="3107">
        <f t="shared" si="15"/>
        <v>5351</v>
      </c>
      <c r="AN15" s="3413">
        <f t="shared" si="16"/>
        <v>0</v>
      </c>
      <c r="AO15" s="3413">
        <f t="shared" si="17"/>
        <v>44467</v>
      </c>
      <c r="AP15" s="2183"/>
      <c r="AQ15" s="4137">
        <v>1383</v>
      </c>
      <c r="AR15" s="3413">
        <f t="shared" si="18"/>
        <v>0</v>
      </c>
      <c r="AS15" s="3413">
        <f t="shared" si="19"/>
        <v>45850</v>
      </c>
      <c r="AT15" s="2183"/>
      <c r="AU15" s="4137">
        <v>15241</v>
      </c>
      <c r="AV15" s="3413">
        <f t="shared" si="20"/>
        <v>0</v>
      </c>
      <c r="AW15" s="3413">
        <f t="shared" si="21"/>
        <v>61091</v>
      </c>
      <c r="AX15" s="2183"/>
      <c r="AY15" s="4137">
        <v>14818</v>
      </c>
      <c r="AZ15" s="5173"/>
      <c r="BA15" s="3107">
        <f t="shared" si="22"/>
        <v>31442</v>
      </c>
      <c r="BB15" s="6160">
        <f t="shared" si="23"/>
        <v>0</v>
      </c>
      <c r="BC15" s="6160">
        <f t="shared" si="38"/>
        <v>36793</v>
      </c>
      <c r="BD15" s="3413">
        <f t="shared" si="25"/>
        <v>0</v>
      </c>
      <c r="BE15" s="3413">
        <f t="shared" si="26"/>
        <v>75909</v>
      </c>
      <c r="BF15" s="5172"/>
      <c r="BG15" s="26"/>
    </row>
    <row r="16" spans="1:73" ht="18.75" x14ac:dyDescent="0.25">
      <c r="B16" s="7640"/>
      <c r="C16" s="2173" t="s">
        <v>790</v>
      </c>
      <c r="D16" s="1713"/>
      <c r="E16" s="2151">
        <v>5650</v>
      </c>
      <c r="F16" s="2151"/>
      <c r="G16" s="4137">
        <v>5463</v>
      </c>
      <c r="H16" s="2153">
        <f t="shared" si="1"/>
        <v>0</v>
      </c>
      <c r="I16" s="3407">
        <f t="shared" si="2"/>
        <v>11113</v>
      </c>
      <c r="J16" s="2151"/>
      <c r="K16" s="4137">
        <v>5421</v>
      </c>
      <c r="L16" s="2152">
        <f t="shared" si="3"/>
        <v>0</v>
      </c>
      <c r="M16" s="2384">
        <f t="shared" si="0"/>
        <v>16534</v>
      </c>
      <c r="N16" s="2183"/>
      <c r="O16" s="4137">
        <v>4178</v>
      </c>
      <c r="P16" s="2153">
        <f t="shared" si="4"/>
        <v>0</v>
      </c>
      <c r="Q16" s="3413">
        <f t="shared" si="28"/>
        <v>20712</v>
      </c>
      <c r="R16" s="2183"/>
      <c r="S16" s="4137">
        <v>4301</v>
      </c>
      <c r="T16" s="3413">
        <f t="shared" si="6"/>
        <v>0</v>
      </c>
      <c r="U16" s="3413">
        <f t="shared" si="7"/>
        <v>25013</v>
      </c>
      <c r="V16" s="2183"/>
      <c r="W16" s="4137">
        <v>4755</v>
      </c>
      <c r="X16" s="4668"/>
      <c r="Y16" s="3107">
        <f t="shared" si="8"/>
        <v>13234</v>
      </c>
      <c r="Z16" s="6160">
        <f t="shared" si="9"/>
        <v>0</v>
      </c>
      <c r="AA16" s="6160">
        <f t="shared" si="10"/>
        <v>29768</v>
      </c>
      <c r="AB16" s="2183"/>
      <c r="AC16" s="4137">
        <v>5099</v>
      </c>
      <c r="AD16" s="3413">
        <f t="shared" si="11"/>
        <v>0</v>
      </c>
      <c r="AE16" s="3413">
        <f t="shared" si="12"/>
        <v>34867</v>
      </c>
      <c r="AF16" s="2183"/>
      <c r="AG16" s="4137">
        <v>101</v>
      </c>
      <c r="AH16" s="3413">
        <f t="shared" si="13"/>
        <v>0</v>
      </c>
      <c r="AI16" s="3413">
        <f t="shared" si="14"/>
        <v>34968</v>
      </c>
      <c r="AJ16" s="2183"/>
      <c r="AK16" s="4137">
        <v>4601</v>
      </c>
      <c r="AL16" s="5173"/>
      <c r="AM16" s="3107">
        <f t="shared" si="15"/>
        <v>9801</v>
      </c>
      <c r="AN16" s="3413">
        <f t="shared" si="16"/>
        <v>0</v>
      </c>
      <c r="AO16" s="3413">
        <f t="shared" si="17"/>
        <v>39569</v>
      </c>
      <c r="AP16" s="2183"/>
      <c r="AQ16" s="4137">
        <v>5265</v>
      </c>
      <c r="AR16" s="3413">
        <f t="shared" si="18"/>
        <v>0</v>
      </c>
      <c r="AS16" s="3413">
        <f t="shared" si="19"/>
        <v>44834</v>
      </c>
      <c r="AT16" s="2183"/>
      <c r="AU16" s="4137">
        <v>3877</v>
      </c>
      <c r="AV16" s="3413">
        <f t="shared" si="20"/>
        <v>0</v>
      </c>
      <c r="AW16" s="3413">
        <f t="shared" si="21"/>
        <v>48711</v>
      </c>
      <c r="AX16" s="2183"/>
      <c r="AY16" s="4137">
        <v>6412</v>
      </c>
      <c r="AZ16" s="5173"/>
      <c r="BA16" s="3107">
        <f t="shared" si="22"/>
        <v>15554</v>
      </c>
      <c r="BB16" s="6160">
        <f t="shared" si="23"/>
        <v>0</v>
      </c>
      <c r="BC16" s="6160">
        <f t="shared" si="38"/>
        <v>25355</v>
      </c>
      <c r="BD16" s="3413">
        <f t="shared" si="25"/>
        <v>0</v>
      </c>
      <c r="BE16" s="3413">
        <f t="shared" si="26"/>
        <v>55123</v>
      </c>
      <c r="BF16" s="5172"/>
      <c r="BG16" s="26"/>
    </row>
    <row r="17" spans="2:75" ht="18.75" x14ac:dyDescent="0.25">
      <c r="B17" s="7640"/>
      <c r="C17" s="2173" t="s">
        <v>98</v>
      </c>
      <c r="D17" s="1713"/>
      <c r="E17" s="2151">
        <v>60954</v>
      </c>
      <c r="F17" s="2151"/>
      <c r="G17" s="4137">
        <v>64874</v>
      </c>
      <c r="H17" s="2153">
        <f t="shared" si="1"/>
        <v>0</v>
      </c>
      <c r="I17" s="3407">
        <f t="shared" si="2"/>
        <v>125828</v>
      </c>
      <c r="J17" s="2151"/>
      <c r="K17" s="4137">
        <v>46620</v>
      </c>
      <c r="L17" s="2152">
        <f t="shared" si="3"/>
        <v>0</v>
      </c>
      <c r="M17" s="2384">
        <f t="shared" si="0"/>
        <v>172448</v>
      </c>
      <c r="N17" s="2183"/>
      <c r="O17" s="4137">
        <v>70318</v>
      </c>
      <c r="P17" s="2153">
        <f t="shared" si="4"/>
        <v>0</v>
      </c>
      <c r="Q17" s="3413">
        <f t="shared" si="28"/>
        <v>242766</v>
      </c>
      <c r="R17" s="2183"/>
      <c r="S17" s="4137">
        <v>67610</v>
      </c>
      <c r="T17" s="3413">
        <f t="shared" si="6"/>
        <v>0</v>
      </c>
      <c r="U17" s="3413">
        <f t="shared" si="7"/>
        <v>310376</v>
      </c>
      <c r="V17" s="2183"/>
      <c r="W17" s="4137">
        <v>74243</v>
      </c>
      <c r="X17" s="4668"/>
      <c r="Y17" s="3107">
        <f t="shared" si="8"/>
        <v>212171</v>
      </c>
      <c r="Z17" s="6160">
        <f t="shared" si="9"/>
        <v>0</v>
      </c>
      <c r="AA17" s="6160">
        <f t="shared" si="10"/>
        <v>384619</v>
      </c>
      <c r="AB17" s="2183"/>
      <c r="AC17" s="4137">
        <v>77501</v>
      </c>
      <c r="AD17" s="3413">
        <f t="shared" si="11"/>
        <v>0</v>
      </c>
      <c r="AE17" s="3413">
        <f t="shared" si="12"/>
        <v>462120</v>
      </c>
      <c r="AF17" s="2183"/>
      <c r="AG17" s="4137">
        <v>3011</v>
      </c>
      <c r="AH17" s="3413">
        <f t="shared" si="13"/>
        <v>0</v>
      </c>
      <c r="AI17" s="3413">
        <f t="shared" si="14"/>
        <v>465131</v>
      </c>
      <c r="AJ17" s="2183"/>
      <c r="AK17" s="4137">
        <v>73114</v>
      </c>
      <c r="AL17" s="5173"/>
      <c r="AM17" s="3107">
        <f t="shared" si="15"/>
        <v>153626</v>
      </c>
      <c r="AN17" s="3413">
        <f t="shared" si="16"/>
        <v>0</v>
      </c>
      <c r="AO17" s="3413">
        <f t="shared" si="17"/>
        <v>538245</v>
      </c>
      <c r="AP17" s="2183"/>
      <c r="AQ17" s="4137">
        <v>67224</v>
      </c>
      <c r="AR17" s="3413">
        <f t="shared" si="18"/>
        <v>0</v>
      </c>
      <c r="AS17" s="3413">
        <f t="shared" si="19"/>
        <v>605469</v>
      </c>
      <c r="AT17" s="2183"/>
      <c r="AU17" s="4137">
        <v>70069</v>
      </c>
      <c r="AV17" s="3413">
        <f t="shared" si="20"/>
        <v>0</v>
      </c>
      <c r="AW17" s="3413">
        <f t="shared" si="21"/>
        <v>675538</v>
      </c>
      <c r="AX17" s="2183"/>
      <c r="AY17" s="4137">
        <v>82371</v>
      </c>
      <c r="AZ17" s="5173"/>
      <c r="BA17" s="3107">
        <f t="shared" si="22"/>
        <v>219664</v>
      </c>
      <c r="BB17" s="6160">
        <f t="shared" si="23"/>
        <v>0</v>
      </c>
      <c r="BC17" s="6160">
        <f t="shared" si="38"/>
        <v>373290</v>
      </c>
      <c r="BD17" s="3413">
        <f t="shared" si="25"/>
        <v>0</v>
      </c>
      <c r="BE17" s="3413">
        <f t="shared" si="26"/>
        <v>757909</v>
      </c>
      <c r="BF17" s="5172"/>
      <c r="BG17" s="26"/>
      <c r="BH17" s="5172"/>
      <c r="BI17" s="5172"/>
      <c r="BJ17" s="5172"/>
      <c r="BK17" s="5172"/>
      <c r="BL17" s="5172"/>
      <c r="BM17" s="5172"/>
    </row>
    <row r="18" spans="2:75" ht="18.75" x14ac:dyDescent="0.25">
      <c r="B18" s="7640"/>
      <c r="C18" s="2173" t="s">
        <v>1313</v>
      </c>
      <c r="D18" s="1713"/>
      <c r="E18" s="2151">
        <v>621</v>
      </c>
      <c r="F18" s="2151"/>
      <c r="G18" s="4137">
        <v>1293</v>
      </c>
      <c r="H18" s="2153">
        <f t="shared" si="1"/>
        <v>0</v>
      </c>
      <c r="I18" s="3407">
        <f t="shared" si="2"/>
        <v>1914</v>
      </c>
      <c r="J18" s="2151"/>
      <c r="K18" s="4137">
        <v>230</v>
      </c>
      <c r="L18" s="2152">
        <f t="shared" si="3"/>
        <v>0</v>
      </c>
      <c r="M18" s="2384">
        <f t="shared" si="0"/>
        <v>2144</v>
      </c>
      <c r="N18" s="2183"/>
      <c r="O18" s="4137">
        <v>768</v>
      </c>
      <c r="P18" s="2153">
        <f t="shared" si="4"/>
        <v>0</v>
      </c>
      <c r="Q18" s="3413">
        <f t="shared" si="28"/>
        <v>2912</v>
      </c>
      <c r="R18" s="2183"/>
      <c r="S18" s="4137">
        <v>822</v>
      </c>
      <c r="T18" s="3413">
        <f t="shared" si="6"/>
        <v>0</v>
      </c>
      <c r="U18" s="3413">
        <f t="shared" si="7"/>
        <v>3734</v>
      </c>
      <c r="V18" s="2183"/>
      <c r="W18" s="4137">
        <v>803</v>
      </c>
      <c r="X18" s="4668"/>
      <c r="Y18" s="3107">
        <f t="shared" si="8"/>
        <v>2393</v>
      </c>
      <c r="Z18" s="6160">
        <f t="shared" si="9"/>
        <v>0</v>
      </c>
      <c r="AA18" s="6160">
        <f t="shared" si="10"/>
        <v>4537</v>
      </c>
      <c r="AB18" s="2183"/>
      <c r="AC18" s="4137">
        <v>910</v>
      </c>
      <c r="AD18" s="3413">
        <f t="shared" si="11"/>
        <v>0</v>
      </c>
      <c r="AE18" s="3413">
        <f t="shared" si="12"/>
        <v>5447</v>
      </c>
      <c r="AF18" s="2183"/>
      <c r="AG18" s="4137">
        <v>125</v>
      </c>
      <c r="AH18" s="3413">
        <f t="shared" si="13"/>
        <v>0</v>
      </c>
      <c r="AI18" s="3413">
        <f t="shared" si="14"/>
        <v>5572</v>
      </c>
      <c r="AJ18" s="2183"/>
      <c r="AK18" s="4137">
        <v>1420</v>
      </c>
      <c r="AL18" s="5173"/>
      <c r="AM18" s="3107">
        <f t="shared" si="15"/>
        <v>2455</v>
      </c>
      <c r="AN18" s="3413">
        <f t="shared" si="16"/>
        <v>0</v>
      </c>
      <c r="AO18" s="3413">
        <f t="shared" si="17"/>
        <v>6992</v>
      </c>
      <c r="AP18" s="2183"/>
      <c r="AQ18" s="4137">
        <v>1299</v>
      </c>
      <c r="AR18" s="3413">
        <f t="shared" si="18"/>
        <v>0</v>
      </c>
      <c r="AS18" s="3413">
        <f t="shared" si="19"/>
        <v>8291</v>
      </c>
      <c r="AT18" s="2183"/>
      <c r="AU18" s="4137">
        <v>969</v>
      </c>
      <c r="AV18" s="3413">
        <f t="shared" si="20"/>
        <v>0</v>
      </c>
      <c r="AW18" s="3413">
        <f t="shared" si="21"/>
        <v>9260</v>
      </c>
      <c r="AX18" s="2183"/>
      <c r="AY18" s="4137">
        <v>1498</v>
      </c>
      <c r="AZ18" s="5173"/>
      <c r="BA18" s="3107">
        <f t="shared" si="22"/>
        <v>3766</v>
      </c>
      <c r="BB18" s="6160">
        <f t="shared" si="23"/>
        <v>0</v>
      </c>
      <c r="BC18" s="6160">
        <f t="shared" si="38"/>
        <v>6221</v>
      </c>
      <c r="BD18" s="3413">
        <f t="shared" si="25"/>
        <v>0</v>
      </c>
      <c r="BE18" s="3413">
        <f t="shared" si="26"/>
        <v>10758</v>
      </c>
      <c r="BF18" s="5172"/>
      <c r="BG18" s="26"/>
      <c r="BH18" s="5172"/>
      <c r="BI18" s="5172"/>
      <c r="BJ18" s="5172"/>
      <c r="BK18" s="5172"/>
      <c r="BL18" s="5172"/>
      <c r="BM18" s="5172"/>
    </row>
    <row r="19" spans="2:75" s="149" customFormat="1" ht="18.75" x14ac:dyDescent="0.25">
      <c r="B19" s="7640"/>
      <c r="C19" s="2173" t="s">
        <v>177</v>
      </c>
      <c r="D19" s="1713"/>
      <c r="E19" s="2151">
        <v>713</v>
      </c>
      <c r="F19" s="2151"/>
      <c r="G19" s="4137">
        <v>513</v>
      </c>
      <c r="H19" s="2153">
        <f t="shared" si="1"/>
        <v>0</v>
      </c>
      <c r="I19" s="4134">
        <f t="shared" si="2"/>
        <v>1226</v>
      </c>
      <c r="J19" s="2151"/>
      <c r="K19" s="4137">
        <v>640</v>
      </c>
      <c r="L19" s="2152">
        <f t="shared" si="3"/>
        <v>0</v>
      </c>
      <c r="M19" s="2384">
        <f t="shared" si="0"/>
        <v>1866</v>
      </c>
      <c r="N19" s="2183"/>
      <c r="O19" s="4137">
        <v>0</v>
      </c>
      <c r="P19" s="2153">
        <f t="shared" si="4"/>
        <v>0</v>
      </c>
      <c r="Q19" s="3413">
        <f t="shared" si="28"/>
        <v>1866</v>
      </c>
      <c r="R19" s="2183"/>
      <c r="S19" s="4137">
        <v>100</v>
      </c>
      <c r="T19" s="3413">
        <f t="shared" si="6"/>
        <v>0</v>
      </c>
      <c r="U19" s="3413">
        <f t="shared" si="7"/>
        <v>1966</v>
      </c>
      <c r="V19" s="2183"/>
      <c r="W19" s="4137">
        <v>55</v>
      </c>
      <c r="X19" s="4668"/>
      <c r="Y19" s="3107">
        <f t="shared" si="8"/>
        <v>155</v>
      </c>
      <c r="Z19" s="6160">
        <f t="shared" si="9"/>
        <v>0</v>
      </c>
      <c r="AA19" s="6160">
        <f t="shared" si="10"/>
        <v>2021</v>
      </c>
      <c r="AB19" s="2183"/>
      <c r="AC19" s="4137">
        <v>401</v>
      </c>
      <c r="AD19" s="3413">
        <f t="shared" si="11"/>
        <v>0</v>
      </c>
      <c r="AE19" s="3413">
        <f t="shared" si="12"/>
        <v>2422</v>
      </c>
      <c r="AF19" s="2183"/>
      <c r="AG19" s="4137">
        <v>0</v>
      </c>
      <c r="AH19" s="3413">
        <f t="shared" si="13"/>
        <v>0</v>
      </c>
      <c r="AI19" s="3413">
        <f t="shared" si="14"/>
        <v>2422</v>
      </c>
      <c r="AJ19" s="2183"/>
      <c r="AK19" s="4137">
        <v>0</v>
      </c>
      <c r="AL19" s="5173"/>
      <c r="AM19" s="3107">
        <f t="shared" si="15"/>
        <v>401</v>
      </c>
      <c r="AN19" s="3413">
        <f t="shared" si="16"/>
        <v>0</v>
      </c>
      <c r="AO19" s="3413">
        <f t="shared" si="17"/>
        <v>2422</v>
      </c>
      <c r="AP19" s="2183"/>
      <c r="AQ19" s="4137">
        <v>99</v>
      </c>
      <c r="AR19" s="3413">
        <f t="shared" si="18"/>
        <v>0</v>
      </c>
      <c r="AS19" s="3413">
        <f t="shared" si="19"/>
        <v>2521</v>
      </c>
      <c r="AT19" s="2183"/>
      <c r="AU19" s="4137">
        <v>0</v>
      </c>
      <c r="AV19" s="3413">
        <f t="shared" si="20"/>
        <v>0</v>
      </c>
      <c r="AW19" s="3413">
        <f t="shared" si="21"/>
        <v>2521</v>
      </c>
      <c r="AX19" s="2183"/>
      <c r="AY19" s="4137">
        <v>434</v>
      </c>
      <c r="AZ19" s="5173"/>
      <c r="BA19" s="3107">
        <f t="shared" si="22"/>
        <v>533</v>
      </c>
      <c r="BB19" s="6160">
        <f t="shared" si="23"/>
        <v>0</v>
      </c>
      <c r="BC19" s="6160">
        <f t="shared" si="38"/>
        <v>934</v>
      </c>
      <c r="BD19" s="3413">
        <f t="shared" si="25"/>
        <v>0</v>
      </c>
      <c r="BE19" s="3413">
        <f t="shared" si="26"/>
        <v>2955</v>
      </c>
      <c r="BF19" s="5172"/>
      <c r="BG19" s="26"/>
      <c r="BH19" s="5172"/>
      <c r="BI19" s="5172"/>
      <c r="BJ19" s="5172"/>
      <c r="BK19" s="5172"/>
      <c r="BL19" s="5172"/>
      <c r="BM19" s="5172"/>
    </row>
    <row r="20" spans="2:75" s="149" customFormat="1" ht="18.75" x14ac:dyDescent="0.25">
      <c r="B20" s="7640"/>
      <c r="C20" s="7242" t="s">
        <v>1717</v>
      </c>
      <c r="D20" s="7243"/>
      <c r="E20" s="7244">
        <v>338</v>
      </c>
      <c r="F20" s="7244"/>
      <c r="G20" s="7244">
        <v>315</v>
      </c>
      <c r="H20" s="7245">
        <v>0</v>
      </c>
      <c r="I20" s="4134">
        <f t="shared" si="2"/>
        <v>653</v>
      </c>
      <c r="J20" s="7244"/>
      <c r="K20" s="7244"/>
      <c r="L20" s="7246"/>
      <c r="M20" s="7246"/>
      <c r="N20" s="7247"/>
      <c r="O20" s="7244"/>
      <c r="P20" s="7245"/>
      <c r="Q20" s="7245"/>
      <c r="R20" s="7247"/>
      <c r="S20" s="7244"/>
      <c r="T20" s="7245"/>
      <c r="U20" s="7245"/>
      <c r="V20" s="7247"/>
      <c r="W20" s="7244"/>
      <c r="X20" s="7244"/>
      <c r="Y20" s="7246"/>
      <c r="Z20" s="7248"/>
      <c r="AA20" s="7248"/>
      <c r="AB20" s="7247"/>
      <c r="AC20" s="7244"/>
      <c r="AD20" s="7245"/>
      <c r="AE20" s="7245"/>
      <c r="AF20" s="7247"/>
      <c r="AG20" s="7244"/>
      <c r="AH20" s="7245"/>
      <c r="AI20" s="7245"/>
      <c r="AJ20" s="7247"/>
      <c r="AK20" s="7244"/>
      <c r="AL20" s="7244"/>
      <c r="AM20" s="7246"/>
      <c r="AN20" s="7245"/>
      <c r="AO20" s="7245"/>
      <c r="AP20" s="7247"/>
      <c r="AQ20" s="7244"/>
      <c r="AR20" s="7245"/>
      <c r="AS20" s="7245"/>
      <c r="AT20" s="7247"/>
      <c r="AU20" s="7244"/>
      <c r="AV20" s="7245"/>
      <c r="AW20" s="7245"/>
      <c r="AX20" s="7247"/>
      <c r="AY20" s="7244"/>
      <c r="AZ20" s="7244"/>
      <c r="BA20" s="7246"/>
      <c r="BB20" s="7248"/>
      <c r="BC20" s="7248"/>
      <c r="BD20" s="7245"/>
      <c r="BE20" s="7245"/>
      <c r="BF20" s="5172"/>
      <c r="BG20" s="26"/>
      <c r="BH20" s="5172"/>
      <c r="BI20" s="5172"/>
      <c r="BJ20" s="5172"/>
      <c r="BK20" s="5172"/>
      <c r="BL20" s="5172"/>
      <c r="BM20" s="5172"/>
    </row>
    <row r="21" spans="2:75" s="149" customFormat="1" ht="18.75" x14ac:dyDescent="0.25">
      <c r="B21" s="7640"/>
      <c r="C21" s="2173" t="s">
        <v>2317</v>
      </c>
      <c r="D21" s="2869"/>
      <c r="E21" s="2870"/>
      <c r="F21" s="2870"/>
      <c r="G21" s="3408">
        <v>1700</v>
      </c>
      <c r="H21" s="3413">
        <f t="shared" si="1"/>
        <v>0</v>
      </c>
      <c r="I21" s="4134">
        <f t="shared" si="2"/>
        <v>1700</v>
      </c>
      <c r="J21" s="2870"/>
      <c r="K21" s="3408">
        <v>0</v>
      </c>
      <c r="L21" s="2872"/>
      <c r="M21" s="3107">
        <f t="shared" si="0"/>
        <v>1700</v>
      </c>
      <c r="N21" s="2873"/>
      <c r="O21" s="3408">
        <v>0</v>
      </c>
      <c r="P21" s="2871"/>
      <c r="Q21" s="3413">
        <f t="shared" si="28"/>
        <v>1700</v>
      </c>
      <c r="R21" s="2873"/>
      <c r="S21" s="3408">
        <v>201</v>
      </c>
      <c r="T21" s="2871"/>
      <c r="U21" s="3413">
        <f t="shared" si="7"/>
        <v>1901</v>
      </c>
      <c r="V21" s="2873"/>
      <c r="W21" s="3408">
        <v>770</v>
      </c>
      <c r="X21" s="4668"/>
      <c r="Y21" s="3107">
        <f t="shared" si="8"/>
        <v>971</v>
      </c>
      <c r="Z21" s="6162"/>
      <c r="AA21" s="6160">
        <f t="shared" si="10"/>
        <v>2671</v>
      </c>
      <c r="AB21" s="2873"/>
      <c r="AC21" s="3408">
        <v>452</v>
      </c>
      <c r="AD21" s="2871"/>
      <c r="AE21" s="3413">
        <f t="shared" si="12"/>
        <v>3123</v>
      </c>
      <c r="AF21" s="2873"/>
      <c r="AG21" s="3408">
        <v>0</v>
      </c>
      <c r="AH21" s="2871"/>
      <c r="AI21" s="3413">
        <f t="shared" si="14"/>
        <v>3123</v>
      </c>
      <c r="AJ21" s="2873"/>
      <c r="AK21" s="3408">
        <v>80</v>
      </c>
      <c r="AL21" s="5173"/>
      <c r="AM21" s="3107">
        <f t="shared" si="15"/>
        <v>532</v>
      </c>
      <c r="AN21" s="2871"/>
      <c r="AO21" s="3413">
        <f t="shared" si="17"/>
        <v>3203</v>
      </c>
      <c r="AP21" s="2873"/>
      <c r="AQ21" s="3408">
        <v>396</v>
      </c>
      <c r="AR21" s="3413">
        <f t="shared" si="18"/>
        <v>0</v>
      </c>
      <c r="AS21" s="3413">
        <f t="shared" si="19"/>
        <v>3599</v>
      </c>
      <c r="AT21" s="2873"/>
      <c r="AU21" s="3408">
        <v>351</v>
      </c>
      <c r="AV21" s="3413">
        <f t="shared" si="20"/>
        <v>0</v>
      </c>
      <c r="AW21" s="3413">
        <f t="shared" si="21"/>
        <v>3950</v>
      </c>
      <c r="AX21" s="2873"/>
      <c r="AY21" s="3408">
        <v>380</v>
      </c>
      <c r="AZ21" s="5173"/>
      <c r="BA21" s="3107">
        <f t="shared" si="22"/>
        <v>1127</v>
      </c>
      <c r="BB21" s="6162"/>
      <c r="BC21" s="6160">
        <f t="shared" si="38"/>
        <v>1659</v>
      </c>
      <c r="BD21" s="3413">
        <f t="shared" si="25"/>
        <v>0</v>
      </c>
      <c r="BE21" s="3413">
        <f t="shared" si="26"/>
        <v>4330</v>
      </c>
      <c r="BF21" s="5172"/>
      <c r="BG21" s="26"/>
      <c r="BH21" s="5172"/>
      <c r="BI21" s="5172"/>
      <c r="BJ21" s="5172"/>
      <c r="BK21" s="5172"/>
      <c r="BL21" s="5172"/>
      <c r="BM21" s="5172"/>
    </row>
    <row r="22" spans="2:75" s="149" customFormat="1" ht="18.75" x14ac:dyDescent="0.25">
      <c r="B22" s="7636" t="s">
        <v>988</v>
      </c>
      <c r="C22" s="2175" t="s">
        <v>1597</v>
      </c>
      <c r="D22" s="2170"/>
      <c r="E22" s="2859">
        <f>SUM(E8:E21)</f>
        <v>400124</v>
      </c>
      <c r="F22" s="270">
        <f>SUM(F8:F19)</f>
        <v>0</v>
      </c>
      <c r="G22" s="7190">
        <f>SUM(G8:G21)</f>
        <v>426012</v>
      </c>
      <c r="H22" s="2153">
        <f t="shared" si="1"/>
        <v>0</v>
      </c>
      <c r="I22" s="3407">
        <f t="shared" si="2"/>
        <v>826136</v>
      </c>
      <c r="J22" s="270">
        <f>SUM(J8:J19)</f>
        <v>0</v>
      </c>
      <c r="K22" s="4593">
        <f>SUM(K8:K21)</f>
        <v>312948</v>
      </c>
      <c r="L22" s="2152">
        <f t="shared" si="3"/>
        <v>0</v>
      </c>
      <c r="M22" s="2384">
        <f t="shared" si="0"/>
        <v>1139084</v>
      </c>
      <c r="N22" s="270">
        <f>SUM(N8:N19)</f>
        <v>0</v>
      </c>
      <c r="O22" s="4785">
        <f>SUM(O8:O21)</f>
        <v>453961</v>
      </c>
      <c r="P22" s="2153">
        <f t="shared" si="4"/>
        <v>0</v>
      </c>
      <c r="Q22" s="3413">
        <f t="shared" si="28"/>
        <v>1593045</v>
      </c>
      <c r="R22" s="4922">
        <f>SUM(R8:R19)</f>
        <v>0</v>
      </c>
      <c r="S22" s="4922">
        <f>SUM(S8:S21)</f>
        <v>425673</v>
      </c>
      <c r="T22" s="3413">
        <f t="shared" ref="T22:T24" si="39">+P22+R22</f>
        <v>0</v>
      </c>
      <c r="U22" s="3413">
        <f t="shared" si="7"/>
        <v>2018718</v>
      </c>
      <c r="V22" s="5047">
        <f>SUM(V8:V19)</f>
        <v>0</v>
      </c>
      <c r="W22" s="5047">
        <f>SUM(W8:W21)</f>
        <v>462307</v>
      </c>
      <c r="X22" s="3929"/>
      <c r="Y22" s="3107">
        <f t="shared" si="8"/>
        <v>1341941</v>
      </c>
      <c r="Z22" s="6160">
        <f t="shared" ref="Z22:Z24" si="40">+T22+V22</f>
        <v>0</v>
      </c>
      <c r="AA22" s="6160">
        <f t="shared" si="10"/>
        <v>2481025</v>
      </c>
      <c r="AB22" s="5362">
        <f>SUM(AB8:AB19)</f>
        <v>0</v>
      </c>
      <c r="AC22" s="5362">
        <f>SUM(AC8:AC21)</f>
        <v>486001</v>
      </c>
      <c r="AD22" s="3413">
        <f t="shared" ref="AD22:AD24" si="41">+Z22+AB22</f>
        <v>0</v>
      </c>
      <c r="AE22" s="3413">
        <f t="shared" si="12"/>
        <v>2967026</v>
      </c>
      <c r="AF22" s="5518">
        <f>SUM(AF8:AF19)</f>
        <v>0</v>
      </c>
      <c r="AG22" s="5518">
        <f>SUM(AG8:AG21)</f>
        <v>20121</v>
      </c>
      <c r="AH22" s="3413">
        <f t="shared" ref="AH22:AH24" si="42">+AD22+AF22</f>
        <v>0</v>
      </c>
      <c r="AI22" s="3413">
        <f t="shared" si="14"/>
        <v>2987147</v>
      </c>
      <c r="AJ22" s="5932">
        <f>SUM(AJ8:AJ19)</f>
        <v>0</v>
      </c>
      <c r="AK22" s="5932">
        <f>SUM(AK8:AK21)</f>
        <v>462307</v>
      </c>
      <c r="AL22" s="3929"/>
      <c r="AM22" s="3107">
        <f t="shared" si="15"/>
        <v>968429</v>
      </c>
      <c r="AN22" s="3413">
        <f t="shared" ref="AN22:AN24" si="43">+AH22+AJ22</f>
        <v>0</v>
      </c>
      <c r="AO22" s="3413">
        <f t="shared" si="17"/>
        <v>3449454</v>
      </c>
      <c r="AP22" s="6093">
        <f>SUM(AP8:AP19)</f>
        <v>0</v>
      </c>
      <c r="AQ22" s="6093">
        <f>SUM(AQ8:AQ21)</f>
        <v>434696</v>
      </c>
      <c r="AR22" s="3413">
        <f t="shared" ref="AR22:AR24" si="44">+AN22+AP22</f>
        <v>0</v>
      </c>
      <c r="AS22" s="3413">
        <f t="shared" si="19"/>
        <v>3884150</v>
      </c>
      <c r="AT22" s="6219">
        <f>SUM(AT8:AT19)</f>
        <v>0</v>
      </c>
      <c r="AU22" s="6219">
        <f>SUM(AU8:AU21)</f>
        <v>414569</v>
      </c>
      <c r="AV22" s="3413">
        <f t="shared" si="20"/>
        <v>0</v>
      </c>
      <c r="AW22" s="3413">
        <f t="shared" si="21"/>
        <v>4298719</v>
      </c>
      <c r="AX22" s="6426">
        <f>SUM(AX8:AX19)</f>
        <v>0</v>
      </c>
      <c r="AY22" s="6426">
        <f>SUM(AY8:AY21)</f>
        <v>501847</v>
      </c>
      <c r="AZ22" s="3929"/>
      <c r="BA22" s="3107">
        <f t="shared" si="22"/>
        <v>1351112</v>
      </c>
      <c r="BB22" s="6160">
        <f t="shared" ref="BB22:BB24" si="45">+AV22+AX22</f>
        <v>0</v>
      </c>
      <c r="BC22" s="6160">
        <f t="shared" si="38"/>
        <v>2319541</v>
      </c>
      <c r="BD22" s="3413">
        <f t="shared" si="25"/>
        <v>0</v>
      </c>
      <c r="BE22" s="3413">
        <f t="shared" si="26"/>
        <v>4800566</v>
      </c>
      <c r="BF22" s="5172"/>
      <c r="BG22" s="26"/>
      <c r="BH22" s="5172"/>
      <c r="BI22" s="5172"/>
      <c r="BJ22" s="5172"/>
      <c r="BK22" s="5172"/>
      <c r="BL22" s="5172"/>
      <c r="BM22" s="5172"/>
    </row>
    <row r="23" spans="2:75" ht="18.75" x14ac:dyDescent="0.25">
      <c r="B23" s="7637"/>
      <c r="C23" s="2175" t="s">
        <v>1598</v>
      </c>
      <c r="D23" s="2170"/>
      <c r="E23" s="270">
        <f>+E46+E47+E48</f>
        <v>8125</v>
      </c>
      <c r="F23" s="2170"/>
      <c r="G23" s="7190">
        <f>+G46+G47+G48</f>
        <v>12002</v>
      </c>
      <c r="H23" s="2153">
        <f t="shared" si="1"/>
        <v>0</v>
      </c>
      <c r="I23" s="3407">
        <f t="shared" si="2"/>
        <v>20127</v>
      </c>
      <c r="J23" s="2170"/>
      <c r="K23" s="4593">
        <f>+K46+K47+K48</f>
        <v>11562</v>
      </c>
      <c r="L23" s="2152">
        <f t="shared" si="3"/>
        <v>0</v>
      </c>
      <c r="M23" s="2384">
        <f t="shared" si="0"/>
        <v>31689</v>
      </c>
      <c r="N23" s="184"/>
      <c r="O23" s="4785">
        <f>+O46+O47+O48</f>
        <v>22429</v>
      </c>
      <c r="P23" s="2153">
        <f t="shared" si="4"/>
        <v>0</v>
      </c>
      <c r="Q23" s="3413">
        <f t="shared" si="28"/>
        <v>54118</v>
      </c>
      <c r="R23" s="184"/>
      <c r="S23" s="4922">
        <f>+S46+S47+S48</f>
        <v>18620</v>
      </c>
      <c r="T23" s="3413">
        <f t="shared" si="39"/>
        <v>0</v>
      </c>
      <c r="U23" s="3413">
        <f t="shared" si="7"/>
        <v>72738</v>
      </c>
      <c r="V23" s="184"/>
      <c r="W23" s="5047">
        <f>+W46+W47+W48</f>
        <v>11638</v>
      </c>
      <c r="X23" s="3929"/>
      <c r="Y23" s="3107">
        <f t="shared" si="8"/>
        <v>52687</v>
      </c>
      <c r="Z23" s="6160">
        <f t="shared" si="40"/>
        <v>0</v>
      </c>
      <c r="AA23" s="6160">
        <f t="shared" si="10"/>
        <v>84376</v>
      </c>
      <c r="AB23" s="184"/>
      <c r="AC23" s="5362">
        <f>+AC46+AC47+AC48</f>
        <v>19220</v>
      </c>
      <c r="AD23" s="3413">
        <f t="shared" si="41"/>
        <v>0</v>
      </c>
      <c r="AE23" s="3413">
        <f t="shared" si="12"/>
        <v>103596</v>
      </c>
      <c r="AF23" s="184"/>
      <c r="AG23" s="5518">
        <f>+AG46+AG47+AG48</f>
        <v>2068</v>
      </c>
      <c r="AH23" s="3413">
        <f t="shared" si="42"/>
        <v>0</v>
      </c>
      <c r="AI23" s="3413">
        <f t="shared" si="14"/>
        <v>105664</v>
      </c>
      <c r="AJ23" s="184"/>
      <c r="AK23" s="5932">
        <f>+AK46+AK47+AK48</f>
        <v>17515</v>
      </c>
      <c r="AL23" s="3929"/>
      <c r="AM23" s="3107">
        <f t="shared" si="15"/>
        <v>38803</v>
      </c>
      <c r="AN23" s="3413">
        <f t="shared" si="43"/>
        <v>0</v>
      </c>
      <c r="AO23" s="3413">
        <f t="shared" si="17"/>
        <v>123179</v>
      </c>
      <c r="AP23" s="184"/>
      <c r="AQ23" s="6093">
        <f>+AQ46+AQ47+AQ48</f>
        <v>19081</v>
      </c>
      <c r="AR23" s="3413">
        <f t="shared" si="44"/>
        <v>0</v>
      </c>
      <c r="AS23" s="3413">
        <f t="shared" si="19"/>
        <v>142260</v>
      </c>
      <c r="AT23" s="184"/>
      <c r="AU23" s="6219">
        <f>+AU46+AU47+AU48</f>
        <v>13481</v>
      </c>
      <c r="AV23" s="3413">
        <f t="shared" si="20"/>
        <v>0</v>
      </c>
      <c r="AW23" s="3413">
        <f t="shared" si="21"/>
        <v>155741</v>
      </c>
      <c r="AX23" s="184"/>
      <c r="AY23" s="6426">
        <f>+AY46+AY47+AY48</f>
        <v>19371</v>
      </c>
      <c r="AZ23" s="3929"/>
      <c r="BA23" s="3107">
        <f t="shared" si="22"/>
        <v>51933</v>
      </c>
      <c r="BB23" s="6160">
        <f t="shared" si="45"/>
        <v>0</v>
      </c>
      <c r="BC23" s="6160">
        <f t="shared" si="38"/>
        <v>90736</v>
      </c>
      <c r="BD23" s="3413">
        <f t="shared" si="25"/>
        <v>0</v>
      </c>
      <c r="BE23" s="3413">
        <f t="shared" si="26"/>
        <v>175112</v>
      </c>
      <c r="BF23" s="5172"/>
      <c r="BG23" s="26"/>
      <c r="BH23" s="5172"/>
      <c r="BI23" s="5172"/>
      <c r="BJ23" s="5172"/>
      <c r="BK23" s="5172"/>
      <c r="BL23" s="5172"/>
      <c r="BM23" s="5172"/>
    </row>
    <row r="24" spans="2:75" ht="18.75" x14ac:dyDescent="0.25">
      <c r="B24" s="7638"/>
      <c r="C24" s="6646" t="s">
        <v>1599</v>
      </c>
      <c r="D24" s="2170"/>
      <c r="E24" s="270">
        <f>SUM(E22:E23)</f>
        <v>408249</v>
      </c>
      <c r="F24" s="2170"/>
      <c r="G24" s="7190">
        <f>SUM(G22:G23)</f>
        <v>438014</v>
      </c>
      <c r="H24" s="2153">
        <f t="shared" si="1"/>
        <v>0</v>
      </c>
      <c r="I24" s="3407">
        <f t="shared" si="2"/>
        <v>846263</v>
      </c>
      <c r="J24" s="270">
        <f t="shared" ref="J24:N24" si="46">SUM(J22:J23)</f>
        <v>0</v>
      </c>
      <c r="K24" s="4593">
        <f>SUM(K22:K23)</f>
        <v>324510</v>
      </c>
      <c r="L24" s="2152">
        <f t="shared" si="3"/>
        <v>0</v>
      </c>
      <c r="M24" s="2384">
        <f t="shared" si="0"/>
        <v>1170773</v>
      </c>
      <c r="N24" s="270">
        <f t="shared" si="46"/>
        <v>0</v>
      </c>
      <c r="O24" s="4785">
        <f>SUM(O22:O23)</f>
        <v>476390</v>
      </c>
      <c r="P24" s="2153">
        <f t="shared" si="4"/>
        <v>0</v>
      </c>
      <c r="Q24" s="3413">
        <f t="shared" si="28"/>
        <v>1647163</v>
      </c>
      <c r="R24" s="4922">
        <f t="shared" ref="R24" si="47">SUM(R22:R23)</f>
        <v>0</v>
      </c>
      <c r="S24" s="4922">
        <f>SUM(S22:S23)</f>
        <v>444293</v>
      </c>
      <c r="T24" s="3413">
        <f t="shared" si="39"/>
        <v>0</v>
      </c>
      <c r="U24" s="3413">
        <f t="shared" si="7"/>
        <v>2091456</v>
      </c>
      <c r="V24" s="5047">
        <f t="shared" ref="V24" si="48">SUM(V22:V23)</f>
        <v>0</v>
      </c>
      <c r="W24" s="5047">
        <f>SUM(W22:W23)</f>
        <v>473945</v>
      </c>
      <c r="X24" s="3929"/>
      <c r="Y24" s="3107">
        <f t="shared" si="8"/>
        <v>1394628</v>
      </c>
      <c r="Z24" s="6160">
        <f t="shared" si="40"/>
        <v>0</v>
      </c>
      <c r="AA24" s="6160">
        <f t="shared" si="10"/>
        <v>2565401</v>
      </c>
      <c r="AB24" s="5362">
        <f t="shared" ref="AB24" si="49">SUM(AB22:AB23)</f>
        <v>0</v>
      </c>
      <c r="AC24" s="5362">
        <f>SUM(AC22:AC23)</f>
        <v>505221</v>
      </c>
      <c r="AD24" s="3413">
        <f t="shared" si="41"/>
        <v>0</v>
      </c>
      <c r="AE24" s="3413">
        <f t="shared" si="12"/>
        <v>3070622</v>
      </c>
      <c r="AF24" s="5518">
        <f t="shared" ref="AF24" si="50">SUM(AF22:AF23)</f>
        <v>0</v>
      </c>
      <c r="AG24" s="5518">
        <f>SUM(AG22:AG23)</f>
        <v>22189</v>
      </c>
      <c r="AH24" s="3413">
        <f t="shared" si="42"/>
        <v>0</v>
      </c>
      <c r="AI24" s="3413">
        <f t="shared" si="14"/>
        <v>3092811</v>
      </c>
      <c r="AJ24" s="5932">
        <f t="shared" ref="AJ24" si="51">SUM(AJ22:AJ23)</f>
        <v>0</v>
      </c>
      <c r="AK24" s="5932">
        <f>SUM(AK22:AK23)</f>
        <v>479822</v>
      </c>
      <c r="AL24" s="3929"/>
      <c r="AM24" s="3107">
        <f t="shared" si="15"/>
        <v>1007232</v>
      </c>
      <c r="AN24" s="3413">
        <f t="shared" si="43"/>
        <v>0</v>
      </c>
      <c r="AO24" s="3413">
        <f t="shared" si="17"/>
        <v>3572633</v>
      </c>
      <c r="AP24" s="6093">
        <f t="shared" ref="AP24" si="52">SUM(AP22:AP23)</f>
        <v>0</v>
      </c>
      <c r="AQ24" s="6093">
        <f>SUM(AQ22:AQ23)</f>
        <v>453777</v>
      </c>
      <c r="AR24" s="3413">
        <f t="shared" si="44"/>
        <v>0</v>
      </c>
      <c r="AS24" s="3413">
        <f t="shared" si="19"/>
        <v>4026410</v>
      </c>
      <c r="AT24" s="6219">
        <f t="shared" ref="AT24" si="53">SUM(AT22:AT23)</f>
        <v>0</v>
      </c>
      <c r="AU24" s="6219">
        <f>SUM(AU22:AU23)</f>
        <v>428050</v>
      </c>
      <c r="AV24" s="3413">
        <f t="shared" si="20"/>
        <v>0</v>
      </c>
      <c r="AW24" s="3413">
        <f t="shared" si="21"/>
        <v>4454460</v>
      </c>
      <c r="AX24" s="6426">
        <f t="shared" ref="AX24" si="54">SUM(AX22:AX23)</f>
        <v>0</v>
      </c>
      <c r="AY24" s="6426">
        <f>SUM(AY22:AY23)</f>
        <v>521218</v>
      </c>
      <c r="AZ24" s="3929"/>
      <c r="BA24" s="3107">
        <f t="shared" si="22"/>
        <v>1403045</v>
      </c>
      <c r="BB24" s="6160">
        <f t="shared" si="45"/>
        <v>0</v>
      </c>
      <c r="BC24" s="6160">
        <f t="shared" si="38"/>
        <v>2410277</v>
      </c>
      <c r="BD24" s="3413">
        <f t="shared" si="25"/>
        <v>0</v>
      </c>
      <c r="BE24" s="3413">
        <f t="shared" si="26"/>
        <v>4975678</v>
      </c>
      <c r="BF24" s="5172"/>
      <c r="BG24" s="26"/>
      <c r="BH24" s="5172"/>
      <c r="BI24" s="5172"/>
      <c r="BJ24" s="5172"/>
      <c r="BK24" s="5172"/>
      <c r="BL24" s="5172"/>
      <c r="BM24" s="5172"/>
    </row>
    <row r="25" spans="2:75" ht="18.75" x14ac:dyDescent="0.3">
      <c r="B25" s="2190"/>
      <c r="C25" s="2176"/>
      <c r="D25" s="950"/>
      <c r="E25" s="2357"/>
      <c r="F25" s="2357"/>
      <c r="G25" s="2357"/>
      <c r="H25" s="2357"/>
      <c r="I25" s="2357"/>
      <c r="J25" s="2357"/>
      <c r="K25" s="2357"/>
      <c r="L25" s="2357"/>
      <c r="M25" s="2357"/>
      <c r="N25" s="2357"/>
      <c r="O25" s="2357"/>
      <c r="P25" s="2357"/>
      <c r="Q25" s="2357"/>
      <c r="R25" s="2357"/>
      <c r="S25" s="2357"/>
      <c r="T25" s="2357"/>
      <c r="U25" s="2357"/>
      <c r="V25" s="2357"/>
      <c r="W25" s="2357"/>
      <c r="X25" s="5058"/>
      <c r="Y25" s="403"/>
      <c r="Z25" s="2357"/>
      <c r="AA25" s="2357"/>
      <c r="AB25" s="2357"/>
      <c r="AC25" s="2357"/>
      <c r="AD25" s="2357"/>
      <c r="AE25" s="2357"/>
      <c r="AF25" s="2357"/>
      <c r="AG25" s="2357"/>
      <c r="AH25" s="2357"/>
      <c r="AI25" s="2357"/>
      <c r="AJ25" s="2357"/>
      <c r="AK25" s="2357"/>
      <c r="AL25" s="5058"/>
      <c r="AM25" s="403"/>
      <c r="AN25" s="2357"/>
      <c r="AO25" s="2357"/>
      <c r="AP25" s="2357"/>
      <c r="AQ25" s="2357"/>
      <c r="AR25" s="2357"/>
      <c r="AS25" s="2357"/>
      <c r="AT25" s="2357"/>
      <c r="AU25" s="2357"/>
      <c r="AV25" s="2357"/>
      <c r="AW25" s="2357"/>
      <c r="AX25" s="2357"/>
      <c r="AY25" s="2357"/>
      <c r="AZ25" s="5058"/>
      <c r="BA25" s="403"/>
      <c r="BB25" s="2357"/>
      <c r="BC25" s="2357"/>
      <c r="BD25" s="2357"/>
      <c r="BE25" s="2357"/>
      <c r="BF25" s="5172"/>
      <c r="BG25" s="26"/>
      <c r="BH25" s="5172"/>
      <c r="BI25" s="5172"/>
      <c r="BJ25" s="5172"/>
      <c r="BK25" s="5172"/>
      <c r="BL25" s="5172"/>
      <c r="BM25" s="5172"/>
    </row>
    <row r="26" spans="2:75" s="2637" customFormat="1" ht="18.75" x14ac:dyDescent="0.3">
      <c r="B26" s="2640"/>
      <c r="C26" s="2176"/>
      <c r="D26" s="950"/>
      <c r="E26" s="2357"/>
      <c r="F26" s="2357"/>
      <c r="G26" s="2357"/>
      <c r="H26" s="2357"/>
      <c r="I26" s="2357"/>
      <c r="J26" s="2357"/>
      <c r="K26" s="2357"/>
      <c r="L26" s="2357"/>
      <c r="M26" s="2357"/>
      <c r="N26" s="2357"/>
      <c r="O26" s="2357"/>
      <c r="P26" s="2357"/>
      <c r="Q26" s="2357"/>
      <c r="R26" s="2357"/>
      <c r="S26" s="2357"/>
      <c r="T26" s="2357"/>
      <c r="U26" s="2357"/>
      <c r="V26" s="2357"/>
      <c r="W26" s="2357"/>
      <c r="X26" s="5058"/>
      <c r="Y26" s="403"/>
      <c r="Z26" s="2357"/>
      <c r="AA26" s="2357"/>
      <c r="AB26" s="2357"/>
      <c r="AC26" s="2357"/>
      <c r="AD26" s="2357"/>
      <c r="AE26" s="2357"/>
      <c r="AF26" s="2357"/>
      <c r="AG26" s="2357"/>
      <c r="AH26" s="2357"/>
      <c r="AI26" s="2357"/>
      <c r="AJ26" s="2357"/>
      <c r="AK26" s="2357"/>
      <c r="AL26" s="5058"/>
      <c r="AM26" s="403"/>
      <c r="AN26" s="2357"/>
      <c r="AO26" s="2357"/>
      <c r="AP26" s="2357"/>
      <c r="AQ26" s="2357"/>
      <c r="AR26" s="2357"/>
      <c r="AS26" s="2357"/>
      <c r="AT26" s="2357"/>
      <c r="AU26" s="2357"/>
      <c r="AV26" s="2357"/>
      <c r="AW26" s="2357"/>
      <c r="AX26" s="2357"/>
      <c r="AY26" s="2357"/>
      <c r="AZ26" s="5058"/>
      <c r="BA26" s="403"/>
      <c r="BB26" s="2357"/>
      <c r="BC26" s="2357"/>
      <c r="BD26" s="2357"/>
      <c r="BE26" s="2357"/>
      <c r="BF26" s="5172"/>
      <c r="BG26" s="26"/>
      <c r="BH26" s="5172"/>
      <c r="BI26" s="5172"/>
      <c r="BJ26" s="5172"/>
      <c r="BK26" s="5172"/>
      <c r="BL26" s="5172"/>
      <c r="BM26" s="5172"/>
    </row>
    <row r="27" spans="2:75" ht="18.75" x14ac:dyDescent="0.3">
      <c r="B27" s="7639" t="s">
        <v>1600</v>
      </c>
      <c r="C27" s="2177" t="s">
        <v>1601</v>
      </c>
      <c r="D27" s="2171"/>
      <c r="E27" s="2357"/>
      <c r="F27" s="2357"/>
      <c r="G27" s="2357"/>
      <c r="H27" s="2357"/>
      <c r="I27" s="2357"/>
      <c r="J27" s="2357"/>
      <c r="K27" s="2357"/>
      <c r="L27" s="2357"/>
      <c r="M27" s="2357"/>
      <c r="N27" s="2357"/>
      <c r="O27" s="2357"/>
      <c r="P27" s="2357"/>
      <c r="Q27" s="2357"/>
      <c r="R27" s="2357"/>
      <c r="S27" s="2357"/>
      <c r="T27" s="2357"/>
      <c r="U27" s="2357"/>
      <c r="V27" s="2357"/>
      <c r="W27" s="2357"/>
      <c r="X27" s="5058"/>
      <c r="Y27" s="403"/>
      <c r="Z27" s="2357"/>
      <c r="AA27" s="2357"/>
      <c r="AB27" s="2357"/>
      <c r="AC27" s="2357"/>
      <c r="AD27" s="2357"/>
      <c r="AE27" s="2357"/>
      <c r="AF27" s="2357"/>
      <c r="AG27" s="2357"/>
      <c r="AH27" s="2357"/>
      <c r="AI27" s="2357"/>
      <c r="AJ27" s="2357"/>
      <c r="AK27" s="2357"/>
      <c r="AL27" s="5058"/>
      <c r="AM27" s="403"/>
      <c r="AN27" s="2357"/>
      <c r="AO27" s="2357"/>
      <c r="AP27" s="2357"/>
      <c r="AQ27" s="2357"/>
      <c r="AR27" s="2357"/>
      <c r="AS27" s="2357"/>
      <c r="AT27" s="2357"/>
      <c r="AU27" s="2357"/>
      <c r="AV27" s="2357"/>
      <c r="AW27" s="2357"/>
      <c r="AX27" s="2357"/>
      <c r="AY27" s="2357"/>
      <c r="AZ27" s="5058"/>
      <c r="BA27" s="403"/>
      <c r="BB27" s="2357"/>
      <c r="BC27" s="2357"/>
      <c r="BD27" s="2357"/>
      <c r="BE27" s="2357"/>
      <c r="BF27" s="5172"/>
      <c r="BG27" s="26"/>
      <c r="BH27" s="5172"/>
      <c r="BI27" s="5172"/>
      <c r="BJ27" s="5172"/>
      <c r="BK27" s="5172"/>
      <c r="BL27" s="5172"/>
      <c r="BM27" s="5172"/>
    </row>
    <row r="28" spans="2:75" s="149" customFormat="1" ht="18.75" x14ac:dyDescent="0.25">
      <c r="B28" s="7640"/>
      <c r="C28" s="2173" t="s">
        <v>1010</v>
      </c>
      <c r="D28" s="1713"/>
      <c r="E28" s="2151">
        <v>60954</v>
      </c>
      <c r="F28" s="2151"/>
      <c r="G28" s="4137">
        <v>66242</v>
      </c>
      <c r="H28" s="2153">
        <f t="shared" si="1"/>
        <v>0</v>
      </c>
      <c r="I28" s="3407">
        <f t="shared" si="2"/>
        <v>127196</v>
      </c>
      <c r="J28" s="2151"/>
      <c r="K28" s="4137">
        <v>46620</v>
      </c>
      <c r="L28" s="2152">
        <f t="shared" si="3"/>
        <v>0</v>
      </c>
      <c r="M28" s="2384">
        <f>E28+G28+K28</f>
        <v>173816</v>
      </c>
      <c r="N28" s="2183"/>
      <c r="O28" s="4137">
        <v>70318</v>
      </c>
      <c r="P28" s="2153">
        <f t="shared" si="4"/>
        <v>0</v>
      </c>
      <c r="Q28" s="2153">
        <f t="shared" si="28"/>
        <v>244134</v>
      </c>
      <c r="R28" s="2183"/>
      <c r="S28" s="4137">
        <v>67610</v>
      </c>
      <c r="T28" s="3413">
        <f t="shared" ref="T28:T31" si="55">+P28+R28</f>
        <v>0</v>
      </c>
      <c r="U28" s="3413">
        <f t="shared" ref="U28:U31" si="56">+Q28+S28</f>
        <v>311744</v>
      </c>
      <c r="V28" s="2183"/>
      <c r="W28" s="4137">
        <v>74243</v>
      </c>
      <c r="X28" s="4668"/>
      <c r="Y28" s="3107">
        <f t="shared" si="8"/>
        <v>212171</v>
      </c>
      <c r="Z28" s="6160">
        <f t="shared" ref="Z28:Z31" si="57">+T28+V28</f>
        <v>0</v>
      </c>
      <c r="AA28" s="6160">
        <f t="shared" ref="AA28:AA31" si="58">+U28+W28</f>
        <v>385987</v>
      </c>
      <c r="AB28" s="2183"/>
      <c r="AC28" s="4137">
        <v>75501</v>
      </c>
      <c r="AD28" s="3413">
        <f t="shared" ref="AD28:AD31" si="59">+Z28+AB28</f>
        <v>0</v>
      </c>
      <c r="AE28" s="3413">
        <f t="shared" ref="AE28:AE31" si="60">+AA28+AC28</f>
        <v>461488</v>
      </c>
      <c r="AF28" s="2183"/>
      <c r="AG28" s="4137">
        <v>3021</v>
      </c>
      <c r="AH28" s="3413">
        <f t="shared" ref="AH28:AH31" si="61">+AD28+AF28</f>
        <v>0</v>
      </c>
      <c r="AI28" s="3413">
        <f t="shared" ref="AI28:AI31" si="62">+AE28+AG28</f>
        <v>464509</v>
      </c>
      <c r="AJ28" s="2183"/>
      <c r="AK28" s="4137">
        <v>73124</v>
      </c>
      <c r="AL28" s="5173"/>
      <c r="AM28" s="3107">
        <f t="shared" si="15"/>
        <v>151646</v>
      </c>
      <c r="AN28" s="3413">
        <f t="shared" ref="AN28:AN31" si="63">+AH28+AJ28</f>
        <v>0</v>
      </c>
      <c r="AO28" s="3413">
        <f t="shared" ref="AO28:AO31" si="64">+AI28+AK28</f>
        <v>537633</v>
      </c>
      <c r="AP28" s="2183"/>
      <c r="AQ28" s="4137">
        <v>70214</v>
      </c>
      <c r="AR28" s="3413">
        <f t="shared" ref="AR28:AR31" si="65">+AN28+AP28</f>
        <v>0</v>
      </c>
      <c r="AS28" s="3413">
        <f t="shared" ref="AS28:AS31" si="66">+AO28+AQ28</f>
        <v>607847</v>
      </c>
      <c r="AT28" s="2183"/>
      <c r="AU28" s="4137">
        <v>70069</v>
      </c>
      <c r="AV28" s="3413">
        <f t="shared" ref="AV28:AV31" si="67">+AR28+AT28</f>
        <v>0</v>
      </c>
      <c r="AW28" s="3413">
        <f t="shared" ref="AW28:AW31" si="68">+AS28+AU28</f>
        <v>677916</v>
      </c>
      <c r="AX28" s="2183"/>
      <c r="AY28" s="4137">
        <v>82771</v>
      </c>
      <c r="AZ28" s="5173"/>
      <c r="BA28" s="3107">
        <f t="shared" si="22"/>
        <v>223054</v>
      </c>
      <c r="BB28" s="6160">
        <f t="shared" ref="BB28:BB31" si="69">+AV28+AX28</f>
        <v>0</v>
      </c>
      <c r="BC28" s="6160">
        <f t="shared" ref="BC28:BC31" si="70">AM28+BA28</f>
        <v>374700</v>
      </c>
      <c r="BD28" s="3413">
        <f t="shared" ref="BD28:BD31" si="71">+AV28+AX28</f>
        <v>0</v>
      </c>
      <c r="BE28" s="3413">
        <f t="shared" ref="BE28:BE31" si="72">+AW28+AY28</f>
        <v>760687</v>
      </c>
      <c r="BF28" s="5172"/>
      <c r="BG28" s="26"/>
      <c r="BH28" s="5172"/>
      <c r="BI28" s="5172"/>
      <c r="BJ28" s="5172"/>
      <c r="BK28" s="5172"/>
      <c r="BL28" s="5172"/>
      <c r="BM28" s="5172"/>
    </row>
    <row r="29" spans="2:75" s="149" customFormat="1" ht="18.75" x14ac:dyDescent="0.25">
      <c r="B29" s="7640"/>
      <c r="C29" s="2173" t="s">
        <v>1011</v>
      </c>
      <c r="D29" s="1713"/>
      <c r="E29" s="2151">
        <v>12534</v>
      </c>
      <c r="F29" s="1713"/>
      <c r="G29" s="4137">
        <v>11501</v>
      </c>
      <c r="H29" s="2153">
        <f t="shared" si="1"/>
        <v>0</v>
      </c>
      <c r="I29" s="3407">
        <f t="shared" si="2"/>
        <v>24035</v>
      </c>
      <c r="J29" s="1713"/>
      <c r="K29" s="207">
        <v>8551.4456928914951</v>
      </c>
      <c r="L29" s="2152">
        <f t="shared" si="3"/>
        <v>0</v>
      </c>
      <c r="M29" s="3121">
        <f>E29+G29+K29</f>
        <v>32586.445692891495</v>
      </c>
      <c r="N29" s="2184"/>
      <c r="O29" s="207">
        <v>8852.1447098037061</v>
      </c>
      <c r="P29" s="2153">
        <f t="shared" si="4"/>
        <v>0</v>
      </c>
      <c r="Q29" s="4134">
        <f t="shared" si="28"/>
        <v>41438.590402695205</v>
      </c>
      <c r="R29" s="2184"/>
      <c r="S29" s="207">
        <v>10020</v>
      </c>
      <c r="T29" s="3413">
        <f t="shared" si="55"/>
        <v>0</v>
      </c>
      <c r="U29" s="4134">
        <f t="shared" si="56"/>
        <v>51458.590402695205</v>
      </c>
      <c r="V29" s="2184"/>
      <c r="W29" s="207">
        <v>11500</v>
      </c>
      <c r="X29" s="3314"/>
      <c r="Y29" s="3121">
        <f t="shared" si="8"/>
        <v>30372.144709803706</v>
      </c>
      <c r="Z29" s="6160">
        <f t="shared" si="57"/>
        <v>0</v>
      </c>
      <c r="AA29" s="497">
        <f t="shared" si="58"/>
        <v>62958.590402695205</v>
      </c>
      <c r="AB29" s="2184"/>
      <c r="AC29" s="207">
        <v>8674</v>
      </c>
      <c r="AD29" s="3413">
        <f t="shared" si="59"/>
        <v>0</v>
      </c>
      <c r="AE29" s="4134">
        <f t="shared" si="60"/>
        <v>71632.590402695205</v>
      </c>
      <c r="AF29" s="2184"/>
      <c r="AG29" s="207">
        <v>1092</v>
      </c>
      <c r="AH29" s="3413">
        <f t="shared" si="61"/>
        <v>0</v>
      </c>
      <c r="AI29" s="4134">
        <f t="shared" si="62"/>
        <v>72724.590402695205</v>
      </c>
      <c r="AJ29" s="2184"/>
      <c r="AK29" s="207">
        <v>9992.1024621952165</v>
      </c>
      <c r="AL29" s="3314"/>
      <c r="AM29" s="3121">
        <f t="shared" si="15"/>
        <v>19758.102462195217</v>
      </c>
      <c r="AN29" s="3413">
        <f t="shared" si="63"/>
        <v>0</v>
      </c>
      <c r="AO29" s="4134">
        <f t="shared" si="64"/>
        <v>82716.692864890414</v>
      </c>
      <c r="AP29" s="2184"/>
      <c r="AQ29" s="207">
        <v>10835</v>
      </c>
      <c r="AR29" s="3413">
        <f t="shared" si="65"/>
        <v>0</v>
      </c>
      <c r="AS29" s="4134">
        <f t="shared" si="66"/>
        <v>93551.692864890414</v>
      </c>
      <c r="AT29" s="2184"/>
      <c r="AU29" s="207">
        <v>10245</v>
      </c>
      <c r="AV29" s="3413">
        <f t="shared" si="67"/>
        <v>0</v>
      </c>
      <c r="AW29" s="4134">
        <f t="shared" si="68"/>
        <v>103796.69286489041</v>
      </c>
      <c r="AX29" s="2184"/>
      <c r="AY29" s="207">
        <v>10423</v>
      </c>
      <c r="AZ29" s="3314"/>
      <c r="BA29" s="3121">
        <f t="shared" si="22"/>
        <v>31503</v>
      </c>
      <c r="BB29" s="6160">
        <f t="shared" si="69"/>
        <v>0</v>
      </c>
      <c r="BC29" s="497">
        <f t="shared" si="70"/>
        <v>51261.102462195217</v>
      </c>
      <c r="BD29" s="3413">
        <f t="shared" si="71"/>
        <v>0</v>
      </c>
      <c r="BE29" s="4134">
        <f t="shared" si="72"/>
        <v>114219.69286489041</v>
      </c>
      <c r="BF29" s="5172"/>
      <c r="BG29" s="26"/>
      <c r="BH29" s="5172"/>
      <c r="BI29" s="5172"/>
      <c r="BJ29" s="5172"/>
      <c r="BK29" s="5172"/>
      <c r="BL29" s="5172"/>
      <c r="BM29" s="5172"/>
      <c r="BN29" s="5172"/>
      <c r="BO29" s="5172"/>
      <c r="BP29" s="5172"/>
      <c r="BQ29" s="5172"/>
      <c r="BR29" s="5172"/>
      <c r="BS29" s="5172"/>
      <c r="BT29" s="5172"/>
      <c r="BU29" s="5172"/>
      <c r="BV29" s="5172"/>
      <c r="BW29" s="5172"/>
    </row>
    <row r="30" spans="2:75" ht="18.75" x14ac:dyDescent="0.25">
      <c r="B30" s="7640"/>
      <c r="C30" s="2173" t="s">
        <v>1012</v>
      </c>
      <c r="D30" s="1713"/>
      <c r="E30" s="2151">
        <v>3716</v>
      </c>
      <c r="F30" s="1713"/>
      <c r="G30" s="4137">
        <v>6799</v>
      </c>
      <c r="H30" s="2153">
        <f t="shared" si="1"/>
        <v>0</v>
      </c>
      <c r="I30" s="3407">
        <f t="shared" si="2"/>
        <v>10515</v>
      </c>
      <c r="J30" s="1713"/>
      <c r="K30" s="4137">
        <v>8122</v>
      </c>
      <c r="L30" s="2152">
        <f t="shared" si="3"/>
        <v>0</v>
      </c>
      <c r="M30" s="2384">
        <f>E30+G30+K30</f>
        <v>18637</v>
      </c>
      <c r="N30" s="2184"/>
      <c r="O30" s="4137">
        <v>9722</v>
      </c>
      <c r="P30" s="2153">
        <f t="shared" si="4"/>
        <v>0</v>
      </c>
      <c r="Q30" s="3413">
        <f t="shared" si="28"/>
        <v>28359</v>
      </c>
      <c r="R30" s="2184"/>
      <c r="S30" s="4137">
        <v>8347</v>
      </c>
      <c r="T30" s="3413">
        <f t="shared" si="55"/>
        <v>0</v>
      </c>
      <c r="U30" s="3413">
        <f t="shared" si="56"/>
        <v>36706</v>
      </c>
      <c r="V30" s="2184"/>
      <c r="W30" s="4137">
        <v>11211</v>
      </c>
      <c r="X30" s="4668"/>
      <c r="Y30" s="3107">
        <f t="shared" si="8"/>
        <v>29280</v>
      </c>
      <c r="Z30" s="6160">
        <f t="shared" si="57"/>
        <v>0</v>
      </c>
      <c r="AA30" s="6160">
        <f t="shared" si="58"/>
        <v>47917</v>
      </c>
      <c r="AB30" s="2184"/>
      <c r="AC30" s="4137">
        <v>10011</v>
      </c>
      <c r="AD30" s="3413">
        <f t="shared" si="59"/>
        <v>0</v>
      </c>
      <c r="AE30" s="3413">
        <f t="shared" si="60"/>
        <v>57928</v>
      </c>
      <c r="AF30" s="2184"/>
      <c r="AG30" s="4137">
        <v>745</v>
      </c>
      <c r="AH30" s="3413">
        <f t="shared" si="61"/>
        <v>0</v>
      </c>
      <c r="AI30" s="3413">
        <f t="shared" si="62"/>
        <v>58673</v>
      </c>
      <c r="AJ30" s="2184"/>
      <c r="AK30" s="4137">
        <v>10541</v>
      </c>
      <c r="AL30" s="5173"/>
      <c r="AM30" s="3107">
        <f t="shared" si="15"/>
        <v>21297</v>
      </c>
      <c r="AN30" s="3413">
        <f t="shared" si="63"/>
        <v>0</v>
      </c>
      <c r="AO30" s="3413">
        <f t="shared" si="64"/>
        <v>69214</v>
      </c>
      <c r="AP30" s="2184"/>
      <c r="AQ30" s="4137">
        <v>11247</v>
      </c>
      <c r="AR30" s="3413">
        <f t="shared" si="65"/>
        <v>0</v>
      </c>
      <c r="AS30" s="3413">
        <f t="shared" si="66"/>
        <v>80461</v>
      </c>
      <c r="AT30" s="2184"/>
      <c r="AU30" s="4137">
        <v>10641</v>
      </c>
      <c r="AV30" s="3413">
        <f t="shared" si="67"/>
        <v>0</v>
      </c>
      <c r="AW30" s="3413">
        <f t="shared" si="68"/>
        <v>91102</v>
      </c>
      <c r="AX30" s="2184"/>
      <c r="AY30" s="4137">
        <v>7988</v>
      </c>
      <c r="AZ30" s="5173"/>
      <c r="BA30" s="3107">
        <f t="shared" si="22"/>
        <v>29876</v>
      </c>
      <c r="BB30" s="6160">
        <f t="shared" si="69"/>
        <v>0</v>
      </c>
      <c r="BC30" s="6160">
        <f t="shared" si="70"/>
        <v>51173</v>
      </c>
      <c r="BD30" s="3413">
        <f t="shared" si="71"/>
        <v>0</v>
      </c>
      <c r="BE30" s="3413">
        <f t="shared" si="72"/>
        <v>99090</v>
      </c>
      <c r="BF30" s="5172"/>
      <c r="BG30" s="26"/>
      <c r="BH30" s="5172"/>
      <c r="BI30" s="5172"/>
      <c r="BJ30" s="5172"/>
      <c r="BK30" s="5172"/>
      <c r="BL30" s="5172"/>
      <c r="BM30" s="5172"/>
      <c r="BN30" s="5172"/>
      <c r="BO30" s="5172"/>
      <c r="BP30" s="5172"/>
      <c r="BQ30" s="5172"/>
      <c r="BR30" s="5172"/>
      <c r="BS30" s="5172"/>
      <c r="BT30" s="5172"/>
      <c r="BU30" s="5172"/>
      <c r="BV30" s="5172"/>
      <c r="BW30" s="5172"/>
    </row>
    <row r="31" spans="2:75" ht="18.75" x14ac:dyDescent="0.25">
      <c r="B31" s="7640"/>
      <c r="C31" s="2173" t="s">
        <v>1313</v>
      </c>
      <c r="D31" s="1713"/>
      <c r="E31" s="2151">
        <v>621</v>
      </c>
      <c r="F31" s="1713"/>
      <c r="G31" s="4137">
        <v>1293</v>
      </c>
      <c r="H31" s="2153">
        <f t="shared" si="1"/>
        <v>0</v>
      </c>
      <c r="I31" s="3407">
        <f t="shared" si="2"/>
        <v>1914</v>
      </c>
      <c r="J31" s="1713"/>
      <c r="K31" s="4137">
        <v>230</v>
      </c>
      <c r="L31" s="2152">
        <f t="shared" si="3"/>
        <v>0</v>
      </c>
      <c r="M31" s="2384">
        <f>E31+G31+K31</f>
        <v>2144</v>
      </c>
      <c r="N31" s="2184"/>
      <c r="O31" s="4137">
        <v>768</v>
      </c>
      <c r="P31" s="2153">
        <f t="shared" si="4"/>
        <v>0</v>
      </c>
      <c r="Q31" s="3413">
        <f t="shared" si="28"/>
        <v>2912</v>
      </c>
      <c r="R31" s="2184"/>
      <c r="S31" s="4137">
        <v>822</v>
      </c>
      <c r="T31" s="3413">
        <f t="shared" si="55"/>
        <v>0</v>
      </c>
      <c r="U31" s="3413">
        <f t="shared" si="56"/>
        <v>3734</v>
      </c>
      <c r="V31" s="2184"/>
      <c r="W31" s="4137">
        <v>803</v>
      </c>
      <c r="X31" s="4668"/>
      <c r="Y31" s="3107">
        <f t="shared" si="8"/>
        <v>2393</v>
      </c>
      <c r="Z31" s="6160">
        <f t="shared" si="57"/>
        <v>0</v>
      </c>
      <c r="AA31" s="6160">
        <f t="shared" si="58"/>
        <v>4537</v>
      </c>
      <c r="AB31" s="2184"/>
      <c r="AC31" s="4137">
        <v>910</v>
      </c>
      <c r="AD31" s="3413">
        <f t="shared" si="59"/>
        <v>0</v>
      </c>
      <c r="AE31" s="3413">
        <f t="shared" si="60"/>
        <v>5447</v>
      </c>
      <c r="AF31" s="2184"/>
      <c r="AG31" s="4137">
        <v>125</v>
      </c>
      <c r="AH31" s="3413">
        <f t="shared" si="61"/>
        <v>0</v>
      </c>
      <c r="AI31" s="3413">
        <f t="shared" si="62"/>
        <v>5572</v>
      </c>
      <c r="AJ31" s="2184"/>
      <c r="AK31" s="4137">
        <v>1420</v>
      </c>
      <c r="AL31" s="5173"/>
      <c r="AM31" s="3107">
        <f t="shared" si="15"/>
        <v>2455</v>
      </c>
      <c r="AN31" s="3413">
        <f t="shared" si="63"/>
        <v>0</v>
      </c>
      <c r="AO31" s="3413">
        <f t="shared" si="64"/>
        <v>6992</v>
      </c>
      <c r="AP31" s="2184"/>
      <c r="AQ31" s="4137">
        <v>1299</v>
      </c>
      <c r="AR31" s="3413">
        <f t="shared" si="65"/>
        <v>0</v>
      </c>
      <c r="AS31" s="3413">
        <f t="shared" si="66"/>
        <v>8291</v>
      </c>
      <c r="AT31" s="2184"/>
      <c r="AU31" s="4137">
        <v>969</v>
      </c>
      <c r="AV31" s="3413">
        <f t="shared" si="67"/>
        <v>0</v>
      </c>
      <c r="AW31" s="3413">
        <f t="shared" si="68"/>
        <v>9260</v>
      </c>
      <c r="AX31" s="2184"/>
      <c r="AY31" s="403">
        <v>1493</v>
      </c>
      <c r="AZ31" s="5173"/>
      <c r="BA31" s="3107">
        <f t="shared" si="22"/>
        <v>3761</v>
      </c>
      <c r="BB31" s="6160">
        <f t="shared" si="69"/>
        <v>0</v>
      </c>
      <c r="BC31" s="6160">
        <f t="shared" si="70"/>
        <v>6216</v>
      </c>
      <c r="BD31" s="3413">
        <f t="shared" si="71"/>
        <v>0</v>
      </c>
      <c r="BE31" s="3413">
        <f t="shared" si="72"/>
        <v>10753</v>
      </c>
      <c r="BF31" s="5172"/>
      <c r="BG31" s="26"/>
      <c r="BH31" s="5172"/>
      <c r="BI31" s="5172"/>
      <c r="BJ31" s="5172"/>
      <c r="BK31" s="5172"/>
      <c r="BL31" s="5172"/>
      <c r="BM31" s="5172"/>
      <c r="BN31" s="5172"/>
      <c r="BO31" s="5172"/>
      <c r="BP31" s="5172"/>
      <c r="BQ31" s="5172"/>
      <c r="BR31" s="5172"/>
      <c r="BS31" s="5172"/>
      <c r="BT31" s="5172"/>
      <c r="BU31" s="5172"/>
      <c r="BV31" s="5172"/>
      <c r="BW31" s="5172"/>
    </row>
    <row r="32" spans="2:75" ht="18.75" x14ac:dyDescent="0.25">
      <c r="B32" s="7640"/>
      <c r="C32" s="2173"/>
      <c r="D32" s="1713"/>
      <c r="E32" s="1226"/>
      <c r="F32" s="1226"/>
      <c r="G32" s="1226"/>
      <c r="H32" s="403"/>
      <c r="I32" s="4138"/>
      <c r="J32" s="1226"/>
      <c r="K32" s="1226"/>
      <c r="L32" s="403"/>
      <c r="M32" s="403"/>
      <c r="N32" s="441"/>
      <c r="O32" s="1226"/>
      <c r="P32" s="403"/>
      <c r="Q32" s="403"/>
      <c r="R32" s="441"/>
      <c r="S32" s="1226"/>
      <c r="T32" s="403"/>
      <c r="U32" s="403"/>
      <c r="V32" s="441"/>
      <c r="W32" s="1226"/>
      <c r="X32" s="3313"/>
      <c r="Y32" s="403"/>
      <c r="Z32" s="403"/>
      <c r="AA32" s="403"/>
      <c r="AB32" s="441"/>
      <c r="AC32" s="1226"/>
      <c r="AD32" s="403"/>
      <c r="AE32" s="403"/>
      <c r="AF32" s="441"/>
      <c r="AG32" s="1226"/>
      <c r="AH32" s="403"/>
      <c r="AI32" s="403"/>
      <c r="AJ32" s="441"/>
      <c r="AK32" s="1226"/>
      <c r="AL32" s="3313"/>
      <c r="AM32" s="403"/>
      <c r="AN32" s="403"/>
      <c r="AO32" s="403"/>
      <c r="AP32" s="441"/>
      <c r="AQ32" s="1226"/>
      <c r="AR32" s="403"/>
      <c r="AS32" s="403"/>
      <c r="AT32" s="441"/>
      <c r="AU32" s="1226"/>
      <c r="AV32" s="403"/>
      <c r="AW32" s="403"/>
      <c r="AX32" s="441"/>
      <c r="AY32" s="1226"/>
      <c r="AZ32" s="3313"/>
      <c r="BA32" s="403"/>
      <c r="BB32" s="403"/>
      <c r="BC32" s="403"/>
      <c r="BD32" s="403"/>
      <c r="BE32" s="403"/>
      <c r="BF32" s="5172"/>
      <c r="BG32" s="26"/>
      <c r="BH32" s="5172"/>
      <c r="BI32" s="5172"/>
      <c r="BJ32" s="5172"/>
      <c r="BK32" s="5172"/>
      <c r="BL32" s="5172"/>
      <c r="BM32" s="5172"/>
      <c r="BN32" s="5172"/>
      <c r="BO32" s="5172"/>
      <c r="BP32" s="5172"/>
      <c r="BQ32" s="5172"/>
      <c r="BR32" s="5172"/>
      <c r="BS32" s="5172"/>
      <c r="BT32" s="5172"/>
      <c r="BU32" s="5172"/>
      <c r="BV32" s="5172"/>
      <c r="BW32" s="5172"/>
    </row>
    <row r="33" spans="2:75" ht="18.75" x14ac:dyDescent="0.3">
      <c r="B33" s="7640"/>
      <c r="C33" s="2177" t="s">
        <v>1602</v>
      </c>
      <c r="D33" s="2171"/>
      <c r="E33" s="3169"/>
      <c r="F33" s="2171"/>
      <c r="G33" s="3169"/>
      <c r="H33" s="403"/>
      <c r="I33" s="4138"/>
      <c r="J33" s="2171"/>
      <c r="K33" s="3169"/>
      <c r="L33" s="403"/>
      <c r="M33" s="4138"/>
      <c r="N33" s="441"/>
      <c r="O33" s="3169"/>
      <c r="P33" s="403"/>
      <c r="Q33" s="403"/>
      <c r="R33" s="441"/>
      <c r="S33" s="3169"/>
      <c r="T33" s="403"/>
      <c r="U33" s="403"/>
      <c r="V33" s="441"/>
      <c r="W33" s="3169"/>
      <c r="X33" s="5059"/>
      <c r="Y33" s="403"/>
      <c r="Z33" s="403"/>
      <c r="AA33" s="403"/>
      <c r="AB33" s="441"/>
      <c r="AC33" s="3169"/>
      <c r="AD33" s="403"/>
      <c r="AE33" s="403"/>
      <c r="AF33" s="441"/>
      <c r="AG33" s="3169"/>
      <c r="AH33" s="403"/>
      <c r="AI33" s="403"/>
      <c r="AJ33" s="441"/>
      <c r="AK33" s="3169"/>
      <c r="AL33" s="5059"/>
      <c r="AM33" s="403"/>
      <c r="AN33" s="403"/>
      <c r="AO33" s="403"/>
      <c r="AP33" s="441"/>
      <c r="AQ33" s="3169"/>
      <c r="AR33" s="403"/>
      <c r="AS33" s="403"/>
      <c r="AT33" s="441"/>
      <c r="AU33" s="3169"/>
      <c r="AV33" s="403"/>
      <c r="AW33" s="403"/>
      <c r="AX33" s="441"/>
      <c r="AY33" s="3169"/>
      <c r="AZ33" s="5059"/>
      <c r="BA33" s="403"/>
      <c r="BB33" s="403"/>
      <c r="BC33" s="403"/>
      <c r="BD33" s="403"/>
      <c r="BE33" s="403"/>
      <c r="BF33" s="5172"/>
      <c r="BG33" s="26"/>
      <c r="BH33" s="5172"/>
      <c r="BI33" s="5172"/>
      <c r="BJ33" s="5172"/>
      <c r="BK33" s="5172"/>
      <c r="BL33" s="5172"/>
      <c r="BM33" s="5172"/>
      <c r="BN33" s="5172"/>
      <c r="BO33" s="5172"/>
      <c r="BP33" s="5172"/>
      <c r="BQ33" s="5172"/>
      <c r="BR33" s="5172"/>
      <c r="BS33" s="5172"/>
      <c r="BT33" s="5172"/>
      <c r="BU33" s="5172"/>
      <c r="BV33" s="5172"/>
      <c r="BW33" s="5172"/>
    </row>
    <row r="34" spans="2:75" s="149" customFormat="1" ht="18.75" x14ac:dyDescent="0.25">
      <c r="B34" s="7640"/>
      <c r="C34" s="2173" t="s">
        <v>1603</v>
      </c>
      <c r="D34" s="1713"/>
      <c r="E34" s="4861">
        <f>+'COKE OVENS'!F48+'COKE OVENS'!F51</f>
        <v>5758.4824291278364</v>
      </c>
      <c r="F34" s="2185"/>
      <c r="G34" s="4861">
        <f>+'COKE OVENS'!H48+'COKE OVENS'!H51</f>
        <v>5987.1466692185932</v>
      </c>
      <c r="H34" s="2153">
        <f t="shared" si="1"/>
        <v>0</v>
      </c>
      <c r="I34" s="3407">
        <f t="shared" si="2"/>
        <v>11745.62909834643</v>
      </c>
      <c r="J34" s="2185"/>
      <c r="K34" s="4861">
        <f>+'COKE OVENS'!L48+'COKE OVENS'!L51</f>
        <v>6508.5543071085049</v>
      </c>
      <c r="L34" s="2152">
        <f t="shared" si="3"/>
        <v>0</v>
      </c>
      <c r="M34" s="3121">
        <f>E34+G34+K34</f>
        <v>18254.183405454933</v>
      </c>
      <c r="N34" s="2186"/>
      <c r="O34" s="4861">
        <f>+'COKE OVENS'!P48+'COKE OVENS'!P51</f>
        <v>6081.855290196293</v>
      </c>
      <c r="P34" s="2153">
        <f t="shared" si="4"/>
        <v>0</v>
      </c>
      <c r="Q34" s="4134">
        <f t="shared" si="28"/>
        <v>24336.038695651227</v>
      </c>
      <c r="R34" s="2186"/>
      <c r="S34" s="4861">
        <f>+'COKE OVENS'!T48+'COKE OVENS'!T51</f>
        <v>6078.3382362303319</v>
      </c>
      <c r="T34" s="3413">
        <f t="shared" ref="T34" si="73">+P34+R34</f>
        <v>0</v>
      </c>
      <c r="U34" s="4134">
        <f t="shared" ref="U34" si="74">+Q34+S34</f>
        <v>30414.376931881558</v>
      </c>
      <c r="V34" s="2186"/>
      <c r="W34" s="4861">
        <f>+'COKE OVENS'!X48+'COKE OVENS'!X51</f>
        <v>5847.9830847397934</v>
      </c>
      <c r="X34" s="5060"/>
      <c r="Y34" s="3121">
        <f t="shared" si="8"/>
        <v>18008.176611166418</v>
      </c>
      <c r="Z34" s="6160">
        <f t="shared" ref="Z34" si="75">+T34+V34</f>
        <v>0</v>
      </c>
      <c r="AA34" s="497">
        <f t="shared" ref="AA34" si="76">+U34+W34</f>
        <v>36262.360016621351</v>
      </c>
      <c r="AB34" s="2186"/>
      <c r="AC34" s="4861">
        <f>+'COKE OVENS'!AD48+'COKE OVENS'!AD51</f>
        <v>6054</v>
      </c>
      <c r="AD34" s="3413">
        <f t="shared" ref="AD34" si="77">+Z34+AB34</f>
        <v>0</v>
      </c>
      <c r="AE34" s="4134">
        <f t="shared" ref="AE34" si="78">+AA34+AC34</f>
        <v>42316.360016621351</v>
      </c>
      <c r="AF34" s="2186"/>
      <c r="AG34" s="4861">
        <f>+'COKE OVENS'!AH48+'COKE OVENS'!AH51</f>
        <v>5736.0686937723585</v>
      </c>
      <c r="AH34" s="3413">
        <f t="shared" ref="AH34" si="79">+AD34+AF34</f>
        <v>0</v>
      </c>
      <c r="AI34" s="4134">
        <f t="shared" ref="AI34" si="80">+AE34+AG34</f>
        <v>48052.428710393709</v>
      </c>
      <c r="AJ34" s="2186"/>
      <c r="AK34" s="4861">
        <f>+'COKE OVENS'!AL48+'COKE OVENS'!AL51</f>
        <v>6787.8975378047835</v>
      </c>
      <c r="AL34" s="5060"/>
      <c r="AM34" s="3121">
        <f t="shared" si="15"/>
        <v>18577.966231577142</v>
      </c>
      <c r="AN34" s="3413">
        <f t="shared" ref="AN34" si="81">+AH34+AJ34</f>
        <v>0</v>
      </c>
      <c r="AO34" s="4134">
        <f t="shared" ref="AO34" si="82">+AI34+AK34</f>
        <v>54840.326248198493</v>
      </c>
      <c r="AP34" s="2186"/>
      <c r="AQ34" s="4861">
        <f>+'COKE OVENS'!AR48+'COKE OVENS'!AR51</f>
        <v>5929.4082930433733</v>
      </c>
      <c r="AR34" s="3413">
        <f t="shared" ref="AR34" si="83">+AN34+AP34</f>
        <v>0</v>
      </c>
      <c r="AS34" s="4134">
        <f t="shared" ref="AS34" si="84">+AO34+AQ34</f>
        <v>60769.734541241865</v>
      </c>
      <c r="AT34" s="2186"/>
      <c r="AU34" s="4861">
        <f>+'COKE OVENS'!AV48+'COKE OVENS'!AV51</f>
        <v>5433.4656877021152</v>
      </c>
      <c r="AV34" s="3413">
        <f t="shared" ref="AV34" si="85">+AR34+AT34</f>
        <v>0</v>
      </c>
      <c r="AW34" s="4134">
        <f t="shared" ref="AW34" si="86">+AS34+AU34</f>
        <v>66203.200228943984</v>
      </c>
      <c r="AX34" s="2186"/>
      <c r="AY34" s="4861">
        <f>+'COKE OVENS'!AZ48+'COKE OVENS'!AZ51</f>
        <v>6032.2069590124374</v>
      </c>
      <c r="AZ34" s="5060"/>
      <c r="BA34" s="3121">
        <f t="shared" si="22"/>
        <v>17395.080939757925</v>
      </c>
      <c r="BB34" s="6160">
        <f t="shared" ref="BB34" si="87">+AV34+AX34</f>
        <v>0</v>
      </c>
      <c r="BC34" s="497">
        <f>AM34+BA34</f>
        <v>35973.047171335071</v>
      </c>
      <c r="BD34" s="3413">
        <f t="shared" ref="BD34" si="88">+AV34+AX34</f>
        <v>0</v>
      </c>
      <c r="BE34" s="4134">
        <f t="shared" ref="BE34" si="89">+AW34+AY34</f>
        <v>72235.407187956414</v>
      </c>
      <c r="BF34" s="5172"/>
      <c r="BG34" s="26"/>
      <c r="BH34" s="5172"/>
      <c r="BI34" s="5172"/>
      <c r="BJ34" s="5172"/>
      <c r="BK34" s="5172"/>
      <c r="BL34" s="5172"/>
      <c r="BM34" s="5172"/>
      <c r="BN34" s="5172"/>
      <c r="BO34" s="5172"/>
      <c r="BP34" s="5172"/>
      <c r="BQ34" s="5172"/>
      <c r="BR34" s="5172"/>
      <c r="BS34" s="5172"/>
      <c r="BT34" s="5172"/>
      <c r="BU34" s="5172"/>
      <c r="BV34" s="5172"/>
      <c r="BW34" s="5172"/>
    </row>
    <row r="35" spans="2:75" s="149" customFormat="1" ht="18.75" x14ac:dyDescent="0.25">
      <c r="B35" s="7640"/>
      <c r="C35" s="2173"/>
      <c r="D35" s="1713"/>
      <c r="E35" s="6641"/>
      <c r="F35" s="1226"/>
      <c r="G35" s="6641"/>
      <c r="H35" s="403"/>
      <c r="I35" s="4138"/>
      <c r="J35" s="1226"/>
      <c r="K35" s="6641"/>
      <c r="L35" s="403"/>
      <c r="M35" s="6641"/>
      <c r="N35" s="441"/>
      <c r="O35" s="6641"/>
      <c r="P35" s="403"/>
      <c r="Q35" s="403"/>
      <c r="R35" s="441"/>
      <c r="S35" s="6641"/>
      <c r="T35" s="403"/>
      <c r="U35" s="403"/>
      <c r="V35" s="441"/>
      <c r="W35" s="6641"/>
      <c r="X35" s="6642"/>
      <c r="Y35" s="403"/>
      <c r="Z35" s="403"/>
      <c r="AA35" s="403"/>
      <c r="AB35" s="441"/>
      <c r="AC35" s="6641"/>
      <c r="AD35" s="403"/>
      <c r="AE35" s="403"/>
      <c r="AF35" s="441"/>
      <c r="AG35" s="6641"/>
      <c r="AH35" s="403"/>
      <c r="AI35" s="403"/>
      <c r="AJ35" s="441"/>
      <c r="AK35" s="6641"/>
      <c r="AL35" s="6642"/>
      <c r="AM35" s="403"/>
      <c r="AN35" s="403"/>
      <c r="AO35" s="403"/>
      <c r="AP35" s="441"/>
      <c r="AQ35" s="6641"/>
      <c r="AR35" s="403"/>
      <c r="AS35" s="403"/>
      <c r="AT35" s="441"/>
      <c r="AU35" s="6641"/>
      <c r="AV35" s="403"/>
      <c r="AW35" s="403"/>
      <c r="AX35" s="441"/>
      <c r="AY35" s="6641"/>
      <c r="AZ35" s="6642"/>
      <c r="BA35" s="403"/>
      <c r="BB35" s="403"/>
      <c r="BC35" s="403"/>
      <c r="BD35" s="403"/>
      <c r="BE35" s="403"/>
      <c r="BF35" s="5172"/>
      <c r="BG35" s="26"/>
      <c r="BH35" s="5172"/>
      <c r="BI35" s="5172"/>
      <c r="BJ35" s="5172"/>
      <c r="BK35" s="5172"/>
      <c r="BL35" s="5172"/>
      <c r="BM35" s="5172"/>
      <c r="BN35" s="5172"/>
      <c r="BO35" s="5172"/>
      <c r="BP35" s="5172"/>
      <c r="BQ35" s="5172"/>
      <c r="BR35" s="5172"/>
      <c r="BS35" s="5172"/>
      <c r="BT35" s="5172"/>
      <c r="BU35" s="5172"/>
      <c r="BV35" s="5172"/>
      <c r="BW35" s="5172"/>
    </row>
    <row r="36" spans="2:75" s="149" customFormat="1" ht="18.75" x14ac:dyDescent="0.3">
      <c r="B36" s="7640"/>
      <c r="C36" s="2177" t="s">
        <v>1604</v>
      </c>
      <c r="D36" s="2171"/>
      <c r="E36" s="2171"/>
      <c r="F36" s="2171"/>
      <c r="G36" s="2171"/>
      <c r="H36" s="403"/>
      <c r="I36" s="4138"/>
      <c r="J36" s="2171"/>
      <c r="K36" s="2171"/>
      <c r="L36" s="403"/>
      <c r="M36" s="403"/>
      <c r="N36" s="441"/>
      <c r="O36" s="2171"/>
      <c r="P36" s="403"/>
      <c r="Q36" s="403"/>
      <c r="R36" s="441"/>
      <c r="S36" s="2171"/>
      <c r="T36" s="403"/>
      <c r="U36" s="403"/>
      <c r="V36" s="441"/>
      <c r="W36" s="2171"/>
      <c r="X36" s="5061"/>
      <c r="Y36" s="403"/>
      <c r="Z36" s="403"/>
      <c r="AA36" s="403"/>
      <c r="AB36" s="441"/>
      <c r="AC36" s="2171"/>
      <c r="AD36" s="403"/>
      <c r="AE36" s="403"/>
      <c r="AF36" s="441"/>
      <c r="AG36" s="2171"/>
      <c r="AH36" s="403"/>
      <c r="AI36" s="403"/>
      <c r="AJ36" s="441"/>
      <c r="AK36" s="2171"/>
      <c r="AL36" s="5061"/>
      <c r="AM36" s="403"/>
      <c r="AN36" s="403"/>
      <c r="AO36" s="403"/>
      <c r="AP36" s="441"/>
      <c r="AQ36" s="2171"/>
      <c r="AR36" s="403"/>
      <c r="AS36" s="403"/>
      <c r="AT36" s="441"/>
      <c r="AU36" s="2171"/>
      <c r="AV36" s="403"/>
      <c r="AW36" s="403"/>
      <c r="AX36" s="441"/>
      <c r="AY36" s="2171"/>
      <c r="AZ36" s="5061"/>
      <c r="BA36" s="403"/>
      <c r="BB36" s="403"/>
      <c r="BC36" s="403"/>
      <c r="BD36" s="403"/>
      <c r="BE36" s="403"/>
      <c r="BF36" s="5172"/>
      <c r="BG36" s="26"/>
      <c r="BH36" s="5172"/>
      <c r="BI36" s="5172"/>
      <c r="BJ36" s="5172"/>
      <c r="BK36" s="5172"/>
      <c r="BL36" s="5172"/>
      <c r="BM36" s="5172"/>
      <c r="BN36" s="5172"/>
      <c r="BO36" s="5172"/>
      <c r="BP36" s="5172"/>
      <c r="BQ36" s="5172"/>
      <c r="BR36" s="5172"/>
      <c r="BS36" s="5172"/>
      <c r="BT36" s="5172"/>
      <c r="BU36" s="5172"/>
      <c r="BV36" s="5172"/>
      <c r="BW36" s="5172"/>
    </row>
    <row r="37" spans="2:75" s="149" customFormat="1" ht="18.75" x14ac:dyDescent="0.25">
      <c r="B37" s="7640"/>
      <c r="C37" s="2173" t="s">
        <v>1605</v>
      </c>
      <c r="D37" s="1713"/>
      <c r="E37" s="2151">
        <v>200</v>
      </c>
      <c r="F37" s="1713"/>
      <c r="G37" s="4137">
        <v>1101</v>
      </c>
      <c r="H37" s="2153">
        <f t="shared" si="1"/>
        <v>0</v>
      </c>
      <c r="I37" s="3407">
        <f t="shared" si="2"/>
        <v>1301</v>
      </c>
      <c r="J37" s="1713"/>
      <c r="K37" s="4137">
        <v>1621</v>
      </c>
      <c r="L37" s="2152">
        <f t="shared" si="3"/>
        <v>0</v>
      </c>
      <c r="M37" s="2384">
        <f>E37+G37+K37</f>
        <v>2922</v>
      </c>
      <c r="N37" s="2184"/>
      <c r="O37" s="4137">
        <v>1844</v>
      </c>
      <c r="P37" s="2153">
        <f t="shared" si="4"/>
        <v>0</v>
      </c>
      <c r="Q37" s="2153">
        <f t="shared" si="28"/>
        <v>4766</v>
      </c>
      <c r="R37" s="2184"/>
      <c r="S37" s="4137">
        <v>1621</v>
      </c>
      <c r="T37" s="3413">
        <f t="shared" ref="T37:T39" si="90">+P37+R37</f>
        <v>0</v>
      </c>
      <c r="U37" s="3413">
        <f t="shared" ref="U37:U39" si="91">+Q37+S37</f>
        <v>6387</v>
      </c>
      <c r="V37" s="2184"/>
      <c r="W37" s="4137">
        <v>2744</v>
      </c>
      <c r="X37" s="4668"/>
      <c r="Y37" s="3107">
        <f t="shared" si="8"/>
        <v>6209</v>
      </c>
      <c r="Z37" s="6160">
        <f t="shared" ref="Z37:Z39" si="92">+T37+V37</f>
        <v>0</v>
      </c>
      <c r="AA37" s="6160">
        <f t="shared" ref="AA37:AA39" si="93">+U37+W37</f>
        <v>9131</v>
      </c>
      <c r="AB37" s="2184"/>
      <c r="AC37" s="4137">
        <v>3773</v>
      </c>
      <c r="AD37" s="3413">
        <f t="shared" ref="AD37:AD39" si="94">+Z37+AB37</f>
        <v>0</v>
      </c>
      <c r="AE37" s="3413">
        <f t="shared" ref="AE37:AE39" si="95">+AA37+AC37</f>
        <v>12904</v>
      </c>
      <c r="AF37" s="2184"/>
      <c r="AG37" s="4137">
        <v>104</v>
      </c>
      <c r="AH37" s="3413">
        <f t="shared" ref="AH37:AH39" si="96">+AD37+AF37</f>
        <v>0</v>
      </c>
      <c r="AI37" s="3413">
        <f t="shared" ref="AI37:AI39" si="97">+AE37+AG37</f>
        <v>13008</v>
      </c>
      <c r="AJ37" s="2184"/>
      <c r="AK37" s="4137">
        <v>3687</v>
      </c>
      <c r="AL37" s="5173"/>
      <c r="AM37" s="3107">
        <f t="shared" si="15"/>
        <v>7564</v>
      </c>
      <c r="AN37" s="3413">
        <f t="shared" ref="AN37:AN39" si="98">+AH37+AJ37</f>
        <v>0</v>
      </c>
      <c r="AO37" s="3413">
        <f t="shared" ref="AO37:AO39" si="99">+AI37+AK37</f>
        <v>16695</v>
      </c>
      <c r="AP37" s="2184"/>
      <c r="AQ37" s="4137">
        <v>1899</v>
      </c>
      <c r="AR37" s="3413">
        <f t="shared" ref="AR37:AR39" si="100">+AN37+AP37</f>
        <v>0</v>
      </c>
      <c r="AS37" s="3413">
        <f t="shared" ref="AS37:AS39" si="101">+AO37+AQ37</f>
        <v>18594</v>
      </c>
      <c r="AT37" s="2184"/>
      <c r="AU37" s="4137">
        <v>1247</v>
      </c>
      <c r="AV37" s="3413">
        <f t="shared" ref="AV37:AV39" si="102">+AR37+AT37</f>
        <v>0</v>
      </c>
      <c r="AW37" s="3413">
        <f t="shared" ref="AW37:AW39" si="103">+AS37+AU37</f>
        <v>19841</v>
      </c>
      <c r="AX37" s="2184"/>
      <c r="AY37" s="4137">
        <v>901</v>
      </c>
      <c r="AZ37" s="5173"/>
      <c r="BA37" s="3107">
        <f t="shared" si="22"/>
        <v>4047</v>
      </c>
      <c r="BB37" s="6160">
        <f t="shared" ref="BB37:BB39" si="104">+AV37+AX37</f>
        <v>0</v>
      </c>
      <c r="BC37" s="497">
        <f t="shared" ref="BC37:BC39" si="105">AM37+BA37</f>
        <v>11611</v>
      </c>
      <c r="BD37" s="3413">
        <f t="shared" ref="BD37:BD39" si="106">+AV37+AX37</f>
        <v>0</v>
      </c>
      <c r="BE37" s="3413">
        <f t="shared" ref="BE37:BE39" si="107">+AW37+AY37</f>
        <v>20742</v>
      </c>
      <c r="BF37" s="5172"/>
      <c r="BG37" s="26"/>
      <c r="BH37" s="5172"/>
      <c r="BI37" s="5172"/>
      <c r="BJ37" s="5172"/>
      <c r="BK37" s="5172"/>
      <c r="BL37" s="5172"/>
      <c r="BM37" s="5172"/>
      <c r="BN37" s="5172"/>
      <c r="BO37" s="5172"/>
      <c r="BP37" s="5172"/>
      <c r="BQ37" s="5172"/>
      <c r="BR37" s="5172"/>
      <c r="BS37" s="5172"/>
      <c r="BT37" s="5172"/>
      <c r="BU37" s="5172"/>
      <c r="BV37" s="5172"/>
      <c r="BW37" s="5172"/>
    </row>
    <row r="38" spans="2:75" ht="18.75" x14ac:dyDescent="0.3">
      <c r="B38" s="7640"/>
      <c r="C38" s="2178" t="s">
        <v>1606</v>
      </c>
      <c r="D38" s="1638"/>
      <c r="E38" s="2151">
        <v>9856</v>
      </c>
      <c r="F38" s="1713"/>
      <c r="G38" s="4137">
        <v>8519</v>
      </c>
      <c r="H38" s="2153">
        <f t="shared" si="1"/>
        <v>0</v>
      </c>
      <c r="I38" s="3407">
        <f t="shared" si="2"/>
        <v>18375</v>
      </c>
      <c r="J38" s="1713"/>
      <c r="K38" s="4137">
        <v>5026</v>
      </c>
      <c r="L38" s="2152">
        <f t="shared" si="3"/>
        <v>0</v>
      </c>
      <c r="M38" s="2384">
        <f>E38+G38+K38</f>
        <v>23401</v>
      </c>
      <c r="N38" s="2184"/>
      <c r="O38" s="4137">
        <v>9063</v>
      </c>
      <c r="P38" s="2153">
        <f t="shared" si="4"/>
        <v>0</v>
      </c>
      <c r="Q38" s="3413">
        <f t="shared" si="28"/>
        <v>32464</v>
      </c>
      <c r="R38" s="2184"/>
      <c r="S38" s="4137">
        <v>4959</v>
      </c>
      <c r="T38" s="3413">
        <f t="shared" si="90"/>
        <v>0</v>
      </c>
      <c r="U38" s="3413">
        <f t="shared" si="91"/>
        <v>37423</v>
      </c>
      <c r="V38" s="2184"/>
      <c r="W38" s="4137">
        <v>6598</v>
      </c>
      <c r="X38" s="4668"/>
      <c r="Y38" s="3107">
        <f t="shared" si="8"/>
        <v>20620</v>
      </c>
      <c r="Z38" s="6160">
        <f t="shared" si="92"/>
        <v>0</v>
      </c>
      <c r="AA38" s="6160">
        <f t="shared" si="93"/>
        <v>44021</v>
      </c>
      <c r="AB38" s="2184"/>
      <c r="AC38" s="4137">
        <v>9099</v>
      </c>
      <c r="AD38" s="3413">
        <f t="shared" si="94"/>
        <v>0</v>
      </c>
      <c r="AE38" s="3413">
        <f t="shared" si="95"/>
        <v>53120</v>
      </c>
      <c r="AF38" s="2184"/>
      <c r="AG38" s="4137">
        <v>542</v>
      </c>
      <c r="AH38" s="3413">
        <f t="shared" si="96"/>
        <v>0</v>
      </c>
      <c r="AI38" s="3413">
        <f t="shared" si="97"/>
        <v>53662</v>
      </c>
      <c r="AJ38" s="2184"/>
      <c r="AK38" s="4137">
        <v>9654</v>
      </c>
      <c r="AL38" s="5173"/>
      <c r="AM38" s="3107">
        <f t="shared" si="15"/>
        <v>19295</v>
      </c>
      <c r="AN38" s="3413">
        <f t="shared" si="98"/>
        <v>0</v>
      </c>
      <c r="AO38" s="3413">
        <f t="shared" si="99"/>
        <v>63316</v>
      </c>
      <c r="AP38" s="2184"/>
      <c r="AQ38" s="4137">
        <v>8554</v>
      </c>
      <c r="AR38" s="3413">
        <f t="shared" si="100"/>
        <v>0</v>
      </c>
      <c r="AS38" s="3413">
        <f t="shared" si="101"/>
        <v>71870</v>
      </c>
      <c r="AT38" s="2184"/>
      <c r="AU38" s="4137">
        <v>7562</v>
      </c>
      <c r="AV38" s="3413">
        <f t="shared" si="102"/>
        <v>0</v>
      </c>
      <c r="AW38" s="3413">
        <f t="shared" si="103"/>
        <v>79432</v>
      </c>
      <c r="AX38" s="2184"/>
      <c r="AY38" s="403">
        <v>10433</v>
      </c>
      <c r="AZ38" s="5173"/>
      <c r="BA38" s="3107">
        <f t="shared" si="22"/>
        <v>26549</v>
      </c>
      <c r="BB38" s="6160">
        <f t="shared" si="104"/>
        <v>0</v>
      </c>
      <c r="BC38" s="497">
        <f t="shared" si="105"/>
        <v>45844</v>
      </c>
      <c r="BD38" s="3413">
        <f t="shared" si="106"/>
        <v>0</v>
      </c>
      <c r="BE38" s="3413">
        <f t="shared" si="107"/>
        <v>89865</v>
      </c>
      <c r="BF38" s="5172"/>
      <c r="BG38" s="26"/>
      <c r="BH38" s="5172"/>
      <c r="BI38" s="5172"/>
      <c r="BJ38" s="5172"/>
      <c r="BK38" s="5172"/>
      <c r="BL38" s="5172"/>
      <c r="BM38" s="5172"/>
      <c r="BN38" s="5172"/>
      <c r="BO38" s="5172"/>
      <c r="BP38" s="5172"/>
      <c r="BQ38" s="5172"/>
      <c r="BR38" s="5172"/>
      <c r="BS38" s="5172"/>
      <c r="BT38" s="5172"/>
      <c r="BU38" s="5172"/>
      <c r="BV38" s="5172"/>
      <c r="BW38" s="5172"/>
    </row>
    <row r="39" spans="2:75" ht="18.75" x14ac:dyDescent="0.25">
      <c r="B39" s="7640"/>
      <c r="C39" s="2179" t="s">
        <v>1607</v>
      </c>
      <c r="D39" s="1226"/>
      <c r="E39" s="2151">
        <v>9717</v>
      </c>
      <c r="F39" s="1713"/>
      <c r="G39" s="4137">
        <v>6709</v>
      </c>
      <c r="H39" s="2153">
        <f t="shared" si="1"/>
        <v>0</v>
      </c>
      <c r="I39" s="3407">
        <f t="shared" si="2"/>
        <v>16426</v>
      </c>
      <c r="J39" s="1713"/>
      <c r="K39" s="4137">
        <v>5194</v>
      </c>
      <c r="L39" s="2152">
        <f t="shared" si="3"/>
        <v>0</v>
      </c>
      <c r="M39" s="2384">
        <f>E39+G39+K39</f>
        <v>21620</v>
      </c>
      <c r="N39" s="2184"/>
      <c r="O39" s="4137">
        <v>8331</v>
      </c>
      <c r="P39" s="2153">
        <f t="shared" si="4"/>
        <v>0</v>
      </c>
      <c r="Q39" s="3413">
        <f t="shared" si="28"/>
        <v>29951</v>
      </c>
      <c r="R39" s="2184"/>
      <c r="S39" s="4137">
        <v>5233</v>
      </c>
      <c r="T39" s="3413">
        <f t="shared" si="90"/>
        <v>0</v>
      </c>
      <c r="U39" s="3413">
        <f t="shared" si="91"/>
        <v>35184</v>
      </c>
      <c r="V39" s="2184"/>
      <c r="W39" s="4137">
        <v>7692</v>
      </c>
      <c r="X39" s="4668"/>
      <c r="Y39" s="3107">
        <f t="shared" si="8"/>
        <v>21256</v>
      </c>
      <c r="Z39" s="6160">
        <f t="shared" si="92"/>
        <v>0</v>
      </c>
      <c r="AA39" s="6160">
        <f t="shared" si="93"/>
        <v>42876</v>
      </c>
      <c r="AB39" s="2184"/>
      <c r="AC39" s="4137">
        <v>7083</v>
      </c>
      <c r="AD39" s="3413">
        <f t="shared" si="94"/>
        <v>0</v>
      </c>
      <c r="AE39" s="3413">
        <f t="shared" si="95"/>
        <v>49959</v>
      </c>
      <c r="AF39" s="2184"/>
      <c r="AG39" s="4137">
        <v>251</v>
      </c>
      <c r="AH39" s="3413">
        <f t="shared" si="96"/>
        <v>0</v>
      </c>
      <c r="AI39" s="3413">
        <f t="shared" si="97"/>
        <v>50210</v>
      </c>
      <c r="AJ39" s="2184"/>
      <c r="AK39" s="4137">
        <v>4533</v>
      </c>
      <c r="AL39" s="5173"/>
      <c r="AM39" s="3107">
        <f t="shared" si="15"/>
        <v>11867</v>
      </c>
      <c r="AN39" s="3413">
        <f t="shared" si="98"/>
        <v>0</v>
      </c>
      <c r="AO39" s="3413">
        <f t="shared" si="99"/>
        <v>54743</v>
      </c>
      <c r="AP39" s="2184"/>
      <c r="AQ39" s="4137">
        <v>6982</v>
      </c>
      <c r="AR39" s="3413">
        <f t="shared" si="100"/>
        <v>0</v>
      </c>
      <c r="AS39" s="3413">
        <f t="shared" si="101"/>
        <v>61725</v>
      </c>
      <c r="AT39" s="2184"/>
      <c r="AU39" s="4137">
        <v>5965</v>
      </c>
      <c r="AV39" s="3413">
        <f t="shared" si="102"/>
        <v>0</v>
      </c>
      <c r="AW39" s="3413">
        <f t="shared" si="103"/>
        <v>67690</v>
      </c>
      <c r="AX39" s="2184"/>
      <c r="AY39" s="403">
        <v>9715</v>
      </c>
      <c r="AZ39" s="5173"/>
      <c r="BA39" s="3107">
        <f t="shared" si="22"/>
        <v>22662</v>
      </c>
      <c r="BB39" s="6160">
        <f t="shared" si="104"/>
        <v>0</v>
      </c>
      <c r="BC39" s="497">
        <f t="shared" si="105"/>
        <v>34529</v>
      </c>
      <c r="BD39" s="3413">
        <f t="shared" si="106"/>
        <v>0</v>
      </c>
      <c r="BE39" s="3413">
        <f t="shared" si="107"/>
        <v>77405</v>
      </c>
      <c r="BF39" s="5172"/>
      <c r="BG39" s="26"/>
      <c r="BH39" s="5172"/>
      <c r="BI39" s="5172"/>
      <c r="BJ39" s="5172"/>
      <c r="BK39" s="5172"/>
      <c r="BL39" s="5172"/>
      <c r="BM39" s="5172"/>
      <c r="BN39" s="5172"/>
      <c r="BO39" s="5172"/>
      <c r="BP39" s="5172"/>
      <c r="BQ39" s="5172"/>
      <c r="BR39" s="5172"/>
      <c r="BS39" s="5172"/>
      <c r="BT39" s="5172"/>
      <c r="BU39" s="5172"/>
      <c r="BV39" s="5172"/>
      <c r="BW39" s="5172"/>
    </row>
    <row r="40" spans="2:75" ht="18.75" x14ac:dyDescent="0.25">
      <c r="B40" s="7640"/>
      <c r="C40" s="2179"/>
      <c r="D40" s="1226"/>
      <c r="E40" s="1226"/>
      <c r="F40" s="1226"/>
      <c r="G40" s="1226"/>
      <c r="H40" s="403"/>
      <c r="I40" s="4138"/>
      <c r="J40" s="1226"/>
      <c r="K40" s="1226"/>
      <c r="L40" s="403"/>
      <c r="M40" s="403"/>
      <c r="N40" s="441"/>
      <c r="O40" s="1226"/>
      <c r="P40" s="403"/>
      <c r="Q40" s="403"/>
      <c r="R40" s="441"/>
      <c r="S40" s="1226"/>
      <c r="T40" s="403"/>
      <c r="U40" s="403"/>
      <c r="V40" s="441"/>
      <c r="W40" s="1226"/>
      <c r="X40" s="3313"/>
      <c r="Y40" s="403"/>
      <c r="Z40" s="403"/>
      <c r="AA40" s="403"/>
      <c r="AB40" s="441"/>
      <c r="AC40" s="1226"/>
      <c r="AD40" s="403"/>
      <c r="AE40" s="403"/>
      <c r="AF40" s="441"/>
      <c r="AG40" s="1226"/>
      <c r="AH40" s="403"/>
      <c r="AI40" s="403"/>
      <c r="AJ40" s="441"/>
      <c r="AK40" s="1226"/>
      <c r="AL40" s="3313"/>
      <c r="AM40" s="403"/>
      <c r="AN40" s="403"/>
      <c r="AO40" s="403"/>
      <c r="AP40" s="441"/>
      <c r="AQ40" s="1226"/>
      <c r="AR40" s="403"/>
      <c r="AS40" s="403"/>
      <c r="AT40" s="441"/>
      <c r="AU40" s="1226"/>
      <c r="AV40" s="403"/>
      <c r="AW40" s="403"/>
      <c r="AX40" s="441"/>
      <c r="AY40" s="1226"/>
      <c r="AZ40" s="3313"/>
      <c r="BA40" s="403"/>
      <c r="BB40" s="403"/>
      <c r="BC40" s="403"/>
      <c r="BD40" s="403"/>
      <c r="BE40" s="403"/>
      <c r="BF40" s="5172"/>
      <c r="BG40" s="26"/>
      <c r="BH40" s="5172"/>
      <c r="BI40" s="5172"/>
      <c r="BJ40" s="5172"/>
      <c r="BK40" s="5172"/>
      <c r="BL40" s="5172"/>
      <c r="BM40" s="5172"/>
      <c r="BN40" s="5172"/>
      <c r="BO40" s="5172"/>
      <c r="BP40" s="5172"/>
      <c r="BQ40" s="5172"/>
      <c r="BR40" s="5172"/>
      <c r="BS40" s="5172"/>
      <c r="BT40" s="5172"/>
      <c r="BU40" s="5172"/>
      <c r="BV40" s="5172"/>
      <c r="BW40" s="5172"/>
    </row>
    <row r="41" spans="2:75" ht="18.75" x14ac:dyDescent="0.3">
      <c r="B41" s="7640"/>
      <c r="C41" s="2177" t="s">
        <v>1608</v>
      </c>
      <c r="D41" s="2171"/>
      <c r="E41" s="2171"/>
      <c r="F41" s="2171"/>
      <c r="G41" s="2171"/>
      <c r="H41" s="403"/>
      <c r="I41" s="4138"/>
      <c r="J41" s="2171"/>
      <c r="K41" s="2171"/>
      <c r="L41" s="403"/>
      <c r="M41" s="403"/>
      <c r="N41" s="441"/>
      <c r="O41" s="2171"/>
      <c r="P41" s="403"/>
      <c r="Q41" s="403"/>
      <c r="R41" s="441"/>
      <c r="S41" s="2171"/>
      <c r="T41" s="403"/>
      <c r="U41" s="403"/>
      <c r="V41" s="441"/>
      <c r="W41" s="2171"/>
      <c r="X41" s="5061"/>
      <c r="Y41" s="403"/>
      <c r="Z41" s="403"/>
      <c r="AA41" s="403"/>
      <c r="AB41" s="441"/>
      <c r="AC41" s="2171"/>
      <c r="AD41" s="403"/>
      <c r="AE41" s="403"/>
      <c r="AF41" s="441"/>
      <c r="AG41" s="2171"/>
      <c r="AH41" s="403"/>
      <c r="AI41" s="403"/>
      <c r="AJ41" s="441"/>
      <c r="AK41" s="2171"/>
      <c r="AL41" s="5061"/>
      <c r="AM41" s="403"/>
      <c r="AN41" s="403"/>
      <c r="AO41" s="403"/>
      <c r="AP41" s="441"/>
      <c r="AQ41" s="2171"/>
      <c r="AR41" s="403"/>
      <c r="AS41" s="403"/>
      <c r="AT41" s="441"/>
      <c r="AU41" s="2171"/>
      <c r="AV41" s="403"/>
      <c r="AW41" s="403"/>
      <c r="AX41" s="441"/>
      <c r="AY41" s="2171"/>
      <c r="AZ41" s="5061"/>
      <c r="BA41" s="403"/>
      <c r="BB41" s="403"/>
      <c r="BC41" s="403"/>
      <c r="BD41" s="403"/>
      <c r="BE41" s="403"/>
      <c r="BF41" s="5172"/>
      <c r="BG41" s="26"/>
      <c r="BH41" s="5172"/>
      <c r="BI41" s="5172"/>
      <c r="BJ41" s="5172"/>
      <c r="BK41" s="5172"/>
      <c r="BL41" s="5172"/>
      <c r="BM41" s="5172"/>
      <c r="BN41" s="5172"/>
      <c r="BO41" s="5172"/>
      <c r="BP41" s="5172"/>
      <c r="BQ41" s="5172"/>
      <c r="BR41" s="5172"/>
      <c r="BS41" s="5172"/>
      <c r="BT41" s="5172"/>
      <c r="BU41" s="5172"/>
      <c r="BV41" s="5172"/>
      <c r="BW41" s="5172"/>
    </row>
    <row r="42" spans="2:75" ht="18.75" x14ac:dyDescent="0.3">
      <c r="B42" s="7640"/>
      <c r="C42" s="2180" t="s">
        <v>1192</v>
      </c>
      <c r="D42" s="2172"/>
      <c r="E42" s="4862">
        <f>+LDCP!F8</f>
        <v>14913</v>
      </c>
      <c r="F42" s="403"/>
      <c r="G42" s="4862">
        <f>+LDCP!H8</f>
        <v>14492</v>
      </c>
      <c r="H42" s="2153">
        <f t="shared" si="1"/>
        <v>0</v>
      </c>
      <c r="I42" s="3407">
        <f t="shared" si="2"/>
        <v>29405</v>
      </c>
      <c r="J42" s="403"/>
      <c r="K42" s="4862">
        <f>+LDCP!L8</f>
        <v>10070</v>
      </c>
      <c r="L42" s="2152">
        <f t="shared" si="3"/>
        <v>0</v>
      </c>
      <c r="M42" s="2384">
        <f>E42+G42+K42</f>
        <v>39475</v>
      </c>
      <c r="N42" s="274"/>
      <c r="O42" s="4862">
        <f>+LDCP!P8</f>
        <v>14961</v>
      </c>
      <c r="P42" s="2153">
        <f t="shared" si="4"/>
        <v>0</v>
      </c>
      <c r="Q42" s="2153">
        <f t="shared" si="28"/>
        <v>54436</v>
      </c>
      <c r="R42" s="274"/>
      <c r="S42" s="4862">
        <f>+LDCP!T8</f>
        <v>18175</v>
      </c>
      <c r="T42" s="3413">
        <f t="shared" ref="T42:T43" si="108">+P42+R42</f>
        <v>0</v>
      </c>
      <c r="U42" s="3413">
        <f t="shared" ref="U42:U43" si="109">+Q42+S42</f>
        <v>72611</v>
      </c>
      <c r="V42" s="274"/>
      <c r="W42" s="4862">
        <f>+LDCP!X8</f>
        <v>17182</v>
      </c>
      <c r="X42" s="5062"/>
      <c r="Y42" s="3107">
        <f t="shared" si="8"/>
        <v>50318</v>
      </c>
      <c r="Z42" s="6160">
        <f t="shared" ref="Z42:Z43" si="110">+T42+V42</f>
        <v>0</v>
      </c>
      <c r="AA42" s="6160">
        <f t="shared" ref="AA42:AA43" si="111">+U42+W42</f>
        <v>89793</v>
      </c>
      <c r="AB42" s="274"/>
      <c r="AC42" s="4862">
        <f>+LDCP!AD8</f>
        <v>13463</v>
      </c>
      <c r="AD42" s="3413">
        <f t="shared" ref="AD42:AD43" si="112">+Z42+AB42</f>
        <v>0</v>
      </c>
      <c r="AE42" s="3413">
        <f t="shared" ref="AE42:AE43" si="113">+AA42+AC42</f>
        <v>103256</v>
      </c>
      <c r="AF42" s="274"/>
      <c r="AG42" s="4862">
        <f>+LDCP!AH8</f>
        <v>414</v>
      </c>
      <c r="AH42" s="3413">
        <f t="shared" ref="AH42:AH43" si="114">+AD42+AF42</f>
        <v>0</v>
      </c>
      <c r="AI42" s="3413">
        <f t="shared" ref="AI42:AI43" si="115">+AE42+AG42</f>
        <v>103670</v>
      </c>
      <c r="AJ42" s="274"/>
      <c r="AK42" s="4862">
        <f>+LDCP!AL8</f>
        <v>11170</v>
      </c>
      <c r="AL42" s="5062"/>
      <c r="AM42" s="3107">
        <f t="shared" si="15"/>
        <v>25047</v>
      </c>
      <c r="AN42" s="3413">
        <f t="shared" ref="AN42:AN43" si="116">+AH42+AJ42</f>
        <v>0</v>
      </c>
      <c r="AO42" s="3413">
        <f t="shared" ref="AO42:AO43" si="117">+AI42+AK42</f>
        <v>114840</v>
      </c>
      <c r="AP42" s="274"/>
      <c r="AQ42" s="4862">
        <f>+LDCP!AR8</f>
        <v>12957</v>
      </c>
      <c r="AR42" s="3413">
        <f t="shared" ref="AR42:AR43" si="118">+AN42+AP42</f>
        <v>0</v>
      </c>
      <c r="AS42" s="3413">
        <f t="shared" ref="AS42:AS43" si="119">+AO42+AQ42</f>
        <v>127797</v>
      </c>
      <c r="AT42" s="274"/>
      <c r="AU42" s="4862">
        <f>+LDCP!AV8</f>
        <v>12125</v>
      </c>
      <c r="AV42" s="3413">
        <f t="shared" ref="AV42:AV43" si="120">+AR42+AT42</f>
        <v>0</v>
      </c>
      <c r="AW42" s="3413">
        <f t="shared" ref="AW42:AW43" si="121">+AS42+AU42</f>
        <v>139922</v>
      </c>
      <c r="AX42" s="274"/>
      <c r="AY42" s="4862">
        <f>+LDCP!AZ8</f>
        <v>18840</v>
      </c>
      <c r="AZ42" s="5062"/>
      <c r="BA42" s="3107">
        <f t="shared" si="22"/>
        <v>43922</v>
      </c>
      <c r="BB42" s="6160">
        <f t="shared" ref="BB42:BB43" si="122">+AV42+AX42</f>
        <v>0</v>
      </c>
      <c r="BC42" s="497">
        <f t="shared" ref="BC42:BC43" si="123">AM42+BA42</f>
        <v>68969</v>
      </c>
      <c r="BD42" s="3413">
        <f t="shared" ref="BD42:BD43" si="124">+AV42+AX42</f>
        <v>0</v>
      </c>
      <c r="BE42" s="3413">
        <f t="shared" ref="BE42:BE43" si="125">+AW42+AY42</f>
        <v>158762</v>
      </c>
      <c r="BF42" s="5172"/>
      <c r="BG42" s="26"/>
      <c r="BH42" s="5172"/>
      <c r="BI42" s="5172"/>
      <c r="BJ42" s="5172"/>
      <c r="BK42" s="5172"/>
      <c r="BL42" s="5172"/>
      <c r="BM42" s="5172"/>
      <c r="BN42" s="5172"/>
      <c r="BO42" s="5172"/>
      <c r="BP42" s="5172"/>
      <c r="BQ42" s="5172"/>
      <c r="BR42" s="5172"/>
      <c r="BS42" s="5172"/>
      <c r="BT42" s="5172"/>
      <c r="BU42" s="5172"/>
      <c r="BV42" s="5172"/>
      <c r="BW42" s="5172"/>
    </row>
    <row r="43" spans="2:75" ht="18.75" x14ac:dyDescent="0.3">
      <c r="B43" s="7641"/>
      <c r="C43" s="2180" t="s">
        <v>1193</v>
      </c>
      <c r="D43" s="2172"/>
      <c r="E43" s="4862">
        <f>+LDCP!F22</f>
        <v>5378</v>
      </c>
      <c r="F43" s="403"/>
      <c r="G43" s="4862">
        <f>+LDCP!H22</f>
        <v>3120</v>
      </c>
      <c r="H43" s="2153">
        <f t="shared" si="1"/>
        <v>0</v>
      </c>
      <c r="I43" s="3407">
        <f t="shared" si="2"/>
        <v>8498</v>
      </c>
      <c r="J43" s="403"/>
      <c r="K43" s="4862">
        <f>+LDCP!L22</f>
        <v>3655</v>
      </c>
      <c r="L43" s="2152">
        <f t="shared" si="3"/>
        <v>0</v>
      </c>
      <c r="M43" s="2384">
        <f>E43+G43+K43</f>
        <v>12153</v>
      </c>
      <c r="N43" s="274"/>
      <c r="O43" s="4862">
        <f>+LDCP!P22</f>
        <v>4154</v>
      </c>
      <c r="P43" s="2153">
        <f t="shared" si="4"/>
        <v>0</v>
      </c>
      <c r="Q43" s="3413">
        <f t="shared" si="28"/>
        <v>16307</v>
      </c>
      <c r="R43" s="274"/>
      <c r="S43" s="4862">
        <f>+LDCP!T22</f>
        <v>4957</v>
      </c>
      <c r="T43" s="3413">
        <f t="shared" si="108"/>
        <v>0</v>
      </c>
      <c r="U43" s="3413">
        <f t="shared" si="109"/>
        <v>21264</v>
      </c>
      <c r="V43" s="274"/>
      <c r="W43" s="4862">
        <f>+LDCP!X22</f>
        <v>4480</v>
      </c>
      <c r="X43" s="5062"/>
      <c r="Y43" s="3107">
        <f t="shared" si="8"/>
        <v>13591</v>
      </c>
      <c r="Z43" s="6160">
        <f t="shared" si="110"/>
        <v>0</v>
      </c>
      <c r="AA43" s="6160">
        <f t="shared" si="111"/>
        <v>25744</v>
      </c>
      <c r="AB43" s="274"/>
      <c r="AC43" s="4862">
        <f>+LDCP!AD22</f>
        <v>2683</v>
      </c>
      <c r="AD43" s="3413">
        <f t="shared" si="112"/>
        <v>0</v>
      </c>
      <c r="AE43" s="3413">
        <f t="shared" si="113"/>
        <v>28427</v>
      </c>
      <c r="AF43" s="274"/>
      <c r="AG43" s="4862">
        <f>+LDCP!AH22</f>
        <v>145</v>
      </c>
      <c r="AH43" s="3413">
        <f t="shared" si="114"/>
        <v>0</v>
      </c>
      <c r="AI43" s="3413">
        <f t="shared" si="115"/>
        <v>28572</v>
      </c>
      <c r="AJ43" s="274"/>
      <c r="AK43" s="4862">
        <f>+LDCP!AL22</f>
        <v>2669</v>
      </c>
      <c r="AL43" s="5062"/>
      <c r="AM43" s="3107">
        <f t="shared" si="15"/>
        <v>5497</v>
      </c>
      <c r="AN43" s="3413">
        <f t="shared" si="116"/>
        <v>0</v>
      </c>
      <c r="AO43" s="3413">
        <f t="shared" si="117"/>
        <v>31241</v>
      </c>
      <c r="AP43" s="274"/>
      <c r="AQ43" s="4862">
        <f>+LDCP!AR22</f>
        <v>3055</v>
      </c>
      <c r="AR43" s="3413">
        <f t="shared" si="118"/>
        <v>0</v>
      </c>
      <c r="AS43" s="3413">
        <f t="shared" si="119"/>
        <v>34296</v>
      </c>
      <c r="AT43" s="274"/>
      <c r="AU43" s="4862">
        <f>+LDCP!AV22</f>
        <v>2849</v>
      </c>
      <c r="AV43" s="3413">
        <f t="shared" si="120"/>
        <v>0</v>
      </c>
      <c r="AW43" s="3413">
        <f t="shared" si="121"/>
        <v>37145</v>
      </c>
      <c r="AX43" s="274"/>
      <c r="AY43" s="4862">
        <f>+LDCP!AZ22</f>
        <v>5324</v>
      </c>
      <c r="AZ43" s="5062"/>
      <c r="BA43" s="3107">
        <f t="shared" si="22"/>
        <v>11228</v>
      </c>
      <c r="BB43" s="6160">
        <f t="shared" si="122"/>
        <v>0</v>
      </c>
      <c r="BC43" s="497">
        <f t="shared" si="123"/>
        <v>16725</v>
      </c>
      <c r="BD43" s="3413">
        <f t="shared" si="124"/>
        <v>0</v>
      </c>
      <c r="BE43" s="3413">
        <f t="shared" si="125"/>
        <v>42469</v>
      </c>
      <c r="BF43" s="5172"/>
      <c r="BG43" s="26"/>
      <c r="BH43" s="5172"/>
      <c r="BI43" s="5172"/>
      <c r="BJ43" s="5172"/>
      <c r="BK43" s="5172"/>
      <c r="BL43" s="5172"/>
      <c r="BM43" s="5172"/>
      <c r="BN43" s="5172"/>
      <c r="BO43" s="5172"/>
      <c r="BP43" s="5172"/>
      <c r="BQ43" s="5172"/>
      <c r="BR43" s="5172"/>
      <c r="BS43" s="5172"/>
      <c r="BT43" s="5172"/>
      <c r="BU43" s="5172"/>
      <c r="BV43" s="5172"/>
      <c r="BW43" s="5172"/>
    </row>
    <row r="44" spans="2:75" s="5172" customFormat="1" x14ac:dyDescent="0.25">
      <c r="BB44" s="453"/>
      <c r="BC44" s="453"/>
      <c r="BG44" s="26"/>
    </row>
    <row r="45" spans="2:75" ht="18.75" x14ac:dyDescent="0.3">
      <c r="B45" s="7642" t="s">
        <v>1609</v>
      </c>
      <c r="C45" s="2181" t="s">
        <v>1610</v>
      </c>
      <c r="D45" s="2168"/>
      <c r="E45" s="2154">
        <f>+E46+E47+E48</f>
        <v>8125</v>
      </c>
      <c r="F45" s="2168"/>
      <c r="G45" s="7189">
        <f>+G46+G47+G48</f>
        <v>12002</v>
      </c>
      <c r="H45" s="2153">
        <f t="shared" si="1"/>
        <v>0</v>
      </c>
      <c r="I45" s="3705">
        <f t="shared" si="2"/>
        <v>20127</v>
      </c>
      <c r="J45" s="2154">
        <f t="shared" ref="J45:N45" si="126">+J46+J47+J48</f>
        <v>0</v>
      </c>
      <c r="K45" s="4592">
        <f>+K46+K47+K48</f>
        <v>11562</v>
      </c>
      <c r="L45" s="2152">
        <f t="shared" si="3"/>
        <v>0</v>
      </c>
      <c r="M45" s="2384">
        <f t="shared" ref="M45:M51" si="127">E45+G45+K45</f>
        <v>31689</v>
      </c>
      <c r="N45" s="2154">
        <f t="shared" si="126"/>
        <v>0</v>
      </c>
      <c r="O45" s="4784">
        <f>+O46+O47+O48</f>
        <v>22429</v>
      </c>
      <c r="P45" s="2153">
        <f t="shared" si="4"/>
        <v>0</v>
      </c>
      <c r="Q45" s="4134">
        <f t="shared" si="28"/>
        <v>54118</v>
      </c>
      <c r="R45" s="4924">
        <f t="shared" ref="R45" si="128">+R46+R47+R48</f>
        <v>0</v>
      </c>
      <c r="S45" s="4924">
        <f>+S46+S47+S48</f>
        <v>18620</v>
      </c>
      <c r="T45" s="3413">
        <f t="shared" ref="T45:T51" si="129">+P45+R45</f>
        <v>0</v>
      </c>
      <c r="U45" s="4134">
        <f t="shared" ref="U45:U51" si="130">+Q45+S45</f>
        <v>72738</v>
      </c>
      <c r="V45" s="5046">
        <f t="shared" ref="V45" si="131">+V46+V47+V48</f>
        <v>0</v>
      </c>
      <c r="W45" s="5046">
        <f>+W46+W47+W48</f>
        <v>11638</v>
      </c>
      <c r="X45" s="3550"/>
      <c r="Y45" s="3107">
        <f t="shared" si="8"/>
        <v>52687</v>
      </c>
      <c r="Z45" s="3413">
        <f t="shared" ref="Z45:Z51" si="132">+T45+V45</f>
        <v>0</v>
      </c>
      <c r="AA45" s="6160">
        <f t="shared" ref="AA45:AA51" si="133">+U45+W45</f>
        <v>84376</v>
      </c>
      <c r="AB45" s="5360">
        <f t="shared" ref="AB45" si="134">+AB46+AB47+AB48</f>
        <v>0</v>
      </c>
      <c r="AC45" s="5360">
        <f>+AC46+AC47+AC48</f>
        <v>19220</v>
      </c>
      <c r="AD45" s="3413">
        <f t="shared" ref="AD45:AD51" si="135">+Z45+AB45</f>
        <v>0</v>
      </c>
      <c r="AE45" s="4134">
        <f t="shared" ref="AE45:AE51" si="136">+AA45+AC45</f>
        <v>103596</v>
      </c>
      <c r="AF45" s="5516">
        <f t="shared" ref="AF45" si="137">+AF46+AF47+AF48</f>
        <v>0</v>
      </c>
      <c r="AG45" s="5516">
        <f>+AG46+AG47+AG48</f>
        <v>2068</v>
      </c>
      <c r="AH45" s="3413">
        <f t="shared" ref="AH45:AH51" si="138">+AD45+AF45</f>
        <v>0</v>
      </c>
      <c r="AI45" s="4134">
        <f t="shared" ref="AI45:AI51" si="139">+AE45+AG45</f>
        <v>105664</v>
      </c>
      <c r="AJ45" s="5934">
        <f t="shared" ref="AJ45" si="140">+AJ46+AJ47+AJ48</f>
        <v>0</v>
      </c>
      <c r="AK45" s="5934">
        <f>+AK46+AK47+AK48</f>
        <v>17515</v>
      </c>
      <c r="AL45" s="3550"/>
      <c r="AM45" s="3107">
        <f t="shared" ref="AM45:AM51" si="141">AC45+AG45+AK45</f>
        <v>38803</v>
      </c>
      <c r="AN45" s="3413">
        <f t="shared" ref="AN45:AN51" si="142">+AH45+AJ45</f>
        <v>0</v>
      </c>
      <c r="AO45" s="4134">
        <f t="shared" ref="AO45:AO51" si="143">+AI45+AK45</f>
        <v>123179</v>
      </c>
      <c r="AP45" s="6095">
        <f t="shared" ref="AP45" si="144">+AP46+AP47+AP48</f>
        <v>0</v>
      </c>
      <c r="AQ45" s="6095">
        <f>+AQ46+AQ47+AQ48</f>
        <v>19081</v>
      </c>
      <c r="AR45" s="3413">
        <f t="shared" ref="AR45:AR51" si="145">+AN45+AP45</f>
        <v>0</v>
      </c>
      <c r="AS45" s="4134">
        <f t="shared" ref="AS45:AS51" si="146">+AO45+AQ45</f>
        <v>142260</v>
      </c>
      <c r="AT45" s="6221">
        <f t="shared" ref="AT45" si="147">+AT46+AT47+AT48</f>
        <v>0</v>
      </c>
      <c r="AU45" s="6221">
        <f>+AU46+AU47+AU48</f>
        <v>13481</v>
      </c>
      <c r="AV45" s="3413">
        <f t="shared" ref="AV45:AV51" si="148">+AR45+AT45</f>
        <v>0</v>
      </c>
      <c r="AW45" s="4134">
        <f t="shared" ref="AW45:AW51" si="149">+AS45+AU45</f>
        <v>155741</v>
      </c>
      <c r="AX45" s="6428">
        <f t="shared" ref="AX45" si="150">+AX46+AX47+AX48</f>
        <v>0</v>
      </c>
      <c r="AY45" s="6428">
        <f>+AY46+AY47+AY48</f>
        <v>19371</v>
      </c>
      <c r="AZ45" s="3550"/>
      <c r="BA45" s="3107">
        <f t="shared" ref="BA45:BA51" si="151">AQ45+AU45+AY45</f>
        <v>51933</v>
      </c>
      <c r="BB45" s="6160">
        <f t="shared" ref="BB45:BB51" si="152">+AV45+AX45</f>
        <v>0</v>
      </c>
      <c r="BC45" s="497">
        <f t="shared" ref="BC45:BC51" si="153">AM45+BA45</f>
        <v>90736</v>
      </c>
      <c r="BD45" s="3413">
        <f t="shared" ref="BD45:BD51" si="154">+AV45+AX45</f>
        <v>0</v>
      </c>
      <c r="BE45" s="4134">
        <f t="shared" ref="BE45:BE51" si="155">+AW45+AY45</f>
        <v>175112</v>
      </c>
      <c r="BF45" s="5172"/>
      <c r="BG45" s="26"/>
    </row>
    <row r="46" spans="2:75" ht="18.75" x14ac:dyDescent="0.25">
      <c r="B46" s="7643"/>
      <c r="C46" s="2173" t="s">
        <v>792</v>
      </c>
      <c r="D46" s="1713"/>
      <c r="E46" s="207">
        <f>+SINTER!F40</f>
        <v>3023</v>
      </c>
      <c r="F46" s="1713"/>
      <c r="G46" s="207">
        <f>+SINTER!H40</f>
        <v>3012</v>
      </c>
      <c r="H46" s="2153">
        <f t="shared" si="1"/>
        <v>0</v>
      </c>
      <c r="I46" s="3407">
        <f t="shared" si="2"/>
        <v>6035</v>
      </c>
      <c r="J46" s="1713"/>
      <c r="K46" s="207">
        <f>+SINTER!L40</f>
        <v>2890</v>
      </c>
      <c r="L46" s="2152">
        <f t="shared" si="3"/>
        <v>0</v>
      </c>
      <c r="M46" s="2384">
        <f t="shared" si="127"/>
        <v>8925</v>
      </c>
      <c r="N46" s="2184"/>
      <c r="O46" s="207">
        <f>+SINTER!P40</f>
        <v>9124</v>
      </c>
      <c r="P46" s="2153">
        <f t="shared" si="4"/>
        <v>0</v>
      </c>
      <c r="Q46" s="4134">
        <f t="shared" si="28"/>
        <v>18049</v>
      </c>
      <c r="R46" s="2184"/>
      <c r="S46" s="207">
        <f>+SINTER!T40</f>
        <v>8433</v>
      </c>
      <c r="T46" s="3413">
        <f t="shared" si="129"/>
        <v>0</v>
      </c>
      <c r="U46" s="4134">
        <f t="shared" si="130"/>
        <v>26482</v>
      </c>
      <c r="V46" s="2184"/>
      <c r="W46" s="207">
        <f>+SINTER!X40</f>
        <v>4753</v>
      </c>
      <c r="X46" s="3314"/>
      <c r="Y46" s="3107">
        <f t="shared" si="8"/>
        <v>22310</v>
      </c>
      <c r="Z46" s="3413">
        <f t="shared" si="132"/>
        <v>0</v>
      </c>
      <c r="AA46" s="6160">
        <f t="shared" si="133"/>
        <v>31235</v>
      </c>
      <c r="AB46" s="2184"/>
      <c r="AC46" s="207">
        <f>+SINTER!AD40</f>
        <v>10655</v>
      </c>
      <c r="AD46" s="3413">
        <f t="shared" si="135"/>
        <v>0</v>
      </c>
      <c r="AE46" s="4134">
        <f t="shared" si="136"/>
        <v>41890</v>
      </c>
      <c r="AF46" s="2184"/>
      <c r="AG46" s="207">
        <f>+SINTER!AH40</f>
        <v>786</v>
      </c>
      <c r="AH46" s="3413">
        <f t="shared" si="138"/>
        <v>0</v>
      </c>
      <c r="AI46" s="4134">
        <f t="shared" si="139"/>
        <v>42676</v>
      </c>
      <c r="AJ46" s="2184"/>
      <c r="AK46" s="207">
        <f>+SINTER!AL40</f>
        <v>9664</v>
      </c>
      <c r="AL46" s="3314"/>
      <c r="AM46" s="3107">
        <f t="shared" si="141"/>
        <v>21105</v>
      </c>
      <c r="AN46" s="3413">
        <f t="shared" si="142"/>
        <v>0</v>
      </c>
      <c r="AO46" s="4134">
        <f t="shared" si="143"/>
        <v>52340</v>
      </c>
      <c r="AP46" s="2184"/>
      <c r="AQ46" s="207">
        <f>+SINTER!AR40</f>
        <v>9564</v>
      </c>
      <c r="AR46" s="3413">
        <f t="shared" si="145"/>
        <v>0</v>
      </c>
      <c r="AS46" s="4134">
        <f t="shared" si="146"/>
        <v>61904</v>
      </c>
      <c r="AT46" s="2184"/>
      <c r="AU46" s="207">
        <f>+SINTER!AV40</f>
        <v>3156</v>
      </c>
      <c r="AV46" s="3413">
        <f t="shared" si="148"/>
        <v>0</v>
      </c>
      <c r="AW46" s="4134">
        <f t="shared" si="149"/>
        <v>65060</v>
      </c>
      <c r="AX46" s="2184"/>
      <c r="AY46" s="207">
        <f>+SINTER!AZ40</f>
        <v>12136</v>
      </c>
      <c r="AZ46" s="3314"/>
      <c r="BA46" s="3107">
        <f t="shared" si="151"/>
        <v>24856</v>
      </c>
      <c r="BB46" s="6160">
        <f t="shared" si="152"/>
        <v>0</v>
      </c>
      <c r="BC46" s="497">
        <f t="shared" si="153"/>
        <v>45961</v>
      </c>
      <c r="BD46" s="3413">
        <f t="shared" si="154"/>
        <v>0</v>
      </c>
      <c r="BE46" s="4134">
        <f t="shared" si="155"/>
        <v>77196</v>
      </c>
      <c r="BF46" s="5172"/>
      <c r="BG46" s="26"/>
    </row>
    <row r="47" spans="2:75" ht="18.75" x14ac:dyDescent="0.25">
      <c r="B47" s="7643"/>
      <c r="C47" s="2173" t="s">
        <v>791</v>
      </c>
      <c r="D47" s="1713"/>
      <c r="E47" s="207">
        <f>+SINTER!F41</f>
        <v>599</v>
      </c>
      <c r="F47" s="1713"/>
      <c r="G47" s="207">
        <f>+SINTER!H41</f>
        <v>1342</v>
      </c>
      <c r="H47" s="2153">
        <f t="shared" si="1"/>
        <v>0</v>
      </c>
      <c r="I47" s="3407">
        <f t="shared" si="2"/>
        <v>1941</v>
      </c>
      <c r="J47" s="1713"/>
      <c r="K47" s="207">
        <f>+SINTER!L41</f>
        <v>3535</v>
      </c>
      <c r="L47" s="2152">
        <f t="shared" si="3"/>
        <v>0</v>
      </c>
      <c r="M47" s="2384">
        <f t="shared" si="127"/>
        <v>5476</v>
      </c>
      <c r="N47" s="2184"/>
      <c r="O47" s="207">
        <f>+SINTER!P41</f>
        <v>3602</v>
      </c>
      <c r="P47" s="2153">
        <f t="shared" si="4"/>
        <v>0</v>
      </c>
      <c r="Q47" s="4134">
        <f t="shared" si="28"/>
        <v>9078</v>
      </c>
      <c r="R47" s="2184"/>
      <c r="S47" s="207">
        <f>+SINTER!T41</f>
        <v>1929</v>
      </c>
      <c r="T47" s="3413">
        <f t="shared" si="129"/>
        <v>0</v>
      </c>
      <c r="U47" s="4134">
        <f t="shared" si="130"/>
        <v>11007</v>
      </c>
      <c r="V47" s="2184"/>
      <c r="W47" s="207">
        <f>+SINTER!X41</f>
        <v>160</v>
      </c>
      <c r="X47" s="3314"/>
      <c r="Y47" s="3107">
        <f t="shared" si="8"/>
        <v>5691</v>
      </c>
      <c r="Z47" s="3413">
        <f t="shared" si="132"/>
        <v>0</v>
      </c>
      <c r="AA47" s="6160">
        <f t="shared" si="133"/>
        <v>11167</v>
      </c>
      <c r="AB47" s="2184"/>
      <c r="AC47" s="207">
        <f>+SINTER!AD41</f>
        <v>821</v>
      </c>
      <c r="AD47" s="3413">
        <f t="shared" si="135"/>
        <v>0</v>
      </c>
      <c r="AE47" s="4134">
        <f t="shared" si="136"/>
        <v>11988</v>
      </c>
      <c r="AF47" s="2184"/>
      <c r="AG47" s="207">
        <f>+SINTER!AH41</f>
        <v>586</v>
      </c>
      <c r="AH47" s="3413">
        <f t="shared" si="138"/>
        <v>0</v>
      </c>
      <c r="AI47" s="4134">
        <f t="shared" si="139"/>
        <v>12574</v>
      </c>
      <c r="AJ47" s="2184"/>
      <c r="AK47" s="207">
        <f>+SINTER!AL41</f>
        <v>2031</v>
      </c>
      <c r="AL47" s="3314"/>
      <c r="AM47" s="3107">
        <f t="shared" si="141"/>
        <v>3438</v>
      </c>
      <c r="AN47" s="3413">
        <f t="shared" si="142"/>
        <v>0</v>
      </c>
      <c r="AO47" s="4134">
        <f t="shared" si="143"/>
        <v>14605</v>
      </c>
      <c r="AP47" s="2184"/>
      <c r="AQ47" s="207">
        <f>+SINTER!AR41</f>
        <v>1653</v>
      </c>
      <c r="AR47" s="3413">
        <f t="shared" si="145"/>
        <v>0</v>
      </c>
      <c r="AS47" s="4134">
        <f t="shared" si="146"/>
        <v>16258</v>
      </c>
      <c r="AT47" s="2184"/>
      <c r="AU47" s="207">
        <f>+SINTER!AV41</f>
        <v>1007</v>
      </c>
      <c r="AV47" s="3413">
        <f t="shared" si="148"/>
        <v>0</v>
      </c>
      <c r="AW47" s="4134">
        <f t="shared" si="149"/>
        <v>17265</v>
      </c>
      <c r="AX47" s="2184"/>
      <c r="AY47" s="207">
        <f>+SINTER!AZ41</f>
        <v>96</v>
      </c>
      <c r="AZ47" s="3314"/>
      <c r="BA47" s="3107">
        <f t="shared" si="151"/>
        <v>2756</v>
      </c>
      <c r="BB47" s="6160">
        <f t="shared" si="152"/>
        <v>0</v>
      </c>
      <c r="BC47" s="497">
        <f t="shared" si="153"/>
        <v>6194</v>
      </c>
      <c r="BD47" s="3413">
        <f t="shared" si="154"/>
        <v>0</v>
      </c>
      <c r="BE47" s="4134">
        <f t="shared" si="155"/>
        <v>17361</v>
      </c>
      <c r="BF47" s="5172"/>
      <c r="BG47" s="26"/>
    </row>
    <row r="48" spans="2:75" ht="18.75" x14ac:dyDescent="0.25">
      <c r="B48" s="7644"/>
      <c r="C48" s="2173" t="s">
        <v>996</v>
      </c>
      <c r="D48" s="1713"/>
      <c r="E48" s="207">
        <f>+SINTER!F43</f>
        <v>4503</v>
      </c>
      <c r="F48" s="1713"/>
      <c r="G48" s="207">
        <f>+SINTER!H43</f>
        <v>7648</v>
      </c>
      <c r="H48" s="2153">
        <f t="shared" si="1"/>
        <v>0</v>
      </c>
      <c r="I48" s="3407">
        <f t="shared" si="2"/>
        <v>12151</v>
      </c>
      <c r="J48" s="1713"/>
      <c r="K48" s="207">
        <f>+SINTER!L43</f>
        <v>5137</v>
      </c>
      <c r="L48" s="2152">
        <f t="shared" si="3"/>
        <v>0</v>
      </c>
      <c r="M48" s="2384">
        <f t="shared" si="127"/>
        <v>17288</v>
      </c>
      <c r="N48" s="2184"/>
      <c r="O48" s="207">
        <f>+SINTER!P43</f>
        <v>9703</v>
      </c>
      <c r="P48" s="2153">
        <f t="shared" si="4"/>
        <v>0</v>
      </c>
      <c r="Q48" s="4134">
        <f t="shared" si="28"/>
        <v>26991</v>
      </c>
      <c r="R48" s="2184"/>
      <c r="S48" s="207">
        <f>+SINTER!T43</f>
        <v>8258</v>
      </c>
      <c r="T48" s="3413">
        <f t="shared" si="129"/>
        <v>0</v>
      </c>
      <c r="U48" s="4134">
        <f t="shared" si="130"/>
        <v>35249</v>
      </c>
      <c r="V48" s="2184"/>
      <c r="W48" s="207">
        <f>+SINTER!X43</f>
        <v>6725</v>
      </c>
      <c r="X48" s="3314"/>
      <c r="Y48" s="3107">
        <f t="shared" si="8"/>
        <v>24686</v>
      </c>
      <c r="Z48" s="3413">
        <f t="shared" si="132"/>
        <v>0</v>
      </c>
      <c r="AA48" s="6160">
        <f t="shared" si="133"/>
        <v>41974</v>
      </c>
      <c r="AB48" s="2184"/>
      <c r="AC48" s="207">
        <f>+SINTER!AD43</f>
        <v>7744</v>
      </c>
      <c r="AD48" s="3413">
        <f t="shared" si="135"/>
        <v>0</v>
      </c>
      <c r="AE48" s="4134">
        <f t="shared" si="136"/>
        <v>49718</v>
      </c>
      <c r="AF48" s="2184"/>
      <c r="AG48" s="207">
        <f>+SINTER!AH43</f>
        <v>696</v>
      </c>
      <c r="AH48" s="3413">
        <f t="shared" si="138"/>
        <v>0</v>
      </c>
      <c r="AI48" s="4134">
        <f t="shared" si="139"/>
        <v>50414</v>
      </c>
      <c r="AJ48" s="2184"/>
      <c r="AK48" s="207">
        <f>+SINTER!AL43</f>
        <v>5820</v>
      </c>
      <c r="AL48" s="3314"/>
      <c r="AM48" s="3107">
        <f t="shared" si="141"/>
        <v>14260</v>
      </c>
      <c r="AN48" s="3413">
        <f t="shared" si="142"/>
        <v>0</v>
      </c>
      <c r="AO48" s="4134">
        <f t="shared" si="143"/>
        <v>56234</v>
      </c>
      <c r="AP48" s="2184"/>
      <c r="AQ48" s="207">
        <f>+SINTER!AR43</f>
        <v>7864</v>
      </c>
      <c r="AR48" s="3413">
        <f t="shared" si="145"/>
        <v>0</v>
      </c>
      <c r="AS48" s="4134">
        <f t="shared" si="146"/>
        <v>64098</v>
      </c>
      <c r="AT48" s="2184"/>
      <c r="AU48" s="207">
        <f>+SINTER!AV43</f>
        <v>9318</v>
      </c>
      <c r="AV48" s="3413">
        <f t="shared" si="148"/>
        <v>0</v>
      </c>
      <c r="AW48" s="4134">
        <f t="shared" si="149"/>
        <v>73416</v>
      </c>
      <c r="AX48" s="2184"/>
      <c r="AY48" s="207">
        <f>+SINTER!AZ43</f>
        <v>7139</v>
      </c>
      <c r="AZ48" s="3314"/>
      <c r="BA48" s="3107">
        <f t="shared" si="151"/>
        <v>24321</v>
      </c>
      <c r="BB48" s="6160">
        <f t="shared" si="152"/>
        <v>0</v>
      </c>
      <c r="BC48" s="497">
        <f t="shared" si="153"/>
        <v>38581</v>
      </c>
      <c r="BD48" s="3413">
        <f t="shared" si="154"/>
        <v>0</v>
      </c>
      <c r="BE48" s="4134">
        <f t="shared" si="155"/>
        <v>80555</v>
      </c>
      <c r="BF48" s="5172"/>
      <c r="BG48" s="26"/>
    </row>
    <row r="49" spans="1:69" ht="18.75" x14ac:dyDescent="0.25">
      <c r="B49" s="7642" t="s">
        <v>989</v>
      </c>
      <c r="C49" s="2175" t="s">
        <v>1611</v>
      </c>
      <c r="D49" s="2170"/>
      <c r="E49" s="621">
        <f>+SINTER!F20</f>
        <v>394521</v>
      </c>
      <c r="F49" s="2170"/>
      <c r="G49" s="621">
        <f>+SINTER!H20</f>
        <v>431004</v>
      </c>
      <c r="H49" s="2153">
        <f t="shared" si="1"/>
        <v>0</v>
      </c>
      <c r="I49" s="3705">
        <f t="shared" si="2"/>
        <v>825525</v>
      </c>
      <c r="J49" s="2170"/>
      <c r="K49" s="621">
        <f>+SINTER!L20</f>
        <v>311256</v>
      </c>
      <c r="L49" s="2152">
        <f t="shared" si="3"/>
        <v>0</v>
      </c>
      <c r="M49" s="3121">
        <f t="shared" si="127"/>
        <v>1136781</v>
      </c>
      <c r="N49" s="184"/>
      <c r="O49" s="621">
        <f>+SINTER!P20</f>
        <v>464790</v>
      </c>
      <c r="P49" s="2153">
        <f t="shared" si="4"/>
        <v>0</v>
      </c>
      <c r="Q49" s="4134">
        <f t="shared" si="28"/>
        <v>1601571</v>
      </c>
      <c r="R49" s="184"/>
      <c r="S49" s="621">
        <f>+SINTER!T20</f>
        <v>435425</v>
      </c>
      <c r="T49" s="3413">
        <f t="shared" si="129"/>
        <v>0</v>
      </c>
      <c r="U49" s="4134">
        <f t="shared" si="130"/>
        <v>2036996</v>
      </c>
      <c r="V49" s="184"/>
      <c r="W49" s="621">
        <f>+SINTER!X20</f>
        <v>451350</v>
      </c>
      <c r="X49" s="3144"/>
      <c r="Y49" s="3107">
        <f t="shared" si="8"/>
        <v>1351565</v>
      </c>
      <c r="Z49" s="3413">
        <f t="shared" si="132"/>
        <v>0</v>
      </c>
      <c r="AA49" s="6160">
        <f t="shared" si="133"/>
        <v>2488346</v>
      </c>
      <c r="AB49" s="184"/>
      <c r="AC49" s="621">
        <f>+SINTER!AD20</f>
        <v>446586</v>
      </c>
      <c r="AD49" s="3413">
        <f t="shared" si="135"/>
        <v>0</v>
      </c>
      <c r="AE49" s="4134">
        <f t="shared" si="136"/>
        <v>2934932</v>
      </c>
      <c r="AF49" s="184"/>
      <c r="AG49" s="621">
        <f>+SINTER!AH20</f>
        <v>27818</v>
      </c>
      <c r="AH49" s="3413">
        <f t="shared" si="138"/>
        <v>0</v>
      </c>
      <c r="AI49" s="4134">
        <f t="shared" si="139"/>
        <v>2962750</v>
      </c>
      <c r="AJ49" s="184"/>
      <c r="AK49" s="621">
        <f>+SINTER!AL20</f>
        <v>433115.14</v>
      </c>
      <c r="AL49" s="3144"/>
      <c r="AM49" s="3121">
        <f t="shared" si="141"/>
        <v>907519.14</v>
      </c>
      <c r="AN49" s="3413">
        <f t="shared" si="142"/>
        <v>0</v>
      </c>
      <c r="AO49" s="4134">
        <f t="shared" si="143"/>
        <v>3395865.14</v>
      </c>
      <c r="AP49" s="184"/>
      <c r="AQ49" s="621">
        <f>+SINTER!AR20</f>
        <v>441913</v>
      </c>
      <c r="AR49" s="3413">
        <f t="shared" si="145"/>
        <v>0</v>
      </c>
      <c r="AS49" s="4134">
        <f t="shared" si="146"/>
        <v>3837778.14</v>
      </c>
      <c r="AT49" s="184"/>
      <c r="AU49" s="621">
        <f>+SINTER!AV20</f>
        <v>418078</v>
      </c>
      <c r="AV49" s="3413">
        <f t="shared" si="148"/>
        <v>0</v>
      </c>
      <c r="AW49" s="4134">
        <f t="shared" si="149"/>
        <v>4255856.1400000006</v>
      </c>
      <c r="AX49" s="184"/>
      <c r="AY49" s="621">
        <f>+SINTER!AZ20</f>
        <v>504215</v>
      </c>
      <c r="AZ49" s="3144"/>
      <c r="BA49" s="3107">
        <f t="shared" si="151"/>
        <v>1364206</v>
      </c>
      <c r="BB49" s="6160">
        <f t="shared" si="152"/>
        <v>0</v>
      </c>
      <c r="BC49" s="497">
        <f t="shared" si="153"/>
        <v>2271725.14</v>
      </c>
      <c r="BD49" s="3413">
        <f t="shared" si="154"/>
        <v>0</v>
      </c>
      <c r="BE49" s="4134">
        <f t="shared" si="155"/>
        <v>4760071.1400000006</v>
      </c>
      <c r="BF49" s="5172"/>
      <c r="BG49" s="26"/>
    </row>
    <row r="50" spans="1:69" ht="18.75" x14ac:dyDescent="0.25">
      <c r="B50" s="7643"/>
      <c r="C50" s="2175" t="s">
        <v>1612</v>
      </c>
      <c r="D50" s="2170"/>
      <c r="E50" s="270">
        <f t="shared" ref="E50:N50" si="156">SUM(E46:E48)</f>
        <v>8125</v>
      </c>
      <c r="F50" s="270">
        <f t="shared" si="156"/>
        <v>0</v>
      </c>
      <c r="G50" s="7190">
        <f t="shared" ref="G50" si="157">SUM(G46:G48)</f>
        <v>12002</v>
      </c>
      <c r="H50" s="2153">
        <f t="shared" si="1"/>
        <v>0</v>
      </c>
      <c r="I50" s="3705">
        <f t="shared" si="2"/>
        <v>20127</v>
      </c>
      <c r="J50" s="270">
        <f t="shared" si="156"/>
        <v>0</v>
      </c>
      <c r="K50" s="4593">
        <f t="shared" si="156"/>
        <v>11562</v>
      </c>
      <c r="L50" s="2152">
        <f t="shared" si="3"/>
        <v>0</v>
      </c>
      <c r="M50" s="3121">
        <f t="shared" si="127"/>
        <v>31689</v>
      </c>
      <c r="N50" s="270">
        <f t="shared" si="156"/>
        <v>0</v>
      </c>
      <c r="O50" s="4785">
        <f t="shared" ref="O50" si="158">SUM(O46:O48)</f>
        <v>22429</v>
      </c>
      <c r="P50" s="2153">
        <f t="shared" si="4"/>
        <v>0</v>
      </c>
      <c r="Q50" s="4134">
        <f t="shared" si="28"/>
        <v>54118</v>
      </c>
      <c r="R50" s="4922">
        <f t="shared" ref="R50" si="159">SUM(R46:R48)</f>
        <v>0</v>
      </c>
      <c r="S50" s="4922">
        <f t="shared" ref="S50" si="160">SUM(S46:S48)</f>
        <v>18620</v>
      </c>
      <c r="T50" s="3413">
        <f t="shared" si="129"/>
        <v>0</v>
      </c>
      <c r="U50" s="4134">
        <f t="shared" si="130"/>
        <v>72738</v>
      </c>
      <c r="V50" s="5047">
        <f t="shared" ref="V50:W50" si="161">SUM(V46:V48)</f>
        <v>0</v>
      </c>
      <c r="W50" s="5047">
        <f t="shared" si="161"/>
        <v>11638</v>
      </c>
      <c r="X50" s="3929"/>
      <c r="Y50" s="3107">
        <f t="shared" si="8"/>
        <v>52687</v>
      </c>
      <c r="Z50" s="3413">
        <f t="shared" si="132"/>
        <v>0</v>
      </c>
      <c r="AA50" s="6160">
        <f t="shared" si="133"/>
        <v>84376</v>
      </c>
      <c r="AB50" s="5362">
        <f t="shared" ref="AB50:AC50" si="162">SUM(AB46:AB48)</f>
        <v>0</v>
      </c>
      <c r="AC50" s="5362">
        <f t="shared" si="162"/>
        <v>19220</v>
      </c>
      <c r="AD50" s="3413">
        <f t="shared" si="135"/>
        <v>0</v>
      </c>
      <c r="AE50" s="4134">
        <f t="shared" si="136"/>
        <v>103596</v>
      </c>
      <c r="AF50" s="5518">
        <f t="shared" ref="AF50:AG50" si="163">SUM(AF46:AF48)</f>
        <v>0</v>
      </c>
      <c r="AG50" s="5518">
        <f t="shared" si="163"/>
        <v>2068</v>
      </c>
      <c r="AH50" s="3413">
        <f t="shared" si="138"/>
        <v>0</v>
      </c>
      <c r="AI50" s="4134">
        <f t="shared" si="139"/>
        <v>105664</v>
      </c>
      <c r="AJ50" s="5932">
        <f t="shared" ref="AJ50:AK50" si="164">SUM(AJ46:AJ48)</f>
        <v>0</v>
      </c>
      <c r="AK50" s="5932">
        <f t="shared" si="164"/>
        <v>17515</v>
      </c>
      <c r="AL50" s="3929"/>
      <c r="AM50" s="3121">
        <f t="shared" si="141"/>
        <v>38803</v>
      </c>
      <c r="AN50" s="3413">
        <f t="shared" si="142"/>
        <v>0</v>
      </c>
      <c r="AO50" s="4134">
        <f t="shared" si="143"/>
        <v>123179</v>
      </c>
      <c r="AP50" s="6093">
        <f t="shared" ref="AP50:AQ50" si="165">SUM(AP46:AP48)</f>
        <v>0</v>
      </c>
      <c r="AQ50" s="6093">
        <f t="shared" si="165"/>
        <v>19081</v>
      </c>
      <c r="AR50" s="3413">
        <f t="shared" si="145"/>
        <v>0</v>
      </c>
      <c r="AS50" s="4134">
        <f t="shared" si="146"/>
        <v>142260</v>
      </c>
      <c r="AT50" s="6219">
        <f t="shared" ref="AT50:AU50" si="166">SUM(AT46:AT48)</f>
        <v>0</v>
      </c>
      <c r="AU50" s="6219">
        <f t="shared" si="166"/>
        <v>13481</v>
      </c>
      <c r="AV50" s="3413">
        <f t="shared" si="148"/>
        <v>0</v>
      </c>
      <c r="AW50" s="4134">
        <f t="shared" si="149"/>
        <v>155741</v>
      </c>
      <c r="AX50" s="6426">
        <f t="shared" ref="AX50:AY50" si="167">SUM(AX46:AX48)</f>
        <v>0</v>
      </c>
      <c r="AY50" s="6426">
        <f t="shared" si="167"/>
        <v>19371</v>
      </c>
      <c r="AZ50" s="3929"/>
      <c r="BA50" s="3107">
        <f t="shared" si="151"/>
        <v>51933</v>
      </c>
      <c r="BB50" s="6160">
        <f t="shared" si="152"/>
        <v>0</v>
      </c>
      <c r="BC50" s="497">
        <f t="shared" si="153"/>
        <v>90736</v>
      </c>
      <c r="BD50" s="3413">
        <f t="shared" si="154"/>
        <v>0</v>
      </c>
      <c r="BE50" s="4134">
        <f t="shared" si="155"/>
        <v>175112</v>
      </c>
      <c r="BF50" s="5172"/>
      <c r="BG50" s="26"/>
    </row>
    <row r="51" spans="1:69" s="1833" customFormat="1" ht="18.75" x14ac:dyDescent="0.25">
      <c r="A51" s="2156"/>
      <c r="B51" s="7644"/>
      <c r="C51" s="2175" t="s">
        <v>1613</v>
      </c>
      <c r="D51" s="2170"/>
      <c r="E51" s="270">
        <f t="shared" ref="E51:N51" si="168">SUM(E49:E50)</f>
        <v>402646</v>
      </c>
      <c r="F51" s="270">
        <f t="shared" si="168"/>
        <v>0</v>
      </c>
      <c r="G51" s="621">
        <f t="shared" ref="G51" si="169">SUM(G49:G50)</f>
        <v>443006</v>
      </c>
      <c r="H51" s="2153">
        <f t="shared" si="1"/>
        <v>0</v>
      </c>
      <c r="I51" s="3705">
        <f t="shared" si="2"/>
        <v>845652</v>
      </c>
      <c r="J51" s="270">
        <f t="shared" si="168"/>
        <v>0</v>
      </c>
      <c r="K51" s="4593">
        <f t="shared" si="168"/>
        <v>322818</v>
      </c>
      <c r="L51" s="2152">
        <f t="shared" si="3"/>
        <v>0</v>
      </c>
      <c r="M51" s="3121">
        <f t="shared" si="127"/>
        <v>1168470</v>
      </c>
      <c r="N51" s="270">
        <f t="shared" si="168"/>
        <v>0</v>
      </c>
      <c r="O51" s="4785">
        <f t="shared" ref="O51" si="170">SUM(O49:O50)</f>
        <v>487219</v>
      </c>
      <c r="P51" s="2153">
        <f t="shared" si="4"/>
        <v>0</v>
      </c>
      <c r="Q51" s="4134">
        <f t="shared" si="28"/>
        <v>1655689</v>
      </c>
      <c r="R51" s="4922">
        <f t="shared" ref="R51:S51" si="171">SUM(R49:R50)</f>
        <v>0</v>
      </c>
      <c r="S51" s="621">
        <f t="shared" si="171"/>
        <v>454045</v>
      </c>
      <c r="T51" s="3413">
        <f t="shared" si="129"/>
        <v>0</v>
      </c>
      <c r="U51" s="4134">
        <f t="shared" si="130"/>
        <v>2109734</v>
      </c>
      <c r="V51" s="5047">
        <f t="shared" ref="V51:W51" si="172">SUM(V49:V50)</f>
        <v>0</v>
      </c>
      <c r="W51" s="621">
        <f t="shared" si="172"/>
        <v>462988</v>
      </c>
      <c r="X51" s="3144"/>
      <c r="Y51" s="3107">
        <f t="shared" si="8"/>
        <v>1404252</v>
      </c>
      <c r="Z51" s="3413">
        <f t="shared" si="132"/>
        <v>0</v>
      </c>
      <c r="AA51" s="6160">
        <f t="shared" si="133"/>
        <v>2572722</v>
      </c>
      <c r="AB51" s="5362">
        <f t="shared" ref="AB51:AC51" si="173">SUM(AB49:AB50)</f>
        <v>0</v>
      </c>
      <c r="AC51" s="621">
        <f t="shared" si="173"/>
        <v>465806</v>
      </c>
      <c r="AD51" s="3413">
        <f t="shared" si="135"/>
        <v>0</v>
      </c>
      <c r="AE51" s="4134">
        <f t="shared" si="136"/>
        <v>3038528</v>
      </c>
      <c r="AF51" s="5518">
        <f t="shared" ref="AF51:AG51" si="174">SUM(AF49:AF50)</f>
        <v>0</v>
      </c>
      <c r="AG51" s="621">
        <f t="shared" si="174"/>
        <v>29886</v>
      </c>
      <c r="AH51" s="3413">
        <f t="shared" si="138"/>
        <v>0</v>
      </c>
      <c r="AI51" s="4134">
        <f t="shared" si="139"/>
        <v>3068414</v>
      </c>
      <c r="AJ51" s="5932">
        <f t="shared" ref="AJ51:AK51" si="175">SUM(AJ49:AJ50)</f>
        <v>0</v>
      </c>
      <c r="AK51" s="621">
        <f t="shared" si="175"/>
        <v>450630.14</v>
      </c>
      <c r="AL51" s="3144"/>
      <c r="AM51" s="3121">
        <f t="shared" si="141"/>
        <v>946322.14</v>
      </c>
      <c r="AN51" s="3413">
        <f t="shared" si="142"/>
        <v>0</v>
      </c>
      <c r="AO51" s="4134">
        <f t="shared" si="143"/>
        <v>3519044.14</v>
      </c>
      <c r="AP51" s="6093">
        <f t="shared" ref="AP51:AQ51" si="176">SUM(AP49:AP50)</f>
        <v>0</v>
      </c>
      <c r="AQ51" s="621">
        <f t="shared" si="176"/>
        <v>460994</v>
      </c>
      <c r="AR51" s="3413">
        <f t="shared" si="145"/>
        <v>0</v>
      </c>
      <c r="AS51" s="4134">
        <f t="shared" si="146"/>
        <v>3980038.14</v>
      </c>
      <c r="AT51" s="6219">
        <f t="shared" ref="AT51:AU51" si="177">SUM(AT49:AT50)</f>
        <v>0</v>
      </c>
      <c r="AU51" s="621">
        <f t="shared" si="177"/>
        <v>431559</v>
      </c>
      <c r="AV51" s="3413">
        <f t="shared" si="148"/>
        <v>0</v>
      </c>
      <c r="AW51" s="4134">
        <f t="shared" si="149"/>
        <v>4411597.1400000006</v>
      </c>
      <c r="AX51" s="6426">
        <f t="shared" ref="AX51:AY51" si="178">SUM(AX49:AX50)</f>
        <v>0</v>
      </c>
      <c r="AY51" s="621">
        <f t="shared" si="178"/>
        <v>523586</v>
      </c>
      <c r="AZ51" s="3144"/>
      <c r="BA51" s="3107">
        <f t="shared" si="151"/>
        <v>1416139</v>
      </c>
      <c r="BB51" s="6160">
        <f t="shared" si="152"/>
        <v>0</v>
      </c>
      <c r="BC51" s="497">
        <f t="shared" si="153"/>
        <v>2362461.14</v>
      </c>
      <c r="BD51" s="3413">
        <f t="shared" si="154"/>
        <v>0</v>
      </c>
      <c r="BE51" s="4134">
        <f t="shared" si="155"/>
        <v>4935183.1400000006</v>
      </c>
      <c r="BF51" s="5172"/>
      <c r="BG51" s="26"/>
    </row>
    <row r="52" spans="1:69" s="1833" customFormat="1" ht="18.75" x14ac:dyDescent="0.3">
      <c r="A52" s="2156"/>
      <c r="B52" s="2190"/>
      <c r="C52" s="2180"/>
      <c r="D52" s="2172"/>
      <c r="E52" s="3168"/>
      <c r="F52" s="3168"/>
      <c r="G52" s="3168"/>
      <c r="H52" s="3168"/>
      <c r="I52" s="3168"/>
      <c r="J52" s="3168"/>
      <c r="K52" s="3168"/>
      <c r="L52" s="3168"/>
      <c r="M52" s="3168"/>
      <c r="N52" s="3168"/>
      <c r="O52" s="3168"/>
      <c r="P52" s="3168"/>
      <c r="Q52" s="3168"/>
      <c r="R52" s="3168"/>
      <c r="S52" s="3168"/>
      <c r="T52" s="3168"/>
      <c r="U52" s="3168"/>
      <c r="V52" s="3168"/>
      <c r="W52" s="3168"/>
      <c r="X52" s="5063"/>
      <c r="Y52" s="3107"/>
      <c r="Z52" s="3168"/>
      <c r="AA52" s="3168"/>
      <c r="AB52" s="3168"/>
      <c r="AC52" s="3168"/>
      <c r="AD52" s="3168"/>
      <c r="AE52" s="3168"/>
      <c r="AF52" s="3168"/>
      <c r="AG52" s="3168"/>
      <c r="AH52" s="3168"/>
      <c r="AI52" s="3168"/>
      <c r="AJ52" s="3168"/>
      <c r="AK52" s="3168"/>
      <c r="AL52" s="5063"/>
      <c r="AM52" s="3107"/>
      <c r="AN52" s="3168"/>
      <c r="AO52" s="3168"/>
      <c r="AP52" s="3168"/>
      <c r="AQ52" s="3168"/>
      <c r="AR52" s="3168"/>
      <c r="AS52" s="3168"/>
      <c r="AT52" s="3168"/>
      <c r="AU52" s="3168"/>
      <c r="AV52" s="3168"/>
      <c r="AW52" s="3168"/>
      <c r="AX52" s="3168"/>
      <c r="AY52" s="3168"/>
      <c r="AZ52" s="5063"/>
      <c r="BA52" s="3107"/>
      <c r="BB52" s="6445"/>
      <c r="BC52" s="6445"/>
      <c r="BD52" s="3168"/>
      <c r="BE52" s="3168"/>
      <c r="BF52" s="5172"/>
      <c r="BG52" s="26"/>
    </row>
    <row r="53" spans="1:69" ht="18.75" x14ac:dyDescent="0.3">
      <c r="B53" s="7631" t="s">
        <v>1614</v>
      </c>
      <c r="C53" s="2177" t="s">
        <v>1468</v>
      </c>
      <c r="D53" s="2171"/>
      <c r="E53" s="3169"/>
      <c r="F53" s="3169"/>
      <c r="G53" s="3169"/>
      <c r="H53" s="3169"/>
      <c r="I53" s="3169"/>
      <c r="J53" s="3169"/>
      <c r="K53" s="3169"/>
      <c r="L53" s="3169"/>
      <c r="M53" s="3169"/>
      <c r="N53" s="3169"/>
      <c r="O53" s="3169"/>
      <c r="P53" s="3169">
        <f t="shared" ref="P53" si="179">+P50-P52</f>
        <v>0</v>
      </c>
      <c r="Q53" s="3169"/>
      <c r="R53" s="3169"/>
      <c r="S53" s="3169"/>
      <c r="T53" s="3169">
        <f t="shared" ref="T53" si="180">+T50-T52</f>
        <v>0</v>
      </c>
      <c r="U53" s="3169"/>
      <c r="V53" s="3169"/>
      <c r="W53" s="3169"/>
      <c r="X53" s="5059"/>
      <c r="Y53" s="3107"/>
      <c r="Z53" s="3169"/>
      <c r="AA53" s="3169"/>
      <c r="AB53" s="3169"/>
      <c r="AC53" s="3169"/>
      <c r="AD53" s="3169">
        <f t="shared" ref="AD53" si="181">+AD50-AD52</f>
        <v>0</v>
      </c>
      <c r="AE53" s="3169"/>
      <c r="AF53" s="3169"/>
      <c r="AG53" s="3169"/>
      <c r="AH53" s="3169">
        <f t="shared" ref="AH53" si="182">+AH50-AH52</f>
        <v>0</v>
      </c>
      <c r="AI53" s="3169"/>
      <c r="AJ53" s="3169"/>
      <c r="AK53" s="3169"/>
      <c r="AL53" s="5059"/>
      <c r="AM53" s="3107"/>
      <c r="AN53" s="3169">
        <f t="shared" ref="AN53" si="183">+AN50-AN52</f>
        <v>0</v>
      </c>
      <c r="AO53" s="3169"/>
      <c r="AP53" s="3169"/>
      <c r="AQ53" s="3169"/>
      <c r="AR53" s="3169"/>
      <c r="AS53" s="3169"/>
      <c r="AT53" s="3169"/>
      <c r="AU53" s="3169"/>
      <c r="AV53" s="3169"/>
      <c r="AW53" s="3169"/>
      <c r="AX53" s="3169"/>
      <c r="AY53" s="3169"/>
      <c r="AZ53" s="5059"/>
      <c r="BA53" s="3107"/>
      <c r="BB53" s="6446"/>
      <c r="BC53" s="6446"/>
      <c r="BD53" s="3169"/>
      <c r="BE53" s="3169"/>
      <c r="BF53" s="5172"/>
      <c r="BG53" s="26"/>
    </row>
    <row r="54" spans="1:69" ht="18.75" x14ac:dyDescent="0.25">
      <c r="B54" s="7631"/>
      <c r="C54" s="2173" t="s">
        <v>1615</v>
      </c>
      <c r="D54" s="1713"/>
      <c r="E54" s="2151">
        <v>66237</v>
      </c>
      <c r="F54" s="1713"/>
      <c r="G54" s="4137">
        <v>66237</v>
      </c>
      <c r="H54" s="2153">
        <f t="shared" si="1"/>
        <v>0</v>
      </c>
      <c r="I54" s="3407">
        <f t="shared" si="2"/>
        <v>132474</v>
      </c>
      <c r="J54" s="1713"/>
      <c r="K54" s="4137">
        <v>39185</v>
      </c>
      <c r="L54" s="2152">
        <f t="shared" si="3"/>
        <v>0</v>
      </c>
      <c r="M54" s="2384">
        <f t="shared" ref="M54:M61" si="184">E54+G54+K54</f>
        <v>171659</v>
      </c>
      <c r="N54" s="2184"/>
      <c r="O54" s="4137">
        <v>51387</v>
      </c>
      <c r="P54" s="2153">
        <f t="shared" si="4"/>
        <v>0</v>
      </c>
      <c r="Q54" s="2153">
        <f t="shared" si="28"/>
        <v>223046</v>
      </c>
      <c r="R54" s="2184"/>
      <c r="S54" s="4137">
        <v>56233</v>
      </c>
      <c r="T54" s="3413">
        <f t="shared" ref="T54:T61" si="185">+P54+R54</f>
        <v>0</v>
      </c>
      <c r="U54" s="3413">
        <f t="shared" ref="U54:U62" si="186">+Q54+S54</f>
        <v>279279</v>
      </c>
      <c r="V54" s="2184"/>
      <c r="W54" s="4137">
        <v>75315</v>
      </c>
      <c r="X54" s="4668"/>
      <c r="Y54" s="3107">
        <f t="shared" si="8"/>
        <v>182935</v>
      </c>
      <c r="Z54" s="3413">
        <f t="shared" ref="Z54:Z61" si="187">+T54+V54</f>
        <v>0</v>
      </c>
      <c r="AA54" s="6160">
        <f t="shared" ref="AA54:AA61" si="188">+U54+W54</f>
        <v>354594</v>
      </c>
      <c r="AB54" s="2184"/>
      <c r="AC54" s="4137">
        <v>52308</v>
      </c>
      <c r="AD54" s="3413">
        <f t="shared" ref="AD54:AD61" si="189">+Z54+AB54</f>
        <v>0</v>
      </c>
      <c r="AE54" s="3413">
        <f t="shared" ref="AE54:AE62" si="190">+AA54+AC54</f>
        <v>406902</v>
      </c>
      <c r="AF54" s="2184"/>
      <c r="AG54" s="4137">
        <v>1318</v>
      </c>
      <c r="AH54" s="3413">
        <f t="shared" ref="AH54:AH61" si="191">+AD54+AF54</f>
        <v>0</v>
      </c>
      <c r="AI54" s="3413">
        <f t="shared" ref="AI54:AI62" si="192">+AE54+AG54</f>
        <v>408220</v>
      </c>
      <c r="AJ54" s="2184"/>
      <c r="AK54" s="4137">
        <v>53936</v>
      </c>
      <c r="AL54" s="5173"/>
      <c r="AM54" s="3107">
        <f t="shared" ref="AM54:AM62" si="193">AC54+AG54+AK54</f>
        <v>107562</v>
      </c>
      <c r="AN54" s="3413">
        <f t="shared" ref="AN54:AN61" si="194">+AH54+AJ54</f>
        <v>0</v>
      </c>
      <c r="AO54" s="3413">
        <f t="shared" ref="AO54:AO62" si="195">+AI54+AK54</f>
        <v>462156</v>
      </c>
      <c r="AP54" s="2184"/>
      <c r="AQ54" s="4137">
        <v>74141</v>
      </c>
      <c r="AR54" s="3413">
        <f t="shared" ref="AR54:AR61" si="196">+AN54+AP54</f>
        <v>0</v>
      </c>
      <c r="AS54" s="3413">
        <f t="shared" ref="AS54:AS62" si="197">+AO54+AQ54</f>
        <v>536297</v>
      </c>
      <c r="AT54" s="2184"/>
      <c r="AU54" s="4137">
        <v>81244</v>
      </c>
      <c r="AV54" s="3413">
        <f t="shared" ref="AV54:AV61" si="198">+AR54+AT54</f>
        <v>0</v>
      </c>
      <c r="AW54" s="3413">
        <f t="shared" ref="AW54:AW62" si="199">+AS54+AU54</f>
        <v>617541</v>
      </c>
      <c r="AX54" s="2184"/>
      <c r="AY54" s="4137">
        <v>101277</v>
      </c>
      <c r="AZ54" s="5173"/>
      <c r="BA54" s="3107">
        <f t="shared" ref="BA54:BA62" si="200">AQ54+AU54+AY54</f>
        <v>256662</v>
      </c>
      <c r="BB54" s="6160">
        <f t="shared" ref="BB54:BB62" si="201">+AV54+AX54</f>
        <v>0</v>
      </c>
      <c r="BC54" s="497">
        <f t="shared" ref="BC54:BC62" si="202">AM54+BA54</f>
        <v>364224</v>
      </c>
      <c r="BD54" s="3413">
        <f t="shared" ref="BD54:BD61" si="203">+AV54+AX54</f>
        <v>0</v>
      </c>
      <c r="BE54" s="3413">
        <f t="shared" ref="BE54:BE62" si="204">+AW54+AY54</f>
        <v>718818</v>
      </c>
      <c r="BF54" s="5172"/>
      <c r="BG54" s="26"/>
    </row>
    <row r="55" spans="1:69" ht="18.75" x14ac:dyDescent="0.25">
      <c r="B55" s="7631"/>
      <c r="C55" s="2173" t="s">
        <v>1616</v>
      </c>
      <c r="D55" s="1713"/>
      <c r="E55" s="2151">
        <v>241</v>
      </c>
      <c r="F55" s="1713"/>
      <c r="G55" s="4137">
        <v>241</v>
      </c>
      <c r="H55" s="2153">
        <f t="shared" si="1"/>
        <v>0</v>
      </c>
      <c r="I55" s="3407">
        <f t="shared" si="2"/>
        <v>482</v>
      </c>
      <c r="J55" s="1713"/>
      <c r="K55" s="4137">
        <v>5669</v>
      </c>
      <c r="L55" s="2152">
        <f t="shared" si="3"/>
        <v>0</v>
      </c>
      <c r="M55" s="2384">
        <f t="shared" si="184"/>
        <v>6151</v>
      </c>
      <c r="N55" s="2184"/>
      <c r="O55" s="4137">
        <v>7245</v>
      </c>
      <c r="P55" s="2153">
        <f t="shared" si="4"/>
        <v>0</v>
      </c>
      <c r="Q55" s="3413">
        <f t="shared" si="28"/>
        <v>13396</v>
      </c>
      <c r="R55" s="2184"/>
      <c r="S55" s="4137">
        <v>4521</v>
      </c>
      <c r="T55" s="3413">
        <f t="shared" si="185"/>
        <v>0</v>
      </c>
      <c r="U55" s="3413">
        <f t="shared" si="186"/>
        <v>17917</v>
      </c>
      <c r="V55" s="2184"/>
      <c r="W55" s="4137">
        <v>2177</v>
      </c>
      <c r="X55" s="4668"/>
      <c r="Y55" s="3107">
        <f t="shared" si="8"/>
        <v>13943</v>
      </c>
      <c r="Z55" s="3413">
        <f t="shared" si="187"/>
        <v>0</v>
      </c>
      <c r="AA55" s="6160">
        <f t="shared" si="188"/>
        <v>20094</v>
      </c>
      <c r="AB55" s="2184"/>
      <c r="AC55" s="4137">
        <v>2011</v>
      </c>
      <c r="AD55" s="3413">
        <f t="shared" si="189"/>
        <v>0</v>
      </c>
      <c r="AE55" s="3413">
        <f t="shared" si="190"/>
        <v>22105</v>
      </c>
      <c r="AF55" s="2184"/>
      <c r="AG55" s="4137">
        <v>304</v>
      </c>
      <c r="AH55" s="3413">
        <f t="shared" si="191"/>
        <v>0</v>
      </c>
      <c r="AI55" s="3413">
        <f t="shared" si="192"/>
        <v>22409</v>
      </c>
      <c r="AJ55" s="2184"/>
      <c r="AK55" s="4137">
        <v>1698</v>
      </c>
      <c r="AL55" s="5173"/>
      <c r="AM55" s="3107">
        <f t="shared" si="193"/>
        <v>4013</v>
      </c>
      <c r="AN55" s="3413">
        <f t="shared" si="194"/>
        <v>0</v>
      </c>
      <c r="AO55" s="3413">
        <f t="shared" si="195"/>
        <v>24107</v>
      </c>
      <c r="AP55" s="2184"/>
      <c r="AQ55" s="4137">
        <v>384</v>
      </c>
      <c r="AR55" s="3413">
        <f t="shared" si="196"/>
        <v>0</v>
      </c>
      <c r="AS55" s="3413">
        <f t="shared" si="197"/>
        <v>24491</v>
      </c>
      <c r="AT55" s="2184"/>
      <c r="AU55" s="4137">
        <v>322</v>
      </c>
      <c r="AV55" s="3413">
        <f t="shared" si="198"/>
        <v>0</v>
      </c>
      <c r="AW55" s="3413">
        <f t="shared" si="199"/>
        <v>24813</v>
      </c>
      <c r="AX55" s="2184"/>
      <c r="AY55" s="4137">
        <v>1299</v>
      </c>
      <c r="AZ55" s="5173"/>
      <c r="BA55" s="3107">
        <f t="shared" si="200"/>
        <v>2005</v>
      </c>
      <c r="BB55" s="6160">
        <f t="shared" si="201"/>
        <v>0</v>
      </c>
      <c r="BC55" s="497">
        <f t="shared" si="202"/>
        <v>6018</v>
      </c>
      <c r="BD55" s="3413">
        <f t="shared" si="203"/>
        <v>0</v>
      </c>
      <c r="BE55" s="3413">
        <f t="shared" si="204"/>
        <v>26112</v>
      </c>
      <c r="BF55" s="5172"/>
      <c r="BG55" s="26"/>
    </row>
    <row r="56" spans="1:69" ht="18.75" x14ac:dyDescent="0.25">
      <c r="B56" s="7631"/>
      <c r="C56" s="2173" t="s">
        <v>1617</v>
      </c>
      <c r="D56" s="1713"/>
      <c r="E56" s="2151">
        <v>0</v>
      </c>
      <c r="F56" s="1713"/>
      <c r="G56" s="4137">
        <v>0</v>
      </c>
      <c r="H56" s="2153">
        <f t="shared" si="1"/>
        <v>0</v>
      </c>
      <c r="I56" s="3407">
        <f t="shared" si="2"/>
        <v>0</v>
      </c>
      <c r="J56" s="1713"/>
      <c r="K56" s="4137">
        <v>0</v>
      </c>
      <c r="L56" s="2152">
        <f t="shared" si="3"/>
        <v>0</v>
      </c>
      <c r="M56" s="2384">
        <f t="shared" si="184"/>
        <v>0</v>
      </c>
      <c r="N56" s="2184"/>
      <c r="O56" s="4137">
        <v>0</v>
      </c>
      <c r="P56" s="2153">
        <f t="shared" si="4"/>
        <v>0</v>
      </c>
      <c r="Q56" s="3413">
        <f t="shared" si="28"/>
        <v>0</v>
      </c>
      <c r="R56" s="2184"/>
      <c r="S56" s="4137">
        <v>0</v>
      </c>
      <c r="T56" s="3413">
        <f t="shared" si="185"/>
        <v>0</v>
      </c>
      <c r="U56" s="3413">
        <f t="shared" si="186"/>
        <v>0</v>
      </c>
      <c r="V56" s="2184"/>
      <c r="W56" s="4137">
        <v>0</v>
      </c>
      <c r="X56" s="4668"/>
      <c r="Y56" s="3107">
        <f t="shared" si="8"/>
        <v>0</v>
      </c>
      <c r="Z56" s="3413">
        <f t="shared" si="187"/>
        <v>0</v>
      </c>
      <c r="AA56" s="6160">
        <f t="shared" si="188"/>
        <v>0</v>
      </c>
      <c r="AB56" s="2184"/>
      <c r="AC56" s="4137">
        <v>0</v>
      </c>
      <c r="AD56" s="3413">
        <f t="shared" si="189"/>
        <v>0</v>
      </c>
      <c r="AE56" s="3413">
        <f t="shared" si="190"/>
        <v>0</v>
      </c>
      <c r="AF56" s="2184"/>
      <c r="AG56" s="4137">
        <v>258</v>
      </c>
      <c r="AH56" s="3413">
        <f t="shared" si="191"/>
        <v>0</v>
      </c>
      <c r="AI56" s="3413">
        <f t="shared" si="192"/>
        <v>258</v>
      </c>
      <c r="AJ56" s="2184"/>
      <c r="AK56" s="4137">
        <v>59</v>
      </c>
      <c r="AL56" s="5173"/>
      <c r="AM56" s="3107">
        <f t="shared" si="193"/>
        <v>317</v>
      </c>
      <c r="AN56" s="3413">
        <f t="shared" si="194"/>
        <v>0</v>
      </c>
      <c r="AO56" s="3413">
        <f t="shared" si="195"/>
        <v>317</v>
      </c>
      <c r="AP56" s="2184"/>
      <c r="AQ56" s="4137">
        <v>0</v>
      </c>
      <c r="AR56" s="3413">
        <f t="shared" si="196"/>
        <v>0</v>
      </c>
      <c r="AS56" s="3413">
        <f t="shared" si="197"/>
        <v>317</v>
      </c>
      <c r="AT56" s="2184"/>
      <c r="AU56" s="4137">
        <v>0</v>
      </c>
      <c r="AV56" s="3413">
        <f t="shared" si="198"/>
        <v>0</v>
      </c>
      <c r="AW56" s="3413">
        <f t="shared" si="199"/>
        <v>317</v>
      </c>
      <c r="AX56" s="2184"/>
      <c r="AY56" s="4137">
        <v>0</v>
      </c>
      <c r="AZ56" s="5173"/>
      <c r="BA56" s="3107">
        <f t="shared" si="200"/>
        <v>0</v>
      </c>
      <c r="BB56" s="6160">
        <f t="shared" si="201"/>
        <v>0</v>
      </c>
      <c r="BC56" s="497">
        <f t="shared" si="202"/>
        <v>317</v>
      </c>
      <c r="BD56" s="3413">
        <f t="shared" si="203"/>
        <v>0</v>
      </c>
      <c r="BE56" s="3413">
        <f t="shared" si="204"/>
        <v>317</v>
      </c>
      <c r="BF56" s="5172"/>
      <c r="BG56" s="26"/>
    </row>
    <row r="57" spans="1:69" ht="18.75" x14ac:dyDescent="0.25">
      <c r="B57" s="7631"/>
      <c r="C57" s="2173" t="s">
        <v>1618</v>
      </c>
      <c r="D57" s="1713"/>
      <c r="E57" s="2151">
        <v>71697</v>
      </c>
      <c r="F57" s="1713"/>
      <c r="G57" s="4137">
        <v>72348</v>
      </c>
      <c r="H57" s="2153">
        <f t="shared" si="1"/>
        <v>0</v>
      </c>
      <c r="I57" s="3407">
        <f t="shared" si="2"/>
        <v>144045</v>
      </c>
      <c r="J57" s="1713"/>
      <c r="K57" s="4137">
        <v>16001</v>
      </c>
      <c r="L57" s="2152">
        <f t="shared" si="3"/>
        <v>0</v>
      </c>
      <c r="M57" s="2384">
        <f t="shared" si="184"/>
        <v>160046</v>
      </c>
      <c r="N57" s="2184"/>
      <c r="O57" s="4137">
        <v>60371</v>
      </c>
      <c r="P57" s="2153">
        <f t="shared" si="4"/>
        <v>0</v>
      </c>
      <c r="Q57" s="3413">
        <f t="shared" si="28"/>
        <v>220417</v>
      </c>
      <c r="R57" s="2184"/>
      <c r="S57" s="4137">
        <v>58539</v>
      </c>
      <c r="T57" s="3413">
        <f t="shared" si="185"/>
        <v>0</v>
      </c>
      <c r="U57" s="3413">
        <f t="shared" si="186"/>
        <v>278956</v>
      </c>
      <c r="V57" s="2184"/>
      <c r="W57" s="4137">
        <v>60203</v>
      </c>
      <c r="X57" s="4668"/>
      <c r="Y57" s="3107">
        <f t="shared" si="8"/>
        <v>179113</v>
      </c>
      <c r="Z57" s="3413">
        <f t="shared" si="187"/>
        <v>0</v>
      </c>
      <c r="AA57" s="6160">
        <f t="shared" si="188"/>
        <v>339159</v>
      </c>
      <c r="AB57" s="2184"/>
      <c r="AC57" s="4137">
        <v>59650</v>
      </c>
      <c r="AD57" s="3413">
        <f t="shared" si="189"/>
        <v>0</v>
      </c>
      <c r="AE57" s="3413">
        <f t="shared" si="190"/>
        <v>398809</v>
      </c>
      <c r="AF57" s="2184"/>
      <c r="AG57" s="4137">
        <v>3352</v>
      </c>
      <c r="AH57" s="3413">
        <f t="shared" si="191"/>
        <v>0</v>
      </c>
      <c r="AI57" s="3413">
        <f t="shared" si="192"/>
        <v>402161</v>
      </c>
      <c r="AJ57" s="2184"/>
      <c r="AK57" s="4137">
        <v>82839</v>
      </c>
      <c r="AL57" s="5173"/>
      <c r="AM57" s="3107">
        <f t="shared" si="193"/>
        <v>145841</v>
      </c>
      <c r="AN57" s="3413">
        <f t="shared" si="194"/>
        <v>0</v>
      </c>
      <c r="AO57" s="3413">
        <f t="shared" si="195"/>
        <v>485000</v>
      </c>
      <c r="AP57" s="2184"/>
      <c r="AQ57" s="4137">
        <v>74632</v>
      </c>
      <c r="AR57" s="3413">
        <f t="shared" si="196"/>
        <v>0</v>
      </c>
      <c r="AS57" s="3413">
        <f t="shared" si="197"/>
        <v>559632</v>
      </c>
      <c r="AT57" s="2184"/>
      <c r="AU57" s="4137">
        <v>55335</v>
      </c>
      <c r="AV57" s="3413">
        <f t="shared" si="198"/>
        <v>0</v>
      </c>
      <c r="AW57" s="3413">
        <f t="shared" si="199"/>
        <v>614967</v>
      </c>
      <c r="AX57" s="2184"/>
      <c r="AY57" s="4137">
        <v>39389</v>
      </c>
      <c r="AZ57" s="5173"/>
      <c r="BA57" s="3107">
        <f t="shared" si="200"/>
        <v>169356</v>
      </c>
      <c r="BB57" s="6160">
        <f t="shared" si="201"/>
        <v>0</v>
      </c>
      <c r="BC57" s="497">
        <f t="shared" si="202"/>
        <v>315197</v>
      </c>
      <c r="BD57" s="3413">
        <f t="shared" si="203"/>
        <v>0</v>
      </c>
      <c r="BE57" s="3413">
        <f t="shared" si="204"/>
        <v>654356</v>
      </c>
      <c r="BF57" s="5172"/>
      <c r="BG57" s="26"/>
      <c r="BH57" s="5172"/>
      <c r="BI57" s="5172"/>
      <c r="BJ57" s="5172"/>
      <c r="BK57" s="5172"/>
      <c r="BL57" s="5172"/>
      <c r="BM57" s="5172"/>
      <c r="BN57" s="5172"/>
      <c r="BO57" s="5172"/>
      <c r="BP57" s="5172"/>
      <c r="BQ57" s="5172"/>
    </row>
    <row r="58" spans="1:69" ht="18.75" x14ac:dyDescent="0.25">
      <c r="B58" s="7631"/>
      <c r="C58" s="2173" t="s">
        <v>1619</v>
      </c>
      <c r="D58" s="1713"/>
      <c r="E58" s="2151">
        <v>15002</v>
      </c>
      <c r="F58" s="1713"/>
      <c r="G58" s="4137">
        <v>7844</v>
      </c>
      <c r="H58" s="2153">
        <f t="shared" si="1"/>
        <v>0</v>
      </c>
      <c r="I58" s="3407">
        <f t="shared" si="2"/>
        <v>22846</v>
      </c>
      <c r="J58" s="1713"/>
      <c r="K58" s="4137">
        <v>3202</v>
      </c>
      <c r="L58" s="2152">
        <f t="shared" si="3"/>
        <v>0</v>
      </c>
      <c r="M58" s="2384">
        <f t="shared" si="184"/>
        <v>26048</v>
      </c>
      <c r="N58" s="2184"/>
      <c r="O58" s="4137">
        <v>0</v>
      </c>
      <c r="P58" s="2153">
        <f t="shared" si="4"/>
        <v>0</v>
      </c>
      <c r="Q58" s="3413">
        <f t="shared" si="28"/>
        <v>26048</v>
      </c>
      <c r="R58" s="2184"/>
      <c r="S58" s="4137">
        <v>0</v>
      </c>
      <c r="T58" s="3413">
        <f t="shared" si="185"/>
        <v>0</v>
      </c>
      <c r="U58" s="3413">
        <f t="shared" si="186"/>
        <v>26048</v>
      </c>
      <c r="V58" s="2184"/>
      <c r="W58" s="4137">
        <v>5800</v>
      </c>
      <c r="X58" s="4668"/>
      <c r="Y58" s="3107">
        <f t="shared" si="8"/>
        <v>5800</v>
      </c>
      <c r="Z58" s="3413">
        <f t="shared" si="187"/>
        <v>0</v>
      </c>
      <c r="AA58" s="6160">
        <f t="shared" si="188"/>
        <v>31848</v>
      </c>
      <c r="AB58" s="2184"/>
      <c r="AC58" s="4137">
        <v>4955</v>
      </c>
      <c r="AD58" s="3413">
        <f t="shared" si="189"/>
        <v>0</v>
      </c>
      <c r="AE58" s="3413">
        <f t="shared" si="190"/>
        <v>36803</v>
      </c>
      <c r="AF58" s="2184"/>
      <c r="AG58" s="4137">
        <v>7763</v>
      </c>
      <c r="AH58" s="3413">
        <f t="shared" si="191"/>
        <v>0</v>
      </c>
      <c r="AI58" s="3413">
        <f t="shared" si="192"/>
        <v>44566</v>
      </c>
      <c r="AJ58" s="2184"/>
      <c r="AK58" s="4137">
        <v>14430</v>
      </c>
      <c r="AL58" s="5173"/>
      <c r="AM58" s="3107">
        <f t="shared" si="193"/>
        <v>27148</v>
      </c>
      <c r="AN58" s="3413">
        <f t="shared" si="194"/>
        <v>0</v>
      </c>
      <c r="AO58" s="3413">
        <f t="shared" si="195"/>
        <v>58996</v>
      </c>
      <c r="AP58" s="2184"/>
      <c r="AQ58" s="4137">
        <v>11075</v>
      </c>
      <c r="AR58" s="3413">
        <f t="shared" si="196"/>
        <v>0</v>
      </c>
      <c r="AS58" s="3413">
        <f t="shared" si="197"/>
        <v>70071</v>
      </c>
      <c r="AT58" s="2184"/>
      <c r="AU58" s="4137">
        <v>0</v>
      </c>
      <c r="AV58" s="3413">
        <f t="shared" si="198"/>
        <v>0</v>
      </c>
      <c r="AW58" s="3413">
        <f t="shared" si="199"/>
        <v>70071</v>
      </c>
      <c r="AX58" s="2184"/>
      <c r="AY58" s="4137">
        <v>9000</v>
      </c>
      <c r="AZ58" s="5173"/>
      <c r="BA58" s="3107">
        <f t="shared" si="200"/>
        <v>20075</v>
      </c>
      <c r="BB58" s="6160">
        <f t="shared" si="201"/>
        <v>0</v>
      </c>
      <c r="BC58" s="497">
        <f t="shared" si="202"/>
        <v>47223</v>
      </c>
      <c r="BD58" s="3413">
        <f t="shared" si="203"/>
        <v>0</v>
      </c>
      <c r="BE58" s="3413">
        <f t="shared" si="204"/>
        <v>79071</v>
      </c>
      <c r="BF58" s="5172"/>
      <c r="BG58" s="26"/>
      <c r="BH58" s="5172"/>
      <c r="BI58" s="5172"/>
      <c r="BJ58" s="5172"/>
      <c r="BK58" s="5172"/>
      <c r="BL58" s="5172"/>
      <c r="BM58" s="5172"/>
      <c r="BN58" s="5172"/>
      <c r="BO58" s="5172"/>
      <c r="BP58" s="5172"/>
      <c r="BQ58" s="5172"/>
    </row>
    <row r="59" spans="1:69" ht="18.75" x14ac:dyDescent="0.25">
      <c r="B59" s="7631"/>
      <c r="C59" s="2173" t="s">
        <v>1620</v>
      </c>
      <c r="D59" s="1713"/>
      <c r="E59" s="2151">
        <v>0</v>
      </c>
      <c r="F59" s="1713"/>
      <c r="G59" s="4137">
        <v>0</v>
      </c>
      <c r="H59" s="2153">
        <f t="shared" si="1"/>
        <v>0</v>
      </c>
      <c r="I59" s="4134">
        <f t="shared" si="2"/>
        <v>0</v>
      </c>
      <c r="J59" s="1713"/>
      <c r="K59" s="4137">
        <v>0</v>
      </c>
      <c r="L59" s="2152">
        <f t="shared" si="3"/>
        <v>0</v>
      </c>
      <c r="M59" s="2384">
        <f t="shared" si="184"/>
        <v>0</v>
      </c>
      <c r="N59" s="2184"/>
      <c r="O59" s="4137">
        <v>0</v>
      </c>
      <c r="P59" s="2153">
        <f t="shared" si="4"/>
        <v>0</v>
      </c>
      <c r="Q59" s="3413">
        <f t="shared" si="28"/>
        <v>0</v>
      </c>
      <c r="R59" s="2184"/>
      <c r="S59" s="4137">
        <v>0</v>
      </c>
      <c r="T59" s="3413">
        <f t="shared" si="185"/>
        <v>0</v>
      </c>
      <c r="U59" s="3413">
        <f t="shared" si="186"/>
        <v>0</v>
      </c>
      <c r="V59" s="2184"/>
      <c r="W59" s="4137">
        <v>0</v>
      </c>
      <c r="X59" s="4668"/>
      <c r="Y59" s="3107">
        <f t="shared" si="8"/>
        <v>0</v>
      </c>
      <c r="Z59" s="3413">
        <f t="shared" si="187"/>
        <v>0</v>
      </c>
      <c r="AA59" s="6160">
        <f t="shared" si="188"/>
        <v>0</v>
      </c>
      <c r="AB59" s="2184"/>
      <c r="AC59" s="4137">
        <v>0</v>
      </c>
      <c r="AD59" s="3413">
        <f t="shared" si="189"/>
        <v>0</v>
      </c>
      <c r="AE59" s="3413">
        <f t="shared" si="190"/>
        <v>0</v>
      </c>
      <c r="AF59" s="2184"/>
      <c r="AG59" s="4137">
        <v>0</v>
      </c>
      <c r="AH59" s="3413">
        <f t="shared" si="191"/>
        <v>0</v>
      </c>
      <c r="AI59" s="3413">
        <f t="shared" si="192"/>
        <v>0</v>
      </c>
      <c r="AJ59" s="2184"/>
      <c r="AK59" s="4137">
        <v>0</v>
      </c>
      <c r="AL59" s="5173"/>
      <c r="AM59" s="3107">
        <f t="shared" si="193"/>
        <v>0</v>
      </c>
      <c r="AN59" s="3413">
        <f t="shared" si="194"/>
        <v>0</v>
      </c>
      <c r="AO59" s="3413">
        <f t="shared" si="195"/>
        <v>0</v>
      </c>
      <c r="AP59" s="2184"/>
      <c r="AQ59" s="4137">
        <v>0</v>
      </c>
      <c r="AR59" s="3413">
        <f t="shared" si="196"/>
        <v>0</v>
      </c>
      <c r="AS59" s="3413">
        <f t="shared" si="197"/>
        <v>0</v>
      </c>
      <c r="AT59" s="2184"/>
      <c r="AU59" s="4137">
        <v>0</v>
      </c>
      <c r="AV59" s="3413">
        <f t="shared" si="198"/>
        <v>0</v>
      </c>
      <c r="AW59" s="3413">
        <f t="shared" si="199"/>
        <v>0</v>
      </c>
      <c r="AX59" s="2184"/>
      <c r="AY59" s="4137">
        <v>0</v>
      </c>
      <c r="AZ59" s="5173"/>
      <c r="BA59" s="3107">
        <f t="shared" si="200"/>
        <v>0</v>
      </c>
      <c r="BB59" s="6160">
        <f t="shared" si="201"/>
        <v>0</v>
      </c>
      <c r="BC59" s="497">
        <f t="shared" si="202"/>
        <v>0</v>
      </c>
      <c r="BD59" s="3413">
        <f t="shared" si="203"/>
        <v>0</v>
      </c>
      <c r="BE59" s="3413">
        <f t="shared" si="204"/>
        <v>0</v>
      </c>
      <c r="BF59" s="5172"/>
      <c r="BG59" s="26"/>
      <c r="BH59" s="5172"/>
      <c r="BI59" s="5172"/>
      <c r="BJ59" s="5172"/>
      <c r="BK59" s="5172"/>
      <c r="BL59" s="5172"/>
      <c r="BM59" s="5172"/>
      <c r="BN59" s="5172"/>
      <c r="BO59" s="5172"/>
      <c r="BP59" s="5172"/>
      <c r="BQ59" s="5172"/>
    </row>
    <row r="60" spans="1:69" ht="18.75" x14ac:dyDescent="0.25">
      <c r="B60" s="7631"/>
      <c r="C60" s="2173" t="s">
        <v>1621</v>
      </c>
      <c r="D60" s="1713"/>
      <c r="E60" s="4862">
        <f>+LDCP!F7</f>
        <v>53260</v>
      </c>
      <c r="F60" s="1713"/>
      <c r="G60" s="4862">
        <f>+LDCP!H7</f>
        <v>57968</v>
      </c>
      <c r="H60" s="2153">
        <f t="shared" si="1"/>
        <v>0</v>
      </c>
      <c r="I60" s="3407">
        <f t="shared" si="2"/>
        <v>111228</v>
      </c>
      <c r="J60" s="1713"/>
      <c r="K60" s="4862">
        <f>+LDCP!L7</f>
        <v>38731</v>
      </c>
      <c r="L60" s="2152">
        <f t="shared" si="3"/>
        <v>0</v>
      </c>
      <c r="M60" s="2384">
        <f t="shared" si="184"/>
        <v>149959</v>
      </c>
      <c r="N60" s="2184"/>
      <c r="O60" s="4862">
        <f>+LDCP!P7</f>
        <v>59845</v>
      </c>
      <c r="P60" s="2153">
        <f t="shared" si="4"/>
        <v>0</v>
      </c>
      <c r="Q60" s="3413">
        <f t="shared" si="28"/>
        <v>209804</v>
      </c>
      <c r="R60" s="2184"/>
      <c r="S60" s="4862">
        <f>+LDCP!T7</f>
        <v>60584</v>
      </c>
      <c r="T60" s="3413">
        <f t="shared" si="185"/>
        <v>0</v>
      </c>
      <c r="U60" s="3413">
        <f t="shared" si="186"/>
        <v>270388</v>
      </c>
      <c r="V60" s="2184"/>
      <c r="W60" s="4862">
        <f>+LDCP!X7</f>
        <v>61362</v>
      </c>
      <c r="X60" s="5062"/>
      <c r="Y60" s="3107">
        <f t="shared" si="8"/>
        <v>181791</v>
      </c>
      <c r="Z60" s="3413">
        <f t="shared" si="187"/>
        <v>0</v>
      </c>
      <c r="AA60" s="6160">
        <f t="shared" si="188"/>
        <v>331750</v>
      </c>
      <c r="AB60" s="2184"/>
      <c r="AC60" s="4862">
        <f>+LDCP!AD7</f>
        <v>54950</v>
      </c>
      <c r="AD60" s="3413">
        <f t="shared" si="189"/>
        <v>0</v>
      </c>
      <c r="AE60" s="3413">
        <f t="shared" si="190"/>
        <v>386700</v>
      </c>
      <c r="AF60" s="2184"/>
      <c r="AG60" s="4862">
        <f>+LDCP!AH7</f>
        <v>1194</v>
      </c>
      <c r="AH60" s="3413">
        <f t="shared" si="191"/>
        <v>0</v>
      </c>
      <c r="AI60" s="3413">
        <f t="shared" si="192"/>
        <v>387894</v>
      </c>
      <c r="AJ60" s="2184"/>
      <c r="AK60" s="4862">
        <f>+LDCP!AL7</f>
        <v>51238</v>
      </c>
      <c r="AL60" s="5062"/>
      <c r="AM60" s="3107">
        <f t="shared" si="193"/>
        <v>107382</v>
      </c>
      <c r="AN60" s="3413">
        <f t="shared" si="194"/>
        <v>0</v>
      </c>
      <c r="AO60" s="3413">
        <f t="shared" si="195"/>
        <v>439132</v>
      </c>
      <c r="AP60" s="2184"/>
      <c r="AQ60" s="4862">
        <f>+LDCP!AR7</f>
        <v>55134</v>
      </c>
      <c r="AR60" s="3413">
        <f t="shared" si="196"/>
        <v>0</v>
      </c>
      <c r="AS60" s="3413">
        <f t="shared" si="197"/>
        <v>494266</v>
      </c>
      <c r="AT60" s="2184"/>
      <c r="AU60" s="4862">
        <f>+LDCP!AV7</f>
        <v>51595</v>
      </c>
      <c r="AV60" s="3413">
        <f t="shared" si="198"/>
        <v>0</v>
      </c>
      <c r="AW60" s="3413">
        <f t="shared" si="199"/>
        <v>545861</v>
      </c>
      <c r="AX60" s="2184"/>
      <c r="AY60" s="4862">
        <f>+LDCP!AZ7</f>
        <v>63599</v>
      </c>
      <c r="AZ60" s="5062"/>
      <c r="BA60" s="3107">
        <f t="shared" si="200"/>
        <v>170328</v>
      </c>
      <c r="BB60" s="6160">
        <f t="shared" si="201"/>
        <v>0</v>
      </c>
      <c r="BC60" s="497">
        <f t="shared" si="202"/>
        <v>277710</v>
      </c>
      <c r="BD60" s="3413">
        <f t="shared" si="203"/>
        <v>0</v>
      </c>
      <c r="BE60" s="3413">
        <f t="shared" si="204"/>
        <v>609460</v>
      </c>
      <c r="BF60" s="5172"/>
      <c r="BG60" s="26"/>
      <c r="BH60" s="5172"/>
      <c r="BI60" s="5172"/>
      <c r="BJ60" s="5172"/>
      <c r="BK60" s="5172"/>
      <c r="BL60" s="5172"/>
      <c r="BM60" s="5172"/>
      <c r="BN60" s="5172"/>
      <c r="BO60" s="5172"/>
      <c r="BP60" s="5172"/>
      <c r="BQ60" s="5172"/>
    </row>
    <row r="61" spans="1:69" ht="18.75" x14ac:dyDescent="0.25">
      <c r="B61" s="7631"/>
      <c r="C61" s="2173" t="s">
        <v>1622</v>
      </c>
      <c r="D61" s="1713"/>
      <c r="E61" s="4862">
        <f>+LDCP!F21</f>
        <v>15819</v>
      </c>
      <c r="F61" s="1713"/>
      <c r="G61" s="4862">
        <f>+LDCP!H21</f>
        <v>14184</v>
      </c>
      <c r="H61" s="2153">
        <f t="shared" si="1"/>
        <v>0</v>
      </c>
      <c r="I61" s="3407">
        <f t="shared" si="2"/>
        <v>30003</v>
      </c>
      <c r="J61" s="1713"/>
      <c r="K61" s="4862">
        <f>+LDCP!L21</f>
        <v>10749</v>
      </c>
      <c r="L61" s="2152">
        <f t="shared" si="3"/>
        <v>0</v>
      </c>
      <c r="M61" s="2384">
        <f t="shared" si="184"/>
        <v>40752</v>
      </c>
      <c r="N61" s="2184"/>
      <c r="O61" s="4862">
        <f>+LDCP!P21</f>
        <v>16615</v>
      </c>
      <c r="P61" s="2153">
        <f t="shared" si="4"/>
        <v>0</v>
      </c>
      <c r="Q61" s="3413">
        <f t="shared" si="28"/>
        <v>57367</v>
      </c>
      <c r="R61" s="2184"/>
      <c r="S61" s="4862">
        <f>+LDCP!T21</f>
        <v>16522</v>
      </c>
      <c r="T61" s="3413">
        <f t="shared" si="185"/>
        <v>0</v>
      </c>
      <c r="U61" s="3413">
        <f t="shared" si="186"/>
        <v>73889</v>
      </c>
      <c r="V61" s="2184"/>
      <c r="W61" s="4862">
        <f>+LDCP!X21</f>
        <v>15447</v>
      </c>
      <c r="X61" s="5062"/>
      <c r="Y61" s="3107">
        <f t="shared" si="8"/>
        <v>48584</v>
      </c>
      <c r="Z61" s="3413">
        <f t="shared" si="187"/>
        <v>0</v>
      </c>
      <c r="AA61" s="6160">
        <f t="shared" si="188"/>
        <v>89336</v>
      </c>
      <c r="AB61" s="2184"/>
      <c r="AC61" s="4862">
        <f>+LDCP!AD21</f>
        <v>13416</v>
      </c>
      <c r="AD61" s="3413">
        <f t="shared" si="189"/>
        <v>0</v>
      </c>
      <c r="AE61" s="3413">
        <f t="shared" si="190"/>
        <v>102752</v>
      </c>
      <c r="AF61" s="2184"/>
      <c r="AG61" s="4862">
        <f>+LDCP!AH21</f>
        <v>155</v>
      </c>
      <c r="AH61" s="3413">
        <f t="shared" si="191"/>
        <v>0</v>
      </c>
      <c r="AI61" s="3413">
        <f t="shared" si="192"/>
        <v>102907</v>
      </c>
      <c r="AJ61" s="2184"/>
      <c r="AK61" s="4862">
        <f>+LDCP!AL21</f>
        <v>10507</v>
      </c>
      <c r="AL61" s="5062"/>
      <c r="AM61" s="3107">
        <f t="shared" si="193"/>
        <v>24078</v>
      </c>
      <c r="AN61" s="3413">
        <f t="shared" si="194"/>
        <v>0</v>
      </c>
      <c r="AO61" s="3413">
        <f t="shared" si="195"/>
        <v>113414</v>
      </c>
      <c r="AP61" s="2184"/>
      <c r="AQ61" s="4862">
        <f>+LDCP!AR21</f>
        <v>15276</v>
      </c>
      <c r="AR61" s="3413">
        <f t="shared" si="196"/>
        <v>0</v>
      </c>
      <c r="AS61" s="3413">
        <f t="shared" si="197"/>
        <v>128690</v>
      </c>
      <c r="AT61" s="2184"/>
      <c r="AU61" s="4862">
        <f>+LDCP!AV21</f>
        <v>14243</v>
      </c>
      <c r="AV61" s="3413">
        <f t="shared" si="198"/>
        <v>0</v>
      </c>
      <c r="AW61" s="3413">
        <f t="shared" si="199"/>
        <v>142933</v>
      </c>
      <c r="AX61" s="2184"/>
      <c r="AY61" s="4862">
        <f>+LDCP!AZ21</f>
        <v>18399</v>
      </c>
      <c r="AZ61" s="5062"/>
      <c r="BA61" s="3107">
        <f t="shared" si="200"/>
        <v>47918</v>
      </c>
      <c r="BB61" s="6160">
        <f t="shared" si="201"/>
        <v>0</v>
      </c>
      <c r="BC61" s="497">
        <f t="shared" si="202"/>
        <v>71996</v>
      </c>
      <c r="BD61" s="3413">
        <f t="shared" si="203"/>
        <v>0</v>
      </c>
      <c r="BE61" s="3413">
        <f t="shared" si="204"/>
        <v>161332</v>
      </c>
      <c r="BF61" s="5172"/>
      <c r="BG61" s="26"/>
      <c r="BH61" s="5172"/>
      <c r="BI61" s="5172"/>
      <c r="BJ61" s="5172"/>
      <c r="BK61" s="5172"/>
      <c r="BL61" s="5172"/>
      <c r="BM61" s="5172"/>
      <c r="BN61" s="5172"/>
      <c r="BO61" s="5172"/>
      <c r="BP61" s="5172"/>
      <c r="BQ61" s="5172"/>
    </row>
    <row r="62" spans="1:69" s="4712" customFormat="1" ht="18.75" x14ac:dyDescent="0.25">
      <c r="B62" s="5103"/>
      <c r="C62" s="2173" t="s">
        <v>1964</v>
      </c>
      <c r="D62" s="1713"/>
      <c r="E62" s="4137">
        <v>541</v>
      </c>
      <c r="F62" s="1713"/>
      <c r="G62" s="4137">
        <v>640</v>
      </c>
      <c r="H62" s="3413"/>
      <c r="I62" s="4134">
        <f t="shared" si="2"/>
        <v>1181</v>
      </c>
      <c r="J62" s="1713"/>
      <c r="K62" s="4137"/>
      <c r="L62" s="3107"/>
      <c r="M62" s="3107"/>
      <c r="N62" s="2184"/>
      <c r="O62" s="4137"/>
      <c r="P62" s="3413"/>
      <c r="Q62" s="3413"/>
      <c r="R62" s="2184"/>
      <c r="S62" s="4137">
        <v>65</v>
      </c>
      <c r="T62" s="3413"/>
      <c r="U62" s="3413">
        <f t="shared" si="186"/>
        <v>65</v>
      </c>
      <c r="V62" s="2184"/>
      <c r="W62" s="4137">
        <v>633</v>
      </c>
      <c r="X62" s="5173"/>
      <c r="Y62" s="3107">
        <f t="shared" ref="Y62" si="205">O62+S62+W62</f>
        <v>698</v>
      </c>
      <c r="Z62" s="3413">
        <f t="shared" ref="Z62" si="206">+T62+V62</f>
        <v>0</v>
      </c>
      <c r="AA62" s="6160">
        <f t="shared" ref="AA62" si="207">+U62+W62</f>
        <v>698</v>
      </c>
      <c r="AB62" s="2184"/>
      <c r="AC62" s="4137">
        <v>458</v>
      </c>
      <c r="AD62" s="3413"/>
      <c r="AE62" s="3413">
        <f t="shared" si="190"/>
        <v>1156</v>
      </c>
      <c r="AF62" s="2184"/>
      <c r="AG62" s="4137">
        <v>0</v>
      </c>
      <c r="AH62" s="3413"/>
      <c r="AI62" s="3413">
        <f t="shared" si="192"/>
        <v>1156</v>
      </c>
      <c r="AJ62" s="2184"/>
      <c r="AK62" s="4137">
        <v>728</v>
      </c>
      <c r="AL62" s="5173"/>
      <c r="AM62" s="3107">
        <f t="shared" si="193"/>
        <v>1186</v>
      </c>
      <c r="AN62" s="3413"/>
      <c r="AO62" s="3413">
        <f t="shared" si="195"/>
        <v>1884</v>
      </c>
      <c r="AP62" s="2184"/>
      <c r="AQ62" s="4137">
        <v>661</v>
      </c>
      <c r="AR62" s="3413"/>
      <c r="AS62" s="3413">
        <f t="shared" si="197"/>
        <v>2545</v>
      </c>
      <c r="AT62" s="2184"/>
      <c r="AU62" s="4137">
        <v>530</v>
      </c>
      <c r="AV62" s="3413"/>
      <c r="AW62" s="3413">
        <f t="shared" si="199"/>
        <v>3075</v>
      </c>
      <c r="AX62" s="2184"/>
      <c r="AY62" s="403">
        <v>730</v>
      </c>
      <c r="AZ62" s="5173"/>
      <c r="BA62" s="3107">
        <f t="shared" si="200"/>
        <v>1921</v>
      </c>
      <c r="BB62" s="6160">
        <f t="shared" si="201"/>
        <v>0</v>
      </c>
      <c r="BC62" s="497">
        <f t="shared" si="202"/>
        <v>3107</v>
      </c>
      <c r="BD62" s="3413"/>
      <c r="BE62" s="3413">
        <f t="shared" si="204"/>
        <v>3805</v>
      </c>
      <c r="BF62" s="5172"/>
      <c r="BG62" s="26"/>
      <c r="BH62" s="5172"/>
      <c r="BI62" s="5172"/>
      <c r="BJ62" s="5172"/>
      <c r="BK62" s="5172"/>
      <c r="BL62" s="5172"/>
      <c r="BM62" s="5172"/>
      <c r="BN62" s="5172"/>
      <c r="BO62" s="5172"/>
      <c r="BP62" s="5172"/>
      <c r="BQ62" s="5172"/>
    </row>
    <row r="63" spans="1:69" s="149" customFormat="1" ht="18.75" x14ac:dyDescent="0.25">
      <c r="B63" s="441"/>
      <c r="C63" s="5895"/>
      <c r="D63" s="441"/>
      <c r="E63" s="403"/>
      <c r="F63" s="1226"/>
      <c r="G63" s="403"/>
      <c r="H63" s="403"/>
      <c r="I63" s="4138"/>
      <c r="J63" s="1226"/>
      <c r="K63" s="403"/>
      <c r="L63" s="403"/>
      <c r="M63" s="403"/>
      <c r="N63" s="4161"/>
      <c r="O63" s="403"/>
      <c r="P63" s="403"/>
      <c r="Q63" s="403"/>
      <c r="R63" s="4161"/>
      <c r="S63" s="403"/>
      <c r="T63" s="403"/>
      <c r="U63" s="403"/>
      <c r="V63" s="4161"/>
      <c r="W63" s="403"/>
      <c r="X63" s="3315"/>
      <c r="Y63" s="403"/>
      <c r="Z63" s="403"/>
      <c r="AA63" s="403"/>
      <c r="AB63" s="4161"/>
      <c r="AC63" s="403"/>
      <c r="AD63" s="403"/>
      <c r="AE63" s="403"/>
      <c r="AF63" s="4161"/>
      <c r="AG63" s="403"/>
      <c r="AH63" s="403"/>
      <c r="AI63" s="403"/>
      <c r="AJ63" s="4161"/>
      <c r="AK63" s="403"/>
      <c r="AL63" s="3315"/>
      <c r="AM63" s="403"/>
      <c r="AN63" s="403"/>
      <c r="AO63" s="403"/>
      <c r="AP63" s="4161"/>
      <c r="AQ63" s="403"/>
      <c r="AR63" s="403"/>
      <c r="AS63" s="403"/>
      <c r="AT63" s="4161"/>
      <c r="AU63" s="403"/>
      <c r="AV63" s="403"/>
      <c r="AW63" s="403"/>
      <c r="AX63" s="4161"/>
      <c r="AY63" s="5172"/>
      <c r="AZ63" s="5172"/>
      <c r="BA63" s="5172"/>
      <c r="BB63" s="5172"/>
      <c r="BC63" s="5172"/>
      <c r="BD63" s="5172"/>
      <c r="BE63" s="5172"/>
      <c r="BF63" s="5172"/>
      <c r="BG63" s="26"/>
      <c r="BH63" s="5172"/>
      <c r="BI63" s="5172"/>
      <c r="BJ63" s="5172"/>
      <c r="BK63" s="5172"/>
      <c r="BL63" s="5172"/>
      <c r="BM63" s="5172"/>
      <c r="BN63" s="5172"/>
      <c r="BO63" s="5172"/>
      <c r="BP63" s="5172"/>
      <c r="BQ63" s="5172"/>
    </row>
    <row r="64" spans="1:69" ht="18.75" x14ac:dyDescent="0.3">
      <c r="B64" s="1050" t="s">
        <v>1589</v>
      </c>
      <c r="C64" s="2167"/>
      <c r="D64" s="184"/>
      <c r="E64" s="2151">
        <v>10029</v>
      </c>
      <c r="F64" s="1713"/>
      <c r="G64" s="4137">
        <v>10177</v>
      </c>
      <c r="H64" s="2153">
        <f t="shared" si="1"/>
        <v>0</v>
      </c>
      <c r="I64" s="3407">
        <f t="shared" si="2"/>
        <v>20206</v>
      </c>
      <c r="J64" s="1713"/>
      <c r="K64" s="4137">
        <v>6702</v>
      </c>
      <c r="L64" s="2152">
        <f t="shared" si="3"/>
        <v>0</v>
      </c>
      <c r="M64" s="2152">
        <f>E64+G64+K64</f>
        <v>26908</v>
      </c>
      <c r="N64" s="2184"/>
      <c r="O64" s="4137">
        <v>10010</v>
      </c>
      <c r="P64" s="2153">
        <f t="shared" si="4"/>
        <v>0</v>
      </c>
      <c r="Q64" s="2153">
        <f t="shared" si="28"/>
        <v>36918</v>
      </c>
      <c r="R64" s="2184"/>
      <c r="S64" s="4137">
        <v>9496</v>
      </c>
      <c r="T64" s="3413">
        <f t="shared" ref="T64" si="208">+P64+R64</f>
        <v>0</v>
      </c>
      <c r="U64" s="3413">
        <f t="shared" ref="U64" si="209">+Q64+S64</f>
        <v>46414</v>
      </c>
      <c r="V64" s="2184"/>
      <c r="W64" s="4137">
        <v>9939</v>
      </c>
      <c r="X64" s="4668"/>
      <c r="Y64" s="3107">
        <f t="shared" si="8"/>
        <v>29445</v>
      </c>
      <c r="Z64" s="3413">
        <f t="shared" ref="Z64" si="210">+T64+V64</f>
        <v>0</v>
      </c>
      <c r="AA64" s="6160">
        <f t="shared" ref="AA64" si="211">+U64+W64</f>
        <v>56353</v>
      </c>
      <c r="AB64" s="2184"/>
      <c r="AC64" s="4137">
        <v>10254</v>
      </c>
      <c r="AD64" s="3413">
        <f t="shared" ref="AD64" si="212">+Z64+AB64</f>
        <v>0</v>
      </c>
      <c r="AE64" s="3413">
        <f t="shared" ref="AE64" si="213">+AA64+AC64</f>
        <v>66607</v>
      </c>
      <c r="AF64" s="2184"/>
      <c r="AG64" s="4137">
        <v>3760</v>
      </c>
      <c r="AH64" s="3413">
        <f t="shared" ref="AH64" si="214">+AD64+AF64</f>
        <v>0</v>
      </c>
      <c r="AI64" s="3413">
        <f t="shared" ref="AI64" si="215">+AE64+AG64</f>
        <v>70367</v>
      </c>
      <c r="AJ64" s="2184"/>
      <c r="AK64" s="4137">
        <v>10158</v>
      </c>
      <c r="AL64" s="5173"/>
      <c r="AM64" s="3107">
        <f t="shared" ref="AM64" si="216">AC64+AG64+AK64</f>
        <v>24172</v>
      </c>
      <c r="AN64" s="3413">
        <f t="shared" ref="AN64" si="217">+AH64+AJ64</f>
        <v>0</v>
      </c>
      <c r="AO64" s="3413">
        <f t="shared" ref="AO64" si="218">+AI64+AK64</f>
        <v>80525</v>
      </c>
      <c r="AP64" s="2184"/>
      <c r="AQ64" s="4137">
        <v>9812</v>
      </c>
      <c r="AR64" s="3413">
        <f t="shared" ref="AR64" si="219">+AN64+AP64</f>
        <v>0</v>
      </c>
      <c r="AS64" s="3413">
        <f t="shared" ref="AS64" si="220">+AO64+AQ64</f>
        <v>90337</v>
      </c>
      <c r="AT64" s="2184"/>
      <c r="AU64" s="4137">
        <v>8514</v>
      </c>
      <c r="AV64" s="3413">
        <f t="shared" ref="AV64" si="221">+AR64+AT64</f>
        <v>0</v>
      </c>
      <c r="AW64" s="3413">
        <f t="shared" ref="AW64" si="222">+AS64+AU64</f>
        <v>98851</v>
      </c>
      <c r="AX64" s="2184"/>
      <c r="AY64" s="4137">
        <v>11439</v>
      </c>
      <c r="AZ64" s="5173"/>
      <c r="BA64" s="3107">
        <f t="shared" ref="BA64" si="223">AQ64+AU64+AY64</f>
        <v>29765</v>
      </c>
      <c r="BB64" s="6160">
        <f t="shared" ref="BB64" si="224">+AV64+AX64</f>
        <v>0</v>
      </c>
      <c r="BC64" s="497">
        <f>AM64+BA64</f>
        <v>53937</v>
      </c>
      <c r="BD64" s="3413">
        <f t="shared" ref="BD64" si="225">+AV64+AX64</f>
        <v>0</v>
      </c>
      <c r="BE64" s="3413">
        <f t="shared" ref="BE64" si="226">+AW64+AY64</f>
        <v>110290</v>
      </c>
      <c r="BF64" s="5172"/>
      <c r="BG64" s="26"/>
      <c r="BH64" s="5172"/>
      <c r="BI64" s="5172"/>
      <c r="BJ64" s="5172"/>
      <c r="BK64" s="5172"/>
      <c r="BL64" s="5172"/>
      <c r="BM64" s="5172"/>
      <c r="BN64" s="5172"/>
      <c r="BO64" s="5172"/>
      <c r="BP64" s="5172"/>
      <c r="BQ64" s="5172"/>
    </row>
    <row r="65" spans="3:69" s="5172" customFormat="1" x14ac:dyDescent="0.25"/>
    <row r="66" spans="3:69" ht="18.75" x14ac:dyDescent="0.3">
      <c r="C66" s="1050" t="s">
        <v>1623</v>
      </c>
      <c r="D66" s="2156"/>
      <c r="E66" s="2161">
        <v>83.21</v>
      </c>
      <c r="F66" s="1713"/>
      <c r="G66" s="4137">
        <v>83.46</v>
      </c>
      <c r="H66" s="2162"/>
      <c r="I66" s="2162">
        <v>83.334999999999994</v>
      </c>
      <c r="J66" s="1713"/>
      <c r="K66" s="4137">
        <v>83.17</v>
      </c>
      <c r="L66" s="2163"/>
      <c r="M66" s="404">
        <f>+AVERAGE(K66,E66,G66)</f>
        <v>83.279999999999987</v>
      </c>
      <c r="N66" s="2184"/>
      <c r="O66" s="4137">
        <v>82.81</v>
      </c>
      <c r="P66" s="2162"/>
      <c r="Q66" s="2956">
        <v>83.08</v>
      </c>
      <c r="R66" s="2184"/>
      <c r="S66" s="4137">
        <v>82.9</v>
      </c>
      <c r="T66" s="3413"/>
      <c r="U66" s="2956">
        <v>83.08</v>
      </c>
      <c r="V66" s="2184"/>
      <c r="W66" s="4137">
        <v>82.9</v>
      </c>
      <c r="X66" s="4668"/>
      <c r="Y66" s="404">
        <f>+AVERAGE(O66,S66,W66)</f>
        <v>82.87</v>
      </c>
      <c r="Z66" s="3413"/>
      <c r="AA66" s="6611">
        <f>+AVERAGE(M66,Y66)</f>
        <v>83.074999999999989</v>
      </c>
      <c r="AB66" s="2184"/>
      <c r="AC66" s="4137">
        <v>83.06</v>
      </c>
      <c r="AD66" s="3413"/>
      <c r="AE66" s="2956">
        <v>83.057142857142864</v>
      </c>
      <c r="AF66" s="2184"/>
      <c r="AG66" s="4137">
        <v>83.45</v>
      </c>
      <c r="AH66" s="3413"/>
      <c r="AI66" s="2956">
        <v>83.106250000000017</v>
      </c>
      <c r="AJ66" s="2184"/>
      <c r="AK66" s="4137">
        <v>83.25</v>
      </c>
      <c r="AL66" s="5173"/>
      <c r="AM66" s="404">
        <f>+AVERAGE(AC66,AG66,AK66)</f>
        <v>83.25333333333333</v>
      </c>
      <c r="AN66" s="3413"/>
      <c r="AO66" s="2956">
        <v>83.12</v>
      </c>
      <c r="AP66" s="2184"/>
      <c r="AQ66" s="4137">
        <v>83.21</v>
      </c>
      <c r="AR66" s="3413"/>
      <c r="AS66" s="2956">
        <v>83.129562500000006</v>
      </c>
      <c r="AT66" s="2184"/>
      <c r="AU66" s="4137">
        <v>83.27</v>
      </c>
      <c r="AV66" s="3413"/>
      <c r="AW66" s="2956">
        <v>83.142329545454558</v>
      </c>
      <c r="AX66" s="2184"/>
      <c r="AY66" s="4137">
        <v>83.44</v>
      </c>
      <c r="AZ66" s="5173"/>
      <c r="BA66" s="404">
        <f>+AVERAGE(AQ66,AU66,AY66)</f>
        <v>83.306666666666658</v>
      </c>
      <c r="BB66" s="6160"/>
      <c r="BC66" s="497">
        <f>+AVERAGE(AM66,BA66)</f>
        <v>83.28</v>
      </c>
      <c r="BD66" s="3413"/>
      <c r="BE66" s="2956">
        <f>+AVERAGE(AA66,BC66)</f>
        <v>83.177499999999995</v>
      </c>
      <c r="BF66" s="5172"/>
      <c r="BG66" s="5172"/>
      <c r="BH66" s="5172"/>
      <c r="BI66" s="5172"/>
      <c r="BJ66" s="5172"/>
      <c r="BK66" s="5172"/>
      <c r="BL66" s="5172"/>
      <c r="BM66" s="5172"/>
      <c r="BN66" s="5172"/>
      <c r="BO66" s="5172"/>
      <c r="BP66" s="5172"/>
      <c r="BQ66" s="5172"/>
    </row>
    <row r="67" spans="3:69" ht="18.75" x14ac:dyDescent="0.3">
      <c r="C67" s="1050" t="s">
        <v>1624</v>
      </c>
      <c r="D67" s="2156"/>
      <c r="E67" s="2161">
        <v>89.53</v>
      </c>
      <c r="F67" s="1713"/>
      <c r="G67" s="4137">
        <v>89.73</v>
      </c>
      <c r="H67" s="2162"/>
      <c r="I67" s="3715">
        <v>89.63</v>
      </c>
      <c r="J67" s="1713"/>
      <c r="K67" s="4137">
        <v>86.54</v>
      </c>
      <c r="L67" s="2163"/>
      <c r="M67" s="404">
        <f>+AVERAGE(K67,E67,G67)</f>
        <v>88.600000000000009</v>
      </c>
      <c r="N67" s="2184"/>
      <c r="O67" s="4137">
        <v>86.57</v>
      </c>
      <c r="P67" s="2162"/>
      <c r="Q67" s="2956">
        <v>86.587500000000006</v>
      </c>
      <c r="R67" s="2184"/>
      <c r="S67" s="4137">
        <v>86.94</v>
      </c>
      <c r="T67" s="3413"/>
      <c r="U67" s="2956">
        <v>86.587500000000006</v>
      </c>
      <c r="V67" s="2184"/>
      <c r="W67" s="2955">
        <v>86.94</v>
      </c>
      <c r="X67" s="4668"/>
      <c r="Y67" s="404">
        <f>+AVERAGE(O67,S67,W67)</f>
        <v>86.816666666666663</v>
      </c>
      <c r="Z67" s="3413"/>
      <c r="AA67" s="6611">
        <f>+AVERAGE(M67,Y67)</f>
        <v>87.708333333333343</v>
      </c>
      <c r="AB67" s="2184"/>
      <c r="AC67" s="2955">
        <v>86.69</v>
      </c>
      <c r="AD67" s="3413"/>
      <c r="AE67" s="2956">
        <v>86.677142857142854</v>
      </c>
      <c r="AF67" s="2184"/>
      <c r="AG67" s="2955">
        <v>89.71</v>
      </c>
      <c r="AH67" s="3413"/>
      <c r="AI67" s="2956">
        <v>87.056250000000006</v>
      </c>
      <c r="AJ67" s="2184"/>
      <c r="AK67" s="2955">
        <v>88.11</v>
      </c>
      <c r="AL67" s="5173"/>
      <c r="AM67" s="404">
        <f>+AVERAGE(AC67,AG67,AK67)</f>
        <v>88.17</v>
      </c>
      <c r="AN67" s="3413"/>
      <c r="AO67" s="2956">
        <v>87.16</v>
      </c>
      <c r="AP67" s="2184"/>
      <c r="AQ67" s="2955">
        <v>88.66</v>
      </c>
      <c r="AR67" s="3413"/>
      <c r="AS67" s="2956">
        <v>87.31146249999999</v>
      </c>
      <c r="AT67" s="2184"/>
      <c r="AU67" s="2955">
        <v>89.2</v>
      </c>
      <c r="AV67" s="3413"/>
      <c r="AW67" s="2956">
        <v>87.483147727272723</v>
      </c>
      <c r="AX67" s="2184"/>
      <c r="AY67" s="2955">
        <v>89.45</v>
      </c>
      <c r="AZ67" s="5173"/>
      <c r="BA67" s="404">
        <f>+AVERAGE(AQ67,AU67,AY67)</f>
        <v>89.103333333333339</v>
      </c>
      <c r="BB67" s="6160"/>
      <c r="BC67" s="497">
        <f>+AVERAGE(AM67,BA67)</f>
        <v>88.63666666666667</v>
      </c>
      <c r="BD67" s="3413"/>
      <c r="BE67" s="2956">
        <f>+AVERAGE(AA67,BC67)</f>
        <v>88.172500000000014</v>
      </c>
      <c r="BF67" s="5172"/>
      <c r="BG67" s="5172"/>
      <c r="BH67" s="5172"/>
      <c r="BI67" s="5172"/>
      <c r="BJ67" s="5172"/>
      <c r="BK67" s="5172"/>
      <c r="BL67" s="5172"/>
      <c r="BM67" s="5172"/>
      <c r="BN67" s="5172"/>
      <c r="BO67" s="5172"/>
      <c r="BP67" s="5172"/>
      <c r="BQ67" s="5172"/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58"/>
  <sheetViews>
    <sheetView zoomScale="85" zoomScaleNormal="85" workbookViewId="0">
      <pane xSplit="3" ySplit="4" topLeftCell="D101" activePane="bottomRight" state="frozen"/>
      <selection pane="topRight" activeCell="D1" sqref="D1"/>
      <selection pane="bottomLeft" activeCell="A5" sqref="A5"/>
      <selection pane="bottomRight" activeCell="J87" sqref="J87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customWidth="1"/>
    <col min="10" max="10" width="10" style="93" customWidth="1"/>
    <col min="11" max="11" width="8.7109375" style="203" hidden="1" customWidth="1"/>
    <col min="12" max="12" width="9.85546875" style="93" hidden="1" customWidth="1"/>
    <col min="13" max="13" width="10.5703125" style="87" hidden="1" customWidth="1"/>
    <col min="14" max="14" width="10" hidden="1" customWidth="1"/>
    <col min="15" max="15" width="9.85546875" style="203" hidden="1" customWidth="1"/>
    <col min="16" max="16" width="9.85546875" hidden="1" customWidth="1"/>
    <col min="17" max="17" width="10" style="87" hidden="1" customWidth="1"/>
    <col min="18" max="18" width="10" hidden="1" customWidth="1"/>
    <col min="19" max="19" width="9.85546875" style="87" hidden="1" customWidth="1"/>
    <col min="20" max="20" width="9.85546875" style="1800" hidden="1" customWidth="1"/>
    <col min="21" max="21" width="10" style="87" hidden="1" customWidth="1"/>
    <col min="22" max="22" width="13" hidden="1" customWidth="1"/>
    <col min="23" max="23" width="9.85546875" style="87" hidden="1" customWidth="1"/>
    <col min="24" max="24" width="9.85546875" hidden="1" customWidth="1"/>
    <col min="25" max="25" width="13" style="87" hidden="1" customWidth="1"/>
    <col min="26" max="26" width="15.140625" hidden="1" customWidth="1"/>
    <col min="27" max="27" width="13" style="87" hidden="1" customWidth="1"/>
    <col min="28" max="28" width="15.140625" hidden="1" customWidth="1"/>
    <col min="29" max="29" width="8.85546875" hidden="1" customWidth="1"/>
    <col min="30" max="30" width="10" hidden="1" customWidth="1"/>
    <col min="31" max="31" width="9.42578125" hidden="1" customWidth="1"/>
    <col min="32" max="32" width="12.28515625" hidden="1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3026" hidden="1" customWidth="1"/>
    <col min="55" max="56" width="10" style="3026" hidden="1" customWidth="1"/>
    <col min="57" max="57" width="10.7109375" hidden="1" customWidth="1"/>
    <col min="58" max="58" width="12" hidden="1" customWidth="1"/>
    <col min="59" max="59" width="11.140625" bestFit="1" customWidth="1"/>
    <col min="60" max="60" width="15" bestFit="1" customWidth="1"/>
  </cols>
  <sheetData>
    <row r="1" spans="1:66" ht="22.5" x14ac:dyDescent="0.3">
      <c r="A1" s="149"/>
      <c r="B1" s="1276" t="s">
        <v>111</v>
      </c>
      <c r="C1" s="1277"/>
      <c r="D1" s="1444">
        <f>+D72/24</f>
        <v>330.75000000000006</v>
      </c>
      <c r="E1" s="1278">
        <f>+E72/24</f>
        <v>28.174999999999997</v>
      </c>
      <c r="F1" s="1278">
        <f t="shared" ref="F1:R1" si="0">+F72/24</f>
        <v>24.311666666666667</v>
      </c>
      <c r="G1" s="1278">
        <f t="shared" si="0"/>
        <v>29.155000000000001</v>
      </c>
      <c r="H1" s="1278">
        <f t="shared" si="0"/>
        <v>26.942916666666665</v>
      </c>
      <c r="I1" s="1278">
        <f t="shared" si="0"/>
        <v>57.330000000000005</v>
      </c>
      <c r="J1" s="1278">
        <f t="shared" si="0"/>
        <v>51.254583333333336</v>
      </c>
      <c r="K1" s="1279">
        <f t="shared" si="0"/>
        <v>22.8125</v>
      </c>
      <c r="L1" s="1278">
        <f t="shared" si="0"/>
        <v>21.537499999999998</v>
      </c>
      <c r="M1" s="1278">
        <f t="shared" si="0"/>
        <v>80.142499999999998</v>
      </c>
      <c r="N1" s="1278">
        <f t="shared" si="0"/>
        <v>72.792083333333338</v>
      </c>
      <c r="O1" s="1279">
        <f t="shared" si="0"/>
        <v>15.625</v>
      </c>
      <c r="P1" s="1278">
        <f t="shared" si="0"/>
        <v>29.722916666666666</v>
      </c>
      <c r="Q1" s="1278">
        <f t="shared" si="0"/>
        <v>95.767499999999998</v>
      </c>
      <c r="R1" s="1278">
        <f t="shared" si="0"/>
        <v>102.515</v>
      </c>
      <c r="S1" s="1278">
        <f>+S72/24</f>
        <v>28.958333333333332</v>
      </c>
      <c r="T1" s="1816">
        <f>+T72/24</f>
        <v>28.010416666666668</v>
      </c>
      <c r="U1" s="1278">
        <f>+U72/24</f>
        <v>124.72583333333334</v>
      </c>
      <c r="V1" s="1278">
        <f>+V72/24</f>
        <v>130.52541666666667</v>
      </c>
      <c r="W1" s="1278">
        <f t="shared" ref="W1:AF1" si="1">+W72/24</f>
        <v>28</v>
      </c>
      <c r="X1" s="1278">
        <f t="shared" si="1"/>
        <v>27.665000000000003</v>
      </c>
      <c r="Y1" s="1278">
        <f>+O1+S1+W1</f>
        <v>72.583333333333329</v>
      </c>
      <c r="Z1" s="1278">
        <f>+P1+T1+X1</f>
        <v>85.398333333333341</v>
      </c>
      <c r="AA1" s="1278">
        <f t="shared" si="1"/>
        <v>152.72583333333333</v>
      </c>
      <c r="AB1" s="1278">
        <f t="shared" si="1"/>
        <v>158.19041666666666</v>
      </c>
      <c r="AC1" s="1278">
        <f t="shared" si="1"/>
        <v>29.375</v>
      </c>
      <c r="AD1" s="1278">
        <f t="shared" si="1"/>
        <v>27.776666666666667</v>
      </c>
      <c r="AE1" s="1278">
        <f t="shared" si="1"/>
        <v>182.10083333333333</v>
      </c>
      <c r="AF1" s="1278">
        <f t="shared" si="1"/>
        <v>185.96708333333333</v>
      </c>
      <c r="AG1" s="1278">
        <f t="shared" ref="AG1:AL1" si="2">+AG72/24</f>
        <v>28.541666666666668</v>
      </c>
      <c r="AH1" s="1278">
        <f t="shared" si="2"/>
        <v>2.3958333333333335</v>
      </c>
      <c r="AI1" s="1278">
        <f t="shared" si="2"/>
        <v>210.64250000000001</v>
      </c>
      <c r="AJ1" s="1278">
        <f t="shared" si="2"/>
        <v>188.36291666666668</v>
      </c>
      <c r="AK1" s="1278">
        <f t="shared" si="2"/>
        <v>29.375</v>
      </c>
      <c r="AL1" s="1278">
        <f t="shared" si="2"/>
        <v>29.517499999999998</v>
      </c>
      <c r="AM1" s="1278">
        <f>+AC1+AG1+AK1</f>
        <v>87.291666666666671</v>
      </c>
      <c r="AN1" s="1278">
        <f>+AD1+AH1+AL1</f>
        <v>59.69</v>
      </c>
      <c r="AO1" s="1278">
        <f>AI1+AK1</f>
        <v>240.01750000000001</v>
      </c>
      <c r="AP1" s="1278">
        <f>AJ1+AL1</f>
        <v>217.88041666666669</v>
      </c>
      <c r="AQ1" s="1278">
        <f t="shared" ref="AQ1:AT1" si="3">+AQ72/24</f>
        <v>29.375</v>
      </c>
      <c r="AR1" s="1278">
        <f t="shared" si="3"/>
        <v>27.78833333333333</v>
      </c>
      <c r="AS1" s="1278">
        <f t="shared" si="3"/>
        <v>269.39249999999998</v>
      </c>
      <c r="AT1" s="1278">
        <f t="shared" si="3"/>
        <v>245.66875000000002</v>
      </c>
      <c r="AU1" s="1278">
        <f t="shared" ref="AU1:AX1" si="4">+AU72/24</f>
        <v>26.666666666666668</v>
      </c>
      <c r="AV1" s="1278">
        <f t="shared" si="4"/>
        <v>26.446250000000003</v>
      </c>
      <c r="AW1" s="1278">
        <f t="shared" si="4"/>
        <v>296.05916666666667</v>
      </c>
      <c r="AX1" s="1278">
        <f t="shared" si="4"/>
        <v>272.11500000000001</v>
      </c>
      <c r="AY1" s="1278">
        <f t="shared" ref="AY1:BF1" si="5">+AY72/24</f>
        <v>29.375</v>
      </c>
      <c r="AZ1" s="1278">
        <f t="shared" si="5"/>
        <v>29.5625</v>
      </c>
      <c r="BA1" s="1278">
        <f>+AQ1+AU1+AY1</f>
        <v>85.416666666666671</v>
      </c>
      <c r="BB1" s="1278">
        <f>+AR1+AV1+AZ1</f>
        <v>83.797083333333333</v>
      </c>
      <c r="BC1" s="1278">
        <f t="shared" ref="BC1:BD1" si="6">+BC72/24</f>
        <v>172.70833333333334</v>
      </c>
      <c r="BD1" s="1278">
        <f t="shared" si="6"/>
        <v>143.48708333333335</v>
      </c>
      <c r="BE1" s="1278">
        <f t="shared" si="5"/>
        <v>325.43416666666667</v>
      </c>
      <c r="BF1" s="1278">
        <f t="shared" si="5"/>
        <v>301.67750000000001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17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8">
        <f>AI2+AK2</f>
        <v>275</v>
      </c>
      <c r="AP2" s="1278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655" t="s">
        <v>171</v>
      </c>
      <c r="C3" s="7649" t="s">
        <v>172</v>
      </c>
      <c r="D3" s="7512" t="s">
        <v>2255</v>
      </c>
      <c r="E3" s="7649" t="s">
        <v>2254</v>
      </c>
      <c r="F3" s="7649"/>
      <c r="G3" s="7649" t="s">
        <v>2306</v>
      </c>
      <c r="H3" s="7649"/>
      <c r="I3" s="7650" t="s">
        <v>14</v>
      </c>
      <c r="J3" s="7650"/>
      <c r="K3" s="7649" t="s">
        <v>1903</v>
      </c>
      <c r="L3" s="7649"/>
      <c r="M3" s="7651" t="s">
        <v>637</v>
      </c>
      <c r="N3" s="7651"/>
      <c r="O3" s="7649" t="s">
        <v>1937</v>
      </c>
      <c r="P3" s="7649"/>
      <c r="Q3" s="7650" t="s">
        <v>17</v>
      </c>
      <c r="R3" s="7650"/>
      <c r="S3" s="7649" t="s">
        <v>1961</v>
      </c>
      <c r="T3" s="7649"/>
      <c r="U3" s="7650" t="s">
        <v>18</v>
      </c>
      <c r="V3" s="7650"/>
      <c r="W3" s="7649" t="s">
        <v>1983</v>
      </c>
      <c r="X3" s="7649"/>
      <c r="Y3" s="7651" t="s">
        <v>660</v>
      </c>
      <c r="Z3" s="7651"/>
      <c r="AA3" s="7652" t="s">
        <v>657</v>
      </c>
      <c r="AB3" s="7652"/>
      <c r="AC3" s="7649" t="s">
        <v>2002</v>
      </c>
      <c r="AD3" s="7649"/>
      <c r="AE3" s="7650" t="s">
        <v>24</v>
      </c>
      <c r="AF3" s="7650"/>
      <c r="AG3" s="7649" t="s">
        <v>2018</v>
      </c>
      <c r="AH3" s="7649"/>
      <c r="AI3" s="7650" t="s">
        <v>27</v>
      </c>
      <c r="AJ3" s="7650"/>
      <c r="AK3" s="7649" t="s">
        <v>2033</v>
      </c>
      <c r="AL3" s="7649"/>
      <c r="AM3" s="7651" t="s">
        <v>662</v>
      </c>
      <c r="AN3" s="7651"/>
      <c r="AO3" s="7650" t="s">
        <v>1683</v>
      </c>
      <c r="AP3" s="7650"/>
      <c r="AQ3" s="7649" t="s">
        <v>2137</v>
      </c>
      <c r="AR3" s="7649"/>
      <c r="AS3" s="7650" t="s">
        <v>28</v>
      </c>
      <c r="AT3" s="7650"/>
      <c r="AU3" s="7649" t="s">
        <v>2151</v>
      </c>
      <c r="AV3" s="7649"/>
      <c r="AW3" s="7650" t="s">
        <v>30</v>
      </c>
      <c r="AX3" s="7650"/>
      <c r="AY3" s="7649" t="s">
        <v>2163</v>
      </c>
      <c r="AZ3" s="7649"/>
      <c r="BA3" s="7651" t="s">
        <v>663</v>
      </c>
      <c r="BB3" s="7651"/>
      <c r="BC3" s="7652" t="s">
        <v>671</v>
      </c>
      <c r="BD3" s="7652"/>
      <c r="BE3" s="7650" t="s">
        <v>1765</v>
      </c>
      <c r="BF3" s="7650"/>
    </row>
    <row r="4" spans="1:66" x14ac:dyDescent="0.25">
      <c r="B4" s="7655"/>
      <c r="C4" s="7649"/>
      <c r="D4" s="7512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5" t="s">
        <v>173</v>
      </c>
      <c r="L4" s="548" t="s">
        <v>174</v>
      </c>
      <c r="M4" s="190" t="s">
        <v>173</v>
      </c>
      <c r="N4" s="190" t="s">
        <v>174</v>
      </c>
      <c r="O4" s="1555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1818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80" t="s">
        <v>173</v>
      </c>
      <c r="AB4" s="1280" t="s">
        <v>174</v>
      </c>
      <c r="AC4" s="2618" t="s">
        <v>173</v>
      </c>
      <c r="AD4" s="2618" t="s">
        <v>174</v>
      </c>
      <c r="AE4" s="2619" t="s">
        <v>173</v>
      </c>
      <c r="AF4" s="2619" t="s">
        <v>174</v>
      </c>
      <c r="AG4" s="2671" t="s">
        <v>173</v>
      </c>
      <c r="AH4" s="2671" t="s">
        <v>174</v>
      </c>
      <c r="AI4" s="2672" t="s">
        <v>173</v>
      </c>
      <c r="AJ4" s="2672" t="s">
        <v>174</v>
      </c>
      <c r="AK4" s="2732" t="s">
        <v>173</v>
      </c>
      <c r="AL4" s="2732" t="s">
        <v>174</v>
      </c>
      <c r="AM4" s="2734" t="s">
        <v>173</v>
      </c>
      <c r="AN4" s="2734" t="s">
        <v>174</v>
      </c>
      <c r="AO4" s="2733" t="s">
        <v>173</v>
      </c>
      <c r="AP4" s="2733" t="s">
        <v>174</v>
      </c>
      <c r="AQ4" s="2795" t="s">
        <v>173</v>
      </c>
      <c r="AR4" s="2795" t="s">
        <v>174</v>
      </c>
      <c r="AS4" s="2796" t="s">
        <v>173</v>
      </c>
      <c r="AT4" s="2796" t="s">
        <v>174</v>
      </c>
      <c r="AU4" s="2841" t="s">
        <v>173</v>
      </c>
      <c r="AV4" s="2841" t="s">
        <v>174</v>
      </c>
      <c r="AW4" s="2842" t="s">
        <v>173</v>
      </c>
      <c r="AX4" s="2842" t="s">
        <v>174</v>
      </c>
      <c r="AY4" s="3027" t="s">
        <v>173</v>
      </c>
      <c r="AZ4" s="3027" t="s">
        <v>174</v>
      </c>
      <c r="BA4" s="3029" t="s">
        <v>173</v>
      </c>
      <c r="BB4" s="3029" t="s">
        <v>174</v>
      </c>
      <c r="BC4" s="3030" t="s">
        <v>173</v>
      </c>
      <c r="BD4" s="3030" t="s">
        <v>174</v>
      </c>
      <c r="BE4" s="3028" t="s">
        <v>173</v>
      </c>
      <c r="BF4" s="3028" t="s">
        <v>174</v>
      </c>
    </row>
    <row r="5" spans="1:66" ht="18.75" x14ac:dyDescent="0.25">
      <c r="A5" s="149"/>
      <c r="B5" s="1281" t="s">
        <v>936</v>
      </c>
      <c r="C5" s="1281"/>
      <c r="D5" s="251"/>
      <c r="E5" s="1281"/>
      <c r="F5" s="1281"/>
      <c r="G5" s="1281"/>
      <c r="H5" s="1281"/>
      <c r="I5" s="1281"/>
      <c r="J5" s="1281"/>
      <c r="K5" s="1281"/>
      <c r="L5" s="1281"/>
      <c r="M5" s="1281"/>
      <c r="N5" s="1281"/>
      <c r="O5" s="1281"/>
      <c r="P5" s="1281"/>
      <c r="Q5" s="1281"/>
      <c r="R5" s="1281"/>
      <c r="S5" s="1281"/>
      <c r="T5" s="1819"/>
      <c r="U5" s="1281"/>
      <c r="V5" s="1281"/>
      <c r="W5" s="1281"/>
      <c r="X5" s="1281"/>
      <c r="Y5" s="1281"/>
      <c r="Z5" s="1281"/>
      <c r="AA5" s="1281"/>
      <c r="AB5" s="1281"/>
      <c r="AC5" s="1281"/>
      <c r="AD5" s="1281"/>
      <c r="AE5" s="1281"/>
      <c r="AF5" s="1281"/>
      <c r="AG5" s="1281"/>
      <c r="AH5" s="1281"/>
      <c r="AI5" s="1281"/>
      <c r="AJ5" s="1281"/>
      <c r="AK5" s="1281"/>
      <c r="AL5" s="1281"/>
      <c r="AM5" s="1281"/>
      <c r="AN5" s="1281"/>
      <c r="AO5" s="1281"/>
      <c r="AP5" s="1281"/>
      <c r="AQ5" s="1281"/>
      <c r="AR5" s="1281"/>
      <c r="AS5" s="1281"/>
      <c r="AT5" s="1281"/>
      <c r="AU5" s="1281"/>
      <c r="AV5" s="1281"/>
      <c r="AW5" s="1281"/>
      <c r="AX5" s="1281"/>
      <c r="AY5" s="1281"/>
      <c r="AZ5" s="1281"/>
      <c r="BA5" s="1281"/>
      <c r="BB5" s="1281"/>
      <c r="BC5" s="1281"/>
      <c r="BD5" s="1281"/>
      <c r="BE5" s="1281"/>
      <c r="BF5" s="1281"/>
    </row>
    <row r="6" spans="1:66" x14ac:dyDescent="0.25">
      <c r="B6" s="1282" t="s">
        <v>37</v>
      </c>
      <c r="C6" s="64" t="s">
        <v>50</v>
      </c>
      <c r="D6" s="1204">
        <v>3420111.9433620959</v>
      </c>
      <c r="E6" s="1283">
        <v>291765.43036840716</v>
      </c>
      <c r="F6" s="1283">
        <v>252779</v>
      </c>
      <c r="G6" s="1283">
        <v>300530.10291530337</v>
      </c>
      <c r="H6" s="1283">
        <v>279294</v>
      </c>
      <c r="I6" s="1284">
        <f>+E6+G6</f>
        <v>592295.53328371048</v>
      </c>
      <c r="J6" s="1284">
        <f>+F6+H6</f>
        <v>532073</v>
      </c>
      <c r="K6" s="1283">
        <v>224039.42296937638</v>
      </c>
      <c r="L6" s="1283">
        <v>205449</v>
      </c>
      <c r="M6" s="1286">
        <f>+K6+G6+E6</f>
        <v>816334.95625308692</v>
      </c>
      <c r="N6" s="1286">
        <f>+L6+H6+F6</f>
        <v>737522</v>
      </c>
      <c r="O6" s="1283">
        <v>134785.94764131159</v>
      </c>
      <c r="P6" s="1283">
        <v>309301</v>
      </c>
      <c r="Q6" s="1284">
        <f>+M6+O6</f>
        <v>951120.90389439848</v>
      </c>
      <c r="R6" s="1284">
        <f>+N6+P6</f>
        <v>1046823</v>
      </c>
      <c r="S6" s="1283">
        <v>304940.27689739963</v>
      </c>
      <c r="T6" s="1283">
        <v>289125</v>
      </c>
      <c r="U6" s="1284">
        <f>+Q6+S6</f>
        <v>1256061.180791798</v>
      </c>
      <c r="V6" s="1284">
        <f>+R6+T6</f>
        <v>1335948</v>
      </c>
      <c r="W6" s="1283">
        <v>291969.75579713687</v>
      </c>
      <c r="X6" s="1283">
        <v>290785</v>
      </c>
      <c r="Y6" s="1286">
        <f>+O6+S6+W6</f>
        <v>731695.98033584817</v>
      </c>
      <c r="Z6" s="1286">
        <f>+P6+T6+X6</f>
        <v>889211</v>
      </c>
      <c r="AA6" s="1225">
        <f>M6+Y6</f>
        <v>1548030.9365889351</v>
      </c>
      <c r="AB6" s="1225">
        <f>N6+Z6</f>
        <v>1626733</v>
      </c>
      <c r="AC6" s="1283">
        <v>314138.81526352116</v>
      </c>
      <c r="AD6" s="1283">
        <v>293197</v>
      </c>
      <c r="AE6" s="1284">
        <f>+AA6+AC6</f>
        <v>1862169.7518524562</v>
      </c>
      <c r="AF6" s="1284">
        <f>+AB6+AD6</f>
        <v>1919930</v>
      </c>
      <c r="AG6" s="1283">
        <v>305844.70283606299</v>
      </c>
      <c r="AH6" s="1283">
        <v>19184</v>
      </c>
      <c r="AI6" s="1284">
        <f>+AE6+AG6</f>
        <v>2168014.4546885192</v>
      </c>
      <c r="AJ6" s="1284">
        <f>+AF6+AH6</f>
        <v>1939114</v>
      </c>
      <c r="AK6" s="1283">
        <v>314138.81526352116</v>
      </c>
      <c r="AL6" s="1283">
        <v>283859.14</v>
      </c>
      <c r="AM6" s="1286">
        <f>+AC6+AG6+AK6</f>
        <v>934122.33336310531</v>
      </c>
      <c r="AN6" s="1286">
        <f>+AD6+AH6+AL6</f>
        <v>596240.14</v>
      </c>
      <c r="AO6" s="1284">
        <f>AI6+AK6</f>
        <v>2482153.2699520402</v>
      </c>
      <c r="AP6" s="1284">
        <f>AJ6+AL6</f>
        <v>2222973.14</v>
      </c>
      <c r="AQ6" s="1283">
        <v>314138.81526352116</v>
      </c>
      <c r="AR6" s="1283">
        <v>290918</v>
      </c>
      <c r="AS6" s="1284">
        <f>+AO6+AQ6</f>
        <v>2796292.0852155611</v>
      </c>
      <c r="AT6" s="1284">
        <f>+AP6+AR6</f>
        <v>2513891.14</v>
      </c>
      <c r="AU6" s="1283">
        <v>284907.25778447784</v>
      </c>
      <c r="AV6" s="1283">
        <v>270421</v>
      </c>
      <c r="AW6" s="1284">
        <f>+AS6+AU6</f>
        <v>3081199.343000039</v>
      </c>
      <c r="AX6" s="1284">
        <f>+AT6+AV6</f>
        <v>2784312.14</v>
      </c>
      <c r="AY6" s="1283">
        <v>314138.81526352116</v>
      </c>
      <c r="AZ6" s="1283">
        <v>322428</v>
      </c>
      <c r="BA6" s="1286">
        <f>+AQ6+AU6+AY6</f>
        <v>913184.88831152022</v>
      </c>
      <c r="BB6" s="1286">
        <f>+AR6+AV6+AZ6</f>
        <v>883767</v>
      </c>
      <c r="BC6" s="1225">
        <f>AM6+BA6</f>
        <v>1847307.2216746255</v>
      </c>
      <c r="BD6" s="1225">
        <f t="shared" ref="BD6:BD19" si="7">AN6+BB6</f>
        <v>1480007.1400000001</v>
      </c>
      <c r="BE6" s="1284">
        <f>+AW6+AY6</f>
        <v>3395338.1582635604</v>
      </c>
      <c r="BF6" s="1284">
        <f>+AX6+AZ6</f>
        <v>3106740.14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82" t="s">
        <v>38</v>
      </c>
      <c r="C7" s="64" t="s">
        <v>50</v>
      </c>
      <c r="D7" s="1204">
        <v>198321.58971355701</v>
      </c>
      <c r="E7" s="1283">
        <v>16918.564343025799</v>
      </c>
      <c r="F7" s="1283">
        <v>17706</v>
      </c>
      <c r="G7" s="1283">
        <v>17426.800278458504</v>
      </c>
      <c r="H7" s="1283">
        <v>18108</v>
      </c>
      <c r="I7" s="1284">
        <f t="shared" ref="I7:I19" si="8">+E7+G7</f>
        <v>34345.364621484303</v>
      </c>
      <c r="J7" s="1284">
        <f t="shared" ref="J7:J19" si="9">+F7+H7</f>
        <v>35814</v>
      </c>
      <c r="K7" s="1283">
        <v>18684.289819703652</v>
      </c>
      <c r="L7" s="1283">
        <v>12365</v>
      </c>
      <c r="M7" s="1286">
        <f t="shared" ref="M7:M19" si="10">+K7+G7+E7</f>
        <v>53029.654441187951</v>
      </c>
      <c r="N7" s="1286">
        <f t="shared" ref="N7:N19" si="11">+L7+H7+F7</f>
        <v>48179</v>
      </c>
      <c r="O7" s="1283">
        <v>11240.788232604498</v>
      </c>
      <c r="P7" s="1283">
        <v>15542</v>
      </c>
      <c r="Q7" s="1284">
        <f t="shared" ref="Q7:Q19" si="12">+M7+O7</f>
        <v>64270.442673792451</v>
      </c>
      <c r="R7" s="1284">
        <f t="shared" ref="R7:R19" si="13">+N7+P7</f>
        <v>63721</v>
      </c>
      <c r="S7" s="1283">
        <v>25431.205078717299</v>
      </c>
      <c r="T7" s="1283">
        <v>14059</v>
      </c>
      <c r="U7" s="1284">
        <f t="shared" ref="U7:U19" si="14">+Q7+S7</f>
        <v>89701.647752509743</v>
      </c>
      <c r="V7" s="1284">
        <f t="shared" ref="V7:V19" si="15">+R7+T7</f>
        <v>77780</v>
      </c>
      <c r="W7" s="1283">
        <v>24349.498242760052</v>
      </c>
      <c r="X7" s="1283">
        <v>18714</v>
      </c>
      <c r="Y7" s="1286">
        <f t="shared" ref="Y7:Y19" si="16">+O7+S7+W7</f>
        <v>61021.491554081847</v>
      </c>
      <c r="Z7" s="1286">
        <f t="shared" ref="Z7:Z19" si="17">+P7+T7+X7</f>
        <v>48315</v>
      </c>
      <c r="AA7" s="1225">
        <f t="shared" ref="AA7:AA19" si="18">M7+Y7</f>
        <v>114051.14599526979</v>
      </c>
      <c r="AB7" s="1225">
        <f t="shared" ref="AB7:AB19" si="19">N7+Z7</f>
        <v>96494</v>
      </c>
      <c r="AC7" s="1283">
        <v>26198.338623663851</v>
      </c>
      <c r="AD7" s="1283">
        <v>14717</v>
      </c>
      <c r="AE7" s="1284">
        <f t="shared" ref="AE7:AE19" si="20">+AA7+AC7</f>
        <v>140249.48461893364</v>
      </c>
      <c r="AF7" s="1284">
        <f t="shared" ref="AF7:AF13" si="21">+AB7+AD7</f>
        <v>111211</v>
      </c>
      <c r="AG7" s="1283">
        <v>25506.631787706607</v>
      </c>
      <c r="AH7" s="1283">
        <v>978</v>
      </c>
      <c r="AI7" s="1284">
        <f t="shared" ref="AI7:AI19" si="22">+AE7+AG7</f>
        <v>165756.11640664024</v>
      </c>
      <c r="AJ7" s="1284">
        <f t="shared" ref="AJ7:AJ19" si="23">+AF7+AH7</f>
        <v>112189</v>
      </c>
      <c r="AK7" s="1283">
        <v>26198.338623663851</v>
      </c>
      <c r="AL7" s="1283">
        <v>20338</v>
      </c>
      <c r="AM7" s="1286">
        <f t="shared" ref="AM7:AM19" si="24">+AC7+AG7+AK7</f>
        <v>77903.309035034312</v>
      </c>
      <c r="AN7" s="1286">
        <f t="shared" ref="AN7:AN19" si="25">+AD7+AH7+AL7</f>
        <v>36033</v>
      </c>
      <c r="AO7" s="1284">
        <f t="shared" ref="AO7:AO19" si="26">AI7+AK7</f>
        <v>191954.45503030409</v>
      </c>
      <c r="AP7" s="1284">
        <f t="shared" ref="AP7:AP19" si="27">AJ7+AL7</f>
        <v>132527</v>
      </c>
      <c r="AQ7" s="1283">
        <v>26198.338623663851</v>
      </c>
      <c r="AR7" s="1283">
        <v>19312</v>
      </c>
      <c r="AS7" s="1284">
        <f t="shared" ref="AS7:AS19" si="28">+AO7+AQ7</f>
        <v>218152.79365396794</v>
      </c>
      <c r="AT7" s="1284">
        <f t="shared" ref="AT7:AT19" si="29">+AP7+AR7</f>
        <v>151839</v>
      </c>
      <c r="AU7" s="1283">
        <v>23760.504761297463</v>
      </c>
      <c r="AV7" s="1283">
        <v>16266</v>
      </c>
      <c r="AW7" s="1284">
        <f t="shared" ref="AW7:AW19" si="30">+AS7+AU7</f>
        <v>241913.2984152654</v>
      </c>
      <c r="AX7" s="1284">
        <f t="shared" ref="AX7:AX19" si="31">+AT7+AV7</f>
        <v>168105</v>
      </c>
      <c r="AY7" s="1283">
        <v>26198.338623663851</v>
      </c>
      <c r="AZ7" s="1283">
        <v>16519</v>
      </c>
      <c r="BA7" s="1286">
        <f t="shared" ref="BA7:BA19" si="32">+AQ7+AU7+AY7</f>
        <v>76157.182008625168</v>
      </c>
      <c r="BB7" s="1286">
        <f t="shared" ref="BB7:BB19" si="33">+AR7+AV7+AZ7</f>
        <v>52097</v>
      </c>
      <c r="BC7" s="1225">
        <f t="shared" ref="BC7:BC19" si="34">AM7+BA7</f>
        <v>154060.49104365948</v>
      </c>
      <c r="BD7" s="1225">
        <f t="shared" si="7"/>
        <v>88130</v>
      </c>
      <c r="BE7" s="1284">
        <f t="shared" ref="BE7:BE19" si="35">+AW7+AY7</f>
        <v>268111.63703892927</v>
      </c>
      <c r="BF7" s="1284">
        <f t="shared" ref="BF7:BF19" si="36">+AX7+AZ7</f>
        <v>184624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82" t="s">
        <v>39</v>
      </c>
      <c r="C8" s="64" t="s">
        <v>50</v>
      </c>
      <c r="D8" s="1204">
        <v>413882.72462458618</v>
      </c>
      <c r="E8" s="1283">
        <v>35307.812513713536</v>
      </c>
      <c r="F8" s="1283">
        <v>31408</v>
      </c>
      <c r="G8" s="1283">
        <v>36368.463923440693</v>
      </c>
      <c r="H8" s="1283">
        <v>33097</v>
      </c>
      <c r="I8" s="1284">
        <f t="shared" si="8"/>
        <v>71676.276437154229</v>
      </c>
      <c r="J8" s="1284">
        <f t="shared" si="9"/>
        <v>64505</v>
      </c>
      <c r="K8" s="1283">
        <v>25811.95593084388</v>
      </c>
      <c r="L8" s="1283">
        <v>22004</v>
      </c>
      <c r="M8" s="1286">
        <f t="shared" si="10"/>
        <v>97488.232367998105</v>
      </c>
      <c r="N8" s="1286">
        <f t="shared" si="11"/>
        <v>86509</v>
      </c>
      <c r="O8" s="1283">
        <v>15528.914038892686</v>
      </c>
      <c r="P8" s="1283">
        <v>32985</v>
      </c>
      <c r="Q8" s="1284">
        <f t="shared" si="12"/>
        <v>113017.1464068908</v>
      </c>
      <c r="R8" s="1284">
        <f t="shared" si="13"/>
        <v>119494</v>
      </c>
      <c r="S8" s="1283">
        <v>35132.678367462584</v>
      </c>
      <c r="T8" s="1283">
        <v>33503</v>
      </c>
      <c r="U8" s="1284">
        <f t="shared" si="14"/>
        <v>148149.82477435339</v>
      </c>
      <c r="V8" s="1284">
        <f t="shared" si="15"/>
        <v>152997</v>
      </c>
      <c r="W8" s="1283">
        <v>33638.322978563789</v>
      </c>
      <c r="X8" s="1283">
        <v>35387</v>
      </c>
      <c r="Y8" s="1286">
        <f t="shared" si="16"/>
        <v>84299.915384919062</v>
      </c>
      <c r="Z8" s="1286">
        <f t="shared" si="17"/>
        <v>101875</v>
      </c>
      <c r="AA8" s="1225">
        <f t="shared" si="18"/>
        <v>181788.14775291717</v>
      </c>
      <c r="AB8" s="1225">
        <f t="shared" si="19"/>
        <v>188384</v>
      </c>
      <c r="AC8" s="1283">
        <v>36192.457328627635</v>
      </c>
      <c r="AD8" s="1283">
        <v>37201</v>
      </c>
      <c r="AE8" s="1284">
        <f t="shared" si="20"/>
        <v>217980.60508154481</v>
      </c>
      <c r="AF8" s="1284">
        <f t="shared" si="21"/>
        <v>225585</v>
      </c>
      <c r="AG8" s="1283">
        <v>35236.878789701135</v>
      </c>
      <c r="AH8" s="1283">
        <v>1829</v>
      </c>
      <c r="AI8" s="1284">
        <f t="shared" si="22"/>
        <v>253217.48387124593</v>
      </c>
      <c r="AJ8" s="1284">
        <f t="shared" si="23"/>
        <v>227414</v>
      </c>
      <c r="AK8" s="1283">
        <v>36192.457328627635</v>
      </c>
      <c r="AL8" s="1283">
        <v>34671</v>
      </c>
      <c r="AM8" s="1286">
        <f t="shared" si="24"/>
        <v>107621.79344695641</v>
      </c>
      <c r="AN8" s="1286">
        <f t="shared" si="25"/>
        <v>73701</v>
      </c>
      <c r="AO8" s="1284">
        <f t="shared" si="26"/>
        <v>289409.94119987357</v>
      </c>
      <c r="AP8" s="1284">
        <f t="shared" si="27"/>
        <v>262085</v>
      </c>
      <c r="AQ8" s="1283">
        <v>36192.457328627635</v>
      </c>
      <c r="AR8" s="1283">
        <v>35121</v>
      </c>
      <c r="AS8" s="1284">
        <f t="shared" si="28"/>
        <v>325602.39852850122</v>
      </c>
      <c r="AT8" s="1284">
        <f t="shared" si="29"/>
        <v>297206</v>
      </c>
      <c r="AU8" s="1283">
        <v>32824.640792418606</v>
      </c>
      <c r="AV8" s="1283">
        <v>31203</v>
      </c>
      <c r="AW8" s="1284">
        <f t="shared" si="30"/>
        <v>358427.03932091984</v>
      </c>
      <c r="AX8" s="1284">
        <f t="shared" si="31"/>
        <v>328409</v>
      </c>
      <c r="AY8" s="1283">
        <v>36192.457328627635</v>
      </c>
      <c r="AZ8" s="1283">
        <v>40247</v>
      </c>
      <c r="BA8" s="1286">
        <f t="shared" si="32"/>
        <v>105209.55544967388</v>
      </c>
      <c r="BB8" s="1286">
        <f t="shared" si="33"/>
        <v>106571</v>
      </c>
      <c r="BC8" s="1225">
        <f t="shared" si="34"/>
        <v>212831.34889663028</v>
      </c>
      <c r="BD8" s="1225">
        <f t="shared" si="7"/>
        <v>180272</v>
      </c>
      <c r="BE8" s="1284">
        <f t="shared" si="35"/>
        <v>394619.49664954748</v>
      </c>
      <c r="BF8" s="1284">
        <f t="shared" si="36"/>
        <v>368656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82" t="s">
        <v>40</v>
      </c>
      <c r="C9" s="64" t="s">
        <v>50</v>
      </c>
      <c r="D9" s="1204">
        <v>193929.83655187924</v>
      </c>
      <c r="E9" s="1283">
        <v>16543.909427482569</v>
      </c>
      <c r="F9" s="1283">
        <v>14798</v>
      </c>
      <c r="G9" s="1283">
        <v>17040.890679148677</v>
      </c>
      <c r="H9" s="1283">
        <v>14664</v>
      </c>
      <c r="I9" s="1284">
        <f t="shared" si="8"/>
        <v>33584.800106631243</v>
      </c>
      <c r="J9" s="1284">
        <f t="shared" si="9"/>
        <v>29462</v>
      </c>
      <c r="K9" s="1283">
        <v>14372.530630541272</v>
      </c>
      <c r="L9" s="1283">
        <v>11344</v>
      </c>
      <c r="M9" s="1286">
        <f t="shared" si="10"/>
        <v>47957.330737172517</v>
      </c>
      <c r="N9" s="1286">
        <f t="shared" si="11"/>
        <v>40806</v>
      </c>
      <c r="O9" s="1283">
        <v>8646.7601789265373</v>
      </c>
      <c r="P9" s="1283">
        <v>17067</v>
      </c>
      <c r="Q9" s="1284">
        <f t="shared" si="12"/>
        <v>56604.090916099056</v>
      </c>
      <c r="R9" s="1284">
        <f t="shared" si="13"/>
        <v>57873</v>
      </c>
      <c r="S9" s="1283">
        <v>19562.465445167156</v>
      </c>
      <c r="T9" s="1283">
        <v>17289</v>
      </c>
      <c r="U9" s="1284">
        <f t="shared" si="14"/>
        <v>76166.556361266208</v>
      </c>
      <c r="V9" s="1284">
        <f t="shared" si="15"/>
        <v>75162</v>
      </c>
      <c r="W9" s="1283">
        <v>18730.383263661577</v>
      </c>
      <c r="X9" s="1283">
        <v>16762</v>
      </c>
      <c r="Y9" s="1286">
        <f t="shared" si="16"/>
        <v>46939.608887755268</v>
      </c>
      <c r="Z9" s="1286">
        <f t="shared" si="17"/>
        <v>51118</v>
      </c>
      <c r="AA9" s="1225">
        <f t="shared" si="18"/>
        <v>94896.939624927792</v>
      </c>
      <c r="AB9" s="1225">
        <f t="shared" si="19"/>
        <v>91924</v>
      </c>
      <c r="AC9" s="1283">
        <v>20152.568172049116</v>
      </c>
      <c r="AD9" s="1283">
        <v>15587</v>
      </c>
      <c r="AE9" s="1284">
        <f t="shared" si="20"/>
        <v>115049.5077969769</v>
      </c>
      <c r="AF9" s="1284">
        <f t="shared" si="21"/>
        <v>107511</v>
      </c>
      <c r="AG9" s="1283">
        <v>19620.485990543544</v>
      </c>
      <c r="AH9" s="1283">
        <v>1108</v>
      </c>
      <c r="AI9" s="1284">
        <f t="shared" si="22"/>
        <v>134669.99378752045</v>
      </c>
      <c r="AJ9" s="1284">
        <f t="shared" si="23"/>
        <v>108619</v>
      </c>
      <c r="AK9" s="1283">
        <v>20152.568172049116</v>
      </c>
      <c r="AL9" s="1283">
        <v>17214</v>
      </c>
      <c r="AM9" s="1286">
        <f t="shared" si="24"/>
        <v>59925.622334641768</v>
      </c>
      <c r="AN9" s="1286">
        <f t="shared" si="25"/>
        <v>33909</v>
      </c>
      <c r="AO9" s="1284">
        <f t="shared" si="26"/>
        <v>154822.56195956958</v>
      </c>
      <c r="AP9" s="1284">
        <f t="shared" si="27"/>
        <v>125833</v>
      </c>
      <c r="AQ9" s="1283">
        <v>20152.568172049116</v>
      </c>
      <c r="AR9" s="1283">
        <v>16153</v>
      </c>
      <c r="AS9" s="1284">
        <f t="shared" si="28"/>
        <v>174975.1301316187</v>
      </c>
      <c r="AT9" s="1284">
        <f t="shared" si="29"/>
        <v>141986</v>
      </c>
      <c r="AU9" s="1283">
        <v>18277.311354844202</v>
      </c>
      <c r="AV9" s="1283">
        <v>13214</v>
      </c>
      <c r="AW9" s="1284">
        <f t="shared" si="30"/>
        <v>193252.44148646289</v>
      </c>
      <c r="AX9" s="1284">
        <f t="shared" si="31"/>
        <v>155200</v>
      </c>
      <c r="AY9" s="1283">
        <v>20152.568172049116</v>
      </c>
      <c r="AZ9" s="1283">
        <v>18608</v>
      </c>
      <c r="BA9" s="1286">
        <f t="shared" si="32"/>
        <v>58582.447698942429</v>
      </c>
      <c r="BB9" s="1286">
        <f t="shared" si="33"/>
        <v>47975</v>
      </c>
      <c r="BC9" s="1225">
        <f t="shared" si="34"/>
        <v>118508.0700335842</v>
      </c>
      <c r="BD9" s="1225">
        <f t="shared" si="7"/>
        <v>81884</v>
      </c>
      <c r="BE9" s="1284">
        <f t="shared" si="35"/>
        <v>213405.00965851202</v>
      </c>
      <c r="BF9" s="1284">
        <f t="shared" si="36"/>
        <v>173808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82" t="s">
        <v>1474</v>
      </c>
      <c r="C10" s="64" t="s">
        <v>50</v>
      </c>
      <c r="D10" s="1204">
        <v>1745.1503851687673</v>
      </c>
      <c r="E10" s="1283">
        <v>148.87657527543368</v>
      </c>
      <c r="F10" s="1283">
        <v>703</v>
      </c>
      <c r="G10" s="1283">
        <v>153.34884750639981</v>
      </c>
      <c r="H10" s="1283">
        <v>519</v>
      </c>
      <c r="I10" s="1284">
        <f t="shared" si="8"/>
        <v>302.22542278183346</v>
      </c>
      <c r="J10" s="1284">
        <f t="shared" si="9"/>
        <v>1222</v>
      </c>
      <c r="K10" s="1283">
        <v>0</v>
      </c>
      <c r="L10" s="1283">
        <v>637</v>
      </c>
      <c r="M10" s="1286">
        <f t="shared" si="10"/>
        <v>302.22542278183346</v>
      </c>
      <c r="N10" s="1286">
        <f t="shared" si="11"/>
        <v>1859</v>
      </c>
      <c r="O10" s="1283">
        <v>0</v>
      </c>
      <c r="P10" s="1283">
        <v>0</v>
      </c>
      <c r="Q10" s="1284">
        <f t="shared" si="12"/>
        <v>302.22542278183346</v>
      </c>
      <c r="R10" s="1284">
        <f t="shared" si="13"/>
        <v>1859</v>
      </c>
      <c r="S10" s="1283">
        <v>0</v>
      </c>
      <c r="T10" s="1283">
        <v>102</v>
      </c>
      <c r="U10" s="1284">
        <f t="shared" si="14"/>
        <v>302.22542278183346</v>
      </c>
      <c r="V10" s="1284">
        <f t="shared" si="15"/>
        <v>1961</v>
      </c>
      <c r="W10" s="1283">
        <v>0</v>
      </c>
      <c r="X10" s="1283">
        <v>54</v>
      </c>
      <c r="Y10" s="1286">
        <f t="shared" si="16"/>
        <v>0</v>
      </c>
      <c r="Z10" s="1286">
        <f t="shared" si="17"/>
        <v>156</v>
      </c>
      <c r="AA10" s="1225">
        <f t="shared" si="18"/>
        <v>302.22542278183346</v>
      </c>
      <c r="AB10" s="1225">
        <f t="shared" si="19"/>
        <v>2015</v>
      </c>
      <c r="AC10" s="1283">
        <v>0</v>
      </c>
      <c r="AD10" s="1283">
        <v>369</v>
      </c>
      <c r="AE10" s="1284">
        <f t="shared" si="20"/>
        <v>302.22542278183346</v>
      </c>
      <c r="AF10" s="1284">
        <f t="shared" si="21"/>
        <v>2384</v>
      </c>
      <c r="AG10" s="1283">
        <v>0</v>
      </c>
      <c r="AH10" s="1283"/>
      <c r="AI10" s="1284">
        <f t="shared" si="22"/>
        <v>302.22542278183346</v>
      </c>
      <c r="AJ10" s="1284">
        <f t="shared" si="23"/>
        <v>2384</v>
      </c>
      <c r="AK10" s="1283">
        <v>0</v>
      </c>
      <c r="AL10" s="1283"/>
      <c r="AM10" s="1286">
        <f t="shared" si="24"/>
        <v>0</v>
      </c>
      <c r="AN10" s="1286">
        <f t="shared" si="25"/>
        <v>369</v>
      </c>
      <c r="AO10" s="1284">
        <f t="shared" si="26"/>
        <v>302.22542278183346</v>
      </c>
      <c r="AP10" s="1284">
        <f t="shared" si="27"/>
        <v>2384</v>
      </c>
      <c r="AQ10" s="1283">
        <v>0</v>
      </c>
      <c r="AR10" s="1283">
        <v>101</v>
      </c>
      <c r="AS10" s="1284">
        <f t="shared" si="28"/>
        <v>302.22542278183346</v>
      </c>
      <c r="AT10" s="1284">
        <f t="shared" si="29"/>
        <v>2485</v>
      </c>
      <c r="AU10" s="1283">
        <v>0</v>
      </c>
      <c r="AV10" s="1283">
        <v>100</v>
      </c>
      <c r="AW10" s="1284">
        <f t="shared" si="30"/>
        <v>302.22542278183346</v>
      </c>
      <c r="AX10" s="1284">
        <f t="shared" si="31"/>
        <v>2585</v>
      </c>
      <c r="AY10" s="1283">
        <v>0</v>
      </c>
      <c r="AZ10" s="1283">
        <v>436</v>
      </c>
      <c r="BA10" s="1286">
        <f t="shared" si="32"/>
        <v>0</v>
      </c>
      <c r="BB10" s="1286">
        <f t="shared" si="33"/>
        <v>637</v>
      </c>
      <c r="BC10" s="1225">
        <f t="shared" si="34"/>
        <v>0</v>
      </c>
      <c r="BD10" s="1225">
        <f t="shared" si="7"/>
        <v>1006</v>
      </c>
      <c r="BE10" s="1284">
        <f t="shared" si="35"/>
        <v>302.22542278183346</v>
      </c>
      <c r="BF10" s="1284">
        <f t="shared" si="36"/>
        <v>3021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82" t="s">
        <v>556</v>
      </c>
      <c r="C11" s="64" t="s">
        <v>50</v>
      </c>
      <c r="D11" s="1204">
        <v>63523.474020143127</v>
      </c>
      <c r="E11" s="1283">
        <v>5419.1073400257865</v>
      </c>
      <c r="F11" s="1283">
        <v>5571</v>
      </c>
      <c r="G11" s="1283">
        <v>5581.8980492329538</v>
      </c>
      <c r="H11" s="1283">
        <v>5527</v>
      </c>
      <c r="I11" s="1284">
        <f t="shared" si="8"/>
        <v>11001.00538925874</v>
      </c>
      <c r="J11" s="1284">
        <f t="shared" si="9"/>
        <v>11098</v>
      </c>
      <c r="K11" s="1283">
        <v>2587.0555134974288</v>
      </c>
      <c r="L11" s="1283">
        <v>5392</v>
      </c>
      <c r="M11" s="1286">
        <f t="shared" si="10"/>
        <v>13588.06090275617</v>
      </c>
      <c r="N11" s="1286">
        <f t="shared" si="11"/>
        <v>16490</v>
      </c>
      <c r="O11" s="1283">
        <v>1556.4168322067769</v>
      </c>
      <c r="P11" s="1283">
        <v>4287</v>
      </c>
      <c r="Q11" s="1284">
        <f t="shared" si="12"/>
        <v>15144.477734962946</v>
      </c>
      <c r="R11" s="1284">
        <f t="shared" si="13"/>
        <v>20777</v>
      </c>
      <c r="S11" s="1283">
        <v>3521.2437801300875</v>
      </c>
      <c r="T11" s="1283">
        <v>4400</v>
      </c>
      <c r="U11" s="1284">
        <f t="shared" si="14"/>
        <v>18665.721515093035</v>
      </c>
      <c r="V11" s="1284">
        <f t="shared" si="15"/>
        <v>25177</v>
      </c>
      <c r="W11" s="1283">
        <v>3371.468987459084</v>
      </c>
      <c r="X11" s="1283">
        <v>4683</v>
      </c>
      <c r="Y11" s="1286">
        <f t="shared" si="16"/>
        <v>8449.1295997959496</v>
      </c>
      <c r="Z11" s="1286">
        <f t="shared" si="17"/>
        <v>13370</v>
      </c>
      <c r="AA11" s="1225">
        <f t="shared" si="18"/>
        <v>22037.190502552119</v>
      </c>
      <c r="AB11" s="1225">
        <f t="shared" si="19"/>
        <v>29860</v>
      </c>
      <c r="AC11" s="1283">
        <v>3627.4622709688406</v>
      </c>
      <c r="AD11" s="1283">
        <v>4690</v>
      </c>
      <c r="AE11" s="1284">
        <f t="shared" si="20"/>
        <v>25664.65277352096</v>
      </c>
      <c r="AF11" s="1284">
        <f t="shared" si="21"/>
        <v>34550</v>
      </c>
      <c r="AG11" s="1283">
        <v>3531.687478297838</v>
      </c>
      <c r="AH11" s="1283">
        <v>139</v>
      </c>
      <c r="AI11" s="1284">
        <f t="shared" si="22"/>
        <v>29196.340251818798</v>
      </c>
      <c r="AJ11" s="1284">
        <f t="shared" si="23"/>
        <v>34689</v>
      </c>
      <c r="AK11" s="1283">
        <v>3627.4622709688406</v>
      </c>
      <c r="AL11" s="1283">
        <v>4313</v>
      </c>
      <c r="AM11" s="1286">
        <f t="shared" si="24"/>
        <v>10786.61202023552</v>
      </c>
      <c r="AN11" s="1286">
        <f t="shared" si="25"/>
        <v>9142</v>
      </c>
      <c r="AO11" s="1284">
        <f t="shared" si="26"/>
        <v>32823.802522787635</v>
      </c>
      <c r="AP11" s="1284">
        <f t="shared" si="27"/>
        <v>39002</v>
      </c>
      <c r="AQ11" s="1283">
        <v>3627.4622709688406</v>
      </c>
      <c r="AR11" s="1283">
        <v>5352</v>
      </c>
      <c r="AS11" s="1284">
        <f t="shared" si="28"/>
        <v>36451.264793756476</v>
      </c>
      <c r="AT11" s="1284">
        <f t="shared" si="29"/>
        <v>44354</v>
      </c>
      <c r="AU11" s="1283">
        <v>3289.9160438719564</v>
      </c>
      <c r="AV11" s="1283">
        <v>3972</v>
      </c>
      <c r="AW11" s="1284">
        <f t="shared" si="30"/>
        <v>39741.180837628432</v>
      </c>
      <c r="AX11" s="1284">
        <f t="shared" si="31"/>
        <v>48326</v>
      </c>
      <c r="AY11" s="1283">
        <v>3627.4622709688406</v>
      </c>
      <c r="AZ11" s="1283">
        <v>6442</v>
      </c>
      <c r="BA11" s="1286">
        <f t="shared" si="32"/>
        <v>10544.840585809638</v>
      </c>
      <c r="BB11" s="1286">
        <f t="shared" si="33"/>
        <v>15766</v>
      </c>
      <c r="BC11" s="1225">
        <f t="shared" si="34"/>
        <v>21331.452606045157</v>
      </c>
      <c r="BD11" s="1225">
        <f t="shared" si="7"/>
        <v>24908</v>
      </c>
      <c r="BE11" s="1284">
        <f t="shared" si="35"/>
        <v>43368.643108597273</v>
      </c>
      <c r="BF11" s="1284">
        <f t="shared" si="36"/>
        <v>54768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82" t="s">
        <v>41</v>
      </c>
      <c r="C12" s="64" t="s">
        <v>50</v>
      </c>
      <c r="D12" s="1204">
        <v>45437.560985585827</v>
      </c>
      <c r="E12" s="1283">
        <v>3876.220941124509</v>
      </c>
      <c r="F12" s="1283">
        <v>0</v>
      </c>
      <c r="G12" s="1283">
        <v>3992.6631365740518</v>
      </c>
      <c r="H12" s="1283"/>
      <c r="I12" s="1284">
        <f t="shared" si="8"/>
        <v>7868.8840776985608</v>
      </c>
      <c r="J12" s="1284">
        <f t="shared" si="9"/>
        <v>0</v>
      </c>
      <c r="K12" s="1283">
        <v>2098.389472059026</v>
      </c>
      <c r="L12" s="1283">
        <v>3012</v>
      </c>
      <c r="M12" s="1286">
        <f t="shared" si="10"/>
        <v>9967.2735497575868</v>
      </c>
      <c r="N12" s="1286">
        <f t="shared" si="11"/>
        <v>3012</v>
      </c>
      <c r="O12" s="1283">
        <v>1262.4269861232744</v>
      </c>
      <c r="P12" s="1283">
        <v>4936</v>
      </c>
      <c r="Q12" s="1284">
        <f t="shared" si="12"/>
        <v>11229.700535880862</v>
      </c>
      <c r="R12" s="1284">
        <f t="shared" si="13"/>
        <v>7948</v>
      </c>
      <c r="S12" s="1283">
        <v>2856.119954994404</v>
      </c>
      <c r="T12" s="1283">
        <v>3582</v>
      </c>
      <c r="U12" s="1284">
        <f t="shared" si="14"/>
        <v>14085.820490875267</v>
      </c>
      <c r="V12" s="1284">
        <f t="shared" si="15"/>
        <v>11530</v>
      </c>
      <c r="W12" s="1283">
        <v>2734.6359564945901</v>
      </c>
      <c r="X12" s="1283">
        <v>3188</v>
      </c>
      <c r="Y12" s="1286">
        <f t="shared" si="16"/>
        <v>6853.1828976122688</v>
      </c>
      <c r="Z12" s="1286">
        <f t="shared" si="17"/>
        <v>11706</v>
      </c>
      <c r="AA12" s="1225">
        <f t="shared" si="18"/>
        <v>16820.456447369856</v>
      </c>
      <c r="AB12" s="1225">
        <f t="shared" si="19"/>
        <v>14718</v>
      </c>
      <c r="AC12" s="1283">
        <v>2942.2749531191707</v>
      </c>
      <c r="AD12" s="1283">
        <v>2709</v>
      </c>
      <c r="AE12" s="1284">
        <f t="shared" si="20"/>
        <v>19762.731400489025</v>
      </c>
      <c r="AF12" s="1284">
        <f t="shared" si="21"/>
        <v>17427</v>
      </c>
      <c r="AG12" s="1283">
        <v>2864.5909546193575</v>
      </c>
      <c r="AH12" s="1283">
        <v>154</v>
      </c>
      <c r="AI12" s="1284">
        <f t="shared" si="22"/>
        <v>22627.322355108383</v>
      </c>
      <c r="AJ12" s="1284">
        <f t="shared" si="23"/>
        <v>17581</v>
      </c>
      <c r="AK12" s="1283">
        <v>2942.2749531191707</v>
      </c>
      <c r="AL12" s="1283">
        <v>1719</v>
      </c>
      <c r="AM12" s="1286">
        <f t="shared" si="24"/>
        <v>8749.1408608576985</v>
      </c>
      <c r="AN12" s="1286">
        <f t="shared" si="25"/>
        <v>4582</v>
      </c>
      <c r="AO12" s="1284">
        <f t="shared" si="26"/>
        <v>25569.597308227552</v>
      </c>
      <c r="AP12" s="1284">
        <f t="shared" si="27"/>
        <v>19300</v>
      </c>
      <c r="AQ12" s="1283">
        <v>2942.2749531191707</v>
      </c>
      <c r="AR12" s="1283">
        <v>132</v>
      </c>
      <c r="AS12" s="1284">
        <f t="shared" si="28"/>
        <v>28511.872261346722</v>
      </c>
      <c r="AT12" s="1284">
        <f t="shared" si="29"/>
        <v>19432</v>
      </c>
      <c r="AU12" s="1283">
        <v>2668.4874578072536</v>
      </c>
      <c r="AV12" s="1283">
        <v>5</v>
      </c>
      <c r="AW12" s="1284">
        <f t="shared" si="30"/>
        <v>31180.359719153974</v>
      </c>
      <c r="AX12" s="1284">
        <f t="shared" si="31"/>
        <v>19437</v>
      </c>
      <c r="AY12" s="1283">
        <v>2942.2749531191707</v>
      </c>
      <c r="AZ12" s="1283">
        <v>0</v>
      </c>
      <c r="BA12" s="1286">
        <f t="shared" si="32"/>
        <v>8553.0373640455946</v>
      </c>
      <c r="BB12" s="1286">
        <f t="shared" si="33"/>
        <v>137</v>
      </c>
      <c r="BC12" s="1225">
        <f t="shared" si="34"/>
        <v>17302.178224903291</v>
      </c>
      <c r="BD12" s="1225">
        <f t="shared" si="7"/>
        <v>4719</v>
      </c>
      <c r="BE12" s="1284">
        <f t="shared" si="35"/>
        <v>34122.634672273147</v>
      </c>
      <c r="BF12" s="1284">
        <f t="shared" si="36"/>
        <v>19437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30"/>
      <c r="B13" s="1282" t="s">
        <v>1551</v>
      </c>
      <c r="C13" s="64" t="s">
        <v>50</v>
      </c>
      <c r="D13" s="1729">
        <v>0</v>
      </c>
      <c r="E13" s="1283">
        <v>0</v>
      </c>
      <c r="F13" s="1283">
        <v>667</v>
      </c>
      <c r="G13" s="1283">
        <v>0</v>
      </c>
      <c r="H13" s="1283">
        <v>698</v>
      </c>
      <c r="I13" s="1284">
        <f t="shared" si="8"/>
        <v>0</v>
      </c>
      <c r="J13" s="1284">
        <f t="shared" si="9"/>
        <v>1365</v>
      </c>
      <c r="K13" s="1283">
        <v>0</v>
      </c>
      <c r="L13" s="1283">
        <v>520</v>
      </c>
      <c r="M13" s="1286">
        <f t="shared" ref="M13" si="37">+K13+G13+E13</f>
        <v>0</v>
      </c>
      <c r="N13" s="1286">
        <f t="shared" si="11"/>
        <v>1885</v>
      </c>
      <c r="O13" s="1283">
        <v>0</v>
      </c>
      <c r="P13" s="1283">
        <v>870</v>
      </c>
      <c r="Q13" s="1284">
        <f t="shared" ref="Q13" si="38">+M13+O13</f>
        <v>0</v>
      </c>
      <c r="R13" s="1284">
        <f t="shared" ref="R13" si="39">+N13+P13</f>
        <v>2755</v>
      </c>
      <c r="S13" s="1283">
        <v>0</v>
      </c>
      <c r="T13" s="1283">
        <v>615</v>
      </c>
      <c r="U13" s="1284">
        <f t="shared" si="14"/>
        <v>0</v>
      </c>
      <c r="V13" s="1284">
        <f t="shared" si="15"/>
        <v>3370</v>
      </c>
      <c r="W13" s="1283">
        <v>0</v>
      </c>
      <c r="X13" s="1283">
        <v>341</v>
      </c>
      <c r="Y13" s="1286">
        <f t="shared" si="16"/>
        <v>0</v>
      </c>
      <c r="Z13" s="1286">
        <f t="shared" si="17"/>
        <v>1826</v>
      </c>
      <c r="AA13" s="1225">
        <f t="shared" si="18"/>
        <v>0</v>
      </c>
      <c r="AB13" s="1225">
        <f t="shared" si="19"/>
        <v>3711</v>
      </c>
      <c r="AC13" s="1283">
        <v>0</v>
      </c>
      <c r="AD13" s="1283">
        <v>1389</v>
      </c>
      <c r="AE13" s="1284">
        <f t="shared" si="20"/>
        <v>0</v>
      </c>
      <c r="AF13" s="1284">
        <f t="shared" si="21"/>
        <v>5100</v>
      </c>
      <c r="AG13" s="1283">
        <v>0</v>
      </c>
      <c r="AH13" s="1283">
        <v>27</v>
      </c>
      <c r="AI13" s="1284">
        <f t="shared" si="22"/>
        <v>0</v>
      </c>
      <c r="AJ13" s="1284">
        <f t="shared" si="23"/>
        <v>5127</v>
      </c>
      <c r="AK13" s="1283">
        <v>0</v>
      </c>
      <c r="AL13" s="1283">
        <v>1418</v>
      </c>
      <c r="AM13" s="1286">
        <f t="shared" si="24"/>
        <v>0</v>
      </c>
      <c r="AN13" s="1286">
        <f t="shared" si="25"/>
        <v>2834</v>
      </c>
      <c r="AO13" s="1284">
        <f t="shared" si="26"/>
        <v>0</v>
      </c>
      <c r="AP13" s="1284">
        <f t="shared" si="27"/>
        <v>6545</v>
      </c>
      <c r="AQ13" s="1283">
        <v>0</v>
      </c>
      <c r="AR13" s="1283">
        <v>1881</v>
      </c>
      <c r="AS13" s="1284">
        <f t="shared" si="28"/>
        <v>0</v>
      </c>
      <c r="AT13" s="1284">
        <f t="shared" si="29"/>
        <v>8426</v>
      </c>
      <c r="AU13" s="1283">
        <v>0</v>
      </c>
      <c r="AV13" s="1283">
        <v>0</v>
      </c>
      <c r="AW13" s="1284">
        <f t="shared" si="30"/>
        <v>0</v>
      </c>
      <c r="AX13" s="1284">
        <f t="shared" si="31"/>
        <v>8426</v>
      </c>
      <c r="AY13" s="1283">
        <v>0</v>
      </c>
      <c r="AZ13" s="1283">
        <v>0</v>
      </c>
      <c r="BA13" s="1286">
        <f t="shared" si="32"/>
        <v>0</v>
      </c>
      <c r="BB13" s="1286">
        <f t="shared" si="33"/>
        <v>1881</v>
      </c>
      <c r="BC13" s="1225">
        <f t="shared" si="34"/>
        <v>0</v>
      </c>
      <c r="BD13" s="1225">
        <f t="shared" si="7"/>
        <v>4715</v>
      </c>
      <c r="BE13" s="1284">
        <f t="shared" si="35"/>
        <v>0</v>
      </c>
      <c r="BF13" s="1284">
        <f t="shared" si="36"/>
        <v>8426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82" t="s">
        <v>42</v>
      </c>
      <c r="C14" s="64" t="s">
        <v>50</v>
      </c>
      <c r="D14" s="1204">
        <v>0</v>
      </c>
      <c r="E14" s="1283">
        <v>0</v>
      </c>
      <c r="F14" s="1283">
        <v>0</v>
      </c>
      <c r="G14" s="1283">
        <v>0</v>
      </c>
      <c r="H14" s="1283">
        <v>0</v>
      </c>
      <c r="I14" s="1284">
        <f t="shared" si="8"/>
        <v>0</v>
      </c>
      <c r="J14" s="1284">
        <f t="shared" si="9"/>
        <v>0</v>
      </c>
      <c r="K14" s="1283">
        <v>6283.2879912573426</v>
      </c>
      <c r="L14" s="1283">
        <v>0</v>
      </c>
      <c r="M14" s="1286">
        <f t="shared" si="10"/>
        <v>6283.2879912573426</v>
      </c>
      <c r="N14" s="1286">
        <f t="shared" si="11"/>
        <v>0</v>
      </c>
      <c r="O14" s="1283">
        <v>3780.1334915982866</v>
      </c>
      <c r="P14" s="1283">
        <v>0</v>
      </c>
      <c r="Q14" s="1284">
        <f t="shared" si="12"/>
        <v>10063.421482855629</v>
      </c>
      <c r="R14" s="1284">
        <f t="shared" si="13"/>
        <v>0</v>
      </c>
      <c r="S14" s="1283">
        <v>8552.1894070492181</v>
      </c>
      <c r="T14" s="1283">
        <v>0</v>
      </c>
      <c r="U14" s="1284">
        <f t="shared" si="14"/>
        <v>18615.610889904849</v>
      </c>
      <c r="V14" s="1284">
        <f t="shared" si="15"/>
        <v>0</v>
      </c>
      <c r="W14" s="1283">
        <v>8188.4252159551761</v>
      </c>
      <c r="X14" s="1283">
        <v>864</v>
      </c>
      <c r="Y14" s="1286">
        <f t="shared" si="16"/>
        <v>20520.74811460268</v>
      </c>
      <c r="Z14" s="1286">
        <f t="shared" si="17"/>
        <v>864</v>
      </c>
      <c r="AA14" s="1225">
        <f t="shared" si="18"/>
        <v>26804.036105860025</v>
      </c>
      <c r="AB14" s="1225">
        <f t="shared" si="19"/>
        <v>864</v>
      </c>
      <c r="AC14" s="1283">
        <v>8810.1666187691026</v>
      </c>
      <c r="AD14" s="1283">
        <v>159</v>
      </c>
      <c r="AE14" s="1284">
        <f t="shared" si="20"/>
        <v>35614.202724629125</v>
      </c>
      <c r="AF14" s="1284">
        <f t="shared" ref="AF14:AF19" si="40">+AB14+AD14</f>
        <v>1023</v>
      </c>
      <c r="AG14" s="1283">
        <v>8577.554445773505</v>
      </c>
      <c r="AH14" s="1283"/>
      <c r="AI14" s="1284">
        <f t="shared" si="22"/>
        <v>44191.757170402634</v>
      </c>
      <c r="AJ14" s="1284">
        <f t="shared" si="23"/>
        <v>1023</v>
      </c>
      <c r="AK14" s="1283">
        <v>8810.1666187691026</v>
      </c>
      <c r="AL14" s="1283">
        <v>469</v>
      </c>
      <c r="AM14" s="1286">
        <f t="shared" si="24"/>
        <v>26197.88768331171</v>
      </c>
      <c r="AN14" s="1286">
        <f t="shared" si="25"/>
        <v>628</v>
      </c>
      <c r="AO14" s="1284">
        <f t="shared" si="26"/>
        <v>53001.923789171735</v>
      </c>
      <c r="AP14" s="1284">
        <f t="shared" si="27"/>
        <v>1492</v>
      </c>
      <c r="AQ14" s="1283">
        <v>8810.1666187691026</v>
      </c>
      <c r="AR14" s="1283">
        <v>1474</v>
      </c>
      <c r="AS14" s="1284">
        <f t="shared" si="28"/>
        <v>61812.090407940836</v>
      </c>
      <c r="AT14" s="1284">
        <f t="shared" si="29"/>
        <v>2966</v>
      </c>
      <c r="AU14" s="1283">
        <v>7990.3542320047982</v>
      </c>
      <c r="AV14" s="1283">
        <v>919</v>
      </c>
      <c r="AW14" s="1284">
        <f t="shared" si="30"/>
        <v>69802.444639945636</v>
      </c>
      <c r="AX14" s="1284">
        <f t="shared" si="31"/>
        <v>3885</v>
      </c>
      <c r="AY14" s="1283">
        <v>8810.1666187691026</v>
      </c>
      <c r="AZ14" s="1283">
        <v>0</v>
      </c>
      <c r="BA14" s="1286">
        <f t="shared" si="32"/>
        <v>25610.687469543001</v>
      </c>
      <c r="BB14" s="1286">
        <f t="shared" si="33"/>
        <v>2393</v>
      </c>
      <c r="BC14" s="1225">
        <f t="shared" si="34"/>
        <v>51808.575152854712</v>
      </c>
      <c r="BD14" s="1225">
        <f t="shared" si="7"/>
        <v>3021</v>
      </c>
      <c r="BE14" s="1284">
        <f t="shared" si="35"/>
        <v>78612.611258714736</v>
      </c>
      <c r="BF14" s="1284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82" t="s">
        <v>600</v>
      </c>
      <c r="C15" s="64" t="s">
        <v>50</v>
      </c>
      <c r="D15" s="1204">
        <v>43628.759629219181</v>
      </c>
      <c r="E15" s="1283">
        <v>3721.9143818858424</v>
      </c>
      <c r="F15" s="1283">
        <v>9844</v>
      </c>
      <c r="G15" s="1283">
        <v>3833.7211876599958</v>
      </c>
      <c r="H15" s="1283">
        <v>10116</v>
      </c>
      <c r="I15" s="1284">
        <f t="shared" si="8"/>
        <v>7555.6355695458387</v>
      </c>
      <c r="J15" s="1284">
        <f t="shared" si="9"/>
        <v>19960</v>
      </c>
      <c r="K15" s="1283">
        <v>4311.7591891623815</v>
      </c>
      <c r="L15" s="1283">
        <v>3936</v>
      </c>
      <c r="M15" s="1286">
        <f t="shared" si="10"/>
        <v>11867.39475870822</v>
      </c>
      <c r="N15" s="1286">
        <f t="shared" si="11"/>
        <v>23896</v>
      </c>
      <c r="O15" s="1283">
        <v>2594.0280536779615</v>
      </c>
      <c r="P15" s="1283">
        <v>6869</v>
      </c>
      <c r="Q15" s="1284">
        <f t="shared" si="12"/>
        <v>14461.422812386181</v>
      </c>
      <c r="R15" s="1284">
        <f t="shared" si="13"/>
        <v>30765</v>
      </c>
      <c r="S15" s="1283">
        <v>5868.7396335501453</v>
      </c>
      <c r="T15" s="1283">
        <v>2544</v>
      </c>
      <c r="U15" s="1284">
        <f t="shared" si="14"/>
        <v>20330.162445936327</v>
      </c>
      <c r="V15" s="1284">
        <f t="shared" si="15"/>
        <v>33309</v>
      </c>
      <c r="W15" s="1283">
        <v>5619.1149790984737</v>
      </c>
      <c r="X15" s="1283">
        <v>5903</v>
      </c>
      <c r="Y15" s="1286">
        <f t="shared" si="16"/>
        <v>14081.882666326579</v>
      </c>
      <c r="Z15" s="1286">
        <f t="shared" si="17"/>
        <v>15316</v>
      </c>
      <c r="AA15" s="1225">
        <f t="shared" si="18"/>
        <v>25949.277425034801</v>
      </c>
      <c r="AB15" s="1225">
        <f t="shared" si="19"/>
        <v>39212</v>
      </c>
      <c r="AC15" s="1283">
        <v>6045.7704516147351</v>
      </c>
      <c r="AD15" s="1283">
        <v>4046</v>
      </c>
      <c r="AE15" s="1284">
        <f t="shared" si="20"/>
        <v>31995.047876649536</v>
      </c>
      <c r="AF15" s="1284">
        <f t="shared" si="40"/>
        <v>43258</v>
      </c>
      <c r="AG15" s="1283">
        <v>5886.1457971630634</v>
      </c>
      <c r="AH15" s="1283">
        <v>124</v>
      </c>
      <c r="AI15" s="1284">
        <f t="shared" si="22"/>
        <v>37881.193673812602</v>
      </c>
      <c r="AJ15" s="1284">
        <f t="shared" si="23"/>
        <v>43382</v>
      </c>
      <c r="AK15" s="1283">
        <v>6045.7704516147351</v>
      </c>
      <c r="AL15" s="1283">
        <v>806</v>
      </c>
      <c r="AM15" s="1286">
        <f t="shared" si="24"/>
        <v>17977.686700392533</v>
      </c>
      <c r="AN15" s="1286">
        <f t="shared" si="25"/>
        <v>4976</v>
      </c>
      <c r="AO15" s="1284">
        <f t="shared" si="26"/>
        <v>43926.964125427337</v>
      </c>
      <c r="AP15" s="1284">
        <f t="shared" si="27"/>
        <v>44188</v>
      </c>
      <c r="AQ15" s="1283">
        <v>6045.7704516147351</v>
      </c>
      <c r="AR15" s="1283">
        <v>1406</v>
      </c>
      <c r="AS15" s="1284">
        <f t="shared" si="28"/>
        <v>49972.734577042072</v>
      </c>
      <c r="AT15" s="1284">
        <f t="shared" si="29"/>
        <v>45594</v>
      </c>
      <c r="AU15" s="1283">
        <v>5483.1934064532616</v>
      </c>
      <c r="AV15" s="1283">
        <v>10616</v>
      </c>
      <c r="AW15" s="1284">
        <f t="shared" si="30"/>
        <v>55455.927983495334</v>
      </c>
      <c r="AX15" s="1284">
        <f t="shared" si="31"/>
        <v>56210</v>
      </c>
      <c r="AY15" s="1283">
        <v>6045.7704516147351</v>
      </c>
      <c r="AZ15" s="1283">
        <v>14888</v>
      </c>
      <c r="BA15" s="1286">
        <f t="shared" si="32"/>
        <v>17574.734309682732</v>
      </c>
      <c r="BB15" s="1286">
        <f t="shared" si="33"/>
        <v>26910</v>
      </c>
      <c r="BC15" s="1225">
        <f t="shared" si="34"/>
        <v>35552.421010075268</v>
      </c>
      <c r="BD15" s="1225">
        <f t="shared" si="7"/>
        <v>31886</v>
      </c>
      <c r="BE15" s="1284">
        <f t="shared" si="35"/>
        <v>61501.698435110069</v>
      </c>
      <c r="BF15" s="1284">
        <f t="shared" si="36"/>
        <v>71098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53"/>
      <c r="B16" s="3261" t="s">
        <v>1717</v>
      </c>
      <c r="C16" s="64" t="s">
        <v>50</v>
      </c>
      <c r="D16" s="3132">
        <v>3054.013174045343</v>
      </c>
      <c r="E16" s="3262">
        <v>260.53400673200895</v>
      </c>
      <c r="F16" s="3262">
        <v>333</v>
      </c>
      <c r="G16" s="3262">
        <v>268.36048313619972</v>
      </c>
      <c r="H16" s="3262">
        <v>319</v>
      </c>
      <c r="I16" s="1284">
        <f t="shared" ref="I16" si="41">+E16+G16</f>
        <v>528.89448986820867</v>
      </c>
      <c r="J16" s="1284">
        <f t="shared" ref="J16" si="42">+F16+H16</f>
        <v>652</v>
      </c>
      <c r="K16" s="3262">
        <v>0</v>
      </c>
      <c r="L16" s="3262">
        <v>0</v>
      </c>
      <c r="M16" s="1286">
        <f t="shared" ref="M16" si="43">+K16+G16+E16</f>
        <v>528.89448986820867</v>
      </c>
      <c r="N16" s="1286">
        <f t="shared" ref="N16" si="44">+L16+H16+F16</f>
        <v>652</v>
      </c>
      <c r="O16" s="3262">
        <v>0</v>
      </c>
      <c r="P16" s="3262">
        <v>0</v>
      </c>
      <c r="Q16" s="1284">
        <f t="shared" ref="Q16" si="45">+M16+O16</f>
        <v>528.89448986820867</v>
      </c>
      <c r="R16" s="1284">
        <f t="shared" ref="R16" si="46">+N16+P16</f>
        <v>652</v>
      </c>
      <c r="S16" s="3262">
        <v>0</v>
      </c>
      <c r="T16" s="3262">
        <v>206</v>
      </c>
      <c r="U16" s="1284">
        <f t="shared" si="14"/>
        <v>528.89448986820867</v>
      </c>
      <c r="V16" s="1284">
        <f t="shared" si="15"/>
        <v>858</v>
      </c>
      <c r="W16" s="3262">
        <v>0</v>
      </c>
      <c r="X16" s="3262">
        <v>758</v>
      </c>
      <c r="Y16" s="1286">
        <f t="shared" ref="Y16" si="47">+O16+S16+W16</f>
        <v>0</v>
      </c>
      <c r="Z16" s="1286">
        <f t="shared" ref="Z16" si="48">+P16+T16+X16</f>
        <v>964</v>
      </c>
      <c r="AA16" s="1225">
        <f t="shared" ref="AA16" si="49">M16+Y16</f>
        <v>528.89448986820867</v>
      </c>
      <c r="AB16" s="1225">
        <f t="shared" ref="AB16" si="50">N16+Z16</f>
        <v>1616</v>
      </c>
      <c r="AC16" s="3262">
        <v>0</v>
      </c>
      <c r="AD16" s="3262">
        <v>416</v>
      </c>
      <c r="AE16" s="1284">
        <f t="shared" ref="AE16" si="51">+AA16+AC16</f>
        <v>528.89448986820867</v>
      </c>
      <c r="AF16" s="1284">
        <f t="shared" ref="AF16" si="52">+AB16+AD16</f>
        <v>2032</v>
      </c>
      <c r="AG16" s="3262">
        <v>0</v>
      </c>
      <c r="AH16" s="3262"/>
      <c r="AI16" s="1284">
        <f t="shared" si="22"/>
        <v>528.89448986820867</v>
      </c>
      <c r="AJ16" s="1284">
        <f t="shared" si="23"/>
        <v>2032</v>
      </c>
      <c r="AK16" s="3262">
        <v>0</v>
      </c>
      <c r="AL16" s="3262">
        <v>75</v>
      </c>
      <c r="AM16" s="1286">
        <f t="shared" ref="AM16" si="53">+AC16+AG16+AK16</f>
        <v>0</v>
      </c>
      <c r="AN16" s="1286">
        <f t="shared" ref="AN16" si="54">+AD16+AH16+AL16</f>
        <v>491</v>
      </c>
      <c r="AO16" s="1284">
        <f t="shared" ref="AO16" si="55">AI16+AK16</f>
        <v>528.89448986820867</v>
      </c>
      <c r="AP16" s="1284">
        <f t="shared" ref="AP16" si="56">AJ16+AL16</f>
        <v>2107</v>
      </c>
      <c r="AQ16" s="3262">
        <v>0</v>
      </c>
      <c r="AR16" s="3262">
        <v>504</v>
      </c>
      <c r="AS16" s="1284">
        <f t="shared" ref="AS16" si="57">+AO16+AQ16</f>
        <v>528.89448986820867</v>
      </c>
      <c r="AT16" s="1284">
        <f t="shared" ref="AT16" si="58">+AP16+AR16</f>
        <v>2611</v>
      </c>
      <c r="AU16" s="3262">
        <v>0</v>
      </c>
      <c r="AV16" s="3262">
        <v>360</v>
      </c>
      <c r="AW16" s="1284">
        <f t="shared" si="30"/>
        <v>528.89448986820867</v>
      </c>
      <c r="AX16" s="1284">
        <f t="shared" si="31"/>
        <v>2971</v>
      </c>
      <c r="AY16" s="3262">
        <v>0</v>
      </c>
      <c r="AZ16" s="3262">
        <v>382</v>
      </c>
      <c r="BA16" s="1286">
        <f t="shared" ref="BA16" si="59">+AQ16+AU16+AY16</f>
        <v>0</v>
      </c>
      <c r="BB16" s="1286">
        <f t="shared" ref="BB16" si="60">+AR16+AV16+AZ16</f>
        <v>1246</v>
      </c>
      <c r="BC16" s="1225">
        <f t="shared" ref="BC16" si="61">AM16+BA16</f>
        <v>0</v>
      </c>
      <c r="BD16" s="1225">
        <f t="shared" ref="BD16" si="62">AN16+BB16</f>
        <v>1737</v>
      </c>
      <c r="BE16" s="1284">
        <f t="shared" ref="BE16" si="63">+AW16+AY16</f>
        <v>528.89448986820867</v>
      </c>
      <c r="BF16" s="1284">
        <f t="shared" ref="BF16" si="64">+AX16+AZ16</f>
        <v>3353</v>
      </c>
      <c r="BG16" s="26"/>
      <c r="BH16" s="26"/>
      <c r="BI16" s="26"/>
      <c r="BJ16" s="26"/>
      <c r="BK16" s="26"/>
      <c r="BL16" s="26"/>
      <c r="BM16" s="26"/>
      <c r="BN16" s="26"/>
    </row>
    <row r="17" spans="2:66" s="5172" customFormat="1" ht="15" customHeight="1" x14ac:dyDescent="0.25">
      <c r="B17" s="7215" t="s">
        <v>2310</v>
      </c>
      <c r="C17" s="7216" t="s">
        <v>50</v>
      </c>
      <c r="D17" s="7217"/>
      <c r="E17" s="7218"/>
      <c r="F17" s="7218"/>
      <c r="G17" s="7218"/>
      <c r="H17" s="7218">
        <v>1720</v>
      </c>
      <c r="I17" s="1284">
        <f t="shared" ref="I17" si="65">+E17+G17</f>
        <v>0</v>
      </c>
      <c r="J17" s="1284">
        <f t="shared" ref="J17" si="66">+F17+H17</f>
        <v>1720</v>
      </c>
      <c r="K17" s="7218"/>
      <c r="L17" s="7218"/>
      <c r="M17" s="7220"/>
      <c r="N17" s="7220"/>
      <c r="O17" s="7218"/>
      <c r="P17" s="7218"/>
      <c r="Q17" s="7219"/>
      <c r="R17" s="7219"/>
      <c r="S17" s="7218"/>
      <c r="T17" s="7218"/>
      <c r="U17" s="7219"/>
      <c r="V17" s="7219"/>
      <c r="W17" s="7218"/>
      <c r="X17" s="7218"/>
      <c r="Y17" s="7220"/>
      <c r="Z17" s="7220"/>
      <c r="AA17" s="7221"/>
      <c r="AB17" s="7221"/>
      <c r="AC17" s="7218"/>
      <c r="AD17" s="7218"/>
      <c r="AE17" s="7219"/>
      <c r="AF17" s="7219"/>
      <c r="AG17" s="7218"/>
      <c r="AH17" s="7218"/>
      <c r="AI17" s="7219"/>
      <c r="AJ17" s="7219"/>
      <c r="AK17" s="7218"/>
      <c r="AL17" s="7218"/>
      <c r="AM17" s="7220"/>
      <c r="AN17" s="7220"/>
      <c r="AO17" s="7219"/>
      <c r="AP17" s="7219"/>
      <c r="AQ17" s="7218"/>
      <c r="AR17" s="7218"/>
      <c r="AS17" s="7219"/>
      <c r="AT17" s="7219"/>
      <c r="AU17" s="7218"/>
      <c r="AV17" s="7218"/>
      <c r="AW17" s="7219"/>
      <c r="AX17" s="7219"/>
      <c r="AY17" s="7218"/>
      <c r="AZ17" s="7218"/>
      <c r="BA17" s="7220"/>
      <c r="BB17" s="7220"/>
      <c r="BC17" s="7221"/>
      <c r="BD17" s="7221"/>
      <c r="BE17" s="7219"/>
      <c r="BF17" s="7219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82" t="s">
        <v>98</v>
      </c>
      <c r="C18" s="64" t="s">
        <v>50</v>
      </c>
      <c r="D18" s="1204">
        <v>742117.67332594562</v>
      </c>
      <c r="E18" s="1283">
        <v>63394.45887394523</v>
      </c>
      <c r="F18" s="1283">
        <v>60100</v>
      </c>
      <c r="G18" s="1283">
        <v>65406.981377879973</v>
      </c>
      <c r="H18" s="1283">
        <v>65634</v>
      </c>
      <c r="I18" s="1284">
        <f t="shared" si="8"/>
        <v>128801.4402518252</v>
      </c>
      <c r="J18" s="1284">
        <f t="shared" si="9"/>
        <v>125734</v>
      </c>
      <c r="K18" s="1283">
        <v>40026.604143840348</v>
      </c>
      <c r="L18" s="1283">
        <v>46368</v>
      </c>
      <c r="M18" s="1286">
        <f t="shared" si="10"/>
        <v>168828.04439566555</v>
      </c>
      <c r="N18" s="1286">
        <f t="shared" si="11"/>
        <v>172102</v>
      </c>
      <c r="O18" s="1283">
        <v>19878.98460835022</v>
      </c>
      <c r="P18" s="1283">
        <v>72145</v>
      </c>
      <c r="Q18" s="1284">
        <f t="shared" si="12"/>
        <v>188707.02900401579</v>
      </c>
      <c r="R18" s="1284">
        <f t="shared" si="13"/>
        <v>244247</v>
      </c>
      <c r="S18" s="1283">
        <v>64472.382513568387</v>
      </c>
      <c r="T18" s="1283">
        <v>69159</v>
      </c>
      <c r="U18" s="1284">
        <f t="shared" si="14"/>
        <v>253179.41151758417</v>
      </c>
      <c r="V18" s="1284">
        <f t="shared" si="15"/>
        <v>313406</v>
      </c>
      <c r="W18" s="1283">
        <v>62323.303096449352</v>
      </c>
      <c r="X18" s="1283">
        <v>73120</v>
      </c>
      <c r="Y18" s="1286">
        <f t="shared" si="16"/>
        <v>146674.67021836794</v>
      </c>
      <c r="Z18" s="1286">
        <f t="shared" si="17"/>
        <v>214424</v>
      </c>
      <c r="AA18" s="1225">
        <f t="shared" si="18"/>
        <v>315502.71461403347</v>
      </c>
      <c r="AB18" s="1225">
        <f t="shared" si="19"/>
        <v>386526</v>
      </c>
      <c r="AC18" s="1283">
        <v>67158.731784967007</v>
      </c>
      <c r="AD18" s="1283">
        <v>71269</v>
      </c>
      <c r="AE18" s="1284">
        <f t="shared" si="20"/>
        <v>382661.44639900047</v>
      </c>
      <c r="AF18" s="1284">
        <f t="shared" si="40"/>
        <v>457795</v>
      </c>
      <c r="AG18" s="1283">
        <v>65009.652367848088</v>
      </c>
      <c r="AH18" s="1283">
        <v>4102</v>
      </c>
      <c r="AI18" s="1284">
        <f t="shared" si="22"/>
        <v>447671.09876684856</v>
      </c>
      <c r="AJ18" s="1284">
        <f t="shared" si="23"/>
        <v>461897</v>
      </c>
      <c r="AK18" s="1283">
        <v>67158.731784967007</v>
      </c>
      <c r="AL18" s="1283">
        <v>67183</v>
      </c>
      <c r="AM18" s="1286">
        <f t="shared" si="24"/>
        <v>199327.1159377821</v>
      </c>
      <c r="AN18" s="1286">
        <f t="shared" si="25"/>
        <v>142554</v>
      </c>
      <c r="AO18" s="1284">
        <f t="shared" si="26"/>
        <v>514829.83055181557</v>
      </c>
      <c r="AP18" s="1284">
        <f t="shared" si="27"/>
        <v>529080</v>
      </c>
      <c r="AQ18" s="1283">
        <v>67158.731784967007</v>
      </c>
      <c r="AR18" s="1283">
        <v>68238</v>
      </c>
      <c r="AS18" s="1284">
        <f t="shared" si="28"/>
        <v>581988.56233678258</v>
      </c>
      <c r="AT18" s="1284">
        <f t="shared" si="29"/>
        <v>597318</v>
      </c>
      <c r="AU18" s="1283">
        <v>60442.858606470341</v>
      </c>
      <c r="AV18" s="1283">
        <v>70009</v>
      </c>
      <c r="AW18" s="1284">
        <f t="shared" si="30"/>
        <v>642431.42094325298</v>
      </c>
      <c r="AX18" s="1284">
        <f t="shared" si="31"/>
        <v>667327</v>
      </c>
      <c r="AY18" s="1283">
        <v>67158.731784967007</v>
      </c>
      <c r="AZ18" s="1283">
        <v>82760</v>
      </c>
      <c r="BA18" s="1286">
        <f t="shared" si="32"/>
        <v>194760.32217640436</v>
      </c>
      <c r="BB18" s="1286">
        <f t="shared" si="33"/>
        <v>221007</v>
      </c>
      <c r="BC18" s="1225">
        <f t="shared" si="34"/>
        <v>394087.43811418646</v>
      </c>
      <c r="BD18" s="1225">
        <f t="shared" si="7"/>
        <v>363561</v>
      </c>
      <c r="BE18" s="1284">
        <f t="shared" si="35"/>
        <v>709590.15272821998</v>
      </c>
      <c r="BF18" s="1284">
        <f t="shared" si="36"/>
        <v>750087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25">
      <c r="B19" s="1282" t="s">
        <v>1330</v>
      </c>
      <c r="C19" s="64" t="s">
        <v>50</v>
      </c>
      <c r="D19" s="1204">
        <v>12373.714108690103</v>
      </c>
      <c r="E19" s="1283">
        <v>1057.0236844555791</v>
      </c>
      <c r="F19" s="1283">
        <v>612</v>
      </c>
      <c r="G19" s="1283">
        <v>1090.5988309179249</v>
      </c>
      <c r="H19" s="1283">
        <v>1308</v>
      </c>
      <c r="I19" s="1284">
        <f t="shared" si="8"/>
        <v>2147.622515373504</v>
      </c>
      <c r="J19" s="1284">
        <f t="shared" si="9"/>
        <v>1920</v>
      </c>
      <c r="K19" s="1283">
        <v>704.25400089652237</v>
      </c>
      <c r="L19" s="1283">
        <v>229</v>
      </c>
      <c r="M19" s="1286">
        <f t="shared" si="10"/>
        <v>2851.8765162700265</v>
      </c>
      <c r="N19" s="1286">
        <f t="shared" si="11"/>
        <v>2149</v>
      </c>
      <c r="O19" s="1283">
        <v>423.6912487674004</v>
      </c>
      <c r="P19" s="1283">
        <v>788</v>
      </c>
      <c r="Q19" s="1284">
        <f t="shared" si="12"/>
        <v>3275.5677650374269</v>
      </c>
      <c r="R19" s="1284">
        <f t="shared" si="13"/>
        <v>2937</v>
      </c>
      <c r="S19" s="1283">
        <v>958.56080681319054</v>
      </c>
      <c r="T19" s="1283">
        <v>841</v>
      </c>
      <c r="U19" s="1284">
        <f t="shared" si="14"/>
        <v>4234.1285718506169</v>
      </c>
      <c r="V19" s="1284">
        <f t="shared" si="15"/>
        <v>3778</v>
      </c>
      <c r="W19" s="1283">
        <v>917.78877991941749</v>
      </c>
      <c r="X19" s="1283">
        <v>791</v>
      </c>
      <c r="Y19" s="1286">
        <f t="shared" si="16"/>
        <v>2300.0408355000081</v>
      </c>
      <c r="Z19" s="1286">
        <f t="shared" si="17"/>
        <v>2420</v>
      </c>
      <c r="AA19" s="1225">
        <f t="shared" si="18"/>
        <v>5151.9173517700347</v>
      </c>
      <c r="AB19" s="1225">
        <f t="shared" si="19"/>
        <v>4569</v>
      </c>
      <c r="AC19" s="1283">
        <v>987.47584043040672</v>
      </c>
      <c r="AD19" s="1283">
        <v>837</v>
      </c>
      <c r="AE19" s="1284">
        <f t="shared" si="20"/>
        <v>6139.3931922004413</v>
      </c>
      <c r="AF19" s="1284">
        <f t="shared" si="40"/>
        <v>5406</v>
      </c>
      <c r="AG19" s="1283">
        <v>961.40381353663372</v>
      </c>
      <c r="AH19" s="1283">
        <v>173</v>
      </c>
      <c r="AI19" s="1284">
        <f t="shared" si="22"/>
        <v>7100.7970057370749</v>
      </c>
      <c r="AJ19" s="1284">
        <f t="shared" si="23"/>
        <v>5579</v>
      </c>
      <c r="AK19" s="1283">
        <v>987.47584043040672</v>
      </c>
      <c r="AL19" s="1283">
        <v>1050</v>
      </c>
      <c r="AM19" s="1286">
        <f t="shared" si="24"/>
        <v>2936.3554943974473</v>
      </c>
      <c r="AN19" s="1286">
        <f t="shared" si="25"/>
        <v>2060</v>
      </c>
      <c r="AO19" s="1284">
        <f t="shared" si="26"/>
        <v>8088.2728461674815</v>
      </c>
      <c r="AP19" s="1284">
        <f t="shared" si="27"/>
        <v>6629</v>
      </c>
      <c r="AQ19" s="1283">
        <v>987.47584043040672</v>
      </c>
      <c r="AR19" s="1283">
        <v>1321</v>
      </c>
      <c r="AS19" s="1284">
        <f t="shared" si="28"/>
        <v>9075.7486865978881</v>
      </c>
      <c r="AT19" s="1284">
        <f t="shared" si="29"/>
        <v>7950</v>
      </c>
      <c r="AU19" s="1283">
        <v>895.58825638736596</v>
      </c>
      <c r="AV19" s="1283">
        <v>993</v>
      </c>
      <c r="AW19" s="1284">
        <f t="shared" si="30"/>
        <v>9971.3369429852537</v>
      </c>
      <c r="AX19" s="1284">
        <f t="shared" si="31"/>
        <v>8943</v>
      </c>
      <c r="AY19" s="1283">
        <v>987.47584043040672</v>
      </c>
      <c r="AZ19" s="1283">
        <v>1505</v>
      </c>
      <c r="BA19" s="1286">
        <f t="shared" si="32"/>
        <v>2870.5399372481793</v>
      </c>
      <c r="BB19" s="1286">
        <f t="shared" si="33"/>
        <v>3819</v>
      </c>
      <c r="BC19" s="1225">
        <f t="shared" si="34"/>
        <v>5806.8954316456266</v>
      </c>
      <c r="BD19" s="1225">
        <f t="shared" si="7"/>
        <v>5879</v>
      </c>
      <c r="BE19" s="1284">
        <f t="shared" si="35"/>
        <v>10958.81278341566</v>
      </c>
      <c r="BF19" s="1284">
        <f t="shared" si="36"/>
        <v>10448</v>
      </c>
      <c r="BG19" s="26"/>
      <c r="BH19" s="26"/>
      <c r="BI19" s="26"/>
      <c r="BJ19" s="26"/>
      <c r="BK19" s="26"/>
      <c r="BL19" s="26"/>
      <c r="BM19" s="26"/>
      <c r="BN19" s="26"/>
    </row>
    <row r="20" spans="2:66" ht="15.75" x14ac:dyDescent="0.25">
      <c r="B20" s="1288" t="s">
        <v>21</v>
      </c>
      <c r="C20" s="1289" t="s">
        <v>50</v>
      </c>
      <c r="D20" s="200">
        <f>SUM(D6:D19)</f>
        <v>5138126.439880915</v>
      </c>
      <c r="E20" s="200">
        <f t="shared" ref="E20:AD20" si="67">SUM(E6:E19)</f>
        <v>438413.85245607345</v>
      </c>
      <c r="F20" s="200">
        <f t="shared" si="67"/>
        <v>394521</v>
      </c>
      <c r="G20" s="200">
        <f t="shared" ref="G20:H20" si="68">SUM(G6:G19)</f>
        <v>451693.82970925875</v>
      </c>
      <c r="H20" s="200">
        <f t="shared" si="68"/>
        <v>431004</v>
      </c>
      <c r="I20" s="200">
        <f t="shared" si="67"/>
        <v>890107.68216533202</v>
      </c>
      <c r="J20" s="200">
        <f t="shared" si="67"/>
        <v>825525</v>
      </c>
      <c r="K20" s="200">
        <f t="shared" si="67"/>
        <v>338919.5496611782</v>
      </c>
      <c r="L20" s="200">
        <f t="shared" si="67"/>
        <v>311256</v>
      </c>
      <c r="M20" s="1505">
        <f t="shared" si="67"/>
        <v>1229027.2318265105</v>
      </c>
      <c r="N20" s="1505">
        <f t="shared" si="67"/>
        <v>1135061</v>
      </c>
      <c r="O20" s="200">
        <f t="shared" ref="O20:P20" si="69">SUM(O6:O19)</f>
        <v>199698.09131245923</v>
      </c>
      <c r="P20" s="200">
        <f t="shared" si="69"/>
        <v>464790</v>
      </c>
      <c r="Q20" s="200">
        <f t="shared" si="67"/>
        <v>1428725.32313897</v>
      </c>
      <c r="R20" s="200">
        <f t="shared" si="67"/>
        <v>1599851</v>
      </c>
      <c r="S20" s="200">
        <f t="shared" si="67"/>
        <v>471295.86188485217</v>
      </c>
      <c r="T20" s="200">
        <f t="shared" si="67"/>
        <v>435425</v>
      </c>
      <c r="U20" s="200">
        <f t="shared" ref="U20:X20" si="70">SUM(U6:U19)</f>
        <v>1900021.1850238219</v>
      </c>
      <c r="V20" s="200">
        <f t="shared" si="70"/>
        <v>2035276</v>
      </c>
      <c r="W20" s="200">
        <f t="shared" si="70"/>
        <v>451842.69729749847</v>
      </c>
      <c r="X20" s="200">
        <f t="shared" si="70"/>
        <v>451350</v>
      </c>
      <c r="Y20" s="200">
        <f t="shared" si="67"/>
        <v>1122836.6504948097</v>
      </c>
      <c r="Z20" s="200">
        <f t="shared" si="67"/>
        <v>1351565</v>
      </c>
      <c r="AA20" s="200">
        <f t="shared" si="67"/>
        <v>2351863.8823213205</v>
      </c>
      <c r="AB20" s="200">
        <f t="shared" si="67"/>
        <v>2486626</v>
      </c>
      <c r="AC20" s="200">
        <f t="shared" si="67"/>
        <v>486254.06130773108</v>
      </c>
      <c r="AD20" s="200">
        <f t="shared" si="67"/>
        <v>446586</v>
      </c>
      <c r="AE20" s="200">
        <f t="shared" ref="AE20:AH20" si="71">SUM(AE6:AE19)</f>
        <v>2838117.9436290506</v>
      </c>
      <c r="AF20" s="200">
        <f t="shared" si="71"/>
        <v>2933212</v>
      </c>
      <c r="AG20" s="200">
        <f t="shared" si="71"/>
        <v>473039.7342612528</v>
      </c>
      <c r="AH20" s="200">
        <f t="shared" si="71"/>
        <v>27818</v>
      </c>
      <c r="AI20" s="200">
        <f t="shared" ref="AI20:AL20" si="72">SUM(AI6:AI19)</f>
        <v>3311157.6778903035</v>
      </c>
      <c r="AJ20" s="200">
        <f t="shared" si="72"/>
        <v>2961030</v>
      </c>
      <c r="AK20" s="200">
        <f t="shared" si="72"/>
        <v>486254.06130773108</v>
      </c>
      <c r="AL20" s="200">
        <f t="shared" si="72"/>
        <v>433115.14</v>
      </c>
      <c r="AM20" s="200">
        <f t="shared" ref="AM20:AN20" si="73">SUM(AM6:AM19)</f>
        <v>1445547.8568767149</v>
      </c>
      <c r="AN20" s="200">
        <f t="shared" si="73"/>
        <v>907519.14</v>
      </c>
      <c r="AO20" s="200">
        <f t="shared" ref="AO20:AT20" si="74">SUM(AO6:AO19)</f>
        <v>3797411.7391980351</v>
      </c>
      <c r="AP20" s="200">
        <f t="shared" si="74"/>
        <v>3394145.14</v>
      </c>
      <c r="AQ20" s="200">
        <f t="shared" si="74"/>
        <v>486254.06130773108</v>
      </c>
      <c r="AR20" s="200">
        <f t="shared" si="74"/>
        <v>441913</v>
      </c>
      <c r="AS20" s="200">
        <f t="shared" si="74"/>
        <v>4283665.8005057657</v>
      </c>
      <c r="AT20" s="200">
        <f t="shared" si="74"/>
        <v>3836058.14</v>
      </c>
      <c r="AU20" s="200">
        <f t="shared" ref="AU20:AX20" si="75">SUM(AU6:AU19)</f>
        <v>440540.11269603309</v>
      </c>
      <c r="AV20" s="200">
        <f t="shared" si="75"/>
        <v>418078</v>
      </c>
      <c r="AW20" s="200">
        <f t="shared" si="75"/>
        <v>4724205.9132017996</v>
      </c>
      <c r="AX20" s="200">
        <f t="shared" si="75"/>
        <v>4254136.1400000006</v>
      </c>
      <c r="AY20" s="200">
        <f t="shared" ref="AY20:AZ20" si="76">SUM(AY6:AY19)</f>
        <v>486254.06130773108</v>
      </c>
      <c r="AZ20" s="200">
        <f t="shared" si="76"/>
        <v>504215</v>
      </c>
      <c r="BA20" s="200">
        <f t="shared" ref="BA20:BF20" si="77">SUM(BA6:BA19)</f>
        <v>1413048.2353114949</v>
      </c>
      <c r="BB20" s="200">
        <f t="shared" si="77"/>
        <v>1364206</v>
      </c>
      <c r="BC20" s="200">
        <f t="shared" si="77"/>
        <v>2858596.0921882098</v>
      </c>
      <c r="BD20" s="200">
        <f t="shared" si="77"/>
        <v>2271725.14</v>
      </c>
      <c r="BE20" s="200">
        <f t="shared" si="77"/>
        <v>5210459.9745095288</v>
      </c>
      <c r="BF20" s="200">
        <f t="shared" si="77"/>
        <v>4758351.1400000006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8.75" x14ac:dyDescent="0.25">
      <c r="B21" s="1281" t="s">
        <v>937</v>
      </c>
      <c r="C21" s="1281"/>
      <c r="D21" s="5997"/>
      <c r="E21" s="1281"/>
      <c r="F21" s="1281"/>
      <c r="G21" s="1281"/>
      <c r="H21" s="1281"/>
      <c r="I21" s="1281"/>
      <c r="J21" s="1281"/>
      <c r="K21" s="1281"/>
      <c r="L21" s="1281"/>
      <c r="M21" s="2656"/>
      <c r="N21" s="1281"/>
      <c r="O21" s="1281"/>
      <c r="P21" s="1281"/>
      <c r="Q21" s="1281"/>
      <c r="R21" s="1281"/>
      <c r="S21" s="1281"/>
      <c r="T21" s="1281"/>
      <c r="U21" s="1281"/>
      <c r="V21" s="1281"/>
      <c r="W21" s="1281"/>
      <c r="X21" s="1281"/>
      <c r="Y21" s="1281"/>
      <c r="Z21" s="1281"/>
      <c r="AA21" s="1281"/>
      <c r="AB21" s="1281"/>
      <c r="AC21" s="1281"/>
      <c r="AD21" s="1281"/>
      <c r="AE21" s="1281"/>
      <c r="AF21" s="1281"/>
      <c r="AG21" s="1281"/>
      <c r="AH21" s="1281"/>
      <c r="AI21" s="1281"/>
      <c r="AJ21" s="1281"/>
      <c r="AK21" s="1281"/>
      <c r="AL21" s="1281"/>
      <c r="AM21" s="1281"/>
      <c r="AN21" s="1281"/>
      <c r="AO21" s="1281"/>
      <c r="AP21" s="1281"/>
      <c r="AQ21" s="1281"/>
      <c r="AR21" s="1281"/>
      <c r="AS21" s="1281"/>
      <c r="AT21" s="1281"/>
      <c r="AU21" s="1281"/>
      <c r="AV21" s="1281"/>
      <c r="AW21" s="1281"/>
      <c r="AX21" s="1281"/>
      <c r="AY21" s="1281"/>
      <c r="AZ21" s="1281"/>
      <c r="BA21" s="1281"/>
      <c r="BB21" s="1281"/>
      <c r="BC21" s="1281"/>
      <c r="BD21" s="1281"/>
      <c r="BE21" s="1281"/>
      <c r="BF21" s="1281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82" t="s">
        <v>37</v>
      </c>
      <c r="C22" s="64" t="s">
        <v>219</v>
      </c>
      <c r="D22" s="1137">
        <f t="shared" ref="D22:F28" si="78">+D6/D$65*1000</f>
        <v>783.91225705888928</v>
      </c>
      <c r="E22" s="1137">
        <f t="shared" si="78"/>
        <v>783.9122570588894</v>
      </c>
      <c r="F22" s="1283">
        <f t="shared" si="78"/>
        <v>785.44262498834792</v>
      </c>
      <c r="G22" s="7188">
        <f t="shared" ref="G22:H22" si="79">+G6/G$65*1000</f>
        <v>783.91225705888951</v>
      </c>
      <c r="H22" s="1283">
        <f t="shared" si="79"/>
        <v>786.06609514052673</v>
      </c>
      <c r="I22" s="1284">
        <f>+I6/I$65*1000</f>
        <v>783.9122570588894</v>
      </c>
      <c r="J22" s="1284">
        <f>+J6/J$65*1000</f>
        <v>785.76977150823473</v>
      </c>
      <c r="K22" s="4591">
        <f t="shared" ref="K22:L22" si="80">+K6/K$65*1000</f>
        <v>779.40144546743261</v>
      </c>
      <c r="L22" s="1283">
        <f t="shared" si="80"/>
        <v>787.9549124213288</v>
      </c>
      <c r="M22" s="1286">
        <f>+$D$22</f>
        <v>783.91225705888928</v>
      </c>
      <c r="N22" s="1286">
        <f t="shared" ref="N22:P31" si="81">+N6/N$65*1000</f>
        <v>786.37726003414105</v>
      </c>
      <c r="O22" s="4778">
        <f t="shared" si="81"/>
        <v>779.40144546743261</v>
      </c>
      <c r="P22" s="1283">
        <f t="shared" si="81"/>
        <v>786.95936473527672</v>
      </c>
      <c r="Q22" s="1284">
        <f>+$D$22</f>
        <v>783.91225705888928</v>
      </c>
      <c r="R22" s="1284">
        <f t="shared" ref="R22:T29" si="82">+R6/R$65*1000</f>
        <v>786.54916275078779</v>
      </c>
      <c r="S22" s="4919">
        <f t="shared" si="82"/>
        <v>779.40144546743261</v>
      </c>
      <c r="T22" s="1283">
        <f t="shared" si="82"/>
        <v>785.89854060034077</v>
      </c>
      <c r="U22" s="1284">
        <f>+$D$22</f>
        <v>783.91225705888928</v>
      </c>
      <c r="V22" s="1284">
        <f t="shared" ref="V22:X22" si="83">+V6/V$65*1000</f>
        <v>786.40826420107874</v>
      </c>
      <c r="W22" s="5043">
        <f t="shared" si="83"/>
        <v>779.40144546743261</v>
      </c>
      <c r="X22" s="1283">
        <f t="shared" si="83"/>
        <v>784.99947358048951</v>
      </c>
      <c r="Y22" s="1286">
        <f>+$D$22</f>
        <v>783.91225705888928</v>
      </c>
      <c r="Z22" s="1286">
        <f t="shared" ref="Z22:Z35" si="84">+Z6/Z$65*1000</f>
        <v>785.97269989596509</v>
      </c>
      <c r="AA22" s="1225">
        <f>+$D$22</f>
        <v>783.91225705888928</v>
      </c>
      <c r="AB22" s="1225">
        <f t="shared" ref="AB22:AD35" si="85">+AB6/AB$65*1000</f>
        <v>786.1560662354583</v>
      </c>
      <c r="AC22" s="5358">
        <f t="shared" si="85"/>
        <v>779.40144546743261</v>
      </c>
      <c r="AD22" s="1283">
        <f t="shared" si="85"/>
        <v>786.35240856414123</v>
      </c>
      <c r="AE22" s="1284">
        <f>+$D$22</f>
        <v>783.91225705888928</v>
      </c>
      <c r="AF22" s="1284">
        <f>+AF6/AF$65*1000</f>
        <v>786.18604378806435</v>
      </c>
      <c r="AG22" s="5510">
        <f t="shared" ref="AG22:AH22" si="86">+AG6/AG$65*1000</f>
        <v>779.40144546743261</v>
      </c>
      <c r="AH22" s="1283">
        <f t="shared" si="86"/>
        <v>786.00401524152903</v>
      </c>
      <c r="AI22" s="1284">
        <f>+$D$22</f>
        <v>783.91225705888928</v>
      </c>
      <c r="AJ22" s="1284">
        <f>+AJ6/AJ$65*1000</f>
        <v>786.18424253432408</v>
      </c>
      <c r="AK22" s="5929">
        <f t="shared" ref="AK22:AL22" si="87">+AK6/AK$65*1000</f>
        <v>779.40144546743261</v>
      </c>
      <c r="AL22" s="1283">
        <f t="shared" si="87"/>
        <v>785</v>
      </c>
      <c r="AM22" s="1286">
        <f>+$D$22</f>
        <v>783.91225705888928</v>
      </c>
      <c r="AN22" s="1286">
        <f t="shared" ref="AN22:AN35" si="88">+AN6/AN$65*1000</f>
        <v>785.69677466963947</v>
      </c>
      <c r="AO22" s="1284">
        <f>+$D$22</f>
        <v>783.91225705888928</v>
      </c>
      <c r="AP22" s="1284">
        <f t="shared" ref="AP22:AR35" si="89">+AP6/AP$65*1000</f>
        <v>786.03282354322278</v>
      </c>
      <c r="AQ22" s="6090">
        <f t="shared" si="89"/>
        <v>779.40144546743261</v>
      </c>
      <c r="AR22" s="1283">
        <f t="shared" si="89"/>
        <v>787.86188219363578</v>
      </c>
      <c r="AS22" s="1284">
        <f>+$D$22</f>
        <v>783.91225705888928</v>
      </c>
      <c r="AT22" s="1284">
        <f t="shared" ref="AT22:AV35" si="90">+AT6/AT$65*1000</f>
        <v>786.24405521836582</v>
      </c>
      <c r="AU22" s="6227">
        <f t="shared" si="90"/>
        <v>779.40144546743272</v>
      </c>
      <c r="AV22" s="1283">
        <f t="shared" si="90"/>
        <v>789.55267022677435</v>
      </c>
      <c r="AW22" s="1284">
        <f>+$D$22</f>
        <v>783.91225705888928</v>
      </c>
      <c r="AX22" s="1284">
        <f t="shared" ref="AX22:AZ22" si="91">+AX6/AX$65*1000</f>
        <v>786.56418183754579</v>
      </c>
      <c r="AY22" s="6423">
        <f t="shared" si="91"/>
        <v>779.40144546743261</v>
      </c>
      <c r="AZ22" s="1283">
        <f t="shared" si="91"/>
        <v>786.37139651724306</v>
      </c>
      <c r="BA22" s="1286">
        <f>+$D$22</f>
        <v>783.91225705888928</v>
      </c>
      <c r="BB22" s="1286">
        <f t="shared" ref="BB22:BB35" si="92">+BB6/BB$65*1000</f>
        <v>787.83332397311744</v>
      </c>
      <c r="BC22" s="1225">
        <f>+$D$22</f>
        <v>783.91225705888928</v>
      </c>
      <c r="BD22" s="1225">
        <f t="shared" ref="BD22" si="93">+BD6/BD$65*1000</f>
        <v>786.97119114427733</v>
      </c>
      <c r="BE22" s="1284">
        <f>+$D$22</f>
        <v>783.91225705888928</v>
      </c>
      <c r="BF22" s="1284">
        <f t="shared" ref="BF22:BF35" si="94">+BF6/BF$65*1000</f>
        <v>786.54416952900374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82" t="s">
        <v>38</v>
      </c>
      <c r="C23" s="64" t="s">
        <v>219</v>
      </c>
      <c r="D23" s="1137">
        <f t="shared" si="78"/>
        <v>45.456618844771484</v>
      </c>
      <c r="E23" s="1137">
        <f t="shared" si="78"/>
        <v>45.456618844771484</v>
      </c>
      <c r="F23" s="1283">
        <f t="shared" si="78"/>
        <v>55.016623683311067</v>
      </c>
      <c r="G23" s="7188">
        <f t="shared" ref="G23:H23" si="95">+G7/G$65*1000</f>
        <v>45.456618844771477</v>
      </c>
      <c r="H23" s="1283">
        <f t="shared" si="95"/>
        <v>50.964520722982442</v>
      </c>
      <c r="I23" s="1284">
        <f t="shared" ref="I23" si="96">+I7/I$65*1000</f>
        <v>45.456618844771477</v>
      </c>
      <c r="J23" s="1284">
        <f t="shared" ref="J23:J35" si="97">+J7/J$65*1000</f>
        <v>52.89040901680017</v>
      </c>
      <c r="K23" s="4591">
        <f t="shared" ref="K23:L23" si="98">+K7/K$65*1000</f>
        <v>64.999999999999986</v>
      </c>
      <c r="L23" s="1283">
        <f t="shared" si="98"/>
        <v>47.423265589463711</v>
      </c>
      <c r="M23" s="1286">
        <f>+$D$23</f>
        <v>45.456618844771484</v>
      </c>
      <c r="N23" s="1286">
        <f t="shared" si="81"/>
        <v>51.370494725831755</v>
      </c>
      <c r="O23" s="4778">
        <f t="shared" si="81"/>
        <v>65</v>
      </c>
      <c r="P23" s="1283">
        <f t="shared" si="81"/>
        <v>39.54375332351227</v>
      </c>
      <c r="Q23" s="1284">
        <f>+$D$23</f>
        <v>45.456618844771484</v>
      </c>
      <c r="R23" s="1284">
        <f t="shared" si="82"/>
        <v>47.877911738319611</v>
      </c>
      <c r="S23" s="4919">
        <f t="shared" si="82"/>
        <v>65</v>
      </c>
      <c r="T23" s="1283">
        <f t="shared" si="82"/>
        <v>38.215123501254446</v>
      </c>
      <c r="U23" s="1284">
        <f>+$D$23</f>
        <v>45.456618844771484</v>
      </c>
      <c r="V23" s="1284">
        <f t="shared" ref="V23:X23" si="99">+V7/V$65*1000</f>
        <v>45.785341038393639</v>
      </c>
      <c r="W23" s="5043">
        <f t="shared" si="99"/>
        <v>65</v>
      </c>
      <c r="X23" s="1283">
        <f t="shared" si="99"/>
        <v>50.520075480459042</v>
      </c>
      <c r="Y23" s="1286">
        <f>+$D$23</f>
        <v>45.456618844771484</v>
      </c>
      <c r="Z23" s="1286">
        <f t="shared" si="84"/>
        <v>42.705579435559784</v>
      </c>
      <c r="AA23" s="1225">
        <f>+$D$23</f>
        <v>45.456618844771484</v>
      </c>
      <c r="AB23" s="1225">
        <f t="shared" si="85"/>
        <v>46.632940657947131</v>
      </c>
      <c r="AC23" s="5358">
        <f t="shared" si="85"/>
        <v>64.999999999999986</v>
      </c>
      <c r="AD23" s="1283">
        <f t="shared" si="85"/>
        <v>39.47089634900243</v>
      </c>
      <c r="AE23" s="1284">
        <f>+$D$23</f>
        <v>45.456618844771484</v>
      </c>
      <c r="AF23" s="1284">
        <f>+AF7/AF$65*1000</f>
        <v>45.539439519000389</v>
      </c>
      <c r="AG23" s="5510">
        <f t="shared" ref="AG23:AH23" si="100">+AG7/AG$65*1000</f>
        <v>65</v>
      </c>
      <c r="AH23" s="1283">
        <f t="shared" si="100"/>
        <v>40.070471586020403</v>
      </c>
      <c r="AI23" s="1284">
        <f>+$D$23</f>
        <v>45.456618844771484</v>
      </c>
      <c r="AJ23" s="1284">
        <f>+AJ7/AJ$65*1000</f>
        <v>45.485321639513344</v>
      </c>
      <c r="AK23" s="5929">
        <f t="shared" ref="AK23:AL23" si="101">+AK7/AK$65*1000</f>
        <v>64.999999999999986</v>
      </c>
      <c r="AL23" s="1283">
        <f t="shared" si="101"/>
        <v>56.243846860101108</v>
      </c>
      <c r="AM23" s="1286">
        <f>+$D$23</f>
        <v>45.456618844771484</v>
      </c>
      <c r="AN23" s="1286">
        <f t="shared" si="88"/>
        <v>47.482566137984477</v>
      </c>
      <c r="AO23" s="1284">
        <f>+$D$23</f>
        <v>45.456618844771484</v>
      </c>
      <c r="AP23" s="1284">
        <f t="shared" si="89"/>
        <v>46.86092248767013</v>
      </c>
      <c r="AQ23" s="6090">
        <f t="shared" si="89"/>
        <v>64.999999999999986</v>
      </c>
      <c r="AR23" s="1283">
        <f t="shared" si="89"/>
        <v>52.300609343263375</v>
      </c>
      <c r="AS23" s="1284">
        <f>+$D$23</f>
        <v>45.456618844771484</v>
      </c>
      <c r="AT23" s="1284">
        <f t="shared" si="90"/>
        <v>47.489133161232054</v>
      </c>
      <c r="AU23" s="6227">
        <f t="shared" si="90"/>
        <v>65</v>
      </c>
      <c r="AV23" s="1283">
        <f t="shared" si="90"/>
        <v>47.492109466013041</v>
      </c>
      <c r="AW23" s="1284">
        <f>+$D$23</f>
        <v>45.456618844771484</v>
      </c>
      <c r="AX23" s="1284">
        <f t="shared" ref="AX23:AZ23" si="102">+AX7/AX$65*1000</f>
        <v>47.489421135017082</v>
      </c>
      <c r="AY23" s="6423">
        <f t="shared" si="102"/>
        <v>64.999999999999986</v>
      </c>
      <c r="AZ23" s="1283">
        <f t="shared" si="102"/>
        <v>40.288278620555097</v>
      </c>
      <c r="BA23" s="1286">
        <f>+$D$23</f>
        <v>45.456618844771484</v>
      </c>
      <c r="BB23" s="1286">
        <f t="shared" si="92"/>
        <v>46.441825366898179</v>
      </c>
      <c r="BC23" s="1225">
        <f>+$D$23</f>
        <v>45.456618844771484</v>
      </c>
      <c r="BD23" s="1225">
        <f t="shared" ref="BD23" si="103">+BD7/BD$65*1000</f>
        <v>46.861781407044525</v>
      </c>
      <c r="BE23" s="1284">
        <f>+$D$23</f>
        <v>45.456618844771484</v>
      </c>
      <c r="BF23" s="1284">
        <f t="shared" si="94"/>
        <v>46.741898006031093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82" t="s">
        <v>39</v>
      </c>
      <c r="C24" s="64" t="s">
        <v>219</v>
      </c>
      <c r="D24" s="1137">
        <f t="shared" si="78"/>
        <v>94.864655365402456</v>
      </c>
      <c r="E24" s="1137">
        <f t="shared" si="78"/>
        <v>94.86465536540247</v>
      </c>
      <c r="F24" s="1283">
        <f t="shared" si="78"/>
        <v>97.591896342789667</v>
      </c>
      <c r="G24" s="7188">
        <f t="shared" ref="G24:H24" si="104">+G8/G$65*1000</f>
        <v>94.86465536540247</v>
      </c>
      <c r="H24" s="1283">
        <f t="shared" si="104"/>
        <v>93.150692642398383</v>
      </c>
      <c r="I24" s="1284">
        <f t="shared" ref="I24" si="105">+I8/I$65*1000</f>
        <v>94.86465536540247</v>
      </c>
      <c r="J24" s="1284">
        <f t="shared" si="97"/>
        <v>95.261513196758116</v>
      </c>
      <c r="K24" s="4591">
        <f t="shared" ref="K24:L24" si="106">+K8/K$65*1000</f>
        <v>89.796141662047006</v>
      </c>
      <c r="L24" s="1283">
        <f t="shared" si="106"/>
        <v>84.391551640158482</v>
      </c>
      <c r="M24" s="1286">
        <f>+$D$24</f>
        <v>94.864655365402456</v>
      </c>
      <c r="N24" s="1286">
        <f t="shared" si="81"/>
        <v>92.239567617363974</v>
      </c>
      <c r="O24" s="4778">
        <f t="shared" si="81"/>
        <v>89.796141662047006</v>
      </c>
      <c r="P24" s="1283">
        <f t="shared" si="81"/>
        <v>83.924250635442831</v>
      </c>
      <c r="Q24" s="1284">
        <f>+$D$24</f>
        <v>94.864655365402456</v>
      </c>
      <c r="R24" s="1284">
        <f t="shared" si="82"/>
        <v>89.783951684040801</v>
      </c>
      <c r="S24" s="4919">
        <f t="shared" si="82"/>
        <v>89.796141662047006</v>
      </c>
      <c r="T24" s="1283">
        <f t="shared" si="82"/>
        <v>91.067734736647552</v>
      </c>
      <c r="U24" s="1284">
        <f>+$D$24</f>
        <v>94.864655365402456</v>
      </c>
      <c r="V24" s="1284">
        <f t="shared" ref="V24:X24" si="107">+V8/V$65*1000</f>
        <v>90.061967380446276</v>
      </c>
      <c r="W24" s="5043">
        <f t="shared" si="107"/>
        <v>89.796141662047006</v>
      </c>
      <c r="X24" s="1283">
        <f t="shared" si="107"/>
        <v>95.530293418136367</v>
      </c>
      <c r="Y24" s="1286">
        <f>+$D$24</f>
        <v>94.864655365402456</v>
      </c>
      <c r="Z24" s="1286">
        <f t="shared" si="84"/>
        <v>90.04720904476153</v>
      </c>
      <c r="AA24" s="1225">
        <f>+$D$24</f>
        <v>94.864655365402456</v>
      </c>
      <c r="AB24" s="1225">
        <f t="shared" si="85"/>
        <v>91.040892624481444</v>
      </c>
      <c r="AC24" s="5358">
        <f t="shared" si="85"/>
        <v>89.796141662046978</v>
      </c>
      <c r="AD24" s="1283">
        <f t="shared" si="85"/>
        <v>99.772835162005819</v>
      </c>
      <c r="AE24" s="1284">
        <f>+$D$24</f>
        <v>94.864655365402456</v>
      </c>
      <c r="AF24" s="1284">
        <f>+AF8/AF$65*1000</f>
        <v>92.374085871844557</v>
      </c>
      <c r="AG24" s="5510">
        <f t="shared" ref="AG24:AH24" si="108">+AG8/AG$65*1000</f>
        <v>89.796141662047006</v>
      </c>
      <c r="AH24" s="1283">
        <f t="shared" si="108"/>
        <v>74.937517925185389</v>
      </c>
      <c r="AI24" s="1284">
        <f>+$D$24</f>
        <v>94.864655365402456</v>
      </c>
      <c r="AJ24" s="1284">
        <f>+AJ8/AJ$65*1000</f>
        <v>92.201543246916259</v>
      </c>
      <c r="AK24" s="5929">
        <f t="shared" ref="AK24:AL24" si="109">+AK8/AK$65*1000</f>
        <v>89.796141662046978</v>
      </c>
      <c r="AL24" s="1283">
        <f t="shared" si="109"/>
        <v>95.881129633521752</v>
      </c>
      <c r="AM24" s="1286">
        <f>+$D$24</f>
        <v>94.864655365402456</v>
      </c>
      <c r="AN24" s="1286">
        <f t="shared" si="88"/>
        <v>97.119657173579597</v>
      </c>
      <c r="AO24" s="1284">
        <f>+$D$24</f>
        <v>94.864655365402456</v>
      </c>
      <c r="AP24" s="1284">
        <f t="shared" si="89"/>
        <v>92.672020570759358</v>
      </c>
      <c r="AQ24" s="6090">
        <f t="shared" si="89"/>
        <v>89.796141662046978</v>
      </c>
      <c r="AR24" s="1283">
        <f t="shared" si="89"/>
        <v>95.114421123899803</v>
      </c>
      <c r="AS24" s="1284">
        <f>+$D$24</f>
        <v>94.864655365402456</v>
      </c>
      <c r="AT24" s="1284">
        <f t="shared" si="90"/>
        <v>92.954084986842204</v>
      </c>
      <c r="AU24" s="6227">
        <f t="shared" si="90"/>
        <v>89.796141662047006</v>
      </c>
      <c r="AV24" s="1283">
        <f t="shared" si="90"/>
        <v>91.10391563187045</v>
      </c>
      <c r="AW24" s="1284">
        <f>+$D$24</f>
        <v>94.864655365402456</v>
      </c>
      <c r="AX24" s="1284">
        <f t="shared" ref="AX24:AZ24" si="110">+AX8/AX$65*1000</f>
        <v>92.775070970701805</v>
      </c>
      <c r="AY24" s="6423">
        <f t="shared" si="110"/>
        <v>89.796141662046978</v>
      </c>
      <c r="AZ24" s="1283">
        <f t="shared" si="110"/>
        <v>98.158626408467882</v>
      </c>
      <c r="BA24" s="1286">
        <f>+$D$24</f>
        <v>94.864655365402456</v>
      </c>
      <c r="BB24" s="1286">
        <f t="shared" si="92"/>
        <v>95.002625317690189</v>
      </c>
      <c r="BC24" s="1225">
        <f>+$D$24</f>
        <v>94.864655365402456</v>
      </c>
      <c r="BD24" s="1225">
        <f t="shared" ref="BD24" si="111">+BD8/BD$65*1000</f>
        <v>95.856882535013398</v>
      </c>
      <c r="BE24" s="1284">
        <f>+$D$24</f>
        <v>94.864655365402456</v>
      </c>
      <c r="BF24" s="1284">
        <f t="shared" si="94"/>
        <v>93.333917320128478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82" t="s">
        <v>40</v>
      </c>
      <c r="C25" s="64" t="s">
        <v>219</v>
      </c>
      <c r="D25" s="1137">
        <f t="shared" si="78"/>
        <v>44.449999999999996</v>
      </c>
      <c r="E25" s="1137">
        <f t="shared" si="78"/>
        <v>44.45</v>
      </c>
      <c r="F25" s="1283">
        <f t="shared" si="78"/>
        <v>45.980797315352824</v>
      </c>
      <c r="G25" s="7188">
        <f t="shared" ref="G25:H25" si="112">+G9/G$65*1000</f>
        <v>44.449999999999989</v>
      </c>
      <c r="H25" s="1283">
        <f t="shared" si="112"/>
        <v>41.271467411189228</v>
      </c>
      <c r="I25" s="1284">
        <f t="shared" ref="I25" si="113">+I9/I$65*1000</f>
        <v>44.449999999999989</v>
      </c>
      <c r="J25" s="1284">
        <f t="shared" si="97"/>
        <v>43.509723305214905</v>
      </c>
      <c r="K25" s="4591">
        <f t="shared" ref="K25:L25" si="114">+K9/K$65*1000</f>
        <v>49.999999999999993</v>
      </c>
      <c r="L25" s="1283">
        <f t="shared" si="114"/>
        <v>43.507442365295297</v>
      </c>
      <c r="M25" s="1286">
        <f>+$D$25</f>
        <v>44.449999999999996</v>
      </c>
      <c r="N25" s="1286">
        <f t="shared" si="81"/>
        <v>43.509089183716775</v>
      </c>
      <c r="O25" s="4778">
        <f t="shared" si="81"/>
        <v>49.999999999999993</v>
      </c>
      <c r="P25" s="1283">
        <f t="shared" si="81"/>
        <v>43.423834639839406</v>
      </c>
      <c r="Q25" s="1284">
        <f>+$D$25</f>
        <v>44.449999999999996</v>
      </c>
      <c r="R25" s="1284">
        <f t="shared" si="82"/>
        <v>43.48391246263823</v>
      </c>
      <c r="S25" s="4919">
        <f t="shared" si="82"/>
        <v>50.000000000000007</v>
      </c>
      <c r="T25" s="1283">
        <f t="shared" si="82"/>
        <v>46.99489794531533</v>
      </c>
      <c r="U25" s="1284">
        <f>+$D$25</f>
        <v>44.449999999999996</v>
      </c>
      <c r="V25" s="1284">
        <f t="shared" ref="V25:X25" si="115">+V9/V$65*1000</f>
        <v>44.244250490199832</v>
      </c>
      <c r="W25" s="5043">
        <f t="shared" si="115"/>
        <v>49.999999999999993</v>
      </c>
      <c r="X25" s="1283">
        <f t="shared" si="115"/>
        <v>45.2504812014243</v>
      </c>
      <c r="Y25" s="1286">
        <f>+$D$25</f>
        <v>44.449999999999996</v>
      </c>
      <c r="Z25" s="1286">
        <f t="shared" si="84"/>
        <v>45.183148289080933</v>
      </c>
      <c r="AA25" s="1225">
        <f>+$D$25</f>
        <v>44.449999999999996</v>
      </c>
      <c r="AB25" s="1225">
        <f t="shared" si="85"/>
        <v>44.424383247053001</v>
      </c>
      <c r="AC25" s="5358">
        <f t="shared" si="85"/>
        <v>49.999999999999993</v>
      </c>
      <c r="AD25" s="1283">
        <f t="shared" si="85"/>
        <v>41.804230576333552</v>
      </c>
      <c r="AE25" s="1284">
        <f>+$D$25</f>
        <v>44.449999999999996</v>
      </c>
      <c r="AF25" s="1284">
        <f>+AF9/AF$65*1000</f>
        <v>44.024338259050374</v>
      </c>
      <c r="AG25" s="5510">
        <f t="shared" ref="AG25:AH25" si="116">+AG9/AG$65*1000</f>
        <v>50</v>
      </c>
      <c r="AH25" s="1283">
        <f t="shared" si="116"/>
        <v>45.396812389888147</v>
      </c>
      <c r="AI25" s="1284">
        <f>+$D$25</f>
        <v>44.449999999999996</v>
      </c>
      <c r="AJ25" s="1284">
        <f>+AJ9/AJ$65*1000</f>
        <v>44.037919503358623</v>
      </c>
      <c r="AK25" s="5929">
        <f t="shared" ref="AK25:AL25" si="117">+AK9/AK$65*1000</f>
        <v>49.999999999999993</v>
      </c>
      <c r="AL25" s="1283">
        <f t="shared" si="117"/>
        <v>47.604561896439201</v>
      </c>
      <c r="AM25" s="1286">
        <f>+$D$25</f>
        <v>44.449999999999996</v>
      </c>
      <c r="AN25" s="1286">
        <f t="shared" si="88"/>
        <v>44.683660399437052</v>
      </c>
      <c r="AO25" s="1284">
        <f>+$D$25</f>
        <v>44.449999999999996</v>
      </c>
      <c r="AP25" s="1284">
        <f t="shared" si="89"/>
        <v>44.493955642178541</v>
      </c>
      <c r="AQ25" s="6090">
        <f t="shared" si="89"/>
        <v>49.999999999999993</v>
      </c>
      <c r="AR25" s="1283">
        <f t="shared" si="89"/>
        <v>43.745429925524718</v>
      </c>
      <c r="AS25" s="1284">
        <f>+$D$25</f>
        <v>44.449999999999996</v>
      </c>
      <c r="AT25" s="1284">
        <f t="shared" si="90"/>
        <v>44.407510988815083</v>
      </c>
      <c r="AU25" s="6227">
        <f t="shared" si="90"/>
        <v>49.999999999999993</v>
      </c>
      <c r="AV25" s="1283">
        <f t="shared" si="90"/>
        <v>38.581134543458525</v>
      </c>
      <c r="AW25" s="1284">
        <f>+$D$25</f>
        <v>44.449999999999996</v>
      </c>
      <c r="AX25" s="1284">
        <f t="shared" ref="AX25:AZ25" si="118">+AX9/AX$65*1000</f>
        <v>43.84377716400256</v>
      </c>
      <c r="AY25" s="6423">
        <f t="shared" si="118"/>
        <v>49.999999999999993</v>
      </c>
      <c r="AZ25" s="1283">
        <f t="shared" si="118"/>
        <v>45.383152041363836</v>
      </c>
      <c r="BA25" s="1286">
        <f>+$D$25</f>
        <v>44.449999999999996</v>
      </c>
      <c r="BB25" s="1286">
        <f t="shared" si="92"/>
        <v>42.767272049771393</v>
      </c>
      <c r="BC25" s="1225">
        <f>+$D$25</f>
        <v>44.449999999999996</v>
      </c>
      <c r="BD25" s="1225">
        <f t="shared" ref="BD25:BD35" si="119">+BD9/BD$65*1000</f>
        <v>43.540566308117945</v>
      </c>
      <c r="BE25" s="1284">
        <f>+$D$25</f>
        <v>44.449999999999996</v>
      </c>
      <c r="BF25" s="1284">
        <f t="shared" si="94"/>
        <v>44.00357379664753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82" t="s">
        <v>1474</v>
      </c>
      <c r="C26" s="64" t="s">
        <v>219</v>
      </c>
      <c r="D26" s="2400">
        <f t="shared" si="78"/>
        <v>0.4</v>
      </c>
      <c r="E26" s="2400">
        <f t="shared" si="78"/>
        <v>0.39999999999999997</v>
      </c>
      <c r="F26" s="1283">
        <f t="shared" si="78"/>
        <v>2.1843830593791753</v>
      </c>
      <c r="G26" s="7188">
        <f t="shared" ref="G26:H26" si="120">+G10/G$65*1000</f>
        <v>0.39999999999999997</v>
      </c>
      <c r="H26" s="1283">
        <f t="shared" si="120"/>
        <v>1.4607127377528104</v>
      </c>
      <c r="I26" s="1284">
        <f t="shared" ref="I26" si="121">+I10/I$65*1000</f>
        <v>0.39999999999999991</v>
      </c>
      <c r="J26" s="1284">
        <f t="shared" si="97"/>
        <v>1.8046596252451503</v>
      </c>
      <c r="K26" s="4591">
        <f t="shared" ref="K26:L26" si="122">+K10/K$65*1000</f>
        <v>0</v>
      </c>
      <c r="L26" s="1283">
        <f t="shared" si="122"/>
        <v>2.4430748225223118</v>
      </c>
      <c r="M26" s="1286"/>
      <c r="N26" s="1298">
        <f t="shared" si="81"/>
        <v>1.982144704027091</v>
      </c>
      <c r="O26" s="4778">
        <f t="shared" si="81"/>
        <v>0</v>
      </c>
      <c r="P26" s="1283">
        <f t="shared" si="81"/>
        <v>0</v>
      </c>
      <c r="Q26" s="1284">
        <f>+$D$26</f>
        <v>0.4</v>
      </c>
      <c r="R26" s="1300">
        <f t="shared" si="82"/>
        <v>1.3967928614041862</v>
      </c>
      <c r="S26" s="4919">
        <f t="shared" si="82"/>
        <v>0</v>
      </c>
      <c r="T26" s="1283">
        <f t="shared" si="82"/>
        <v>0.27725603507560664</v>
      </c>
      <c r="U26" s="1284">
        <f>+$D$26</f>
        <v>0.4</v>
      </c>
      <c r="V26" s="1300">
        <f t="shared" ref="V26:X26" si="123">+V10/V$65*1000</f>
        <v>1.1543462815156844</v>
      </c>
      <c r="W26" s="5043">
        <f t="shared" si="123"/>
        <v>0</v>
      </c>
      <c r="X26" s="1283">
        <f t="shared" si="123"/>
        <v>0.14577771058805108</v>
      </c>
      <c r="Y26" s="1286"/>
      <c r="Z26" s="1286">
        <f t="shared" si="84"/>
        <v>0.13788824158019924</v>
      </c>
      <c r="AA26" s="1225"/>
      <c r="AB26" s="1225">
        <f t="shared" si="85"/>
        <v>0.97379500721043255</v>
      </c>
      <c r="AC26" s="5358">
        <f t="shared" si="85"/>
        <v>0</v>
      </c>
      <c r="AD26" s="1283">
        <f t="shared" si="85"/>
        <v>0.98965555159216523</v>
      </c>
      <c r="AE26" s="1284"/>
      <c r="AF26" s="1284">
        <f>+AF10/AF$65*1000</f>
        <v>0.97621659560022778</v>
      </c>
      <c r="AG26" s="5510">
        <f t="shared" ref="AG26:AH26" si="124">+AG10/AG$65*1000</f>
        <v>0</v>
      </c>
      <c r="AH26" s="1283">
        <f t="shared" si="124"/>
        <v>0</v>
      </c>
      <c r="AI26" s="1284"/>
      <c r="AJ26" s="1284">
        <f>+AJ10/AJ$65*1000</f>
        <v>0.96655649652461317</v>
      </c>
      <c r="AK26" s="5929">
        <f t="shared" ref="AK26:AL26" si="125">+AK10/AK$65*1000</f>
        <v>0</v>
      </c>
      <c r="AL26" s="1283">
        <f t="shared" si="125"/>
        <v>0</v>
      </c>
      <c r="AM26" s="1286"/>
      <c r="AN26" s="1286">
        <f t="shared" si="88"/>
        <v>0.48625057322222048</v>
      </c>
      <c r="AO26" s="1284"/>
      <c r="AP26" s="1284">
        <f t="shared" si="89"/>
        <v>0.84297116218284274</v>
      </c>
      <c r="AQ26" s="6090">
        <f t="shared" si="89"/>
        <v>0</v>
      </c>
      <c r="AR26" s="1283">
        <f t="shared" si="89"/>
        <v>0.27352742044685174</v>
      </c>
      <c r="AS26" s="1284"/>
      <c r="AT26" s="1284">
        <f t="shared" si="90"/>
        <v>0.77720806845185786</v>
      </c>
      <c r="AU26" s="6227">
        <f t="shared" si="90"/>
        <v>0</v>
      </c>
      <c r="AV26" s="1283">
        <f t="shared" si="90"/>
        <v>0.29197165539169456</v>
      </c>
      <c r="AW26" s="1284"/>
      <c r="AX26" s="1284">
        <f t="shared" ref="AX26:AZ26" si="126">+AX10/AX$65*1000</f>
        <v>0.73025878845970771</v>
      </c>
      <c r="AY26" s="6423">
        <f t="shared" si="126"/>
        <v>0</v>
      </c>
      <c r="AZ26" s="1283">
        <f t="shared" si="126"/>
        <v>1.063362762792059</v>
      </c>
      <c r="BA26" s="1286"/>
      <c r="BB26" s="1286">
        <f t="shared" si="92"/>
        <v>0.56785309631483849</v>
      </c>
      <c r="BC26" s="1225"/>
      <c r="BD26" s="1225">
        <f t="shared" si="119"/>
        <v>0.53492513440924538</v>
      </c>
      <c r="BE26" s="1284"/>
      <c r="BF26" s="1300">
        <f t="shared" si="94"/>
        <v>0.76483704110093997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82" t="s">
        <v>556</v>
      </c>
      <c r="C27" s="64" t="s">
        <v>219</v>
      </c>
      <c r="D27" s="1137">
        <f t="shared" si="78"/>
        <v>14.559999999999999</v>
      </c>
      <c r="E27" s="1137">
        <f t="shared" si="78"/>
        <v>14.56</v>
      </c>
      <c r="F27" s="1283">
        <f t="shared" si="78"/>
        <v>17.310381257185469</v>
      </c>
      <c r="G27" s="7188">
        <f t="shared" ref="G27:H27" si="127">+G11/G$65*1000</f>
        <v>14.56</v>
      </c>
      <c r="H27" s="1283">
        <f t="shared" si="127"/>
        <v>15.555605590673954</v>
      </c>
      <c r="I27" s="1284">
        <f t="shared" ref="I27" si="128">+I11/I$65*1000</f>
        <v>14.56</v>
      </c>
      <c r="J27" s="1284">
        <f t="shared" si="97"/>
        <v>16.389617447602845</v>
      </c>
      <c r="K27" s="4591">
        <f t="shared" ref="K27:L35" si="129">+K11/K$65*1000</f>
        <v>9</v>
      </c>
      <c r="L27" s="1283">
        <f t="shared" si="129"/>
        <v>20.679842139780696</v>
      </c>
      <c r="M27" s="1286">
        <f>+$D$27</f>
        <v>14.559999999999999</v>
      </c>
      <c r="N27" s="1286">
        <f t="shared" si="81"/>
        <v>17.582337907158006</v>
      </c>
      <c r="O27" s="4778">
        <f t="shared" si="81"/>
        <v>9.0000000000000018</v>
      </c>
      <c r="P27" s="1283">
        <f t="shared" si="81"/>
        <v>10.907481051209439</v>
      </c>
      <c r="Q27" s="1284">
        <f>+$D$27</f>
        <v>14.559999999999999</v>
      </c>
      <c r="R27" s="1284">
        <f t="shared" si="82"/>
        <v>15.611170135231188</v>
      </c>
      <c r="S27" s="4919">
        <f t="shared" si="82"/>
        <v>9.0000000000000018</v>
      </c>
      <c r="T27" s="1283">
        <f t="shared" si="82"/>
        <v>11.960064258163424</v>
      </c>
      <c r="U27" s="1284">
        <f>+$D$27</f>
        <v>14.559999999999999</v>
      </c>
      <c r="V27" s="1284">
        <f t="shared" ref="V27:X27" si="130">+V11/V$65*1000</f>
        <v>14.820487674513199</v>
      </c>
      <c r="W27" s="5043">
        <f t="shared" si="130"/>
        <v>9</v>
      </c>
      <c r="X27" s="1283">
        <f t="shared" si="130"/>
        <v>12.642167012663764</v>
      </c>
      <c r="Y27" s="1286">
        <f>+$D$27</f>
        <v>14.559999999999999</v>
      </c>
      <c r="Z27" s="1286">
        <f t="shared" si="84"/>
        <v>11.817729422610666</v>
      </c>
      <c r="AA27" s="1225">
        <f>+$D$27</f>
        <v>14.559999999999999</v>
      </c>
      <c r="AB27" s="1225">
        <f t="shared" si="85"/>
        <v>14.430530479058815</v>
      </c>
      <c r="AC27" s="5358">
        <f t="shared" si="85"/>
        <v>8.9999999999999982</v>
      </c>
      <c r="AD27" s="1283">
        <f t="shared" si="85"/>
        <v>12.57854888067007</v>
      </c>
      <c r="AE27" s="1284">
        <f>+$D$27</f>
        <v>14.559999999999999</v>
      </c>
      <c r="AF27" s="1284">
        <f t="shared" ref="AF27:AH27" si="131">+AF11/AF$65*1000</f>
        <v>14.14776987331706</v>
      </c>
      <c r="AG27" s="5510">
        <f t="shared" si="131"/>
        <v>9</v>
      </c>
      <c r="AH27" s="1283">
        <f t="shared" si="131"/>
        <v>5.6950874749047404</v>
      </c>
      <c r="AI27" s="1284">
        <f>+$D$27</f>
        <v>14.559999999999999</v>
      </c>
      <c r="AJ27" s="1284">
        <f t="shared" ref="AJ27:AL27" si="132">+AJ11/AJ$65*1000</f>
        <v>14.064126807022777</v>
      </c>
      <c r="AK27" s="5929">
        <f t="shared" si="132"/>
        <v>8.9999999999999982</v>
      </c>
      <c r="AL27" s="1283">
        <f t="shared" si="132"/>
        <v>11.92741230738598</v>
      </c>
      <c r="AM27" s="1286">
        <f>+$D$27</f>
        <v>14.559999999999999</v>
      </c>
      <c r="AN27" s="1286">
        <f t="shared" si="88"/>
        <v>12.046890895386285</v>
      </c>
      <c r="AO27" s="1284">
        <f>+$D$27</f>
        <v>14.559999999999999</v>
      </c>
      <c r="AP27" s="1284">
        <f t="shared" si="89"/>
        <v>13.790923350442629</v>
      </c>
      <c r="AQ27" s="6090">
        <f t="shared" si="89"/>
        <v>8.9999999999999982</v>
      </c>
      <c r="AR27" s="1283">
        <f t="shared" si="89"/>
        <v>14.49424509140149</v>
      </c>
      <c r="AS27" s="1284">
        <f>+$D$27</f>
        <v>14.559999999999999</v>
      </c>
      <c r="AT27" s="1284">
        <f t="shared" si="90"/>
        <v>13.872147552560845</v>
      </c>
      <c r="AU27" s="6227">
        <f t="shared" si="90"/>
        <v>9</v>
      </c>
      <c r="AV27" s="1283">
        <f t="shared" si="90"/>
        <v>11.597114152158108</v>
      </c>
      <c r="AW27" s="1284">
        <f>+$D$27</f>
        <v>14.559999999999999</v>
      </c>
      <c r="AX27" s="1284">
        <f t="shared" ref="AX27:AZ27" si="133">+AX11/AX$65*1000</f>
        <v>13.652025613579818</v>
      </c>
      <c r="AY27" s="6423">
        <f t="shared" si="133"/>
        <v>8.9999999999999982</v>
      </c>
      <c r="AZ27" s="1283">
        <f t="shared" si="133"/>
        <v>15.711428710794596</v>
      </c>
      <c r="BA27" s="1286">
        <f>+$D$27</f>
        <v>14.559999999999999</v>
      </c>
      <c r="BB27" s="1286">
        <f t="shared" si="92"/>
        <v>14.054586996074949</v>
      </c>
      <c r="BC27" s="1225">
        <f>+$D$27</f>
        <v>14.559999999999999</v>
      </c>
      <c r="BD27" s="1225">
        <f t="shared" si="119"/>
        <v>13.244448556526326</v>
      </c>
      <c r="BE27" s="1284">
        <f>+$D$27</f>
        <v>14.559999999999999</v>
      </c>
      <c r="BF27" s="1284">
        <f t="shared" si="94"/>
        <v>13.865804391597578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82" t="s">
        <v>41</v>
      </c>
      <c r="C28" s="64" t="s">
        <v>219</v>
      </c>
      <c r="D28" s="1137">
        <f t="shared" si="78"/>
        <v>10.41458922319562</v>
      </c>
      <c r="E28" s="1137">
        <f t="shared" si="78"/>
        <v>10.414589223195621</v>
      </c>
      <c r="F28" s="1283">
        <f t="shared" si="78"/>
        <v>0</v>
      </c>
      <c r="G28" s="7188">
        <f t="shared" ref="G28:H28" si="134">+G12/G$65*1000</f>
        <v>10.414589223195623</v>
      </c>
      <c r="H28" s="1283">
        <f t="shared" si="134"/>
        <v>0</v>
      </c>
      <c r="I28" s="1284">
        <f t="shared" ref="I28" si="135">+I12/I$65*1000</f>
        <v>10.414589223195621</v>
      </c>
      <c r="J28" s="1300">
        <f t="shared" si="97"/>
        <v>0</v>
      </c>
      <c r="K28" s="4591">
        <f t="shared" si="129"/>
        <v>7.3000000000000007</v>
      </c>
      <c r="L28" s="1283">
        <f t="shared" si="129"/>
        <v>11.551870275411622</v>
      </c>
      <c r="M28" s="1298">
        <f>+$D$28</f>
        <v>10.41458922319562</v>
      </c>
      <c r="N28" s="1298">
        <f t="shared" si="81"/>
        <v>3.2115222423505099</v>
      </c>
      <c r="O28" s="191">
        <f t="shared" si="81"/>
        <v>7.3</v>
      </c>
      <c r="P28" s="1283">
        <f t="shared" si="81"/>
        <v>12.558741886813575</v>
      </c>
      <c r="Q28" s="1300">
        <f>+$D$28</f>
        <v>10.41458922319562</v>
      </c>
      <c r="R28" s="1300">
        <f t="shared" si="82"/>
        <v>5.9718717925984253</v>
      </c>
      <c r="S28" s="191">
        <f t="shared" si="82"/>
        <v>7.2999999999999989</v>
      </c>
      <c r="T28" s="1283">
        <f t="shared" si="82"/>
        <v>9.7365795847139509</v>
      </c>
      <c r="U28" s="1300">
        <f>+$D$28</f>
        <v>10.41458922319562</v>
      </c>
      <c r="V28" s="1300">
        <f t="shared" ref="V28:X28" si="136">+V12/V$65*1000</f>
        <v>6.7871558520529529</v>
      </c>
      <c r="W28" s="191">
        <f t="shared" si="136"/>
        <v>7.2999999999999989</v>
      </c>
      <c r="X28" s="1283">
        <f t="shared" si="136"/>
        <v>8.6062840991612379</v>
      </c>
      <c r="Y28" s="1298">
        <f>+$D$28</f>
        <v>10.41458922319562</v>
      </c>
      <c r="Z28" s="1298">
        <f t="shared" si="84"/>
        <v>10.346921512421874</v>
      </c>
      <c r="AA28" s="1225">
        <f>+$D$28</f>
        <v>10.41458922319562</v>
      </c>
      <c r="AB28" s="1225">
        <f t="shared" si="85"/>
        <v>7.1128113727658286</v>
      </c>
      <c r="AC28" s="191">
        <f t="shared" si="85"/>
        <v>7.2999999999999989</v>
      </c>
      <c r="AD28" s="1283">
        <f t="shared" si="85"/>
        <v>7.2655200251034575</v>
      </c>
      <c r="AE28" s="1284">
        <f>+$D$28</f>
        <v>10.41458922319562</v>
      </c>
      <c r="AF28" s="1300">
        <f t="shared" ref="AF28:AH28" si="137">+AF12/AF$65*1000</f>
        <v>7.1361269343645857</v>
      </c>
      <c r="AG28" s="191">
        <f t="shared" si="137"/>
        <v>7.3</v>
      </c>
      <c r="AH28" s="1283">
        <f t="shared" si="137"/>
        <v>6.3096652599664029</v>
      </c>
      <c r="AI28" s="1284">
        <f>+$D$28</f>
        <v>10.41458922319562</v>
      </c>
      <c r="AJ28" s="1300">
        <f t="shared" ref="AJ28:AL28" si="138">+AJ12/AJ$65*1000</f>
        <v>7.1279487270969897</v>
      </c>
      <c r="AK28" s="191">
        <f t="shared" si="138"/>
        <v>7.2999999999999989</v>
      </c>
      <c r="AL28" s="1283">
        <f t="shared" si="138"/>
        <v>4.753819094921516</v>
      </c>
      <c r="AM28" s="1298">
        <f>+$D$28</f>
        <v>10.41458922319562</v>
      </c>
      <c r="AN28" s="1298">
        <f t="shared" si="88"/>
        <v>6.0379407222336434</v>
      </c>
      <c r="AO28" s="1284">
        <f>+$D$28</f>
        <v>10.41458922319562</v>
      </c>
      <c r="AP28" s="1300">
        <f t="shared" si="89"/>
        <v>6.8243890227050601</v>
      </c>
      <c r="AQ28" s="191">
        <f t="shared" si="89"/>
        <v>7.2999999999999989</v>
      </c>
      <c r="AR28" s="1283">
        <f t="shared" si="89"/>
        <v>0.35748138117806366</v>
      </c>
      <c r="AS28" s="1284">
        <f>+$D$28</f>
        <v>10.41458922319562</v>
      </c>
      <c r="AT28" s="1300">
        <f t="shared" si="90"/>
        <v>6.07754816344326</v>
      </c>
      <c r="AU28" s="191">
        <f t="shared" si="90"/>
        <v>7.3</v>
      </c>
      <c r="AV28" s="1283">
        <f t="shared" si="90"/>
        <v>1.4598582769584728E-2</v>
      </c>
      <c r="AW28" s="1284">
        <f>+$D$28</f>
        <v>10.41458922319562</v>
      </c>
      <c r="AX28" s="1300">
        <f t="shared" ref="AX28:AZ28" si="139">+AX12/AX$65*1000</f>
        <v>5.4909245923757588</v>
      </c>
      <c r="AY28" s="191">
        <f t="shared" si="139"/>
        <v>7.2999999999999989</v>
      </c>
      <c r="AZ28" s="1283">
        <f t="shared" si="139"/>
        <v>0</v>
      </c>
      <c r="BA28" s="1298">
        <f>+$D$28</f>
        <v>10.41458922319562</v>
      </c>
      <c r="BB28" s="1298">
        <f t="shared" si="92"/>
        <v>0.12212853091857591</v>
      </c>
      <c r="BC28" s="1225">
        <f>+$D$28</f>
        <v>10.41458922319562</v>
      </c>
      <c r="BD28" s="1225">
        <f t="shared" si="119"/>
        <v>2.5092561722437661</v>
      </c>
      <c r="BE28" s="1284">
        <f>+$D$28</f>
        <v>10.41458922319562</v>
      </c>
      <c r="BF28" s="1300">
        <f t="shared" si="94"/>
        <v>4.9209326606683117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82" t="s">
        <v>1551</v>
      </c>
      <c r="C29" s="64" t="s">
        <v>219</v>
      </c>
      <c r="D29" s="2400">
        <f t="shared" ref="D29" si="140">+D13/D$65*1000</f>
        <v>0</v>
      </c>
      <c r="E29" s="1731">
        <f t="shared" ref="E29:F35" si="141">+E13/E$65*1000</f>
        <v>0</v>
      </c>
      <c r="F29" s="1283">
        <f t="shared" si="141"/>
        <v>2.0725227604635985</v>
      </c>
      <c r="G29" s="7188">
        <f t="shared" ref="G29:H29" si="142">+G13/G$65*1000</f>
        <v>0</v>
      </c>
      <c r="H29" s="1283">
        <f t="shared" si="142"/>
        <v>1.9645038361299836</v>
      </c>
      <c r="I29" s="1284">
        <f t="shared" ref="I29" si="143">+I13/I$65*1000</f>
        <v>0</v>
      </c>
      <c r="J29" s="1300">
        <f t="shared" si="97"/>
        <v>2.0158431984121359</v>
      </c>
      <c r="K29" s="4591">
        <f t="shared" si="129"/>
        <v>0</v>
      </c>
      <c r="L29" s="1283">
        <f t="shared" si="129"/>
        <v>1.9943467938957649</v>
      </c>
      <c r="M29" s="1298">
        <f>+$D$29</f>
        <v>0</v>
      </c>
      <c r="N29" s="1298">
        <f t="shared" si="81"/>
        <v>2.0098670075799174</v>
      </c>
      <c r="O29" s="4778">
        <f t="shared" si="81"/>
        <v>0</v>
      </c>
      <c r="P29" s="1283">
        <f t="shared" si="81"/>
        <v>2.2135545870194107</v>
      </c>
      <c r="Q29" s="1300">
        <f>+$D$29</f>
        <v>0</v>
      </c>
      <c r="R29" s="1300">
        <f t="shared" si="82"/>
        <v>2.0700184686221266</v>
      </c>
      <c r="S29" s="4919">
        <f t="shared" si="82"/>
        <v>0</v>
      </c>
      <c r="T29" s="1283">
        <f t="shared" si="82"/>
        <v>1.6716907997205694</v>
      </c>
      <c r="U29" s="1300">
        <f>+$D$29</f>
        <v>0</v>
      </c>
      <c r="V29" s="1300">
        <f t="shared" ref="V29:X29" si="144">+V13/V$65*1000</f>
        <v>1.9837567407995187</v>
      </c>
      <c r="W29" s="5043">
        <f t="shared" si="144"/>
        <v>0</v>
      </c>
      <c r="X29" s="1283">
        <f t="shared" si="144"/>
        <v>0.92055924649121146</v>
      </c>
      <c r="Y29" s="1298"/>
      <c r="Z29" s="1298">
        <f t="shared" si="84"/>
        <v>1.613999545675922</v>
      </c>
      <c r="AA29" s="1225"/>
      <c r="AB29" s="1225">
        <f t="shared" si="85"/>
        <v>1.7934259413190645</v>
      </c>
      <c r="AC29" s="5358">
        <f t="shared" si="85"/>
        <v>0</v>
      </c>
      <c r="AD29" s="1283">
        <f t="shared" si="85"/>
        <v>3.7252887836355493</v>
      </c>
      <c r="AE29" s="1284">
        <f>+$D$29</f>
        <v>0</v>
      </c>
      <c r="AF29" s="1300">
        <f t="shared" ref="AF29:AH29" si="145">+AF13/AF$65*1000</f>
        <v>2.0883828177689439</v>
      </c>
      <c r="AG29" s="5510">
        <f t="shared" si="145"/>
        <v>0</v>
      </c>
      <c r="AH29" s="1283">
        <f t="shared" si="145"/>
        <v>1.1062400131109928</v>
      </c>
      <c r="AI29" s="1284">
        <f>+$D$29</f>
        <v>0</v>
      </c>
      <c r="AJ29" s="1300">
        <f t="shared" ref="AJ29:AL29" si="146">+AJ13/AJ$65*1000</f>
        <v>2.0786640762087631</v>
      </c>
      <c r="AK29" s="5929">
        <f t="shared" si="146"/>
        <v>0</v>
      </c>
      <c r="AL29" s="1283">
        <f t="shared" si="146"/>
        <v>3.9214167984867423</v>
      </c>
      <c r="AM29" s="1298"/>
      <c r="AN29" s="1298">
        <f t="shared" si="88"/>
        <v>3.7345098225251294</v>
      </c>
      <c r="AO29" s="1284">
        <f>+$D$29</f>
        <v>0</v>
      </c>
      <c r="AP29" s="1300">
        <f t="shared" si="89"/>
        <v>2.3142811478551617</v>
      </c>
      <c r="AQ29" s="6090">
        <f t="shared" si="89"/>
        <v>0</v>
      </c>
      <c r="AR29" s="1283">
        <f t="shared" si="89"/>
        <v>5.0941096817874074</v>
      </c>
      <c r="AS29" s="1284">
        <f>+$D$29</f>
        <v>0</v>
      </c>
      <c r="AT29" s="1300">
        <f t="shared" si="90"/>
        <v>2.635313957656078</v>
      </c>
      <c r="AU29" s="6227">
        <f t="shared" si="90"/>
        <v>0</v>
      </c>
      <c r="AV29" s="1283">
        <f t="shared" si="90"/>
        <v>0</v>
      </c>
      <c r="AW29" s="1284">
        <f>+$D$29</f>
        <v>0</v>
      </c>
      <c r="AX29" s="1300">
        <f t="shared" ref="AX29:AZ29" si="147">+AX13/AX$65*1000</f>
        <v>2.3803329019580257</v>
      </c>
      <c r="AY29" s="6423">
        <f t="shared" si="147"/>
        <v>0</v>
      </c>
      <c r="AZ29" s="1283">
        <f t="shared" si="147"/>
        <v>0</v>
      </c>
      <c r="BA29" s="1298"/>
      <c r="BB29" s="1298">
        <f t="shared" si="92"/>
        <v>1.6768158150207395</v>
      </c>
      <c r="BC29" s="1225"/>
      <c r="BD29" s="1225">
        <f t="shared" si="119"/>
        <v>2.5071292333395547</v>
      </c>
      <c r="BE29" s="1284">
        <f>+$D$29</f>
        <v>0</v>
      </c>
      <c r="BF29" s="1300">
        <f t="shared" si="94"/>
        <v>2.1332396253944128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82" t="s">
        <v>42</v>
      </c>
      <c r="C30" s="64" t="s">
        <v>219</v>
      </c>
      <c r="D30" s="2400">
        <f t="shared" ref="D30" si="148">+D14/D$65*1000</f>
        <v>0</v>
      </c>
      <c r="E30" s="1137">
        <f t="shared" si="141"/>
        <v>0</v>
      </c>
      <c r="F30" s="1283">
        <f t="shared" si="141"/>
        <v>0</v>
      </c>
      <c r="G30" s="7188">
        <f t="shared" ref="G30:H30" si="149">+G14/G$65*1000</f>
        <v>0</v>
      </c>
      <c r="H30" s="1283">
        <f t="shared" si="149"/>
        <v>0</v>
      </c>
      <c r="I30" s="1284">
        <f t="shared" ref="I30" si="150">+I14/I$65*1000</f>
        <v>0</v>
      </c>
      <c r="J30" s="1300">
        <f t="shared" si="97"/>
        <v>0</v>
      </c>
      <c r="K30" s="4591">
        <f t="shared" si="129"/>
        <v>21.858669683074151</v>
      </c>
      <c r="L30" s="1283">
        <f t="shared" si="129"/>
        <v>0</v>
      </c>
      <c r="M30" s="1298">
        <f>+$D$30</f>
        <v>0</v>
      </c>
      <c r="N30" s="1298">
        <f t="shared" si="81"/>
        <v>0</v>
      </c>
      <c r="O30" s="191">
        <f t="shared" si="81"/>
        <v>21.858669683074151</v>
      </c>
      <c r="P30" s="1283">
        <f t="shared" si="81"/>
        <v>0</v>
      </c>
      <c r="Q30" s="1300">
        <f>+$D$30</f>
        <v>0</v>
      </c>
      <c r="R30" s="1300">
        <f t="shared" ref="R30:R35" si="151">+R14/R$65*1000</f>
        <v>0</v>
      </c>
      <c r="S30" s="191">
        <f t="shared" ref="S30:T30" si="152">+S14/S$65*1000</f>
        <v>21.858669683074151</v>
      </c>
      <c r="T30" s="1283">
        <f t="shared" si="152"/>
        <v>0</v>
      </c>
      <c r="U30" s="1300">
        <f>+$D$30</f>
        <v>0</v>
      </c>
      <c r="V30" s="1300">
        <f t="shared" ref="V30:V35" si="153">+V14/V$65*1000</f>
        <v>0</v>
      </c>
      <c r="W30" s="191">
        <f t="shared" ref="W30:X30" si="154">+W14/W$65*1000</f>
        <v>21.858669683074151</v>
      </c>
      <c r="X30" s="1283">
        <f t="shared" si="154"/>
        <v>2.3324433694088174</v>
      </c>
      <c r="Y30" s="1298">
        <f>+$D$30</f>
        <v>0</v>
      </c>
      <c r="Z30" s="1298">
        <f t="shared" si="84"/>
        <v>0.76368872259802667</v>
      </c>
      <c r="AA30" s="1225">
        <f>+$D$30</f>
        <v>0</v>
      </c>
      <c r="AB30" s="1225">
        <f t="shared" si="85"/>
        <v>0.41754783435722759</v>
      </c>
      <c r="AC30" s="191">
        <f t="shared" si="85"/>
        <v>21.858669683074151</v>
      </c>
      <c r="AD30" s="1283">
        <f t="shared" si="85"/>
        <v>0.42643694499499807</v>
      </c>
      <c r="AE30" s="1284">
        <f>+$D$30</f>
        <v>0</v>
      </c>
      <c r="AF30" s="1300">
        <f t="shared" ref="AF30:AH30" si="155">+AF14/AF$65*1000</f>
        <v>0.41890502403482932</v>
      </c>
      <c r="AG30" s="191">
        <f t="shared" si="155"/>
        <v>21.858669683074151</v>
      </c>
      <c r="AH30" s="1283">
        <f t="shared" si="155"/>
        <v>0</v>
      </c>
      <c r="AI30" s="1284">
        <f>+$D$30</f>
        <v>0</v>
      </c>
      <c r="AJ30" s="1300">
        <f t="shared" ref="AJ30:AL30" si="156">+AJ14/AJ$65*1000</f>
        <v>0.41475977178887552</v>
      </c>
      <c r="AK30" s="191">
        <f t="shared" si="156"/>
        <v>21.858669683074151</v>
      </c>
      <c r="AL30" s="1283">
        <f t="shared" si="156"/>
        <v>1.2969989270030198</v>
      </c>
      <c r="AM30" s="1298">
        <f>+$D$30</f>
        <v>0</v>
      </c>
      <c r="AN30" s="1298">
        <f t="shared" si="88"/>
        <v>0.82754840103944294</v>
      </c>
      <c r="AO30" s="1284">
        <f>+$D$30</f>
        <v>0</v>
      </c>
      <c r="AP30" s="1300">
        <f t="shared" si="89"/>
        <v>0.52756416693657771</v>
      </c>
      <c r="AQ30" s="191">
        <f t="shared" si="89"/>
        <v>21.858669683074151</v>
      </c>
      <c r="AR30" s="1283">
        <f t="shared" si="89"/>
        <v>3.9918754231550437</v>
      </c>
      <c r="AS30" s="1284">
        <f>+$D$30</f>
        <v>0</v>
      </c>
      <c r="AT30" s="1300">
        <f t="shared" si="90"/>
        <v>0.92764552556467217</v>
      </c>
      <c r="AU30" s="191">
        <f t="shared" si="90"/>
        <v>21.858669683074151</v>
      </c>
      <c r="AV30" s="1283">
        <f t="shared" si="90"/>
        <v>2.6832195130496732</v>
      </c>
      <c r="AW30" s="1284">
        <f>+$D$30</f>
        <v>0</v>
      </c>
      <c r="AX30" s="1300">
        <f t="shared" ref="AX30:AZ30" si="157">+AX14/AX$65*1000</f>
        <v>1.0975069219210694</v>
      </c>
      <c r="AY30" s="191">
        <f t="shared" si="157"/>
        <v>21.858669683074151</v>
      </c>
      <c r="AZ30" s="1283">
        <f t="shared" si="157"/>
        <v>0</v>
      </c>
      <c r="BA30" s="1298">
        <f>+$D$30</f>
        <v>0</v>
      </c>
      <c r="BB30" s="1298">
        <f t="shared" si="92"/>
        <v>2.1332377699865126</v>
      </c>
      <c r="BC30" s="1225">
        <f>+$D$30</f>
        <v>0</v>
      </c>
      <c r="BD30" s="1225">
        <f t="shared" si="119"/>
        <v>1.6063706074058948</v>
      </c>
      <c r="BE30" s="1284">
        <f>+$D$30</f>
        <v>0</v>
      </c>
      <c r="BF30" s="1300">
        <f t="shared" si="94"/>
        <v>0.98357891581501233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82" t="s">
        <v>600</v>
      </c>
      <c r="C31" s="64" t="s">
        <v>219</v>
      </c>
      <c r="D31" s="2400">
        <f t="shared" ref="D31" si="158">+D15/D$65*1000</f>
        <v>10</v>
      </c>
      <c r="E31" s="1137">
        <f t="shared" si="141"/>
        <v>10</v>
      </c>
      <c r="F31" s="1283">
        <f t="shared" si="141"/>
        <v>30.587577292359317</v>
      </c>
      <c r="G31" s="7188">
        <f t="shared" ref="G31:H31" si="159">+G15/G$65*1000</f>
        <v>10</v>
      </c>
      <c r="H31" s="1283">
        <f t="shared" si="159"/>
        <v>28.471233246835123</v>
      </c>
      <c r="I31" s="1284">
        <f t="shared" ref="I31" si="160">+I15/I$65*1000</f>
        <v>10</v>
      </c>
      <c r="J31" s="1284">
        <f t="shared" si="97"/>
        <v>29.477091751140094</v>
      </c>
      <c r="K31" s="4591">
        <f t="shared" si="129"/>
        <v>15</v>
      </c>
      <c r="L31" s="1283">
        <f t="shared" si="129"/>
        <v>15.095671116872559</v>
      </c>
      <c r="M31" s="1286">
        <f>+$D$31</f>
        <v>10</v>
      </c>
      <c r="N31" s="1286">
        <f t="shared" si="81"/>
        <v>25.478929449936185</v>
      </c>
      <c r="O31" s="4778">
        <f t="shared" si="81"/>
        <v>15.000000000000002</v>
      </c>
      <c r="P31" s="1283">
        <f t="shared" si="81"/>
        <v>17.476903974984289</v>
      </c>
      <c r="Q31" s="1284">
        <f>+$D$31</f>
        <v>10</v>
      </c>
      <c r="R31" s="1284">
        <f t="shared" si="151"/>
        <v>23.115832372834745</v>
      </c>
      <c r="S31" s="4919">
        <f t="shared" ref="S31:T35" si="161">+S15/S$65*1000</f>
        <v>15</v>
      </c>
      <c r="T31" s="1283">
        <f t="shared" si="161"/>
        <v>6.9150916983563064</v>
      </c>
      <c r="U31" s="1284">
        <f>+$D$31</f>
        <v>10</v>
      </c>
      <c r="V31" s="1284">
        <f t="shared" si="153"/>
        <v>19.607404533914295</v>
      </c>
      <c r="W31" s="5043">
        <f t="shared" ref="W31:X31" si="162">+W15/W$65*1000</f>
        <v>15</v>
      </c>
      <c r="X31" s="1283">
        <f t="shared" si="162"/>
        <v>15.935663437060473</v>
      </c>
      <c r="Y31" s="1286">
        <f>+$D$31</f>
        <v>10</v>
      </c>
      <c r="Z31" s="1286">
        <f t="shared" si="84"/>
        <v>13.537796846425204</v>
      </c>
      <c r="AA31" s="1225">
        <f>+$D$31</f>
        <v>10</v>
      </c>
      <c r="AB31" s="1225">
        <f t="shared" si="85"/>
        <v>18.950099167610659</v>
      </c>
      <c r="AC31" s="5358">
        <f t="shared" si="85"/>
        <v>15</v>
      </c>
      <c r="AD31" s="1283">
        <f t="shared" si="85"/>
        <v>10.851345153772089</v>
      </c>
      <c r="AE31" s="1284">
        <f>+$D$31</f>
        <v>10</v>
      </c>
      <c r="AF31" s="1284">
        <f>+AF15/AF$65*1000</f>
        <v>17.713581162950778</v>
      </c>
      <c r="AG31" s="5510">
        <f t="shared" ref="AG31:AH31" si="163">+AG15/AG$65*1000</f>
        <v>15.000000000000002</v>
      </c>
      <c r="AH31" s="1283">
        <f t="shared" si="163"/>
        <v>5.0805096898430779</v>
      </c>
      <c r="AI31" s="1284">
        <f>+$D$31</f>
        <v>10</v>
      </c>
      <c r="AJ31" s="1284">
        <f>+AJ15/AJ$65*1000</f>
        <v>17.58857128029814</v>
      </c>
      <c r="AK31" s="5929">
        <f t="shared" ref="AK31:AL31" si="164">+AK15/AK$65*1000</f>
        <v>15</v>
      </c>
      <c r="AL31" s="1283">
        <f t="shared" si="164"/>
        <v>2.2289576442738466</v>
      </c>
      <c r="AM31" s="1286">
        <f>+$D$31</f>
        <v>10</v>
      </c>
      <c r="AN31" s="1286">
        <f t="shared" si="88"/>
        <v>6.5571351012297265</v>
      </c>
      <c r="AO31" s="1284">
        <f>+$D$31</f>
        <v>10</v>
      </c>
      <c r="AP31" s="1284">
        <f t="shared" si="89"/>
        <v>15.624668504419233</v>
      </c>
      <c r="AQ31" s="6090">
        <f t="shared" si="89"/>
        <v>15</v>
      </c>
      <c r="AR31" s="1283">
        <f t="shared" si="89"/>
        <v>3.8077183480027079</v>
      </c>
      <c r="AS31" s="1284">
        <f>+$D$31</f>
        <v>10</v>
      </c>
      <c r="AT31" s="1284">
        <f t="shared" si="90"/>
        <v>14.259969687321533</v>
      </c>
      <c r="AU31" s="6227">
        <f t="shared" si="90"/>
        <v>15.000000000000004</v>
      </c>
      <c r="AV31" s="1283">
        <f t="shared" si="90"/>
        <v>30.995710936382299</v>
      </c>
      <c r="AW31" s="1284">
        <f>+$D$31</f>
        <v>10</v>
      </c>
      <c r="AX31" s="1284">
        <f t="shared" ref="AX31:AZ31" si="165">+AX15/AX$65*1000</f>
        <v>15.879244293740877</v>
      </c>
      <c r="AY31" s="6423">
        <f t="shared" si="165"/>
        <v>15</v>
      </c>
      <c r="AZ31" s="1283">
        <f t="shared" si="165"/>
        <v>36.310423881761864</v>
      </c>
      <c r="BA31" s="1286">
        <f>+$D$31</f>
        <v>10</v>
      </c>
      <c r="BB31" s="1286">
        <f t="shared" si="92"/>
        <v>23.988896109626847</v>
      </c>
      <c r="BC31" s="1225">
        <f>+$D$31</f>
        <v>10</v>
      </c>
      <c r="BD31" s="1225">
        <f t="shared" si="119"/>
        <v>16.954893474923654</v>
      </c>
      <c r="BE31" s="1284">
        <f>+$D$31</f>
        <v>10</v>
      </c>
      <c r="BF31" s="1284">
        <f t="shared" si="94"/>
        <v>18.000127093079985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61" t="s">
        <v>1717</v>
      </c>
      <c r="C32" s="64" t="s">
        <v>219</v>
      </c>
      <c r="D32" s="2400">
        <f t="shared" ref="D32:D33" si="166">+D16/D$65*1000</f>
        <v>0.7</v>
      </c>
      <c r="E32" s="2400">
        <f t="shared" si="141"/>
        <v>0.7</v>
      </c>
      <c r="F32" s="1283">
        <f t="shared" si="141"/>
        <v>1.034707764969083</v>
      </c>
      <c r="G32" s="7188">
        <f t="shared" ref="G32:H33" si="167">+G16/G$65*1000</f>
        <v>0.70000000000000007</v>
      </c>
      <c r="H32" s="1283">
        <f t="shared" si="167"/>
        <v>0.89781765576714156</v>
      </c>
      <c r="I32" s="1284">
        <f>+I16/I$65*1000</f>
        <v>0.7</v>
      </c>
      <c r="J32" s="1284">
        <f t="shared" si="97"/>
        <v>0.96287894898513748</v>
      </c>
      <c r="K32" s="4591">
        <f t="shared" si="129"/>
        <v>0</v>
      </c>
      <c r="L32" s="1283">
        <f t="shared" si="129"/>
        <v>0</v>
      </c>
      <c r="M32" s="3264"/>
      <c r="N32" s="1286">
        <f>+N16/N$65*1000</f>
        <v>0.69519007370934016</v>
      </c>
      <c r="O32" s="4778">
        <f t="shared" ref="O32:O33" si="168">+O16/O$65*1000</f>
        <v>0</v>
      </c>
      <c r="P32" s="1283">
        <f>+P16/P$65*1000</f>
        <v>0</v>
      </c>
      <c r="Q32" s="3263"/>
      <c r="R32" s="1284">
        <f t="shared" si="151"/>
        <v>0.48989184810948339</v>
      </c>
      <c r="S32" s="4919">
        <f t="shared" si="161"/>
        <v>0</v>
      </c>
      <c r="T32" s="1283">
        <f t="shared" si="161"/>
        <v>0.55994846299583301</v>
      </c>
      <c r="U32" s="3263"/>
      <c r="V32" s="1284">
        <f t="shared" si="153"/>
        <v>0.50506328890385366</v>
      </c>
      <c r="W32" s="5043">
        <f t="shared" ref="W32:X33" si="169">+W16/W$65*1000</f>
        <v>0</v>
      </c>
      <c r="X32" s="1283">
        <f t="shared" si="169"/>
        <v>2.0462871226989394</v>
      </c>
      <c r="Y32" s="3264"/>
      <c r="Z32" s="1286">
        <f t="shared" si="84"/>
        <v>0.85207862104687226</v>
      </c>
      <c r="AA32" s="3266"/>
      <c r="AB32" s="1225">
        <f t="shared" si="85"/>
        <v>0.78096909759407396</v>
      </c>
      <c r="AC32" s="5358">
        <f t="shared" si="85"/>
        <v>0</v>
      </c>
      <c r="AD32" s="1283">
        <f t="shared" si="85"/>
        <v>1.1157092397353408</v>
      </c>
      <c r="AE32" s="3263"/>
      <c r="AF32" s="1284">
        <f>+AF16/AF$65*1000</f>
        <v>0.83207723249146937</v>
      </c>
      <c r="AG32" s="5510">
        <f t="shared" ref="AG32:AH33" si="170">+AG16/AG$65*1000</f>
        <v>0</v>
      </c>
      <c r="AH32" s="1283">
        <f t="shared" si="170"/>
        <v>0</v>
      </c>
      <c r="AI32" s="3263"/>
      <c r="AJ32" s="1284">
        <f>+AJ16/AJ$65*1000</f>
        <v>0.82384345676930104</v>
      </c>
      <c r="AK32" s="5929">
        <f t="shared" ref="AK32:AL33" si="171">+AK16/AK$65*1000</f>
        <v>0</v>
      </c>
      <c r="AL32" s="1283">
        <f t="shared" si="171"/>
        <v>0.20740921007510979</v>
      </c>
      <c r="AM32" s="3264"/>
      <c r="AN32" s="1286">
        <f t="shared" si="88"/>
        <v>0.64701634539867281</v>
      </c>
      <c r="AO32" s="3263"/>
      <c r="AP32" s="1284">
        <f t="shared" si="89"/>
        <v>0.74502526791914836</v>
      </c>
      <c r="AQ32" s="6090">
        <f t="shared" si="89"/>
        <v>0</v>
      </c>
      <c r="AR32" s="1283">
        <f t="shared" si="89"/>
        <v>1.3649289099526065</v>
      </c>
      <c r="AS32" s="3263"/>
      <c r="AT32" s="1284">
        <f t="shared" si="90"/>
        <v>0.81661580150012103</v>
      </c>
      <c r="AU32" s="6227">
        <f t="shared" si="90"/>
        <v>0</v>
      </c>
      <c r="AV32" s="1283">
        <f t="shared" si="90"/>
        <v>1.0510979594101004</v>
      </c>
      <c r="AW32" s="3263"/>
      <c r="AX32" s="1284">
        <f t="shared" ref="AX32:AZ33" si="172">+AX16/AX$65*1000</f>
        <v>0.83930323424131204</v>
      </c>
      <c r="AY32" s="6423">
        <f t="shared" si="172"/>
        <v>0</v>
      </c>
      <c r="AZ32" s="1283">
        <f t="shared" si="172"/>
        <v>0.93166187015267543</v>
      </c>
      <c r="BA32" s="3264"/>
      <c r="BB32" s="1286">
        <f t="shared" si="92"/>
        <v>1.1107456169674863</v>
      </c>
      <c r="BC32" s="3266"/>
      <c r="BD32" s="1225">
        <f t="shared" si="119"/>
        <v>0.92362321915393564</v>
      </c>
      <c r="BE32" s="3263"/>
      <c r="BF32" s="1284">
        <f t="shared" si="94"/>
        <v>0.84889063184755109</v>
      </c>
      <c r="BG32" s="26"/>
      <c r="BH32" s="26"/>
      <c r="BI32" s="26"/>
      <c r="BJ32" s="26"/>
      <c r="BK32" s="26"/>
      <c r="BL32" s="26"/>
      <c r="BM32" s="26"/>
      <c r="BN32" s="26"/>
    </row>
    <row r="33" spans="2:66" s="5172" customFormat="1" ht="15" customHeight="1" x14ac:dyDescent="0.25">
      <c r="B33" s="7215" t="s">
        <v>2310</v>
      </c>
      <c r="C33" s="7216" t="s">
        <v>219</v>
      </c>
      <c r="D33" s="7211">
        <f t="shared" si="166"/>
        <v>0</v>
      </c>
      <c r="E33" s="7211">
        <f t="shared" si="141"/>
        <v>0</v>
      </c>
      <c r="F33" s="1283">
        <f t="shared" si="141"/>
        <v>0</v>
      </c>
      <c r="G33" s="7211">
        <f t="shared" si="167"/>
        <v>0</v>
      </c>
      <c r="H33" s="1283">
        <f t="shared" si="167"/>
        <v>4.8408977050767508</v>
      </c>
      <c r="I33" s="1284">
        <f>+I17/I$65*1000</f>
        <v>0</v>
      </c>
      <c r="J33" s="1284">
        <f t="shared" si="97"/>
        <v>2.5401101108196875</v>
      </c>
      <c r="K33" s="7211">
        <f t="shared" si="129"/>
        <v>0</v>
      </c>
      <c r="L33" s="1283">
        <f t="shared" si="129"/>
        <v>0</v>
      </c>
      <c r="M33" s="3264"/>
      <c r="N33" s="1286">
        <f>+N17/N$65*1000</f>
        <v>0</v>
      </c>
      <c r="O33" s="7211">
        <f t="shared" si="168"/>
        <v>0</v>
      </c>
      <c r="P33" s="1283">
        <f>+P17/P$65*1000</f>
        <v>0</v>
      </c>
      <c r="Q33" s="3263"/>
      <c r="R33" s="1284">
        <f t="shared" si="151"/>
        <v>0</v>
      </c>
      <c r="S33" s="7211">
        <f t="shared" si="161"/>
        <v>0</v>
      </c>
      <c r="T33" s="1283">
        <f t="shared" si="161"/>
        <v>0</v>
      </c>
      <c r="U33" s="3263"/>
      <c r="V33" s="1284">
        <f t="shared" si="153"/>
        <v>0</v>
      </c>
      <c r="W33" s="7211">
        <f t="shared" si="169"/>
        <v>0</v>
      </c>
      <c r="X33" s="1283">
        <f t="shared" si="169"/>
        <v>0</v>
      </c>
      <c r="Y33" s="3264"/>
      <c r="Z33" s="1286">
        <f t="shared" si="84"/>
        <v>0</v>
      </c>
      <c r="AA33" s="3266"/>
      <c r="AB33" s="1225">
        <f t="shared" si="85"/>
        <v>0</v>
      </c>
      <c r="AC33" s="7211">
        <f t="shared" si="85"/>
        <v>0</v>
      </c>
      <c r="AD33" s="1283">
        <f t="shared" si="85"/>
        <v>0</v>
      </c>
      <c r="AE33" s="3263"/>
      <c r="AF33" s="1284">
        <f>+AF17/AF$65*1000</f>
        <v>0</v>
      </c>
      <c r="AG33" s="7211">
        <f t="shared" si="170"/>
        <v>0</v>
      </c>
      <c r="AH33" s="1283">
        <f t="shared" si="170"/>
        <v>0</v>
      </c>
      <c r="AI33" s="3263"/>
      <c r="AJ33" s="1284">
        <f>+AJ17/AJ$65*1000</f>
        <v>0</v>
      </c>
      <c r="AK33" s="7211">
        <f t="shared" si="171"/>
        <v>0</v>
      </c>
      <c r="AL33" s="1283">
        <f t="shared" si="171"/>
        <v>0</v>
      </c>
      <c r="AM33" s="3264"/>
      <c r="AN33" s="1286">
        <f t="shared" si="88"/>
        <v>0</v>
      </c>
      <c r="AO33" s="3263"/>
      <c r="AP33" s="1284">
        <f t="shared" si="89"/>
        <v>0</v>
      </c>
      <c r="AQ33" s="7211">
        <f t="shared" si="89"/>
        <v>0</v>
      </c>
      <c r="AR33" s="1283">
        <f t="shared" si="89"/>
        <v>0</v>
      </c>
      <c r="AS33" s="3263"/>
      <c r="AT33" s="1284">
        <f t="shared" si="90"/>
        <v>0</v>
      </c>
      <c r="AU33" s="7211">
        <f t="shared" si="90"/>
        <v>0</v>
      </c>
      <c r="AV33" s="1283">
        <f t="shared" si="90"/>
        <v>0</v>
      </c>
      <c r="AW33" s="3263"/>
      <c r="AX33" s="1284">
        <f t="shared" si="172"/>
        <v>0</v>
      </c>
      <c r="AY33" s="7211">
        <f t="shared" si="172"/>
        <v>0</v>
      </c>
      <c r="AZ33" s="1283">
        <f t="shared" si="172"/>
        <v>0</v>
      </c>
      <c r="BA33" s="3264"/>
      <c r="BB33" s="1286">
        <f t="shared" si="92"/>
        <v>0</v>
      </c>
      <c r="BC33" s="3266"/>
      <c r="BD33" s="1225">
        <f t="shared" si="119"/>
        <v>0</v>
      </c>
      <c r="BE33" s="3263"/>
      <c r="BF33" s="1284">
        <f t="shared" si="94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25">
      <c r="B34" s="1282" t="s">
        <v>98</v>
      </c>
      <c r="C34" s="64" t="s">
        <v>219</v>
      </c>
      <c r="D34" s="2400">
        <f t="shared" ref="D34" si="173">+D18/D$65*1000</f>
        <v>170.09827454020316</v>
      </c>
      <c r="E34" s="1137">
        <f t="shared" si="141"/>
        <v>170.3275582653896</v>
      </c>
      <c r="F34" s="1283">
        <f t="shared" si="141"/>
        <v>186.74455457850416</v>
      </c>
      <c r="G34" s="7188">
        <f t="shared" ref="G34:H34" si="174">+G18/G$65*1000</f>
        <v>170.60964576248358</v>
      </c>
      <c r="H34" s="1283">
        <f t="shared" si="174"/>
        <v>184.72527905523688</v>
      </c>
      <c r="I34" s="1284">
        <f>+I18/I$65*1000</f>
        <v>170.47068915152471</v>
      </c>
      <c r="J34" s="1284">
        <f t="shared" si="97"/>
        <v>185.68500271732711</v>
      </c>
      <c r="K34" s="4591">
        <f t="shared" si="129"/>
        <v>139.2468910756217</v>
      </c>
      <c r="L34" s="1283">
        <f t="shared" si="129"/>
        <v>177.83436949876696</v>
      </c>
      <c r="M34" s="1286">
        <f>+$D$34</f>
        <v>170.09827454020316</v>
      </c>
      <c r="N34" s="1286">
        <f>+N18/N$65*1000</f>
        <v>183.50245715571299</v>
      </c>
      <c r="O34" s="4778">
        <f>+O18/O$65*1000</f>
        <v>114.95047969988987</v>
      </c>
      <c r="P34" s="1283">
        <f>+P18/P$65*1000</f>
        <v>183.55965020748894</v>
      </c>
      <c r="Q34" s="1284">
        <f>+Q18/Q$65*1000</f>
        <v>155.19316278448159</v>
      </c>
      <c r="R34" s="1284">
        <f t="shared" si="151"/>
        <v>183.51934697116099</v>
      </c>
      <c r="S34" s="4919">
        <f t="shared" si="161"/>
        <v>164.78593328198338</v>
      </c>
      <c r="T34" s="1283">
        <f t="shared" si="161"/>
        <v>187.98774637052824</v>
      </c>
      <c r="U34" s="1284">
        <f>+U18/U$65*1000</f>
        <v>157.52838422881172</v>
      </c>
      <c r="V34" s="1284">
        <f t="shared" si="153"/>
        <v>184.48702228694776</v>
      </c>
      <c r="W34" s="5043">
        <f t="shared" ref="W34:X34" si="175">+W18/W$65*1000</f>
        <v>166.36953504673198</v>
      </c>
      <c r="X34" s="1283">
        <f t="shared" si="175"/>
        <v>197.39381848515362</v>
      </c>
      <c r="Y34" s="1286">
        <f>+Y18/Y$65*1000</f>
        <v>156.2376356491433</v>
      </c>
      <c r="Z34" s="1286">
        <f t="shared" si="84"/>
        <v>189.52915584995284</v>
      </c>
      <c r="AA34" s="1225">
        <f>+AA18/AA$65*1000</f>
        <v>159.19956813167261</v>
      </c>
      <c r="AB34" s="1225">
        <f t="shared" si="85"/>
        <v>186.79756275782614</v>
      </c>
      <c r="AC34" s="5358">
        <f t="shared" si="85"/>
        <v>166.62574023223934</v>
      </c>
      <c r="AD34" s="1283">
        <f t="shared" si="85"/>
        <v>191.14298511225482</v>
      </c>
      <c r="AE34" s="1284">
        <f t="shared" ref="AE34:AH34" si="176">+AE18/AE$65*1000</f>
        <v>160.45462363321238</v>
      </c>
      <c r="AF34" s="1284">
        <f t="shared" si="176"/>
        <v>187.46102197265367</v>
      </c>
      <c r="AG34" s="5510">
        <f t="shared" si="176"/>
        <v>165.66779334411157</v>
      </c>
      <c r="AH34" s="1283">
        <f t="shared" si="176"/>
        <v>168.066538288196</v>
      </c>
      <c r="AI34" s="1284">
        <f t="shared" ref="AI34:AL34" si="177">+AI18/AI$65*1000</f>
        <v>161.19121041022248</v>
      </c>
      <c r="AJ34" s="1284">
        <f t="shared" si="177"/>
        <v>187.26910489732771</v>
      </c>
      <c r="AK34" s="5929">
        <f t="shared" si="177"/>
        <v>166.62574023223934</v>
      </c>
      <c r="AL34" s="1283">
        <f t="shared" si="177"/>
        <v>185.7916394730147</v>
      </c>
      <c r="AM34" s="1286">
        <f>+AM18/AM$65*1000</f>
        <v>166.31209503731358</v>
      </c>
      <c r="AN34" s="1286">
        <f t="shared" si="88"/>
        <v>187.85085153149163</v>
      </c>
      <c r="AO34" s="1284">
        <f>+AO18/AO$65*1000</f>
        <v>161.87994471527008</v>
      </c>
      <c r="AP34" s="1284">
        <f t="shared" si="89"/>
        <v>187.08019399651778</v>
      </c>
      <c r="AQ34" s="6090">
        <f t="shared" si="89"/>
        <v>166.62574023223934</v>
      </c>
      <c r="AR34" s="1283">
        <f t="shared" si="89"/>
        <v>184.80162491536899</v>
      </c>
      <c r="AS34" s="1284">
        <f>+AS18/AS$65*1000</f>
        <v>162.4137437004928</v>
      </c>
      <c r="AT34" s="1284">
        <f t="shared" si="90"/>
        <v>186.81704991208323</v>
      </c>
      <c r="AU34" s="6227">
        <f t="shared" si="90"/>
        <v>165.34942539688862</v>
      </c>
      <c r="AV34" s="1283">
        <f t="shared" si="90"/>
        <v>204.40643622317145</v>
      </c>
      <c r="AW34" s="1284">
        <f>+AW18/AW$65*1000</f>
        <v>162.68549606584375</v>
      </c>
      <c r="AX34" s="1284">
        <f t="shared" ref="AX34:AZ34" si="178">+AX18/AX$65*1000</f>
        <v>188.51891935259238</v>
      </c>
      <c r="AY34" s="6423">
        <f t="shared" si="178"/>
        <v>166.62574023223934</v>
      </c>
      <c r="AZ34" s="1283">
        <f t="shared" si="178"/>
        <v>201.84381249695139</v>
      </c>
      <c r="BA34" s="1286">
        <f>+BA18/BA$65*1000</f>
        <v>166.22753898683573</v>
      </c>
      <c r="BB34" s="1286">
        <f t="shared" si="92"/>
        <v>197.01649804906356</v>
      </c>
      <c r="BC34" s="1225">
        <f>+BC18/BC$65*1000</f>
        <v>166.27029619270033</v>
      </c>
      <c r="BD34" s="1225">
        <f t="shared" si="119"/>
        <v>193.3180087385285</v>
      </c>
      <c r="BE34" s="1284">
        <f>+BE18/BE$65*1000</f>
        <v>163.05041622966823</v>
      </c>
      <c r="BF34" s="1284">
        <f t="shared" si="94"/>
        <v>189.90212566973878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25">
      <c r="B35" s="1282" t="s">
        <v>1330</v>
      </c>
      <c r="C35" s="64" t="s">
        <v>219</v>
      </c>
      <c r="D35" s="1139">
        <f t="shared" ref="D35" si="179">+D19/D$65*1000</f>
        <v>2.8361370375524362</v>
      </c>
      <c r="E35" s="1139">
        <f t="shared" si="141"/>
        <v>2.84</v>
      </c>
      <c r="F35" s="1283">
        <f t="shared" si="141"/>
        <v>1.9016250815648013</v>
      </c>
      <c r="G35" s="1139">
        <f t="shared" ref="G35:H35" si="180">+G19/G$65*1000</f>
        <v>2.8447525981502015</v>
      </c>
      <c r="H35" s="1283">
        <f t="shared" si="180"/>
        <v>3.6813338361862731</v>
      </c>
      <c r="I35" s="1284">
        <f>+I19/I$65*1000</f>
        <v>2.8424114630803921</v>
      </c>
      <c r="J35" s="1300">
        <f t="shared" si="97"/>
        <v>2.8354717516126744</v>
      </c>
      <c r="K35" s="1139">
        <f t="shared" si="129"/>
        <v>2.4499999999999997</v>
      </c>
      <c r="L35" s="1283">
        <f t="shared" si="129"/>
        <v>0.87827964577332707</v>
      </c>
      <c r="M35" s="1304">
        <f>D35</f>
        <v>2.8361370375524362</v>
      </c>
      <c r="N35" s="1286">
        <f>+N19/N$65*1000</f>
        <v>2.29135501288554</v>
      </c>
      <c r="O35" s="1139">
        <f>+O19/O$65*1000</f>
        <v>2.4500000000000002</v>
      </c>
      <c r="P35" s="1295">
        <f>+P19/P$65*1000</f>
        <v>2.0049207064037877</v>
      </c>
      <c r="Q35" s="1296">
        <f>+$D$35</f>
        <v>2.8361370375524362</v>
      </c>
      <c r="R35" s="1296">
        <f t="shared" si="151"/>
        <v>2.2067674200882705</v>
      </c>
      <c r="S35" s="1139">
        <f t="shared" si="161"/>
        <v>2.4500000000000002</v>
      </c>
      <c r="T35" s="1295">
        <f t="shared" si="161"/>
        <v>2.2860031911625995</v>
      </c>
      <c r="U35" s="1296">
        <f>+$D$35</f>
        <v>2.8361370375524362</v>
      </c>
      <c r="V35" s="1296">
        <f t="shared" si="153"/>
        <v>2.2239266963621902</v>
      </c>
      <c r="W35" s="1139">
        <f t="shared" ref="W35:X35" si="181">+W19/W$65*1000</f>
        <v>2.4500000000000002</v>
      </c>
      <c r="X35" s="1295">
        <f t="shared" si="181"/>
        <v>2.1353735013916371</v>
      </c>
      <c r="Y35" s="1304">
        <f>+Y19/Y$65*1000</f>
        <v>2.4499999999999997</v>
      </c>
      <c r="Z35" s="1304">
        <f t="shared" si="84"/>
        <v>2.1390355424620653</v>
      </c>
      <c r="AA35" s="1305">
        <f>+AA19/AA$65*1000</f>
        <v>2.5996068479322632</v>
      </c>
      <c r="AB35" s="1305">
        <f t="shared" si="85"/>
        <v>2.2080741379377002</v>
      </c>
      <c r="AC35" s="1139">
        <f t="shared" si="85"/>
        <v>2.4499999999999997</v>
      </c>
      <c r="AD35" s="1295">
        <f t="shared" si="85"/>
        <v>2.2448284462944237</v>
      </c>
      <c r="AE35" s="1296">
        <f>+AE19/AE$65*1000</f>
        <v>2.5743226375715738</v>
      </c>
      <c r="AF35" s="1296">
        <f>+AF19/AF$65*1000</f>
        <v>2.2136857868350805</v>
      </c>
      <c r="AG35" s="1139">
        <f t="shared" ref="AG35:AI35" si="182">+AG19/AG$65*1000</f>
        <v>2.4500000000000002</v>
      </c>
      <c r="AH35" s="1295">
        <f t="shared" si="182"/>
        <v>7.0881304543778425</v>
      </c>
      <c r="AI35" s="1296">
        <f t="shared" si="182"/>
        <v>2.5567566621676288</v>
      </c>
      <c r="AJ35" s="1296">
        <f>+AJ19/AJ$65*1000</f>
        <v>2.261920593167289</v>
      </c>
      <c r="AK35" s="1139">
        <f t="shared" ref="AK35:AM35" si="183">+AK19/AK$65*1000</f>
        <v>2.4499999999999997</v>
      </c>
      <c r="AL35" s="1295">
        <f t="shared" si="183"/>
        <v>2.9037289410515368</v>
      </c>
      <c r="AM35" s="1286">
        <f t="shared" si="183"/>
        <v>2.4500000000000002</v>
      </c>
      <c r="AN35" s="1286">
        <f t="shared" si="88"/>
        <v>2.7145695957663256</v>
      </c>
      <c r="AO35" s="1296">
        <f>+AO19/AO$65*1000</f>
        <v>2.543227069372068</v>
      </c>
      <c r="AP35" s="1284">
        <f t="shared" si="89"/>
        <v>2.3439831518918055</v>
      </c>
      <c r="AQ35" s="1139">
        <f t="shared" si="89"/>
        <v>2.4499999999999997</v>
      </c>
      <c r="AR35" s="1295">
        <f t="shared" si="89"/>
        <v>3.5775220040622884</v>
      </c>
      <c r="AS35" s="1296">
        <f>+AS19/AS$65*1000</f>
        <v>2.5327410476190946</v>
      </c>
      <c r="AT35" s="1284">
        <f t="shared" si="90"/>
        <v>2.4864402994737502</v>
      </c>
      <c r="AU35" s="1139">
        <f t="shared" si="90"/>
        <v>2.4499999999999997</v>
      </c>
      <c r="AV35" s="1283">
        <f t="shared" si="90"/>
        <v>2.899278538039527</v>
      </c>
      <c r="AW35" s="1296">
        <f>+AW19/AW$65*1000</f>
        <v>2.5250818128220431</v>
      </c>
      <c r="AX35" s="1284">
        <f t="shared" ref="AX35:AZ35" si="184">+AX19/AX$65*1000</f>
        <v>2.5263846596499673</v>
      </c>
      <c r="AY35" s="1139">
        <f t="shared" si="184"/>
        <v>2.4499999999999997</v>
      </c>
      <c r="AZ35" s="1283">
        <f t="shared" si="184"/>
        <v>3.6705526559680015</v>
      </c>
      <c r="BA35" s="1286">
        <f>+BA19/BA$65*1000</f>
        <v>2.4499999999999997</v>
      </c>
      <c r="BB35" s="1286">
        <f t="shared" si="92"/>
        <v>3.4044442304966531</v>
      </c>
      <c r="BC35" s="1225">
        <f>+BC19/BC$65*1000</f>
        <v>2.4499999999999997</v>
      </c>
      <c r="BD35" s="1225">
        <f t="shared" si="119"/>
        <v>3.1260684544651625</v>
      </c>
      <c r="BE35" s="1284">
        <f>+BE19/BE$65*1000</f>
        <v>2.5181282164766872</v>
      </c>
      <c r="BF35" s="1284">
        <f t="shared" si="94"/>
        <v>2.6451563738572066</v>
      </c>
      <c r="BG35" s="26"/>
      <c r="BH35" s="26"/>
      <c r="BI35" s="26"/>
      <c r="BJ35" s="26"/>
      <c r="BK35" s="26"/>
      <c r="BL35" s="26"/>
      <c r="BM35" s="26"/>
      <c r="BN35" s="26"/>
    </row>
    <row r="36" spans="2:66" ht="15.75" x14ac:dyDescent="0.25">
      <c r="B36" s="1288" t="s">
        <v>21</v>
      </c>
      <c r="C36" s="1289" t="s">
        <v>219</v>
      </c>
      <c r="D36" s="200">
        <f t="shared" ref="D36:AB36" si="185">SUM(D22:D35)</f>
        <v>1177.6925320700143</v>
      </c>
      <c r="E36" s="200">
        <f t="shared" si="185"/>
        <v>1177.9256787576485</v>
      </c>
      <c r="F36" s="200">
        <f t="shared" si="185"/>
        <v>1225.867694124227</v>
      </c>
      <c r="G36" s="200">
        <f t="shared" ref="G36:H36" si="186">SUM(G22:G35)</f>
        <v>1178.212518852893</v>
      </c>
      <c r="H36" s="200">
        <f t="shared" si="186"/>
        <v>1213.0501595807555</v>
      </c>
      <c r="I36" s="200">
        <f t="shared" si="185"/>
        <v>1178.071221106864</v>
      </c>
      <c r="J36" s="200">
        <f t="shared" si="185"/>
        <v>1219.1420925781529</v>
      </c>
      <c r="K36" s="200">
        <f t="shared" ref="K36:L36" si="187">SUM(K22:K35)</f>
        <v>1179.0531478881755</v>
      </c>
      <c r="L36" s="200">
        <f t="shared" si="187"/>
        <v>1193.7546263092695</v>
      </c>
      <c r="M36" s="200">
        <f t="shared" si="185"/>
        <v>1176.5925320700144</v>
      </c>
      <c r="N36" s="200">
        <f t="shared" si="185"/>
        <v>1210.2502151144133</v>
      </c>
      <c r="O36" s="200">
        <f t="shared" ref="O36:P36" si="188">SUM(O22:O35)</f>
        <v>1154.7567365124437</v>
      </c>
      <c r="P36" s="200">
        <f t="shared" si="188"/>
        <v>1182.5724557479905</v>
      </c>
      <c r="Q36" s="200">
        <f t="shared" si="185"/>
        <v>1162.0874203142928</v>
      </c>
      <c r="R36" s="200">
        <f t="shared" si="185"/>
        <v>1202.0766305058357</v>
      </c>
      <c r="S36" s="200">
        <f t="shared" ref="S36:T36" si="189">SUM(S22:S35)</f>
        <v>1204.592190094537</v>
      </c>
      <c r="T36" s="200">
        <f t="shared" si="189"/>
        <v>1183.5706771842745</v>
      </c>
      <c r="U36" s="200">
        <f t="shared" ref="U36:X36" si="190">SUM(U22:U35)</f>
        <v>1164.4226417586228</v>
      </c>
      <c r="V36" s="200">
        <f t="shared" si="190"/>
        <v>1198.0689864651281</v>
      </c>
      <c r="W36" s="200">
        <f t="shared" si="190"/>
        <v>1206.1757918592857</v>
      </c>
      <c r="X36" s="200">
        <f t="shared" si="190"/>
        <v>1218.4586976651269</v>
      </c>
      <c r="Y36" s="200">
        <f t="shared" si="185"/>
        <v>1162.3457561414023</v>
      </c>
      <c r="Z36" s="200">
        <f t="shared" si="185"/>
        <v>1194.6469309701411</v>
      </c>
      <c r="AA36" s="200">
        <f t="shared" si="185"/>
        <v>1165.4572954718637</v>
      </c>
      <c r="AB36" s="200">
        <f t="shared" si="185"/>
        <v>1201.7190985606198</v>
      </c>
      <c r="AC36" s="200">
        <f t="shared" ref="AC36:AD36" si="191">SUM(AC22:AC35)</f>
        <v>1206.4319970447932</v>
      </c>
      <c r="AD36" s="200">
        <f t="shared" si="191"/>
        <v>1197.7406887895356</v>
      </c>
      <c r="AE36" s="200">
        <f t="shared" ref="AE36:AH36" si="192">SUM(AE22:AE35)</f>
        <v>1166.6870667630428</v>
      </c>
      <c r="AF36" s="200">
        <f t="shared" si="192"/>
        <v>1201.1116748379766</v>
      </c>
      <c r="AG36" s="200">
        <f t="shared" si="192"/>
        <v>1205.4740501566653</v>
      </c>
      <c r="AH36" s="200">
        <f t="shared" si="192"/>
        <v>1139.754988323022</v>
      </c>
      <c r="AI36" s="200">
        <f t="shared" ref="AI36:AL36" si="193">SUM(AI22:AI35)</f>
        <v>1167.4060875646489</v>
      </c>
      <c r="AJ36" s="200">
        <f t="shared" si="193"/>
        <v>1200.5045230303167</v>
      </c>
      <c r="AK36" s="200">
        <f t="shared" si="193"/>
        <v>1206.4319970447932</v>
      </c>
      <c r="AL36" s="200">
        <f t="shared" si="193"/>
        <v>1197.7609207862745</v>
      </c>
      <c r="AM36" s="802">
        <f t="shared" ref="AM36:AN36" si="194">SUM(AM22:AM35)</f>
        <v>1172.4202155295725</v>
      </c>
      <c r="AN36" s="802">
        <f t="shared" si="194"/>
        <v>1195.8853713689336</v>
      </c>
      <c r="AO36" s="256">
        <f t="shared" ref="AO36:AT36" si="195">SUM(AO22:AO35)</f>
        <v>1168.081292276901</v>
      </c>
      <c r="AP36" s="256">
        <f t="shared" si="195"/>
        <v>1200.1537220147011</v>
      </c>
      <c r="AQ36" s="200">
        <f t="shared" si="195"/>
        <v>1206.4319970447932</v>
      </c>
      <c r="AR36" s="200">
        <f t="shared" si="195"/>
        <v>1196.785375761679</v>
      </c>
      <c r="AS36" s="200">
        <f t="shared" si="195"/>
        <v>1168.6046052403708</v>
      </c>
      <c r="AT36" s="200">
        <f t="shared" si="195"/>
        <v>1199.7647233233104</v>
      </c>
      <c r="AU36" s="200">
        <f t="shared" ref="AU36:AX36" si="196">SUM(AU22:AU35)</f>
        <v>1205.1556822094426</v>
      </c>
      <c r="AV36" s="200">
        <f t="shared" si="196"/>
        <v>1220.6692574284889</v>
      </c>
      <c r="AW36" s="200">
        <f t="shared" si="196"/>
        <v>1168.8686983709247</v>
      </c>
      <c r="AX36" s="200">
        <f t="shared" si="196"/>
        <v>1201.7873514657861</v>
      </c>
      <c r="AY36" s="200">
        <f t="shared" ref="AY36:AZ36" si="197">SUM(AY22:AY35)</f>
        <v>1206.4319970447932</v>
      </c>
      <c r="AZ36" s="200">
        <f t="shared" si="197"/>
        <v>1229.7326959660504</v>
      </c>
      <c r="BA36" s="200">
        <f t="shared" ref="BA36:BD36" si="198">SUM(BA22:BA35)</f>
        <v>1172.3356594790946</v>
      </c>
      <c r="BB36" s="200">
        <f t="shared" si="198"/>
        <v>1216.1202529219472</v>
      </c>
      <c r="BC36" s="200">
        <f t="shared" si="198"/>
        <v>1172.3784166849591</v>
      </c>
      <c r="BD36" s="200">
        <f t="shared" si="198"/>
        <v>1207.9551449854494</v>
      </c>
      <c r="BE36" s="200">
        <f t="shared" ref="BE36:BF36" si="199">SUM(BE22:BE35)</f>
        <v>1169.2266649384037</v>
      </c>
      <c r="BF36" s="200">
        <f t="shared" si="199"/>
        <v>1204.6882510549103</v>
      </c>
      <c r="BG36" s="26"/>
      <c r="BH36" s="26"/>
      <c r="BI36" s="26"/>
      <c r="BJ36" s="26"/>
      <c r="BK36" s="26"/>
      <c r="BL36" s="26"/>
      <c r="BM36" s="26"/>
      <c r="BN36" s="26"/>
    </row>
    <row r="37" spans="2:66" ht="15.75" x14ac:dyDescent="0.25">
      <c r="B37" s="1288"/>
      <c r="C37" s="1289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8.75" x14ac:dyDescent="0.25">
      <c r="B38" s="1281" t="s">
        <v>938</v>
      </c>
      <c r="C38" s="1281"/>
      <c r="D38" s="251"/>
      <c r="E38" s="1281"/>
      <c r="F38" s="1281"/>
      <c r="G38" s="1281"/>
      <c r="H38" s="1281"/>
      <c r="I38" s="1281"/>
      <c r="J38" s="1281"/>
      <c r="K38" s="1281"/>
      <c r="L38" s="1281"/>
      <c r="M38" s="1281"/>
      <c r="N38" s="1281"/>
      <c r="O38" s="1281"/>
      <c r="P38" s="1281"/>
      <c r="Q38" s="1281"/>
      <c r="R38" s="1281"/>
      <c r="S38" s="1281"/>
      <c r="T38" s="1281"/>
      <c r="U38" s="1281"/>
      <c r="V38" s="1281"/>
      <c r="W38" s="1281"/>
      <c r="X38" s="1281"/>
      <c r="Y38" s="1281"/>
      <c r="Z38" s="1281"/>
      <c r="AA38" s="1281"/>
      <c r="AB38" s="1281"/>
      <c r="AC38" s="1281"/>
      <c r="AD38" s="1281"/>
      <c r="AE38" s="1281"/>
      <c r="AF38" s="1281"/>
      <c r="AG38" s="1281"/>
      <c r="AH38" s="1281"/>
      <c r="AI38" s="1281"/>
      <c r="AJ38" s="1281"/>
      <c r="AK38" s="1281"/>
      <c r="AL38" s="1281"/>
      <c r="AM38" s="1281"/>
      <c r="AN38" s="1281"/>
      <c r="AO38" s="1281"/>
      <c r="AP38" s="1281"/>
      <c r="AQ38" s="1281"/>
      <c r="AR38" s="1281"/>
      <c r="AS38" s="1281"/>
      <c r="AT38" s="1281"/>
      <c r="AU38" s="1281"/>
      <c r="AV38" s="1281"/>
      <c r="AW38" s="1281"/>
      <c r="AX38" s="1281"/>
      <c r="AY38" s="1281"/>
      <c r="AZ38" s="1281"/>
      <c r="BA38" s="1281"/>
      <c r="BB38" s="1281"/>
      <c r="BC38" s="1281"/>
      <c r="BD38" s="1281"/>
      <c r="BE38" s="1281"/>
      <c r="BF38" s="1281"/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82" t="s">
        <v>43</v>
      </c>
      <c r="C39" s="64" t="s">
        <v>50</v>
      </c>
      <c r="D39" s="1137">
        <v>5138143.293506925</v>
      </c>
      <c r="E39" s="1283">
        <f>+E20</f>
        <v>438413.85245607345</v>
      </c>
      <c r="F39" s="1820">
        <f>+F20</f>
        <v>394521</v>
      </c>
      <c r="G39" s="1283">
        <f>+G20</f>
        <v>451693.82970925875</v>
      </c>
      <c r="H39" s="1820">
        <f>+H20</f>
        <v>431004</v>
      </c>
      <c r="I39" s="1284">
        <f>+E39+G39</f>
        <v>890107.68216533214</v>
      </c>
      <c r="J39" s="1284">
        <f>+F39+H39</f>
        <v>825525</v>
      </c>
      <c r="K39" s="1283">
        <f>+K20</f>
        <v>338919.5496611782</v>
      </c>
      <c r="L39" s="1820">
        <f>+L20</f>
        <v>311256</v>
      </c>
      <c r="M39" s="1286">
        <f t="shared" ref="M39:M48" si="200">+K39+G39+E39</f>
        <v>1229027.2318265105</v>
      </c>
      <c r="N39" s="1286">
        <f t="shared" ref="N39:N48" si="201">+L39+H39+F39</f>
        <v>1136781</v>
      </c>
      <c r="O39" s="1283">
        <f>+O20</f>
        <v>199698.09131245923</v>
      </c>
      <c r="P39" s="1820">
        <f>+P20</f>
        <v>464790</v>
      </c>
      <c r="Q39" s="1284">
        <f>+M39+O39</f>
        <v>1428725.3231389697</v>
      </c>
      <c r="R39" s="1285">
        <f>+N39+P39</f>
        <v>1601571</v>
      </c>
      <c r="S39" s="1283">
        <f>+S20</f>
        <v>471295.86188485217</v>
      </c>
      <c r="T39" s="1820">
        <f>+T20</f>
        <v>435425</v>
      </c>
      <c r="U39" s="1284">
        <f>+Q39+S39</f>
        <v>1900021.1850238219</v>
      </c>
      <c r="V39" s="1285">
        <f>+R39+T39</f>
        <v>2036996</v>
      </c>
      <c r="W39" s="1283">
        <f>+W20</f>
        <v>451842.69729749847</v>
      </c>
      <c r="X39" s="1820">
        <f>+X20</f>
        <v>451350</v>
      </c>
      <c r="Y39" s="1286">
        <f t="shared" ref="Y39:Y48" si="202">+O39+S39+W39</f>
        <v>1122836.6504948097</v>
      </c>
      <c r="Z39" s="1286">
        <f t="shared" ref="Z39:Z48" si="203">+P39+T39+X39</f>
        <v>1351565</v>
      </c>
      <c r="AA39" s="1225">
        <f>M39+Y39</f>
        <v>2351863.8823213205</v>
      </c>
      <c r="AB39" s="1225">
        <f>N39+Z39</f>
        <v>2488346</v>
      </c>
      <c r="AC39" s="1283">
        <f>+AC20</f>
        <v>486254.06130773108</v>
      </c>
      <c r="AD39" s="1820">
        <f>+AD20</f>
        <v>446586</v>
      </c>
      <c r="AE39" s="1284">
        <f>+AA39+AC39</f>
        <v>2838117.9436290516</v>
      </c>
      <c r="AF39" s="1284">
        <f>+AB39+AD39</f>
        <v>2934932</v>
      </c>
      <c r="AG39" s="1283">
        <f>+AG20</f>
        <v>473039.7342612528</v>
      </c>
      <c r="AH39" s="1820">
        <f>+AH20</f>
        <v>27818</v>
      </c>
      <c r="AI39" s="1284">
        <f>+AE39+AG39</f>
        <v>3311157.6778903045</v>
      </c>
      <c r="AJ39" s="1284">
        <f>+AF39+AH39</f>
        <v>2962750</v>
      </c>
      <c r="AK39" s="1283">
        <f>+AK20</f>
        <v>486254.06130773108</v>
      </c>
      <c r="AL39" s="1820">
        <f>+AL20</f>
        <v>433115.14</v>
      </c>
      <c r="AM39" s="1286">
        <f t="shared" ref="AM39:AM48" si="204">+AC39+AG39+AK39</f>
        <v>1445547.8568767151</v>
      </c>
      <c r="AN39" s="1286">
        <f t="shared" ref="AN39:AN48" si="205">+AD39+AH39+AL39</f>
        <v>907519.14</v>
      </c>
      <c r="AO39" s="1284">
        <f t="shared" ref="AO39:AP39" si="206">AI39+AK39</f>
        <v>3797411.7391980356</v>
      </c>
      <c r="AP39" s="1284">
        <f t="shared" si="206"/>
        <v>3395865.14</v>
      </c>
      <c r="AQ39" s="1283">
        <f>+AQ20</f>
        <v>486254.06130773108</v>
      </c>
      <c r="AR39" s="1820">
        <f>+AR20</f>
        <v>441913</v>
      </c>
      <c r="AS39" s="1284">
        <f>+AO39+AQ39</f>
        <v>4283665.8005057666</v>
      </c>
      <c r="AT39" s="1284">
        <f>+AP39+AR39</f>
        <v>3837778.14</v>
      </c>
      <c r="AU39" s="1283">
        <f>+AU20</f>
        <v>440540.11269603309</v>
      </c>
      <c r="AV39" s="1820">
        <f>+AV20</f>
        <v>418078</v>
      </c>
      <c r="AW39" s="1284">
        <f>+AS39+AU39</f>
        <v>4724205.9132017996</v>
      </c>
      <c r="AX39" s="1284">
        <f>+AT39+AV39</f>
        <v>4255856.1400000006</v>
      </c>
      <c r="AY39" s="1283">
        <f>+AY20</f>
        <v>486254.06130773108</v>
      </c>
      <c r="AZ39" s="1820">
        <f>+AZ20</f>
        <v>504215</v>
      </c>
      <c r="BA39" s="1286">
        <f t="shared" ref="BA39:BA48" si="207">+AQ39+AU39+AY39</f>
        <v>1413048.2353114951</v>
      </c>
      <c r="BB39" s="1286">
        <f t="shared" ref="BB39:BB48" si="208">+AR39+AV39+AZ39</f>
        <v>1364206</v>
      </c>
      <c r="BC39" s="1225">
        <f t="shared" ref="BC39:BC48" si="209">AM39+BA39</f>
        <v>2858596.0921882102</v>
      </c>
      <c r="BD39" s="1225">
        <f t="shared" ref="BD39:BD48" si="210">AN39+BB39</f>
        <v>2271725.14</v>
      </c>
      <c r="BE39" s="1284">
        <f>+AW39+AY39</f>
        <v>5210459.9745095307</v>
      </c>
      <c r="BF39" s="1284">
        <f>+AX39+AZ39</f>
        <v>4760071.1400000006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82" t="s">
        <v>70</v>
      </c>
      <c r="C40" s="64" t="s">
        <v>50</v>
      </c>
      <c r="D40" s="1204">
        <v>84994.967020095864</v>
      </c>
      <c r="E40" s="1283">
        <v>7250.8132898682006</v>
      </c>
      <c r="F40" s="151">
        <v>3023</v>
      </c>
      <c r="G40" s="1283">
        <v>7468.6286907679323</v>
      </c>
      <c r="H40" s="151">
        <v>3012</v>
      </c>
      <c r="I40" s="1284">
        <f t="shared" ref="I40:I48" si="211">+E40+G40</f>
        <v>14719.441980636133</v>
      </c>
      <c r="J40" s="1284">
        <f t="shared" ref="J40:J48" si="212">+F40+H40</f>
        <v>6035</v>
      </c>
      <c r="K40" s="1283">
        <v>5731.7666737473182</v>
      </c>
      <c r="L40" s="151">
        <v>2890</v>
      </c>
      <c r="M40" s="1286">
        <f t="shared" si="200"/>
        <v>20451.208654383452</v>
      </c>
      <c r="N40" s="1286">
        <f t="shared" si="201"/>
        <v>8925</v>
      </c>
      <c r="O40" s="1283">
        <v>3448.3288366865731</v>
      </c>
      <c r="P40" s="151">
        <v>9124</v>
      </c>
      <c r="Q40" s="1284">
        <f t="shared" ref="Q40:Q48" si="213">+M40+O40</f>
        <v>23899.537491070027</v>
      </c>
      <c r="R40" s="1285">
        <f t="shared" ref="R40:R48" si="214">+N40+P40</f>
        <v>18049</v>
      </c>
      <c r="S40" s="1283">
        <v>7801.5132044091406</v>
      </c>
      <c r="T40" s="151">
        <v>8433</v>
      </c>
      <c r="U40" s="1284">
        <f t="shared" ref="U40:U48" si="215">+Q40+S40</f>
        <v>31701.050695479167</v>
      </c>
      <c r="V40" s="1285">
        <f t="shared" ref="V40:V48" si="216">+R40+T40</f>
        <v>26482</v>
      </c>
      <c r="W40" s="1283">
        <v>7469.6787459987354</v>
      </c>
      <c r="X40" s="151">
        <v>4753</v>
      </c>
      <c r="Y40" s="1286">
        <f t="shared" si="202"/>
        <v>18719.52078709445</v>
      </c>
      <c r="Z40" s="1286">
        <f t="shared" si="203"/>
        <v>22310</v>
      </c>
      <c r="AA40" s="1225">
        <f t="shared" ref="AA40:AA48" si="217">M40+Y40</f>
        <v>39170.729441477903</v>
      </c>
      <c r="AB40" s="1225">
        <f t="shared" ref="AB40:AB48" si="218">N40+Z40</f>
        <v>31235</v>
      </c>
      <c r="AC40" s="1283">
        <v>8036.8462317635631</v>
      </c>
      <c r="AD40" s="151">
        <v>10655</v>
      </c>
      <c r="AE40" s="1284">
        <f t="shared" ref="AE40:AE46" si="219">+AA40+AC40</f>
        <v>47207.575673241467</v>
      </c>
      <c r="AF40" s="1285">
        <f t="shared" ref="AF40:AF46" si="220">+AB40+AD40</f>
        <v>41890</v>
      </c>
      <c r="AG40" s="1283">
        <v>7824.6518037922142</v>
      </c>
      <c r="AH40" s="151">
        <v>786</v>
      </c>
      <c r="AI40" s="1284">
        <f t="shared" ref="AI40:AI48" si="221">+AE40+AG40</f>
        <v>55032.227477033681</v>
      </c>
      <c r="AJ40" s="1285">
        <f t="shared" ref="AJ40:AJ48" si="222">+AF40+AH40</f>
        <v>42676</v>
      </c>
      <c r="AK40" s="1283">
        <v>8036.8462317635631</v>
      </c>
      <c r="AL40" s="151">
        <v>9664</v>
      </c>
      <c r="AM40" s="1286">
        <f t="shared" si="204"/>
        <v>23898.344267319342</v>
      </c>
      <c r="AN40" s="1286">
        <f t="shared" si="205"/>
        <v>21105</v>
      </c>
      <c r="AO40" s="1284">
        <f t="shared" ref="AO40:AO48" si="223">AI40+AK40</f>
        <v>63069.073708797245</v>
      </c>
      <c r="AP40" s="1284">
        <f t="shared" ref="AP40:AP48" si="224">AJ40+AL40</f>
        <v>52340</v>
      </c>
      <c r="AQ40" s="1283">
        <v>8036.8462317635631</v>
      </c>
      <c r="AR40" s="151">
        <v>9564</v>
      </c>
      <c r="AS40" s="1284">
        <f t="shared" ref="AS40:AS48" si="225">+AO40+AQ40</f>
        <v>71105.919940560809</v>
      </c>
      <c r="AT40" s="1285">
        <f t="shared" ref="AT40:AT48" si="226">+AP40+AR40</f>
        <v>61904</v>
      </c>
      <c r="AU40" s="1283">
        <v>7288.9936227920989</v>
      </c>
      <c r="AV40" s="151">
        <v>3156</v>
      </c>
      <c r="AW40" s="1284">
        <f t="shared" ref="AW40:AW48" si="227">+AS40+AU40</f>
        <v>78394.913563352908</v>
      </c>
      <c r="AX40" s="1285">
        <f t="shared" ref="AX40:AX48" si="228">+AT40+AV40</f>
        <v>65060</v>
      </c>
      <c r="AY40" s="1283">
        <v>8036.8462317635631</v>
      </c>
      <c r="AZ40" s="151">
        <v>12136</v>
      </c>
      <c r="BA40" s="1286">
        <f t="shared" si="207"/>
        <v>23362.686086319227</v>
      </c>
      <c r="BB40" s="1286">
        <f t="shared" si="208"/>
        <v>24856</v>
      </c>
      <c r="BC40" s="1225">
        <f t="shared" si="209"/>
        <v>47261.030353638569</v>
      </c>
      <c r="BD40" s="1225">
        <f t="shared" si="210"/>
        <v>45961</v>
      </c>
      <c r="BE40" s="1284">
        <f t="shared" ref="BE40:BE48" si="229">+AW40+AY40</f>
        <v>86431.759795116464</v>
      </c>
      <c r="BF40" s="1284">
        <f t="shared" ref="BF40:BF48" si="230">+AX40+AZ40</f>
        <v>77196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82" t="s">
        <v>674</v>
      </c>
      <c r="C41" s="64" t="s">
        <v>50</v>
      </c>
      <c r="D41" s="1204">
        <v>21783.301296030866</v>
      </c>
      <c r="E41" s="1283">
        <v>1858.3059217743978</v>
      </c>
      <c r="F41" s="151">
        <v>599</v>
      </c>
      <c r="G41" s="1283">
        <v>1914.1296801810902</v>
      </c>
      <c r="H41" s="151">
        <v>1342</v>
      </c>
      <c r="I41" s="1284">
        <f t="shared" si="211"/>
        <v>3772.435601955488</v>
      </c>
      <c r="J41" s="1284">
        <f t="shared" si="212"/>
        <v>1941</v>
      </c>
      <c r="K41" s="1283">
        <v>0</v>
      </c>
      <c r="L41" s="151">
        <v>3535</v>
      </c>
      <c r="M41" s="1286">
        <f t="shared" si="200"/>
        <v>3772.435601955488</v>
      </c>
      <c r="N41" s="1286">
        <f t="shared" si="201"/>
        <v>5476</v>
      </c>
      <c r="O41" s="1283">
        <v>0</v>
      </c>
      <c r="P41" s="151">
        <v>3602</v>
      </c>
      <c r="Q41" s="1284">
        <f t="shared" si="213"/>
        <v>3772.435601955488</v>
      </c>
      <c r="R41" s="1285">
        <f t="shared" si="214"/>
        <v>9078</v>
      </c>
      <c r="S41" s="1283">
        <v>0</v>
      </c>
      <c r="T41" s="151">
        <v>1929</v>
      </c>
      <c r="U41" s="1284">
        <f t="shared" si="215"/>
        <v>3772.435601955488</v>
      </c>
      <c r="V41" s="1285">
        <f t="shared" si="216"/>
        <v>11007</v>
      </c>
      <c r="W41" s="1283">
        <v>0</v>
      </c>
      <c r="X41" s="151">
        <v>160</v>
      </c>
      <c r="Y41" s="1286">
        <f t="shared" si="202"/>
        <v>0</v>
      </c>
      <c r="Z41" s="1286">
        <f t="shared" si="203"/>
        <v>5691</v>
      </c>
      <c r="AA41" s="1225">
        <f t="shared" si="217"/>
        <v>3772.435601955488</v>
      </c>
      <c r="AB41" s="1225">
        <f t="shared" si="218"/>
        <v>11167</v>
      </c>
      <c r="AC41" s="1283">
        <v>0</v>
      </c>
      <c r="AD41" s="151">
        <v>821</v>
      </c>
      <c r="AE41" s="1284">
        <f t="shared" si="219"/>
        <v>3772.435601955488</v>
      </c>
      <c r="AF41" s="1285">
        <f t="shared" si="220"/>
        <v>11988</v>
      </c>
      <c r="AG41" s="1283">
        <v>0</v>
      </c>
      <c r="AH41" s="151">
        <v>586</v>
      </c>
      <c r="AI41" s="1284">
        <f t="shared" si="221"/>
        <v>3772.435601955488</v>
      </c>
      <c r="AJ41" s="1285">
        <f t="shared" si="222"/>
        <v>12574</v>
      </c>
      <c r="AK41" s="1283">
        <v>0</v>
      </c>
      <c r="AL41" s="151">
        <v>2031</v>
      </c>
      <c r="AM41" s="1286">
        <f t="shared" si="204"/>
        <v>0</v>
      </c>
      <c r="AN41" s="1286">
        <f t="shared" si="205"/>
        <v>3438</v>
      </c>
      <c r="AO41" s="1284">
        <f t="shared" si="223"/>
        <v>3772.435601955488</v>
      </c>
      <c r="AP41" s="1284">
        <f t="shared" si="224"/>
        <v>14605</v>
      </c>
      <c r="AQ41" s="1283">
        <v>0</v>
      </c>
      <c r="AR41" s="151">
        <v>1653</v>
      </c>
      <c r="AS41" s="1284">
        <f t="shared" si="225"/>
        <v>3772.435601955488</v>
      </c>
      <c r="AT41" s="1285">
        <f t="shared" si="226"/>
        <v>16258</v>
      </c>
      <c r="AU41" s="1283">
        <v>0</v>
      </c>
      <c r="AV41" s="151">
        <v>1007</v>
      </c>
      <c r="AW41" s="1284">
        <f t="shared" si="227"/>
        <v>3772.435601955488</v>
      </c>
      <c r="AX41" s="1285">
        <f t="shared" si="228"/>
        <v>17265</v>
      </c>
      <c r="AY41" s="1283">
        <v>0</v>
      </c>
      <c r="AZ41" s="151">
        <v>96</v>
      </c>
      <c r="BA41" s="1286">
        <f t="shared" si="207"/>
        <v>0</v>
      </c>
      <c r="BB41" s="1286">
        <f t="shared" si="208"/>
        <v>2756</v>
      </c>
      <c r="BC41" s="1225">
        <f t="shared" si="209"/>
        <v>0</v>
      </c>
      <c r="BD41" s="1225">
        <f t="shared" si="210"/>
        <v>6194</v>
      </c>
      <c r="BE41" s="1284">
        <f t="shared" si="229"/>
        <v>3772.435601955488</v>
      </c>
      <c r="BF41" s="1284">
        <f t="shared" si="230"/>
        <v>17361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82" t="s">
        <v>44</v>
      </c>
      <c r="C42" s="64" t="s">
        <v>50</v>
      </c>
      <c r="D42" s="1204">
        <v>97984.437251772499</v>
      </c>
      <c r="E42" s="1283">
        <v>8358.9285899414353</v>
      </c>
      <c r="F42" s="151">
        <v>6869</v>
      </c>
      <c r="G42" s="1283">
        <v>8610.0319226468109</v>
      </c>
      <c r="H42" s="151">
        <v>7400</v>
      </c>
      <c r="I42" s="1284">
        <f t="shared" si="211"/>
        <v>16968.960512588244</v>
      </c>
      <c r="J42" s="1284">
        <f t="shared" si="212"/>
        <v>14269</v>
      </c>
      <c r="K42" s="1283">
        <v>6308.5541048604609</v>
      </c>
      <c r="L42" s="151">
        <v>5311</v>
      </c>
      <c r="M42" s="1286">
        <f t="shared" si="200"/>
        <v>23277.514617448709</v>
      </c>
      <c r="N42" s="1286">
        <f t="shared" si="201"/>
        <v>19580</v>
      </c>
      <c r="O42" s="1283">
        <v>3795.3340175596254</v>
      </c>
      <c r="P42" s="151">
        <v>8814</v>
      </c>
      <c r="Q42" s="1284">
        <f t="shared" si="213"/>
        <v>27072.848635008333</v>
      </c>
      <c r="R42" s="1285">
        <f t="shared" si="214"/>
        <v>28394</v>
      </c>
      <c r="S42" s="1283">
        <v>8586.57913889257</v>
      </c>
      <c r="T42" s="151">
        <v>7720</v>
      </c>
      <c r="U42" s="1284">
        <f t="shared" si="215"/>
        <v>35659.427773900905</v>
      </c>
      <c r="V42" s="1285">
        <f t="shared" si="216"/>
        <v>36114</v>
      </c>
      <c r="W42" s="1283">
        <v>8221.3521933633147</v>
      </c>
      <c r="X42" s="151">
        <v>7594</v>
      </c>
      <c r="Y42" s="1286">
        <f t="shared" si="202"/>
        <v>20603.265349815512</v>
      </c>
      <c r="Z42" s="1286">
        <f t="shared" si="203"/>
        <v>24128</v>
      </c>
      <c r="AA42" s="1225">
        <f t="shared" si="217"/>
        <v>43880.779967264221</v>
      </c>
      <c r="AB42" s="1225">
        <f t="shared" si="218"/>
        <v>43708</v>
      </c>
      <c r="AC42" s="1283">
        <v>8845.593718555383</v>
      </c>
      <c r="AD42" s="151">
        <v>6933</v>
      </c>
      <c r="AE42" s="1284">
        <f t="shared" si="219"/>
        <v>52726.373685819606</v>
      </c>
      <c r="AF42" s="1285">
        <f t="shared" si="220"/>
        <v>50641</v>
      </c>
      <c r="AG42" s="1283">
        <v>8612.0461745252978</v>
      </c>
      <c r="AH42" s="151">
        <v>294</v>
      </c>
      <c r="AI42" s="1284">
        <f t="shared" si="221"/>
        <v>61338.419860344904</v>
      </c>
      <c r="AJ42" s="1285">
        <f t="shared" si="222"/>
        <v>50935</v>
      </c>
      <c r="AK42" s="1283">
        <v>8845.593718555383</v>
      </c>
      <c r="AL42" s="151">
        <v>4947</v>
      </c>
      <c r="AM42" s="1286">
        <f t="shared" si="204"/>
        <v>26303.233611636068</v>
      </c>
      <c r="AN42" s="1286">
        <f t="shared" si="205"/>
        <v>12174</v>
      </c>
      <c r="AO42" s="1284">
        <f t="shared" si="223"/>
        <v>70184.013578900282</v>
      </c>
      <c r="AP42" s="1284">
        <f t="shared" si="224"/>
        <v>55882</v>
      </c>
      <c r="AQ42" s="1283">
        <v>8845.593718555383</v>
      </c>
      <c r="AR42" s="151">
        <v>6931</v>
      </c>
      <c r="AS42" s="1284">
        <f t="shared" si="225"/>
        <v>79029.607297455659</v>
      </c>
      <c r="AT42" s="1285">
        <f t="shared" si="226"/>
        <v>62813</v>
      </c>
      <c r="AU42" s="1283">
        <v>8022.4847340661236</v>
      </c>
      <c r="AV42" s="151">
        <v>6379</v>
      </c>
      <c r="AW42" s="1284">
        <f t="shared" si="227"/>
        <v>87052.092031521781</v>
      </c>
      <c r="AX42" s="1285">
        <f t="shared" si="228"/>
        <v>69192</v>
      </c>
      <c r="AY42" s="1283">
        <v>8845.593718555383</v>
      </c>
      <c r="AZ42" s="151">
        <v>7458</v>
      </c>
      <c r="BA42" s="1286">
        <f t="shared" si="207"/>
        <v>25713.672171176891</v>
      </c>
      <c r="BB42" s="1286">
        <f t="shared" si="208"/>
        <v>20768</v>
      </c>
      <c r="BC42" s="1225">
        <f t="shared" si="209"/>
        <v>52016.905782812959</v>
      </c>
      <c r="BD42" s="1225">
        <f t="shared" si="210"/>
        <v>32942</v>
      </c>
      <c r="BE42" s="1284">
        <f t="shared" si="229"/>
        <v>95897.685750077158</v>
      </c>
      <c r="BF42" s="1284">
        <f t="shared" si="230"/>
        <v>76650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82" t="s">
        <v>71</v>
      </c>
      <c r="C43" s="64" t="s">
        <v>50</v>
      </c>
      <c r="D43" s="1204">
        <v>83112.787093662555</v>
      </c>
      <c r="E43" s="1283">
        <v>7090.2468974925305</v>
      </c>
      <c r="F43" s="151">
        <v>4503</v>
      </c>
      <c r="G43" s="1283">
        <v>7303.2388624922933</v>
      </c>
      <c r="H43" s="151">
        <v>7648</v>
      </c>
      <c r="I43" s="1284">
        <f t="shared" si="211"/>
        <v>14393.485759984824</v>
      </c>
      <c r="J43" s="1284">
        <f t="shared" si="212"/>
        <v>12151</v>
      </c>
      <c r="K43" s="1283">
        <v>5121.3268492599018</v>
      </c>
      <c r="L43" s="151">
        <f>4870+267</f>
        <v>5137</v>
      </c>
      <c r="M43" s="1286">
        <f t="shared" si="200"/>
        <v>19514.812609244727</v>
      </c>
      <c r="N43" s="1286">
        <f t="shared" si="201"/>
        <v>17288</v>
      </c>
      <c r="O43" s="1283">
        <v>3081.0778005473712</v>
      </c>
      <c r="P43" s="151">
        <f>9436+267</f>
        <v>9703</v>
      </c>
      <c r="Q43" s="1284">
        <f t="shared" si="213"/>
        <v>22595.890409792097</v>
      </c>
      <c r="R43" s="1285">
        <f t="shared" si="214"/>
        <v>26991</v>
      </c>
      <c r="S43" s="1283">
        <v>6970.6429645146336</v>
      </c>
      <c r="T43" s="151">
        <f>7991+267</f>
        <v>8258</v>
      </c>
      <c r="U43" s="1284">
        <f t="shared" si="215"/>
        <v>29566.533374306731</v>
      </c>
      <c r="V43" s="1285">
        <f t="shared" si="216"/>
        <v>35249</v>
      </c>
      <c r="W43" s="1283">
        <v>6674.1492622935402</v>
      </c>
      <c r="X43" s="151">
        <f>6458+267</f>
        <v>6725</v>
      </c>
      <c r="Y43" s="1286">
        <f t="shared" si="202"/>
        <v>16725.870027355544</v>
      </c>
      <c r="Z43" s="1286">
        <f t="shared" si="203"/>
        <v>24686</v>
      </c>
      <c r="AA43" s="1225">
        <f t="shared" si="217"/>
        <v>36240.682636600272</v>
      </c>
      <c r="AB43" s="1225">
        <f t="shared" si="218"/>
        <v>41974</v>
      </c>
      <c r="AC43" s="1283">
        <v>7180.9127504478201</v>
      </c>
      <c r="AD43" s="151">
        <f>7477+267</f>
        <v>7744</v>
      </c>
      <c r="AE43" s="1284">
        <f t="shared" si="219"/>
        <v>43421.595387048088</v>
      </c>
      <c r="AF43" s="1285">
        <f t="shared" si="220"/>
        <v>49718</v>
      </c>
      <c r="AG43" s="1283">
        <v>6991.3172761221795</v>
      </c>
      <c r="AH43" s="151">
        <f>429+267</f>
        <v>696</v>
      </c>
      <c r="AI43" s="1284">
        <f t="shared" si="221"/>
        <v>50412.912663170267</v>
      </c>
      <c r="AJ43" s="1285">
        <f t="shared" si="222"/>
        <v>50414</v>
      </c>
      <c r="AK43" s="1283">
        <v>7180.9127504478201</v>
      </c>
      <c r="AL43" s="151">
        <f>5553+267</f>
        <v>5820</v>
      </c>
      <c r="AM43" s="1286">
        <f t="shared" si="204"/>
        <v>21353.14277701782</v>
      </c>
      <c r="AN43" s="1286">
        <f t="shared" si="205"/>
        <v>14260</v>
      </c>
      <c r="AO43" s="1284">
        <f t="shared" si="223"/>
        <v>57593.825413618091</v>
      </c>
      <c r="AP43" s="1284">
        <f t="shared" si="224"/>
        <v>56234</v>
      </c>
      <c r="AQ43" s="1283">
        <v>7180.9127504478201</v>
      </c>
      <c r="AR43" s="151">
        <f>7597+267</f>
        <v>7864</v>
      </c>
      <c r="AS43" s="1284">
        <f t="shared" si="225"/>
        <v>64774.738164065915</v>
      </c>
      <c r="AT43" s="1285">
        <f t="shared" si="226"/>
        <v>64098</v>
      </c>
      <c r="AU43" s="1283">
        <v>6512.7073150875822</v>
      </c>
      <c r="AV43" s="151">
        <f>9051+267</f>
        <v>9318</v>
      </c>
      <c r="AW43" s="1284">
        <f t="shared" si="227"/>
        <v>71287.445479153495</v>
      </c>
      <c r="AX43" s="1285">
        <f t="shared" si="228"/>
        <v>73416</v>
      </c>
      <c r="AY43" s="1283">
        <v>7180.9127504478201</v>
      </c>
      <c r="AZ43" s="151">
        <f>6872+267</f>
        <v>7139</v>
      </c>
      <c r="BA43" s="1286">
        <f t="shared" si="207"/>
        <v>20874.532815983221</v>
      </c>
      <c r="BB43" s="1286">
        <f t="shared" si="208"/>
        <v>24321</v>
      </c>
      <c r="BC43" s="1225">
        <f t="shared" si="209"/>
        <v>42227.67559300104</v>
      </c>
      <c r="BD43" s="1225">
        <f t="shared" si="210"/>
        <v>38581</v>
      </c>
      <c r="BE43" s="1284">
        <f t="shared" si="229"/>
        <v>78468.358229601319</v>
      </c>
      <c r="BF43" s="1284">
        <f t="shared" si="230"/>
        <v>80555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82" t="s">
        <v>67</v>
      </c>
      <c r="C44" s="64" t="s">
        <v>50</v>
      </c>
      <c r="D44" s="1204">
        <v>392658.83666297258</v>
      </c>
      <c r="E44" s="1283">
        <v>33497.229436972579</v>
      </c>
      <c r="F44" s="151">
        <v>25746.400000000001</v>
      </c>
      <c r="G44" s="1283">
        <v>34503.490688939957</v>
      </c>
      <c r="H44" s="151">
        <v>28424.48</v>
      </c>
      <c r="I44" s="1284">
        <f t="shared" si="211"/>
        <v>68000.720125912543</v>
      </c>
      <c r="J44" s="1284">
        <f t="shared" si="212"/>
        <v>54170.880000000005</v>
      </c>
      <c r="K44" s="1283">
        <v>24433.302071920163</v>
      </c>
      <c r="L44" s="151">
        <v>20858.96</v>
      </c>
      <c r="M44" s="1286">
        <f t="shared" si="200"/>
        <v>92434.022197832703</v>
      </c>
      <c r="N44" s="1286">
        <f t="shared" si="201"/>
        <v>75029.84</v>
      </c>
      <c r="O44" s="1283">
        <v>14699.492304175114</v>
      </c>
      <c r="P44" s="151">
        <v>31442.639999999999</v>
      </c>
      <c r="Q44" s="1284">
        <f t="shared" si="213"/>
        <v>107133.51450200782</v>
      </c>
      <c r="R44" s="1284">
        <f t="shared" si="214"/>
        <v>106472.48</v>
      </c>
      <c r="S44" s="1283">
        <v>33256.191256784157</v>
      </c>
      <c r="T44" s="151">
        <v>29431.279999999999</v>
      </c>
      <c r="U44" s="1284">
        <f t="shared" si="215"/>
        <v>140389.70575879197</v>
      </c>
      <c r="V44" s="1284">
        <f t="shared" si="216"/>
        <v>135903.76</v>
      </c>
      <c r="W44" s="1283">
        <v>31841.651548224683</v>
      </c>
      <c r="X44" s="151">
        <v>29634.16</v>
      </c>
      <c r="Y44" s="1286">
        <f t="shared" si="202"/>
        <v>79797.335109183943</v>
      </c>
      <c r="Z44" s="1286">
        <f t="shared" si="203"/>
        <v>90508.08</v>
      </c>
      <c r="AA44" s="1225">
        <f t="shared" si="217"/>
        <v>172231.35730701665</v>
      </c>
      <c r="AB44" s="1225">
        <f t="shared" si="218"/>
        <v>165537.91999999998</v>
      </c>
      <c r="AC44" s="1283">
        <v>34259.365892483496</v>
      </c>
      <c r="AD44" s="151">
        <v>29828.560000000001</v>
      </c>
      <c r="AE44" s="1284">
        <f t="shared" si="219"/>
        <v>206490.72319950015</v>
      </c>
      <c r="AF44" s="1284">
        <f t="shared" si="220"/>
        <v>195366.47999999998</v>
      </c>
      <c r="AG44" s="1283">
        <v>33354.826183924029</v>
      </c>
      <c r="AH44" s="151">
        <v>1952.56</v>
      </c>
      <c r="AI44" s="1284">
        <f t="shared" si="221"/>
        <v>239845.54938342416</v>
      </c>
      <c r="AJ44" s="1284">
        <f t="shared" si="222"/>
        <v>197319.03999999998</v>
      </c>
      <c r="AK44" s="1283">
        <v>34259.365892483496</v>
      </c>
      <c r="AL44" s="151">
        <v>28928.32</v>
      </c>
      <c r="AM44" s="1286">
        <f t="shared" si="204"/>
        <v>101873.55796889102</v>
      </c>
      <c r="AN44" s="1286">
        <f t="shared" si="205"/>
        <v>60709.440000000002</v>
      </c>
      <c r="AO44" s="1284">
        <f t="shared" si="223"/>
        <v>274104.91527590767</v>
      </c>
      <c r="AP44" s="1284">
        <f t="shared" si="224"/>
        <v>226247.36</v>
      </c>
      <c r="AQ44" s="1283">
        <v>34259.365892483496</v>
      </c>
      <c r="AR44" s="151">
        <v>29540</v>
      </c>
      <c r="AS44" s="1284">
        <f t="shared" si="225"/>
        <v>308364.28116839117</v>
      </c>
      <c r="AT44" s="1284">
        <f t="shared" si="226"/>
        <v>255787.36</v>
      </c>
      <c r="AU44" s="1283">
        <v>31071.429303235145</v>
      </c>
      <c r="AV44" s="151">
        <v>27399.920000000002</v>
      </c>
      <c r="AW44" s="1284">
        <f t="shared" si="227"/>
        <v>339435.71047162631</v>
      </c>
      <c r="AX44" s="1284">
        <f t="shared" si="228"/>
        <v>283187.27999999997</v>
      </c>
      <c r="AY44" s="1283">
        <v>34259.365892483496</v>
      </c>
      <c r="AZ44" s="151">
        <v>32801.599999999999</v>
      </c>
      <c r="BA44" s="1286">
        <f t="shared" si="207"/>
        <v>99590.161088202149</v>
      </c>
      <c r="BB44" s="1286">
        <f t="shared" si="208"/>
        <v>89741.51999999999</v>
      </c>
      <c r="BC44" s="1225">
        <f t="shared" si="209"/>
        <v>201463.71905709317</v>
      </c>
      <c r="BD44" s="1225">
        <f t="shared" si="210"/>
        <v>150450.96</v>
      </c>
      <c r="BE44" s="1284">
        <f t="shared" si="229"/>
        <v>373695.07636410982</v>
      </c>
      <c r="BF44" s="1284">
        <f t="shared" si="230"/>
        <v>315988.87999999995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25">
      <c r="B45" s="1282" t="s">
        <v>97</v>
      </c>
      <c r="C45" s="64" t="s">
        <v>50</v>
      </c>
      <c r="D45" s="1204">
        <v>654431.39443828771</v>
      </c>
      <c r="E45" s="1283">
        <v>55828.715728287636</v>
      </c>
      <c r="F45" s="1283">
        <v>52915</v>
      </c>
      <c r="G45" s="1283">
        <v>57505.817814899936</v>
      </c>
      <c r="H45" s="1283">
        <v>60214</v>
      </c>
      <c r="I45" s="1284">
        <f t="shared" si="211"/>
        <v>113334.53354318757</v>
      </c>
      <c r="J45" s="1284">
        <f t="shared" si="212"/>
        <v>113129</v>
      </c>
      <c r="K45" s="1283">
        <v>43117.591891623815</v>
      </c>
      <c r="L45" s="1283">
        <v>54896</v>
      </c>
      <c r="M45" s="1286">
        <f t="shared" si="200"/>
        <v>156452.1254348114</v>
      </c>
      <c r="N45" s="1286">
        <f t="shared" si="201"/>
        <v>168025</v>
      </c>
      <c r="O45" s="1283">
        <v>25940.280536779614</v>
      </c>
      <c r="P45" s="1283">
        <v>75909</v>
      </c>
      <c r="Q45" s="1284">
        <f t="shared" si="213"/>
        <v>182392.40597159101</v>
      </c>
      <c r="R45" s="1284">
        <f t="shared" si="214"/>
        <v>243934</v>
      </c>
      <c r="S45" s="1283">
        <v>58687.396335501457</v>
      </c>
      <c r="T45" s="1283">
        <v>62654</v>
      </c>
      <c r="U45" s="1284">
        <f t="shared" si="215"/>
        <v>241079.80230709247</v>
      </c>
      <c r="V45" s="1284">
        <f t="shared" si="216"/>
        <v>306588</v>
      </c>
      <c r="W45" s="1283">
        <v>56191.149790984739</v>
      </c>
      <c r="X45" s="1283">
        <v>72417</v>
      </c>
      <c r="Y45" s="1286">
        <f t="shared" si="202"/>
        <v>140818.82666326582</v>
      </c>
      <c r="Z45" s="1286">
        <f t="shared" si="203"/>
        <v>210980</v>
      </c>
      <c r="AA45" s="1225">
        <f t="shared" si="217"/>
        <v>297270.95209807722</v>
      </c>
      <c r="AB45" s="1225">
        <f t="shared" si="218"/>
        <v>379005</v>
      </c>
      <c r="AC45" s="1283">
        <v>60457.704516147343</v>
      </c>
      <c r="AD45" s="1283">
        <v>71577</v>
      </c>
      <c r="AE45" s="1284">
        <f t="shared" si="219"/>
        <v>357728.65661422454</v>
      </c>
      <c r="AF45" s="1285">
        <f t="shared" si="220"/>
        <v>450582</v>
      </c>
      <c r="AG45" s="1283">
        <v>58861.457971630633</v>
      </c>
      <c r="AH45" s="1283">
        <v>996</v>
      </c>
      <c r="AI45" s="1284">
        <f t="shared" si="221"/>
        <v>416590.11458585516</v>
      </c>
      <c r="AJ45" s="1285">
        <f t="shared" si="222"/>
        <v>451578</v>
      </c>
      <c r="AK45" s="1283">
        <v>60457.704516147343</v>
      </c>
      <c r="AL45" s="1283">
        <v>45277</v>
      </c>
      <c r="AM45" s="1286">
        <f t="shared" si="204"/>
        <v>179776.86700392532</v>
      </c>
      <c r="AN45" s="1286">
        <f t="shared" si="205"/>
        <v>117850</v>
      </c>
      <c r="AO45" s="1284">
        <f t="shared" si="223"/>
        <v>477047.81910200248</v>
      </c>
      <c r="AP45" s="1284">
        <f t="shared" si="224"/>
        <v>496855</v>
      </c>
      <c r="AQ45" s="1283">
        <v>60457.704516147343</v>
      </c>
      <c r="AR45" s="1283">
        <v>65466</v>
      </c>
      <c r="AS45" s="1284">
        <f t="shared" si="225"/>
        <v>537505.5236181498</v>
      </c>
      <c r="AT45" s="1285">
        <f t="shared" si="226"/>
        <v>562321</v>
      </c>
      <c r="AU45" s="1283">
        <v>54831.934064532608</v>
      </c>
      <c r="AV45" s="1283">
        <v>59354</v>
      </c>
      <c r="AW45" s="1284">
        <f t="shared" si="227"/>
        <v>592337.45768268243</v>
      </c>
      <c r="AX45" s="1285">
        <f t="shared" si="228"/>
        <v>621675</v>
      </c>
      <c r="AY45" s="1283">
        <v>60457.704516147343</v>
      </c>
      <c r="AZ45" s="1283">
        <v>67738</v>
      </c>
      <c r="BA45" s="1286">
        <f t="shared" si="207"/>
        <v>175747.3430968273</v>
      </c>
      <c r="BB45" s="1286">
        <f t="shared" si="208"/>
        <v>192558</v>
      </c>
      <c r="BC45" s="1225">
        <f t="shared" si="209"/>
        <v>355524.21010075265</v>
      </c>
      <c r="BD45" s="1225">
        <f t="shared" si="210"/>
        <v>310408</v>
      </c>
      <c r="BE45" s="1284">
        <f t="shared" si="229"/>
        <v>652795.16219882981</v>
      </c>
      <c r="BF45" s="1284">
        <f t="shared" si="230"/>
        <v>689413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82" t="s">
        <v>689</v>
      </c>
      <c r="C46" s="64" t="s">
        <v>50</v>
      </c>
      <c r="D46" s="1204">
        <v>30540.131740453427</v>
      </c>
      <c r="E46" s="1283">
        <v>2605.3400673200899</v>
      </c>
      <c r="F46" s="1283">
        <v>800</v>
      </c>
      <c r="G46" s="1283">
        <v>2683.6048313619967</v>
      </c>
      <c r="H46" s="1283">
        <v>1000</v>
      </c>
      <c r="I46" s="1284">
        <f t="shared" si="211"/>
        <v>5288.9448986820862</v>
      </c>
      <c r="J46" s="1284">
        <f t="shared" si="212"/>
        <v>1800</v>
      </c>
      <c r="K46" s="1283">
        <v>2299.6049008866034</v>
      </c>
      <c r="L46" s="1283">
        <v>0</v>
      </c>
      <c r="M46" s="1286">
        <f t="shared" si="200"/>
        <v>7588.549799568691</v>
      </c>
      <c r="N46" s="1286">
        <f t="shared" si="201"/>
        <v>1800</v>
      </c>
      <c r="O46" s="1283">
        <v>1383.481628628246</v>
      </c>
      <c r="P46" s="1283">
        <v>2100</v>
      </c>
      <c r="Q46" s="1284">
        <f t="shared" si="213"/>
        <v>8972.0314281969368</v>
      </c>
      <c r="R46" s="1284">
        <f t="shared" si="214"/>
        <v>3900</v>
      </c>
      <c r="S46" s="1283">
        <v>3129.9944712267443</v>
      </c>
      <c r="T46" s="1283">
        <v>0</v>
      </c>
      <c r="U46" s="1284">
        <f t="shared" si="215"/>
        <v>12102.025899423681</v>
      </c>
      <c r="V46" s="1284">
        <f t="shared" si="216"/>
        <v>3900</v>
      </c>
      <c r="W46" s="1283">
        <v>2996.8613221858527</v>
      </c>
      <c r="X46" s="1283">
        <v>3000</v>
      </c>
      <c r="Y46" s="1286">
        <f t="shared" si="202"/>
        <v>7510.3374220408423</v>
      </c>
      <c r="Z46" s="1286">
        <f t="shared" si="203"/>
        <v>5100</v>
      </c>
      <c r="AA46" s="1225">
        <f t="shared" si="217"/>
        <v>15098.887221609533</v>
      </c>
      <c r="AB46" s="1225">
        <f t="shared" si="218"/>
        <v>6900</v>
      </c>
      <c r="AC46" s="1283">
        <v>3224.4109075278584</v>
      </c>
      <c r="AD46" s="1283">
        <v>3000</v>
      </c>
      <c r="AE46" s="1284">
        <f t="shared" si="219"/>
        <v>18323.298129137391</v>
      </c>
      <c r="AF46" s="1285">
        <f t="shared" si="220"/>
        <v>9900</v>
      </c>
      <c r="AG46" s="1283">
        <v>3139.2777584869673</v>
      </c>
      <c r="AH46" s="1283">
        <v>1000</v>
      </c>
      <c r="AI46" s="1284">
        <f t="shared" si="221"/>
        <v>21462.575887624356</v>
      </c>
      <c r="AJ46" s="1285">
        <f t="shared" si="222"/>
        <v>10900</v>
      </c>
      <c r="AK46" s="1283">
        <v>3224.4109075278584</v>
      </c>
      <c r="AL46" s="1283">
        <v>2000</v>
      </c>
      <c r="AM46" s="1286">
        <f t="shared" si="204"/>
        <v>9588.0995735426841</v>
      </c>
      <c r="AN46" s="1286">
        <f t="shared" si="205"/>
        <v>6000</v>
      </c>
      <c r="AO46" s="1284">
        <f t="shared" si="223"/>
        <v>24686.986795152214</v>
      </c>
      <c r="AP46" s="1284">
        <f t="shared" si="224"/>
        <v>12900</v>
      </c>
      <c r="AQ46" s="1283">
        <v>3224.4109075278584</v>
      </c>
      <c r="AR46" s="1283">
        <v>1800</v>
      </c>
      <c r="AS46" s="1284">
        <f t="shared" si="225"/>
        <v>27911.397702680071</v>
      </c>
      <c r="AT46" s="1285">
        <f t="shared" si="226"/>
        <v>14700</v>
      </c>
      <c r="AU46" s="1283">
        <v>2924.3698167750722</v>
      </c>
      <c r="AV46" s="1283">
        <v>2100</v>
      </c>
      <c r="AW46" s="1284">
        <f t="shared" si="227"/>
        <v>30835.767519455145</v>
      </c>
      <c r="AX46" s="1285">
        <f t="shared" si="228"/>
        <v>16800</v>
      </c>
      <c r="AY46" s="1283">
        <v>3224.4109075278584</v>
      </c>
      <c r="AZ46" s="1283">
        <v>1500</v>
      </c>
      <c r="BA46" s="1286">
        <f t="shared" si="207"/>
        <v>9373.1916318307885</v>
      </c>
      <c r="BB46" s="1286">
        <f t="shared" si="208"/>
        <v>5400</v>
      </c>
      <c r="BC46" s="1225">
        <f t="shared" si="209"/>
        <v>18961.291205373473</v>
      </c>
      <c r="BD46" s="1225">
        <f t="shared" si="210"/>
        <v>11400</v>
      </c>
      <c r="BE46" s="1284">
        <f t="shared" si="229"/>
        <v>34060.178426983002</v>
      </c>
      <c r="BF46" s="1284">
        <f t="shared" si="230"/>
        <v>18300</v>
      </c>
      <c r="BG46" s="26"/>
      <c r="BH46" s="26"/>
      <c r="BI46" s="26"/>
      <c r="BJ46" s="26"/>
      <c r="BK46" s="26"/>
      <c r="BL46" s="26"/>
      <c r="BM46" s="26"/>
      <c r="BN46" s="26"/>
    </row>
    <row r="47" spans="2:66" s="4712" customFormat="1" x14ac:dyDescent="0.25">
      <c r="B47" s="3261" t="s">
        <v>1965</v>
      </c>
      <c r="C47" s="3844" t="s">
        <v>50</v>
      </c>
      <c r="D47" s="4979">
        <v>26177.255777531504</v>
      </c>
      <c r="E47" s="3262">
        <v>2233.1486291315055</v>
      </c>
      <c r="F47" s="3262">
        <v>540.59</v>
      </c>
      <c r="G47" s="3262">
        <v>2300.2327125959973</v>
      </c>
      <c r="H47" s="3262">
        <v>696</v>
      </c>
      <c r="I47" s="1284">
        <f t="shared" ref="I47" si="231">+E47+G47</f>
        <v>4533.3813417275032</v>
      </c>
      <c r="J47" s="1284">
        <f t="shared" ref="J47" si="232">+F47+H47</f>
        <v>1236.5900000000001</v>
      </c>
      <c r="K47" s="3262"/>
      <c r="L47" s="3262"/>
      <c r="M47" s="1286">
        <f t="shared" ref="M47" si="233">+K47+G47+E47</f>
        <v>4533.3813417275032</v>
      </c>
      <c r="N47" s="1286">
        <f t="shared" ref="N47" si="234">+L47+H47+F47</f>
        <v>1236.5900000000001</v>
      </c>
      <c r="O47" s="3262"/>
      <c r="P47" s="3262"/>
      <c r="Q47" s="1284">
        <f t="shared" ref="Q47" si="235">+M47+O47</f>
        <v>4533.3813417275032</v>
      </c>
      <c r="R47" s="1284">
        <f t="shared" ref="R47" si="236">+N47+P47</f>
        <v>1236.5900000000001</v>
      </c>
      <c r="S47" s="3262"/>
      <c r="T47" s="3262">
        <v>66</v>
      </c>
      <c r="U47" s="1284">
        <f t="shared" ref="U47" si="237">+Q47+S47</f>
        <v>4533.3813417275032</v>
      </c>
      <c r="V47" s="1284">
        <f t="shared" ref="V47" si="238">+R47+T47</f>
        <v>1302.5900000000001</v>
      </c>
      <c r="W47" s="3262">
        <v>0</v>
      </c>
      <c r="X47" s="3262">
        <v>633</v>
      </c>
      <c r="Y47" s="1286">
        <f t="shared" ref="Y47" si="239">+O47+S47+W47</f>
        <v>0</v>
      </c>
      <c r="Z47" s="1286">
        <f t="shared" ref="Z47" si="240">+P47+T47+X47</f>
        <v>699</v>
      </c>
      <c r="AA47" s="1225">
        <f t="shared" ref="AA47" si="241">M47+Y47</f>
        <v>4533.3813417275032</v>
      </c>
      <c r="AB47" s="1225">
        <f t="shared" ref="AB47" si="242">N47+Z47</f>
        <v>1935.5900000000001</v>
      </c>
      <c r="AC47" s="3262">
        <v>0</v>
      </c>
      <c r="AD47" s="3262">
        <v>458</v>
      </c>
      <c r="AE47" s="1284">
        <f t="shared" ref="AE47:AE48" si="243">+AA47+AC47</f>
        <v>4533.3813417275032</v>
      </c>
      <c r="AF47" s="1285">
        <f t="shared" ref="AF47:AF48" si="244">+AB47+AD47</f>
        <v>2393.59</v>
      </c>
      <c r="AG47" s="3262">
        <v>0</v>
      </c>
      <c r="AH47" s="3262">
        <v>0</v>
      </c>
      <c r="AI47" s="1284">
        <f t="shared" si="221"/>
        <v>4533.3813417275032</v>
      </c>
      <c r="AJ47" s="1285">
        <f t="shared" si="222"/>
        <v>2393.59</v>
      </c>
      <c r="AK47" s="3262">
        <v>0</v>
      </c>
      <c r="AL47" s="3262">
        <v>728</v>
      </c>
      <c r="AM47" s="3264">
        <f t="shared" si="204"/>
        <v>0</v>
      </c>
      <c r="AN47" s="1286">
        <f t="shared" si="205"/>
        <v>1186</v>
      </c>
      <c r="AO47" s="3263">
        <f t="shared" si="223"/>
        <v>4533.3813417275032</v>
      </c>
      <c r="AP47" s="1284">
        <f t="shared" si="224"/>
        <v>3121.59</v>
      </c>
      <c r="AQ47" s="3262">
        <v>0</v>
      </c>
      <c r="AR47" s="3262">
        <v>658.47</v>
      </c>
      <c r="AS47" s="1284">
        <f t="shared" ref="AS47" si="245">+AO47+AQ47</f>
        <v>4533.3813417275032</v>
      </c>
      <c r="AT47" s="1284">
        <f t="shared" ref="AT47" si="246">+AP47+AR47</f>
        <v>3780.0600000000004</v>
      </c>
      <c r="AU47" s="3262">
        <v>0</v>
      </c>
      <c r="AV47" s="3262">
        <v>529.5</v>
      </c>
      <c r="AW47" s="1284">
        <f t="shared" si="227"/>
        <v>4533.3813417275032</v>
      </c>
      <c r="AX47" s="1284">
        <f t="shared" si="228"/>
        <v>4309.5600000000004</v>
      </c>
      <c r="AY47" s="3262">
        <v>0</v>
      </c>
      <c r="AZ47" s="3262">
        <v>253</v>
      </c>
      <c r="BA47" s="1286">
        <f t="shared" ref="BA47" si="247">+AQ47+AU47+AY47</f>
        <v>0</v>
      </c>
      <c r="BB47" s="1286">
        <f t="shared" ref="BB47" si="248">+AR47+AV47+AZ47</f>
        <v>1440.97</v>
      </c>
      <c r="BC47" s="1225">
        <f t="shared" ref="BC47" si="249">AM47+BA47</f>
        <v>0</v>
      </c>
      <c r="BD47" s="1225">
        <f t="shared" ref="BD47" si="250">AN47+BB47</f>
        <v>2626.9700000000003</v>
      </c>
      <c r="BE47" s="1284">
        <f t="shared" ref="BE47" si="251">+AW47+AY47</f>
        <v>4533.3813417275032</v>
      </c>
      <c r="BF47" s="1284">
        <f t="shared" ref="BF47" si="252">+AX47+AZ47</f>
        <v>4562.5600000000004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25">
      <c r="B48" s="1282" t="s">
        <v>68</v>
      </c>
      <c r="C48" s="64" t="s">
        <v>50</v>
      </c>
      <c r="D48" s="1204">
        <v>174515.03851687672</v>
      </c>
      <c r="E48" s="1283">
        <v>14887.65752754337</v>
      </c>
      <c r="F48" s="1283">
        <v>12873.2</v>
      </c>
      <c r="G48" s="1283">
        <v>15334.884750639983</v>
      </c>
      <c r="H48" s="1283">
        <v>14212.24</v>
      </c>
      <c r="I48" s="1284">
        <f t="shared" si="211"/>
        <v>30222.542278183355</v>
      </c>
      <c r="J48" s="1284">
        <f t="shared" si="212"/>
        <v>27085.440000000002</v>
      </c>
      <c r="K48" s="1283">
        <v>12935.277567487145</v>
      </c>
      <c r="L48" s="1283">
        <v>10429.48</v>
      </c>
      <c r="M48" s="1286">
        <f t="shared" si="200"/>
        <v>43157.819845670499</v>
      </c>
      <c r="N48" s="1286">
        <f t="shared" si="201"/>
        <v>37514.92</v>
      </c>
      <c r="O48" s="1283">
        <v>7782.0841610338839</v>
      </c>
      <c r="P48" s="1283">
        <v>15721.32</v>
      </c>
      <c r="Q48" s="1284">
        <f t="shared" si="213"/>
        <v>50939.904006704382</v>
      </c>
      <c r="R48" s="1284">
        <f t="shared" si="214"/>
        <v>53236.24</v>
      </c>
      <c r="S48" s="1283">
        <v>17606.218900650438</v>
      </c>
      <c r="T48" s="1283">
        <v>14715.64</v>
      </c>
      <c r="U48" s="1284">
        <f t="shared" si="215"/>
        <v>68546.122907354817</v>
      </c>
      <c r="V48" s="1284">
        <f t="shared" si="216"/>
        <v>67951.88</v>
      </c>
      <c r="W48" s="1283">
        <v>16857.344937295424</v>
      </c>
      <c r="X48" s="1283">
        <v>14817.08</v>
      </c>
      <c r="Y48" s="1286">
        <f t="shared" si="202"/>
        <v>42245.647998979744</v>
      </c>
      <c r="Z48" s="1286">
        <f t="shared" si="203"/>
        <v>45254.04</v>
      </c>
      <c r="AA48" s="1225">
        <f t="shared" si="217"/>
        <v>85403.467844650237</v>
      </c>
      <c r="AB48" s="1225">
        <f t="shared" si="218"/>
        <v>82768.959999999992</v>
      </c>
      <c r="AC48" s="1283">
        <v>18137.311354844205</v>
      </c>
      <c r="AD48" s="1283">
        <v>14914.28</v>
      </c>
      <c r="AE48" s="1284">
        <f t="shared" si="243"/>
        <v>103540.77919949444</v>
      </c>
      <c r="AF48" s="1284">
        <f t="shared" si="244"/>
        <v>97683.239999999991</v>
      </c>
      <c r="AG48" s="1283">
        <v>17658.437391489188</v>
      </c>
      <c r="AH48" s="1283">
        <v>976.28</v>
      </c>
      <c r="AI48" s="1284">
        <f t="shared" si="221"/>
        <v>121199.21659098363</v>
      </c>
      <c r="AJ48" s="1284">
        <f t="shared" si="222"/>
        <v>98659.51999999999</v>
      </c>
      <c r="AK48" s="1283">
        <v>18137.311354844205</v>
      </c>
      <c r="AL48" s="1283">
        <v>14464.16</v>
      </c>
      <c r="AM48" s="1286">
        <f t="shared" si="204"/>
        <v>53933.060101177602</v>
      </c>
      <c r="AN48" s="1286">
        <f t="shared" si="205"/>
        <v>30354.720000000001</v>
      </c>
      <c r="AO48" s="1284">
        <f t="shared" si="223"/>
        <v>139336.52794582784</v>
      </c>
      <c r="AP48" s="1284">
        <f t="shared" si="224"/>
        <v>113123.68</v>
      </c>
      <c r="AQ48" s="1283">
        <v>18137.311354844205</v>
      </c>
      <c r="AR48" s="1283">
        <v>14770</v>
      </c>
      <c r="AS48" s="1284">
        <f t="shared" si="225"/>
        <v>157473.83930067206</v>
      </c>
      <c r="AT48" s="1284">
        <f t="shared" si="226"/>
        <v>127893.68</v>
      </c>
      <c r="AU48" s="1283">
        <v>16449.580219359781</v>
      </c>
      <c r="AV48" s="1283">
        <v>13699.960000000001</v>
      </c>
      <c r="AW48" s="1284">
        <f t="shared" si="227"/>
        <v>173923.41952003184</v>
      </c>
      <c r="AX48" s="1284">
        <f t="shared" si="228"/>
        <v>141593.63999999998</v>
      </c>
      <c r="AY48" s="1283">
        <v>18137.311354844205</v>
      </c>
      <c r="AZ48" s="1283">
        <v>16400.8</v>
      </c>
      <c r="BA48" s="1286">
        <f t="shared" si="207"/>
        <v>52724.202929048188</v>
      </c>
      <c r="BB48" s="1286">
        <f t="shared" si="208"/>
        <v>44870.759999999995</v>
      </c>
      <c r="BC48" s="1225">
        <f t="shared" si="209"/>
        <v>106657.26303022579</v>
      </c>
      <c r="BD48" s="1225">
        <f t="shared" si="210"/>
        <v>75225.48</v>
      </c>
      <c r="BE48" s="1284">
        <f t="shared" si="229"/>
        <v>192060.73087487603</v>
      </c>
      <c r="BF48" s="1284">
        <f t="shared" si="230"/>
        <v>157994.43999999997</v>
      </c>
      <c r="BG48" s="26"/>
      <c r="BH48" s="26"/>
      <c r="BI48" s="26"/>
      <c r="BJ48" s="26"/>
      <c r="BK48" s="26"/>
      <c r="BL48" s="26"/>
      <c r="BM48" s="26"/>
      <c r="BN48" s="26"/>
    </row>
    <row r="49" spans="2:66" ht="15.75" x14ac:dyDescent="0.25">
      <c r="B49" s="1288" t="s">
        <v>21</v>
      </c>
      <c r="C49" s="1289" t="s">
        <v>50</v>
      </c>
      <c r="D49" s="200">
        <f t="shared" ref="D49:R49" si="253">SUM(D39:D48)</f>
        <v>6704341.4433046086</v>
      </c>
      <c r="E49" s="1290">
        <f t="shared" si="253"/>
        <v>572024.23854440509</v>
      </c>
      <c r="F49" s="1290">
        <f t="shared" si="253"/>
        <v>502390.19000000006</v>
      </c>
      <c r="G49" s="1290">
        <f t="shared" ref="G49:H49" si="254">SUM(G39:G48)</f>
        <v>589317.88966378476</v>
      </c>
      <c r="H49" s="1290">
        <f t="shared" si="254"/>
        <v>554952.72</v>
      </c>
      <c r="I49" s="1291">
        <f t="shared" si="253"/>
        <v>1161342.12820819</v>
      </c>
      <c r="J49" s="1291">
        <f t="shared" si="253"/>
        <v>1057342.9099999999</v>
      </c>
      <c r="K49" s="1290">
        <f t="shared" ref="K49:L49" si="255">SUM(K39:K48)</f>
        <v>438866.97372096364</v>
      </c>
      <c r="L49" s="1290">
        <f t="shared" si="255"/>
        <v>414313.44</v>
      </c>
      <c r="M49" s="1293">
        <f t="shared" si="253"/>
        <v>1600209.101929154</v>
      </c>
      <c r="N49" s="1293">
        <f t="shared" si="253"/>
        <v>1471656.35</v>
      </c>
      <c r="O49" s="1290">
        <f t="shared" ref="O49:P49" si="256">SUM(O39:O48)</f>
        <v>259828.17059786964</v>
      </c>
      <c r="P49" s="1290">
        <f t="shared" si="256"/>
        <v>621205.96</v>
      </c>
      <c r="Q49" s="1291">
        <f t="shared" si="253"/>
        <v>1860037.2725270235</v>
      </c>
      <c r="R49" s="1291">
        <f t="shared" si="253"/>
        <v>2092862.31</v>
      </c>
      <c r="S49" s="1290">
        <f t="shared" ref="S49:T49" si="257">SUM(S39:S48)</f>
        <v>607334.39815683127</v>
      </c>
      <c r="T49" s="1290">
        <f t="shared" si="257"/>
        <v>568631.92000000004</v>
      </c>
      <c r="U49" s="1291">
        <f t="shared" ref="U49:X49" si="258">SUM(U39:U48)</f>
        <v>2467371.6706838547</v>
      </c>
      <c r="V49" s="1291">
        <f t="shared" si="258"/>
        <v>2661494.2299999995</v>
      </c>
      <c r="W49" s="1290">
        <f t="shared" si="258"/>
        <v>582094.88509784464</v>
      </c>
      <c r="X49" s="1290">
        <f t="shared" si="258"/>
        <v>591083.23999999987</v>
      </c>
      <c r="Y49" s="1293">
        <f t="shared" ref="Y49:AD49" si="259">SUM(Y39:Y48)</f>
        <v>1449257.4538525459</v>
      </c>
      <c r="Z49" s="1293">
        <f t="shared" si="259"/>
        <v>1780921.12</v>
      </c>
      <c r="AA49" s="1294">
        <f t="shared" si="259"/>
        <v>3049466.5557816997</v>
      </c>
      <c r="AB49" s="1294">
        <f t="shared" si="259"/>
        <v>3252577.4699999997</v>
      </c>
      <c r="AC49" s="1290">
        <f t="shared" si="259"/>
        <v>626396.20667950087</v>
      </c>
      <c r="AD49" s="1290">
        <f t="shared" si="259"/>
        <v>592516.84000000008</v>
      </c>
      <c r="AE49" s="1291">
        <f t="shared" ref="AE49:AH49" si="260">SUM(AE39:AE48)</f>
        <v>3675862.7624612004</v>
      </c>
      <c r="AF49" s="1291">
        <f t="shared" si="260"/>
        <v>3845094.3099999996</v>
      </c>
      <c r="AG49" s="1290">
        <f t="shared" si="260"/>
        <v>609481.74882122315</v>
      </c>
      <c r="AH49" s="1290">
        <f t="shared" si="260"/>
        <v>35104.839999999997</v>
      </c>
      <c r="AI49" s="1291">
        <f t="shared" ref="AI49:AL49" si="261">SUM(AI39:AI48)</f>
        <v>4285344.5112824226</v>
      </c>
      <c r="AJ49" s="1291">
        <f t="shared" si="261"/>
        <v>3880199.15</v>
      </c>
      <c r="AK49" s="1290">
        <f t="shared" si="261"/>
        <v>626396.20667950087</v>
      </c>
      <c r="AL49" s="1290">
        <f t="shared" si="261"/>
        <v>546974.62</v>
      </c>
      <c r="AM49" s="1293">
        <f t="shared" ref="AM49:AN49" si="262">SUM(AM39:AM48)</f>
        <v>1862274.1621802249</v>
      </c>
      <c r="AN49" s="1293">
        <f t="shared" si="262"/>
        <v>1174596.3</v>
      </c>
      <c r="AO49" s="1291">
        <f t="shared" ref="AO49:AT49" si="263">SUM(AO39:AO48)</f>
        <v>4911740.7179619242</v>
      </c>
      <c r="AP49" s="1291">
        <f t="shared" si="263"/>
        <v>4427173.7699999996</v>
      </c>
      <c r="AQ49" s="1290">
        <f t="shared" si="263"/>
        <v>626396.20667950087</v>
      </c>
      <c r="AR49" s="1290">
        <f t="shared" si="263"/>
        <v>580159.47</v>
      </c>
      <c r="AS49" s="1291">
        <f t="shared" si="263"/>
        <v>5538136.9246414248</v>
      </c>
      <c r="AT49" s="1291">
        <f t="shared" si="263"/>
        <v>5007333.2399999993</v>
      </c>
      <c r="AU49" s="1290">
        <f t="shared" ref="AU49:AX49" si="264">SUM(AU39:AU48)</f>
        <v>567641.61177188158</v>
      </c>
      <c r="AV49" s="1290">
        <f t="shared" si="264"/>
        <v>541021.37999999989</v>
      </c>
      <c r="AW49" s="1291">
        <f t="shared" si="264"/>
        <v>6105778.5364133064</v>
      </c>
      <c r="AX49" s="1291">
        <f t="shared" si="264"/>
        <v>5548354.6200000001</v>
      </c>
      <c r="AY49" s="1290">
        <f t="shared" ref="AY49:AZ49" si="265">SUM(AY39:AY48)</f>
        <v>626396.20667950087</v>
      </c>
      <c r="AZ49" s="1290">
        <f t="shared" si="265"/>
        <v>649737.4</v>
      </c>
      <c r="BA49" s="1293">
        <f t="shared" ref="BA49:BF49" si="266">SUM(BA39:BA48)</f>
        <v>1820434.0251308829</v>
      </c>
      <c r="BB49" s="1293">
        <f t="shared" si="266"/>
        <v>1770918.25</v>
      </c>
      <c r="BC49" s="1294">
        <f t="shared" si="266"/>
        <v>3682708.1873111078</v>
      </c>
      <c r="BD49" s="1294">
        <f t="shared" si="266"/>
        <v>2945514.5500000003</v>
      </c>
      <c r="BE49" s="1291">
        <f t="shared" si="266"/>
        <v>6732174.743092807</v>
      </c>
      <c r="BF49" s="1291">
        <f t="shared" si="266"/>
        <v>6198092.0200000005</v>
      </c>
      <c r="BG49" s="26"/>
      <c r="BH49" s="26"/>
      <c r="BI49" s="26"/>
      <c r="BJ49" s="26"/>
      <c r="BK49" s="26"/>
      <c r="BL49" s="26"/>
      <c r="BM49" s="26"/>
      <c r="BN49" s="26"/>
    </row>
    <row r="50" spans="2:66" ht="18.75" x14ac:dyDescent="0.25">
      <c r="B50" s="1281" t="s">
        <v>939</v>
      </c>
      <c r="C50" s="1281"/>
      <c r="D50" s="251"/>
      <c r="E50" s="1281"/>
      <c r="F50" s="1281"/>
      <c r="G50" s="1281"/>
      <c r="H50" s="1281"/>
      <c r="I50" s="1281"/>
      <c r="J50" s="1281"/>
      <c r="K50" s="1281"/>
      <c r="L50" s="1281"/>
      <c r="M50" s="1281"/>
      <c r="N50" s="2656"/>
      <c r="O50" s="1281"/>
      <c r="P50" s="1281"/>
      <c r="Q50" s="1281"/>
      <c r="R50" s="1281"/>
      <c r="S50" s="1281"/>
      <c r="T50" s="1281"/>
      <c r="U50" s="1281"/>
      <c r="V50" s="1281"/>
      <c r="W50" s="1281"/>
      <c r="X50" s="1281"/>
      <c r="Y50" s="1281"/>
      <c r="Z50" s="1281"/>
      <c r="AA50" s="1281"/>
      <c r="AB50" s="1281"/>
      <c r="AC50" s="1281"/>
      <c r="AD50" s="1281"/>
      <c r="AE50" s="1281"/>
      <c r="AF50" s="1281"/>
      <c r="AG50" s="1281"/>
      <c r="AH50" s="1281"/>
      <c r="AI50" s="1281"/>
      <c r="AJ50" s="1281"/>
      <c r="AK50" s="1281"/>
      <c r="AL50" s="1281"/>
      <c r="AM50" s="1281"/>
      <c r="AN50" s="1281"/>
      <c r="AO50" s="1281"/>
      <c r="AP50" s="1281"/>
      <c r="AQ50" s="1281"/>
      <c r="AR50" s="1281"/>
      <c r="AS50" s="1281"/>
      <c r="AT50" s="1281"/>
      <c r="AU50" s="1281"/>
      <c r="AV50" s="1281"/>
      <c r="AW50" s="1281"/>
      <c r="AX50" s="1281"/>
      <c r="AY50" s="1281"/>
      <c r="AZ50" s="1281"/>
      <c r="BA50" s="1281"/>
      <c r="BB50" s="1281"/>
      <c r="BC50" s="1281"/>
      <c r="BD50" s="1281"/>
      <c r="BE50" s="1281"/>
      <c r="BF50" s="1281"/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82" t="s">
        <v>43</v>
      </c>
      <c r="C51" s="64" t="s">
        <v>219</v>
      </c>
      <c r="D51" s="1204">
        <f>+D36</f>
        <v>1177.6925320700143</v>
      </c>
      <c r="E51" s="1283">
        <f t="shared" ref="E51:AD51" si="267">+E36</f>
        <v>1177.9256787576485</v>
      </c>
      <c r="F51" s="1283">
        <f t="shared" si="267"/>
        <v>1225.867694124227</v>
      </c>
      <c r="G51" s="1283">
        <f t="shared" ref="G51:H51" si="268">+G36</f>
        <v>1178.212518852893</v>
      </c>
      <c r="H51" s="1283">
        <f t="shared" si="268"/>
        <v>1213.0501595807555</v>
      </c>
      <c r="I51" s="1284">
        <f t="shared" si="267"/>
        <v>1178.071221106864</v>
      </c>
      <c r="J51" s="1284">
        <f t="shared" si="267"/>
        <v>1219.1420925781529</v>
      </c>
      <c r="K51" s="1283">
        <f t="shared" si="267"/>
        <v>1179.0531478881755</v>
      </c>
      <c r="L51" s="1283">
        <f t="shared" si="267"/>
        <v>1193.7546263092695</v>
      </c>
      <c r="M51" s="1286">
        <f t="shared" si="267"/>
        <v>1176.5925320700144</v>
      </c>
      <c r="N51" s="1286">
        <f t="shared" si="267"/>
        <v>1210.2502151144133</v>
      </c>
      <c r="O51" s="1283">
        <f t="shared" ref="O51:P51" si="269">+O36</f>
        <v>1154.7567365124437</v>
      </c>
      <c r="P51" s="1283">
        <f t="shared" si="269"/>
        <v>1182.5724557479905</v>
      </c>
      <c r="Q51" s="1284">
        <f t="shared" si="267"/>
        <v>1162.0874203142928</v>
      </c>
      <c r="R51" s="1284">
        <f t="shared" si="267"/>
        <v>1202.0766305058357</v>
      </c>
      <c r="S51" s="1283">
        <f t="shared" si="267"/>
        <v>1204.592190094537</v>
      </c>
      <c r="T51" s="1283">
        <f t="shared" si="267"/>
        <v>1183.5706771842745</v>
      </c>
      <c r="U51" s="1284">
        <f t="shared" ref="U51:X51" si="270">+U36</f>
        <v>1164.4226417586228</v>
      </c>
      <c r="V51" s="1284">
        <f t="shared" si="270"/>
        <v>1198.0689864651281</v>
      </c>
      <c r="W51" s="1283">
        <f t="shared" si="270"/>
        <v>1206.1757918592857</v>
      </c>
      <c r="X51" s="1283">
        <f t="shared" si="270"/>
        <v>1218.4586976651269</v>
      </c>
      <c r="Y51" s="1286">
        <f t="shared" si="267"/>
        <v>1162.3457561414023</v>
      </c>
      <c r="Z51" s="1286">
        <f t="shared" ref="Z51" si="271">+Z36</f>
        <v>1194.6469309701411</v>
      </c>
      <c r="AA51" s="1225">
        <f t="shared" si="267"/>
        <v>1165.4572954718637</v>
      </c>
      <c r="AB51" s="1225">
        <f t="shared" si="267"/>
        <v>1201.7190985606198</v>
      </c>
      <c r="AC51" s="1283">
        <f t="shared" si="267"/>
        <v>1206.4319970447932</v>
      </c>
      <c r="AD51" s="1283">
        <f t="shared" si="267"/>
        <v>1197.7406887895356</v>
      </c>
      <c r="AE51" s="1284">
        <f t="shared" ref="AE51:AH51" si="272">+AE36</f>
        <v>1166.6870667630428</v>
      </c>
      <c r="AF51" s="1284">
        <f t="shared" si="272"/>
        <v>1201.1116748379766</v>
      </c>
      <c r="AG51" s="1283">
        <f t="shared" si="272"/>
        <v>1205.4740501566653</v>
      </c>
      <c r="AH51" s="1283">
        <f t="shared" si="272"/>
        <v>1139.754988323022</v>
      </c>
      <c r="AI51" s="1284">
        <f t="shared" ref="AI51:AL51" si="273">+AI36</f>
        <v>1167.4060875646489</v>
      </c>
      <c r="AJ51" s="1284">
        <f t="shared" si="273"/>
        <v>1200.5045230303167</v>
      </c>
      <c r="AK51" s="1283">
        <f t="shared" si="273"/>
        <v>1206.4319970447932</v>
      </c>
      <c r="AL51" s="1283">
        <f t="shared" si="273"/>
        <v>1197.7609207862745</v>
      </c>
      <c r="AM51" s="1286">
        <f t="shared" ref="AM51:AN51" si="274">+AM36</f>
        <v>1172.4202155295725</v>
      </c>
      <c r="AN51" s="1286">
        <f t="shared" si="274"/>
        <v>1195.8853713689336</v>
      </c>
      <c r="AO51" s="1284">
        <f t="shared" ref="AO51:AT51" si="275">+AO36</f>
        <v>1168.081292276901</v>
      </c>
      <c r="AP51" s="1284">
        <f t="shared" si="275"/>
        <v>1200.1537220147011</v>
      </c>
      <c r="AQ51" s="1283">
        <f t="shared" si="275"/>
        <v>1206.4319970447932</v>
      </c>
      <c r="AR51" s="1283">
        <f t="shared" si="275"/>
        <v>1196.785375761679</v>
      </c>
      <c r="AS51" s="1284">
        <f t="shared" si="275"/>
        <v>1168.6046052403708</v>
      </c>
      <c r="AT51" s="1284">
        <f t="shared" si="275"/>
        <v>1199.7647233233104</v>
      </c>
      <c r="AU51" s="1283">
        <f t="shared" ref="AU51:AX51" si="276">+AU36</f>
        <v>1205.1556822094426</v>
      </c>
      <c r="AV51" s="1283">
        <f t="shared" si="276"/>
        <v>1220.6692574284889</v>
      </c>
      <c r="AW51" s="1284">
        <f t="shared" si="276"/>
        <v>1168.8686983709247</v>
      </c>
      <c r="AX51" s="1284">
        <f t="shared" si="276"/>
        <v>1201.7873514657861</v>
      </c>
      <c r="AY51" s="1283">
        <f t="shared" ref="AY51:AZ51" si="277">+AY36</f>
        <v>1206.4319970447932</v>
      </c>
      <c r="AZ51" s="1283">
        <f t="shared" si="277"/>
        <v>1229.7326959660504</v>
      </c>
      <c r="BA51" s="1286">
        <f t="shared" ref="BA51:BF51" si="278">+BA36</f>
        <v>1172.3356594790946</v>
      </c>
      <c r="BB51" s="1286">
        <f t="shared" si="278"/>
        <v>1216.1202529219472</v>
      </c>
      <c r="BC51" s="1225">
        <f t="shared" si="278"/>
        <v>1172.3784166849591</v>
      </c>
      <c r="BD51" s="1225">
        <f t="shared" si="278"/>
        <v>1207.9551449854494</v>
      </c>
      <c r="BE51" s="1284">
        <f t="shared" si="278"/>
        <v>1169.2266649384037</v>
      </c>
      <c r="BF51" s="1284">
        <f t="shared" si="278"/>
        <v>1204.6882510549103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82" t="s">
        <v>70</v>
      </c>
      <c r="C52" s="64" t="s">
        <v>219</v>
      </c>
      <c r="D52" s="1204">
        <f t="shared" ref="D52:D59" si="279">D40/$D$65*1000</f>
        <v>19.481408076330638</v>
      </c>
      <c r="E52" s="1297">
        <f t="shared" ref="E52" si="280">+E40/E$65*1000</f>
        <v>19.481408076330638</v>
      </c>
      <c r="F52" s="1297">
        <f t="shared" ref="F52:G52" si="281">+F40/F$65*1000</f>
        <v>9.393157878382997</v>
      </c>
      <c r="G52" s="1297">
        <f t="shared" si="281"/>
        <v>19.481408076330638</v>
      </c>
      <c r="H52" s="1297">
        <f t="shared" ref="H52" si="282">+H40/H$65*1000</f>
        <v>8.4771999347041707</v>
      </c>
      <c r="I52" s="1300">
        <f>+I40/I$65*1000</f>
        <v>19.481408076330638</v>
      </c>
      <c r="J52" s="1300">
        <f>+J40/J$65*1000</f>
        <v>8.9125375109283809</v>
      </c>
      <c r="K52" s="1297">
        <f>+K40/K$65*1000</f>
        <v>19.940005073175683</v>
      </c>
      <c r="L52" s="1297">
        <f>+L40/L$65*1000</f>
        <v>11.083965835305307</v>
      </c>
      <c r="M52" s="1298">
        <f>+$D$52</f>
        <v>19.481408076330638</v>
      </c>
      <c r="N52" s="1298">
        <f t="shared" ref="N52:P60" si="283">+N40/N$65*1000</f>
        <v>9.5162138157298486</v>
      </c>
      <c r="O52" s="1297">
        <f t="shared" si="283"/>
        <v>19.940005073175683</v>
      </c>
      <c r="P52" s="1297">
        <f t="shared" si="283"/>
        <v>23.214335691913909</v>
      </c>
      <c r="Q52" s="1300">
        <f>+$D$52</f>
        <v>19.481408076330638</v>
      </c>
      <c r="R52" s="1300">
        <f t="shared" ref="R52:T60" si="284">+R40/R$65*1000</f>
        <v>13.561438598969422</v>
      </c>
      <c r="S52" s="1297">
        <f t="shared" si="284"/>
        <v>19.940005073175683</v>
      </c>
      <c r="T52" s="1297">
        <f t="shared" si="284"/>
        <v>22.922550429339125</v>
      </c>
      <c r="U52" s="1300">
        <f>+$D$52</f>
        <v>19.481408076330638</v>
      </c>
      <c r="V52" s="1300">
        <f t="shared" ref="V52:X52" si="285">+V40/V$65*1000</f>
        <v>15.588678341202627</v>
      </c>
      <c r="W52" s="1297">
        <f t="shared" si="285"/>
        <v>19.94000507317568</v>
      </c>
      <c r="X52" s="1297">
        <f t="shared" si="285"/>
        <v>12.831138118981608</v>
      </c>
      <c r="Y52" s="1298">
        <f>+$D$52</f>
        <v>19.481408076330638</v>
      </c>
      <c r="Z52" s="1298">
        <f t="shared" ref="Z52:Z59" si="286">+Z40/Z$65*1000</f>
        <v>19.719786343937468</v>
      </c>
      <c r="AA52" s="1225">
        <f>+$D$52</f>
        <v>19.481408076330638</v>
      </c>
      <c r="AB52" s="1301">
        <f t="shared" ref="AB52:AF59" si="287">+AB40/AB$65*1000</f>
        <v>15.095030794152784</v>
      </c>
      <c r="AC52" s="1297">
        <f t="shared" si="287"/>
        <v>19.94000507317568</v>
      </c>
      <c r="AD52" s="1297">
        <f t="shared" si="287"/>
        <v>28.576639301394369</v>
      </c>
      <c r="AE52" s="1284">
        <f>+$D$52</f>
        <v>19.481408076330638</v>
      </c>
      <c r="AF52" s="1300">
        <f t="shared" ref="AF52:AH58" si="288">+AF40/AF$65*1000</f>
        <v>17.153403183596286</v>
      </c>
      <c r="AG52" s="1297">
        <f t="shared" si="288"/>
        <v>19.940005073175683</v>
      </c>
      <c r="AH52" s="1297">
        <f t="shared" si="288"/>
        <v>32.203875937231118</v>
      </c>
      <c r="AI52" s="1284">
        <f>+$D$52</f>
        <v>19.481408076330638</v>
      </c>
      <c r="AJ52" s="1300">
        <f t="shared" ref="AJ52:AL52" si="289">+AJ40/AJ$65*1000</f>
        <v>17.302334331243451</v>
      </c>
      <c r="AK52" s="1297">
        <f t="shared" si="289"/>
        <v>19.94000507317568</v>
      </c>
      <c r="AL52" s="1297">
        <f t="shared" si="289"/>
        <v>26.725368082211482</v>
      </c>
      <c r="AM52" s="1298">
        <f>+$D$52</f>
        <v>19.481408076330638</v>
      </c>
      <c r="AN52" s="1298">
        <f t="shared" ref="AN52:AN58" si="290">+AN40/AN$65*1000</f>
        <v>27.811160834295293</v>
      </c>
      <c r="AO52" s="1284">
        <f>+$D$52</f>
        <v>19.481408076330638</v>
      </c>
      <c r="AP52" s="1300">
        <f t="shared" ref="AP52:AT59" si="291">+AP40/AP$65*1000</f>
        <v>18.507177277118284</v>
      </c>
      <c r="AQ52" s="1297">
        <f t="shared" si="291"/>
        <v>19.94000507317568</v>
      </c>
      <c r="AR52" s="1297">
        <f t="shared" si="291"/>
        <v>25.901150981719702</v>
      </c>
      <c r="AS52" s="1284">
        <f>+$D$52</f>
        <v>19.481408076330638</v>
      </c>
      <c r="AT52" s="1300">
        <f t="shared" ref="AT52:AV58" si="292">+AT40/AT$65*1000</f>
        <v>19.361081798568936</v>
      </c>
      <c r="AU52" s="1297">
        <f t="shared" si="292"/>
        <v>19.940005073175683</v>
      </c>
      <c r="AV52" s="1297">
        <f t="shared" si="292"/>
        <v>9.2146254441618822</v>
      </c>
      <c r="AW52" s="1284">
        <f>+$D$52</f>
        <v>19.481408076330638</v>
      </c>
      <c r="AX52" s="1300">
        <f t="shared" ref="AX52:AZ52" si="293">+AX40/AX$65*1000</f>
        <v>18.379356586920146</v>
      </c>
      <c r="AY52" s="1297">
        <f t="shared" si="293"/>
        <v>19.94000507317568</v>
      </c>
      <c r="AZ52" s="1297">
        <f t="shared" si="293"/>
        <v>29.598556167991806</v>
      </c>
      <c r="BA52" s="1298">
        <f>+$D$52</f>
        <v>19.481408076330638</v>
      </c>
      <c r="BB52" s="1298">
        <f t="shared" ref="BB52:BB59" si="294">+BB40/BB$65*1000</f>
        <v>22.157859594979001</v>
      </c>
      <c r="BC52" s="1225">
        <f>+$D$52</f>
        <v>19.481408076330638</v>
      </c>
      <c r="BD52" s="1301">
        <f t="shared" ref="BD52:BD59" si="295">+BD40/BD$65*1000</f>
        <v>24.439059744118616</v>
      </c>
      <c r="BE52" s="1284">
        <f>+$D$52</f>
        <v>19.481408076330638</v>
      </c>
      <c r="BF52" s="1300">
        <f t="shared" ref="BF52:BF59" si="296">+BF40/BF$65*1000</f>
        <v>19.543978889383702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82" t="s">
        <v>674</v>
      </c>
      <c r="C53" s="64" t="s">
        <v>219</v>
      </c>
      <c r="D53" s="1970">
        <f t="shared" si="279"/>
        <v>4.9928765981790804</v>
      </c>
      <c r="E53" s="1297">
        <f t="shared" ref="E53" si="297">+E41/E$65*1000</f>
        <v>4.9928765981790804</v>
      </c>
      <c r="F53" s="1297">
        <f t="shared" ref="F53:G53" si="298">+F41/F$65*1000</f>
        <v>1.8612310847341764</v>
      </c>
      <c r="G53" s="1297">
        <f t="shared" si="298"/>
        <v>4.9928765981790804</v>
      </c>
      <c r="H53" s="1297">
        <f t="shared" ref="H53" si="299">+H41/H$65*1000</f>
        <v>3.7770260001238367</v>
      </c>
      <c r="I53" s="1300">
        <f t="shared" ref="I53" si="300">+I41/I$65*1000</f>
        <v>4.9928765981790795</v>
      </c>
      <c r="J53" s="1300">
        <f t="shared" ref="J53:L59" si="301">+J41/J$65*1000</f>
        <v>2.8664847238959381</v>
      </c>
      <c r="K53" s="1297">
        <f t="shared" si="301"/>
        <v>0</v>
      </c>
      <c r="L53" s="1297">
        <f t="shared" si="301"/>
        <v>13.557722916195246</v>
      </c>
      <c r="M53" s="1298">
        <f>+$D$53</f>
        <v>4.9928765981790804</v>
      </c>
      <c r="N53" s="1298">
        <f t="shared" si="283"/>
        <v>5.8387436252029863</v>
      </c>
      <c r="O53" s="1297">
        <f t="shared" si="283"/>
        <v>0</v>
      </c>
      <c r="P53" s="1297">
        <f t="shared" si="283"/>
        <v>9.1646248533838133</v>
      </c>
      <c r="Q53" s="1284">
        <f>+$D$53</f>
        <v>4.9928765981790804</v>
      </c>
      <c r="R53" s="1300">
        <f t="shared" si="284"/>
        <v>6.8209174802728363</v>
      </c>
      <c r="S53" s="1297">
        <f t="shared" si="284"/>
        <v>0</v>
      </c>
      <c r="T53" s="1297">
        <f t="shared" si="284"/>
        <v>5.2434008986357377</v>
      </c>
      <c r="U53" s="1284">
        <f>+$D$53</f>
        <v>4.9928765981790804</v>
      </c>
      <c r="V53" s="1300">
        <f t="shared" ref="V53:X53" si="302">+V41/V$65*1000</f>
        <v>6.4792909335253119</v>
      </c>
      <c r="W53" s="1297">
        <f t="shared" si="302"/>
        <v>0</v>
      </c>
      <c r="X53" s="1297">
        <f t="shared" si="302"/>
        <v>0.43193395729792916</v>
      </c>
      <c r="Y53" s="1298">
        <f>+$D$53</f>
        <v>4.9928765981790804</v>
      </c>
      <c r="Z53" s="1298">
        <f t="shared" si="286"/>
        <v>5.0302691207238075</v>
      </c>
      <c r="AA53" s="1225">
        <f>+$D$53</f>
        <v>4.9928765981790804</v>
      </c>
      <c r="AB53" s="1301">
        <f t="shared" si="287"/>
        <v>5.3967091044758808</v>
      </c>
      <c r="AC53" s="1297">
        <f t="shared" si="287"/>
        <v>0</v>
      </c>
      <c r="AD53" s="1297">
        <f t="shared" si="287"/>
        <v>2.201916552458449</v>
      </c>
      <c r="AE53" s="1284">
        <f>+$D$53</f>
        <v>4.9928765981790804</v>
      </c>
      <c r="AF53" s="1300">
        <f t="shared" si="288"/>
        <v>4.9089280822380585</v>
      </c>
      <c r="AG53" s="1297">
        <f t="shared" si="288"/>
        <v>0</v>
      </c>
      <c r="AH53" s="1297">
        <f t="shared" si="288"/>
        <v>24.009505469742287</v>
      </c>
      <c r="AI53" s="1284">
        <f>+$D$53</f>
        <v>4.9928765981790804</v>
      </c>
      <c r="AJ53" s="1300">
        <f t="shared" ref="AJ53:AL53" si="303">+AJ41/AJ$65*1000</f>
        <v>5.0979368235320823</v>
      </c>
      <c r="AK53" s="1297">
        <f t="shared" si="303"/>
        <v>0</v>
      </c>
      <c r="AL53" s="1297">
        <f t="shared" si="303"/>
        <v>5.6166414088339733</v>
      </c>
      <c r="AM53" s="1298">
        <f>+$D$53</f>
        <v>4.9928765981790804</v>
      </c>
      <c r="AN53" s="1298">
        <f t="shared" si="290"/>
        <v>4.5304321700216637</v>
      </c>
      <c r="AO53" s="1284">
        <f>+$D$53</f>
        <v>4.9928765981790804</v>
      </c>
      <c r="AP53" s="1300">
        <f t="shared" si="291"/>
        <v>5.1642591542283629</v>
      </c>
      <c r="AQ53" s="1297">
        <f t="shared" si="291"/>
        <v>0</v>
      </c>
      <c r="AR53" s="1297">
        <f t="shared" si="291"/>
        <v>4.4766418415707516</v>
      </c>
      <c r="AS53" s="1284">
        <f>+$D$53</f>
        <v>4.9928765981790804</v>
      </c>
      <c r="AT53" s="1300">
        <f t="shared" si="292"/>
        <v>5.0848486023703439</v>
      </c>
      <c r="AU53" s="1297">
        <f t="shared" si="292"/>
        <v>0</v>
      </c>
      <c r="AV53" s="1297">
        <f t="shared" si="292"/>
        <v>2.9401545697943643</v>
      </c>
      <c r="AW53" s="1284">
        <f>+$D$53</f>
        <v>4.9928765981790804</v>
      </c>
      <c r="AX53" s="1300">
        <f t="shared" ref="AX53:AZ53" si="304">+AX41/AX$65*1000</f>
        <v>4.8773377109310836</v>
      </c>
      <c r="AY53" s="1297">
        <f t="shared" si="304"/>
        <v>0</v>
      </c>
      <c r="AZ53" s="1297">
        <f t="shared" si="304"/>
        <v>0.23413492024779278</v>
      </c>
      <c r="BA53" s="1298">
        <f>+$D$53</f>
        <v>4.9928765981790804</v>
      </c>
      <c r="BB53" s="1298">
        <f t="shared" si="294"/>
        <v>2.4568338044641993</v>
      </c>
      <c r="BC53" s="1225">
        <f>+$D$53</f>
        <v>4.9928765981790804</v>
      </c>
      <c r="BD53" s="1301">
        <f t="shared" si="295"/>
        <v>3.2935648931718347</v>
      </c>
      <c r="BE53" s="1284">
        <f>+$D$53</f>
        <v>4.9928765981790804</v>
      </c>
      <c r="BF53" s="1300">
        <f t="shared" si="296"/>
        <v>4.395344545035889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82" t="s">
        <v>44</v>
      </c>
      <c r="C54" s="64" t="s">
        <v>219</v>
      </c>
      <c r="D54" s="1970">
        <f t="shared" si="279"/>
        <v>22.45868048610533</v>
      </c>
      <c r="E54" s="1297">
        <f t="shared" ref="E54" si="305">+E42/E$65*1000</f>
        <v>22.45868048610533</v>
      </c>
      <c r="F54" s="1297">
        <f t="shared" ref="F54:G54" si="306">+F42/F$65*1000</f>
        <v>21.343566479197094</v>
      </c>
      <c r="G54" s="1297">
        <f t="shared" si="306"/>
        <v>22.458680486105333</v>
      </c>
      <c r="H54" s="1297">
        <f t="shared" ref="H54" si="307">+H42/H$65*1000</f>
        <v>20.827118033469741</v>
      </c>
      <c r="I54" s="1300">
        <f t="shared" ref="I54" si="308">+I42/I$65*1000</f>
        <v>22.45868048610533</v>
      </c>
      <c r="J54" s="1300">
        <f t="shared" si="301"/>
        <v>21.072576262375652</v>
      </c>
      <c r="K54" s="1297">
        <f t="shared" si="301"/>
        <v>21.946566916528045</v>
      </c>
      <c r="L54" s="1297">
        <f t="shared" si="301"/>
        <v>20.369184273808475</v>
      </c>
      <c r="M54" s="1298">
        <f>+$D$54</f>
        <v>22.45868048610533</v>
      </c>
      <c r="N54" s="1298">
        <f t="shared" si="283"/>
        <v>20.877027060166995</v>
      </c>
      <c r="O54" s="1297">
        <f t="shared" si="283"/>
        <v>21.946566916528045</v>
      </c>
      <c r="P54" s="1297">
        <f t="shared" si="283"/>
        <v>22.425597850562166</v>
      </c>
      <c r="Q54" s="1300">
        <f>+$D$54</f>
        <v>22.45868048610533</v>
      </c>
      <c r="R54" s="1300">
        <f t="shared" si="284"/>
        <v>21.334339164448878</v>
      </c>
      <c r="S54" s="1297">
        <f t="shared" si="284"/>
        <v>21.946566916528045</v>
      </c>
      <c r="T54" s="1297">
        <f t="shared" si="284"/>
        <v>20.984476380232188</v>
      </c>
      <c r="U54" s="1300">
        <f>+$D$54</f>
        <v>22.45868048610533</v>
      </c>
      <c r="V54" s="1300">
        <f t="shared" ref="V54:X54" si="309">+V42/V$65*1000</f>
        <v>21.25857297840766</v>
      </c>
      <c r="W54" s="1297">
        <f t="shared" si="309"/>
        <v>21.946566916528042</v>
      </c>
      <c r="X54" s="1297">
        <f t="shared" si="309"/>
        <v>20.500665448252963</v>
      </c>
      <c r="Y54" s="1298">
        <f>+$D$54</f>
        <v>22.45868048610533</v>
      </c>
      <c r="Z54" s="1298">
        <f t="shared" si="286"/>
        <v>21.326714697737483</v>
      </c>
      <c r="AA54" s="1225">
        <f>+$D$54</f>
        <v>22.45868048610533</v>
      </c>
      <c r="AB54" s="1301">
        <f t="shared" si="287"/>
        <v>21.122894379728823</v>
      </c>
      <c r="AC54" s="1297">
        <f t="shared" si="287"/>
        <v>21.946566916528042</v>
      </c>
      <c r="AD54" s="1297">
        <f t="shared" si="287"/>
        <v>18.594259997800766</v>
      </c>
      <c r="AE54" s="1284">
        <f>+$D$54</f>
        <v>22.45868048610533</v>
      </c>
      <c r="AF54" s="1300">
        <f t="shared" si="288"/>
        <v>20.736822406791585</v>
      </c>
      <c r="AG54" s="1297">
        <f t="shared" si="288"/>
        <v>21.946566916528042</v>
      </c>
      <c r="AH54" s="1297">
        <f t="shared" si="288"/>
        <v>12.045724587208587</v>
      </c>
      <c r="AI54" s="1284">
        <f>+$D$54</f>
        <v>22.45868048610533</v>
      </c>
      <c r="AJ54" s="1300">
        <f t="shared" ref="AJ54:AL54" si="310">+AJ42/AJ$65*1000</f>
        <v>20.650820113456867</v>
      </c>
      <c r="AK54" s="1297">
        <f t="shared" si="310"/>
        <v>21.946566916528042</v>
      </c>
      <c r="AL54" s="1297">
        <f t="shared" si="310"/>
        <v>13.680711496554242</v>
      </c>
      <c r="AM54" s="1298">
        <f>+$D$54</f>
        <v>22.45868048610533</v>
      </c>
      <c r="AN54" s="1298">
        <f t="shared" si="290"/>
        <v>16.042315659640412</v>
      </c>
      <c r="AO54" s="1284">
        <f>+$D$54</f>
        <v>22.45868048610533</v>
      </c>
      <c r="AP54" s="1300">
        <f t="shared" si="291"/>
        <v>19.75961178066343</v>
      </c>
      <c r="AQ54" s="1297">
        <f t="shared" si="291"/>
        <v>21.946566916528042</v>
      </c>
      <c r="AR54" s="1297">
        <f t="shared" si="291"/>
        <v>18.770480704129994</v>
      </c>
      <c r="AS54" s="1284">
        <f>+$D$54</f>
        <v>22.45868048610533</v>
      </c>
      <c r="AT54" s="1300">
        <f t="shared" si="292"/>
        <v>19.645380444131405</v>
      </c>
      <c r="AU54" s="1297">
        <f t="shared" si="292"/>
        <v>21.946566916528045</v>
      </c>
      <c r="AV54" s="1297">
        <f t="shared" si="292"/>
        <v>18.624871897436197</v>
      </c>
      <c r="AW54" s="1284">
        <f>+$D$54</f>
        <v>22.45868048610533</v>
      </c>
      <c r="AX54" s="1300">
        <f t="shared" ref="AX54:AZ54" si="311">+AX42/AX$65*1000</f>
        <v>19.546640654198875</v>
      </c>
      <c r="AY54" s="1297">
        <f t="shared" si="311"/>
        <v>21.946566916528042</v>
      </c>
      <c r="AZ54" s="1297">
        <f t="shared" si="311"/>
        <v>18.189356616750402</v>
      </c>
      <c r="BA54" s="1298">
        <f>+$D$54</f>
        <v>22.45868048610533</v>
      </c>
      <c r="BB54" s="1298">
        <f t="shared" si="294"/>
        <v>18.51361554829916</v>
      </c>
      <c r="BC54" s="1225">
        <f>+$D$54</f>
        <v>22.45868048610533</v>
      </c>
      <c r="BD54" s="1301">
        <f t="shared" si="295"/>
        <v>17.516405345635548</v>
      </c>
      <c r="BE54" s="1284">
        <f>+$D$54</f>
        <v>22.45868048610533</v>
      </c>
      <c r="BF54" s="1300">
        <f t="shared" si="296"/>
        <v>19.40574617689078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82" t="s">
        <v>71</v>
      </c>
      <c r="C55" s="64" t="s">
        <v>219</v>
      </c>
      <c r="D55" s="1970">
        <f t="shared" si="279"/>
        <v>19.05</v>
      </c>
      <c r="E55" s="1297">
        <f t="shared" ref="E55" si="312">+E43/E$65*1000</f>
        <v>19.05</v>
      </c>
      <c r="F55" s="1297">
        <f t="shared" ref="F55:G55" si="313">+F43/F$65*1000</f>
        <v>13.991859056023367</v>
      </c>
      <c r="G55" s="1297">
        <f t="shared" si="313"/>
        <v>19.050000000000004</v>
      </c>
      <c r="H55" s="1297">
        <f t="shared" ref="H55" si="314">+H43/H$65*1000</f>
        <v>21.52510793513197</v>
      </c>
      <c r="I55" s="1300">
        <f t="shared" ref="I55" si="315">+I43/I$65*1000</f>
        <v>19.05</v>
      </c>
      <c r="J55" s="1300">
        <f t="shared" si="301"/>
        <v>17.944696486377921</v>
      </c>
      <c r="K55" s="1297">
        <f t="shared" si="301"/>
        <v>17.816371315908729</v>
      </c>
      <c r="L55" s="1297">
        <f t="shared" si="301"/>
        <v>19.701845154312583</v>
      </c>
      <c r="M55" s="1298">
        <f>+$D$55</f>
        <v>19.05</v>
      </c>
      <c r="N55" s="1298">
        <f t="shared" si="283"/>
        <v>18.433199377740909</v>
      </c>
      <c r="O55" s="1297">
        <f t="shared" si="283"/>
        <v>17.816371315908725</v>
      </c>
      <c r="P55" s="1297">
        <f t="shared" si="283"/>
        <v>24.687494434309585</v>
      </c>
      <c r="Q55" s="1300">
        <f>+$D$55</f>
        <v>19.05</v>
      </c>
      <c r="R55" s="1300">
        <f t="shared" si="284"/>
        <v>20.280170049575251</v>
      </c>
      <c r="S55" s="1297">
        <f t="shared" si="284"/>
        <v>17.816371315908729</v>
      </c>
      <c r="T55" s="1297">
        <f t="shared" si="284"/>
        <v>22.446866055434899</v>
      </c>
      <c r="U55" s="1300">
        <f>+$D$55</f>
        <v>19.05</v>
      </c>
      <c r="V55" s="1300">
        <f t="shared" ref="V55:X55" si="316">+V43/V$65*1000</f>
        <v>20.749389126540724</v>
      </c>
      <c r="W55" s="1297">
        <f t="shared" si="316"/>
        <v>17.816371315908729</v>
      </c>
      <c r="X55" s="1297">
        <f t="shared" si="316"/>
        <v>18.154724142678585</v>
      </c>
      <c r="Y55" s="1298">
        <f>+$D$55</f>
        <v>19.05</v>
      </c>
      <c r="Z55" s="1298">
        <f t="shared" si="286"/>
        <v>21.819930331082041</v>
      </c>
      <c r="AA55" s="1225">
        <f>+$D$55</f>
        <v>19.05</v>
      </c>
      <c r="AB55" s="1301">
        <f t="shared" si="287"/>
        <v>20.284899073275781</v>
      </c>
      <c r="AC55" s="1297">
        <f t="shared" si="287"/>
        <v>17.816371315908725</v>
      </c>
      <c r="AD55" s="1297">
        <f t="shared" si="287"/>
        <v>20.769356616611731</v>
      </c>
      <c r="AE55" s="1284">
        <f>+$D$55</f>
        <v>19.05</v>
      </c>
      <c r="AF55" s="1300">
        <f t="shared" si="288"/>
        <v>20.358866065458109</v>
      </c>
      <c r="AG55" s="1297">
        <f t="shared" si="288"/>
        <v>17.816371315908725</v>
      </c>
      <c r="AH55" s="1297">
        <f t="shared" si="288"/>
        <v>28.516409226861146</v>
      </c>
      <c r="AI55" s="1284">
        <f>+$D$55</f>
        <v>19.05</v>
      </c>
      <c r="AJ55" s="1300">
        <f t="shared" ref="AJ55:AL55" si="317">+AJ43/AJ$65*1000</f>
        <v>20.439588597228123</v>
      </c>
      <c r="AK55" s="1297">
        <f t="shared" si="317"/>
        <v>17.816371315908725</v>
      </c>
      <c r="AL55" s="1297">
        <f t="shared" si="317"/>
        <v>16.09495470182852</v>
      </c>
      <c r="AM55" s="1298">
        <f>+$D$55</f>
        <v>19.05</v>
      </c>
      <c r="AN55" s="1298">
        <f t="shared" si="290"/>
        <v>18.791146813411554</v>
      </c>
      <c r="AO55" s="1284">
        <f>+$D$55</f>
        <v>19.05</v>
      </c>
      <c r="AP55" s="1300">
        <f t="shared" si="291"/>
        <v>19.884077321388414</v>
      </c>
      <c r="AQ55" s="1297">
        <f t="shared" si="291"/>
        <v>17.816371315908725</v>
      </c>
      <c r="AR55" s="1297">
        <f t="shared" si="291"/>
        <v>21.297224102911308</v>
      </c>
      <c r="AS55" s="1284">
        <f>+$D$55</f>
        <v>19.05</v>
      </c>
      <c r="AT55" s="1300">
        <f t="shared" si="292"/>
        <v>20.047276769266471</v>
      </c>
      <c r="AU55" s="1297">
        <f t="shared" si="292"/>
        <v>17.816371315908729</v>
      </c>
      <c r="AV55" s="1297">
        <f t="shared" si="292"/>
        <v>27.205918849398099</v>
      </c>
      <c r="AW55" s="1284">
        <f>+$D$55</f>
        <v>19.05</v>
      </c>
      <c r="AX55" s="1300">
        <f t="shared" ref="AX55:AZ55" si="318">+AX43/AX$65*1000</f>
        <v>20.739914589384099</v>
      </c>
      <c r="AY55" s="1297">
        <f t="shared" si="318"/>
        <v>17.816371315908725</v>
      </c>
      <c r="AZ55" s="1297">
        <f t="shared" si="318"/>
        <v>17.411345788010344</v>
      </c>
      <c r="BA55" s="1298">
        <f>+$D$55</f>
        <v>19.05</v>
      </c>
      <c r="BB55" s="1298">
        <f t="shared" si="294"/>
        <v>21.680934310005</v>
      </c>
      <c r="BC55" s="1225">
        <f>+$D$55</f>
        <v>19.05</v>
      </c>
      <c r="BD55" s="1301">
        <f t="shared" si="295"/>
        <v>20.514857465848007</v>
      </c>
      <c r="BE55" s="1284">
        <f>+$D$55</f>
        <v>19.05</v>
      </c>
      <c r="BF55" s="1300">
        <f t="shared" si="296"/>
        <v>20.394388562027878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82" t="s">
        <v>67</v>
      </c>
      <c r="C56" s="64" t="s">
        <v>219</v>
      </c>
      <c r="D56" s="1970">
        <f t="shared" si="279"/>
        <v>89.999999999999986</v>
      </c>
      <c r="E56" s="1297">
        <f t="shared" ref="E56" si="319">+E44/E$65*1000</f>
        <v>90</v>
      </c>
      <c r="F56" s="1297">
        <f t="shared" ref="F56:G56" si="320">+F44/F$65*1000</f>
        <v>80</v>
      </c>
      <c r="G56" s="1297">
        <f t="shared" si="320"/>
        <v>90</v>
      </c>
      <c r="H56" s="1297">
        <f t="shared" ref="H56" si="321">+H44/H$65*1000</f>
        <v>80</v>
      </c>
      <c r="I56" s="1300">
        <f t="shared" ref="I56" si="322">+I44/I$65*1000</f>
        <v>90</v>
      </c>
      <c r="J56" s="1300">
        <f t="shared" si="301"/>
        <v>80</v>
      </c>
      <c r="K56" s="1297">
        <f t="shared" si="301"/>
        <v>84.999999999999986</v>
      </c>
      <c r="L56" s="1297">
        <f t="shared" si="301"/>
        <v>80</v>
      </c>
      <c r="M56" s="1298">
        <f>+$D$56</f>
        <v>89.999999999999986</v>
      </c>
      <c r="N56" s="1298">
        <f t="shared" si="283"/>
        <v>80</v>
      </c>
      <c r="O56" s="1297">
        <f t="shared" si="283"/>
        <v>84.999999999999986</v>
      </c>
      <c r="P56" s="1297">
        <f t="shared" si="283"/>
        <v>80</v>
      </c>
      <c r="Q56" s="1284">
        <f>+$D$56</f>
        <v>89.999999999999986</v>
      </c>
      <c r="R56" s="1300">
        <f t="shared" si="284"/>
        <v>80</v>
      </c>
      <c r="S56" s="1297">
        <f t="shared" si="284"/>
        <v>84.999999999999986</v>
      </c>
      <c r="T56" s="1297">
        <f t="shared" si="284"/>
        <v>80</v>
      </c>
      <c r="U56" s="1284">
        <f>+$D$56</f>
        <v>89.999999999999986</v>
      </c>
      <c r="V56" s="1300">
        <f t="shared" ref="V56:X56" si="323">+V44/V$65*1000</f>
        <v>80</v>
      </c>
      <c r="W56" s="1297">
        <f t="shared" si="323"/>
        <v>85</v>
      </c>
      <c r="X56" s="1297">
        <f t="shared" si="323"/>
        <v>80</v>
      </c>
      <c r="Y56" s="1298">
        <f>+$D$56</f>
        <v>89.999999999999986</v>
      </c>
      <c r="Z56" s="1298">
        <f t="shared" si="286"/>
        <v>80</v>
      </c>
      <c r="AA56" s="1225">
        <f>+$D$56</f>
        <v>89.999999999999986</v>
      </c>
      <c r="AB56" s="1301">
        <f t="shared" si="287"/>
        <v>79.999999999999986</v>
      </c>
      <c r="AC56" s="1297">
        <f t="shared" si="287"/>
        <v>84.999999999999986</v>
      </c>
      <c r="AD56" s="1297">
        <f t="shared" si="287"/>
        <v>80</v>
      </c>
      <c r="AE56" s="1284">
        <f>+$D$56</f>
        <v>89.999999999999986</v>
      </c>
      <c r="AF56" s="1300">
        <f t="shared" si="288"/>
        <v>79.999999999999986</v>
      </c>
      <c r="AG56" s="1297">
        <f t="shared" si="288"/>
        <v>85</v>
      </c>
      <c r="AH56" s="1297">
        <f t="shared" si="288"/>
        <v>80</v>
      </c>
      <c r="AI56" s="1284">
        <f>+$D$56</f>
        <v>89.999999999999986</v>
      </c>
      <c r="AJ56" s="1300">
        <f t="shared" ref="AJ56:AL56" si="324">+AJ44/AJ$65*1000</f>
        <v>79.999999999999986</v>
      </c>
      <c r="AK56" s="1297">
        <f t="shared" si="324"/>
        <v>84.999999999999986</v>
      </c>
      <c r="AL56" s="1297">
        <f t="shared" si="324"/>
        <v>80</v>
      </c>
      <c r="AM56" s="1298">
        <f>+$D$56</f>
        <v>89.999999999999986</v>
      </c>
      <c r="AN56" s="1298">
        <f t="shared" si="290"/>
        <v>80</v>
      </c>
      <c r="AO56" s="1284">
        <f>+$D$56</f>
        <v>89.999999999999986</v>
      </c>
      <c r="AP56" s="1300">
        <f t="shared" si="291"/>
        <v>80</v>
      </c>
      <c r="AQ56" s="1297">
        <f t="shared" si="291"/>
        <v>84.999999999999986</v>
      </c>
      <c r="AR56" s="1297">
        <f t="shared" si="291"/>
        <v>80</v>
      </c>
      <c r="AS56" s="1284">
        <f>+$D$56</f>
        <v>89.999999999999986</v>
      </c>
      <c r="AT56" s="1300">
        <f t="shared" si="292"/>
        <v>80</v>
      </c>
      <c r="AU56" s="1297">
        <f t="shared" si="292"/>
        <v>85</v>
      </c>
      <c r="AV56" s="1297">
        <f t="shared" si="292"/>
        <v>80</v>
      </c>
      <c r="AW56" s="1284">
        <f>+$D$56</f>
        <v>89.999999999999986</v>
      </c>
      <c r="AX56" s="1300">
        <f t="shared" ref="AX56:AZ56" si="325">+AX44/AX$65*1000</f>
        <v>79.999999999999986</v>
      </c>
      <c r="AY56" s="1297">
        <f t="shared" si="325"/>
        <v>84.999999999999986</v>
      </c>
      <c r="AZ56" s="1297">
        <f t="shared" si="325"/>
        <v>80</v>
      </c>
      <c r="BA56" s="1298">
        <f>+$D$56</f>
        <v>89.999999999999986</v>
      </c>
      <c r="BB56" s="1298">
        <f t="shared" si="294"/>
        <v>79.999999999999986</v>
      </c>
      <c r="BC56" s="1225">
        <f>+$D$56</f>
        <v>89.999999999999986</v>
      </c>
      <c r="BD56" s="1301">
        <f t="shared" si="295"/>
        <v>80</v>
      </c>
      <c r="BE56" s="1284">
        <f>+$D$56</f>
        <v>89.999999999999986</v>
      </c>
      <c r="BF56" s="1300">
        <f t="shared" si="296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25">
      <c r="B57" s="1282" t="s">
        <v>97</v>
      </c>
      <c r="C57" s="64" t="s">
        <v>219</v>
      </c>
      <c r="D57" s="1970">
        <f t="shared" si="279"/>
        <v>150</v>
      </c>
      <c r="E57" s="1297">
        <f t="shared" ref="E57" si="326">+E45/E$65*1000</f>
        <v>150</v>
      </c>
      <c r="F57" s="1297">
        <f t="shared" ref="F57:G57" si="327">+F45/F$65*1000</f>
        <v>164.41910325327035</v>
      </c>
      <c r="G57" s="1297">
        <f t="shared" si="327"/>
        <v>150</v>
      </c>
      <c r="H57" s="1297">
        <f t="shared" ref="H57" si="328">+H45/H$65*1000</f>
        <v>169.47082233342528</v>
      </c>
      <c r="I57" s="1300">
        <f t="shared" ref="I57" si="329">+I45/I$65*1000</f>
        <v>150</v>
      </c>
      <c r="J57" s="1300">
        <f t="shared" si="301"/>
        <v>167.06983530634909</v>
      </c>
      <c r="K57" s="1297">
        <f t="shared" si="301"/>
        <v>150</v>
      </c>
      <c r="L57" s="1297">
        <f t="shared" si="301"/>
        <v>210.54165691865751</v>
      </c>
      <c r="M57" s="1298">
        <f>+$D$57</f>
        <v>150</v>
      </c>
      <c r="N57" s="1298">
        <f t="shared" si="283"/>
        <v>179.15538671014093</v>
      </c>
      <c r="O57" s="1297">
        <f t="shared" si="283"/>
        <v>150</v>
      </c>
      <c r="P57" s="1297">
        <f t="shared" si="283"/>
        <v>193.13645419086947</v>
      </c>
      <c r="Q57" s="1284">
        <f>+$D$57</f>
        <v>150</v>
      </c>
      <c r="R57" s="1300">
        <f t="shared" si="284"/>
        <v>183.28416882935383</v>
      </c>
      <c r="S57" s="1297">
        <f t="shared" si="284"/>
        <v>150</v>
      </c>
      <c r="T57" s="1297">
        <f t="shared" si="284"/>
        <v>170.30587864340251</v>
      </c>
      <c r="U57" s="1284">
        <f>+$D$57</f>
        <v>150</v>
      </c>
      <c r="V57" s="1300">
        <f t="shared" ref="V57:X57" si="330">+V45/V$65*1000</f>
        <v>180.47359396090292</v>
      </c>
      <c r="W57" s="1297">
        <f t="shared" si="330"/>
        <v>150</v>
      </c>
      <c r="X57" s="1297">
        <f t="shared" si="330"/>
        <v>195.49600866027583</v>
      </c>
      <c r="Y57" s="1298">
        <f>+$D$57</f>
        <v>150</v>
      </c>
      <c r="Z57" s="1298">
        <f t="shared" si="286"/>
        <v>186.4850077473746</v>
      </c>
      <c r="AA57" s="1225">
        <f>+$D$57</f>
        <v>150</v>
      </c>
      <c r="AB57" s="1301">
        <f t="shared" si="287"/>
        <v>183.16286685250122</v>
      </c>
      <c r="AC57" s="1297">
        <f t="shared" si="287"/>
        <v>149.99999999999997</v>
      </c>
      <c r="AD57" s="1297">
        <f t="shared" si="287"/>
        <v>191.96903906859737</v>
      </c>
      <c r="AE57" s="1284">
        <f>+$D$57</f>
        <v>150</v>
      </c>
      <c r="AF57" s="1300">
        <f t="shared" si="288"/>
        <v>184.50739348940516</v>
      </c>
      <c r="AG57" s="1297">
        <f t="shared" si="288"/>
        <v>150</v>
      </c>
      <c r="AH57" s="1297">
        <f t="shared" si="288"/>
        <v>40.8079649280944</v>
      </c>
      <c r="AI57" s="1284">
        <f>+$D$57</f>
        <v>150</v>
      </c>
      <c r="AJ57" s="1300">
        <f t="shared" ref="AJ57:AL57" si="331">+AJ45/AJ$65*1000</f>
        <v>183.0854234847281</v>
      </c>
      <c r="AK57" s="1297">
        <f t="shared" si="331"/>
        <v>149.99999999999997</v>
      </c>
      <c r="AL57" s="1297">
        <f t="shared" si="331"/>
        <v>125.21155739427661</v>
      </c>
      <c r="AM57" s="1298">
        <f>+$D$57</f>
        <v>150</v>
      </c>
      <c r="AN57" s="1298">
        <f t="shared" si="290"/>
        <v>155.297100417991</v>
      </c>
      <c r="AO57" s="1284">
        <f>+$D$57</f>
        <v>150</v>
      </c>
      <c r="AP57" s="1300">
        <f t="shared" si="291"/>
        <v>175.68558590031725</v>
      </c>
      <c r="AQ57" s="1297">
        <f t="shared" si="291"/>
        <v>149.99999999999997</v>
      </c>
      <c r="AR57" s="1297">
        <f t="shared" si="291"/>
        <v>177.29451591062963</v>
      </c>
      <c r="AS57" s="1284">
        <f>+$D$57</f>
        <v>150</v>
      </c>
      <c r="AT57" s="1300">
        <f t="shared" si="292"/>
        <v>175.87139567803507</v>
      </c>
      <c r="AU57" s="1297">
        <f t="shared" si="292"/>
        <v>150</v>
      </c>
      <c r="AV57" s="1297">
        <f t="shared" si="292"/>
        <v>173.29685634118638</v>
      </c>
      <c r="AW57" s="1284">
        <f>+$D$57</f>
        <v>150</v>
      </c>
      <c r="AX57" s="1300">
        <f t="shared" ref="AX57:AZ57" si="332">+AX45/AX$65*1000</f>
        <v>175.62229489968618</v>
      </c>
      <c r="AY57" s="1297">
        <f t="shared" si="332"/>
        <v>149.99999999999997</v>
      </c>
      <c r="AZ57" s="1297">
        <f t="shared" si="332"/>
        <v>165.20657528901029</v>
      </c>
      <c r="BA57" s="1298">
        <f>+$D$57</f>
        <v>150</v>
      </c>
      <c r="BB57" s="1298">
        <f t="shared" si="294"/>
        <v>171.65566172714702</v>
      </c>
      <c r="BC57" s="1225">
        <f>+$D$57</f>
        <v>150</v>
      </c>
      <c r="BD57" s="1301">
        <f t="shared" si="295"/>
        <v>165.05471284463721</v>
      </c>
      <c r="BE57" s="1284">
        <f>+$D$57</f>
        <v>150</v>
      </c>
      <c r="BF57" s="1300">
        <f t="shared" si="296"/>
        <v>174.54107878732947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82" t="s">
        <v>689</v>
      </c>
      <c r="C58" s="64" t="s">
        <v>219</v>
      </c>
      <c r="D58" s="1970">
        <f t="shared" si="279"/>
        <v>7</v>
      </c>
      <c r="E58" s="1297">
        <f t="shared" ref="E58:I59" si="333">+E46/E$65*1000</f>
        <v>7.0000000000000009</v>
      </c>
      <c r="F58" s="1297">
        <f t="shared" ref="F58:G59" si="334">+F46/F$65*1000</f>
        <v>2.4857844203461457</v>
      </c>
      <c r="G58" s="1297">
        <f t="shared" si="334"/>
        <v>6.9999999999999991</v>
      </c>
      <c r="H58" s="1297">
        <f t="shared" ref="H58" si="335">+H46/H$65*1000</f>
        <v>2.8144754099283431</v>
      </c>
      <c r="I58" s="1300">
        <f t="shared" ref="I58" si="336">+I46/I$65*1000</f>
        <v>6.9999999999999991</v>
      </c>
      <c r="J58" s="1300">
        <f t="shared" si="301"/>
        <v>2.6582547671368824</v>
      </c>
      <c r="K58" s="1297">
        <f t="shared" si="301"/>
        <v>8</v>
      </c>
      <c r="L58" s="1297">
        <f t="shared" si="301"/>
        <v>0</v>
      </c>
      <c r="M58" s="1298">
        <f>+$D$58</f>
        <v>7</v>
      </c>
      <c r="N58" s="1298">
        <f t="shared" si="283"/>
        <v>1.9192363998110618</v>
      </c>
      <c r="O58" s="1297">
        <f t="shared" si="283"/>
        <v>8</v>
      </c>
      <c r="P58" s="1297">
        <f t="shared" si="283"/>
        <v>5.3430627962537498</v>
      </c>
      <c r="Q58" s="1300">
        <f>+$D$58</f>
        <v>7</v>
      </c>
      <c r="R58" s="1300">
        <f t="shared" si="284"/>
        <v>2.9303346742745164</v>
      </c>
      <c r="S58" s="1297">
        <f t="shared" si="284"/>
        <v>8</v>
      </c>
      <c r="T58" s="1297">
        <f t="shared" si="284"/>
        <v>0</v>
      </c>
      <c r="U58" s="1300">
        <f>+$D$58</f>
        <v>7</v>
      </c>
      <c r="V58" s="1300">
        <f t="shared" ref="V58:X59" si="337">+V46/V$65*1000</f>
        <v>2.2957422222902442</v>
      </c>
      <c r="W58" s="1297">
        <f t="shared" si="337"/>
        <v>8</v>
      </c>
      <c r="X58" s="1297">
        <f t="shared" si="337"/>
        <v>8.0987616993361726</v>
      </c>
      <c r="Y58" s="1298">
        <f>+$D$58</f>
        <v>7</v>
      </c>
      <c r="Z58" s="1298">
        <f t="shared" si="286"/>
        <v>4.50788482089113</v>
      </c>
      <c r="AA58" s="1225">
        <f>+$D$58</f>
        <v>7</v>
      </c>
      <c r="AB58" s="1301">
        <f t="shared" si="287"/>
        <v>3.3345833993806373</v>
      </c>
      <c r="AC58" s="1297">
        <f t="shared" si="287"/>
        <v>7.9999999999999982</v>
      </c>
      <c r="AD58" s="1297">
        <f t="shared" si="287"/>
        <v>8.0459800942452464</v>
      </c>
      <c r="AE58" s="1284">
        <f>+$D$58</f>
        <v>7</v>
      </c>
      <c r="AF58" s="1300">
        <f t="shared" si="288"/>
        <v>4.0539195874338319</v>
      </c>
      <c r="AG58" s="1297">
        <f t="shared" si="288"/>
        <v>8</v>
      </c>
      <c r="AH58" s="1297">
        <f t="shared" si="288"/>
        <v>40.971852337444176</v>
      </c>
      <c r="AI58" s="1284">
        <f>+$D$58</f>
        <v>7</v>
      </c>
      <c r="AJ58" s="1300">
        <f t="shared" ref="AJ58:AL58" si="338">+AJ46/AJ$65*1000</f>
        <v>4.4192390151502865</v>
      </c>
      <c r="AK58" s="1297">
        <f t="shared" si="338"/>
        <v>7.9999999999999982</v>
      </c>
      <c r="AL58" s="1297">
        <f t="shared" si="338"/>
        <v>5.530912268669594</v>
      </c>
      <c r="AM58" s="1298">
        <f>+$D$58</f>
        <v>7</v>
      </c>
      <c r="AN58" s="1298">
        <f t="shared" si="290"/>
        <v>7.9065133857271626</v>
      </c>
      <c r="AO58" s="1284">
        <f>+$D$58</f>
        <v>7</v>
      </c>
      <c r="AP58" s="1300">
        <f t="shared" si="291"/>
        <v>4.5613791913417243</v>
      </c>
      <c r="AQ58" s="1297">
        <f t="shared" si="291"/>
        <v>7.9999999999999982</v>
      </c>
      <c r="AR58" s="1297">
        <f t="shared" si="291"/>
        <v>4.8747461069735953</v>
      </c>
      <c r="AS58" s="1284">
        <f>+$D$58</f>
        <v>7</v>
      </c>
      <c r="AT58" s="1300">
        <f t="shared" si="292"/>
        <v>4.5975688556307084</v>
      </c>
      <c r="AU58" s="1297">
        <f t="shared" si="292"/>
        <v>8</v>
      </c>
      <c r="AV58" s="1297">
        <f t="shared" si="292"/>
        <v>6.1314047632255857</v>
      </c>
      <c r="AW58" s="1284">
        <f>+$D$58</f>
        <v>7</v>
      </c>
      <c r="AX58" s="1300">
        <f t="shared" ref="AX58:AZ58" si="339">+AX46/AX$65*1000</f>
        <v>4.745975878577597</v>
      </c>
      <c r="AY58" s="1297">
        <f t="shared" si="339"/>
        <v>7.9999999999999982</v>
      </c>
      <c r="AZ58" s="1297">
        <f t="shared" si="339"/>
        <v>3.6583581288717624</v>
      </c>
      <c r="BA58" s="1298">
        <f>+$D$58</f>
        <v>7</v>
      </c>
      <c r="BB58" s="1298">
        <f t="shared" si="294"/>
        <v>4.813825306279635</v>
      </c>
      <c r="BC58" s="1225">
        <f>+$D$58</f>
        <v>7</v>
      </c>
      <c r="BD58" s="1301">
        <f t="shared" si="295"/>
        <v>6.0617758770033774</v>
      </c>
      <c r="BE58" s="1284">
        <f>+$D$58</f>
        <v>7</v>
      </c>
      <c r="BF58" s="1300">
        <f t="shared" si="296"/>
        <v>4.6330744297077802</v>
      </c>
      <c r="BG58" s="26"/>
      <c r="BH58" s="26"/>
      <c r="BI58" s="26"/>
      <c r="BJ58" s="26"/>
      <c r="BK58" s="26"/>
      <c r="BL58" s="26"/>
      <c r="BM58" s="26"/>
      <c r="BN58" s="26"/>
    </row>
    <row r="59" spans="2:66" s="4712" customFormat="1" x14ac:dyDescent="0.25">
      <c r="B59" s="3261" t="s">
        <v>1965</v>
      </c>
      <c r="C59" s="3844" t="s">
        <v>219</v>
      </c>
      <c r="D59" s="1970">
        <f t="shared" si="279"/>
        <v>5.9999999999999982</v>
      </c>
      <c r="E59" s="1297">
        <f t="shared" si="333"/>
        <v>6</v>
      </c>
      <c r="F59" s="1297">
        <f t="shared" si="334"/>
        <v>1.6797377497436536</v>
      </c>
      <c r="G59" s="1297">
        <f t="shared" si="334"/>
        <v>6</v>
      </c>
      <c r="H59" s="1297">
        <f t="shared" ref="H59" si="340">+H47/H$65*1000</f>
        <v>1.958874885310127</v>
      </c>
      <c r="I59" s="1297">
        <f t="shared" si="333"/>
        <v>6</v>
      </c>
      <c r="J59" s="1297">
        <f t="shared" si="301"/>
        <v>1.8262062569409987</v>
      </c>
      <c r="K59" s="3845"/>
      <c r="L59" s="3845"/>
      <c r="M59" s="1298">
        <v>0</v>
      </c>
      <c r="N59" s="1298">
        <f t="shared" si="283"/>
        <v>1.3185047442457563</v>
      </c>
      <c r="O59" s="1297">
        <f t="shared" si="283"/>
        <v>0</v>
      </c>
      <c r="P59" s="1297">
        <f t="shared" si="283"/>
        <v>0</v>
      </c>
      <c r="Q59" s="1300">
        <v>0</v>
      </c>
      <c r="R59" s="1300">
        <f t="shared" si="284"/>
        <v>0.92913398842592954</v>
      </c>
      <c r="S59" s="1297">
        <f t="shared" si="284"/>
        <v>0</v>
      </c>
      <c r="T59" s="1297">
        <f t="shared" si="284"/>
        <v>0.17940096387245136</v>
      </c>
      <c r="U59" s="1300">
        <v>0</v>
      </c>
      <c r="V59" s="1300">
        <f t="shared" si="337"/>
        <v>0.76677201572642295</v>
      </c>
      <c r="W59" s="1297">
        <f t="shared" si="337"/>
        <v>0</v>
      </c>
      <c r="X59" s="1297">
        <f t="shared" si="337"/>
        <v>1.7088387185599321</v>
      </c>
      <c r="Y59" s="4993"/>
      <c r="Z59" s="1298">
        <f t="shared" si="286"/>
        <v>0.61784539015743123</v>
      </c>
      <c r="AA59" s="3266"/>
      <c r="AB59" s="1301">
        <f t="shared" si="287"/>
        <v>0.93541830174016938</v>
      </c>
      <c r="AC59" s="1297">
        <f t="shared" si="287"/>
        <v>0</v>
      </c>
      <c r="AD59" s="1297">
        <f t="shared" si="287"/>
        <v>1.2283529610547745</v>
      </c>
      <c r="AE59" s="3263"/>
      <c r="AF59" s="3846">
        <f t="shared" si="287"/>
        <v>0.98014357427128762</v>
      </c>
      <c r="AG59" s="1297">
        <f t="shared" ref="AG59:AH59" si="341">+AG47/AG$65*1000</f>
        <v>0</v>
      </c>
      <c r="AH59" s="1297">
        <f t="shared" si="341"/>
        <v>0</v>
      </c>
      <c r="AI59" s="3263"/>
      <c r="AJ59" s="3846">
        <f t="shared" ref="AJ59:AN59" si="342">+AJ47/AJ$65*1000</f>
        <v>0.97044461598840137</v>
      </c>
      <c r="AK59" s="1297">
        <f t="shared" si="342"/>
        <v>0</v>
      </c>
      <c r="AL59" s="1297">
        <f t="shared" si="342"/>
        <v>2.0132520657957325</v>
      </c>
      <c r="AM59" s="4993"/>
      <c r="AN59" s="4993">
        <f t="shared" si="342"/>
        <v>1.5628541459120691</v>
      </c>
      <c r="AO59" s="3263"/>
      <c r="AP59" s="3846">
        <f t="shared" si="291"/>
        <v>1.1037795092946057</v>
      </c>
      <c r="AQ59" s="1297">
        <f t="shared" si="291"/>
        <v>0</v>
      </c>
      <c r="AR59" s="1297">
        <f t="shared" si="291"/>
        <v>1.7832633716993906</v>
      </c>
      <c r="AS59" s="3263"/>
      <c r="AT59" s="3846">
        <f t="shared" si="291"/>
        <v>1.1822507570350624</v>
      </c>
      <c r="AU59" s="1297">
        <f t="shared" ref="AU59:AV59" si="343">+AU47/AU$65*1000</f>
        <v>0</v>
      </c>
      <c r="AV59" s="1297">
        <f t="shared" si="343"/>
        <v>1.5459899152990229</v>
      </c>
      <c r="AW59" s="3263"/>
      <c r="AX59" s="3846">
        <f t="shared" ref="AX59:AZ59" si="344">+AX47/AX$65*1000</f>
        <v>1.2174445123382662</v>
      </c>
      <c r="AY59" s="1297">
        <f t="shared" si="344"/>
        <v>0</v>
      </c>
      <c r="AZ59" s="1297">
        <f t="shared" si="344"/>
        <v>0.61704307106970391</v>
      </c>
      <c r="BA59" s="4993"/>
      <c r="BB59" s="1298">
        <f t="shared" si="294"/>
        <v>1.2845514539981049</v>
      </c>
      <c r="BC59" s="3266"/>
      <c r="BD59" s="1301">
        <f t="shared" si="295"/>
        <v>1.3968511732992599</v>
      </c>
      <c r="BE59" s="3263"/>
      <c r="BF59" s="1300">
        <f t="shared" si="296"/>
        <v>1.1551191295086081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25">
      <c r="B60" s="1282" t="s">
        <v>68</v>
      </c>
      <c r="C60" s="64" t="s">
        <v>219</v>
      </c>
      <c r="D60" s="1970">
        <f>D48/$D$65*1000</f>
        <v>40</v>
      </c>
      <c r="E60" s="1297">
        <f t="shared" ref="E60" si="345">+E48/E$65*1000</f>
        <v>40</v>
      </c>
      <c r="F60" s="1297">
        <f t="shared" ref="F60:G60" si="346">+F48/F$65*1000</f>
        <v>40</v>
      </c>
      <c r="G60" s="1297">
        <f t="shared" si="346"/>
        <v>40</v>
      </c>
      <c r="H60" s="1297">
        <f t="shared" ref="H60" si="347">+H48/H$65*1000</f>
        <v>40</v>
      </c>
      <c r="I60" s="1300">
        <f t="shared" ref="I60" si="348">+I48/I$65*1000</f>
        <v>40</v>
      </c>
      <c r="J60" s="1284">
        <f>+J48/J$65*1000</f>
        <v>40</v>
      </c>
      <c r="K60" s="1297">
        <f>+K48/K$65*1000</f>
        <v>45</v>
      </c>
      <c r="L60" s="1297">
        <f>+L48/L$65*1000</f>
        <v>40</v>
      </c>
      <c r="M60" s="1286">
        <f>+$D$60</f>
        <v>40</v>
      </c>
      <c r="N60" s="1298">
        <f t="shared" si="283"/>
        <v>40</v>
      </c>
      <c r="O60" s="1297">
        <f t="shared" si="283"/>
        <v>45</v>
      </c>
      <c r="P60" s="1297">
        <f t="shared" si="283"/>
        <v>40</v>
      </c>
      <c r="Q60" s="1284">
        <f>+$D$60</f>
        <v>40</v>
      </c>
      <c r="R60" s="1284">
        <f t="shared" si="284"/>
        <v>40</v>
      </c>
      <c r="S60" s="1297">
        <f t="shared" si="284"/>
        <v>45.000000000000007</v>
      </c>
      <c r="T60" s="1297">
        <f t="shared" si="284"/>
        <v>40</v>
      </c>
      <c r="U60" s="1284">
        <f>+$D$60</f>
        <v>40</v>
      </c>
      <c r="V60" s="1284">
        <f t="shared" ref="V60:X60" si="349">+V48/V$65*1000</f>
        <v>40</v>
      </c>
      <c r="W60" s="1297">
        <f t="shared" si="349"/>
        <v>45.000000000000007</v>
      </c>
      <c r="X60" s="1297">
        <f t="shared" si="349"/>
        <v>40</v>
      </c>
      <c r="Y60" s="1286">
        <f>+$D$60</f>
        <v>40</v>
      </c>
      <c r="Z60" s="1298">
        <f>+Z48/Z$65*1000</f>
        <v>40</v>
      </c>
      <c r="AA60" s="1225">
        <f>+$D$60</f>
        <v>40</v>
      </c>
      <c r="AB60" s="1301">
        <f>+AB48/AB$65*1000</f>
        <v>39.999999999999993</v>
      </c>
      <c r="AC60" s="1297">
        <f t="shared" ref="AC60:AD60" si="350">+AC48/AC$65*1000</f>
        <v>45</v>
      </c>
      <c r="AD60" s="1297">
        <f t="shared" si="350"/>
        <v>40</v>
      </c>
      <c r="AE60" s="1284">
        <f>+$D$60</f>
        <v>40</v>
      </c>
      <c r="AF60" s="1284">
        <f>+AF48/AF$65*1000</f>
        <v>39.999999999999993</v>
      </c>
      <c r="AG60" s="1297">
        <f t="shared" ref="AG60:AH60" si="351">+AG48/AG$65*1000</f>
        <v>44.999999999999993</v>
      </c>
      <c r="AH60" s="1297">
        <f t="shared" si="351"/>
        <v>40</v>
      </c>
      <c r="AI60" s="1284">
        <f>+$D$60</f>
        <v>40</v>
      </c>
      <c r="AJ60" s="1284">
        <f>+AJ48/AJ$65*1000</f>
        <v>39.999999999999993</v>
      </c>
      <c r="AK60" s="1297">
        <f t="shared" ref="AK60:AL60" si="352">+AK48/AK$65*1000</f>
        <v>45</v>
      </c>
      <c r="AL60" s="1297">
        <f t="shared" si="352"/>
        <v>40</v>
      </c>
      <c r="AM60" s="1286">
        <f>+$D$60</f>
        <v>40</v>
      </c>
      <c r="AN60" s="1298">
        <f>+AN48/AN$65*1000</f>
        <v>40</v>
      </c>
      <c r="AO60" s="1284">
        <f>+$D$60</f>
        <v>40</v>
      </c>
      <c r="AP60" s="1284">
        <f>+AP48/AP$65*1000</f>
        <v>40</v>
      </c>
      <c r="AQ60" s="1297">
        <f t="shared" ref="AQ60:AR60" si="353">+AQ48/AQ$65*1000</f>
        <v>45</v>
      </c>
      <c r="AR60" s="1297">
        <f t="shared" si="353"/>
        <v>40</v>
      </c>
      <c r="AS60" s="1284">
        <f>+$D$60</f>
        <v>40</v>
      </c>
      <c r="AT60" s="1284">
        <f>+AT48/AT$65*1000</f>
        <v>40</v>
      </c>
      <c r="AU60" s="1283">
        <f t="shared" ref="AU60:AV60" si="354">+AU48/AU$65*1000</f>
        <v>45</v>
      </c>
      <c r="AV60" s="1283">
        <f t="shared" si="354"/>
        <v>40</v>
      </c>
      <c r="AW60" s="1284">
        <f>+$D$60</f>
        <v>40</v>
      </c>
      <c r="AX60" s="1284">
        <f>+AX48/AX$65*1000</f>
        <v>39.999999999999993</v>
      </c>
      <c r="AY60" s="1283">
        <f t="shared" ref="AY60:AZ60" si="355">+AY48/AY$65*1000</f>
        <v>45</v>
      </c>
      <c r="AZ60" s="1283">
        <f t="shared" si="355"/>
        <v>40</v>
      </c>
      <c r="BA60" s="1286">
        <f>+$D$60</f>
        <v>40</v>
      </c>
      <c r="BB60" s="1298">
        <f>+BB48/BB$65*1000</f>
        <v>39.999999999999993</v>
      </c>
      <c r="BC60" s="1225">
        <f>+$D$60</f>
        <v>40</v>
      </c>
      <c r="BD60" s="1301">
        <f>+BD48/BD$65*1000</f>
        <v>40</v>
      </c>
      <c r="BE60" s="1284">
        <f>+$D$60</f>
        <v>40</v>
      </c>
      <c r="BF60" s="1284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75" x14ac:dyDescent="0.25">
      <c r="B61" s="1288" t="s">
        <v>21</v>
      </c>
      <c r="C61" s="1289" t="s">
        <v>219</v>
      </c>
      <c r="D61" s="200">
        <f t="shared" ref="D61:AB61" si="356">SUM(D51:D60)</f>
        <v>1536.6754972306292</v>
      </c>
      <c r="E61" s="1290">
        <f t="shared" si="356"/>
        <v>1536.9086439182634</v>
      </c>
      <c r="F61" s="1290">
        <f t="shared" si="356"/>
        <v>1561.0421340459245</v>
      </c>
      <c r="G61" s="1290">
        <f t="shared" ref="G61:H61" si="357">SUM(G51:G60)</f>
        <v>1537.1954840135079</v>
      </c>
      <c r="H61" s="1290">
        <f t="shared" si="357"/>
        <v>1561.9007841128489</v>
      </c>
      <c r="I61" s="1291">
        <f t="shared" si="356"/>
        <v>1537.0541862674788</v>
      </c>
      <c r="J61" s="1291">
        <f t="shared" si="356"/>
        <v>1561.4926838921579</v>
      </c>
      <c r="K61" s="1290">
        <f t="shared" ref="K61:L61" si="358">SUM(K51:K60)</f>
        <v>1526.7560911937881</v>
      </c>
      <c r="L61" s="1290">
        <f t="shared" si="358"/>
        <v>1589.0090014075486</v>
      </c>
      <c r="M61" s="1293">
        <f t="shared" si="356"/>
        <v>1529.5754972306293</v>
      </c>
      <c r="N61" s="1293">
        <f t="shared" si="356"/>
        <v>1567.3085268474517</v>
      </c>
      <c r="O61" s="1290">
        <f t="shared" ref="O61:P61" si="359">SUM(O51:O60)</f>
        <v>1502.4596798180562</v>
      </c>
      <c r="P61" s="1290">
        <f t="shared" si="359"/>
        <v>1580.5440255652832</v>
      </c>
      <c r="Q61" s="1291">
        <f t="shared" si="356"/>
        <v>1515.0703854749077</v>
      </c>
      <c r="R61" s="1291">
        <f t="shared" si="356"/>
        <v>1571.2171332911564</v>
      </c>
      <c r="S61" s="1290">
        <f t="shared" ref="S61:T61" si="360">SUM(S51:S60)</f>
        <v>1552.2951334001496</v>
      </c>
      <c r="T61" s="1290">
        <f t="shared" si="360"/>
        <v>1545.6532505551911</v>
      </c>
      <c r="U61" s="1291">
        <f t="shared" ref="U61:X61" si="361">SUM(U51:U60)</f>
        <v>1517.4056069192377</v>
      </c>
      <c r="V61" s="1291">
        <f t="shared" si="361"/>
        <v>1565.6810260437244</v>
      </c>
      <c r="W61" s="1290">
        <f t="shared" si="361"/>
        <v>1553.8787351648982</v>
      </c>
      <c r="X61" s="1290">
        <f t="shared" si="361"/>
        <v>1595.6807684105102</v>
      </c>
      <c r="Y61" s="1293">
        <f t="shared" si="356"/>
        <v>1515.3287213020171</v>
      </c>
      <c r="Z61" s="1293">
        <f t="shared" si="356"/>
        <v>1574.1543694220452</v>
      </c>
      <c r="AA61" s="1294">
        <f t="shared" si="356"/>
        <v>1518.4402606324786</v>
      </c>
      <c r="AB61" s="1294">
        <f t="shared" si="356"/>
        <v>1571.0515004658751</v>
      </c>
      <c r="AC61" s="1290">
        <f t="shared" ref="AC61:AD61" si="362">SUM(AC51:AC60)</f>
        <v>1554.1349403504057</v>
      </c>
      <c r="AD61" s="1290">
        <f t="shared" si="362"/>
        <v>1589.1262333816983</v>
      </c>
      <c r="AE61" s="1291">
        <f t="shared" ref="AE61:AH61" si="363">SUM(AE51:AE60)</f>
        <v>1519.6700319236577</v>
      </c>
      <c r="AF61" s="1291">
        <f t="shared" si="363"/>
        <v>1573.8111512271712</v>
      </c>
      <c r="AG61" s="1290">
        <f t="shared" si="363"/>
        <v>1553.1769934622778</v>
      </c>
      <c r="AH61" s="1290">
        <f t="shared" si="363"/>
        <v>1438.3103208096036</v>
      </c>
      <c r="AI61" s="1291">
        <f t="shared" ref="AI61:AL61" si="364">SUM(AI51:AI60)</f>
        <v>1520.3890527252638</v>
      </c>
      <c r="AJ61" s="1291">
        <f t="shared" si="364"/>
        <v>1572.4703100116437</v>
      </c>
      <c r="AK61" s="1290">
        <f t="shared" si="364"/>
        <v>1554.1349403504057</v>
      </c>
      <c r="AL61" s="1290">
        <f t="shared" si="364"/>
        <v>1512.634318204445</v>
      </c>
      <c r="AM61" s="1293">
        <f t="shared" ref="AM61:AN61" si="365">SUM(AM51:AM60)</f>
        <v>1525.4031806901874</v>
      </c>
      <c r="AN61" s="1293">
        <f t="shared" si="365"/>
        <v>1547.826894795933</v>
      </c>
      <c r="AO61" s="1291">
        <f t="shared" ref="AO61:AT61" si="366">SUM(AO51:AO60)</f>
        <v>1521.0642574375158</v>
      </c>
      <c r="AP61" s="1291">
        <f t="shared" si="366"/>
        <v>1564.8195921490528</v>
      </c>
      <c r="AQ61" s="1290">
        <f t="shared" si="366"/>
        <v>1554.1349403504057</v>
      </c>
      <c r="AR61" s="1290">
        <f t="shared" si="366"/>
        <v>1571.1833987813131</v>
      </c>
      <c r="AS61" s="1291">
        <f t="shared" si="366"/>
        <v>1521.5875704009857</v>
      </c>
      <c r="AT61" s="1291">
        <f t="shared" si="366"/>
        <v>1565.5545262283483</v>
      </c>
      <c r="AU61" s="1290">
        <f t="shared" ref="AU61:AX61" si="367">SUM(AU51:AU60)</f>
        <v>1552.8586255150551</v>
      </c>
      <c r="AV61" s="1290">
        <f t="shared" si="367"/>
        <v>1579.6290792089906</v>
      </c>
      <c r="AW61" s="1291">
        <f t="shared" si="367"/>
        <v>1521.8516635315395</v>
      </c>
      <c r="AX61" s="1291">
        <f t="shared" si="367"/>
        <v>1566.9163162978223</v>
      </c>
      <c r="AY61" s="1290">
        <f t="shared" ref="AY61:AZ61" si="368">SUM(AY51:AY60)</f>
        <v>1554.1349403504057</v>
      </c>
      <c r="AZ61" s="1290">
        <f t="shared" si="368"/>
        <v>1584.6480659480023</v>
      </c>
      <c r="BA61" s="1293">
        <f t="shared" ref="BA61:BD61" si="369">SUM(BA51:BA60)</f>
        <v>1525.3186246397095</v>
      </c>
      <c r="BB61" s="1293">
        <f t="shared" si="369"/>
        <v>1578.6835346671191</v>
      </c>
      <c r="BC61" s="1294">
        <f t="shared" si="369"/>
        <v>1525.361381845574</v>
      </c>
      <c r="BD61" s="1294">
        <f t="shared" si="369"/>
        <v>1566.2323723291631</v>
      </c>
      <c r="BE61" s="1291">
        <f t="shared" ref="BE61:BF61" si="370">SUM(BE51:BE60)</f>
        <v>1522.2096300990186</v>
      </c>
      <c r="BF61" s="1291">
        <f t="shared" si="370"/>
        <v>1568.7569815747943</v>
      </c>
      <c r="BG61" s="26"/>
      <c r="BH61" s="26"/>
      <c r="BI61" s="26"/>
      <c r="BJ61" s="26"/>
      <c r="BK61" s="26"/>
      <c r="BL61" s="26"/>
      <c r="BM61" s="26"/>
      <c r="BN61" s="26"/>
    </row>
    <row r="62" spans="2:66" ht="18.75" x14ac:dyDescent="0.25">
      <c r="B62" s="1281" t="s">
        <v>220</v>
      </c>
      <c r="C62" s="1281"/>
      <c r="D62" s="251"/>
      <c r="E62" s="1281"/>
      <c r="F62" s="1281"/>
      <c r="G62" s="1281"/>
      <c r="H62" s="1281"/>
      <c r="I62" s="1281"/>
      <c r="J62" s="1281"/>
      <c r="K62" s="1281"/>
      <c r="L62" s="1281"/>
      <c r="M62" s="1281"/>
      <c r="N62" s="1281"/>
      <c r="O62" s="1281"/>
      <c r="P62" s="1281"/>
      <c r="Q62" s="1281"/>
      <c r="R62" s="1281"/>
      <c r="S62" s="1281"/>
      <c r="T62" s="1281"/>
      <c r="U62" s="1281"/>
      <c r="V62" s="1281"/>
      <c r="W62" s="1281"/>
      <c r="X62" s="1281"/>
      <c r="Y62" s="1281"/>
      <c r="Z62" s="1281"/>
      <c r="AA62" s="1281"/>
      <c r="AB62" s="1281"/>
      <c r="AC62" s="1281"/>
      <c r="AD62" s="1281"/>
      <c r="AE62" s="1281"/>
      <c r="AF62" s="1281"/>
      <c r="AG62" s="1281"/>
      <c r="AH62" s="1281"/>
      <c r="AI62" s="1281"/>
      <c r="AJ62" s="1281"/>
      <c r="AK62" s="1281"/>
      <c r="AL62" s="1281"/>
      <c r="AM62" s="1281"/>
      <c r="AN62" s="1281"/>
      <c r="AO62" s="1281"/>
      <c r="AP62" s="1281"/>
      <c r="AQ62" s="1281"/>
      <c r="AR62" s="1281"/>
      <c r="AS62" s="1281"/>
      <c r="AT62" s="1281"/>
      <c r="AU62" s="1281"/>
      <c r="AV62" s="1281"/>
      <c r="AW62" s="1281"/>
      <c r="AX62" s="1281"/>
      <c r="AY62" s="1281"/>
      <c r="AZ62" s="1281"/>
      <c r="BA62" s="1281"/>
      <c r="BB62" s="1281"/>
      <c r="BC62" s="1281"/>
      <c r="BD62" s="1281"/>
      <c r="BE62" s="1281"/>
      <c r="BF62" s="1281"/>
      <c r="BG62" s="26"/>
      <c r="BH62" s="26"/>
      <c r="BI62" s="26"/>
      <c r="BJ62" s="26"/>
      <c r="BK62" s="26"/>
      <c r="BL62" s="26"/>
      <c r="BM62" s="26"/>
      <c r="BN62" s="26"/>
    </row>
    <row r="63" spans="2:66" x14ac:dyDescent="0.25">
      <c r="B63" s="1282" t="s">
        <v>45</v>
      </c>
      <c r="C63" s="64" t="s">
        <v>50</v>
      </c>
      <c r="D63" s="1204">
        <v>2181437.9814609592</v>
      </c>
      <c r="E63" s="1283">
        <v>186095.71909429212</v>
      </c>
      <c r="F63" s="1283">
        <v>164970</v>
      </c>
      <c r="G63" s="1283">
        <v>191686.05938299978</v>
      </c>
      <c r="H63" s="1283">
        <v>184098</v>
      </c>
      <c r="I63" s="1284">
        <f>+E63+G63</f>
        <v>377781.77847729193</v>
      </c>
      <c r="J63" s="1284">
        <f>+F63+H63</f>
        <v>349068</v>
      </c>
      <c r="K63" s="1283">
        <v>110255.02949456319</v>
      </c>
      <c r="L63" s="1283">
        <v>125245</v>
      </c>
      <c r="M63" s="1286">
        <f>+K63+G63+E63</f>
        <v>488036.80797185504</v>
      </c>
      <c r="N63" s="1286">
        <f>+L63+H63+F63</f>
        <v>474313</v>
      </c>
      <c r="O63" s="1283">
        <v>122207.54386216174</v>
      </c>
      <c r="P63" s="1283">
        <v>197928</v>
      </c>
      <c r="Q63" s="1284">
        <f>+M63+O63</f>
        <v>610244.35183401674</v>
      </c>
      <c r="R63" s="1284">
        <f>+N63+P63</f>
        <v>672241</v>
      </c>
      <c r="S63" s="1283">
        <v>195624.65445167152</v>
      </c>
      <c r="T63" s="1283">
        <v>184900</v>
      </c>
      <c r="U63" s="1284">
        <f>+Q63+S63</f>
        <v>805869.00628568826</v>
      </c>
      <c r="V63" s="1284">
        <f>+R63+T63</f>
        <v>857141</v>
      </c>
      <c r="W63" s="1283">
        <v>187303.83263661579</v>
      </c>
      <c r="X63" s="1283">
        <v>190330</v>
      </c>
      <c r="Y63" s="1286">
        <f>+O63+S63+W63</f>
        <v>505136.03095044906</v>
      </c>
      <c r="Z63" s="1286">
        <f>+P63+T63+X63</f>
        <v>573158</v>
      </c>
      <c r="AA63" s="1225">
        <f>+U63+W63</f>
        <v>993172.8389223041</v>
      </c>
      <c r="AB63" s="1225">
        <f>+N63+Z63</f>
        <v>1047471</v>
      </c>
      <c r="AC63" s="1283">
        <v>201525.68172049118</v>
      </c>
      <c r="AD63" s="1283">
        <v>192066</v>
      </c>
      <c r="AE63" s="1284">
        <f>+AA63+AC63</f>
        <v>1194698.5206427954</v>
      </c>
      <c r="AF63" s="1284">
        <f>+AB63+AD63</f>
        <v>1239537</v>
      </c>
      <c r="AG63" s="1283">
        <v>196204.85990543544</v>
      </c>
      <c r="AH63" s="1283">
        <v>13027</v>
      </c>
      <c r="AI63" s="1284">
        <f>+AE63+AG63</f>
        <v>1390903.3805482308</v>
      </c>
      <c r="AJ63" s="1284">
        <f>+AF63+AH63</f>
        <v>1252564</v>
      </c>
      <c r="AK63" s="1283">
        <v>201525.68172049118</v>
      </c>
      <c r="AL63" s="1283">
        <v>190975</v>
      </c>
      <c r="AM63" s="1286">
        <f>+AC63+AG63+AK63</f>
        <v>599256.22334641777</v>
      </c>
      <c r="AN63" s="1286">
        <f>+AD63+AH63+AL63</f>
        <v>396068</v>
      </c>
      <c r="AO63" s="1284">
        <f>AI63+AK63</f>
        <v>1592429.0622687221</v>
      </c>
      <c r="AP63" s="1284">
        <f>AJ63+AL63</f>
        <v>1443539</v>
      </c>
      <c r="AQ63" s="1283">
        <v>201525.68172049118</v>
      </c>
      <c r="AR63" s="1283">
        <v>193559</v>
      </c>
      <c r="AS63" s="1284">
        <f>+AO63+AQ63</f>
        <v>1793954.7439892134</v>
      </c>
      <c r="AT63" s="1284">
        <f>+AP63+AR63</f>
        <v>1637098</v>
      </c>
      <c r="AU63" s="1283">
        <v>182773.11354844202</v>
      </c>
      <c r="AV63" s="1283">
        <v>172126</v>
      </c>
      <c r="AW63" s="1284">
        <f>+AS63+AU63</f>
        <v>1976727.8575376554</v>
      </c>
      <c r="AX63" s="1284">
        <f>+AT63+AV63</f>
        <v>1809224</v>
      </c>
      <c r="AY63" s="1283">
        <v>201525.68172049118</v>
      </c>
      <c r="AZ63" s="1283">
        <v>201701</v>
      </c>
      <c r="BA63" s="1286">
        <f>+AQ63+AU63+AY63</f>
        <v>585824.47698942432</v>
      </c>
      <c r="BB63" s="1286">
        <f>+AR63+AV63+AZ63</f>
        <v>567386</v>
      </c>
      <c r="BC63" s="1225">
        <f t="shared" ref="BC63:BC64" si="371">AM63+BA63</f>
        <v>1185080.7003358421</v>
      </c>
      <c r="BD63" s="1225">
        <f t="shared" ref="BD63:BD64" si="372">AN63+BB63</f>
        <v>963454</v>
      </c>
      <c r="BE63" s="1284">
        <f>+AW63+AY63</f>
        <v>2178253.5392581467</v>
      </c>
      <c r="BF63" s="1284">
        <f>+AX63+AZ63</f>
        <v>2010925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25">
      <c r="B64" s="1282" t="s">
        <v>94</v>
      </c>
      <c r="C64" s="64" t="s">
        <v>50</v>
      </c>
      <c r="D64" s="1204">
        <v>2181437.9814609592</v>
      </c>
      <c r="E64" s="1283">
        <v>186095.71909429212</v>
      </c>
      <c r="F64" s="1283">
        <v>156860</v>
      </c>
      <c r="G64" s="1283">
        <v>191686.05938299978</v>
      </c>
      <c r="H64" s="1283">
        <v>171208</v>
      </c>
      <c r="I64" s="1284">
        <f>+E64+G64</f>
        <v>377781.77847729193</v>
      </c>
      <c r="J64" s="1284">
        <f>+F64+H64</f>
        <v>328068</v>
      </c>
      <c r="K64" s="1283">
        <v>177195.58311626225</v>
      </c>
      <c r="L64" s="1283">
        <v>135492</v>
      </c>
      <c r="M64" s="1286">
        <f>+K64+G64+E64</f>
        <v>554977.36159355415</v>
      </c>
      <c r="N64" s="1286">
        <f>+L64+H64+F64</f>
        <v>463560</v>
      </c>
      <c r="O64" s="1283">
        <v>50727.659716369024</v>
      </c>
      <c r="P64" s="1283">
        <v>195105</v>
      </c>
      <c r="Q64" s="1284">
        <f>+M64+O64</f>
        <v>605705.02130992315</v>
      </c>
      <c r="R64" s="1284">
        <f>+N64+P64</f>
        <v>658665</v>
      </c>
      <c r="S64" s="1283">
        <v>195624.65445167152</v>
      </c>
      <c r="T64" s="1283">
        <v>182991</v>
      </c>
      <c r="U64" s="1284">
        <f>+Q64+S64</f>
        <v>801329.67576159467</v>
      </c>
      <c r="V64" s="1284">
        <f>+R64+T64</f>
        <v>841656</v>
      </c>
      <c r="W64" s="1283">
        <v>187303.83263661579</v>
      </c>
      <c r="X64" s="1283">
        <v>180097</v>
      </c>
      <c r="Y64" s="1286">
        <f>+O64+S64+W64</f>
        <v>433656.14680465637</v>
      </c>
      <c r="Z64" s="1286">
        <f>+P64+T64+X64</f>
        <v>558193</v>
      </c>
      <c r="AA64" s="1225">
        <f>+U64+W64</f>
        <v>988633.5083982104</v>
      </c>
      <c r="AB64" s="1225">
        <f>+N64+Z64</f>
        <v>1021753</v>
      </c>
      <c r="AC64" s="1283">
        <v>201525.68172049118</v>
      </c>
      <c r="AD64" s="1283">
        <v>180791</v>
      </c>
      <c r="AE64" s="1284">
        <f>+AA64+AC64</f>
        <v>1190159.1901187017</v>
      </c>
      <c r="AF64" s="1284">
        <f>+AB64+AD64</f>
        <v>1202544</v>
      </c>
      <c r="AG64" s="1283">
        <v>196204.85990543544</v>
      </c>
      <c r="AH64" s="1283">
        <v>11380</v>
      </c>
      <c r="AI64" s="1284">
        <f>+AE64+AG64</f>
        <v>1386364.0500241371</v>
      </c>
      <c r="AJ64" s="1284">
        <f>+AF64+AH64</f>
        <v>1213924</v>
      </c>
      <c r="AK64" s="1283">
        <v>201525.68172049118</v>
      </c>
      <c r="AL64" s="1283">
        <v>170629</v>
      </c>
      <c r="AM64" s="1286">
        <f>+AC64+AG64+AK64</f>
        <v>599256.22334641777</v>
      </c>
      <c r="AN64" s="1286">
        <f>+AD64+AH64+AL64</f>
        <v>362800</v>
      </c>
      <c r="AO64" s="1284">
        <f>AI64+AK64</f>
        <v>1587889.7317446284</v>
      </c>
      <c r="AP64" s="1284">
        <f>AJ64+AL64</f>
        <v>1384553</v>
      </c>
      <c r="AQ64" s="1283">
        <v>201525.68172049118</v>
      </c>
      <c r="AR64" s="1283">
        <v>175691</v>
      </c>
      <c r="AS64" s="1284">
        <f>+AO64+AQ64</f>
        <v>1789415.4134651197</v>
      </c>
      <c r="AT64" s="1284">
        <f>+AP64+AR64</f>
        <v>1560244</v>
      </c>
      <c r="AU64" s="1283">
        <v>182773.11354844202</v>
      </c>
      <c r="AV64" s="1283">
        <v>170373</v>
      </c>
      <c r="AW64" s="1284">
        <f>+AS64+AU64</f>
        <v>1972188.5270135617</v>
      </c>
      <c r="AX64" s="1284">
        <f>+AT64+AV64</f>
        <v>1730617</v>
      </c>
      <c r="AY64" s="1283">
        <v>201525.68172049118</v>
      </c>
      <c r="AZ64" s="1283">
        <v>208319</v>
      </c>
      <c r="BA64" s="1286">
        <f>+AQ64+AU64+AY64</f>
        <v>585824.47698942432</v>
      </c>
      <c r="BB64" s="1286">
        <f>+AR64+AV64+AZ64</f>
        <v>554383</v>
      </c>
      <c r="BC64" s="1225">
        <f t="shared" si="371"/>
        <v>1185080.7003358421</v>
      </c>
      <c r="BD64" s="1225">
        <f t="shared" si="372"/>
        <v>917183</v>
      </c>
      <c r="BE64" s="1284">
        <f>+AW64+AY64</f>
        <v>2173714.2087340527</v>
      </c>
      <c r="BF64" s="1284">
        <f>+AX64+AZ64</f>
        <v>1938936</v>
      </c>
      <c r="BG64" s="26"/>
      <c r="BH64" s="26"/>
      <c r="BI64" s="26"/>
      <c r="BJ64" s="26"/>
      <c r="BK64" s="26"/>
      <c r="BL64" s="26"/>
      <c r="BM64" s="26"/>
      <c r="BN64" s="26"/>
    </row>
    <row r="65" spans="2:66" ht="15.75" x14ac:dyDescent="0.25">
      <c r="B65" s="1288" t="s">
        <v>21</v>
      </c>
      <c r="C65" s="1289" t="s">
        <v>50</v>
      </c>
      <c r="D65" s="200">
        <f t="shared" ref="D65:R65" si="373">SUM(D63:D64)</f>
        <v>4362875.9629219184</v>
      </c>
      <c r="E65" s="1290">
        <f t="shared" si="373"/>
        <v>372191.43818858423</v>
      </c>
      <c r="F65" s="1290">
        <f t="shared" si="373"/>
        <v>321830</v>
      </c>
      <c r="G65" s="1290">
        <f t="shared" ref="G65:H65" si="374">SUM(G63:G64)</f>
        <v>383372.11876599956</v>
      </c>
      <c r="H65" s="1290">
        <f t="shared" si="374"/>
        <v>355306</v>
      </c>
      <c r="I65" s="1291">
        <f t="shared" si="373"/>
        <v>755563.55695458385</v>
      </c>
      <c r="J65" s="1291">
        <f t="shared" si="373"/>
        <v>677136</v>
      </c>
      <c r="K65" s="1290">
        <f t="shared" ref="K65:L65" si="375">SUM(K63:K64)</f>
        <v>287450.61261082545</v>
      </c>
      <c r="L65" s="1290">
        <f t="shared" si="375"/>
        <v>260737</v>
      </c>
      <c r="M65" s="1293">
        <f t="shared" si="373"/>
        <v>1043014.1695654092</v>
      </c>
      <c r="N65" s="1293">
        <f t="shared" si="373"/>
        <v>937873</v>
      </c>
      <c r="O65" s="1290">
        <f t="shared" ref="O65:P65" si="376">SUM(O63:O64)</f>
        <v>172935.20357853075</v>
      </c>
      <c r="P65" s="1290">
        <f t="shared" si="376"/>
        <v>393033</v>
      </c>
      <c r="Q65" s="1291">
        <f t="shared" si="373"/>
        <v>1215949.3731439398</v>
      </c>
      <c r="R65" s="1291">
        <f t="shared" si="373"/>
        <v>1330906</v>
      </c>
      <c r="S65" s="1290">
        <f t="shared" ref="S65:T65" si="377">SUM(S63:S64)</f>
        <v>391249.30890334304</v>
      </c>
      <c r="T65" s="1290">
        <f t="shared" si="377"/>
        <v>367891</v>
      </c>
      <c r="U65" s="1291">
        <f t="shared" ref="U65:X65" si="378">SUM(U63:U64)</f>
        <v>1607198.6820472828</v>
      </c>
      <c r="V65" s="1291">
        <f t="shared" si="378"/>
        <v>1698797</v>
      </c>
      <c r="W65" s="1290">
        <f t="shared" si="378"/>
        <v>374607.66527323157</v>
      </c>
      <c r="X65" s="1290">
        <f t="shared" si="378"/>
        <v>370427</v>
      </c>
      <c r="Y65" s="1293">
        <f t="shared" ref="Y65:AD65" si="379">SUM(Y63:Y64)</f>
        <v>938792.17775510543</v>
      </c>
      <c r="Z65" s="1293">
        <f t="shared" si="379"/>
        <v>1131351</v>
      </c>
      <c r="AA65" s="1294">
        <f t="shared" si="379"/>
        <v>1981806.3473205145</v>
      </c>
      <c r="AB65" s="1294">
        <f t="shared" si="379"/>
        <v>2069224</v>
      </c>
      <c r="AC65" s="1290">
        <f t="shared" si="379"/>
        <v>403051.36344098236</v>
      </c>
      <c r="AD65" s="1290">
        <f t="shared" si="379"/>
        <v>372857</v>
      </c>
      <c r="AE65" s="1291">
        <f t="shared" ref="AE65:AH65" si="380">SUM(AE63:AE64)</f>
        <v>2384857.7107614968</v>
      </c>
      <c r="AF65" s="1291">
        <f t="shared" si="380"/>
        <v>2442081</v>
      </c>
      <c r="AG65" s="1290">
        <f t="shared" si="380"/>
        <v>392409.71981087088</v>
      </c>
      <c r="AH65" s="1290">
        <f t="shared" si="380"/>
        <v>24407</v>
      </c>
      <c r="AI65" s="1291">
        <f t="shared" ref="AI65:AL65" si="381">SUM(AI63:AI64)</f>
        <v>2777267.4305723682</v>
      </c>
      <c r="AJ65" s="1291">
        <f t="shared" si="381"/>
        <v>2466488</v>
      </c>
      <c r="AK65" s="1290">
        <f t="shared" si="381"/>
        <v>403051.36344098236</v>
      </c>
      <c r="AL65" s="1290">
        <f t="shared" si="381"/>
        <v>361604</v>
      </c>
      <c r="AM65" s="1293">
        <f t="shared" ref="AM65:AN65" si="382">SUM(AM63:AM64)</f>
        <v>1198512.4466928355</v>
      </c>
      <c r="AN65" s="1293">
        <f t="shared" si="382"/>
        <v>758868</v>
      </c>
      <c r="AO65" s="1291">
        <f t="shared" ref="AO65:AT65" si="383">SUM(AO63:AO64)</f>
        <v>3180318.7940133503</v>
      </c>
      <c r="AP65" s="1291">
        <f t="shared" si="383"/>
        <v>2828092</v>
      </c>
      <c r="AQ65" s="1290">
        <f t="shared" si="383"/>
        <v>403051.36344098236</v>
      </c>
      <c r="AR65" s="1290">
        <f t="shared" si="383"/>
        <v>369250</v>
      </c>
      <c r="AS65" s="1291">
        <f t="shared" si="383"/>
        <v>3583370.1574543333</v>
      </c>
      <c r="AT65" s="1291">
        <f t="shared" si="383"/>
        <v>3197342</v>
      </c>
      <c r="AU65" s="1290">
        <f t="shared" ref="AU65:AX65" si="384">SUM(AU63:AU64)</f>
        <v>365546.22709688405</v>
      </c>
      <c r="AV65" s="1290">
        <f t="shared" si="384"/>
        <v>342499</v>
      </c>
      <c r="AW65" s="1291">
        <f t="shared" si="384"/>
        <v>3948916.3845512168</v>
      </c>
      <c r="AX65" s="1291">
        <f t="shared" si="384"/>
        <v>3539841</v>
      </c>
      <c r="AY65" s="1290">
        <f t="shared" ref="AY65:AZ65" si="385">SUM(AY63:AY64)</f>
        <v>403051.36344098236</v>
      </c>
      <c r="AZ65" s="1290">
        <f t="shared" si="385"/>
        <v>410020</v>
      </c>
      <c r="BA65" s="1293">
        <f t="shared" ref="BA65:BF65" si="386">SUM(BA63:BA64)</f>
        <v>1171648.9539788486</v>
      </c>
      <c r="BB65" s="1293">
        <f t="shared" si="386"/>
        <v>1121769</v>
      </c>
      <c r="BC65" s="1294">
        <f t="shared" si="386"/>
        <v>2370161.4006716842</v>
      </c>
      <c r="BD65" s="1294">
        <f t="shared" si="386"/>
        <v>1880637</v>
      </c>
      <c r="BE65" s="1291">
        <f t="shared" si="386"/>
        <v>4351967.7479921989</v>
      </c>
      <c r="BF65" s="1291">
        <f t="shared" si="386"/>
        <v>3949861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7653" t="s">
        <v>89</v>
      </c>
      <c r="C66" s="1289" t="s">
        <v>50</v>
      </c>
      <c r="D66" s="200">
        <f>+D65*D67/1000</f>
        <v>654431.39443828771</v>
      </c>
      <c r="E66" s="1290">
        <f>+E67*E65/1000</f>
        <v>55828.715728287636</v>
      </c>
      <c r="F66" s="1290">
        <v>48274.5</v>
      </c>
      <c r="G66" s="1290">
        <f>+G67*G65/1000</f>
        <v>57505.817814899936</v>
      </c>
      <c r="H66" s="1290">
        <v>53295.9</v>
      </c>
      <c r="I66" s="1291">
        <f>+E66+G66</f>
        <v>113334.53354318757</v>
      </c>
      <c r="J66" s="1291">
        <f>+F66+H66</f>
        <v>101570.4</v>
      </c>
      <c r="K66" s="1290">
        <f>+K67*K65/1000</f>
        <v>43117.591891623815</v>
      </c>
      <c r="L66" s="1290">
        <v>39110.549999999996</v>
      </c>
      <c r="M66" s="1505">
        <f>+K66+G66+E66</f>
        <v>156452.1254348114</v>
      </c>
      <c r="N66" s="1505">
        <f>+L66+H66+F66</f>
        <v>140680.95000000001</v>
      </c>
      <c r="O66" s="1290">
        <f>+O67*O65/1000</f>
        <v>25940.280536779614</v>
      </c>
      <c r="P66" s="1290">
        <v>58954.95</v>
      </c>
      <c r="Q66" s="1291">
        <f>+M66+O66</f>
        <v>182392.40597159101</v>
      </c>
      <c r="R66" s="1291">
        <f>+N66+P66</f>
        <v>199635.90000000002</v>
      </c>
      <c r="S66" s="1290">
        <f>+S67*S65/1000</f>
        <v>58687.396335501457</v>
      </c>
      <c r="T66" s="1290">
        <v>55183.65</v>
      </c>
      <c r="U66" s="1291">
        <f>+Q66+S66</f>
        <v>241079.80230709247</v>
      </c>
      <c r="V66" s="1291">
        <f>+R66+T66</f>
        <v>254819.55000000002</v>
      </c>
      <c r="W66" s="1290">
        <f>+W67*W65/1000</f>
        <v>56191.149790984739</v>
      </c>
      <c r="X66" s="1290">
        <v>55564.049999999996</v>
      </c>
      <c r="Y66" s="1505">
        <f>+O66+S66+W66</f>
        <v>140818.82666326582</v>
      </c>
      <c r="Z66" s="1505">
        <f>+P66+T66+X66</f>
        <v>169702.65</v>
      </c>
      <c r="AA66" s="1294">
        <f>+U66+W66</f>
        <v>297270.95209807722</v>
      </c>
      <c r="AB66" s="1294">
        <f>+N66+Z66</f>
        <v>310383.59999999998</v>
      </c>
      <c r="AC66" s="1290">
        <f>+AC67*AC65/1000</f>
        <v>60457.704516147351</v>
      </c>
      <c r="AD66" s="1290">
        <v>55928.549999999996</v>
      </c>
      <c r="AE66" s="1291">
        <f>+AA66+AC66</f>
        <v>357728.65661422454</v>
      </c>
      <c r="AF66" s="1291">
        <f>+AB66+AD66</f>
        <v>366312.14999999997</v>
      </c>
      <c r="AG66" s="1290">
        <f>+AG67*AG65/1000</f>
        <v>58861.457971630633</v>
      </c>
      <c r="AH66" s="1290">
        <v>3661.0499999999997</v>
      </c>
      <c r="AI66" s="1291">
        <f>+AE66+AG66</f>
        <v>416590.11458585516</v>
      </c>
      <c r="AJ66" s="1291">
        <f>+AF66+AH66</f>
        <v>369973.19999999995</v>
      </c>
      <c r="AK66" s="1290">
        <f>+AK67*AK65/1000</f>
        <v>60457.704516147351</v>
      </c>
      <c r="AL66" s="1290">
        <v>54240.6</v>
      </c>
      <c r="AM66" s="1505">
        <f>+AC66+AG66+AK66</f>
        <v>179776.86700392532</v>
      </c>
      <c r="AN66" s="1505">
        <f>+AD66+AH66+AL66</f>
        <v>113830.2</v>
      </c>
      <c r="AO66" s="1291">
        <f>AI66+AK66</f>
        <v>477047.81910200254</v>
      </c>
      <c r="AP66" s="1291">
        <f>AJ66+AL66</f>
        <v>424213.79999999993</v>
      </c>
      <c r="AQ66" s="1290">
        <f>+AQ67*AQ65/1000</f>
        <v>60457.704516147351</v>
      </c>
      <c r="AR66" s="1290">
        <v>55387.5</v>
      </c>
      <c r="AS66" s="1291">
        <f>+AO66+AQ66</f>
        <v>537505.52361814992</v>
      </c>
      <c r="AT66" s="1291">
        <f>+AP66+AR66</f>
        <v>479601.29999999993</v>
      </c>
      <c r="AU66" s="1290">
        <f>+AU67*AU65/1000</f>
        <v>54831.934064532608</v>
      </c>
      <c r="AV66" s="1290">
        <v>51374.85</v>
      </c>
      <c r="AW66" s="1291">
        <f>+AS66+AU66</f>
        <v>592337.45768268255</v>
      </c>
      <c r="AX66" s="1291">
        <f>+AT66+AV66</f>
        <v>530976.14999999991</v>
      </c>
      <c r="AY66" s="1290">
        <f>+AY67*AY65/1000</f>
        <v>60457.704516147351</v>
      </c>
      <c r="AZ66" s="1290">
        <v>61503</v>
      </c>
      <c r="BA66" s="1505">
        <f>+AQ66+AU66+AY66</f>
        <v>175747.3430968273</v>
      </c>
      <c r="BB66" s="1505">
        <f>+AR66+AV66+AZ66</f>
        <v>168265.35</v>
      </c>
      <c r="BC66" s="1294">
        <f t="shared" ref="BC66:BD66" si="387">AM66+BA66</f>
        <v>355524.21010075265</v>
      </c>
      <c r="BD66" s="1294">
        <f t="shared" si="387"/>
        <v>282095.55</v>
      </c>
      <c r="BE66" s="1291">
        <f>+AW66+AY66</f>
        <v>652795.16219882993</v>
      </c>
      <c r="BF66" s="1291">
        <f>+AX66+AZ66</f>
        <v>592479.14999999991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7654"/>
      <c r="C67" s="3857" t="s">
        <v>219</v>
      </c>
      <c r="D67" s="3858">
        <v>150</v>
      </c>
      <c r="E67" s="3857">
        <v>150</v>
      </c>
      <c r="F67" s="3395">
        <f>+F66/F65*1000</f>
        <v>150</v>
      </c>
      <c r="G67" s="3857">
        <v>150</v>
      </c>
      <c r="H67" s="3395">
        <f>+H66/H65*1000</f>
        <v>150</v>
      </c>
      <c r="I67" s="3859">
        <f>+I66/I65*1000</f>
        <v>150</v>
      </c>
      <c r="J67" s="3859">
        <f>+J66/J65*1000</f>
        <v>150</v>
      </c>
      <c r="K67" s="3857">
        <v>150</v>
      </c>
      <c r="L67" s="3395">
        <f>+L66/L65*1000</f>
        <v>150</v>
      </c>
      <c r="M67" s="1504">
        <f>+M66/M65*1000</f>
        <v>150.00000000000003</v>
      </c>
      <c r="N67" s="1504">
        <f>+N66/N65*1000</f>
        <v>150.00000000000003</v>
      </c>
      <c r="O67" s="3857">
        <v>150</v>
      </c>
      <c r="P67" s="3395">
        <f>+P66/P65*1000</f>
        <v>150</v>
      </c>
      <c r="Q67" s="1292">
        <f>+Q66/Q65*1000</f>
        <v>150.00000000000006</v>
      </c>
      <c r="R67" s="1292">
        <f>+R66/R65*1000</f>
        <v>150.00000000000003</v>
      </c>
      <c r="S67" s="3857">
        <v>150</v>
      </c>
      <c r="T67" s="3395">
        <f>+T66/T65*1000</f>
        <v>150</v>
      </c>
      <c r="U67" s="1292">
        <f>+U66/U65*1000</f>
        <v>150.00000000000003</v>
      </c>
      <c r="V67" s="1292">
        <f>+V66/V65*1000</f>
        <v>150.00000000000003</v>
      </c>
      <c r="W67" s="3857">
        <v>150</v>
      </c>
      <c r="X67" s="3395">
        <f>+X66/X65*1000</f>
        <v>150</v>
      </c>
      <c r="Y67" s="1504">
        <f>+Y66/Y65*1000</f>
        <v>150</v>
      </c>
      <c r="Z67" s="1504">
        <f>+Z66/Z65*1000</f>
        <v>150</v>
      </c>
      <c r="AA67" s="1294">
        <f>+AA66/AA65*1000</f>
        <v>150.00000000000003</v>
      </c>
      <c r="AB67" s="1294">
        <f>+AB66/AB65*1000</f>
        <v>150</v>
      </c>
      <c r="AC67" s="3857">
        <v>150</v>
      </c>
      <c r="AD67" s="3395">
        <f>+AD66/AD65*1000</f>
        <v>150</v>
      </c>
      <c r="AE67" s="1292">
        <f>+AE66/AE65*1000</f>
        <v>150.00000000000003</v>
      </c>
      <c r="AF67" s="1292">
        <f>+AF66/AF65*1000</f>
        <v>150</v>
      </c>
      <c r="AG67" s="3857">
        <v>150</v>
      </c>
      <c r="AH67" s="3395">
        <f>+AH66/AH65*1000</f>
        <v>150</v>
      </c>
      <c r="AI67" s="1292">
        <f>+AI66/AI65*1000</f>
        <v>149.99999999999997</v>
      </c>
      <c r="AJ67" s="1292">
        <f>+AJ66/AJ65*1000</f>
        <v>150</v>
      </c>
      <c r="AK67" s="3857">
        <v>150</v>
      </c>
      <c r="AL67" s="3395">
        <f>+AL66/AL65*1000</f>
        <v>150</v>
      </c>
      <c r="AM67" s="1504">
        <f>+AM66/AM65*1000</f>
        <v>150</v>
      </c>
      <c r="AN67" s="1504">
        <f>+AN66/AN65*1000</f>
        <v>150</v>
      </c>
      <c r="AO67" s="1292">
        <f>+AO66/AO65*1000</f>
        <v>150</v>
      </c>
      <c r="AP67" s="1292">
        <f>+AP66/AP65*1000</f>
        <v>149.99999999999997</v>
      </c>
      <c r="AQ67" s="3857">
        <v>150</v>
      </c>
      <c r="AR67" s="3395">
        <f>+AR66/AR65*1000</f>
        <v>150</v>
      </c>
      <c r="AS67" s="1292">
        <f>+AS66/AS65*1000</f>
        <v>149.99999999999997</v>
      </c>
      <c r="AT67" s="1292">
        <f>+AT66/AT65*1000</f>
        <v>149.99999999999997</v>
      </c>
      <c r="AU67" s="3857">
        <v>150</v>
      </c>
      <c r="AV67" s="3395">
        <f>+AV66/AV65*1000</f>
        <v>150</v>
      </c>
      <c r="AW67" s="1292">
        <f>+AW66/AW65*1000</f>
        <v>150</v>
      </c>
      <c r="AX67" s="1292">
        <f>+AX66/AX65*1000</f>
        <v>149.99999999999997</v>
      </c>
      <c r="AY67" s="3857">
        <v>150</v>
      </c>
      <c r="AZ67" s="3395">
        <f>+AZ66/AZ65*1000</f>
        <v>150</v>
      </c>
      <c r="BA67" s="1504">
        <f t="shared" ref="BA67:BF67" si="388">+BA66/BA65*1000</f>
        <v>150</v>
      </c>
      <c r="BB67" s="1504">
        <f t="shared" si="388"/>
        <v>150</v>
      </c>
      <c r="BC67" s="1294">
        <f t="shared" si="388"/>
        <v>150.00000000000003</v>
      </c>
      <c r="BD67" s="1294">
        <f t="shared" si="388"/>
        <v>150</v>
      </c>
      <c r="BE67" s="1292">
        <f t="shared" si="388"/>
        <v>150.00000000000003</v>
      </c>
      <c r="BF67" s="1292">
        <f t="shared" si="388"/>
        <v>149.99999999999997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839" t="s">
        <v>46</v>
      </c>
      <c r="C68" s="3840"/>
      <c r="D68" s="2833"/>
      <c r="E68" s="3841"/>
      <c r="F68" s="3841"/>
      <c r="G68" s="3841"/>
      <c r="H68" s="3841"/>
      <c r="I68" s="3840"/>
      <c r="J68" s="3842"/>
      <c r="K68" s="3841"/>
      <c r="L68" s="3841"/>
      <c r="M68" s="1281"/>
      <c r="N68" s="1281"/>
      <c r="O68" s="3841"/>
      <c r="P68" s="3841"/>
      <c r="Q68" s="1281"/>
      <c r="R68" s="1281"/>
      <c r="S68" s="3841"/>
      <c r="T68" s="3841"/>
      <c r="U68" s="1281"/>
      <c r="V68" s="1281"/>
      <c r="W68" s="3841"/>
      <c r="X68" s="3841"/>
      <c r="Y68" s="1281"/>
      <c r="Z68" s="1281"/>
      <c r="AA68" s="1281"/>
      <c r="AB68" s="1281"/>
      <c r="AC68" s="3841"/>
      <c r="AD68" s="3841"/>
      <c r="AE68" s="1281"/>
      <c r="AF68" s="1281"/>
      <c r="AG68" s="3841"/>
      <c r="AH68" s="3841"/>
      <c r="AI68" s="1281"/>
      <c r="AJ68" s="1281"/>
      <c r="AK68" s="3841"/>
      <c r="AL68" s="3841"/>
      <c r="AM68" s="1281"/>
      <c r="AN68" s="1281"/>
      <c r="AO68" s="1281"/>
      <c r="AP68" s="1281"/>
      <c r="AQ68" s="3841"/>
      <c r="AR68" s="3841"/>
      <c r="AS68" s="1281"/>
      <c r="AT68" s="1281"/>
      <c r="AU68" s="3841"/>
      <c r="AV68" s="3841"/>
      <c r="AW68" s="1281"/>
      <c r="AX68" s="1281"/>
      <c r="AY68" s="3841"/>
      <c r="AZ68" s="3841"/>
      <c r="BA68" s="1281"/>
      <c r="BB68" s="1281"/>
      <c r="BC68" s="1281"/>
      <c r="BD68" s="1281"/>
      <c r="BE68" s="1281"/>
      <c r="BF68" s="1281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843" t="s">
        <v>88</v>
      </c>
      <c r="C69" s="3844" t="s">
        <v>221</v>
      </c>
      <c r="D69" s="3142">
        <f>+D2*24</f>
        <v>8760</v>
      </c>
      <c r="E69" s="3844">
        <f>+E2*24</f>
        <v>720</v>
      </c>
      <c r="F69" s="3844">
        <f>+F2*24</f>
        <v>720</v>
      </c>
      <c r="G69" s="3844">
        <f>+G2*24</f>
        <v>744</v>
      </c>
      <c r="H69" s="3844">
        <f>+H2*24</f>
        <v>744</v>
      </c>
      <c r="I69" s="3860">
        <f>+E69+G69</f>
        <v>1464</v>
      </c>
      <c r="J69" s="3849">
        <f>+F69+H69</f>
        <v>1464</v>
      </c>
      <c r="K69" s="3844">
        <f>+K2*24</f>
        <v>720</v>
      </c>
      <c r="L69" s="3844">
        <f>+L2*24</f>
        <v>720</v>
      </c>
      <c r="M69" s="1286">
        <f>+K69+G69+E69</f>
        <v>2184</v>
      </c>
      <c r="N69" s="1286">
        <f>+L69+H69+F69</f>
        <v>2184</v>
      </c>
      <c r="O69" s="3844">
        <f>+O2*24</f>
        <v>744</v>
      </c>
      <c r="P69" s="3844">
        <f>+P2*24</f>
        <v>744</v>
      </c>
      <c r="Q69" s="1285">
        <f>+M69+O69</f>
        <v>2928</v>
      </c>
      <c r="R69" s="1285">
        <f>+N69+P69</f>
        <v>2928</v>
      </c>
      <c r="S69" s="3844">
        <f>+S2*24</f>
        <v>744</v>
      </c>
      <c r="T69" s="3844">
        <f>+T2*24</f>
        <v>744</v>
      </c>
      <c r="U69" s="1285">
        <f>+Q69+S69</f>
        <v>3672</v>
      </c>
      <c r="V69" s="1285">
        <f>+R69+T69</f>
        <v>3672</v>
      </c>
      <c r="W69" s="3844">
        <f>+W2*24</f>
        <v>720</v>
      </c>
      <c r="X69" s="3844">
        <f>+X2*24</f>
        <v>720</v>
      </c>
      <c r="Y69" s="1286">
        <f>+O69+S69+W69</f>
        <v>2208</v>
      </c>
      <c r="Z69" s="1286">
        <f>+P69+T69+X69</f>
        <v>2208</v>
      </c>
      <c r="AA69" s="1225">
        <f>M69+Y69</f>
        <v>4392</v>
      </c>
      <c r="AB69" s="1225">
        <f>N69+Z69</f>
        <v>4392</v>
      </c>
      <c r="AC69" s="3844">
        <f>+AC2*24</f>
        <v>744</v>
      </c>
      <c r="AD69" s="3844">
        <f>+AD2*24</f>
        <v>744</v>
      </c>
      <c r="AE69" s="1285">
        <f>+AA69+AC69</f>
        <v>5136</v>
      </c>
      <c r="AF69" s="1285">
        <f>+AB69+AD69</f>
        <v>5136</v>
      </c>
      <c r="AG69" s="3844">
        <f>+AG2*24</f>
        <v>720</v>
      </c>
      <c r="AH69" s="3844">
        <f>+AH2*24</f>
        <v>720</v>
      </c>
      <c r="AI69" s="1285">
        <f>+AE69+AG69</f>
        <v>5856</v>
      </c>
      <c r="AJ69" s="1285">
        <f>+AF69+AH69</f>
        <v>5856</v>
      </c>
      <c r="AK69" s="3844">
        <f>+AK2*24</f>
        <v>744</v>
      </c>
      <c r="AL69" s="3844">
        <f>+AL2*24</f>
        <v>744</v>
      </c>
      <c r="AM69" s="1286">
        <f>+AC69+AG69+AK69</f>
        <v>2208</v>
      </c>
      <c r="AN69" s="1286">
        <f>+AD69+AH69+AL69</f>
        <v>2208</v>
      </c>
      <c r="AO69" s="1284">
        <f>AI69+AK69</f>
        <v>6600</v>
      </c>
      <c r="AP69" s="1284">
        <f>AJ69+AL69</f>
        <v>6600</v>
      </c>
      <c r="AQ69" s="3844">
        <f>+AQ2*24</f>
        <v>744</v>
      </c>
      <c r="AR69" s="3844">
        <f>+AR2*24</f>
        <v>744</v>
      </c>
      <c r="AS69" s="1285">
        <f>+AO69+AQ69</f>
        <v>7344</v>
      </c>
      <c r="AT69" s="1285">
        <f>+AP69+AR69</f>
        <v>7344</v>
      </c>
      <c r="AU69" s="3844">
        <f>+AU2*24</f>
        <v>672</v>
      </c>
      <c r="AV69" s="3844">
        <f>+AV2*24</f>
        <v>672</v>
      </c>
      <c r="AW69" s="1285">
        <f>+AS69+AU69</f>
        <v>8016</v>
      </c>
      <c r="AX69" s="1285">
        <f>+AT69+AV69</f>
        <v>8016</v>
      </c>
      <c r="AY69" s="3844">
        <f>+AY2*24</f>
        <v>744</v>
      </c>
      <c r="AZ69" s="3844">
        <f>+AZ2*24</f>
        <v>744</v>
      </c>
      <c r="BA69" s="1286">
        <f>+AQ69+AU69+AY69</f>
        <v>2160</v>
      </c>
      <c r="BB69" s="1286">
        <f>+AR69+AV69+AZ69</f>
        <v>2160</v>
      </c>
      <c r="BC69" s="1225">
        <f t="shared" ref="BC69:BC70" si="389">AM69+BA69</f>
        <v>4368</v>
      </c>
      <c r="BD69" s="1225">
        <f t="shared" ref="BD69:BD70" si="390">AN69+BB69</f>
        <v>4368</v>
      </c>
      <c r="BE69" s="1285">
        <f>+AW69+AY69</f>
        <v>8760</v>
      </c>
      <c r="BF69" s="1285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843" t="s">
        <v>222</v>
      </c>
      <c r="C70" s="3844" t="s">
        <v>221</v>
      </c>
      <c r="D70" s="3142">
        <v>8100</v>
      </c>
      <c r="E70" s="3262">
        <v>690</v>
      </c>
      <c r="F70" s="3262">
        <v>702.5</v>
      </c>
      <c r="G70" s="3262">
        <v>714</v>
      </c>
      <c r="H70" s="3262">
        <v>727</v>
      </c>
      <c r="I70" s="3263">
        <f>+E70+G70</f>
        <v>1404</v>
      </c>
      <c r="J70" s="3861">
        <f>+F70+H70</f>
        <v>1429.5</v>
      </c>
      <c r="K70" s="3262">
        <v>564</v>
      </c>
      <c r="L70" s="3262">
        <v>532.75</v>
      </c>
      <c r="M70" s="1286">
        <f>+K70+G70+E70</f>
        <v>1968</v>
      </c>
      <c r="N70" s="1286">
        <f>+L70+H70+F70</f>
        <v>1962.25</v>
      </c>
      <c r="O70" s="3262">
        <v>396</v>
      </c>
      <c r="P70" s="3262">
        <v>732.75</v>
      </c>
      <c r="Q70" s="1284">
        <f>+M70+O70</f>
        <v>2364</v>
      </c>
      <c r="R70" s="1284">
        <f>+N70+P70</f>
        <v>2695</v>
      </c>
      <c r="S70" s="3262">
        <v>720</v>
      </c>
      <c r="T70" s="3262">
        <v>710.04</v>
      </c>
      <c r="U70" s="1284">
        <f>+Q70+S70</f>
        <v>3084</v>
      </c>
      <c r="V70" s="1284">
        <f>+R70+T70</f>
        <v>3405.04</v>
      </c>
      <c r="W70" s="3262">
        <v>696</v>
      </c>
      <c r="X70" s="3262">
        <v>703</v>
      </c>
      <c r="Y70" s="1286">
        <f>+O70+S70+W70</f>
        <v>1812</v>
      </c>
      <c r="Z70" s="1286">
        <f>+P70+T70+X70</f>
        <v>2145.79</v>
      </c>
      <c r="AA70" s="1225">
        <f>M70+Y70</f>
        <v>3780</v>
      </c>
      <c r="AB70" s="1225">
        <f>N70+Z70</f>
        <v>4108.04</v>
      </c>
      <c r="AC70" s="3262">
        <v>720</v>
      </c>
      <c r="AD70" s="3262">
        <v>725.04</v>
      </c>
      <c r="AE70" s="1284">
        <f>+AA70+AC70</f>
        <v>4500</v>
      </c>
      <c r="AF70" s="1284">
        <f>+AB70+AD70</f>
        <v>4833.08</v>
      </c>
      <c r="AG70" s="3262">
        <v>696</v>
      </c>
      <c r="AH70" s="3262">
        <v>76.75</v>
      </c>
      <c r="AI70" s="1284">
        <f>+AE70+AG70</f>
        <v>5196</v>
      </c>
      <c r="AJ70" s="1284">
        <f>+AF70+AH70</f>
        <v>4909.83</v>
      </c>
      <c r="AK70" s="3262">
        <v>720</v>
      </c>
      <c r="AL70" s="3262">
        <v>716</v>
      </c>
      <c r="AM70" s="1286">
        <f>+AC70+AG70+AK70</f>
        <v>2136</v>
      </c>
      <c r="AN70" s="1286">
        <f>+AD70+AH70+AL70</f>
        <v>1517.79</v>
      </c>
      <c r="AO70" s="1284">
        <f>AI70+AK70</f>
        <v>5916</v>
      </c>
      <c r="AP70" s="1284">
        <f>AJ70+AL70</f>
        <v>5625.83</v>
      </c>
      <c r="AQ70" s="3262">
        <v>720</v>
      </c>
      <c r="AR70" s="3262">
        <v>695.71</v>
      </c>
      <c r="AS70" s="1284">
        <f>+AO70+AQ70</f>
        <v>6636</v>
      </c>
      <c r="AT70" s="1284">
        <f>+AP70+AR70</f>
        <v>6321.54</v>
      </c>
      <c r="AU70" s="3262">
        <v>656</v>
      </c>
      <c r="AV70" s="3262">
        <v>636</v>
      </c>
      <c r="AW70" s="1284">
        <f>+AS70+AU70</f>
        <v>7292</v>
      </c>
      <c r="AX70" s="1284">
        <f>+AT70+AV70</f>
        <v>6957.54</v>
      </c>
      <c r="AY70" s="3262">
        <v>720</v>
      </c>
      <c r="AZ70" s="3262">
        <v>744</v>
      </c>
      <c r="BA70" s="1286">
        <f>+AQ70+AU70+AY70</f>
        <v>2096</v>
      </c>
      <c r="BB70" s="1286">
        <f>+AR70+AV70+AZ70</f>
        <v>2075.71</v>
      </c>
      <c r="BC70" s="1225">
        <f t="shared" si="389"/>
        <v>4232</v>
      </c>
      <c r="BD70" s="1225">
        <f t="shared" si="390"/>
        <v>3593.5</v>
      </c>
      <c r="BE70" s="1284">
        <f>+AW70+AY70</f>
        <v>8012</v>
      </c>
      <c r="BF70" s="1284">
        <f>+AX70+AZ70</f>
        <v>7701.54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843" t="s">
        <v>223</v>
      </c>
      <c r="C71" s="3844" t="s">
        <v>49</v>
      </c>
      <c r="D71" s="3470">
        <f t="shared" ref="D71:T71" si="391">+D70/D69*100</f>
        <v>92.465753424657535</v>
      </c>
      <c r="E71" s="3845">
        <f t="shared" si="391"/>
        <v>95.833333333333343</v>
      </c>
      <c r="F71" s="3262">
        <f t="shared" si="391"/>
        <v>97.569444444444443</v>
      </c>
      <c r="G71" s="3845">
        <f t="shared" ref="G71:H71" si="392">+G70/G69*100</f>
        <v>95.967741935483872</v>
      </c>
      <c r="H71" s="3262">
        <f t="shared" si="392"/>
        <v>97.715053763440864</v>
      </c>
      <c r="I71" s="3846">
        <f t="shared" si="391"/>
        <v>95.901639344262293</v>
      </c>
      <c r="J71" s="3847">
        <f t="shared" si="391"/>
        <v>97.643442622950815</v>
      </c>
      <c r="K71" s="3845">
        <f t="shared" si="391"/>
        <v>78.333333333333329</v>
      </c>
      <c r="L71" s="3530">
        <f t="shared" si="391"/>
        <v>73.993055555555557</v>
      </c>
      <c r="M71" s="1298">
        <f t="shared" si="391"/>
        <v>90.109890109890117</v>
      </c>
      <c r="N71" s="1298">
        <f t="shared" si="391"/>
        <v>89.846611721611723</v>
      </c>
      <c r="O71" s="3845">
        <f t="shared" ref="O71:P71" si="393">+O70/O69*100</f>
        <v>53.225806451612897</v>
      </c>
      <c r="P71" s="3530">
        <f t="shared" si="393"/>
        <v>98.487903225806448</v>
      </c>
      <c r="Q71" s="1300">
        <f t="shared" si="391"/>
        <v>80.737704918032776</v>
      </c>
      <c r="R71" s="1300">
        <f t="shared" si="391"/>
        <v>92.042349726775953</v>
      </c>
      <c r="S71" s="3845">
        <f t="shared" si="391"/>
        <v>96.774193548387103</v>
      </c>
      <c r="T71" s="3530">
        <f t="shared" si="391"/>
        <v>95.435483870967744</v>
      </c>
      <c r="U71" s="1300">
        <f t="shared" ref="U71:X71" si="394">+U70/U69*100</f>
        <v>83.986928104575171</v>
      </c>
      <c r="V71" s="1300">
        <f t="shared" si="394"/>
        <v>92.729847494553368</v>
      </c>
      <c r="W71" s="3845">
        <f t="shared" si="394"/>
        <v>96.666666666666671</v>
      </c>
      <c r="X71" s="3530">
        <f t="shared" si="394"/>
        <v>97.638888888888886</v>
      </c>
      <c r="Y71" s="1298">
        <f t="shared" ref="Y71:AF71" si="395">+Y70/Y69*100</f>
        <v>82.065217391304344</v>
      </c>
      <c r="Z71" s="1298">
        <f t="shared" si="395"/>
        <v>97.182518115942031</v>
      </c>
      <c r="AA71" s="1225">
        <f t="shared" si="395"/>
        <v>86.065573770491795</v>
      </c>
      <c r="AB71" s="1301">
        <f t="shared" si="395"/>
        <v>93.534608378870672</v>
      </c>
      <c r="AC71" s="3845">
        <f t="shared" si="395"/>
        <v>96.774193548387103</v>
      </c>
      <c r="AD71" s="3530">
        <f t="shared" si="395"/>
        <v>97.451612903225808</v>
      </c>
      <c r="AE71" s="1300">
        <f t="shared" si="395"/>
        <v>87.616822429906534</v>
      </c>
      <c r="AF71" s="1300">
        <f t="shared" si="395"/>
        <v>94.102024922118375</v>
      </c>
      <c r="AG71" s="3845">
        <f t="shared" ref="AG71:AJ71" si="396">+AG70/AG69*100</f>
        <v>96.666666666666671</v>
      </c>
      <c r="AH71" s="3530">
        <f t="shared" si="396"/>
        <v>10.659722222222221</v>
      </c>
      <c r="AI71" s="1300">
        <f t="shared" si="396"/>
        <v>88.729508196721312</v>
      </c>
      <c r="AJ71" s="1300">
        <f t="shared" si="396"/>
        <v>83.842725409836063</v>
      </c>
      <c r="AK71" s="3845">
        <f t="shared" ref="AK71:AL71" si="397">+AK70/AK69*100</f>
        <v>96.774193548387103</v>
      </c>
      <c r="AL71" s="3530">
        <f t="shared" si="397"/>
        <v>96.236559139784944</v>
      </c>
      <c r="AM71" s="1298">
        <f t="shared" ref="AM71:AN71" si="398">+AM70/AM69*100</f>
        <v>96.739130434782609</v>
      </c>
      <c r="AN71" s="1298">
        <f t="shared" si="398"/>
        <v>68.740489130434781</v>
      </c>
      <c r="AO71" s="1300">
        <f t="shared" ref="AO71:AT71" si="399">+AO70/AO69*100</f>
        <v>89.63636363636364</v>
      </c>
      <c r="AP71" s="1300">
        <f t="shared" si="399"/>
        <v>85.23984848484848</v>
      </c>
      <c r="AQ71" s="3845">
        <f t="shared" si="399"/>
        <v>96.774193548387103</v>
      </c>
      <c r="AR71" s="3530">
        <f t="shared" si="399"/>
        <v>93.509408602150543</v>
      </c>
      <c r="AS71" s="1300">
        <f t="shared" si="399"/>
        <v>90.359477124183002</v>
      </c>
      <c r="AT71" s="1300">
        <f t="shared" si="399"/>
        <v>86.077614379084963</v>
      </c>
      <c r="AU71" s="3845">
        <f t="shared" ref="AU71:AX71" si="400">+AU70/AU69*100</f>
        <v>97.61904761904762</v>
      </c>
      <c r="AV71" s="3530">
        <f t="shared" si="400"/>
        <v>94.642857142857139</v>
      </c>
      <c r="AW71" s="1300">
        <f t="shared" si="400"/>
        <v>90.968063872255485</v>
      </c>
      <c r="AX71" s="1300">
        <f t="shared" si="400"/>
        <v>86.795658682634738</v>
      </c>
      <c r="AY71" s="3845">
        <f t="shared" ref="AY71:AZ71" si="401">+AY70/AY69*100</f>
        <v>96.774193548387103</v>
      </c>
      <c r="AZ71" s="3530">
        <f t="shared" si="401"/>
        <v>100</v>
      </c>
      <c r="BA71" s="1298">
        <f t="shared" ref="BA71:BF71" si="402">+BA70/BA69*100</f>
        <v>97.037037037037038</v>
      </c>
      <c r="BB71" s="1298">
        <f t="shared" si="402"/>
        <v>96.097685185185185</v>
      </c>
      <c r="BC71" s="1225">
        <f t="shared" si="402"/>
        <v>96.88644688644689</v>
      </c>
      <c r="BD71" s="1301">
        <f t="shared" si="402"/>
        <v>82.268772893772891</v>
      </c>
      <c r="BE71" s="1300">
        <f t="shared" si="402"/>
        <v>91.461187214611869</v>
      </c>
      <c r="BF71" s="1300">
        <f t="shared" si="402"/>
        <v>87.917123287671231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843" t="s">
        <v>224</v>
      </c>
      <c r="C72" s="3844" t="s">
        <v>221</v>
      </c>
      <c r="D72" s="3132">
        <v>7938.0000000000009</v>
      </c>
      <c r="E72" s="3265">
        <v>676.19999999999993</v>
      </c>
      <c r="F72" s="3262">
        <v>583.48</v>
      </c>
      <c r="G72" s="3265">
        <v>699.72</v>
      </c>
      <c r="H72" s="3262">
        <v>646.63</v>
      </c>
      <c r="I72" s="3263">
        <f>+E72+G72</f>
        <v>1375.92</v>
      </c>
      <c r="J72" s="3861">
        <f>+F72+H72</f>
        <v>1230.1100000000001</v>
      </c>
      <c r="K72" s="3265">
        <v>547.5</v>
      </c>
      <c r="L72" s="3262">
        <v>516.9</v>
      </c>
      <c r="M72" s="1286">
        <f>+K72+G72+E72</f>
        <v>1923.42</v>
      </c>
      <c r="N72" s="1286">
        <f>+L72+H72+F72</f>
        <v>1747.01</v>
      </c>
      <c r="O72" s="3265">
        <v>375</v>
      </c>
      <c r="P72" s="3262">
        <v>713.35</v>
      </c>
      <c r="Q72" s="1284">
        <f>+M72+O72</f>
        <v>2298.42</v>
      </c>
      <c r="R72" s="1284">
        <f>+N72+P72</f>
        <v>2460.36</v>
      </c>
      <c r="S72" s="3265">
        <v>695</v>
      </c>
      <c r="T72" s="3262">
        <v>672.25</v>
      </c>
      <c r="U72" s="1284">
        <f>+Q72+S72</f>
        <v>2993.42</v>
      </c>
      <c r="V72" s="1284">
        <f>+R72+T72</f>
        <v>3132.61</v>
      </c>
      <c r="W72" s="3265">
        <v>672</v>
      </c>
      <c r="X72" s="3262">
        <v>663.96</v>
      </c>
      <c r="Y72" s="1286">
        <f>+O72+S72+W72</f>
        <v>1742</v>
      </c>
      <c r="Z72" s="1286">
        <f>+P72+T72+X72</f>
        <v>2049.56</v>
      </c>
      <c r="AA72" s="1225">
        <f>M72+Y72</f>
        <v>3665.42</v>
      </c>
      <c r="AB72" s="1225">
        <f>N72+Z72</f>
        <v>3796.5699999999997</v>
      </c>
      <c r="AC72" s="3265">
        <v>705</v>
      </c>
      <c r="AD72" s="3262">
        <v>666.64</v>
      </c>
      <c r="AE72" s="1284">
        <f>+AA72+AC72</f>
        <v>4370.42</v>
      </c>
      <c r="AF72" s="1284">
        <f>+AB72+AD72</f>
        <v>4463.21</v>
      </c>
      <c r="AG72" s="3265">
        <v>685</v>
      </c>
      <c r="AH72" s="3262">
        <v>57.5</v>
      </c>
      <c r="AI72" s="1284">
        <f>+AE72+AG72</f>
        <v>5055.42</v>
      </c>
      <c r="AJ72" s="1284">
        <f>+AF72+AH72</f>
        <v>4520.71</v>
      </c>
      <c r="AK72" s="3265">
        <v>705</v>
      </c>
      <c r="AL72" s="3262">
        <v>708.42</v>
      </c>
      <c r="AM72" s="1286">
        <f>+AC72+AG72+AK72</f>
        <v>2095</v>
      </c>
      <c r="AN72" s="1286">
        <f>+AD72+AH72+AL72</f>
        <v>1432.56</v>
      </c>
      <c r="AO72" s="1284">
        <f>AI72+AK72</f>
        <v>5760.42</v>
      </c>
      <c r="AP72" s="1284">
        <f>AJ72+AL72</f>
        <v>5229.13</v>
      </c>
      <c r="AQ72" s="3265">
        <v>705</v>
      </c>
      <c r="AR72" s="3262">
        <v>666.92</v>
      </c>
      <c r="AS72" s="1284">
        <f>+AO72+AQ72</f>
        <v>6465.42</v>
      </c>
      <c r="AT72" s="1284">
        <f>+AP72+AR72</f>
        <v>5896.05</v>
      </c>
      <c r="AU72" s="3265">
        <v>640</v>
      </c>
      <c r="AV72" s="3262">
        <v>634.71</v>
      </c>
      <c r="AW72" s="1284">
        <f>+AS72+AU72</f>
        <v>7105.42</v>
      </c>
      <c r="AX72" s="1284">
        <f>+AT72+AV72</f>
        <v>6530.76</v>
      </c>
      <c r="AY72" s="3265">
        <v>705</v>
      </c>
      <c r="AZ72" s="3262">
        <v>709.5</v>
      </c>
      <c r="BA72" s="1286">
        <f>+AQ72+AU72+AY72</f>
        <v>2050</v>
      </c>
      <c r="BB72" s="1286">
        <f>+AR72+AV72+AZ72</f>
        <v>2011.13</v>
      </c>
      <c r="BC72" s="1225">
        <f t="shared" ref="BC72" si="403">AM72+BA72</f>
        <v>4145</v>
      </c>
      <c r="BD72" s="1225">
        <f t="shared" ref="BD72" si="404">AN72+BB72</f>
        <v>3443.69</v>
      </c>
      <c r="BE72" s="1284">
        <f>+AW72+AY72</f>
        <v>7810.42</v>
      </c>
      <c r="BF72" s="1284">
        <f>+AX72+AZ72</f>
        <v>7240.26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843" t="s">
        <v>225</v>
      </c>
      <c r="C73" s="3844" t="s">
        <v>49</v>
      </c>
      <c r="D73" s="3132">
        <f t="shared" ref="D73:T73" si="405">+D72/D70*100</f>
        <v>98.000000000000014</v>
      </c>
      <c r="E73" s="3845">
        <f t="shared" si="405"/>
        <v>97.999999999999986</v>
      </c>
      <c r="F73" s="3845">
        <f t="shared" si="405"/>
        <v>83.057651245551597</v>
      </c>
      <c r="G73" s="3845">
        <f t="shared" ref="G73:H73" si="406">+G72/G70*100</f>
        <v>98.000000000000014</v>
      </c>
      <c r="H73" s="3845">
        <f t="shared" si="406"/>
        <v>88.944979367262718</v>
      </c>
      <c r="I73" s="3846">
        <f t="shared" si="405"/>
        <v>98.000000000000014</v>
      </c>
      <c r="J73" s="3847">
        <f t="shared" si="405"/>
        <v>86.051766351871294</v>
      </c>
      <c r="K73" s="3530">
        <f t="shared" si="405"/>
        <v>97.074468085106375</v>
      </c>
      <c r="L73" s="3530">
        <f t="shared" si="405"/>
        <v>97.024870952604402</v>
      </c>
      <c r="M73" s="1298">
        <f t="shared" si="405"/>
        <v>97.734756097560975</v>
      </c>
      <c r="N73" s="1298">
        <f t="shared" si="405"/>
        <v>89.030959357879979</v>
      </c>
      <c r="O73" s="3530">
        <f t="shared" ref="O73:P73" si="407">+O72/O70*100</f>
        <v>94.696969696969703</v>
      </c>
      <c r="P73" s="3530">
        <f t="shared" si="407"/>
        <v>97.352439440464011</v>
      </c>
      <c r="Q73" s="1300">
        <f t="shared" si="405"/>
        <v>97.225888324873097</v>
      </c>
      <c r="R73" s="1300">
        <f t="shared" si="405"/>
        <v>91.293506493506499</v>
      </c>
      <c r="S73" s="3530">
        <f t="shared" si="405"/>
        <v>96.527777777777786</v>
      </c>
      <c r="T73" s="3530">
        <f t="shared" si="405"/>
        <v>94.677764632978437</v>
      </c>
      <c r="U73" s="1300">
        <f t="shared" ref="U73:X73" si="408">+U72/U70*100</f>
        <v>97.062905317769136</v>
      </c>
      <c r="V73" s="1300">
        <f t="shared" si="408"/>
        <v>91.999212931419322</v>
      </c>
      <c r="W73" s="3530">
        <f t="shared" si="408"/>
        <v>96.551724137931032</v>
      </c>
      <c r="X73" s="3530">
        <f t="shared" si="408"/>
        <v>94.446657183499298</v>
      </c>
      <c r="Y73" s="1298">
        <f t="shared" ref="Y73:AF73" si="409">+Y72/Y70*100</f>
        <v>96.136865342163361</v>
      </c>
      <c r="Z73" s="1298">
        <f t="shared" si="409"/>
        <v>95.515404582927502</v>
      </c>
      <c r="AA73" s="1301">
        <f t="shared" si="409"/>
        <v>96.968783068783068</v>
      </c>
      <c r="AB73" s="1301">
        <f t="shared" si="409"/>
        <v>92.418038772748062</v>
      </c>
      <c r="AC73" s="3530">
        <f t="shared" si="409"/>
        <v>97.916666666666657</v>
      </c>
      <c r="AD73" s="3530">
        <f t="shared" si="409"/>
        <v>91.945271984993937</v>
      </c>
      <c r="AE73" s="1300">
        <f t="shared" si="409"/>
        <v>97.120444444444445</v>
      </c>
      <c r="AF73" s="1300">
        <f t="shared" si="409"/>
        <v>92.347116124707227</v>
      </c>
      <c r="AG73" s="3530">
        <f t="shared" ref="AG73:AJ73" si="410">+AG72/AG70*100</f>
        <v>98.419540229885058</v>
      </c>
      <c r="AH73" s="3530">
        <f t="shared" si="410"/>
        <v>74.918566775244301</v>
      </c>
      <c r="AI73" s="1300">
        <f t="shared" si="410"/>
        <v>97.294457274826797</v>
      </c>
      <c r="AJ73" s="1300">
        <f t="shared" si="410"/>
        <v>92.074674683237518</v>
      </c>
      <c r="AK73" s="3530">
        <f t="shared" ref="AK73:AL73" si="411">+AK72/AK70*100</f>
        <v>97.916666666666657</v>
      </c>
      <c r="AL73" s="3530">
        <f t="shared" si="411"/>
        <v>98.941340782122893</v>
      </c>
      <c r="AM73" s="1298">
        <f t="shared" ref="AM73:AN73" si="412">+AM72/AM70*100</f>
        <v>98.080524344569284</v>
      </c>
      <c r="AN73" s="1298">
        <f t="shared" si="412"/>
        <v>94.384598659893655</v>
      </c>
      <c r="AO73" s="1300">
        <f t="shared" ref="AO73:AT73" si="413">+AO72/AO70*100</f>
        <v>97.370182555780943</v>
      </c>
      <c r="AP73" s="1300">
        <f t="shared" si="413"/>
        <v>92.948596029385882</v>
      </c>
      <c r="AQ73" s="3530">
        <f t="shared" si="413"/>
        <v>97.916666666666657</v>
      </c>
      <c r="AR73" s="3530">
        <f t="shared" si="413"/>
        <v>95.861781489413673</v>
      </c>
      <c r="AS73" s="1300">
        <f t="shared" si="413"/>
        <v>97.429475587703436</v>
      </c>
      <c r="AT73" s="1300">
        <f t="shared" si="413"/>
        <v>93.269203390313123</v>
      </c>
      <c r="AU73" s="3845">
        <f t="shared" ref="AU73:AX73" si="414">+AU72/AU70*100</f>
        <v>97.560975609756099</v>
      </c>
      <c r="AV73" s="3845">
        <f t="shared" si="414"/>
        <v>99.797169811320757</v>
      </c>
      <c r="AW73" s="1300">
        <f t="shared" si="414"/>
        <v>97.441305540318154</v>
      </c>
      <c r="AX73" s="1300">
        <f t="shared" si="414"/>
        <v>93.865935373709675</v>
      </c>
      <c r="AY73" s="3845">
        <f t="shared" ref="AY73:AZ73" si="415">+AY72/AY70*100</f>
        <v>97.916666666666657</v>
      </c>
      <c r="AZ73" s="3845">
        <f t="shared" si="415"/>
        <v>95.362903225806448</v>
      </c>
      <c r="BA73" s="1298">
        <f t="shared" ref="BA73:BF73" si="416">+BA72/BA70*100</f>
        <v>97.805343511450388</v>
      </c>
      <c r="BB73" s="1298">
        <f t="shared" si="416"/>
        <v>96.888775406969188</v>
      </c>
      <c r="BC73" s="1301">
        <f t="shared" si="416"/>
        <v>97.944234404536871</v>
      </c>
      <c r="BD73" s="1301">
        <f t="shared" si="416"/>
        <v>95.831083901488796</v>
      </c>
      <c r="BE73" s="1300">
        <f t="shared" si="416"/>
        <v>97.484023964053918</v>
      </c>
      <c r="BF73" s="1300">
        <f t="shared" si="416"/>
        <v>94.010548539642727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843" t="s">
        <v>226</v>
      </c>
      <c r="C74" s="3844" t="s">
        <v>1516</v>
      </c>
      <c r="D74" s="3132">
        <f t="shared" ref="D74:J74" si="417">+D65/D72</f>
        <v>549.61904294808744</v>
      </c>
      <c r="E74" s="3262">
        <f>+E65/E72</f>
        <v>550.41620554360293</v>
      </c>
      <c r="F74" s="3262">
        <f>+F65/F72</f>
        <v>551.56989099883458</v>
      </c>
      <c r="G74" s="3262">
        <f>+G65/G72</f>
        <v>547.89361282512937</v>
      </c>
      <c r="H74" s="3262">
        <f>+H65/H72</f>
        <v>549.47342375083122</v>
      </c>
      <c r="I74" s="3263">
        <f t="shared" si="417"/>
        <v>549.13334856284075</v>
      </c>
      <c r="J74" s="3861">
        <f t="shared" si="417"/>
        <v>550.4678443391241</v>
      </c>
      <c r="K74" s="3262">
        <f>+K65/K72</f>
        <v>525.02394997411045</v>
      </c>
      <c r="L74" s="3262">
        <f>+L65/L72</f>
        <v>504.42445347262532</v>
      </c>
      <c r="M74" s="1286">
        <f t="shared" ref="M74:R74" si="418">+M65/M72</f>
        <v>542.27062709413917</v>
      </c>
      <c r="N74" s="1286">
        <f t="shared" si="418"/>
        <v>536.84466602938733</v>
      </c>
      <c r="O74" s="3262">
        <f>+O65/O72</f>
        <v>461.16054287608199</v>
      </c>
      <c r="P74" s="3262">
        <f>+P65/P72</f>
        <v>550.96796803812992</v>
      </c>
      <c r="Q74" s="1284">
        <f t="shared" si="418"/>
        <v>529.03706596006805</v>
      </c>
      <c r="R74" s="1284">
        <f t="shared" si="418"/>
        <v>540.93953730348403</v>
      </c>
      <c r="S74" s="3262">
        <f>+S65/S72</f>
        <v>562.94864590409077</v>
      </c>
      <c r="T74" s="3262">
        <f>+T65/T72</f>
        <v>547.25325399776864</v>
      </c>
      <c r="U74" s="1284">
        <f t="shared" ref="U74:V74" si="419">+U65/U72</f>
        <v>536.91051775136225</v>
      </c>
      <c r="V74" s="1284">
        <f t="shared" si="419"/>
        <v>542.29444456858653</v>
      </c>
      <c r="W74" s="3262">
        <f>+W65/W72</f>
        <v>557.45188284707081</v>
      </c>
      <c r="X74" s="3262">
        <f>+X65/X72</f>
        <v>557.9055967226941</v>
      </c>
      <c r="Y74" s="1286">
        <f t="shared" ref="Y74:AB74" si="420">+Y65/Y72</f>
        <v>538.9162903301409</v>
      </c>
      <c r="Z74" s="1286">
        <f t="shared" si="420"/>
        <v>551.99701399324738</v>
      </c>
      <c r="AA74" s="1225">
        <f t="shared" si="420"/>
        <v>540.67647017818274</v>
      </c>
      <c r="AB74" s="1225">
        <f t="shared" si="420"/>
        <v>545.02458798336397</v>
      </c>
      <c r="AC74" s="3262">
        <f>+AC65/AC72</f>
        <v>571.7040616184147</v>
      </c>
      <c r="AD74" s="3262">
        <f>+AD65/AD72</f>
        <v>559.30787231489262</v>
      </c>
      <c r="AE74" s="1284">
        <f t="shared" ref="AE74:AF74" si="421">+AE65/AE72</f>
        <v>545.68158455285686</v>
      </c>
      <c r="AF74" s="1284">
        <f t="shared" si="421"/>
        <v>547.15798718859298</v>
      </c>
      <c r="AG74" s="3262">
        <f>+AG65/AG72</f>
        <v>572.86090483338819</v>
      </c>
      <c r="AH74" s="3262">
        <f>+AH65/AH72</f>
        <v>424.46956521739128</v>
      </c>
      <c r="AI74" s="1284">
        <f t="shared" ref="AI74:AJ74" si="422">+AI65/AI72</f>
        <v>549.36433186013585</v>
      </c>
      <c r="AJ74" s="1284">
        <f t="shared" si="422"/>
        <v>545.59748358111892</v>
      </c>
      <c r="AK74" s="3262">
        <f>+AK65/AK72</f>
        <v>571.7040616184147</v>
      </c>
      <c r="AL74" s="3262">
        <f>+AL65/AL72</f>
        <v>510.4373111995709</v>
      </c>
      <c r="AM74" s="1286">
        <f t="shared" ref="AM74:AP74" si="423">+AM65/AM72</f>
        <v>572.08231345720071</v>
      </c>
      <c r="AN74" s="1286">
        <f t="shared" si="423"/>
        <v>529.72859775506788</v>
      </c>
      <c r="AO74" s="1284">
        <f t="shared" si="423"/>
        <v>552.09842233957772</v>
      </c>
      <c r="AP74" s="1284">
        <f t="shared" si="423"/>
        <v>540.83413493257956</v>
      </c>
      <c r="AQ74" s="3262">
        <f>+AQ65/AQ72</f>
        <v>571.7040616184147</v>
      </c>
      <c r="AR74" s="3262">
        <f>+AR65/AR72</f>
        <v>553.66460744916935</v>
      </c>
      <c r="AS74" s="1284">
        <f t="shared" ref="AS74:AT74" si="424">+AS65/AS72</f>
        <v>554.23625339952139</v>
      </c>
      <c r="AT74" s="1284">
        <f t="shared" si="424"/>
        <v>542.28542838001715</v>
      </c>
      <c r="AU74" s="3262">
        <f>+AU65/AU72</f>
        <v>571.1659798388813</v>
      </c>
      <c r="AV74" s="3262">
        <f>+AV65/AV72</f>
        <v>539.61494225709373</v>
      </c>
      <c r="AW74" s="1284">
        <f t="shared" ref="AW74:AX74" si="425">+AW65/AW72</f>
        <v>555.76114917221173</v>
      </c>
      <c r="AX74" s="1284">
        <f t="shared" si="425"/>
        <v>542.02588978924348</v>
      </c>
      <c r="AY74" s="3262">
        <f>+AY65/AY72</f>
        <v>571.7040616184147</v>
      </c>
      <c r="AZ74" s="3262">
        <f>+AZ65/AZ72</f>
        <v>577.89992952783655</v>
      </c>
      <c r="BA74" s="1286">
        <f t="shared" ref="BA74:BD74" si="426">+BA65/BA72</f>
        <v>571.53607511163352</v>
      </c>
      <c r="BB74" s="1286">
        <f t="shared" si="426"/>
        <v>557.78045178581192</v>
      </c>
      <c r="BC74" s="1225">
        <f t="shared" si="426"/>
        <v>571.81215939003232</v>
      </c>
      <c r="BD74" s="1225">
        <f t="shared" si="426"/>
        <v>546.11100302292016</v>
      </c>
      <c r="BE74" s="1284">
        <f t="shared" ref="BE74:BF74" si="427">+BE65/BE72</f>
        <v>557.2002207297686</v>
      </c>
      <c r="BF74" s="1284">
        <f t="shared" si="427"/>
        <v>545.54132033932478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843" t="s">
        <v>227</v>
      </c>
      <c r="C75" s="3844" t="s">
        <v>49</v>
      </c>
      <c r="D75" s="3132">
        <f t="shared" ref="D75:AD75" si="428">+(1000/(D51+D52+D53+D54+D55))*100</f>
        <v>80.406826557792868</v>
      </c>
      <c r="E75" s="3262">
        <f t="shared" si="428"/>
        <v>80.391755848728508</v>
      </c>
      <c r="F75" s="3262">
        <f t="shared" si="428"/>
        <v>78.588085906499174</v>
      </c>
      <c r="G75" s="3262">
        <f t="shared" ref="G75:H75" si="429">+(1000/(G51+G52+G53+G54+G55))*100</f>
        <v>80.373222122155141</v>
      </c>
      <c r="H75" s="3262">
        <f t="shared" si="429"/>
        <v>78.885716442498548</v>
      </c>
      <c r="I75" s="3263">
        <f t="shared" si="428"/>
        <v>80.382350788134744</v>
      </c>
      <c r="J75" s="3861">
        <f t="shared" si="428"/>
        <v>78.743977644458027</v>
      </c>
      <c r="K75" s="3262">
        <f t="shared" si="428"/>
        <v>80.726141902261077</v>
      </c>
      <c r="L75" s="3262">
        <f t="shared" si="428"/>
        <v>79.461736085502963</v>
      </c>
      <c r="M75" s="1286">
        <f t="shared" si="428"/>
        <v>80.478007350759313</v>
      </c>
      <c r="N75" s="1286">
        <f t="shared" si="428"/>
        <v>79.056670572269098</v>
      </c>
      <c r="O75" s="3262">
        <f t="shared" ref="O75:P75" si="430">+(1000/(O51+O52+O53+O54+O55))*100</f>
        <v>82.341144512085791</v>
      </c>
      <c r="P75" s="3262">
        <f t="shared" si="430"/>
        <v>79.235252493281706</v>
      </c>
      <c r="Q75" s="1284">
        <f t="shared" si="428"/>
        <v>81.428557501880434</v>
      </c>
      <c r="R75" s="1284">
        <f t="shared" si="428"/>
        <v>79.109324206488139</v>
      </c>
      <c r="S75" s="3262">
        <f t="shared" si="428"/>
        <v>79.095455924965577</v>
      </c>
      <c r="T75" s="3845">
        <f t="shared" si="428"/>
        <v>79.670611674769674</v>
      </c>
      <c r="U75" s="1284">
        <f t="shared" ref="U75:X75" si="431">+(1000/(U51+U52+U53+U54+U55))*100</f>
        <v>81.274011949917806</v>
      </c>
      <c r="V75" s="1284">
        <f t="shared" si="431"/>
        <v>79.230204540027444</v>
      </c>
      <c r="W75" s="3262">
        <f t="shared" si="431"/>
        <v>78.996508292694884</v>
      </c>
      <c r="X75" s="3845">
        <f t="shared" si="431"/>
        <v>78.716780497341588</v>
      </c>
      <c r="Y75" s="1286">
        <f t="shared" si="428"/>
        <v>81.411431863288939</v>
      </c>
      <c r="Z75" s="1286">
        <f t="shared" si="428"/>
        <v>79.205183494588255</v>
      </c>
      <c r="AA75" s="1225">
        <f t="shared" si="428"/>
        <v>81.205725683062454</v>
      </c>
      <c r="AB75" s="1225">
        <f t="shared" si="428"/>
        <v>79.137801132821622</v>
      </c>
      <c r="AC75" s="3262">
        <f t="shared" si="428"/>
        <v>78.980523175772063</v>
      </c>
      <c r="AD75" s="3845">
        <f t="shared" si="428"/>
        <v>78.871639530480891</v>
      </c>
      <c r="AE75" s="1284">
        <f t="shared" ref="AE75:AH75" si="432">+(1000/(AE51+AE52+AE53+AE54+AE55))*100</f>
        <v>81.124710920361892</v>
      </c>
      <c r="AF75" s="1284">
        <f t="shared" si="432"/>
        <v>79.097047433010204</v>
      </c>
      <c r="AG75" s="3262">
        <f t="shared" si="432"/>
        <v>79.040324410532037</v>
      </c>
      <c r="AH75" s="3845">
        <f t="shared" si="432"/>
        <v>80.871438038436068</v>
      </c>
      <c r="AI75" s="1284">
        <f t="shared" ref="AI75:AL75" si="433">+(1000/(AI51+AI52+AI53+AI54+AI55))*100</f>
        <v>81.077418174778387</v>
      </c>
      <c r="AJ75" s="1284">
        <f t="shared" si="433"/>
        <v>79.114224303148333</v>
      </c>
      <c r="AK75" s="3262">
        <f t="shared" si="433"/>
        <v>78.980523175772063</v>
      </c>
      <c r="AL75" s="3845">
        <f t="shared" si="433"/>
        <v>79.372727086350295</v>
      </c>
      <c r="AM75" s="1286">
        <f t="shared" ref="AM75:AN75" si="434">+(1000/(AM51+AM52+AM53+AM54+AM55))*100</f>
        <v>80.749146610127383</v>
      </c>
      <c r="AN75" s="1286">
        <f t="shared" si="434"/>
        <v>79.172775802727784</v>
      </c>
      <c r="AO75" s="1284">
        <f t="shared" ref="AO75:AT75" si="435">+(1000/(AO51+AO52+AO53+AO54+AO55))*100</f>
        <v>81.03305755540309</v>
      </c>
      <c r="AP75" s="1284">
        <f t="shared" si="435"/>
        <v>79.147182927431118</v>
      </c>
      <c r="AQ75" s="3262">
        <f t="shared" si="435"/>
        <v>78.980523175772063</v>
      </c>
      <c r="AR75" s="3845">
        <f t="shared" si="435"/>
        <v>78.912218838489096</v>
      </c>
      <c r="AS75" s="1284">
        <f t="shared" si="435"/>
        <v>80.998709526551181</v>
      </c>
      <c r="AT75" s="1284">
        <f t="shared" si="435"/>
        <v>79.119976294557958</v>
      </c>
      <c r="AU75" s="3262">
        <f t="shared" ref="AU75:AX75" si="436">+(1000/(AU51+AU52+AU53+AU54+AU55))*100</f>
        <v>79.060219049602978</v>
      </c>
      <c r="AV75" s="3262">
        <f t="shared" si="436"/>
        <v>78.207189145495477</v>
      </c>
      <c r="AW75" s="1284">
        <f t="shared" si="436"/>
        <v>80.981386633930612</v>
      </c>
      <c r="AX75" s="1284">
        <f t="shared" si="436"/>
        <v>79.030729139403306</v>
      </c>
      <c r="AY75" s="3262">
        <f t="shared" ref="AY75:AZ75" si="437">+(1000/(AY51+AY52+AY53+AY54+AY55))*100</f>
        <v>78.980523175772063</v>
      </c>
      <c r="AZ75" s="3262">
        <f t="shared" si="437"/>
        <v>77.210174674791546</v>
      </c>
      <c r="BA75" s="1286">
        <f t="shared" ref="BA75:BF75" si="438">+(1000/(BA51+BA52+BA53+BA54+BA55))*100</f>
        <v>80.754660400181848</v>
      </c>
      <c r="BB75" s="1286">
        <f t="shared" si="438"/>
        <v>78.068309222517556</v>
      </c>
      <c r="BC75" s="1225">
        <f t="shared" si="438"/>
        <v>80.751872164300252</v>
      </c>
      <c r="BD75" s="1225">
        <f t="shared" si="438"/>
        <v>78.51025026209156</v>
      </c>
      <c r="BE75" s="1284">
        <f t="shared" si="438"/>
        <v>80.95791804342042</v>
      </c>
      <c r="BF75" s="1284">
        <f t="shared" si="438"/>
        <v>78.837760538078399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851" t="s">
        <v>437</v>
      </c>
      <c r="C76" s="3852" t="s">
        <v>49</v>
      </c>
      <c r="D76" s="1454">
        <f t="shared" ref="D76:Z76" si="439">+D45/D65*100</f>
        <v>15</v>
      </c>
      <c r="E76" s="3862">
        <f t="shared" si="439"/>
        <v>15</v>
      </c>
      <c r="F76" s="3862">
        <f t="shared" si="439"/>
        <v>16.441910325327036</v>
      </c>
      <c r="G76" s="3862">
        <f t="shared" ref="G76:H76" si="440">+G45/G65*100</f>
        <v>15</v>
      </c>
      <c r="H76" s="3862">
        <f t="shared" si="440"/>
        <v>16.947082233342528</v>
      </c>
      <c r="I76" s="3863">
        <f t="shared" si="439"/>
        <v>15</v>
      </c>
      <c r="J76" s="3864">
        <f t="shared" si="439"/>
        <v>16.706983530634908</v>
      </c>
      <c r="K76" s="3862">
        <f t="shared" si="439"/>
        <v>15</v>
      </c>
      <c r="L76" s="3862">
        <f t="shared" si="439"/>
        <v>21.054165691865752</v>
      </c>
      <c r="M76" s="1298">
        <f t="shared" si="439"/>
        <v>15.000000000000002</v>
      </c>
      <c r="N76" s="1298">
        <f t="shared" si="439"/>
        <v>17.91553867101409</v>
      </c>
      <c r="O76" s="3862">
        <f t="shared" ref="O76:P76" si="441">+O45/O65*100</f>
        <v>15</v>
      </c>
      <c r="P76" s="3862">
        <f t="shared" si="441"/>
        <v>19.313645419086946</v>
      </c>
      <c r="Q76" s="1300">
        <f t="shared" si="439"/>
        <v>15.000000000000005</v>
      </c>
      <c r="R76" s="1300">
        <f t="shared" si="439"/>
        <v>18.328416882935382</v>
      </c>
      <c r="S76" s="3862">
        <f t="shared" si="439"/>
        <v>15</v>
      </c>
      <c r="T76" s="3862">
        <f t="shared" si="439"/>
        <v>17.030587864340252</v>
      </c>
      <c r="U76" s="1300">
        <f t="shared" ref="U76:X76" si="442">+U45/U65*100</f>
        <v>15.000000000000002</v>
      </c>
      <c r="V76" s="1300">
        <f t="shared" si="442"/>
        <v>18.047359396090293</v>
      </c>
      <c r="W76" s="3862">
        <f t="shared" si="442"/>
        <v>15</v>
      </c>
      <c r="X76" s="3862">
        <f t="shared" si="442"/>
        <v>19.549600866027582</v>
      </c>
      <c r="Y76" s="1298">
        <f t="shared" si="439"/>
        <v>15</v>
      </c>
      <c r="Z76" s="1298">
        <f t="shared" si="439"/>
        <v>18.64850077473746</v>
      </c>
      <c r="AA76" s="1301">
        <f t="shared" ref="AA76:AF76" si="443">+AA45/AA65*100</f>
        <v>15.000000000000002</v>
      </c>
      <c r="AB76" s="1301">
        <f t="shared" si="443"/>
        <v>18.316286685250123</v>
      </c>
      <c r="AC76" s="3862">
        <f t="shared" si="443"/>
        <v>14.999999999999996</v>
      </c>
      <c r="AD76" s="3862">
        <f t="shared" si="443"/>
        <v>19.196903906859735</v>
      </c>
      <c r="AE76" s="1300">
        <f t="shared" si="443"/>
        <v>15.000000000000002</v>
      </c>
      <c r="AF76" s="1300">
        <f t="shared" si="443"/>
        <v>18.450739348940516</v>
      </c>
      <c r="AG76" s="3862">
        <f t="shared" ref="AG76:AJ76" si="444">+AG45/AG65*100</f>
        <v>15</v>
      </c>
      <c r="AH76" s="3862">
        <f t="shared" si="444"/>
        <v>4.0807964928094398</v>
      </c>
      <c r="AI76" s="1300">
        <f t="shared" si="444"/>
        <v>14.999999999999996</v>
      </c>
      <c r="AJ76" s="1300">
        <f t="shared" si="444"/>
        <v>18.308542348472809</v>
      </c>
      <c r="AK76" s="3862">
        <f t="shared" ref="AK76:AL76" si="445">+AK45/AK65*100</f>
        <v>14.999999999999996</v>
      </c>
      <c r="AL76" s="3862">
        <f t="shared" si="445"/>
        <v>12.521155739427661</v>
      </c>
      <c r="AM76" s="1298">
        <f t="shared" ref="AM76:AN76" si="446">+AM45/AM65*100</f>
        <v>15</v>
      </c>
      <c r="AN76" s="1298">
        <f t="shared" si="446"/>
        <v>15.529710041799099</v>
      </c>
      <c r="AO76" s="1300">
        <f t="shared" ref="AO76:AT76" si="447">+AO45/AO65*100</f>
        <v>15</v>
      </c>
      <c r="AP76" s="1300">
        <f t="shared" si="447"/>
        <v>17.568558590031724</v>
      </c>
      <c r="AQ76" s="3862">
        <f t="shared" si="447"/>
        <v>14.999999999999996</v>
      </c>
      <c r="AR76" s="3862">
        <f t="shared" si="447"/>
        <v>17.729451591062965</v>
      </c>
      <c r="AS76" s="1300">
        <f t="shared" si="447"/>
        <v>14.999999999999995</v>
      </c>
      <c r="AT76" s="1300">
        <f t="shared" si="447"/>
        <v>17.587139567803504</v>
      </c>
      <c r="AU76" s="3862">
        <f t="shared" ref="AU76:AX76" si="448">+AU45/AU65*100</f>
        <v>15</v>
      </c>
      <c r="AV76" s="3862">
        <f t="shared" si="448"/>
        <v>17.32968563411864</v>
      </c>
      <c r="AW76" s="1300">
        <f t="shared" si="448"/>
        <v>14.999999999999996</v>
      </c>
      <c r="AX76" s="1300">
        <f t="shared" si="448"/>
        <v>17.562229489968615</v>
      </c>
      <c r="AY76" s="3862">
        <f t="shared" ref="AY76:AZ76" si="449">+AY45/AY65*100</f>
        <v>14.999999999999996</v>
      </c>
      <c r="AZ76" s="3862">
        <f t="shared" si="449"/>
        <v>16.52065752890103</v>
      </c>
      <c r="BA76" s="1298">
        <f t="shared" ref="BA76:BF76" si="450">+BA45/BA65*100</f>
        <v>15</v>
      </c>
      <c r="BB76" s="1298">
        <f t="shared" si="450"/>
        <v>17.165566172714701</v>
      </c>
      <c r="BC76" s="1301">
        <f t="shared" si="450"/>
        <v>15.000000000000002</v>
      </c>
      <c r="BD76" s="1301">
        <f t="shared" si="450"/>
        <v>16.50547128446372</v>
      </c>
      <c r="BE76" s="1300">
        <f t="shared" si="450"/>
        <v>15</v>
      </c>
      <c r="BF76" s="1300">
        <f t="shared" si="450"/>
        <v>17.454107878732948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839" t="s">
        <v>47</v>
      </c>
      <c r="C77" s="3840"/>
      <c r="D77" s="2833"/>
      <c r="E77" s="3841"/>
      <c r="F77" s="3841"/>
      <c r="G77" s="3841"/>
      <c r="H77" s="3841"/>
      <c r="I77" s="3840"/>
      <c r="J77" s="3842"/>
      <c r="K77" s="3841"/>
      <c r="L77" s="3841"/>
      <c r="M77" s="1281"/>
      <c r="N77" s="1281"/>
      <c r="O77" s="3841"/>
      <c r="P77" s="3841"/>
      <c r="Q77" s="1281"/>
      <c r="R77" s="1281"/>
      <c r="S77" s="3841"/>
      <c r="T77" s="3841"/>
      <c r="U77" s="1281"/>
      <c r="V77" s="1281"/>
      <c r="W77" s="3841"/>
      <c r="X77" s="3841"/>
      <c r="Y77" s="1281"/>
      <c r="Z77" s="1281"/>
      <c r="AA77" s="1281"/>
      <c r="AB77" s="1281"/>
      <c r="AC77" s="3841"/>
      <c r="AD77" s="3841"/>
      <c r="AE77" s="1281"/>
      <c r="AF77" s="1281"/>
      <c r="AG77" s="3841"/>
      <c r="AH77" s="3841"/>
      <c r="AI77" s="1281"/>
      <c r="AJ77" s="1281"/>
      <c r="AK77" s="3841"/>
      <c r="AL77" s="3841"/>
      <c r="AM77" s="1281"/>
      <c r="AN77" s="1281"/>
      <c r="AO77" s="1281"/>
      <c r="AP77" s="1281"/>
      <c r="AQ77" s="3841"/>
      <c r="AR77" s="3841"/>
      <c r="AS77" s="1281"/>
      <c r="AT77" s="1281"/>
      <c r="AU77" s="3841"/>
      <c r="AV77" s="3841"/>
      <c r="AW77" s="1281"/>
      <c r="AX77" s="1281"/>
      <c r="AY77" s="3841"/>
      <c r="AZ77" s="3841"/>
      <c r="BA77" s="1281"/>
      <c r="BB77" s="1281"/>
      <c r="BC77" s="1281"/>
      <c r="BD77" s="1281"/>
      <c r="BE77" s="1281"/>
      <c r="BF77" s="1281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843" t="s">
        <v>438</v>
      </c>
      <c r="C78" s="3844" t="s">
        <v>49</v>
      </c>
      <c r="D78" s="3470">
        <f t="shared" ref="D78:AD78" si="451">+(D65/(3880000/330*D1))*100</f>
        <v>112.19027886981576</v>
      </c>
      <c r="E78" s="3845">
        <f t="shared" si="451"/>
        <v>112.35299865735398</v>
      </c>
      <c r="F78" s="3845">
        <f t="shared" si="451"/>
        <v>112.58849321419508</v>
      </c>
      <c r="G78" s="3845">
        <f t="shared" ref="G78:H78" si="452">+(G65/(3880000/330*G1))*100</f>
        <v>111.83807766945941</v>
      </c>
      <c r="H78" s="3845">
        <f t="shared" si="452"/>
        <v>112.16055453882947</v>
      </c>
      <c r="I78" s="3846">
        <f t="shared" si="451"/>
        <v>112.09113712932212</v>
      </c>
      <c r="J78" s="3847">
        <f t="shared" si="451"/>
        <v>112.36353935994492</v>
      </c>
      <c r="K78" s="3845">
        <f t="shared" si="451"/>
        <v>107.16983721121017</v>
      </c>
      <c r="L78" s="3845">
        <f t="shared" si="451"/>
        <v>102.96499153358742</v>
      </c>
      <c r="M78" s="1298">
        <f t="shared" si="451"/>
        <v>110.69029295323666</v>
      </c>
      <c r="N78" s="1298">
        <f t="shared" si="451"/>
        <v>109.58272564311204</v>
      </c>
      <c r="O78" s="3845">
        <f t="shared" ref="O78:P78" si="453">+(O65/(3880000/330*O1))*100</f>
        <v>94.133801535530139</v>
      </c>
      <c r="P78" s="3845">
        <f t="shared" si="453"/>
        <v>112.46562646551519</v>
      </c>
      <c r="Q78" s="1300">
        <f t="shared" si="451"/>
        <v>107.98900934030256</v>
      </c>
      <c r="R78" s="1300">
        <f t="shared" si="451"/>
        <v>110.41858596504106</v>
      </c>
      <c r="S78" s="3845">
        <f t="shared" si="451"/>
        <v>114.91116689588657</v>
      </c>
      <c r="T78" s="3845">
        <f t="shared" si="451"/>
        <v>111.70736524902907</v>
      </c>
      <c r="U78" s="1300">
        <f t="shared" ref="U78:X78" si="454">+(U65/(3880000/330*U1))*100</f>
        <v>109.59616754099972</v>
      </c>
      <c r="V78" s="1300">
        <f t="shared" si="454"/>
        <v>110.6951546645156</v>
      </c>
      <c r="W78" s="3845">
        <f t="shared" si="454"/>
        <v>113.78914722032991</v>
      </c>
      <c r="X78" s="3845">
        <f t="shared" si="454"/>
        <v>113.88176098050869</v>
      </c>
      <c r="Y78" s="1298">
        <f t="shared" si="451"/>
        <v>110.00559328388444</v>
      </c>
      <c r="Z78" s="1298">
        <f t="shared" si="451"/>
        <v>112.67567914501335</v>
      </c>
      <c r="AA78" s="1301">
        <f t="shared" si="451"/>
        <v>110.36488772709296</v>
      </c>
      <c r="AB78" s="1301">
        <f t="shared" si="451"/>
        <v>111.25244167083099</v>
      </c>
      <c r="AC78" s="3845">
        <f t="shared" si="451"/>
        <v>116.69835484582072</v>
      </c>
      <c r="AD78" s="3845">
        <f t="shared" si="451"/>
        <v>114.16799867871002</v>
      </c>
      <c r="AE78" s="1300">
        <f t="shared" ref="AE78:AH78" si="455">+(AE65/(3880000/330*AE1))*100</f>
        <v>111.38655024893367</v>
      </c>
      <c r="AF78" s="1300">
        <f t="shared" si="455"/>
        <v>111.68791903437258</v>
      </c>
      <c r="AG78" s="3845">
        <f t="shared" si="455"/>
        <v>116.93449397629985</v>
      </c>
      <c r="AH78" s="3845">
        <f t="shared" si="455"/>
        <v>86.644303003137608</v>
      </c>
      <c r="AI78" s="1300">
        <f t="shared" ref="AI78:AL78" si="456">+(AI65/(3880000/330*AI1))*100</f>
        <v>112.1382862972236</v>
      </c>
      <c r="AJ78" s="1300">
        <f t="shared" si="456"/>
        <v>111.36938324645517</v>
      </c>
      <c r="AK78" s="3845">
        <f t="shared" si="456"/>
        <v>116.69835484582072</v>
      </c>
      <c r="AL78" s="3845">
        <f t="shared" si="456"/>
        <v>104.19235836857219</v>
      </c>
      <c r="AM78" s="1298">
        <f t="shared" ref="AM78:AN78" si="457">+(AM65/(3880000/330*AM1))*100</f>
        <v>116.77556501497499</v>
      </c>
      <c r="AN78" s="1298">
        <f t="shared" si="457"/>
        <v>108.13016737680765</v>
      </c>
      <c r="AO78" s="1300">
        <f t="shared" ref="AO78:AT78" si="458">+(AO65/(3880000/330*AO1))*100</f>
        <v>112.6963789930272</v>
      </c>
      <c r="AP78" s="1300">
        <f t="shared" si="458"/>
        <v>110.39707084190798</v>
      </c>
      <c r="AQ78" s="3845">
        <f t="shared" si="458"/>
        <v>116.69835484582072</v>
      </c>
      <c r="AR78" s="3845">
        <f t="shared" si="458"/>
        <v>113.0160745102428</v>
      </c>
      <c r="AS78" s="1300">
        <f t="shared" si="458"/>
        <v>113.13276100320127</v>
      </c>
      <c r="AT78" s="1300">
        <f t="shared" si="458"/>
        <v>110.69331424664266</v>
      </c>
      <c r="AU78" s="3845">
        <f t="shared" ref="AU78:AX78" si="459">+(AU65/(3880000/330*AU1))*100</f>
        <v>116.58851959597783</v>
      </c>
      <c r="AV78" s="3845">
        <f t="shared" si="459"/>
        <v>110.14820470814904</v>
      </c>
      <c r="AW78" s="1300">
        <f t="shared" si="459"/>
        <v>113.44402838772982</v>
      </c>
      <c r="AX78" s="1300">
        <f t="shared" si="459"/>
        <v>110.64033626625796</v>
      </c>
      <c r="AY78" s="3845">
        <f t="shared" ref="AY78:AZ78" si="460">+(AY65/(3880000/330*AY1))*100</f>
        <v>116.69835484582072</v>
      </c>
      <c r="AZ78" s="3845">
        <f t="shared" si="460"/>
        <v>117.96307839846558</v>
      </c>
      <c r="BA78" s="1298">
        <f t="shared" ref="BA78:BF78" si="461">+(BA65/(3880000/330*BA1))*100</f>
        <v>116.66406481660148</v>
      </c>
      <c r="BB78" s="1298">
        <f t="shared" si="461"/>
        <v>113.85621593153688</v>
      </c>
      <c r="BC78" s="1301">
        <f t="shared" si="461"/>
        <v>116.72042016415092</v>
      </c>
      <c r="BD78" s="1301">
        <f t="shared" si="461"/>
        <v>111.47420474076102</v>
      </c>
      <c r="BE78" s="1300">
        <f t="shared" si="461"/>
        <v>113.73777701494245</v>
      </c>
      <c r="BF78" s="1300">
        <f t="shared" si="461"/>
        <v>111.35791899709928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843" t="s">
        <v>230</v>
      </c>
      <c r="C79" s="3844" t="s">
        <v>228</v>
      </c>
      <c r="D79" s="3471">
        <f t="shared" ref="D79:AD79" si="462">+(D65/408)/D72</f>
        <v>1.3471054974217829</v>
      </c>
      <c r="E79" s="3530">
        <f t="shared" si="462"/>
        <v>1.3490593273127522</v>
      </c>
      <c r="F79" s="3530">
        <f t="shared" si="462"/>
        <v>1.3518869877422415</v>
      </c>
      <c r="G79" s="3530">
        <f t="shared" ref="G79:H79" si="463">+(G65/408)/G72</f>
        <v>1.3428765020223761</v>
      </c>
      <c r="H79" s="3530">
        <f t="shared" si="463"/>
        <v>1.3467485876245864</v>
      </c>
      <c r="I79" s="3846">
        <f t="shared" si="462"/>
        <v>1.3459150700069626</v>
      </c>
      <c r="J79" s="3848">
        <f t="shared" si="462"/>
        <v>1.3491858929880494</v>
      </c>
      <c r="K79" s="3530">
        <f t="shared" si="462"/>
        <v>1.2868234067992903</v>
      </c>
      <c r="L79" s="3530">
        <f t="shared" si="462"/>
        <v>1.2363344447858462</v>
      </c>
      <c r="M79" s="1304">
        <f t="shared" si="462"/>
        <v>1.3290946742503411</v>
      </c>
      <c r="N79" s="1304">
        <f t="shared" si="462"/>
        <v>1.3157957500720279</v>
      </c>
      <c r="O79" s="3530">
        <f t="shared" ref="O79:P79" si="464">+(O65/408)/O72</f>
        <v>1.1302954482256913</v>
      </c>
      <c r="P79" s="3530">
        <f t="shared" si="464"/>
        <v>1.3504116863679656</v>
      </c>
      <c r="Q79" s="1300">
        <f t="shared" si="462"/>
        <v>1.2966594753923237</v>
      </c>
      <c r="R79" s="1296">
        <f t="shared" si="462"/>
        <v>1.3258321992732451</v>
      </c>
      <c r="S79" s="3530">
        <f t="shared" si="462"/>
        <v>1.3797760929021829</v>
      </c>
      <c r="T79" s="3530">
        <f t="shared" si="462"/>
        <v>1.3413069950925705</v>
      </c>
      <c r="U79" s="1300">
        <f t="shared" ref="U79:X79" si="465">+(U65/408)/U72</f>
        <v>1.3159571513513781</v>
      </c>
      <c r="V79" s="1296">
        <f t="shared" si="465"/>
        <v>1.3291530504132023</v>
      </c>
      <c r="W79" s="3530">
        <f t="shared" si="465"/>
        <v>1.3663036344290951</v>
      </c>
      <c r="X79" s="3530">
        <f t="shared" si="465"/>
        <v>1.3674156782418974</v>
      </c>
      <c r="Y79" s="1304">
        <f t="shared" si="462"/>
        <v>1.3208732606130904</v>
      </c>
      <c r="Z79" s="1304">
        <f t="shared" si="462"/>
        <v>1.3529338578265868</v>
      </c>
      <c r="AA79" s="1305">
        <f t="shared" si="462"/>
        <v>1.3251874269073107</v>
      </c>
      <c r="AB79" s="1305">
        <f t="shared" si="462"/>
        <v>1.3358445783905981</v>
      </c>
      <c r="AC79" s="3530">
        <f t="shared" si="462"/>
        <v>1.4012354451431732</v>
      </c>
      <c r="AD79" s="3530">
        <f t="shared" si="462"/>
        <v>1.370852628222776</v>
      </c>
      <c r="AE79" s="1300">
        <f t="shared" ref="AE79:AH79" si="466">+(AE65/408)/AE72</f>
        <v>1.3374548641001394</v>
      </c>
      <c r="AF79" s="1296">
        <f t="shared" si="466"/>
        <v>1.3410734980112573</v>
      </c>
      <c r="AG79" s="3530">
        <f t="shared" si="466"/>
        <v>1.4040708451798729</v>
      </c>
      <c r="AH79" s="3530">
        <f t="shared" si="466"/>
        <v>1.0403665814151748</v>
      </c>
      <c r="AI79" s="1300">
        <f t="shared" ref="AI79:AL79" si="467">+(AI65/408)/AI72</f>
        <v>1.3464812055395488</v>
      </c>
      <c r="AJ79" s="1296">
        <f t="shared" si="467"/>
        <v>1.3372487342674482</v>
      </c>
      <c r="AK79" s="3530">
        <f t="shared" si="467"/>
        <v>1.4012354451431732</v>
      </c>
      <c r="AL79" s="3530">
        <f t="shared" si="467"/>
        <v>1.2510718411754189</v>
      </c>
      <c r="AM79" s="1304">
        <f t="shared" ref="AM79:AN79" si="468">+(AM65/408)/AM72</f>
        <v>1.4021625329833352</v>
      </c>
      <c r="AN79" s="1304">
        <f t="shared" si="468"/>
        <v>1.2983544062624213</v>
      </c>
      <c r="AO79" s="1300">
        <f t="shared" ref="AO79:AT79" si="469">+(AO65/408)/AO72</f>
        <v>1.3531824076950434</v>
      </c>
      <c r="AP79" s="1296">
        <f t="shared" si="469"/>
        <v>1.3255738601288716</v>
      </c>
      <c r="AQ79" s="3530">
        <f t="shared" si="469"/>
        <v>1.4012354451431732</v>
      </c>
      <c r="AR79" s="3530">
        <f t="shared" si="469"/>
        <v>1.3570210966891405</v>
      </c>
      <c r="AS79" s="1300">
        <f t="shared" si="469"/>
        <v>1.3584221897047093</v>
      </c>
      <c r="AT79" s="1296">
        <f t="shared" si="469"/>
        <v>1.3291309519118066</v>
      </c>
      <c r="AU79" s="3530">
        <f t="shared" ref="AU79:AX79" si="470">+(AU65/408)/AU72</f>
        <v>1.3999166172521602</v>
      </c>
      <c r="AV79" s="3530">
        <f t="shared" si="470"/>
        <v>1.3225856427869946</v>
      </c>
      <c r="AW79" s="1300">
        <f t="shared" si="470"/>
        <v>1.3621596793436561</v>
      </c>
      <c r="AX79" s="1296">
        <f t="shared" si="470"/>
        <v>1.3284948279148123</v>
      </c>
      <c r="AY79" s="3530">
        <f t="shared" ref="AY79:AZ79" si="471">+(AY65/408)/AY72</f>
        <v>1.4012354451431732</v>
      </c>
      <c r="AZ79" s="3530">
        <f t="shared" si="471"/>
        <v>1.4164213959015601</v>
      </c>
      <c r="BA79" s="1304">
        <f t="shared" ref="BA79:BF79" si="472">+(BA65/408)/BA72</f>
        <v>1.4008237135089054</v>
      </c>
      <c r="BB79" s="1304">
        <f t="shared" si="472"/>
        <v>1.3671089504554215</v>
      </c>
      <c r="BC79" s="1305">
        <f t="shared" si="472"/>
        <v>1.401500390661844</v>
      </c>
      <c r="BD79" s="1305">
        <f t="shared" si="472"/>
        <v>1.3385073603502946</v>
      </c>
      <c r="BE79" s="1300">
        <f t="shared" si="472"/>
        <v>1.3656868155141386</v>
      </c>
      <c r="BF79" s="1296">
        <f t="shared" si="472"/>
        <v>1.337111079263051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843" t="s">
        <v>231</v>
      </c>
      <c r="C80" s="3844" t="s">
        <v>213</v>
      </c>
      <c r="D80" s="3202">
        <f>15.4016963501787*365*24*1000</f>
        <v>134918860.02756542</v>
      </c>
      <c r="E80" s="3265">
        <f>+'POWER DISTRIBUTION'!I22</f>
        <v>11514717.277581625</v>
      </c>
      <c r="F80" s="3265">
        <f>+'POWER DISTRIBUTION'!J22</f>
        <v>9683949.9999999814</v>
      </c>
      <c r="G80" s="3265">
        <f>+'POWER DISTRIBUTION'!K22</f>
        <v>11860620.924496397</v>
      </c>
      <c r="H80" s="3265">
        <f>+'POWER DISTRIBUTION'!L22</f>
        <v>11134429.999999991</v>
      </c>
      <c r="I80" s="3263">
        <f>+E80+G80</f>
        <v>23375338.202078022</v>
      </c>
      <c r="J80" s="3849">
        <f>+F80+H80</f>
        <v>20818379.99999997</v>
      </c>
      <c r="K80" s="3265">
        <f>+'POWER DISTRIBUTION'!O22</f>
        <v>8862102.3867917489</v>
      </c>
      <c r="L80" s="3265">
        <f>+'POWER DISTRIBUTION'!P22</f>
        <v>9149889.999999987</v>
      </c>
      <c r="M80" s="1286">
        <f>+K80+G80+E80</f>
        <v>32237440.588869773</v>
      </c>
      <c r="N80" s="1286">
        <f>+L80+H80+F80</f>
        <v>29968269.999999959</v>
      </c>
      <c r="O80" s="3265">
        <f>+'POWER DISTRIBUTION'!S22</f>
        <v>5331592.3263261029</v>
      </c>
      <c r="P80" s="3265">
        <f>+'POWER DISTRIBUTION'!T22</f>
        <v>12388850.000000015</v>
      </c>
      <c r="Q80" s="1284">
        <f>+M80+O80</f>
        <v>37569032.915195875</v>
      </c>
      <c r="R80" s="1285">
        <f>+N80+P80</f>
        <v>42357119.99999997</v>
      </c>
      <c r="S80" s="3265">
        <f>+'POWER DISTRIBUTION'!W22</f>
        <v>12062216.193490066</v>
      </c>
      <c r="T80" s="3265">
        <f>+'POWER DISTRIBUTION'!X22</f>
        <v>11670870</v>
      </c>
      <c r="U80" s="1284">
        <f>+Q80+S80</f>
        <v>49631249.108685941</v>
      </c>
      <c r="V80" s="1285">
        <f>+R80+T80</f>
        <v>54027989.99999997</v>
      </c>
      <c r="W80" s="3265">
        <f>+'POWER DISTRIBUTION'!AA22</f>
        <v>11549154.320373729</v>
      </c>
      <c r="X80" s="3265">
        <f>+'POWER DISTRIBUTION'!AB22</f>
        <v>11386173</v>
      </c>
      <c r="Y80" s="1286">
        <f>+O80+S80+W80</f>
        <v>28942962.840189897</v>
      </c>
      <c r="Z80" s="1286">
        <f>+P80+T80+X80</f>
        <v>35445893.000000015</v>
      </c>
      <c r="AA80" s="1225">
        <f>M80+Y80</f>
        <v>61180403.429059669</v>
      </c>
      <c r="AB80" s="1225">
        <f>N80+Z80</f>
        <v>65414162.99999997</v>
      </c>
      <c r="AC80" s="3265">
        <f>+'POWER DISTRIBUTION'!AG22</f>
        <v>12426073.534885483</v>
      </c>
      <c r="AD80" s="3265">
        <f>+'POWER DISTRIBUTION'!AH22</f>
        <v>11532626.999999965</v>
      </c>
      <c r="AE80" s="1284">
        <f>+AA80+AC80</f>
        <v>73606476.96394515</v>
      </c>
      <c r="AF80" s="1285">
        <f>+AB80+AD80</f>
        <v>76946789.99999994</v>
      </c>
      <c r="AG80" s="3265">
        <f>+'POWER DISTRIBUTION'!AK22</f>
        <v>12097991.661769148</v>
      </c>
      <c r="AH80" s="3265">
        <f>+'POWER DISTRIBUTION'!AL22</f>
        <v>1573730.0000000368</v>
      </c>
      <c r="AI80" s="1284">
        <f>+AE80+AG80</f>
        <v>85704468.625714302</v>
      </c>
      <c r="AJ80" s="1285">
        <f>+AF80+AH80</f>
        <v>78520519.99999997</v>
      </c>
      <c r="AK80" s="3265">
        <f>+'POWER DISTRIBUTION'!AO22</f>
        <v>12426073.534885483</v>
      </c>
      <c r="AL80" s="3265">
        <f>+'POWER DISTRIBUTION'!AP22</f>
        <v>11462629.999999959</v>
      </c>
      <c r="AM80" s="1286">
        <f>+AC80+AG80+AK80</f>
        <v>36950138.731540114</v>
      </c>
      <c r="AN80" s="1286">
        <f>+AD80+AH80+AL80</f>
        <v>24568986.999999963</v>
      </c>
      <c r="AO80" s="1284">
        <f>AI80+AK80</f>
        <v>98130542.160599783</v>
      </c>
      <c r="AP80" s="1284">
        <f>AJ80+AL80</f>
        <v>89983149.999999925</v>
      </c>
      <c r="AQ80" s="3265">
        <f>+'POWER DISTRIBUTION'!AU22</f>
        <v>12426073.534885483</v>
      </c>
      <c r="AR80" s="3265">
        <f>+'POWER DISTRIBUTION'!AV22</f>
        <v>11305090.000000039</v>
      </c>
      <c r="AS80" s="1284">
        <f>+AO80+AQ80</f>
        <v>110556615.69548526</v>
      </c>
      <c r="AT80" s="1285">
        <f>+AP80+AR80</f>
        <v>101288239.99999997</v>
      </c>
      <c r="AU80" s="3265">
        <f>+'POWER DISTRIBUTION'!AY22</f>
        <v>11269790.181396937</v>
      </c>
      <c r="AV80" s="3265">
        <f>+'POWER DISTRIBUTION'!AZ22</f>
        <v>10543509.99999997</v>
      </c>
      <c r="AW80" s="1284">
        <f>+AS80+AU80</f>
        <v>121826405.8768822</v>
      </c>
      <c r="AX80" s="1285">
        <f>+AT80+AV80</f>
        <v>111831749.99999994</v>
      </c>
      <c r="AY80" s="3265">
        <f>+'POWER DISTRIBUTION'!BC22</f>
        <v>12426073.534885483</v>
      </c>
      <c r="AZ80" s="3265">
        <f>+'POWER DISTRIBUTION'!BD22</f>
        <v>11992050.000000013</v>
      </c>
      <c r="BA80" s="1286">
        <f>+AQ80+AU80+AY80</f>
        <v>36121937.251167901</v>
      </c>
      <c r="BB80" s="1286">
        <f>+AR80+AV80+AZ80</f>
        <v>33840650.000000022</v>
      </c>
      <c r="BC80" s="1225">
        <f t="shared" ref="BC80:BD80" si="473">AM80+BA80</f>
        <v>73072075.982708007</v>
      </c>
      <c r="BD80" s="1225">
        <f t="shared" si="473"/>
        <v>58409636.999999985</v>
      </c>
      <c r="BE80" s="1284">
        <f>+AW80+AY80</f>
        <v>134252479.41176769</v>
      </c>
      <c r="BF80" s="1285">
        <f>+AX80+AZ80</f>
        <v>123823799.99999996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843" t="s">
        <v>232</v>
      </c>
      <c r="C81" s="3844" t="s">
        <v>229</v>
      </c>
      <c r="D81" s="3473">
        <f t="shared" ref="D81:AD81" si="474">+D80/D65</f>
        <v>30.924294244021358</v>
      </c>
      <c r="E81" s="3850">
        <f t="shared" si="474"/>
        <v>30.937619988311706</v>
      </c>
      <c r="F81" s="3850">
        <f t="shared" si="474"/>
        <v>30.090265046763761</v>
      </c>
      <c r="G81" s="3850">
        <f t="shared" ref="G81:H81" si="475">+G80/G65</f>
        <v>30.937619988311706</v>
      </c>
      <c r="H81" s="3850">
        <f t="shared" si="475"/>
        <v>31.337579438568419</v>
      </c>
      <c r="I81" s="3846">
        <f t="shared" si="474"/>
        <v>30.937619988311702</v>
      </c>
      <c r="J81" s="3847">
        <f t="shared" si="474"/>
        <v>30.744754377259472</v>
      </c>
      <c r="K81" s="3850">
        <f t="shared" si="474"/>
        <v>30.830000000000002</v>
      </c>
      <c r="L81" s="3850">
        <f t="shared" si="474"/>
        <v>35.09241112692095</v>
      </c>
      <c r="M81" s="1298">
        <f t="shared" si="474"/>
        <v>30.907960341806373</v>
      </c>
      <c r="N81" s="1298">
        <f t="shared" si="474"/>
        <v>31.953441457425427</v>
      </c>
      <c r="O81" s="3850">
        <f t="shared" ref="O81:P81" si="476">+O80/O65</f>
        <v>30.83</v>
      </c>
      <c r="P81" s="3850">
        <f t="shared" si="476"/>
        <v>31.521144534937307</v>
      </c>
      <c r="Q81" s="1300">
        <f t="shared" si="474"/>
        <v>30.89687263710492</v>
      </c>
      <c r="R81" s="1300">
        <f t="shared" si="474"/>
        <v>31.825778830360647</v>
      </c>
      <c r="S81" s="3850">
        <f t="shared" si="474"/>
        <v>30.83</v>
      </c>
      <c r="T81" s="3850">
        <f t="shared" si="474"/>
        <v>31.723717079243581</v>
      </c>
      <c r="U81" s="1300">
        <f t="shared" ref="U81:X81" si="477">+U80/U65</f>
        <v>30.880593459337977</v>
      </c>
      <c r="V81" s="1300">
        <f t="shared" si="477"/>
        <v>31.803676366275646</v>
      </c>
      <c r="W81" s="3878">
        <f t="shared" si="477"/>
        <v>30.83</v>
      </c>
      <c r="X81" s="3850">
        <f t="shared" si="477"/>
        <v>30.73796726480521</v>
      </c>
      <c r="Y81" s="1298">
        <f t="shared" si="474"/>
        <v>30.829999999999995</v>
      </c>
      <c r="Z81" s="1298">
        <f t="shared" si="474"/>
        <v>31.33058882698651</v>
      </c>
      <c r="AA81" s="1301">
        <f t="shared" si="474"/>
        <v>30.871030114409589</v>
      </c>
      <c r="AB81" s="1301">
        <f t="shared" si="474"/>
        <v>31.612895945533189</v>
      </c>
      <c r="AC81" s="3878">
        <f t="shared" si="474"/>
        <v>30.829999999999991</v>
      </c>
      <c r="AD81" s="3850">
        <f t="shared" si="474"/>
        <v>30.930429092118331</v>
      </c>
      <c r="AE81" s="1300">
        <f t="shared" ref="AE81:AH81" si="478">+AE80/AE65</f>
        <v>30.86409584597072</v>
      </c>
      <c r="AF81" s="1300">
        <f t="shared" si="478"/>
        <v>31.508696885975503</v>
      </c>
      <c r="AG81" s="3878">
        <f t="shared" si="478"/>
        <v>30.829999999999995</v>
      </c>
      <c r="AH81" s="3850">
        <f t="shared" si="478"/>
        <v>64.478633179007531</v>
      </c>
      <c r="AI81" s="1300">
        <f t="shared" ref="AI81:AL81" si="479">+AI80/AI65</f>
        <v>30.859278325980814</v>
      </c>
      <c r="AJ81" s="1300">
        <f t="shared" si="479"/>
        <v>31.834949126044794</v>
      </c>
      <c r="AK81" s="3878">
        <f t="shared" si="479"/>
        <v>30.829999999999991</v>
      </c>
      <c r="AL81" s="3850">
        <f t="shared" si="479"/>
        <v>31.699400449109962</v>
      </c>
      <c r="AM81" s="1298">
        <f t="shared" ref="AM81:AN81" si="480">+AM80/AM65</f>
        <v>30.829999999999995</v>
      </c>
      <c r="AN81" s="1298">
        <f t="shared" si="480"/>
        <v>32.37583743154272</v>
      </c>
      <c r="AO81" s="1300">
        <f t="shared" ref="AO81:AT81" si="481">+AO80/AO65</f>
        <v>30.855567795694338</v>
      </c>
      <c r="AP81" s="1300">
        <f t="shared" si="481"/>
        <v>31.817617672975253</v>
      </c>
      <c r="AQ81" s="3878">
        <f t="shared" si="481"/>
        <v>30.829999999999991</v>
      </c>
      <c r="AR81" s="3850">
        <f t="shared" si="481"/>
        <v>30.616357481381286</v>
      </c>
      <c r="AS81" s="1300">
        <f t="shared" si="481"/>
        <v>30.852691973643587</v>
      </c>
      <c r="AT81" s="1300">
        <f t="shared" si="481"/>
        <v>31.678888276574721</v>
      </c>
      <c r="AU81" s="3850">
        <f t="shared" ref="AU81:AX81" si="482">+AU80/AU65</f>
        <v>30.830000000000005</v>
      </c>
      <c r="AV81" s="3850">
        <f t="shared" si="482"/>
        <v>30.78406068338877</v>
      </c>
      <c r="AW81" s="1300">
        <f t="shared" si="482"/>
        <v>30.850591406160508</v>
      </c>
      <c r="AX81" s="1300">
        <f t="shared" si="482"/>
        <v>31.592308807090472</v>
      </c>
      <c r="AY81" s="3850">
        <f t="shared" ref="AY81:AZ81" si="483">+AY80/AY65</f>
        <v>30.829999999999991</v>
      </c>
      <c r="AZ81" s="3850">
        <f t="shared" si="483"/>
        <v>29.247475732891111</v>
      </c>
      <c r="BA81" s="1298">
        <f t="shared" ref="BA81:BF81" si="484">+BA80/BA65</f>
        <v>30.83</v>
      </c>
      <c r="BB81" s="1298">
        <f t="shared" si="484"/>
        <v>30.167218027954082</v>
      </c>
      <c r="BC81" s="1301">
        <f t="shared" si="484"/>
        <v>30.829999999999995</v>
      </c>
      <c r="BD81" s="1301">
        <f t="shared" si="484"/>
        <v>31.058432329045949</v>
      </c>
      <c r="BE81" s="1300">
        <f t="shared" si="484"/>
        <v>30.848684362080974</v>
      </c>
      <c r="BF81" s="1300">
        <f t="shared" si="484"/>
        <v>31.348900632199452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843" t="s">
        <v>233</v>
      </c>
      <c r="C82" s="3844" t="s">
        <v>624</v>
      </c>
      <c r="D82" s="3202">
        <f>1.64880670175213*1000</f>
        <v>1648.80670175213</v>
      </c>
      <c r="E82" s="3265">
        <f>+(EMD!D43*1000/E2)/24</f>
        <v>1712.0706146228076</v>
      </c>
      <c r="F82" s="3265">
        <f>+(EMD!E43*1000/F2)/24</f>
        <v>1317.1111111111111</v>
      </c>
      <c r="G82" s="3265">
        <f>+(EMD!F43*1000/G2)/24</f>
        <v>1706.6129114535149</v>
      </c>
      <c r="H82" s="3265">
        <f>+(EMD!G43*1000/H2)/24</f>
        <v>1447.7688172043006</v>
      </c>
      <c r="I82" s="3846">
        <f>+(EMD!H43*1000/I2)/24</f>
        <v>1709.2970277662816</v>
      </c>
      <c r="J82" s="3847">
        <f>+(EMD!I43*1000/J2)/24</f>
        <v>1383.5109289617483</v>
      </c>
      <c r="K82" s="3265">
        <f>+(EMD!J43*1000/K2)/24</f>
        <v>1322.9153769071524</v>
      </c>
      <c r="L82" s="3265">
        <f>+(EMD!K43*1000/L2)/24</f>
        <v>1135.5</v>
      </c>
      <c r="M82" s="1298">
        <f>(E82*E2+G82*G2+K82*K2)/M2</f>
        <v>1581.9184615489864</v>
      </c>
      <c r="N82" s="1298">
        <f>(F82*F2+H82*H2+L82*L2)/N2</f>
        <v>1301.749084249084</v>
      </c>
      <c r="O82" s="3265">
        <f>+(EMD!N43*1000/O2)/24</f>
        <v>770.21468794917303</v>
      </c>
      <c r="P82" s="3265">
        <f>+(EMD!O43*1000/P2)/24</f>
        <v>1448.0107526881718</v>
      </c>
      <c r="Q82" s="1300">
        <f>+(EMD!P43*1000/Q2)/24</f>
        <v>1375.6658633391978</v>
      </c>
      <c r="R82" s="1300">
        <f>+(EMD!Q43*1000/R2)/24</f>
        <v>1338.9139344262292</v>
      </c>
      <c r="S82" s="3265">
        <f>+(EMD!R43*1000/S2)/24</f>
        <v>1742.5368469322402</v>
      </c>
      <c r="T82" s="3265">
        <f>+(EMD!S43*1000/T2)/24</f>
        <v>1425.940860215054</v>
      </c>
      <c r="U82" s="1300">
        <f>+(EMD!T43*1000/U2)/24</f>
        <v>1449.9991998841931</v>
      </c>
      <c r="V82" s="1300">
        <f>+(EMD!U43*1000/V2)/24</f>
        <v>1356.5468409586058</v>
      </c>
      <c r="W82" s="3265">
        <f>+(EMD!V43*1000/W2)/24</f>
        <v>1724.0326475428149</v>
      </c>
      <c r="X82" s="3265">
        <f>+(EMD!W43*1000/X2)/24</f>
        <v>1449.2499999999998</v>
      </c>
      <c r="Y82" s="1286">
        <f>+((O82*O2)+(S82*S2)+(W82*W2))/(Y2)</f>
        <v>1408.8725761696548</v>
      </c>
      <c r="Z82" s="1286">
        <f>+((P82*P2)+(T82*T2)+(X82*X2))/(Z2)</f>
        <v>1440.9782608695652</v>
      </c>
      <c r="AA82" s="1225">
        <f>+((U82*U2*24)+(W82*W2*24))/(AA2*24)</f>
        <v>1494.9227158938031</v>
      </c>
      <c r="AB82" s="1225">
        <f>+((N82*N2)+(Z82*Z2))/(AB2)</f>
        <v>1371.7440801457192</v>
      </c>
      <c r="AC82" s="3265">
        <f>+(EMD!AB43*1000/AC2)/24</f>
        <v>1795.1005561410427</v>
      </c>
      <c r="AD82" s="3265">
        <f>+(EMD!AC43*1000/AD2)/24</f>
        <v>1456.6666666666658</v>
      </c>
      <c r="AE82" s="1300">
        <f>+(EMD!AD43*1000/AE2)/24</f>
        <v>1538.4064217240109</v>
      </c>
      <c r="AF82" s="1300">
        <f>+(EMD!AE43*1000/AF2)/24</f>
        <v>1384.0459501557627</v>
      </c>
      <c r="AG82" s="3265">
        <f>+(EMD!AF43*1000/AG2)/24</f>
        <v>1805.9618926207077</v>
      </c>
      <c r="AH82" s="3265">
        <f>+(EMD!AG43*1000/AH2)/24</f>
        <v>215.9722222222222</v>
      </c>
      <c r="AI82" s="1300">
        <f>+(EMD!AH43*1000/AI2)/24</f>
        <v>1571.3025861785227</v>
      </c>
      <c r="AJ82" s="1300">
        <f>+(EMD!AI43*1000/AJ2)/24</f>
        <v>1240.4303278688521</v>
      </c>
      <c r="AK82" s="3265">
        <f>+(EMD!AJ43*1000/AK2)/24</f>
        <v>1795.1005561410427</v>
      </c>
      <c r="AL82" s="3265">
        <f>+(EMD!AK43*1000/AL2)/24</f>
        <v>1456.8548387096771</v>
      </c>
      <c r="AM82" s="1298">
        <f>+(EMD!AL43*1000/AM2)/24</f>
        <v>1798.642296297455</v>
      </c>
      <c r="AN82" s="1298">
        <f>+(EMD!AM43*1000/AN2)/24</f>
        <v>1052.1557971014488</v>
      </c>
      <c r="AO82" s="1300">
        <f>+(EMD!AN43*1000/AO2)/24</f>
        <v>1596.530720974298</v>
      </c>
      <c r="AP82" s="1300">
        <f>+(EMD!AO43*1000/AP2)/24</f>
        <v>1264.8272727272727</v>
      </c>
      <c r="AQ82" s="3265">
        <f>+(EMD!AP43*1000/AQ2)/24</f>
        <v>1795.1005561410427</v>
      </c>
      <c r="AR82" s="3265">
        <f>+(EMD!AQ43*1000/AR2)/24</f>
        <v>1400.9408602150536</v>
      </c>
      <c r="AS82" s="1300">
        <f>+(EMD!AR43*1000/AS2)/24</f>
        <v>1616.6472729029554</v>
      </c>
      <c r="AT82" s="1300">
        <f>+(EMD!AS43*1000/AT2)/24</f>
        <v>1278.6165577342047</v>
      </c>
      <c r="AU82" s="3265">
        <f>+(EMD!AT43*1000/AU2)/24</f>
        <v>1802.4961888406515</v>
      </c>
      <c r="AV82" s="3265">
        <f>+(EMD!AU43*1000/AV2)/24</f>
        <v>1455.6547619047624</v>
      </c>
      <c r="AW82" s="1284">
        <f>+(EMD!AV43*1000/AW2)/24</f>
        <v>1632.2274215444386</v>
      </c>
      <c r="AX82" s="1284">
        <f>+(EMD!AW43*1000/AX2)/24</f>
        <v>1293.4580838323352</v>
      </c>
      <c r="AY82" s="3265">
        <f>+(EMD!AX43*1000/AY2)/24</f>
        <v>1795.1005561410427</v>
      </c>
      <c r="AZ82" s="3265">
        <f>+(EMD!AY43*1000/AZ2)/24</f>
        <v>1483.1989247311819</v>
      </c>
      <c r="BA82" s="1298">
        <f>+((AQ82*AQ2)+(AU82*AU2)+(AY82*AY2))/(BA2)</f>
        <v>1797.4014196475878</v>
      </c>
      <c r="BB82" s="1298">
        <f>+((AR82*AR2)+(AV82*AV2)+(AZ82*AZ2))/(BB2)</f>
        <v>1446.2962962962961</v>
      </c>
      <c r="BC82" s="1301">
        <f>+((AM82*AM2*24)+(BA82*BA2*24))/(BC2*24)</f>
        <v>1798.028675976092</v>
      </c>
      <c r="BD82" s="1301">
        <f>+((AN82*AN2)+(BB82*BB2))/(BD2)</f>
        <v>1247.0604395604391</v>
      </c>
      <c r="BE82" s="1300">
        <f>+(EMD!BD43*1000/BE2)/24</f>
        <v>1646.0604822909997</v>
      </c>
      <c r="BF82" s="1300">
        <f>+(EMD!BE43*1000/BF2)/24</f>
        <v>1309.5730593607304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851" t="s">
        <v>218</v>
      </c>
      <c r="C83" s="3852" t="s">
        <v>1182</v>
      </c>
      <c r="D83" s="894">
        <v>1.4E-2</v>
      </c>
      <c r="E83" s="3853">
        <f>+$D$83</f>
        <v>1.4E-2</v>
      </c>
      <c r="F83" s="3854">
        <v>1.2999999999999999E-2</v>
      </c>
      <c r="G83" s="3853">
        <f>+$D$83</f>
        <v>1.4E-2</v>
      </c>
      <c r="H83" s="3854">
        <v>1.2999999999999999E-2</v>
      </c>
      <c r="I83" s="3855">
        <f>+$D$83</f>
        <v>1.4E-2</v>
      </c>
      <c r="J83" s="3856">
        <f>+((F83*F65)+(H83*H65))/J65</f>
        <v>1.2999999999999999E-2</v>
      </c>
      <c r="K83" s="3853">
        <f>+$D$83</f>
        <v>1.4E-2</v>
      </c>
      <c r="L83" s="3854">
        <v>1.2999999999999999E-2</v>
      </c>
      <c r="M83" s="1709">
        <f>+$D$83</f>
        <v>1.4E-2</v>
      </c>
      <c r="N83" s="1709">
        <f>+((F83*F65)+(H83*H65)+(L83*L65))/N65</f>
        <v>1.2999999999999999E-2</v>
      </c>
      <c r="O83" s="3854">
        <f>+$D$83</f>
        <v>1.4E-2</v>
      </c>
      <c r="P83" s="3854">
        <v>1.2E-2</v>
      </c>
      <c r="Q83" s="2641">
        <f>+$D$83</f>
        <v>1.4E-2</v>
      </c>
      <c r="R83" s="2641">
        <f>+((N83*N65)+(P83*P65))/R65</f>
        <v>1.27046876338374E-2</v>
      </c>
      <c r="S83" s="3854">
        <f>+$D$83</f>
        <v>1.4E-2</v>
      </c>
      <c r="T83" s="3854">
        <v>1.2E-2</v>
      </c>
      <c r="U83" s="2641">
        <f>+$D$83</f>
        <v>1.4E-2</v>
      </c>
      <c r="V83" s="2641">
        <f>+((R83*R65)+(T83*T65))/V65</f>
        <v>1.2552080678268209E-2</v>
      </c>
      <c r="W83" s="3854">
        <f>+$D$83</f>
        <v>1.4E-2</v>
      </c>
      <c r="X83" s="3854">
        <v>1.2E-2</v>
      </c>
      <c r="Y83" s="1307">
        <f>+$D$83</f>
        <v>1.4E-2</v>
      </c>
      <c r="Z83" s="1307">
        <f>+((P83*P65)+(T83*T65)+(X83*X65))/Z65</f>
        <v>1.2E-2</v>
      </c>
      <c r="AA83" s="1622">
        <f>+$D$83</f>
        <v>1.4E-2</v>
      </c>
      <c r="AB83" s="5188">
        <f>+((N83*N65)+(Z83*Z65))/AB65</f>
        <v>1.2453248657467728E-2</v>
      </c>
      <c r="AC83" s="3854">
        <f>+$D$83</f>
        <v>1.4E-2</v>
      </c>
      <c r="AD83" s="3854">
        <v>1.2E-2</v>
      </c>
      <c r="AE83" s="1306">
        <f>+$D$83</f>
        <v>1.4E-2</v>
      </c>
      <c r="AF83" s="2641">
        <f>+((AB83*AB65)+(AD83*AD65))/AF65</f>
        <v>1.238404663891165E-2</v>
      </c>
      <c r="AG83" s="3854">
        <f>+$D$83</f>
        <v>1.4E-2</v>
      </c>
      <c r="AH83" s="3854">
        <v>2.7E-2</v>
      </c>
      <c r="AI83" s="1306">
        <f>+$D$83</f>
        <v>1.4E-2</v>
      </c>
      <c r="AJ83" s="2641">
        <f>+((AF83*AF65)+(AH83*AH65))/AJ65</f>
        <v>1.2528678023164923E-2</v>
      </c>
      <c r="AK83" s="3854">
        <f>+$D$83</f>
        <v>1.4E-2</v>
      </c>
      <c r="AL83" s="3854">
        <v>1.34E-2</v>
      </c>
      <c r="AM83" s="1307">
        <f>+$D$83</f>
        <v>1.4E-2</v>
      </c>
      <c r="AN83" s="1307">
        <f>+((AD83*AD65)+(AH83*AH65)+(AL83*AL65))/AN65</f>
        <v>1.3149541949324519E-2</v>
      </c>
      <c r="AO83" s="1306">
        <f>+$D$83</f>
        <v>1.4E-2</v>
      </c>
      <c r="AP83" s="2641">
        <f>+((AL83*AL65)+(AJ83*AJ65))/AP65</f>
        <v>1.2640086531838427E-2</v>
      </c>
      <c r="AQ83" s="3854">
        <v>1.3999999999999999E-2</v>
      </c>
      <c r="AR83" s="3854">
        <v>1.2E-2</v>
      </c>
      <c r="AS83" s="1306">
        <f>+$D$83</f>
        <v>1.4E-2</v>
      </c>
      <c r="AT83" s="2641">
        <f>+((AP83*AP65)+(AR83*AR65))/AT65</f>
        <v>1.2566165145924334E-2</v>
      </c>
      <c r="AU83" s="3854">
        <v>1.4000000000000002E-2</v>
      </c>
      <c r="AV83" s="3854">
        <v>1.2E-2</v>
      </c>
      <c r="AW83" s="1306">
        <f>+$D$83</f>
        <v>1.4E-2</v>
      </c>
      <c r="AX83" s="2641">
        <f>+((AT83*AT65)+(AV83*AV65))/AX65</f>
        <v>1.2511385567882852E-2</v>
      </c>
      <c r="AY83" s="3854">
        <v>1.4E-2</v>
      </c>
      <c r="AZ83" s="3854">
        <v>1.0999999999999999E-2</v>
      </c>
      <c r="BA83" s="1307">
        <f>+$D$83</f>
        <v>1.4E-2</v>
      </c>
      <c r="BB83" s="1307">
        <f>+((AR83*AR65)+(AV83*AV65)+(AZ83*AZ65))/BB65</f>
        <v>1.163448802739245E-2</v>
      </c>
      <c r="BC83" s="1622">
        <f>+$D$83</f>
        <v>1.4E-2</v>
      </c>
      <c r="BD83" s="1622">
        <f>+((AN83*AN65)+(BB83*BB65))/BD65</f>
        <v>1.2245837234936887E-2</v>
      </c>
      <c r="BE83" s="1306">
        <f>+$D$83</f>
        <v>1.4E-2</v>
      </c>
      <c r="BF83" s="2641">
        <f>+((AX83*AX65)+(AZ83*AZ65))/BF65</f>
        <v>1.235449439866365E-2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839" t="s">
        <v>436</v>
      </c>
      <c r="C84" s="3840"/>
      <c r="D84" s="3865"/>
      <c r="E84" s="3865"/>
      <c r="F84" s="3865"/>
      <c r="G84" s="3865"/>
      <c r="H84" s="3865"/>
      <c r="I84" s="3865"/>
      <c r="J84" s="3866"/>
      <c r="K84" s="3865"/>
      <c r="L84" s="3865"/>
      <c r="M84" s="1550"/>
      <c r="N84" s="1550"/>
      <c r="O84" s="3865"/>
      <c r="P84" s="3865"/>
      <c r="Q84" s="1550"/>
      <c r="R84" s="1550"/>
      <c r="S84" s="3865"/>
      <c r="T84" s="3865"/>
      <c r="U84" s="1550"/>
      <c r="V84" s="1550"/>
      <c r="W84" s="3865"/>
      <c r="X84" s="3865"/>
      <c r="Y84" s="1550"/>
      <c r="Z84" s="1550"/>
      <c r="AA84" s="1281"/>
      <c r="AB84" s="1281"/>
      <c r="AC84" s="3865"/>
      <c r="AD84" s="3865"/>
      <c r="AE84" s="1550"/>
      <c r="AF84" s="1550"/>
      <c r="AG84" s="3865"/>
      <c r="AH84" s="3865"/>
      <c r="AI84" s="1550"/>
      <c r="AJ84" s="1550"/>
      <c r="AK84" s="3865"/>
      <c r="AL84" s="3865"/>
      <c r="AM84" s="1550"/>
      <c r="AN84" s="1550"/>
      <c r="AO84" s="1550"/>
      <c r="AP84" s="1550"/>
      <c r="AQ84" s="3865"/>
      <c r="AR84" s="3865"/>
      <c r="AS84" s="1550"/>
      <c r="AT84" s="1550"/>
      <c r="AU84" s="3865"/>
      <c r="AV84" s="3865"/>
      <c r="AW84" s="1550"/>
      <c r="AX84" s="1550"/>
      <c r="AY84" s="3865"/>
      <c r="AZ84" s="3865"/>
      <c r="BA84" s="1550"/>
      <c r="BB84" s="1550"/>
      <c r="BC84" s="1281"/>
      <c r="BD84" s="1281"/>
      <c r="BE84" s="1550"/>
      <c r="BF84" s="1550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843" t="s">
        <v>48</v>
      </c>
      <c r="C85" s="3844" t="s">
        <v>219</v>
      </c>
      <c r="D85" s="3265">
        <f t="shared" ref="D85" si="485">+D22</f>
        <v>783.91225705888928</v>
      </c>
      <c r="E85" s="3265">
        <f t="shared" ref="E85:L85" si="486">+E22</f>
        <v>783.9122570588894</v>
      </c>
      <c r="F85" s="3265">
        <f t="shared" si="486"/>
        <v>785.44262498834792</v>
      </c>
      <c r="G85" s="3265">
        <f t="shared" ref="G85:H85" si="487">+G22</f>
        <v>783.91225705888951</v>
      </c>
      <c r="H85" s="3265">
        <f t="shared" si="487"/>
        <v>786.06609514052673</v>
      </c>
      <c r="I85" s="3265">
        <f t="shared" si="486"/>
        <v>783.9122570588894</v>
      </c>
      <c r="J85" s="3867">
        <f t="shared" si="486"/>
        <v>785.76977150823473</v>
      </c>
      <c r="K85" s="3265">
        <f t="shared" si="486"/>
        <v>779.40144546743261</v>
      </c>
      <c r="L85" s="3265">
        <f t="shared" si="486"/>
        <v>787.9549124213288</v>
      </c>
      <c r="M85" s="1286">
        <f t="shared" ref="M85:AF85" si="488">+M22</f>
        <v>783.91225705888928</v>
      </c>
      <c r="N85" s="1286">
        <f t="shared" si="488"/>
        <v>786.37726003414105</v>
      </c>
      <c r="O85" s="3265">
        <f t="shared" si="488"/>
        <v>779.40144546743261</v>
      </c>
      <c r="P85" s="3265">
        <f t="shared" si="488"/>
        <v>786.95936473527672</v>
      </c>
      <c r="Q85" s="1284">
        <f t="shared" si="488"/>
        <v>783.91225705888928</v>
      </c>
      <c r="R85" s="1284">
        <f t="shared" si="488"/>
        <v>786.54916275078779</v>
      </c>
      <c r="S85" s="3265">
        <f t="shared" ref="S85:V85" si="489">+S22</f>
        <v>779.40144546743261</v>
      </c>
      <c r="T85" s="3265">
        <f t="shared" si="489"/>
        <v>785.89854060034077</v>
      </c>
      <c r="U85" s="1284">
        <f t="shared" si="489"/>
        <v>783.91225705888928</v>
      </c>
      <c r="V85" s="1284">
        <f t="shared" si="489"/>
        <v>786.40826420107874</v>
      </c>
      <c r="W85" s="3265">
        <f t="shared" ref="W85:X85" si="490">+W22</f>
        <v>779.40144546743261</v>
      </c>
      <c r="X85" s="3265">
        <f t="shared" si="490"/>
        <v>784.99947358048951</v>
      </c>
      <c r="Y85" s="1286">
        <f t="shared" ref="Y85:Z85" si="491">+Y22</f>
        <v>783.91225705888928</v>
      </c>
      <c r="Z85" s="1286">
        <f t="shared" si="491"/>
        <v>785.97269989596509</v>
      </c>
      <c r="AA85" s="1225">
        <f t="shared" si="488"/>
        <v>783.91225705888928</v>
      </c>
      <c r="AB85" s="1225">
        <f t="shared" si="488"/>
        <v>786.1560662354583</v>
      </c>
      <c r="AC85" s="3265">
        <f t="shared" si="488"/>
        <v>779.40144546743261</v>
      </c>
      <c r="AD85" s="3265">
        <f t="shared" si="488"/>
        <v>786.35240856414123</v>
      </c>
      <c r="AE85" s="1284">
        <f t="shared" si="488"/>
        <v>783.91225705888928</v>
      </c>
      <c r="AF85" s="1284">
        <f t="shared" si="488"/>
        <v>786.18604378806435</v>
      </c>
      <c r="AG85" s="3265">
        <f t="shared" ref="AG85:AJ85" si="492">+AG22</f>
        <v>779.40144546743261</v>
      </c>
      <c r="AH85" s="3265">
        <f t="shared" si="492"/>
        <v>786.00401524152903</v>
      </c>
      <c r="AI85" s="1284">
        <f t="shared" si="492"/>
        <v>783.91225705888928</v>
      </c>
      <c r="AJ85" s="1284">
        <f t="shared" si="492"/>
        <v>786.18424253432408</v>
      </c>
      <c r="AK85" s="3265">
        <f t="shared" ref="AK85:AL85" si="493">+AK22</f>
        <v>779.40144546743261</v>
      </c>
      <c r="AL85" s="3265">
        <f t="shared" si="493"/>
        <v>785</v>
      </c>
      <c r="AM85" s="1286">
        <f t="shared" ref="AM85:AN85" si="494">+AM22</f>
        <v>783.91225705888928</v>
      </c>
      <c r="AN85" s="1286">
        <f t="shared" si="494"/>
        <v>785.69677466963947</v>
      </c>
      <c r="AO85" s="1284">
        <f t="shared" ref="AO85:AT85" si="495">+AO22</f>
        <v>783.91225705888928</v>
      </c>
      <c r="AP85" s="1284">
        <f t="shared" si="495"/>
        <v>786.03282354322278</v>
      </c>
      <c r="AQ85" s="3265">
        <f t="shared" si="495"/>
        <v>779.40144546743261</v>
      </c>
      <c r="AR85" s="3265">
        <f t="shared" si="495"/>
        <v>787.86188219363578</v>
      </c>
      <c r="AS85" s="1284">
        <f t="shared" si="495"/>
        <v>783.91225705888928</v>
      </c>
      <c r="AT85" s="1284">
        <f t="shared" si="495"/>
        <v>786.24405521836582</v>
      </c>
      <c r="AU85" s="3265">
        <f t="shared" ref="AU85:AX85" si="496">+AU22</f>
        <v>779.40144546743272</v>
      </c>
      <c r="AV85" s="3265">
        <f t="shared" si="496"/>
        <v>789.55267022677435</v>
      </c>
      <c r="AW85" s="1284">
        <f t="shared" si="496"/>
        <v>783.91225705888928</v>
      </c>
      <c r="AX85" s="1284">
        <f t="shared" si="496"/>
        <v>786.56418183754579</v>
      </c>
      <c r="AY85" s="3265">
        <f t="shared" ref="AY85:AZ85" si="497">+AY22</f>
        <v>779.40144546743261</v>
      </c>
      <c r="AZ85" s="3265">
        <f t="shared" si="497"/>
        <v>786.37139651724306</v>
      </c>
      <c r="BA85" s="1286">
        <f t="shared" ref="BA85:BF85" si="498">+BA22</f>
        <v>783.91225705888928</v>
      </c>
      <c r="BB85" s="1286">
        <f t="shared" si="498"/>
        <v>787.83332397311744</v>
      </c>
      <c r="BC85" s="1225">
        <f t="shared" si="498"/>
        <v>783.91225705888928</v>
      </c>
      <c r="BD85" s="1225">
        <f t="shared" si="498"/>
        <v>786.97119114427733</v>
      </c>
      <c r="BE85" s="1284">
        <f t="shared" si="498"/>
        <v>783.91225705888928</v>
      </c>
      <c r="BF85" s="1284">
        <f t="shared" si="498"/>
        <v>786.54416952900374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843" t="s">
        <v>788</v>
      </c>
      <c r="C86" s="3844" t="s">
        <v>219</v>
      </c>
      <c r="D86" s="3265">
        <f t="shared" ref="D86" si="499">+D23+D52</f>
        <v>64.938026921102121</v>
      </c>
      <c r="E86" s="3265">
        <f t="shared" ref="E86:L86" si="500">+E23+E52</f>
        <v>64.938026921102121</v>
      </c>
      <c r="F86" s="3265">
        <f t="shared" si="500"/>
        <v>64.409781561694061</v>
      </c>
      <c r="G86" s="3265">
        <f t="shared" ref="G86:H86" si="501">+G23+G52</f>
        <v>64.938026921102107</v>
      </c>
      <c r="H86" s="3265">
        <f t="shared" si="501"/>
        <v>59.441720657686616</v>
      </c>
      <c r="I86" s="3265">
        <f t="shared" si="500"/>
        <v>64.938026921102107</v>
      </c>
      <c r="J86" s="3867">
        <f t="shared" si="500"/>
        <v>61.802946527728551</v>
      </c>
      <c r="K86" s="3265">
        <f t="shared" si="500"/>
        <v>84.940005073175669</v>
      </c>
      <c r="L86" s="3265">
        <f t="shared" si="500"/>
        <v>58.507231424769017</v>
      </c>
      <c r="M86" s="1286">
        <f t="shared" ref="M86:AF86" si="502">+M23+M52</f>
        <v>64.938026921102121</v>
      </c>
      <c r="N86" s="1286">
        <f t="shared" si="502"/>
        <v>60.886708541561603</v>
      </c>
      <c r="O86" s="3265">
        <f t="shared" si="502"/>
        <v>84.940005073175683</v>
      </c>
      <c r="P86" s="3265">
        <f t="shared" si="502"/>
        <v>62.758089015426179</v>
      </c>
      <c r="Q86" s="1284">
        <f t="shared" si="502"/>
        <v>64.938026921102121</v>
      </c>
      <c r="R86" s="1284">
        <f t="shared" si="502"/>
        <v>61.439350337289035</v>
      </c>
      <c r="S86" s="3265">
        <f t="shared" ref="S86:V86" si="503">+S23+S52</f>
        <v>84.940005073175683</v>
      </c>
      <c r="T86" s="3265">
        <f t="shared" si="503"/>
        <v>61.137673930593571</v>
      </c>
      <c r="U86" s="1284">
        <f t="shared" si="503"/>
        <v>64.938026921102121</v>
      </c>
      <c r="V86" s="1284">
        <f t="shared" si="503"/>
        <v>61.374019379596263</v>
      </c>
      <c r="W86" s="3265">
        <f t="shared" ref="W86:X86" si="504">+W23+W52</f>
        <v>84.940005073175683</v>
      </c>
      <c r="X86" s="3265">
        <f t="shared" si="504"/>
        <v>63.351213599440648</v>
      </c>
      <c r="Y86" s="1286">
        <f t="shared" ref="Y86:Z86" si="505">+Y23+Y52</f>
        <v>64.938026921102121</v>
      </c>
      <c r="Z86" s="1286">
        <f t="shared" si="505"/>
        <v>62.425365779497255</v>
      </c>
      <c r="AA86" s="1225">
        <f t="shared" si="502"/>
        <v>64.938026921102121</v>
      </c>
      <c r="AB86" s="1225">
        <f t="shared" si="502"/>
        <v>61.727971452099915</v>
      </c>
      <c r="AC86" s="3265">
        <f t="shared" si="502"/>
        <v>84.940005073175669</v>
      </c>
      <c r="AD86" s="3265">
        <f t="shared" si="502"/>
        <v>68.047535650396796</v>
      </c>
      <c r="AE86" s="1284">
        <f t="shared" si="502"/>
        <v>64.938026921102121</v>
      </c>
      <c r="AF86" s="1284">
        <f t="shared" si="502"/>
        <v>62.692842702596678</v>
      </c>
      <c r="AG86" s="3265">
        <f t="shared" ref="AG86:AJ86" si="506">+AG23+AG52</f>
        <v>84.940005073175683</v>
      </c>
      <c r="AH86" s="3265">
        <f t="shared" si="506"/>
        <v>72.274347523251521</v>
      </c>
      <c r="AI86" s="1284">
        <f t="shared" si="506"/>
        <v>64.938026921102121</v>
      </c>
      <c r="AJ86" s="1284">
        <f t="shared" si="506"/>
        <v>62.787655970756795</v>
      </c>
      <c r="AK86" s="3265">
        <f t="shared" ref="AK86:AL86" si="507">+AK23+AK52</f>
        <v>84.940005073175669</v>
      </c>
      <c r="AL86" s="3265">
        <f t="shared" si="507"/>
        <v>82.96921494231259</v>
      </c>
      <c r="AM86" s="1286">
        <f t="shared" ref="AM86:AN86" si="508">+AM23+AM52</f>
        <v>64.938026921102121</v>
      </c>
      <c r="AN86" s="1286">
        <f t="shared" si="508"/>
        <v>75.293726972279771</v>
      </c>
      <c r="AO86" s="1284">
        <f t="shared" ref="AO86:AT86" si="509">+AO23+AO52</f>
        <v>64.938026921102121</v>
      </c>
      <c r="AP86" s="1284">
        <f t="shared" si="509"/>
        <v>65.368099764788411</v>
      </c>
      <c r="AQ86" s="3265">
        <f t="shared" si="509"/>
        <v>84.940005073175669</v>
      </c>
      <c r="AR86" s="3265">
        <f t="shared" si="509"/>
        <v>78.20176032498307</v>
      </c>
      <c r="AS86" s="1284">
        <f t="shared" si="509"/>
        <v>64.938026921102121</v>
      </c>
      <c r="AT86" s="1284">
        <f t="shared" si="509"/>
        <v>66.850214959800994</v>
      </c>
      <c r="AU86" s="3265">
        <f t="shared" ref="AU86:AX86" si="510">+AU23+AU52</f>
        <v>84.940005073175683</v>
      </c>
      <c r="AV86" s="3265">
        <f t="shared" si="510"/>
        <v>56.706734910174923</v>
      </c>
      <c r="AW86" s="1284">
        <f t="shared" si="510"/>
        <v>64.938026921102121</v>
      </c>
      <c r="AX86" s="1284">
        <f t="shared" si="510"/>
        <v>65.868777721937221</v>
      </c>
      <c r="AY86" s="3265">
        <f t="shared" ref="AY86:AZ86" si="511">+AY23+AY52</f>
        <v>84.940005073175669</v>
      </c>
      <c r="AZ86" s="3265">
        <f t="shared" si="511"/>
        <v>69.886834788546906</v>
      </c>
      <c r="BA86" s="1286">
        <f t="shared" ref="BA86:BF86" si="512">+BA23+BA52</f>
        <v>64.938026921102121</v>
      </c>
      <c r="BB86" s="1286">
        <f t="shared" si="512"/>
        <v>68.599684961877188</v>
      </c>
      <c r="BC86" s="1225">
        <f t="shared" si="512"/>
        <v>64.938026921102121</v>
      </c>
      <c r="BD86" s="1225">
        <f t="shared" si="512"/>
        <v>71.300841151163141</v>
      </c>
      <c r="BE86" s="1284">
        <f t="shared" si="512"/>
        <v>64.938026921102121</v>
      </c>
      <c r="BF86" s="1284">
        <f t="shared" si="512"/>
        <v>66.285876895414788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843" t="s">
        <v>787</v>
      </c>
      <c r="C87" s="3844" t="s">
        <v>219</v>
      </c>
      <c r="D87" s="3265">
        <f t="shared" ref="D87" si="513">+D24+D53</f>
        <v>99.857531963581536</v>
      </c>
      <c r="E87" s="3265">
        <f t="shared" ref="E87:L87" si="514">+E24+E53</f>
        <v>99.85753196358155</v>
      </c>
      <c r="F87" s="3265">
        <f t="shared" si="514"/>
        <v>99.453127427523839</v>
      </c>
      <c r="G87" s="3265">
        <f t="shared" ref="G87:H87" si="515">+G24+G53</f>
        <v>99.85753196358155</v>
      </c>
      <c r="H87" s="3265">
        <f t="shared" si="515"/>
        <v>96.927718642522223</v>
      </c>
      <c r="I87" s="3265">
        <f t="shared" si="514"/>
        <v>99.85753196358155</v>
      </c>
      <c r="J87" s="3867">
        <f t="shared" si="514"/>
        <v>98.127997920654053</v>
      </c>
      <c r="K87" s="3265">
        <f t="shared" si="514"/>
        <v>89.796141662047006</v>
      </c>
      <c r="L87" s="3265">
        <f t="shared" si="514"/>
        <v>97.949274556353728</v>
      </c>
      <c r="M87" s="1286">
        <f t="shared" ref="M87:AF87" si="516">+M24+M53</f>
        <v>99.857531963581536</v>
      </c>
      <c r="N87" s="1286">
        <f t="shared" si="516"/>
        <v>98.078311242566954</v>
      </c>
      <c r="O87" s="3265">
        <f t="shared" si="516"/>
        <v>89.796141662047006</v>
      </c>
      <c r="P87" s="3265">
        <f t="shared" si="516"/>
        <v>93.088875488826645</v>
      </c>
      <c r="Q87" s="1284">
        <f t="shared" si="516"/>
        <v>99.857531963581536</v>
      </c>
      <c r="R87" s="1284">
        <f t="shared" si="516"/>
        <v>96.604869164313641</v>
      </c>
      <c r="S87" s="3265">
        <f t="shared" ref="S87:V87" si="517">+S24+S53</f>
        <v>89.796141662047006</v>
      </c>
      <c r="T87" s="3265">
        <f t="shared" si="517"/>
        <v>96.311135635283293</v>
      </c>
      <c r="U87" s="1284">
        <f t="shared" si="517"/>
        <v>99.857531963581536</v>
      </c>
      <c r="V87" s="1284">
        <f t="shared" si="517"/>
        <v>96.541258313971582</v>
      </c>
      <c r="W87" s="3265">
        <f t="shared" ref="W87:X87" si="518">+W24+W53</f>
        <v>89.796141662047006</v>
      </c>
      <c r="X87" s="3265">
        <f t="shared" si="518"/>
        <v>95.962227375434296</v>
      </c>
      <c r="Y87" s="1286">
        <f t="shared" ref="Y87:Z87" si="519">+Y24+Y53</f>
        <v>99.857531963581536</v>
      </c>
      <c r="Z87" s="1286">
        <f t="shared" si="519"/>
        <v>95.077478165485331</v>
      </c>
      <c r="AA87" s="1225">
        <f t="shared" si="516"/>
        <v>99.857531963581536</v>
      </c>
      <c r="AB87" s="1225">
        <f t="shared" si="516"/>
        <v>96.437601728957318</v>
      </c>
      <c r="AC87" s="3265">
        <f t="shared" si="516"/>
        <v>89.796141662046978</v>
      </c>
      <c r="AD87" s="3265">
        <f t="shared" si="516"/>
        <v>101.97475171446426</v>
      </c>
      <c r="AE87" s="1284">
        <f t="shared" si="516"/>
        <v>99.857531963581536</v>
      </c>
      <c r="AF87" s="1284">
        <f t="shared" si="516"/>
        <v>97.28301395408262</v>
      </c>
      <c r="AG87" s="3265">
        <f t="shared" ref="AG87:AJ87" si="520">+AG24+AG53</f>
        <v>89.796141662047006</v>
      </c>
      <c r="AH87" s="3265">
        <f t="shared" si="520"/>
        <v>98.947023394927669</v>
      </c>
      <c r="AI87" s="1284">
        <f t="shared" si="520"/>
        <v>99.857531963581536</v>
      </c>
      <c r="AJ87" s="1284">
        <f t="shared" si="520"/>
        <v>97.29948007044834</v>
      </c>
      <c r="AK87" s="3265">
        <f t="shared" ref="AK87:AL87" si="521">+AK24+AK53</f>
        <v>89.796141662046978</v>
      </c>
      <c r="AL87" s="3265">
        <f t="shared" si="521"/>
        <v>101.49777104235572</v>
      </c>
      <c r="AM87" s="1286">
        <f t="shared" ref="AM87:AN87" si="522">+AM24+AM53</f>
        <v>99.857531963581536</v>
      </c>
      <c r="AN87" s="1286">
        <f t="shared" si="522"/>
        <v>101.65008934360127</v>
      </c>
      <c r="AO87" s="1284">
        <f t="shared" ref="AO87:AT87" si="523">+AO24+AO53</f>
        <v>99.857531963581536</v>
      </c>
      <c r="AP87" s="1284">
        <f t="shared" si="523"/>
        <v>97.836279724987719</v>
      </c>
      <c r="AQ87" s="3265">
        <f t="shared" si="523"/>
        <v>89.796141662046978</v>
      </c>
      <c r="AR87" s="3265">
        <f t="shared" si="523"/>
        <v>99.591062965470556</v>
      </c>
      <c r="AS87" s="1284">
        <f t="shared" si="523"/>
        <v>99.857531963581536</v>
      </c>
      <c r="AT87" s="1284">
        <f t="shared" si="523"/>
        <v>98.038933589212547</v>
      </c>
      <c r="AU87" s="3265">
        <f t="shared" ref="AU87:AX87" si="524">+AU24+AU53</f>
        <v>89.796141662047006</v>
      </c>
      <c r="AV87" s="3265">
        <f t="shared" si="524"/>
        <v>94.044070201664809</v>
      </c>
      <c r="AW87" s="1284">
        <f t="shared" si="524"/>
        <v>99.857531963581536</v>
      </c>
      <c r="AX87" s="1284">
        <f t="shared" si="524"/>
        <v>97.652408681632892</v>
      </c>
      <c r="AY87" s="3265">
        <f t="shared" ref="AY87:AZ87" si="525">+AY24+AY53</f>
        <v>89.796141662046978</v>
      </c>
      <c r="AZ87" s="3265">
        <f t="shared" si="525"/>
        <v>98.392761328715679</v>
      </c>
      <c r="BA87" s="1286">
        <f t="shared" ref="BA87:BF87" si="526">+BA24+BA53</f>
        <v>99.857531963581536</v>
      </c>
      <c r="BB87" s="1286">
        <f t="shared" si="526"/>
        <v>97.459459122154385</v>
      </c>
      <c r="BC87" s="1225">
        <f t="shared" si="526"/>
        <v>99.857531963581536</v>
      </c>
      <c r="BD87" s="1225">
        <f t="shared" si="526"/>
        <v>99.150447428185231</v>
      </c>
      <c r="BE87" s="1284">
        <f t="shared" si="526"/>
        <v>99.857531963581536</v>
      </c>
      <c r="BF87" s="1284">
        <f t="shared" si="526"/>
        <v>97.729261865164361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843" t="s">
        <v>98</v>
      </c>
      <c r="C88" s="3844" t="s">
        <v>219</v>
      </c>
      <c r="D88" s="3265">
        <f t="shared" ref="D88" si="527">+D34</f>
        <v>170.09827454020316</v>
      </c>
      <c r="E88" s="3265">
        <f t="shared" ref="E88:L88" si="528">+E34</f>
        <v>170.3275582653896</v>
      </c>
      <c r="F88" s="3265">
        <f t="shared" si="528"/>
        <v>186.74455457850416</v>
      </c>
      <c r="G88" s="3265">
        <f t="shared" ref="G88:H88" si="529">+G34</f>
        <v>170.60964576248358</v>
      </c>
      <c r="H88" s="3265">
        <f t="shared" si="529"/>
        <v>184.72527905523688</v>
      </c>
      <c r="I88" s="3265">
        <f t="shared" si="528"/>
        <v>170.47068915152471</v>
      </c>
      <c r="J88" s="3867">
        <f t="shared" si="528"/>
        <v>185.68500271732711</v>
      </c>
      <c r="K88" s="3265">
        <f t="shared" si="528"/>
        <v>139.2468910756217</v>
      </c>
      <c r="L88" s="3265">
        <f t="shared" si="528"/>
        <v>177.83436949876696</v>
      </c>
      <c r="M88" s="1286">
        <f t="shared" ref="M88:AF88" si="530">+M34</f>
        <v>170.09827454020316</v>
      </c>
      <c r="N88" s="1286">
        <f t="shared" si="530"/>
        <v>183.50245715571299</v>
      </c>
      <c r="O88" s="3265">
        <f t="shared" si="530"/>
        <v>114.95047969988987</v>
      </c>
      <c r="P88" s="3265">
        <f t="shared" si="530"/>
        <v>183.55965020748894</v>
      </c>
      <c r="Q88" s="1284">
        <f t="shared" si="530"/>
        <v>155.19316278448159</v>
      </c>
      <c r="R88" s="1284">
        <f t="shared" si="530"/>
        <v>183.51934697116099</v>
      </c>
      <c r="S88" s="3265">
        <f t="shared" ref="S88:V88" si="531">+S34</f>
        <v>164.78593328198338</v>
      </c>
      <c r="T88" s="3265">
        <f t="shared" si="531"/>
        <v>187.98774637052824</v>
      </c>
      <c r="U88" s="1284">
        <f t="shared" si="531"/>
        <v>157.52838422881172</v>
      </c>
      <c r="V88" s="1284">
        <f t="shared" si="531"/>
        <v>184.48702228694776</v>
      </c>
      <c r="W88" s="3265">
        <f t="shared" ref="W88:X88" si="532">+W34</f>
        <v>166.36953504673198</v>
      </c>
      <c r="X88" s="3265">
        <f t="shared" si="532"/>
        <v>197.39381848515362</v>
      </c>
      <c r="Y88" s="1286">
        <f t="shared" ref="Y88:Z88" si="533">+Y34</f>
        <v>156.2376356491433</v>
      </c>
      <c r="Z88" s="1286">
        <f t="shared" si="533"/>
        <v>189.52915584995284</v>
      </c>
      <c r="AA88" s="1225">
        <f t="shared" si="530"/>
        <v>159.19956813167261</v>
      </c>
      <c r="AB88" s="1225">
        <f t="shared" si="530"/>
        <v>186.79756275782614</v>
      </c>
      <c r="AC88" s="3265">
        <f t="shared" si="530"/>
        <v>166.62574023223934</v>
      </c>
      <c r="AD88" s="3265">
        <f t="shared" si="530"/>
        <v>191.14298511225482</v>
      </c>
      <c r="AE88" s="1284">
        <f t="shared" si="530"/>
        <v>160.45462363321238</v>
      </c>
      <c r="AF88" s="1284">
        <f t="shared" si="530"/>
        <v>187.46102197265367</v>
      </c>
      <c r="AG88" s="3265">
        <f t="shared" ref="AG88:AJ88" si="534">+AG34</f>
        <v>165.66779334411157</v>
      </c>
      <c r="AH88" s="3265">
        <f t="shared" si="534"/>
        <v>168.066538288196</v>
      </c>
      <c r="AI88" s="1284">
        <f t="shared" si="534"/>
        <v>161.19121041022248</v>
      </c>
      <c r="AJ88" s="1284">
        <f t="shared" si="534"/>
        <v>187.26910489732771</v>
      </c>
      <c r="AK88" s="3265">
        <f t="shared" ref="AK88:AL88" si="535">+AK34</f>
        <v>166.62574023223934</v>
      </c>
      <c r="AL88" s="3265">
        <f t="shared" si="535"/>
        <v>185.7916394730147</v>
      </c>
      <c r="AM88" s="1286">
        <f t="shared" ref="AM88:AN88" si="536">+AM34</f>
        <v>166.31209503731358</v>
      </c>
      <c r="AN88" s="1286">
        <f t="shared" si="536"/>
        <v>187.85085153149163</v>
      </c>
      <c r="AO88" s="1284">
        <f t="shared" ref="AO88:AT88" si="537">+AO34</f>
        <v>161.87994471527008</v>
      </c>
      <c r="AP88" s="1284">
        <f t="shared" si="537"/>
        <v>187.08019399651778</v>
      </c>
      <c r="AQ88" s="3265">
        <f t="shared" si="537"/>
        <v>166.62574023223934</v>
      </c>
      <c r="AR88" s="3265">
        <f t="shared" si="537"/>
        <v>184.80162491536899</v>
      </c>
      <c r="AS88" s="1284">
        <f t="shared" si="537"/>
        <v>162.4137437004928</v>
      </c>
      <c r="AT88" s="1284">
        <f t="shared" si="537"/>
        <v>186.81704991208323</v>
      </c>
      <c r="AU88" s="3265">
        <f t="shared" ref="AU88:AX88" si="538">+AU34</f>
        <v>165.34942539688862</v>
      </c>
      <c r="AV88" s="3265">
        <f t="shared" si="538"/>
        <v>204.40643622317145</v>
      </c>
      <c r="AW88" s="1284">
        <f t="shared" si="538"/>
        <v>162.68549606584375</v>
      </c>
      <c r="AX88" s="1284">
        <f t="shared" si="538"/>
        <v>188.51891935259238</v>
      </c>
      <c r="AY88" s="3265">
        <f t="shared" ref="AY88:AZ88" si="539">+AY34</f>
        <v>166.62574023223934</v>
      </c>
      <c r="AZ88" s="3265">
        <f t="shared" si="539"/>
        <v>201.84381249695139</v>
      </c>
      <c r="BA88" s="1286">
        <f t="shared" ref="BA88:BF88" si="540">+BA34</f>
        <v>166.22753898683573</v>
      </c>
      <c r="BB88" s="1286">
        <f t="shared" si="540"/>
        <v>197.01649804906356</v>
      </c>
      <c r="BC88" s="1225">
        <f t="shared" si="540"/>
        <v>166.27029619270033</v>
      </c>
      <c r="BD88" s="1225">
        <f t="shared" si="540"/>
        <v>193.3180087385285</v>
      </c>
      <c r="BE88" s="1284">
        <f t="shared" si="540"/>
        <v>163.05041622966823</v>
      </c>
      <c r="BF88" s="1284">
        <f t="shared" si="540"/>
        <v>189.90212566973878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843" t="s">
        <v>1474</v>
      </c>
      <c r="C89" s="3844" t="s">
        <v>219</v>
      </c>
      <c r="D89" s="3878">
        <f t="shared" ref="D89" si="541">+D26</f>
        <v>0.4</v>
      </c>
      <c r="E89" s="3878">
        <f t="shared" ref="E89:L89" si="542">+E26</f>
        <v>0.39999999999999997</v>
      </c>
      <c r="F89" s="3878">
        <f t="shared" si="542"/>
        <v>2.1843830593791753</v>
      </c>
      <c r="G89" s="3878">
        <f t="shared" ref="G89:H89" si="543">+G26</f>
        <v>0.39999999999999997</v>
      </c>
      <c r="H89" s="3878">
        <f t="shared" si="543"/>
        <v>1.4607127377528104</v>
      </c>
      <c r="I89" s="3878">
        <f t="shared" si="542"/>
        <v>0.39999999999999991</v>
      </c>
      <c r="J89" s="4664">
        <f t="shared" si="542"/>
        <v>1.8046596252451503</v>
      </c>
      <c r="K89" s="3878">
        <f t="shared" si="542"/>
        <v>0</v>
      </c>
      <c r="L89" s="3878">
        <f t="shared" si="542"/>
        <v>2.4430748225223118</v>
      </c>
      <c r="M89" s="1286">
        <f t="shared" ref="M89:AF89" si="544">+M26</f>
        <v>0</v>
      </c>
      <c r="N89" s="1298">
        <f t="shared" si="544"/>
        <v>1.982144704027091</v>
      </c>
      <c r="O89" s="3878">
        <f t="shared" si="544"/>
        <v>0</v>
      </c>
      <c r="P89" s="3878">
        <f t="shared" si="544"/>
        <v>0</v>
      </c>
      <c r="Q89" s="1284">
        <f t="shared" si="544"/>
        <v>0.4</v>
      </c>
      <c r="R89" s="1284">
        <f t="shared" si="544"/>
        <v>1.3967928614041862</v>
      </c>
      <c r="S89" s="3878">
        <f t="shared" ref="S89:V89" si="545">+S26</f>
        <v>0</v>
      </c>
      <c r="T89" s="3878">
        <f t="shared" si="545"/>
        <v>0.27725603507560664</v>
      </c>
      <c r="U89" s="1284">
        <f t="shared" si="545"/>
        <v>0.4</v>
      </c>
      <c r="V89" s="1284">
        <f t="shared" si="545"/>
        <v>1.1543462815156844</v>
      </c>
      <c r="W89" s="3878">
        <f t="shared" ref="W89:X89" si="546">+W26</f>
        <v>0</v>
      </c>
      <c r="X89" s="3878">
        <f t="shared" si="546"/>
        <v>0.14577771058805108</v>
      </c>
      <c r="Y89" s="1286">
        <f t="shared" ref="Y89:Z89" si="547">+Y26</f>
        <v>0</v>
      </c>
      <c r="Z89" s="1298">
        <f t="shared" si="547"/>
        <v>0.13788824158019924</v>
      </c>
      <c r="AA89" s="1225">
        <f t="shared" si="544"/>
        <v>0</v>
      </c>
      <c r="AB89" s="1225">
        <f t="shared" si="544"/>
        <v>0.97379500721043255</v>
      </c>
      <c r="AC89" s="3878">
        <f t="shared" si="544"/>
        <v>0</v>
      </c>
      <c r="AD89" s="3878">
        <f t="shared" si="544"/>
        <v>0.98965555159216523</v>
      </c>
      <c r="AE89" s="1284">
        <f t="shared" si="544"/>
        <v>0</v>
      </c>
      <c r="AF89" s="1284">
        <f t="shared" si="544"/>
        <v>0.97621659560022778</v>
      </c>
      <c r="AG89" s="3878">
        <f t="shared" ref="AG89:AJ89" si="548">+AG26</f>
        <v>0</v>
      </c>
      <c r="AH89" s="3878">
        <f t="shared" si="548"/>
        <v>0</v>
      </c>
      <c r="AI89" s="1284">
        <f t="shared" si="548"/>
        <v>0</v>
      </c>
      <c r="AJ89" s="1284">
        <f t="shared" si="548"/>
        <v>0.96655649652461317</v>
      </c>
      <c r="AK89" s="3878">
        <f t="shared" ref="AK89:AL89" si="549">+AK26</f>
        <v>0</v>
      </c>
      <c r="AL89" s="3878">
        <f t="shared" si="549"/>
        <v>0</v>
      </c>
      <c r="AM89" s="1286">
        <f t="shared" ref="AM89:AN89" si="550">+AM26</f>
        <v>0</v>
      </c>
      <c r="AN89" s="1298">
        <f t="shared" si="550"/>
        <v>0.48625057322222048</v>
      </c>
      <c r="AO89" s="1284">
        <f t="shared" ref="AO89:AT89" si="551">+AO26</f>
        <v>0</v>
      </c>
      <c r="AP89" s="1284">
        <f t="shared" si="551"/>
        <v>0.84297116218284274</v>
      </c>
      <c r="AQ89" s="3878">
        <f t="shared" si="551"/>
        <v>0</v>
      </c>
      <c r="AR89" s="3878">
        <f t="shared" si="551"/>
        <v>0.27352742044685174</v>
      </c>
      <c r="AS89" s="1284">
        <f t="shared" si="551"/>
        <v>0</v>
      </c>
      <c r="AT89" s="1284">
        <f t="shared" si="551"/>
        <v>0.77720806845185786</v>
      </c>
      <c r="AU89" s="3850">
        <f t="shared" ref="AU89:AX89" si="552">+AU26</f>
        <v>0</v>
      </c>
      <c r="AV89" s="3850">
        <f t="shared" si="552"/>
        <v>0.29197165539169456</v>
      </c>
      <c r="AW89" s="1284">
        <f t="shared" si="552"/>
        <v>0</v>
      </c>
      <c r="AX89" s="1284">
        <f t="shared" si="552"/>
        <v>0.73025878845970771</v>
      </c>
      <c r="AY89" s="3850">
        <f t="shared" ref="AY89:AZ89" si="553">+AY26</f>
        <v>0</v>
      </c>
      <c r="AZ89" s="3850">
        <f t="shared" si="553"/>
        <v>1.063362762792059</v>
      </c>
      <c r="BA89" s="1286">
        <f t="shared" ref="BA89:BF89" si="554">+BA26</f>
        <v>0</v>
      </c>
      <c r="BB89" s="1298">
        <f t="shared" si="554"/>
        <v>0.56785309631483849</v>
      </c>
      <c r="BC89" s="1225">
        <f t="shared" si="554"/>
        <v>0</v>
      </c>
      <c r="BD89" s="1225">
        <f t="shared" si="554"/>
        <v>0.53492513440924538</v>
      </c>
      <c r="BE89" s="1284">
        <f t="shared" si="554"/>
        <v>0</v>
      </c>
      <c r="BF89" s="1284">
        <f t="shared" si="554"/>
        <v>0.76483704110093997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843" t="s">
        <v>556</v>
      </c>
      <c r="C90" s="3844" t="s">
        <v>219</v>
      </c>
      <c r="D90" s="3878">
        <f t="shared" ref="D90" si="555">+D27</f>
        <v>14.559999999999999</v>
      </c>
      <c r="E90" s="3878">
        <f t="shared" ref="E90:L90" si="556">+E27</f>
        <v>14.56</v>
      </c>
      <c r="F90" s="3878">
        <f t="shared" si="556"/>
        <v>17.310381257185469</v>
      </c>
      <c r="G90" s="3878">
        <f t="shared" ref="G90:H90" si="557">+G27</f>
        <v>14.56</v>
      </c>
      <c r="H90" s="3878">
        <f t="shared" si="557"/>
        <v>15.555605590673954</v>
      </c>
      <c r="I90" s="3878">
        <f t="shared" si="556"/>
        <v>14.56</v>
      </c>
      <c r="J90" s="4664">
        <f t="shared" si="556"/>
        <v>16.389617447602845</v>
      </c>
      <c r="K90" s="3878">
        <f t="shared" si="556"/>
        <v>9</v>
      </c>
      <c r="L90" s="3878">
        <f t="shared" si="556"/>
        <v>20.679842139780696</v>
      </c>
      <c r="M90" s="1286">
        <f t="shared" ref="M90:P92" si="558">+M27</f>
        <v>14.559999999999999</v>
      </c>
      <c r="N90" s="1286">
        <f t="shared" si="558"/>
        <v>17.582337907158006</v>
      </c>
      <c r="O90" s="3878">
        <f t="shared" si="558"/>
        <v>9.0000000000000018</v>
      </c>
      <c r="P90" s="3878">
        <f t="shared" si="558"/>
        <v>10.907481051209439</v>
      </c>
      <c r="Q90" s="1284">
        <f t="shared" ref="Q90:T90" si="559">+Q27</f>
        <v>14.559999999999999</v>
      </c>
      <c r="R90" s="1300">
        <f t="shared" si="559"/>
        <v>15.611170135231188</v>
      </c>
      <c r="S90" s="3878">
        <f t="shared" si="559"/>
        <v>9.0000000000000018</v>
      </c>
      <c r="T90" s="3878">
        <f t="shared" si="559"/>
        <v>11.960064258163424</v>
      </c>
      <c r="U90" s="1284">
        <f t="shared" ref="U90:X90" si="560">+U27</f>
        <v>14.559999999999999</v>
      </c>
      <c r="V90" s="1284">
        <f t="shared" si="560"/>
        <v>14.820487674513199</v>
      </c>
      <c r="W90" s="3878">
        <f t="shared" si="560"/>
        <v>9</v>
      </c>
      <c r="X90" s="3878">
        <f t="shared" si="560"/>
        <v>12.642167012663764</v>
      </c>
      <c r="Y90" s="1286">
        <f t="shared" ref="Y90:Z90" si="561">+Y27</f>
        <v>14.559999999999999</v>
      </c>
      <c r="Z90" s="1298">
        <f t="shared" si="561"/>
        <v>11.817729422610666</v>
      </c>
      <c r="AA90" s="1225">
        <f t="shared" ref="AA90:AF90" si="562">+AA27</f>
        <v>14.559999999999999</v>
      </c>
      <c r="AB90" s="1225">
        <f t="shared" si="562"/>
        <v>14.430530479058815</v>
      </c>
      <c r="AC90" s="3878">
        <f t="shared" si="562"/>
        <v>8.9999999999999982</v>
      </c>
      <c r="AD90" s="3878">
        <f t="shared" si="562"/>
        <v>12.57854888067007</v>
      </c>
      <c r="AE90" s="1300">
        <f t="shared" si="562"/>
        <v>14.559999999999999</v>
      </c>
      <c r="AF90" s="1300">
        <f t="shared" si="562"/>
        <v>14.14776987331706</v>
      </c>
      <c r="AG90" s="3878">
        <f t="shared" ref="AG90:AJ90" si="563">+AG27</f>
        <v>9</v>
      </c>
      <c r="AH90" s="3878">
        <f t="shared" si="563"/>
        <v>5.6950874749047404</v>
      </c>
      <c r="AI90" s="1300">
        <f t="shared" si="563"/>
        <v>14.559999999999999</v>
      </c>
      <c r="AJ90" s="1300">
        <f t="shared" si="563"/>
        <v>14.064126807022777</v>
      </c>
      <c r="AK90" s="3878">
        <f t="shared" ref="AK90:AL90" si="564">+AK27</f>
        <v>8.9999999999999982</v>
      </c>
      <c r="AL90" s="3878">
        <f t="shared" si="564"/>
        <v>11.92741230738598</v>
      </c>
      <c r="AM90" s="1286">
        <f t="shared" ref="AM90:AN90" si="565">+AM27</f>
        <v>14.559999999999999</v>
      </c>
      <c r="AN90" s="1298">
        <f t="shared" si="565"/>
        <v>12.046890895386285</v>
      </c>
      <c r="AO90" s="1300">
        <f t="shared" ref="AO90:AT90" si="566">+AO27</f>
        <v>14.559999999999999</v>
      </c>
      <c r="AP90" s="1300">
        <f t="shared" si="566"/>
        <v>13.790923350442629</v>
      </c>
      <c r="AQ90" s="3878">
        <f t="shared" si="566"/>
        <v>8.9999999999999982</v>
      </c>
      <c r="AR90" s="3878">
        <f t="shared" si="566"/>
        <v>14.49424509140149</v>
      </c>
      <c r="AS90" s="1300">
        <f t="shared" si="566"/>
        <v>14.559999999999999</v>
      </c>
      <c r="AT90" s="1300">
        <f t="shared" si="566"/>
        <v>13.872147552560845</v>
      </c>
      <c r="AU90" s="3850">
        <f t="shared" ref="AU90:AX90" si="567">+AU27</f>
        <v>9</v>
      </c>
      <c r="AV90" s="3850">
        <f t="shared" si="567"/>
        <v>11.597114152158108</v>
      </c>
      <c r="AW90" s="1300">
        <f t="shared" si="567"/>
        <v>14.559999999999999</v>
      </c>
      <c r="AX90" s="1300">
        <f t="shared" si="567"/>
        <v>13.652025613579818</v>
      </c>
      <c r="AY90" s="3850">
        <f t="shared" ref="AY90:AZ90" si="568">+AY27</f>
        <v>8.9999999999999982</v>
      </c>
      <c r="AZ90" s="3850">
        <f t="shared" si="568"/>
        <v>15.711428710794596</v>
      </c>
      <c r="BA90" s="1286">
        <f t="shared" ref="BA90:BF90" si="569">+BA27</f>
        <v>14.559999999999999</v>
      </c>
      <c r="BB90" s="1298">
        <f t="shared" si="569"/>
        <v>14.054586996074949</v>
      </c>
      <c r="BC90" s="1225">
        <f t="shared" si="569"/>
        <v>14.559999999999999</v>
      </c>
      <c r="BD90" s="1225">
        <f t="shared" si="569"/>
        <v>13.244448556526326</v>
      </c>
      <c r="BE90" s="1300">
        <f t="shared" si="569"/>
        <v>14.559999999999999</v>
      </c>
      <c r="BF90" s="1300">
        <f t="shared" si="569"/>
        <v>13.865804391597578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843" t="s">
        <v>41</v>
      </c>
      <c r="C91" s="3844" t="s">
        <v>219</v>
      </c>
      <c r="D91" s="3878">
        <f t="shared" ref="D91" si="570">+D28</f>
        <v>10.41458922319562</v>
      </c>
      <c r="E91" s="3878">
        <f t="shared" ref="E91:L91" si="571">+E28</f>
        <v>10.414589223195621</v>
      </c>
      <c r="F91" s="3878">
        <f t="shared" si="571"/>
        <v>0</v>
      </c>
      <c r="G91" s="3878">
        <f t="shared" ref="G91:H91" si="572">+G28</f>
        <v>10.414589223195623</v>
      </c>
      <c r="H91" s="3878">
        <f t="shared" si="572"/>
        <v>0</v>
      </c>
      <c r="I91" s="3878">
        <f t="shared" si="571"/>
        <v>10.414589223195621</v>
      </c>
      <c r="J91" s="4664">
        <f t="shared" si="571"/>
        <v>0</v>
      </c>
      <c r="K91" s="3878">
        <f t="shared" si="571"/>
        <v>7.3000000000000007</v>
      </c>
      <c r="L91" s="3878">
        <f t="shared" si="571"/>
        <v>11.551870275411622</v>
      </c>
      <c r="M91" s="1286">
        <f t="shared" si="558"/>
        <v>10.41458922319562</v>
      </c>
      <c r="N91" s="1298">
        <f t="shared" si="558"/>
        <v>3.2115222423505099</v>
      </c>
      <c r="O91" s="3878">
        <f t="shared" si="558"/>
        <v>7.3</v>
      </c>
      <c r="P91" s="3878">
        <f t="shared" si="558"/>
        <v>12.558741886813575</v>
      </c>
      <c r="Q91" s="1284">
        <f t="shared" ref="Q91:T92" si="573">+Q28</f>
        <v>10.41458922319562</v>
      </c>
      <c r="R91" s="1300">
        <f t="shared" si="573"/>
        <v>5.9718717925984253</v>
      </c>
      <c r="S91" s="3878">
        <f t="shared" si="573"/>
        <v>7.2999999999999989</v>
      </c>
      <c r="T91" s="3878">
        <f t="shared" si="573"/>
        <v>9.7365795847139509</v>
      </c>
      <c r="U91" s="1284">
        <f t="shared" ref="U91:X91" si="574">+U28</f>
        <v>10.41458922319562</v>
      </c>
      <c r="V91" s="1284">
        <f t="shared" si="574"/>
        <v>6.7871558520529529</v>
      </c>
      <c r="W91" s="3878">
        <f t="shared" si="574"/>
        <v>7.2999999999999989</v>
      </c>
      <c r="X91" s="3878">
        <f t="shared" si="574"/>
        <v>8.6062840991612379</v>
      </c>
      <c r="Y91" s="1286">
        <f t="shared" ref="Y91:Z91" si="575">+Y28</f>
        <v>10.41458922319562</v>
      </c>
      <c r="Z91" s="1298">
        <f t="shared" si="575"/>
        <v>10.346921512421874</v>
      </c>
      <c r="AA91" s="1225">
        <f t="shared" ref="AA91:AF92" si="576">+AA28</f>
        <v>10.41458922319562</v>
      </c>
      <c r="AB91" s="1225">
        <f t="shared" si="576"/>
        <v>7.1128113727658286</v>
      </c>
      <c r="AC91" s="3878">
        <f t="shared" si="576"/>
        <v>7.2999999999999989</v>
      </c>
      <c r="AD91" s="3878">
        <f t="shared" si="576"/>
        <v>7.2655200251034575</v>
      </c>
      <c r="AE91" s="1300">
        <f t="shared" si="576"/>
        <v>10.41458922319562</v>
      </c>
      <c r="AF91" s="1300">
        <f t="shared" si="576"/>
        <v>7.1361269343645857</v>
      </c>
      <c r="AG91" s="3878">
        <f t="shared" ref="AG91:AJ91" si="577">+AG28</f>
        <v>7.3</v>
      </c>
      <c r="AH91" s="3878">
        <f t="shared" si="577"/>
        <v>6.3096652599664029</v>
      </c>
      <c r="AI91" s="1300">
        <f t="shared" si="577"/>
        <v>10.41458922319562</v>
      </c>
      <c r="AJ91" s="1300">
        <f t="shared" si="577"/>
        <v>7.1279487270969897</v>
      </c>
      <c r="AK91" s="3878">
        <f t="shared" ref="AK91:AL91" si="578">+AK28</f>
        <v>7.2999999999999989</v>
      </c>
      <c r="AL91" s="3878">
        <f t="shared" si="578"/>
        <v>4.753819094921516</v>
      </c>
      <c r="AM91" s="1286">
        <f t="shared" ref="AM91:AN91" si="579">+AM28</f>
        <v>10.41458922319562</v>
      </c>
      <c r="AN91" s="1298">
        <f t="shared" si="579"/>
        <v>6.0379407222336434</v>
      </c>
      <c r="AO91" s="1300">
        <f t="shared" ref="AO91:AT91" si="580">+AO28</f>
        <v>10.41458922319562</v>
      </c>
      <c r="AP91" s="1300">
        <f t="shared" si="580"/>
        <v>6.8243890227050601</v>
      </c>
      <c r="AQ91" s="3878">
        <f t="shared" si="580"/>
        <v>7.2999999999999989</v>
      </c>
      <c r="AR91" s="3878">
        <f t="shared" si="580"/>
        <v>0.35748138117806366</v>
      </c>
      <c r="AS91" s="1300">
        <f t="shared" si="580"/>
        <v>10.41458922319562</v>
      </c>
      <c r="AT91" s="1300">
        <f t="shared" si="580"/>
        <v>6.07754816344326</v>
      </c>
      <c r="AU91" s="3850">
        <f t="shared" ref="AU91:AX91" si="581">+AU28</f>
        <v>7.3</v>
      </c>
      <c r="AV91" s="3850">
        <f t="shared" si="581"/>
        <v>1.4598582769584728E-2</v>
      </c>
      <c r="AW91" s="1300">
        <f t="shared" si="581"/>
        <v>10.41458922319562</v>
      </c>
      <c r="AX91" s="1300">
        <f t="shared" si="581"/>
        <v>5.4909245923757588</v>
      </c>
      <c r="AY91" s="3850">
        <f t="shared" ref="AY91:AZ91" si="582">+AY28</f>
        <v>7.2999999999999989</v>
      </c>
      <c r="AZ91" s="3850">
        <f t="shared" si="582"/>
        <v>0</v>
      </c>
      <c r="BA91" s="1286">
        <f t="shared" ref="BA91:BF91" si="583">+BA28</f>
        <v>10.41458922319562</v>
      </c>
      <c r="BB91" s="1298">
        <f t="shared" si="583"/>
        <v>0.12212853091857591</v>
      </c>
      <c r="BC91" s="1225">
        <f t="shared" si="583"/>
        <v>10.41458922319562</v>
      </c>
      <c r="BD91" s="1225">
        <f t="shared" si="583"/>
        <v>2.5092561722437661</v>
      </c>
      <c r="BE91" s="1300">
        <f t="shared" si="583"/>
        <v>10.41458922319562</v>
      </c>
      <c r="BF91" s="1300">
        <f t="shared" si="583"/>
        <v>4.9209326606683117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843" t="s">
        <v>1551</v>
      </c>
      <c r="C92" s="3844" t="s">
        <v>219</v>
      </c>
      <c r="D92" s="3878">
        <f t="shared" ref="D92" si="584">+D29</f>
        <v>0</v>
      </c>
      <c r="E92" s="3878">
        <f t="shared" ref="E92:L92" si="585">+E29</f>
        <v>0</v>
      </c>
      <c r="F92" s="3878">
        <f t="shared" si="585"/>
        <v>2.0725227604635985</v>
      </c>
      <c r="G92" s="3878">
        <f t="shared" ref="G92:H92" si="586">+G29</f>
        <v>0</v>
      </c>
      <c r="H92" s="3878">
        <f t="shared" si="586"/>
        <v>1.9645038361299836</v>
      </c>
      <c r="I92" s="3878">
        <f t="shared" si="585"/>
        <v>0</v>
      </c>
      <c r="J92" s="4664">
        <f t="shared" si="585"/>
        <v>2.0158431984121359</v>
      </c>
      <c r="K92" s="3878">
        <f t="shared" si="585"/>
        <v>0</v>
      </c>
      <c r="L92" s="3878">
        <f t="shared" si="585"/>
        <v>1.9943467938957649</v>
      </c>
      <c r="M92" s="1286">
        <f t="shared" si="558"/>
        <v>0</v>
      </c>
      <c r="N92" s="1298">
        <f t="shared" si="558"/>
        <v>2.0098670075799174</v>
      </c>
      <c r="O92" s="3878">
        <f t="shared" si="558"/>
        <v>0</v>
      </c>
      <c r="P92" s="3878">
        <f t="shared" si="558"/>
        <v>2.2135545870194107</v>
      </c>
      <c r="Q92" s="1284">
        <f t="shared" si="573"/>
        <v>0</v>
      </c>
      <c r="R92" s="1300">
        <f t="shared" si="573"/>
        <v>2.0700184686221266</v>
      </c>
      <c r="S92" s="3878">
        <f t="shared" si="573"/>
        <v>0</v>
      </c>
      <c r="T92" s="3878">
        <f t="shared" si="573"/>
        <v>1.6716907997205694</v>
      </c>
      <c r="U92" s="1284">
        <f t="shared" ref="U92:X92" si="587">+U29</f>
        <v>0</v>
      </c>
      <c r="V92" s="1284">
        <f t="shared" si="587"/>
        <v>1.9837567407995187</v>
      </c>
      <c r="W92" s="3878">
        <f t="shared" si="587"/>
        <v>0</v>
      </c>
      <c r="X92" s="3878">
        <f t="shared" si="587"/>
        <v>0.92055924649121146</v>
      </c>
      <c r="Y92" s="1286">
        <f t="shared" ref="Y92:Z92" si="588">+Y29</f>
        <v>0</v>
      </c>
      <c r="Z92" s="1298">
        <f t="shared" si="588"/>
        <v>1.613999545675922</v>
      </c>
      <c r="AA92" s="1225">
        <f t="shared" si="576"/>
        <v>0</v>
      </c>
      <c r="AB92" s="1225">
        <f t="shared" si="576"/>
        <v>1.7934259413190645</v>
      </c>
      <c r="AC92" s="3878">
        <f t="shared" si="576"/>
        <v>0</v>
      </c>
      <c r="AD92" s="3878">
        <f t="shared" si="576"/>
        <v>3.7252887836355493</v>
      </c>
      <c r="AE92" s="1300">
        <f t="shared" si="576"/>
        <v>0</v>
      </c>
      <c r="AF92" s="1300">
        <f t="shared" si="576"/>
        <v>2.0883828177689439</v>
      </c>
      <c r="AG92" s="3878">
        <f t="shared" ref="AG92:AJ92" si="589">+AG29</f>
        <v>0</v>
      </c>
      <c r="AH92" s="3878">
        <f t="shared" si="589"/>
        <v>1.1062400131109928</v>
      </c>
      <c r="AI92" s="1300">
        <f t="shared" si="589"/>
        <v>0</v>
      </c>
      <c r="AJ92" s="1300">
        <f t="shared" si="589"/>
        <v>2.0786640762087631</v>
      </c>
      <c r="AK92" s="3878">
        <f t="shared" ref="AK92:AL92" si="590">+AK29</f>
        <v>0</v>
      </c>
      <c r="AL92" s="3878">
        <f t="shared" si="590"/>
        <v>3.9214167984867423</v>
      </c>
      <c r="AM92" s="1286">
        <f t="shared" ref="AM92:AN92" si="591">+AM29</f>
        <v>0</v>
      </c>
      <c r="AN92" s="1298">
        <f t="shared" si="591"/>
        <v>3.7345098225251294</v>
      </c>
      <c r="AO92" s="1300">
        <f t="shared" ref="AO92:AT92" si="592">+AO29</f>
        <v>0</v>
      </c>
      <c r="AP92" s="1300">
        <f t="shared" si="592"/>
        <v>2.3142811478551617</v>
      </c>
      <c r="AQ92" s="3878">
        <f t="shared" si="592"/>
        <v>0</v>
      </c>
      <c r="AR92" s="3878">
        <f t="shared" si="592"/>
        <v>5.0941096817874074</v>
      </c>
      <c r="AS92" s="1300">
        <f t="shared" si="592"/>
        <v>0</v>
      </c>
      <c r="AT92" s="1300">
        <f t="shared" si="592"/>
        <v>2.635313957656078</v>
      </c>
      <c r="AU92" s="3850">
        <f t="shared" ref="AU92:AX92" si="593">+AU29</f>
        <v>0</v>
      </c>
      <c r="AV92" s="3850">
        <f t="shared" si="593"/>
        <v>0</v>
      </c>
      <c r="AW92" s="1300">
        <f t="shared" si="593"/>
        <v>0</v>
      </c>
      <c r="AX92" s="1300">
        <f t="shared" si="593"/>
        <v>2.3803329019580257</v>
      </c>
      <c r="AY92" s="3850">
        <f t="shared" ref="AY92:AZ92" si="594">+AY29</f>
        <v>0</v>
      </c>
      <c r="AZ92" s="3850">
        <f t="shared" si="594"/>
        <v>0</v>
      </c>
      <c r="BA92" s="1286">
        <f t="shared" ref="BA92:BF92" si="595">+BA29</f>
        <v>0</v>
      </c>
      <c r="BB92" s="1298">
        <f t="shared" si="595"/>
        <v>1.6768158150207395</v>
      </c>
      <c r="BC92" s="1225">
        <f t="shared" si="595"/>
        <v>0</v>
      </c>
      <c r="BD92" s="1225">
        <f t="shared" si="595"/>
        <v>2.5071292333395547</v>
      </c>
      <c r="BE92" s="1300">
        <f t="shared" si="595"/>
        <v>0</v>
      </c>
      <c r="BF92" s="1300">
        <f t="shared" si="595"/>
        <v>2.1332396253944128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843" t="s">
        <v>42</v>
      </c>
      <c r="C93" s="3844" t="s">
        <v>219</v>
      </c>
      <c r="D93" s="3878">
        <f t="shared" ref="D93" si="596">+D30</f>
        <v>0</v>
      </c>
      <c r="E93" s="3878">
        <f t="shared" ref="E93:L93" si="597">+E30</f>
        <v>0</v>
      </c>
      <c r="F93" s="3878">
        <f t="shared" si="597"/>
        <v>0</v>
      </c>
      <c r="G93" s="3878">
        <f t="shared" ref="G93:H93" si="598">+G30</f>
        <v>0</v>
      </c>
      <c r="H93" s="3878">
        <f t="shared" si="598"/>
        <v>0</v>
      </c>
      <c r="I93" s="3878">
        <f t="shared" si="597"/>
        <v>0</v>
      </c>
      <c r="J93" s="4664">
        <f t="shared" si="597"/>
        <v>0</v>
      </c>
      <c r="K93" s="3878">
        <f t="shared" si="597"/>
        <v>21.858669683074151</v>
      </c>
      <c r="L93" s="3878">
        <f t="shared" si="597"/>
        <v>0</v>
      </c>
      <c r="M93" s="1286">
        <f t="shared" ref="M93:P93" si="599">+M30</f>
        <v>0</v>
      </c>
      <c r="N93" s="1298">
        <f t="shared" si="599"/>
        <v>0</v>
      </c>
      <c r="O93" s="3878">
        <f t="shared" si="599"/>
        <v>21.858669683074151</v>
      </c>
      <c r="P93" s="3878">
        <f t="shared" si="599"/>
        <v>0</v>
      </c>
      <c r="Q93" s="1284">
        <f t="shared" ref="Q93:T93" si="600">+Q30</f>
        <v>0</v>
      </c>
      <c r="R93" s="1300">
        <f t="shared" si="600"/>
        <v>0</v>
      </c>
      <c r="S93" s="3878">
        <f t="shared" si="600"/>
        <v>21.858669683074151</v>
      </c>
      <c r="T93" s="3878">
        <f t="shared" si="600"/>
        <v>0</v>
      </c>
      <c r="U93" s="1284">
        <f t="shared" ref="U93:X93" si="601">+U30</f>
        <v>0</v>
      </c>
      <c r="V93" s="1284">
        <f t="shared" si="601"/>
        <v>0</v>
      </c>
      <c r="W93" s="3878">
        <f t="shared" si="601"/>
        <v>21.858669683074151</v>
      </c>
      <c r="X93" s="3878">
        <f t="shared" si="601"/>
        <v>2.3324433694088174</v>
      </c>
      <c r="Y93" s="1286">
        <f t="shared" ref="Y93:Z93" si="602">+Y30</f>
        <v>0</v>
      </c>
      <c r="Z93" s="1298">
        <f t="shared" si="602"/>
        <v>0.76368872259802667</v>
      </c>
      <c r="AA93" s="1225">
        <f t="shared" ref="AA93:AF93" si="603">+AA30</f>
        <v>0</v>
      </c>
      <c r="AB93" s="1225">
        <f t="shared" si="603"/>
        <v>0.41754783435722759</v>
      </c>
      <c r="AC93" s="3878">
        <f t="shared" si="603"/>
        <v>21.858669683074151</v>
      </c>
      <c r="AD93" s="3878">
        <f t="shared" si="603"/>
        <v>0.42643694499499807</v>
      </c>
      <c r="AE93" s="1300">
        <f t="shared" si="603"/>
        <v>0</v>
      </c>
      <c r="AF93" s="1300">
        <f t="shared" si="603"/>
        <v>0.41890502403482932</v>
      </c>
      <c r="AG93" s="3878">
        <f t="shared" ref="AG93:AJ93" si="604">+AG30</f>
        <v>21.858669683074151</v>
      </c>
      <c r="AH93" s="3878">
        <f t="shared" si="604"/>
        <v>0</v>
      </c>
      <c r="AI93" s="1300">
        <f t="shared" si="604"/>
        <v>0</v>
      </c>
      <c r="AJ93" s="1300">
        <f t="shared" si="604"/>
        <v>0.41475977178887552</v>
      </c>
      <c r="AK93" s="3878">
        <f t="shared" ref="AK93:AL93" si="605">+AK30</f>
        <v>21.858669683074151</v>
      </c>
      <c r="AL93" s="3878">
        <f t="shared" si="605"/>
        <v>1.2969989270030198</v>
      </c>
      <c r="AM93" s="1286">
        <f t="shared" ref="AM93:AN93" si="606">+AM30</f>
        <v>0</v>
      </c>
      <c r="AN93" s="1298">
        <f t="shared" si="606"/>
        <v>0.82754840103944294</v>
      </c>
      <c r="AO93" s="1300">
        <f t="shared" ref="AO93:AT93" si="607">+AO30</f>
        <v>0</v>
      </c>
      <c r="AP93" s="1300">
        <f t="shared" si="607"/>
        <v>0.52756416693657771</v>
      </c>
      <c r="AQ93" s="3878">
        <f t="shared" si="607"/>
        <v>21.858669683074151</v>
      </c>
      <c r="AR93" s="3878">
        <f t="shared" si="607"/>
        <v>3.9918754231550437</v>
      </c>
      <c r="AS93" s="1300">
        <f t="shared" si="607"/>
        <v>0</v>
      </c>
      <c r="AT93" s="1300">
        <f t="shared" si="607"/>
        <v>0.92764552556467217</v>
      </c>
      <c r="AU93" s="3850">
        <f t="shared" ref="AU93:AX93" si="608">+AU30</f>
        <v>21.858669683074151</v>
      </c>
      <c r="AV93" s="3850">
        <f t="shared" si="608"/>
        <v>2.6832195130496732</v>
      </c>
      <c r="AW93" s="1300">
        <f t="shared" si="608"/>
        <v>0</v>
      </c>
      <c r="AX93" s="1300">
        <f t="shared" si="608"/>
        <v>1.0975069219210694</v>
      </c>
      <c r="AY93" s="3850">
        <f t="shared" ref="AY93:AZ93" si="609">+AY30</f>
        <v>21.858669683074151</v>
      </c>
      <c r="AZ93" s="3850">
        <f t="shared" si="609"/>
        <v>0</v>
      </c>
      <c r="BA93" s="1286">
        <f t="shared" ref="BA93:BF93" si="610">+BA30</f>
        <v>0</v>
      </c>
      <c r="BB93" s="1298">
        <f t="shared" si="610"/>
        <v>2.1332377699865126</v>
      </c>
      <c r="BC93" s="1225">
        <f t="shared" si="610"/>
        <v>0</v>
      </c>
      <c r="BD93" s="1225">
        <f t="shared" si="610"/>
        <v>1.6063706074058948</v>
      </c>
      <c r="BE93" s="1300">
        <f t="shared" si="610"/>
        <v>0</v>
      </c>
      <c r="BF93" s="1300">
        <f t="shared" si="610"/>
        <v>0.98357891581501233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98" t="s">
        <v>118</v>
      </c>
      <c r="C94" s="3844" t="s">
        <v>219</v>
      </c>
      <c r="D94" s="3878">
        <f t="shared" ref="D94" si="611">+D54</f>
        <v>22.45868048610533</v>
      </c>
      <c r="E94" s="3878">
        <f t="shared" ref="E94:L94" si="612">+E54</f>
        <v>22.45868048610533</v>
      </c>
      <c r="F94" s="3878">
        <f t="shared" si="612"/>
        <v>21.343566479197094</v>
      </c>
      <c r="G94" s="3878">
        <f t="shared" ref="G94:H94" si="613">+G54</f>
        <v>22.458680486105333</v>
      </c>
      <c r="H94" s="3878">
        <f t="shared" si="613"/>
        <v>20.827118033469741</v>
      </c>
      <c r="I94" s="3878">
        <f t="shared" si="612"/>
        <v>22.45868048610533</v>
      </c>
      <c r="J94" s="4664">
        <f t="shared" si="612"/>
        <v>21.072576262375652</v>
      </c>
      <c r="K94" s="3878">
        <f t="shared" si="612"/>
        <v>21.946566916528045</v>
      </c>
      <c r="L94" s="3878">
        <f t="shared" si="612"/>
        <v>20.369184273808475</v>
      </c>
      <c r="M94" s="1286">
        <f t="shared" ref="M94:AF94" si="614">+M54</f>
        <v>22.45868048610533</v>
      </c>
      <c r="N94" s="1298">
        <f t="shared" si="614"/>
        <v>20.877027060166995</v>
      </c>
      <c r="O94" s="3878">
        <f t="shared" si="614"/>
        <v>21.946566916528045</v>
      </c>
      <c r="P94" s="3878">
        <f t="shared" si="614"/>
        <v>22.425597850562166</v>
      </c>
      <c r="Q94" s="1284">
        <f t="shared" si="614"/>
        <v>22.45868048610533</v>
      </c>
      <c r="R94" s="1300">
        <f t="shared" si="614"/>
        <v>21.334339164448878</v>
      </c>
      <c r="S94" s="3878">
        <f t="shared" ref="S94:V94" si="615">+S54</f>
        <v>21.946566916528045</v>
      </c>
      <c r="T94" s="3878">
        <f t="shared" si="615"/>
        <v>20.984476380232188</v>
      </c>
      <c r="U94" s="1284">
        <f t="shared" si="615"/>
        <v>22.45868048610533</v>
      </c>
      <c r="V94" s="1284">
        <f t="shared" si="615"/>
        <v>21.25857297840766</v>
      </c>
      <c r="W94" s="3850">
        <f t="shared" ref="W94:X94" si="616">+W54</f>
        <v>21.946566916528042</v>
      </c>
      <c r="X94" s="3878">
        <f t="shared" si="616"/>
        <v>20.500665448252963</v>
      </c>
      <c r="Y94" s="1286">
        <f t="shared" ref="Y94:Z94" si="617">+Y54</f>
        <v>22.45868048610533</v>
      </c>
      <c r="Z94" s="1298">
        <f t="shared" si="617"/>
        <v>21.326714697737483</v>
      </c>
      <c r="AA94" s="1301">
        <f t="shared" si="614"/>
        <v>22.45868048610533</v>
      </c>
      <c r="AB94" s="1225">
        <f t="shared" si="614"/>
        <v>21.122894379728823</v>
      </c>
      <c r="AC94" s="3850">
        <f t="shared" si="614"/>
        <v>21.946566916528042</v>
      </c>
      <c r="AD94" s="3878">
        <f t="shared" si="614"/>
        <v>18.594259997800766</v>
      </c>
      <c r="AE94" s="1300">
        <f t="shared" si="614"/>
        <v>22.45868048610533</v>
      </c>
      <c r="AF94" s="1300">
        <f t="shared" si="614"/>
        <v>20.736822406791585</v>
      </c>
      <c r="AG94" s="3850">
        <f t="shared" ref="AG94:AJ94" si="618">+AG54</f>
        <v>21.946566916528042</v>
      </c>
      <c r="AH94" s="3878">
        <f t="shared" si="618"/>
        <v>12.045724587208587</v>
      </c>
      <c r="AI94" s="1300">
        <f t="shared" si="618"/>
        <v>22.45868048610533</v>
      </c>
      <c r="AJ94" s="1300">
        <f t="shared" si="618"/>
        <v>20.650820113456867</v>
      </c>
      <c r="AK94" s="3850">
        <f t="shared" ref="AK94:AL94" si="619">+AK54</f>
        <v>21.946566916528042</v>
      </c>
      <c r="AL94" s="3878">
        <f t="shared" si="619"/>
        <v>13.680711496554242</v>
      </c>
      <c r="AM94" s="1286">
        <f t="shared" ref="AM94:AN94" si="620">+AM54</f>
        <v>22.45868048610533</v>
      </c>
      <c r="AN94" s="1298">
        <f t="shared" si="620"/>
        <v>16.042315659640412</v>
      </c>
      <c r="AO94" s="1300">
        <f t="shared" ref="AO94:AT94" si="621">+AO54</f>
        <v>22.45868048610533</v>
      </c>
      <c r="AP94" s="1300">
        <f t="shared" si="621"/>
        <v>19.75961178066343</v>
      </c>
      <c r="AQ94" s="3850">
        <f t="shared" si="621"/>
        <v>21.946566916528042</v>
      </c>
      <c r="AR94" s="3878">
        <f t="shared" si="621"/>
        <v>18.770480704129994</v>
      </c>
      <c r="AS94" s="1300">
        <f t="shared" si="621"/>
        <v>22.45868048610533</v>
      </c>
      <c r="AT94" s="1300">
        <f t="shared" si="621"/>
        <v>19.645380444131405</v>
      </c>
      <c r="AU94" s="3850">
        <f t="shared" ref="AU94:AX94" si="622">+AU54</f>
        <v>21.946566916528045</v>
      </c>
      <c r="AV94" s="3850">
        <f t="shared" si="622"/>
        <v>18.624871897436197</v>
      </c>
      <c r="AW94" s="1300">
        <f t="shared" si="622"/>
        <v>22.45868048610533</v>
      </c>
      <c r="AX94" s="1300">
        <f t="shared" si="622"/>
        <v>19.546640654198875</v>
      </c>
      <c r="AY94" s="3850">
        <f t="shared" ref="AY94:AZ94" si="623">+AY54</f>
        <v>21.946566916528042</v>
      </c>
      <c r="AZ94" s="3850">
        <f t="shared" si="623"/>
        <v>18.189356616750402</v>
      </c>
      <c r="BA94" s="1286">
        <f t="shared" ref="BA94:BF94" si="624">+BA54</f>
        <v>22.45868048610533</v>
      </c>
      <c r="BB94" s="1298">
        <f t="shared" si="624"/>
        <v>18.51361554829916</v>
      </c>
      <c r="BC94" s="1301">
        <f t="shared" si="624"/>
        <v>22.45868048610533</v>
      </c>
      <c r="BD94" s="1225">
        <f t="shared" si="624"/>
        <v>17.516405345635548</v>
      </c>
      <c r="BE94" s="1300">
        <f t="shared" si="624"/>
        <v>22.45868048610533</v>
      </c>
      <c r="BF94" s="1300">
        <f t="shared" si="624"/>
        <v>19.40574617689078</v>
      </c>
      <c r="BG94" s="26"/>
      <c r="BH94" s="26"/>
      <c r="BI94" s="26"/>
      <c r="BJ94" s="26"/>
      <c r="BK94" s="26"/>
      <c r="BL94" s="26"/>
      <c r="BM94" s="26"/>
      <c r="BN94" s="26"/>
    </row>
    <row r="95" spans="2:66" s="5172" customFormat="1" x14ac:dyDescent="0.25">
      <c r="B95" s="7222" t="s">
        <v>2310</v>
      </c>
      <c r="C95" s="7216" t="s">
        <v>219</v>
      </c>
      <c r="D95" s="7223"/>
      <c r="E95" s="7223">
        <f>E33</f>
        <v>0</v>
      </c>
      <c r="F95" s="7223">
        <f t="shared" ref="F95:BF95" si="625">F33</f>
        <v>0</v>
      </c>
      <c r="G95" s="7223">
        <f t="shared" si="625"/>
        <v>0</v>
      </c>
      <c r="H95" s="7223">
        <f t="shared" si="625"/>
        <v>4.8408977050767508</v>
      </c>
      <c r="I95" s="7223">
        <f t="shared" si="625"/>
        <v>0</v>
      </c>
      <c r="J95" s="7223">
        <f t="shared" si="625"/>
        <v>2.5401101108196875</v>
      </c>
      <c r="K95" s="7223">
        <f t="shared" si="625"/>
        <v>0</v>
      </c>
      <c r="L95" s="7223">
        <f t="shared" si="625"/>
        <v>0</v>
      </c>
      <c r="M95" s="7223">
        <f t="shared" si="625"/>
        <v>0</v>
      </c>
      <c r="N95" s="7223">
        <f t="shared" si="625"/>
        <v>0</v>
      </c>
      <c r="O95" s="7223">
        <f t="shared" si="625"/>
        <v>0</v>
      </c>
      <c r="P95" s="7223">
        <f t="shared" si="625"/>
        <v>0</v>
      </c>
      <c r="Q95" s="7223">
        <f t="shared" si="625"/>
        <v>0</v>
      </c>
      <c r="R95" s="7223">
        <f t="shared" si="625"/>
        <v>0</v>
      </c>
      <c r="S95" s="7223">
        <f t="shared" si="625"/>
        <v>0</v>
      </c>
      <c r="T95" s="7223">
        <f t="shared" si="625"/>
        <v>0</v>
      </c>
      <c r="U95" s="7223">
        <f t="shared" si="625"/>
        <v>0</v>
      </c>
      <c r="V95" s="7223">
        <f t="shared" si="625"/>
        <v>0</v>
      </c>
      <c r="W95" s="7223">
        <f t="shared" si="625"/>
        <v>0</v>
      </c>
      <c r="X95" s="7223">
        <f t="shared" si="625"/>
        <v>0</v>
      </c>
      <c r="Y95" s="7223">
        <f t="shared" si="625"/>
        <v>0</v>
      </c>
      <c r="Z95" s="7223">
        <f t="shared" si="625"/>
        <v>0</v>
      </c>
      <c r="AA95" s="7223">
        <f t="shared" si="625"/>
        <v>0</v>
      </c>
      <c r="AB95" s="7223">
        <f t="shared" si="625"/>
        <v>0</v>
      </c>
      <c r="AC95" s="7223">
        <f t="shared" si="625"/>
        <v>0</v>
      </c>
      <c r="AD95" s="7223">
        <f t="shared" si="625"/>
        <v>0</v>
      </c>
      <c r="AE95" s="7223">
        <f t="shared" si="625"/>
        <v>0</v>
      </c>
      <c r="AF95" s="7223">
        <f t="shared" si="625"/>
        <v>0</v>
      </c>
      <c r="AG95" s="7223">
        <f t="shared" si="625"/>
        <v>0</v>
      </c>
      <c r="AH95" s="7223">
        <f t="shared" si="625"/>
        <v>0</v>
      </c>
      <c r="AI95" s="7223">
        <f t="shared" si="625"/>
        <v>0</v>
      </c>
      <c r="AJ95" s="7223">
        <f t="shared" si="625"/>
        <v>0</v>
      </c>
      <c r="AK95" s="7223">
        <f t="shared" si="625"/>
        <v>0</v>
      </c>
      <c r="AL95" s="7223">
        <f t="shared" si="625"/>
        <v>0</v>
      </c>
      <c r="AM95" s="7223">
        <f t="shared" si="625"/>
        <v>0</v>
      </c>
      <c r="AN95" s="7223">
        <f t="shared" si="625"/>
        <v>0</v>
      </c>
      <c r="AO95" s="7223">
        <f t="shared" si="625"/>
        <v>0</v>
      </c>
      <c r="AP95" s="7223">
        <f t="shared" si="625"/>
        <v>0</v>
      </c>
      <c r="AQ95" s="7223">
        <f t="shared" si="625"/>
        <v>0</v>
      </c>
      <c r="AR95" s="7223">
        <f t="shared" si="625"/>
        <v>0</v>
      </c>
      <c r="AS95" s="7223">
        <f t="shared" si="625"/>
        <v>0</v>
      </c>
      <c r="AT95" s="7223">
        <f t="shared" si="625"/>
        <v>0</v>
      </c>
      <c r="AU95" s="7223">
        <f t="shared" si="625"/>
        <v>0</v>
      </c>
      <c r="AV95" s="7223">
        <f t="shared" si="625"/>
        <v>0</v>
      </c>
      <c r="AW95" s="7223">
        <f t="shared" si="625"/>
        <v>0</v>
      </c>
      <c r="AX95" s="7223">
        <f t="shared" si="625"/>
        <v>0</v>
      </c>
      <c r="AY95" s="7223">
        <f t="shared" si="625"/>
        <v>0</v>
      </c>
      <c r="AZ95" s="7223">
        <f t="shared" si="625"/>
        <v>0</v>
      </c>
      <c r="BA95" s="7223">
        <f t="shared" si="625"/>
        <v>0</v>
      </c>
      <c r="BB95" s="7223">
        <f t="shared" si="625"/>
        <v>0</v>
      </c>
      <c r="BC95" s="7223">
        <f t="shared" si="625"/>
        <v>0</v>
      </c>
      <c r="BD95" s="7223">
        <f t="shared" si="625"/>
        <v>0</v>
      </c>
      <c r="BE95" s="7223">
        <f t="shared" si="625"/>
        <v>0</v>
      </c>
      <c r="BF95" s="7223">
        <f t="shared" si="625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843" t="s">
        <v>600</v>
      </c>
      <c r="C96" s="3844" t="s">
        <v>219</v>
      </c>
      <c r="D96" s="3878">
        <f t="shared" ref="D96" si="626">+D31</f>
        <v>10</v>
      </c>
      <c r="E96" s="3878">
        <f t="shared" ref="E96:L96" si="627">+E31</f>
        <v>10</v>
      </c>
      <c r="F96" s="3878">
        <f t="shared" si="627"/>
        <v>30.587577292359317</v>
      </c>
      <c r="G96" s="3878">
        <f t="shared" si="627"/>
        <v>10</v>
      </c>
      <c r="H96" s="3878">
        <f t="shared" si="627"/>
        <v>28.471233246835123</v>
      </c>
      <c r="I96" s="3878">
        <f t="shared" si="627"/>
        <v>10</v>
      </c>
      <c r="J96" s="4664">
        <f t="shared" si="627"/>
        <v>29.477091751140094</v>
      </c>
      <c r="K96" s="3878">
        <f t="shared" si="627"/>
        <v>15</v>
      </c>
      <c r="L96" s="3878">
        <f t="shared" si="627"/>
        <v>15.095671116872559</v>
      </c>
      <c r="M96" s="1286">
        <f t="shared" ref="M96:AF96" si="628">+M31</f>
        <v>10</v>
      </c>
      <c r="N96" s="1298">
        <f t="shared" si="628"/>
        <v>25.478929449936185</v>
      </c>
      <c r="O96" s="3878">
        <f t="shared" si="628"/>
        <v>15.000000000000002</v>
      </c>
      <c r="P96" s="3878">
        <f t="shared" si="628"/>
        <v>17.476903974984289</v>
      </c>
      <c r="Q96" s="1284">
        <f t="shared" si="628"/>
        <v>10</v>
      </c>
      <c r="R96" s="1300">
        <f t="shared" si="628"/>
        <v>23.115832372834745</v>
      </c>
      <c r="S96" s="3878">
        <f t="shared" ref="S96:V97" si="629">+S31</f>
        <v>15</v>
      </c>
      <c r="T96" s="3878">
        <f t="shared" si="629"/>
        <v>6.9150916983563064</v>
      </c>
      <c r="U96" s="1284">
        <f t="shared" si="629"/>
        <v>10</v>
      </c>
      <c r="V96" s="1284">
        <f t="shared" si="629"/>
        <v>19.607404533914295</v>
      </c>
      <c r="W96" s="3878">
        <f t="shared" ref="W96:X96" si="630">+W31</f>
        <v>15</v>
      </c>
      <c r="X96" s="3878">
        <f t="shared" si="630"/>
        <v>15.935663437060473</v>
      </c>
      <c r="Y96" s="1286">
        <f t="shared" ref="Y96:Z96" si="631">+Y31</f>
        <v>10</v>
      </c>
      <c r="Z96" s="1298">
        <f t="shared" si="631"/>
        <v>13.537796846425204</v>
      </c>
      <c r="AA96" s="1225">
        <f t="shared" si="628"/>
        <v>10</v>
      </c>
      <c r="AB96" s="1225">
        <f t="shared" si="628"/>
        <v>18.950099167610659</v>
      </c>
      <c r="AC96" s="3878">
        <f t="shared" si="628"/>
        <v>15</v>
      </c>
      <c r="AD96" s="3878">
        <f t="shared" si="628"/>
        <v>10.851345153772089</v>
      </c>
      <c r="AE96" s="1284">
        <f t="shared" si="628"/>
        <v>10</v>
      </c>
      <c r="AF96" s="1284">
        <f t="shared" si="628"/>
        <v>17.713581162950778</v>
      </c>
      <c r="AG96" s="3878">
        <f t="shared" ref="AG96:AJ96" si="632">+AG31</f>
        <v>15.000000000000002</v>
      </c>
      <c r="AH96" s="3878">
        <f t="shared" si="632"/>
        <v>5.0805096898430779</v>
      </c>
      <c r="AI96" s="1284">
        <f t="shared" si="632"/>
        <v>10</v>
      </c>
      <c r="AJ96" s="1284">
        <f t="shared" si="632"/>
        <v>17.58857128029814</v>
      </c>
      <c r="AK96" s="3878">
        <f t="shared" ref="AK96:AL96" si="633">+AK31</f>
        <v>15</v>
      </c>
      <c r="AL96" s="3878">
        <f t="shared" si="633"/>
        <v>2.2289576442738466</v>
      </c>
      <c r="AM96" s="1286">
        <f t="shared" ref="AM96:AN96" si="634">+AM31</f>
        <v>10</v>
      </c>
      <c r="AN96" s="1298">
        <f t="shared" si="634"/>
        <v>6.5571351012297265</v>
      </c>
      <c r="AO96" s="1284">
        <f t="shared" ref="AO96:AT96" si="635">+AO31</f>
        <v>10</v>
      </c>
      <c r="AP96" s="1284">
        <f t="shared" si="635"/>
        <v>15.624668504419233</v>
      </c>
      <c r="AQ96" s="3878">
        <f t="shared" si="635"/>
        <v>15</v>
      </c>
      <c r="AR96" s="3878">
        <f t="shared" si="635"/>
        <v>3.8077183480027079</v>
      </c>
      <c r="AS96" s="1284">
        <f t="shared" si="635"/>
        <v>10</v>
      </c>
      <c r="AT96" s="1284">
        <f t="shared" si="635"/>
        <v>14.259969687321533</v>
      </c>
      <c r="AU96" s="3850">
        <f t="shared" ref="AU96:AX96" si="636">+AU31</f>
        <v>15.000000000000004</v>
      </c>
      <c r="AV96" s="3850">
        <f t="shared" si="636"/>
        <v>30.995710936382299</v>
      </c>
      <c r="AW96" s="1284">
        <f t="shared" si="636"/>
        <v>10</v>
      </c>
      <c r="AX96" s="1284">
        <f t="shared" si="636"/>
        <v>15.879244293740877</v>
      </c>
      <c r="AY96" s="3850">
        <f t="shared" ref="AY96:AZ96" si="637">+AY31</f>
        <v>15</v>
      </c>
      <c r="AZ96" s="3850">
        <f t="shared" si="637"/>
        <v>36.310423881761864</v>
      </c>
      <c r="BA96" s="1286">
        <f t="shared" ref="BA96:BF96" si="638">+BA31</f>
        <v>10</v>
      </c>
      <c r="BB96" s="1298">
        <f t="shared" si="638"/>
        <v>23.988896109626847</v>
      </c>
      <c r="BC96" s="1225">
        <f t="shared" si="638"/>
        <v>10</v>
      </c>
      <c r="BD96" s="1225">
        <f t="shared" si="638"/>
        <v>16.954893474923654</v>
      </c>
      <c r="BE96" s="1284">
        <f t="shared" si="638"/>
        <v>10</v>
      </c>
      <c r="BF96" s="1284">
        <f t="shared" si="638"/>
        <v>18.000127093079985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843" t="s">
        <v>1717</v>
      </c>
      <c r="C97" s="3844" t="s">
        <v>219</v>
      </c>
      <c r="D97" s="3878">
        <f>D32</f>
        <v>0.7</v>
      </c>
      <c r="E97" s="3878">
        <f>+E32</f>
        <v>0.7</v>
      </c>
      <c r="F97" s="3878">
        <f t="shared" ref="F97:BF97" si="639">+F32</f>
        <v>1.034707764969083</v>
      </c>
      <c r="G97" s="3878">
        <f>+G32</f>
        <v>0.70000000000000007</v>
      </c>
      <c r="H97" s="3878">
        <f t="shared" ref="H97" si="640">+H32</f>
        <v>0.89781765576714156</v>
      </c>
      <c r="I97" s="3878">
        <f t="shared" si="639"/>
        <v>0.7</v>
      </c>
      <c r="J97" s="4664">
        <f t="shared" si="639"/>
        <v>0.96287894898513748</v>
      </c>
      <c r="K97" s="3878">
        <f>+K32</f>
        <v>0</v>
      </c>
      <c r="L97" s="3878">
        <f>+L32</f>
        <v>0</v>
      </c>
      <c r="M97" s="1286">
        <f t="shared" si="639"/>
        <v>0</v>
      </c>
      <c r="N97" s="1298">
        <f t="shared" si="639"/>
        <v>0.69519007370934016</v>
      </c>
      <c r="O97" s="3878">
        <f>+O32</f>
        <v>0</v>
      </c>
      <c r="P97" s="3878">
        <f t="shared" ref="P97" si="641">+P32</f>
        <v>0</v>
      </c>
      <c r="Q97" s="1284">
        <f t="shared" si="639"/>
        <v>0</v>
      </c>
      <c r="R97" s="1300">
        <f t="shared" si="639"/>
        <v>0.48989184810948339</v>
      </c>
      <c r="S97" s="3878">
        <f t="shared" si="629"/>
        <v>0</v>
      </c>
      <c r="T97" s="3878">
        <f t="shared" si="629"/>
        <v>0.55994846299583301</v>
      </c>
      <c r="U97" s="1284">
        <f t="shared" si="629"/>
        <v>0</v>
      </c>
      <c r="V97" s="1284">
        <f t="shared" si="629"/>
        <v>0.50506328890385366</v>
      </c>
      <c r="W97" s="3878">
        <f t="shared" ref="W97:X97" si="642">+W32</f>
        <v>0</v>
      </c>
      <c r="X97" s="3878">
        <f t="shared" si="642"/>
        <v>2.0462871226989394</v>
      </c>
      <c r="Y97" s="1286">
        <f t="shared" si="639"/>
        <v>0</v>
      </c>
      <c r="Z97" s="1298">
        <f t="shared" si="639"/>
        <v>0.85207862104687226</v>
      </c>
      <c r="AA97" s="1225">
        <f t="shared" si="639"/>
        <v>0</v>
      </c>
      <c r="AB97" s="1225">
        <f t="shared" si="639"/>
        <v>0.78096909759407396</v>
      </c>
      <c r="AC97" s="3878">
        <f t="shared" si="639"/>
        <v>0</v>
      </c>
      <c r="AD97" s="3878">
        <f t="shared" si="639"/>
        <v>1.1157092397353408</v>
      </c>
      <c r="AE97" s="1284">
        <f t="shared" si="639"/>
        <v>0</v>
      </c>
      <c r="AF97" s="1284">
        <f t="shared" si="639"/>
        <v>0.83207723249146937</v>
      </c>
      <c r="AG97" s="3878">
        <f t="shared" ref="AG97:AJ97" si="643">+AG32</f>
        <v>0</v>
      </c>
      <c r="AH97" s="3878">
        <f t="shared" si="643"/>
        <v>0</v>
      </c>
      <c r="AI97" s="1284">
        <f t="shared" si="643"/>
        <v>0</v>
      </c>
      <c r="AJ97" s="1284">
        <f t="shared" si="643"/>
        <v>0.82384345676930104</v>
      </c>
      <c r="AK97" s="3878">
        <f t="shared" ref="AK97:AL97" si="644">+AK32</f>
        <v>0</v>
      </c>
      <c r="AL97" s="3878">
        <f t="shared" si="644"/>
        <v>0.20740921007510979</v>
      </c>
      <c r="AM97" s="1298">
        <f t="shared" si="639"/>
        <v>0</v>
      </c>
      <c r="AN97" s="1298">
        <f t="shared" si="639"/>
        <v>0.64701634539867281</v>
      </c>
      <c r="AO97" s="1300">
        <f t="shared" si="639"/>
        <v>0</v>
      </c>
      <c r="AP97" s="1300">
        <f t="shared" si="639"/>
        <v>0.74502526791914836</v>
      </c>
      <c r="AQ97" s="3878">
        <f t="shared" si="639"/>
        <v>0</v>
      </c>
      <c r="AR97" s="3878">
        <f t="shared" si="639"/>
        <v>1.3649289099526065</v>
      </c>
      <c r="AS97" s="1284">
        <f t="shared" si="639"/>
        <v>0</v>
      </c>
      <c r="AT97" s="1284">
        <f t="shared" si="639"/>
        <v>0.81661580150012103</v>
      </c>
      <c r="AU97" s="3850">
        <f t="shared" ref="AU97:AX97" si="645">+AU32</f>
        <v>0</v>
      </c>
      <c r="AV97" s="3850">
        <f t="shared" si="645"/>
        <v>1.0510979594101004</v>
      </c>
      <c r="AW97" s="1284">
        <f t="shared" si="645"/>
        <v>0</v>
      </c>
      <c r="AX97" s="1284">
        <f t="shared" si="645"/>
        <v>0.83930323424131204</v>
      </c>
      <c r="AY97" s="3850">
        <f t="shared" ref="AY97:AZ97" si="646">+AY32</f>
        <v>0</v>
      </c>
      <c r="AZ97" s="3850">
        <f t="shared" si="646"/>
        <v>0.93166187015267543</v>
      </c>
      <c r="BA97" s="1286">
        <f t="shared" si="639"/>
        <v>0</v>
      </c>
      <c r="BB97" s="1298">
        <f t="shared" si="639"/>
        <v>1.1107456169674863</v>
      </c>
      <c r="BC97" s="1225">
        <f t="shared" si="639"/>
        <v>0</v>
      </c>
      <c r="BD97" s="1225">
        <f t="shared" si="639"/>
        <v>0.92362321915393564</v>
      </c>
      <c r="BE97" s="1284">
        <f t="shared" si="639"/>
        <v>0</v>
      </c>
      <c r="BF97" s="1284">
        <f t="shared" si="639"/>
        <v>0.84889063184755109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843" t="s">
        <v>26</v>
      </c>
      <c r="C98" s="3844" t="s">
        <v>219</v>
      </c>
      <c r="D98" s="3265">
        <f t="shared" ref="D98" si="647">+D25+D55</f>
        <v>63.5</v>
      </c>
      <c r="E98" s="3265">
        <f t="shared" ref="E98:L98" si="648">+E25+E55</f>
        <v>63.5</v>
      </c>
      <c r="F98" s="3265">
        <f t="shared" si="648"/>
        <v>59.972656371376189</v>
      </c>
      <c r="G98" s="3265">
        <f t="shared" ref="G98:H98" si="649">+G25+G55</f>
        <v>63.499999999999993</v>
      </c>
      <c r="H98" s="3850">
        <f t="shared" si="649"/>
        <v>62.796575346321198</v>
      </c>
      <c r="I98" s="3265">
        <f t="shared" si="648"/>
        <v>63.499999999999986</v>
      </c>
      <c r="J98" s="3867">
        <f t="shared" si="648"/>
        <v>61.454419791592827</v>
      </c>
      <c r="K98" s="3265">
        <f t="shared" si="648"/>
        <v>67.816371315908725</v>
      </c>
      <c r="L98" s="3265">
        <f t="shared" si="648"/>
        <v>63.209287519607884</v>
      </c>
      <c r="M98" s="1286">
        <f t="shared" ref="M98:AF98" si="650">+M25+M55</f>
        <v>63.5</v>
      </c>
      <c r="N98" s="1286">
        <f t="shared" si="650"/>
        <v>61.942288561457687</v>
      </c>
      <c r="O98" s="3265">
        <f t="shared" si="650"/>
        <v>67.816371315908725</v>
      </c>
      <c r="P98" s="3265">
        <f t="shared" si="650"/>
        <v>68.111329074148983</v>
      </c>
      <c r="Q98" s="1284">
        <f t="shared" si="650"/>
        <v>63.5</v>
      </c>
      <c r="R98" s="1300">
        <f t="shared" si="650"/>
        <v>63.764082512213477</v>
      </c>
      <c r="S98" s="3265">
        <f t="shared" ref="S98:V98" si="651">+S25+S55</f>
        <v>67.816371315908739</v>
      </c>
      <c r="T98" s="3850">
        <f t="shared" si="651"/>
        <v>69.441764000750226</v>
      </c>
      <c r="U98" s="1284">
        <f t="shared" si="651"/>
        <v>63.5</v>
      </c>
      <c r="V98" s="1300">
        <f t="shared" si="651"/>
        <v>64.993639616740552</v>
      </c>
      <c r="W98" s="3265">
        <f t="shared" ref="W98:X98" si="652">+W25+W55</f>
        <v>67.816371315908725</v>
      </c>
      <c r="X98" s="3850">
        <f t="shared" si="652"/>
        <v>63.405205344102882</v>
      </c>
      <c r="Y98" s="1286">
        <f t="shared" ref="Y98:Z98" si="653">+Y25+Y55</f>
        <v>63.5</v>
      </c>
      <c r="Z98" s="1298">
        <f t="shared" si="653"/>
        <v>67.003078620162967</v>
      </c>
      <c r="AA98" s="1225">
        <f t="shared" si="650"/>
        <v>63.5</v>
      </c>
      <c r="AB98" s="1301">
        <f t="shared" si="650"/>
        <v>64.709282320328782</v>
      </c>
      <c r="AC98" s="3265">
        <f t="shared" si="650"/>
        <v>67.816371315908725</v>
      </c>
      <c r="AD98" s="3850">
        <f t="shared" si="650"/>
        <v>62.573587192945283</v>
      </c>
      <c r="AE98" s="1300">
        <f t="shared" si="650"/>
        <v>63.5</v>
      </c>
      <c r="AF98" s="1300">
        <f t="shared" si="650"/>
        <v>64.383204324508483</v>
      </c>
      <c r="AG98" s="3265">
        <f t="shared" ref="AG98:AJ98" si="654">+AG25+AG55</f>
        <v>67.816371315908725</v>
      </c>
      <c r="AH98" s="3850">
        <f t="shared" si="654"/>
        <v>73.913221616749297</v>
      </c>
      <c r="AI98" s="1300">
        <f t="shared" si="654"/>
        <v>63.5</v>
      </c>
      <c r="AJ98" s="1300">
        <f t="shared" si="654"/>
        <v>64.477508100586746</v>
      </c>
      <c r="AK98" s="3265">
        <f t="shared" ref="AK98:AL98" si="655">+AK25+AK55</f>
        <v>67.816371315908725</v>
      </c>
      <c r="AL98" s="3850">
        <f t="shared" si="655"/>
        <v>63.699516598267721</v>
      </c>
      <c r="AM98" s="1286">
        <f t="shared" ref="AM98:AN98" si="656">+AM25+AM55</f>
        <v>63.5</v>
      </c>
      <c r="AN98" s="1298">
        <f t="shared" si="656"/>
        <v>63.474807212848603</v>
      </c>
      <c r="AO98" s="1300">
        <f t="shared" ref="AO98:AT98" si="657">+AO25+AO55</f>
        <v>63.5</v>
      </c>
      <c r="AP98" s="1300">
        <f t="shared" si="657"/>
        <v>64.378032963566952</v>
      </c>
      <c r="AQ98" s="3265">
        <f t="shared" si="657"/>
        <v>67.816371315908725</v>
      </c>
      <c r="AR98" s="3850">
        <f t="shared" si="657"/>
        <v>65.042654028436033</v>
      </c>
      <c r="AS98" s="1300">
        <f t="shared" si="657"/>
        <v>63.5</v>
      </c>
      <c r="AT98" s="1300">
        <f t="shared" si="657"/>
        <v>64.454787758081551</v>
      </c>
      <c r="AU98" s="3265">
        <f t="shared" ref="AU98:AX98" si="658">+AU25+AU55</f>
        <v>67.816371315908725</v>
      </c>
      <c r="AV98" s="3850">
        <f t="shared" si="658"/>
        <v>65.78705339285662</v>
      </c>
      <c r="AW98" s="1300">
        <f t="shared" si="658"/>
        <v>63.5</v>
      </c>
      <c r="AX98" s="1300">
        <f t="shared" si="658"/>
        <v>64.58369175338666</v>
      </c>
      <c r="AY98" s="3265">
        <f t="shared" ref="AY98:AZ98" si="659">+AY25+AY55</f>
        <v>67.816371315908725</v>
      </c>
      <c r="AZ98" s="3850">
        <f t="shared" si="659"/>
        <v>62.79449782937418</v>
      </c>
      <c r="BA98" s="1286">
        <f t="shared" ref="BA98:BF98" si="660">+BA25+BA55</f>
        <v>63.5</v>
      </c>
      <c r="BB98" s="1298">
        <f t="shared" si="660"/>
        <v>64.448206359776393</v>
      </c>
      <c r="BC98" s="1225">
        <f t="shared" si="660"/>
        <v>63.5</v>
      </c>
      <c r="BD98" s="1225">
        <f t="shared" si="660"/>
        <v>64.055423773965956</v>
      </c>
      <c r="BE98" s="1284">
        <f t="shared" si="660"/>
        <v>63.5</v>
      </c>
      <c r="BF98" s="1284">
        <f t="shared" si="660"/>
        <v>64.397962358675414</v>
      </c>
      <c r="BG98" s="26"/>
      <c r="BH98" s="26"/>
      <c r="BI98" s="26"/>
      <c r="BJ98" s="26"/>
      <c r="BK98" s="26"/>
      <c r="BL98" s="26"/>
      <c r="BM98" s="26"/>
      <c r="BN98" s="26"/>
    </row>
    <row r="99" spans="2:66" s="4712" customFormat="1" x14ac:dyDescent="0.25">
      <c r="B99" s="3261" t="s">
        <v>1965</v>
      </c>
      <c r="C99" s="3844" t="s">
        <v>219</v>
      </c>
      <c r="D99" s="3265">
        <f t="shared" ref="D99:E99" si="661">D59</f>
        <v>5.9999999999999982</v>
      </c>
      <c r="E99" s="3265">
        <f t="shared" si="661"/>
        <v>6</v>
      </c>
      <c r="F99" s="3265">
        <f>F59</f>
        <v>1.6797377497436536</v>
      </c>
      <c r="G99" s="3265">
        <f t="shared" ref="G99" si="662">G59</f>
        <v>6</v>
      </c>
      <c r="H99" s="3265">
        <f>H59</f>
        <v>1.958874885310127</v>
      </c>
      <c r="I99" s="3265">
        <f t="shared" ref="I99" si="663">I59</f>
        <v>6</v>
      </c>
      <c r="J99" s="3265">
        <f>J59</f>
        <v>1.8262062569409987</v>
      </c>
      <c r="K99" s="3265">
        <v>0</v>
      </c>
      <c r="L99" s="3265">
        <v>0</v>
      </c>
      <c r="M99" s="3264">
        <v>0</v>
      </c>
      <c r="N99" s="3264">
        <f>N59</f>
        <v>1.3185047442457563</v>
      </c>
      <c r="O99" s="3265">
        <v>0</v>
      </c>
      <c r="P99" s="3265">
        <v>0</v>
      </c>
      <c r="Q99" s="3263">
        <v>0</v>
      </c>
      <c r="R99" s="3846">
        <f>R59</f>
        <v>0.92913398842592954</v>
      </c>
      <c r="S99" s="3265">
        <v>0</v>
      </c>
      <c r="T99" s="3850">
        <f>T59</f>
        <v>0.17940096387245136</v>
      </c>
      <c r="U99" s="3263">
        <v>0</v>
      </c>
      <c r="V99" s="3263">
        <f>V59</f>
        <v>0.76677201572642295</v>
      </c>
      <c r="W99" s="3265">
        <v>0</v>
      </c>
      <c r="X99" s="3850">
        <f>X59</f>
        <v>1.7088387185599321</v>
      </c>
      <c r="Y99" s="3264"/>
      <c r="Z99" s="1298">
        <f>Z59</f>
        <v>0.61784539015743123</v>
      </c>
      <c r="AA99" s="1225"/>
      <c r="AB99" s="1301">
        <f>AB59</f>
        <v>0.93541830174016938</v>
      </c>
      <c r="AC99" s="3265">
        <v>0</v>
      </c>
      <c r="AD99" s="3850">
        <f>AD59</f>
        <v>1.2283529610547745</v>
      </c>
      <c r="AE99" s="3846"/>
      <c r="AF99" s="3846">
        <f>AF59</f>
        <v>0.98014357427128762</v>
      </c>
      <c r="AG99" s="3265">
        <v>0</v>
      </c>
      <c r="AH99" s="3850">
        <f>AH59</f>
        <v>0</v>
      </c>
      <c r="AI99" s="3846"/>
      <c r="AJ99" s="3846">
        <f>AJ59</f>
        <v>0.97044461598840137</v>
      </c>
      <c r="AK99" s="3265">
        <v>0</v>
      </c>
      <c r="AL99" s="3850">
        <f>AL59</f>
        <v>2.0132520657957325</v>
      </c>
      <c r="AM99" s="3264"/>
      <c r="AN99" s="3264">
        <f>AN59</f>
        <v>1.5628541459120691</v>
      </c>
      <c r="AO99" s="3846"/>
      <c r="AP99" s="3846">
        <f>AP59</f>
        <v>1.1037795092946057</v>
      </c>
      <c r="AQ99" s="3265">
        <v>0</v>
      </c>
      <c r="AR99" s="3850">
        <f>AR59</f>
        <v>1.7832633716993906</v>
      </c>
      <c r="AS99" s="3846"/>
      <c r="AT99" s="3846">
        <f>AT59</f>
        <v>1.1822507570350624</v>
      </c>
      <c r="AU99" s="3265">
        <v>0</v>
      </c>
      <c r="AV99" s="3850">
        <f>AV59</f>
        <v>1.5459899152990229</v>
      </c>
      <c r="AW99" s="3846"/>
      <c r="AX99" s="3846">
        <f>AX59</f>
        <v>1.2174445123382662</v>
      </c>
      <c r="AY99" s="3265">
        <v>0</v>
      </c>
      <c r="AZ99" s="3850">
        <f>AZ59</f>
        <v>0.61704307106970391</v>
      </c>
      <c r="BA99" s="1286"/>
      <c r="BB99" s="1298">
        <f>BB59</f>
        <v>1.2845514539981049</v>
      </c>
      <c r="BC99" s="1225"/>
      <c r="BD99" s="1225">
        <f>BD59</f>
        <v>1.3968511732992599</v>
      </c>
      <c r="BE99" s="1284"/>
      <c r="BF99" s="1284">
        <f>BF59</f>
        <v>1.1551191295086081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843" t="s">
        <v>1330</v>
      </c>
      <c r="C100" s="3844" t="s">
        <v>219</v>
      </c>
      <c r="D100" s="3878">
        <f t="shared" ref="D100" si="664">D35</f>
        <v>2.8361370375524362</v>
      </c>
      <c r="E100" s="3878">
        <f t="shared" ref="E100:L100" si="665">E35</f>
        <v>2.84</v>
      </c>
      <c r="F100" s="3878">
        <f t="shared" si="665"/>
        <v>1.9016250815648013</v>
      </c>
      <c r="G100" s="3878">
        <f t="shared" ref="G100:H100" si="666">G35</f>
        <v>2.8447525981502015</v>
      </c>
      <c r="H100" s="3878">
        <f t="shared" si="666"/>
        <v>3.6813338361862731</v>
      </c>
      <c r="I100" s="3878">
        <f t="shared" si="665"/>
        <v>2.8424114630803921</v>
      </c>
      <c r="J100" s="4664">
        <f t="shared" si="665"/>
        <v>2.8354717516126744</v>
      </c>
      <c r="K100" s="3878">
        <f t="shared" si="665"/>
        <v>2.4499999999999997</v>
      </c>
      <c r="L100" s="3878">
        <f t="shared" si="665"/>
        <v>0.87827964577332707</v>
      </c>
      <c r="M100" s="1304">
        <f t="shared" ref="M100:R100" si="667">M35</f>
        <v>2.8361370375524362</v>
      </c>
      <c r="N100" s="1304">
        <f t="shared" si="667"/>
        <v>2.29135501288554</v>
      </c>
      <c r="O100" s="3878">
        <f t="shared" si="667"/>
        <v>2.4500000000000002</v>
      </c>
      <c r="P100" s="3878">
        <f t="shared" si="667"/>
        <v>2.0049207064037877</v>
      </c>
      <c r="Q100" s="1300">
        <f t="shared" si="667"/>
        <v>2.8361370375524362</v>
      </c>
      <c r="R100" s="1300">
        <f t="shared" si="667"/>
        <v>2.2067674200882705</v>
      </c>
      <c r="S100" s="3878">
        <f t="shared" ref="S100:V100" si="668">S35</f>
        <v>2.4500000000000002</v>
      </c>
      <c r="T100" s="3878">
        <f t="shared" si="668"/>
        <v>2.2860031911625995</v>
      </c>
      <c r="U100" s="1300">
        <f t="shared" si="668"/>
        <v>2.8361370375524362</v>
      </c>
      <c r="V100" s="1284">
        <f t="shared" si="668"/>
        <v>2.2239266963621902</v>
      </c>
      <c r="W100" s="3878">
        <f t="shared" ref="W100:X100" si="669">W35</f>
        <v>2.4500000000000002</v>
      </c>
      <c r="X100" s="3878">
        <f t="shared" si="669"/>
        <v>2.1353735013916371</v>
      </c>
      <c r="Y100" s="1286">
        <f t="shared" ref="Y100:AA100" si="670">Y35</f>
        <v>2.4499999999999997</v>
      </c>
      <c r="Z100" s="1298">
        <f t="shared" si="670"/>
        <v>2.1390355424620653</v>
      </c>
      <c r="AA100" s="1301">
        <f t="shared" si="670"/>
        <v>2.5996068479322632</v>
      </c>
      <c r="AB100" s="1225">
        <f>AB35</f>
        <v>2.2080741379377002</v>
      </c>
      <c r="AC100" s="3878">
        <f t="shared" ref="AC100:AD100" si="671">AC35</f>
        <v>2.4499999999999997</v>
      </c>
      <c r="AD100" s="3878">
        <f t="shared" si="671"/>
        <v>2.2448284462944237</v>
      </c>
      <c r="AE100" s="1300">
        <f t="shared" ref="AE100:AH100" si="672">AE35</f>
        <v>2.5743226375715738</v>
      </c>
      <c r="AF100" s="1300">
        <f t="shared" si="672"/>
        <v>2.2136857868350805</v>
      </c>
      <c r="AG100" s="3878">
        <f t="shared" si="672"/>
        <v>2.4500000000000002</v>
      </c>
      <c r="AH100" s="3878">
        <f t="shared" si="672"/>
        <v>7.0881304543778425</v>
      </c>
      <c r="AI100" s="1300">
        <f t="shared" ref="AI100:AL100" si="673">AI35</f>
        <v>2.5567566621676288</v>
      </c>
      <c r="AJ100" s="1300">
        <f t="shared" si="673"/>
        <v>2.261920593167289</v>
      </c>
      <c r="AK100" s="3878">
        <f t="shared" si="673"/>
        <v>2.4499999999999997</v>
      </c>
      <c r="AL100" s="3878">
        <f t="shared" si="673"/>
        <v>2.9037289410515368</v>
      </c>
      <c r="AM100" s="1286">
        <f t="shared" ref="AM100:AN100" si="674">AM35</f>
        <v>2.4500000000000002</v>
      </c>
      <c r="AN100" s="1286">
        <f t="shared" si="674"/>
        <v>2.7145695957663256</v>
      </c>
      <c r="AO100" s="1300">
        <f t="shared" ref="AO100:AT100" si="675">AO35</f>
        <v>2.543227069372068</v>
      </c>
      <c r="AP100" s="1300">
        <f t="shared" si="675"/>
        <v>2.3439831518918055</v>
      </c>
      <c r="AQ100" s="3878">
        <f t="shared" si="675"/>
        <v>2.4499999999999997</v>
      </c>
      <c r="AR100" s="3878">
        <f t="shared" si="675"/>
        <v>3.5775220040622884</v>
      </c>
      <c r="AS100" s="1300">
        <f t="shared" si="675"/>
        <v>2.5327410476190946</v>
      </c>
      <c r="AT100" s="1300">
        <f t="shared" si="675"/>
        <v>2.4864402994737502</v>
      </c>
      <c r="AU100" s="3850">
        <f t="shared" ref="AU100:AX100" si="676">AU35</f>
        <v>2.4499999999999997</v>
      </c>
      <c r="AV100" s="3850">
        <f t="shared" si="676"/>
        <v>2.899278538039527</v>
      </c>
      <c r="AW100" s="1300">
        <f t="shared" si="676"/>
        <v>2.5250818128220431</v>
      </c>
      <c r="AX100" s="1300">
        <f t="shared" si="676"/>
        <v>2.5263846596499673</v>
      </c>
      <c r="AY100" s="3850">
        <f t="shared" ref="AY100:AZ100" si="677">AY35</f>
        <v>2.4499999999999997</v>
      </c>
      <c r="AZ100" s="3850">
        <f t="shared" si="677"/>
        <v>3.6705526559680015</v>
      </c>
      <c r="BA100" s="1286">
        <f t="shared" ref="BA100:BF100" si="678">BA35</f>
        <v>2.4499999999999997</v>
      </c>
      <c r="BB100" s="1286">
        <f t="shared" si="678"/>
        <v>3.4044442304966531</v>
      </c>
      <c r="BC100" s="1225">
        <f t="shared" si="678"/>
        <v>2.4499999999999997</v>
      </c>
      <c r="BD100" s="1225">
        <f>BD35</f>
        <v>3.1260684544651625</v>
      </c>
      <c r="BE100" s="1300">
        <f t="shared" si="678"/>
        <v>2.5181282164766872</v>
      </c>
      <c r="BF100" s="1300">
        <f t="shared" si="678"/>
        <v>2.6451563738572066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69" t="s">
        <v>21</v>
      </c>
      <c r="C101" s="3870" t="s">
        <v>219</v>
      </c>
      <c r="D101" s="2451">
        <f t="shared" ref="D101:AB101" si="679">SUM(D85:D100)</f>
        <v>1249.6754972306296</v>
      </c>
      <c r="E101" s="2451">
        <f t="shared" si="679"/>
        <v>1249.9086439182638</v>
      </c>
      <c r="F101" s="2451">
        <f t="shared" si="679"/>
        <v>1274.1372463723085</v>
      </c>
      <c r="G101" s="2451">
        <f t="shared" ref="G101:H101" si="680">SUM(G85:G100)</f>
        <v>1250.1954840135081</v>
      </c>
      <c r="H101" s="2451">
        <f t="shared" si="680"/>
        <v>1269.6154863694951</v>
      </c>
      <c r="I101" s="2451">
        <f t="shared" si="679"/>
        <v>1250.0541862674793</v>
      </c>
      <c r="J101" s="3871">
        <f t="shared" si="679"/>
        <v>1271.7645938186718</v>
      </c>
      <c r="K101" s="2451">
        <f t="shared" ref="K101:L101" si="681">SUM(K85:K100)</f>
        <v>1238.7560911937881</v>
      </c>
      <c r="L101" s="2451">
        <f t="shared" si="681"/>
        <v>1258.4673444888913</v>
      </c>
      <c r="M101" s="1505">
        <f t="shared" si="679"/>
        <v>1242.5754972306295</v>
      </c>
      <c r="N101" s="1505">
        <f t="shared" si="679"/>
        <v>1266.2339037374998</v>
      </c>
      <c r="O101" s="2451">
        <f t="shared" ref="O101:P101" si="682">SUM(O85:O100)</f>
        <v>1214.4596798180562</v>
      </c>
      <c r="P101" s="2451">
        <f t="shared" si="682"/>
        <v>1262.0645085781598</v>
      </c>
      <c r="Q101" s="200">
        <f t="shared" si="679"/>
        <v>1228.0703854749079</v>
      </c>
      <c r="R101" s="200">
        <f t="shared" si="679"/>
        <v>1265.0026297875281</v>
      </c>
      <c r="S101" s="2451">
        <f t="shared" ref="S101:T101" si="683">SUM(S85:S100)</f>
        <v>1264.2951334001498</v>
      </c>
      <c r="T101" s="2451">
        <f t="shared" si="683"/>
        <v>1255.347371911789</v>
      </c>
      <c r="U101" s="200">
        <f t="shared" ref="U101:X101" si="684">SUM(U85:U100)</f>
        <v>1230.4056069192382</v>
      </c>
      <c r="V101" s="200">
        <f t="shared" si="684"/>
        <v>1262.9116898605309</v>
      </c>
      <c r="W101" s="2451">
        <f t="shared" si="684"/>
        <v>1265.8787351648984</v>
      </c>
      <c r="X101" s="2451">
        <f t="shared" si="684"/>
        <v>1272.0859980508976</v>
      </c>
      <c r="Y101" s="200">
        <f t="shared" si="679"/>
        <v>1228.3287213020174</v>
      </c>
      <c r="Z101" s="200">
        <f t="shared" si="679"/>
        <v>1263.1614768537795</v>
      </c>
      <c r="AA101" s="200">
        <f t="shared" si="679"/>
        <v>1231.4402606324788</v>
      </c>
      <c r="AB101" s="200">
        <f t="shared" si="679"/>
        <v>1264.5540502139938</v>
      </c>
      <c r="AC101" s="2451">
        <f t="shared" ref="AC101:AD101" si="685">SUM(AC85:AC100)</f>
        <v>1266.1349403504057</v>
      </c>
      <c r="AD101" s="2451">
        <f t="shared" si="685"/>
        <v>1269.111214218856</v>
      </c>
      <c r="AE101" s="256">
        <f t="shared" ref="AE101:AH101" si="686">SUM(AE85:AE100)</f>
        <v>1232.6700319236579</v>
      </c>
      <c r="AF101" s="256">
        <f t="shared" si="686"/>
        <v>1265.2498381503315</v>
      </c>
      <c r="AG101" s="2451">
        <f t="shared" si="686"/>
        <v>1265.176993462278</v>
      </c>
      <c r="AH101" s="2451">
        <f t="shared" si="686"/>
        <v>1236.5305035440647</v>
      </c>
      <c r="AI101" s="256">
        <f t="shared" ref="AI101:AL101" si="687">SUM(AI85:AI100)</f>
        <v>1233.389052725264</v>
      </c>
      <c r="AJ101" s="256">
        <f t="shared" si="687"/>
        <v>1264.9656475117654</v>
      </c>
      <c r="AK101" s="2451">
        <f t="shared" si="687"/>
        <v>1266.1349403504057</v>
      </c>
      <c r="AL101" s="2451">
        <f t="shared" si="687"/>
        <v>1261.8918485414986</v>
      </c>
      <c r="AM101" s="2418">
        <f t="shared" ref="AM101:AN101" si="688">SUM(AM85:AM100)</f>
        <v>1238.4031806901876</v>
      </c>
      <c r="AN101" s="2418">
        <f t="shared" si="688"/>
        <v>1264.6232809922144</v>
      </c>
      <c r="AO101" s="256">
        <f t="shared" ref="AO101:AT101" si="689">SUM(AO85:AO100)</f>
        <v>1234.0642574375161</v>
      </c>
      <c r="AP101" s="256">
        <f t="shared" si="689"/>
        <v>1264.5726270573939</v>
      </c>
      <c r="AQ101" s="2451">
        <f t="shared" si="689"/>
        <v>1266.1349403504057</v>
      </c>
      <c r="AR101" s="2451">
        <f t="shared" si="689"/>
        <v>1269.0141367637107</v>
      </c>
      <c r="AS101" s="256">
        <f t="shared" si="689"/>
        <v>1234.5875704009859</v>
      </c>
      <c r="AT101" s="256">
        <f t="shared" si="689"/>
        <v>1265.0855616946826</v>
      </c>
      <c r="AU101" s="2451">
        <f t="shared" ref="AU101:AX101" si="690">SUM(AU85:AU100)</f>
        <v>1264.8586255150551</v>
      </c>
      <c r="AV101" s="2451">
        <f t="shared" si="690"/>
        <v>1280.2008181045783</v>
      </c>
      <c r="AW101" s="256">
        <f t="shared" si="690"/>
        <v>1234.8516635315398</v>
      </c>
      <c r="AX101" s="256">
        <f t="shared" si="690"/>
        <v>1266.5480455195582</v>
      </c>
      <c r="AY101" s="2451">
        <f t="shared" ref="AY101:AZ101" si="691">SUM(AY85:AY100)</f>
        <v>1266.1349403504057</v>
      </c>
      <c r="AZ101" s="2451">
        <f t="shared" si="691"/>
        <v>1295.7831325301208</v>
      </c>
      <c r="BA101" s="1505">
        <f t="shared" ref="BA101:BD101" si="692">SUM(BA85:BA100)</f>
        <v>1238.3186246397097</v>
      </c>
      <c r="BB101" s="1505">
        <f t="shared" si="692"/>
        <v>1282.2140476336929</v>
      </c>
      <c r="BC101" s="6605">
        <f t="shared" si="692"/>
        <v>1238.3613818455742</v>
      </c>
      <c r="BD101" s="6605">
        <f t="shared" si="692"/>
        <v>1275.1158836075226</v>
      </c>
      <c r="BE101" s="256">
        <f t="shared" ref="BE101:BF101" si="693">SUM(BE85:BE100)</f>
        <v>1235.2096300990188</v>
      </c>
      <c r="BF101" s="256">
        <f t="shared" si="693"/>
        <v>1269.5828283577575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839" t="s">
        <v>435</v>
      </c>
      <c r="C102" s="3840"/>
      <c r="D102" s="2833"/>
      <c r="E102" s="3841"/>
      <c r="F102" s="3841"/>
      <c r="G102" s="3841"/>
      <c r="H102" s="3841"/>
      <c r="I102" s="3841"/>
      <c r="J102" s="3842"/>
      <c r="K102" s="3841"/>
      <c r="L102" s="3841"/>
      <c r="M102" s="1302"/>
      <c r="N102" s="1281"/>
      <c r="O102" s="3841"/>
      <c r="P102" s="3841"/>
      <c r="Q102" s="1302"/>
      <c r="R102" s="1281"/>
      <c r="S102" s="3841"/>
      <c r="T102" s="3841"/>
      <c r="U102" s="1302"/>
      <c r="V102" s="1281"/>
      <c r="W102" s="3841"/>
      <c r="X102" s="3841"/>
      <c r="Y102" s="1302"/>
      <c r="Z102" s="1281"/>
      <c r="AA102" s="1281"/>
      <c r="AB102" s="1281"/>
      <c r="AC102" s="3841"/>
      <c r="AD102" s="3841"/>
      <c r="AE102" s="1302"/>
      <c r="AF102" s="1281"/>
      <c r="AG102" s="3841"/>
      <c r="AH102" s="3841"/>
      <c r="AI102" s="1302"/>
      <c r="AJ102" s="1281"/>
      <c r="AK102" s="3841"/>
      <c r="AL102" s="3841"/>
      <c r="AM102" s="1302"/>
      <c r="AN102" s="1281"/>
      <c r="AO102" s="1302"/>
      <c r="AP102" s="1281"/>
      <c r="AQ102" s="3841"/>
      <c r="AR102" s="3841"/>
      <c r="AS102" s="1302"/>
      <c r="AT102" s="1281"/>
      <c r="AU102" s="3841"/>
      <c r="AV102" s="3841"/>
      <c r="AW102" s="1302"/>
      <c r="AX102" s="1281"/>
      <c r="AY102" s="3841"/>
      <c r="AZ102" s="3841"/>
      <c r="BA102" s="1302"/>
      <c r="BB102" s="1281"/>
      <c r="BC102" s="1281"/>
      <c r="BD102" s="1281"/>
      <c r="BE102" s="1302"/>
      <c r="BF102" s="1281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77" t="s">
        <v>428</v>
      </c>
      <c r="C103" s="3844" t="s">
        <v>49</v>
      </c>
      <c r="D103" s="3470">
        <v>55.430739802849317</v>
      </c>
      <c r="E103" s="3850">
        <f>+$D$103</f>
        <v>55.430739802849317</v>
      </c>
      <c r="F103" s="3878">
        <v>57.06</v>
      </c>
      <c r="G103" s="3850">
        <f>+$D$103</f>
        <v>55.430739802849317</v>
      </c>
      <c r="H103" s="3878">
        <v>56.88</v>
      </c>
      <c r="I103" s="3846">
        <f>+$D$103</f>
        <v>55.430739802849317</v>
      </c>
      <c r="J103" s="3847">
        <f>+((F103*F$65)+(H103*H$65))/J$65</f>
        <v>56.965550613170763</v>
      </c>
      <c r="K103" s="3850">
        <f>+$D$103</f>
        <v>55.430739802849317</v>
      </c>
      <c r="L103" s="3850">
        <v>55.77</v>
      </c>
      <c r="M103" s="1298">
        <f>+$D$103</f>
        <v>55.430739802849317</v>
      </c>
      <c r="N103" s="1304">
        <f>+((F103*F$65)+(H103*H$65)+(L103*L$65))/N$65</f>
        <v>56.633176954662304</v>
      </c>
      <c r="O103" s="3850">
        <f>+$D$103</f>
        <v>55.430739802849317</v>
      </c>
      <c r="P103" s="3850">
        <v>55.7</v>
      </c>
      <c r="Q103" s="1300">
        <f>+$D$103</f>
        <v>55.430739802849317</v>
      </c>
      <c r="R103" s="1296">
        <f>+((N103*N$65)+(P103*P$65))/R$65</f>
        <v>56.357598260132576</v>
      </c>
      <c r="S103" s="3850">
        <f>+$D$103</f>
        <v>55.430739802849317</v>
      </c>
      <c r="T103" s="3850">
        <v>55.53</v>
      </c>
      <c r="U103" s="1300">
        <f>+$D$103</f>
        <v>55.430739802849317</v>
      </c>
      <c r="V103" s="1300">
        <f>+((R103*R$65)+(T103*T$65))/V$65</f>
        <v>56.178373813940105</v>
      </c>
      <c r="W103" s="3850">
        <f>+$D$103</f>
        <v>55.430739802849317</v>
      </c>
      <c r="X103" s="3850">
        <v>55.61</v>
      </c>
      <c r="Y103" s="1298">
        <f>+$D$103</f>
        <v>55.430739802849317</v>
      </c>
      <c r="Z103" s="1304">
        <f t="shared" ref="Z103:Z110" si="694">+((P103*P$65)+(T103*T$65)+(X103*X$65))/Z$65</f>
        <v>55.615251853757144</v>
      </c>
      <c r="AA103" s="1301">
        <f>+$D$103</f>
        <v>55.430739802849317</v>
      </c>
      <c r="AB103" s="1301">
        <f t="shared" ref="AB103:AB110" si="695">+((N103*N$65)+(Z103*Z$65))/AB$65</f>
        <v>56.076625039145114</v>
      </c>
      <c r="AC103" s="3850">
        <f>+$D$103</f>
        <v>55.430739802849317</v>
      </c>
      <c r="AD103" s="3850">
        <v>55.38</v>
      </c>
      <c r="AE103" s="1300">
        <f>+$D$103</f>
        <v>55.430739802849317</v>
      </c>
      <c r="AF103" s="1296">
        <f>+((AB103*AB$65)+(AD103*AD$65))/AF$65</f>
        <v>55.970264307367366</v>
      </c>
      <c r="AG103" s="3850">
        <f>+$D$103</f>
        <v>55.430739802849317</v>
      </c>
      <c r="AH103" s="3850">
        <v>55.14</v>
      </c>
      <c r="AI103" s="1300">
        <f>+$D$103</f>
        <v>55.430739802849317</v>
      </c>
      <c r="AJ103" s="1296">
        <f>+((AF103*AF$65)+(AH103*AH$65))/AJ$65</f>
        <v>55.96204847134873</v>
      </c>
      <c r="AK103" s="3850">
        <f>+$D$103</f>
        <v>55.430739802849317</v>
      </c>
      <c r="AL103" s="3850">
        <v>55.163473084886107</v>
      </c>
      <c r="AM103" s="1298">
        <f>+$D$103</f>
        <v>55.430739802849317</v>
      </c>
      <c r="AN103" s="1304">
        <f t="shared" ref="AN103:AN105" si="696">+((AD103*AD$65)+(AH103*AH$65)+(AL103*AL$65))/AN$65</f>
        <v>55.269104984512673</v>
      </c>
      <c r="AO103" s="1300">
        <f>+$D$103</f>
        <v>55.430739802849317</v>
      </c>
      <c r="AP103" s="1296">
        <f t="shared" ref="AP103:AP110" si="697">+((AL103*AL$65)+(AJ103*AJ$65))/AP$65</f>
        <v>55.859941448647056</v>
      </c>
      <c r="AQ103" s="3850">
        <f>+$D$103</f>
        <v>55.430739802849317</v>
      </c>
      <c r="AR103" s="3850">
        <v>55.2</v>
      </c>
      <c r="AS103" s="1300">
        <f>+$D$103</f>
        <v>55.430739802849317</v>
      </c>
      <c r="AT103" s="1300">
        <f>+((AP103*AP$65)+(AR103*AR$65))/AT$65</f>
        <v>55.783727086870016</v>
      </c>
      <c r="AU103" s="3850">
        <f>+$D$103</f>
        <v>55.430739802849317</v>
      </c>
      <c r="AV103" s="3850">
        <v>56.4</v>
      </c>
      <c r="AW103" s="1300">
        <f>+$D$103</f>
        <v>55.430739802849317</v>
      </c>
      <c r="AX103" s="1300">
        <f>+((AT103*AT$65)+(AV103*AV$65))/AX$65</f>
        <v>55.843354865765761</v>
      </c>
      <c r="AY103" s="3850">
        <f>+$D$103</f>
        <v>55.430739802849317</v>
      </c>
      <c r="AZ103" s="3850">
        <v>55.72</v>
      </c>
      <c r="BA103" s="1298">
        <f>+$D$103</f>
        <v>55.430739802849317</v>
      </c>
      <c r="BB103" s="1298">
        <f t="shared" ref="BB103:BB105" si="698">+((AR103*AR$65)+(AV103*AV$65)+(AZ103*AZ$65))/BB$65</f>
        <v>55.756450748772693</v>
      </c>
      <c r="BC103" s="1301">
        <f>+$D$103</f>
        <v>55.430739802849317</v>
      </c>
      <c r="BD103" s="1301">
        <f t="shared" ref="BD103:BD110" si="699">+((AN103*AN$65)+(BB103*BB$65))/BD$65</f>
        <v>55.5597987072397</v>
      </c>
      <c r="BE103" s="1300">
        <f>+$D$103</f>
        <v>55.430739802849317</v>
      </c>
      <c r="BF103" s="1300">
        <f>+((AX103*AX$65)+(AZ103*AZ$65))/BF$65</f>
        <v>55.830549867802219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77" t="s">
        <v>429</v>
      </c>
      <c r="C104" s="3844" t="s">
        <v>49</v>
      </c>
      <c r="D104" s="3470" t="s">
        <v>2291</v>
      </c>
      <c r="E104" s="3850" t="str">
        <f>+$D$104</f>
        <v>10.0-10.5</v>
      </c>
      <c r="F104" s="3879">
        <v>10.06</v>
      </c>
      <c r="G104" s="3850" t="str">
        <f>+$D$104</f>
        <v>10.0-10.5</v>
      </c>
      <c r="H104" s="3879">
        <v>9.98</v>
      </c>
      <c r="I104" s="3846" t="str">
        <f>+$D$104</f>
        <v>10.0-10.5</v>
      </c>
      <c r="J104" s="3847">
        <f t="shared" ref="J104:J110" si="700">+((F104*F$65)+(H104*H$65))/J$65</f>
        <v>10.018022494742564</v>
      </c>
      <c r="K104" s="3850" t="str">
        <f>+$D$104</f>
        <v>10.0-10.5</v>
      </c>
      <c r="L104" s="3850">
        <v>10.09</v>
      </c>
      <c r="M104" s="1287" t="str">
        <f>+$D$104</f>
        <v>10.0-10.5</v>
      </c>
      <c r="N104" s="1304">
        <f>+((F104*F$65)+(H104*H$65)+(L104*L$65))/N$65+0.01</f>
        <v>10.048032878652014</v>
      </c>
      <c r="O104" s="3850" t="str">
        <f>+$D$104</f>
        <v>10.0-10.5</v>
      </c>
      <c r="P104" s="3850">
        <v>10.24</v>
      </c>
      <c r="Q104" s="1285" t="str">
        <f>+$D$104</f>
        <v>10.0-10.5</v>
      </c>
      <c r="R104" s="1296">
        <f t="shared" ref="R104:R110" si="701">+((N104*N$65)+(P104*P$65))/R$65</f>
        <v>10.10472314348271</v>
      </c>
      <c r="S104" s="3850" t="str">
        <f>+$D$104</f>
        <v>10.0-10.5</v>
      </c>
      <c r="T104" s="3850">
        <v>10.29</v>
      </c>
      <c r="U104" s="1285" t="str">
        <f>+$D$104</f>
        <v>10.0-10.5</v>
      </c>
      <c r="V104" s="1300">
        <f t="shared" ref="V104:V110" si="702">+((R104*R$65)+(T104*T$65))/V$65</f>
        <v>10.14484664736281</v>
      </c>
      <c r="W104" s="3850" t="str">
        <f>+$D$104</f>
        <v>10.0-10.5</v>
      </c>
      <c r="X104" s="3850">
        <v>10.28</v>
      </c>
      <c r="Y104" s="1287" t="str">
        <f>+$D$104</f>
        <v>10.0-10.5</v>
      </c>
      <c r="Z104" s="1304">
        <f t="shared" si="694"/>
        <v>10.269355726030206</v>
      </c>
      <c r="AA104" s="1299" t="str">
        <f>+$D$104</f>
        <v>10.0-10.5</v>
      </c>
      <c r="AB104" s="1301">
        <f t="shared" si="695"/>
        <v>10.169041442589105</v>
      </c>
      <c r="AC104" s="3850" t="str">
        <f>+$D$104</f>
        <v>10.0-10.5</v>
      </c>
      <c r="AD104" s="3850">
        <v>10.27</v>
      </c>
      <c r="AE104" s="1300" t="str">
        <f>+$D$104</f>
        <v>10.0-10.5</v>
      </c>
      <c r="AF104" s="1296">
        <f t="shared" ref="AF104:AF110" si="703">+((AB104*AB$65)+(AD104*AD$65))/AF$65</f>
        <v>10.184455798149202</v>
      </c>
      <c r="AG104" s="3850" t="str">
        <f>+$D$104</f>
        <v>10.0-10.5</v>
      </c>
      <c r="AH104" s="3850">
        <v>10.24</v>
      </c>
      <c r="AI104" s="1300" t="str">
        <f>+$D$104</f>
        <v>10.0-10.5</v>
      </c>
      <c r="AJ104" s="1296">
        <f t="shared" ref="AJ104:AJ110" si="704">+((AF104*AF$65)+(AH104*AH$65))/AJ$65</f>
        <v>10.185005432825944</v>
      </c>
      <c r="AK104" s="3850" t="str">
        <f>+$D$104</f>
        <v>10.0-10.5</v>
      </c>
      <c r="AL104" s="3850">
        <v>10.246983333333333</v>
      </c>
      <c r="AM104" s="1287" t="str">
        <f>+$D$104</f>
        <v>10.0-10.5</v>
      </c>
      <c r="AN104" s="1304">
        <f t="shared" si="696"/>
        <v>10.258067583910069</v>
      </c>
      <c r="AO104" s="1300" t="str">
        <f>+$D$104</f>
        <v>10.0-10.5</v>
      </c>
      <c r="AP104" s="1296">
        <f t="shared" si="697"/>
        <v>10.192930018283231</v>
      </c>
      <c r="AQ104" s="3850" t="str">
        <f>+$D$104</f>
        <v>10.0-10.5</v>
      </c>
      <c r="AR104" s="3850">
        <v>10.199999999999999</v>
      </c>
      <c r="AS104" s="1300" t="str">
        <f>+$D$104</f>
        <v>10.0-10.5</v>
      </c>
      <c r="AT104" s="1300">
        <f t="shared" ref="AT104:AT110" si="705">+((AP104*AP$65)+(AR104*AR$65))/AT$65</f>
        <v>10.19374650608745</v>
      </c>
      <c r="AU104" s="3850" t="str">
        <f>+$D$104</f>
        <v>10.0-10.5</v>
      </c>
      <c r="AV104" s="3850">
        <v>10.130000000000001</v>
      </c>
      <c r="AW104" s="1300" t="str">
        <f>+$D$104</f>
        <v>10.0-10.5</v>
      </c>
      <c r="AX104" s="1300">
        <f t="shared" ref="AX104:AX110" si="706">+((AT104*AT$65)+(AV104*AV$65))/AX$65</f>
        <v>10.187578682564178</v>
      </c>
      <c r="AY104" s="3850" t="str">
        <f>+$D$104</f>
        <v>10.0-10.5</v>
      </c>
      <c r="AZ104" s="3850">
        <v>10.220000000000001</v>
      </c>
      <c r="BA104" s="1298" t="str">
        <f>+$D$104</f>
        <v>10.0-10.5</v>
      </c>
      <c r="BB104" s="1298">
        <f t="shared" si="698"/>
        <v>10.185937808942839</v>
      </c>
      <c r="BC104" s="1301" t="str">
        <f>+$D$104</f>
        <v>10.0-10.5</v>
      </c>
      <c r="BD104" s="1301">
        <f t="shared" si="699"/>
        <v>10.215043360981767</v>
      </c>
      <c r="BE104" s="1300" t="str">
        <f>+$D$104</f>
        <v>10.0-10.5</v>
      </c>
      <c r="BF104" s="1300">
        <f t="shared" ref="BF104:BF109" si="707">+((AX104*AX$65)+(AZ104*AZ$65))/BF$65</f>
        <v>10.19094421582599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77" t="s">
        <v>430</v>
      </c>
      <c r="C105" s="3844" t="s">
        <v>49</v>
      </c>
      <c r="D105" s="3470">
        <v>5.3691091749165931</v>
      </c>
      <c r="E105" s="3850">
        <f>+$D$105</f>
        <v>5.3691091749165931</v>
      </c>
      <c r="F105" s="3879">
        <v>5.18</v>
      </c>
      <c r="G105" s="3850">
        <f>+$D$105</f>
        <v>5.3691091749165931</v>
      </c>
      <c r="H105" s="3879">
        <v>5.22</v>
      </c>
      <c r="I105" s="3846">
        <f>+$D$105</f>
        <v>5.3691091749165931</v>
      </c>
      <c r="J105" s="3847">
        <f t="shared" si="700"/>
        <v>5.2009887526287182</v>
      </c>
      <c r="K105" s="3850">
        <f>+$D$105</f>
        <v>5.3691091749165931</v>
      </c>
      <c r="L105" s="3850">
        <v>5.04</v>
      </c>
      <c r="M105" s="1304">
        <f>+$D$105</f>
        <v>5.3691091749165931</v>
      </c>
      <c r="N105" s="1304">
        <f>+((F105*F$65)+(H105*H$65)+(L105*L$65))/N$65-0.01</f>
        <v>5.1462324536477748</v>
      </c>
      <c r="O105" s="3850">
        <f>+$D$105</f>
        <v>5.3691091749165931</v>
      </c>
      <c r="P105" s="3850">
        <v>5.23</v>
      </c>
      <c r="Q105" s="1296">
        <f>+$D$105</f>
        <v>5.3691091749165931</v>
      </c>
      <c r="R105" s="1296">
        <f t="shared" si="701"/>
        <v>5.1709700459686854</v>
      </c>
      <c r="S105" s="3850">
        <f>+$D$105</f>
        <v>5.3691091749165931</v>
      </c>
      <c r="T105" s="3850">
        <v>5.43</v>
      </c>
      <c r="U105" s="1296">
        <f>+$D$105</f>
        <v>5.3691091749165931</v>
      </c>
      <c r="V105" s="1300">
        <f t="shared" si="702"/>
        <v>5.2270654998802089</v>
      </c>
      <c r="W105" s="3850">
        <f>+$D$105</f>
        <v>5.3691091749165931</v>
      </c>
      <c r="X105" s="3850">
        <v>5.49</v>
      </c>
      <c r="Y105" s="1304">
        <f>+$D$105</f>
        <v>5.3691091749165931</v>
      </c>
      <c r="Z105" s="1304">
        <f t="shared" si="694"/>
        <v>5.3801649090335353</v>
      </c>
      <c r="AA105" s="1305">
        <f>+$D$105</f>
        <v>5.3691091749165931</v>
      </c>
      <c r="AB105" s="1305">
        <f t="shared" si="695"/>
        <v>5.2741353376918099</v>
      </c>
      <c r="AC105" s="3850">
        <f>+$D$105</f>
        <v>5.3691091749165931</v>
      </c>
      <c r="AD105" s="3850">
        <v>5.92</v>
      </c>
      <c r="AE105" s="1300">
        <f>+$D$105</f>
        <v>5.3691091749165931</v>
      </c>
      <c r="AF105" s="1296">
        <f t="shared" si="703"/>
        <v>5.3727459736184011</v>
      </c>
      <c r="AG105" s="3850">
        <f>+$D$105</f>
        <v>5.3691091749165931</v>
      </c>
      <c r="AH105" s="3850">
        <v>6.21</v>
      </c>
      <c r="AI105" s="1300">
        <f>+$D$105</f>
        <v>5.3691091749165931</v>
      </c>
      <c r="AJ105" s="1296">
        <f t="shared" si="704"/>
        <v>5.3810309760274526</v>
      </c>
      <c r="AK105" s="3850">
        <f>+$D$105</f>
        <v>5.3691091749165931</v>
      </c>
      <c r="AL105" s="3850">
        <v>6.0949327122153214</v>
      </c>
      <c r="AM105" s="1304">
        <f>+$D$105</f>
        <v>5.3691091749165931</v>
      </c>
      <c r="AN105" s="1304">
        <f t="shared" si="696"/>
        <v>6.0126833104939319</v>
      </c>
      <c r="AO105" s="1300">
        <f>+$D$105</f>
        <v>5.3691091749165931</v>
      </c>
      <c r="AP105" s="1296">
        <f t="shared" si="697"/>
        <v>5.4723115013471659</v>
      </c>
      <c r="AQ105" s="3850">
        <f>+$D$105</f>
        <v>5.3691091749165931</v>
      </c>
      <c r="AR105" s="3850">
        <v>6.21</v>
      </c>
      <c r="AS105" s="1300">
        <f>+$D$105</f>
        <v>5.3691091749165931</v>
      </c>
      <c r="AT105" s="1300">
        <f t="shared" si="705"/>
        <v>5.5575046017810763</v>
      </c>
      <c r="AU105" s="3850">
        <f>+$D$105</f>
        <v>5.3691091749165931</v>
      </c>
      <c r="AV105" s="3850">
        <v>5.55</v>
      </c>
      <c r="AW105" s="1300">
        <f>+$D$105</f>
        <v>5.3691091749165931</v>
      </c>
      <c r="AX105" s="1300">
        <f t="shared" si="706"/>
        <v>5.5567784904655069</v>
      </c>
      <c r="AY105" s="3850">
        <f>+$D$105</f>
        <v>5.3691091749165931</v>
      </c>
      <c r="AZ105" s="3850">
        <v>5.85</v>
      </c>
      <c r="BA105" s="1298">
        <f>+$D$105</f>
        <v>5.3691091749165931</v>
      </c>
      <c r="BB105" s="1298">
        <f t="shared" si="698"/>
        <v>5.8769042022020574</v>
      </c>
      <c r="BC105" s="1301">
        <f>+$D$105</f>
        <v>5.3691091749165931</v>
      </c>
      <c r="BD105" s="1301">
        <f t="shared" si="699"/>
        <v>5.9316933084204502</v>
      </c>
      <c r="BE105" s="1300">
        <f>+$D$105</f>
        <v>5.3691091749165931</v>
      </c>
      <c r="BF105" s="1300">
        <f t="shared" si="707"/>
        <v>5.5872166966047434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77" t="s">
        <v>431</v>
      </c>
      <c r="C106" s="3844" t="s">
        <v>49</v>
      </c>
      <c r="D106" s="3470">
        <v>2.7277716029417967</v>
      </c>
      <c r="E106" s="3850">
        <f>+$D$106</f>
        <v>2.7277716029417967</v>
      </c>
      <c r="F106" s="3879">
        <v>2.21</v>
      </c>
      <c r="G106" s="3850">
        <f>+$D$106</f>
        <v>2.7277716029417967</v>
      </c>
      <c r="H106" s="3879">
        <v>2.36</v>
      </c>
      <c r="I106" s="3846">
        <f>+$D$106</f>
        <v>2.7277716029417967</v>
      </c>
      <c r="J106" s="3847">
        <f t="shared" si="700"/>
        <v>2.2887078223576949</v>
      </c>
      <c r="K106" s="3850">
        <f>+$D$106</f>
        <v>2.7277716029417967</v>
      </c>
      <c r="L106" s="3850">
        <v>2.65</v>
      </c>
      <c r="M106" s="1304">
        <f>+$D$106</f>
        <v>2.7277716029417967</v>
      </c>
      <c r="N106" s="1304">
        <f t="shared" ref="N106:N109" si="708">+((F106*F$65)+(H106*H$65)+(L106*L$65))/N$65</f>
        <v>2.3891502474215591</v>
      </c>
      <c r="O106" s="3850">
        <f>+$D$106</f>
        <v>2.7277716029417967</v>
      </c>
      <c r="P106" s="3850">
        <v>2.71</v>
      </c>
      <c r="Q106" s="1296">
        <f>+$D$106</f>
        <v>2.7277716029417967</v>
      </c>
      <c r="R106" s="1296">
        <f t="shared" si="701"/>
        <v>2.4839011470381824</v>
      </c>
      <c r="S106" s="3850">
        <f>+$D$106</f>
        <v>2.7277716029417967</v>
      </c>
      <c r="T106" s="3850">
        <v>2.5</v>
      </c>
      <c r="U106" s="1296">
        <f>+$D$106</f>
        <v>2.7277716029417967</v>
      </c>
      <c r="V106" s="1300">
        <f>+((R106*R$65)+(T106*T$65))/V$65</f>
        <v>2.487387510102737</v>
      </c>
      <c r="W106" s="3850">
        <f>+$D$106</f>
        <v>2.7277716029417967</v>
      </c>
      <c r="X106" s="3850">
        <v>2.5299999999999998</v>
      </c>
      <c r="Y106" s="1304">
        <f>+$D$106</f>
        <v>2.7277716029417967</v>
      </c>
      <c r="Z106" s="1304">
        <f>+((P106*P$65)+(T106*T$65)+(X106*X$65))/Z$65</f>
        <v>2.582776910083608</v>
      </c>
      <c r="AA106" s="1305">
        <f>+$D$106</f>
        <v>2.7277716029417967</v>
      </c>
      <c r="AB106" s="1305">
        <f t="shared" si="695"/>
        <v>2.4950158851820778</v>
      </c>
      <c r="AC106" s="3850">
        <f>+$D$106</f>
        <v>2.7277716029417967</v>
      </c>
      <c r="AD106" s="3850">
        <v>2.21</v>
      </c>
      <c r="AE106" s="1300">
        <f>+$D$106</f>
        <v>2.7277716029417967</v>
      </c>
      <c r="AF106" s="1296">
        <f t="shared" si="703"/>
        <v>2.4514996513219667</v>
      </c>
      <c r="AG106" s="3850">
        <f>+$D$106</f>
        <v>2.7277716029417967</v>
      </c>
      <c r="AH106" s="3850">
        <v>1.86</v>
      </c>
      <c r="AI106" s="1300">
        <f>+$D$106</f>
        <v>2.7277716029417967</v>
      </c>
      <c r="AJ106" s="1296">
        <f t="shared" si="704"/>
        <v>2.4456464981787867</v>
      </c>
      <c r="AK106" s="3850">
        <f>+$D$106</f>
        <v>2.7277716029417967</v>
      </c>
      <c r="AL106" s="3850">
        <v>2.0597308488612844</v>
      </c>
      <c r="AM106" s="1304">
        <f>+$D$106</f>
        <v>2.7277716029417967</v>
      </c>
      <c r="AN106" s="1304">
        <f>+((AD106*AD$65)+(AH106*AH$65)+(AL106*AL$65))/AN$65</f>
        <v>2.1271392440735886</v>
      </c>
      <c r="AO106" s="1300">
        <f>+$D$106</f>
        <v>2.7277716029417967</v>
      </c>
      <c r="AP106" s="1296">
        <f t="shared" si="697"/>
        <v>2.3963027560177093</v>
      </c>
      <c r="AQ106" s="3850">
        <f>+$D$106</f>
        <v>2.7277716029417967</v>
      </c>
      <c r="AR106" s="3850">
        <v>2.08</v>
      </c>
      <c r="AS106" s="1300">
        <f>+$D$106</f>
        <v>2.7277716029417967</v>
      </c>
      <c r="AT106" s="1300">
        <f t="shared" si="705"/>
        <v>2.35977404164823</v>
      </c>
      <c r="AU106" s="3850">
        <f>+$D$106</f>
        <v>2.7277716029417967</v>
      </c>
      <c r="AV106" s="3850">
        <v>2.15</v>
      </c>
      <c r="AW106" s="1300">
        <f>+$D$106</f>
        <v>2.7277716029417967</v>
      </c>
      <c r="AX106" s="1300">
        <f t="shared" si="706"/>
        <v>2.3394772544505908</v>
      </c>
      <c r="AY106" s="3850">
        <f>+$D$106</f>
        <v>2.7277716029417967</v>
      </c>
      <c r="AZ106" s="3850">
        <v>2.48</v>
      </c>
      <c r="BA106" s="1298">
        <f>+$D$106</f>
        <v>2.7277716029417967</v>
      </c>
      <c r="BB106" s="1298">
        <f>+((AR106*AR$65)+(AV106*AV$65)+(AZ106*AZ$65))/BB$65</f>
        <v>2.247577219552332</v>
      </c>
      <c r="BC106" s="1301">
        <f>+$D$106</f>
        <v>2.7277716029417967</v>
      </c>
      <c r="BD106" s="1301">
        <f t="shared" si="699"/>
        <v>2.1989785130631989</v>
      </c>
      <c r="BE106" s="1300">
        <f>+$D$106</f>
        <v>2.7277716029417967</v>
      </c>
      <c r="BF106" s="1300">
        <f t="shared" si="707"/>
        <v>2.3540643845116662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77" t="s">
        <v>432</v>
      </c>
      <c r="C107" s="3844" t="s">
        <v>49</v>
      </c>
      <c r="D107" s="3470">
        <v>9.2462351136497105</v>
      </c>
      <c r="E107" s="3850">
        <f>+$D$107</f>
        <v>9.2462351136497105</v>
      </c>
      <c r="F107" s="3879">
        <v>8.65</v>
      </c>
      <c r="G107" s="3850">
        <f>+$D$107</f>
        <v>9.2462351136497105</v>
      </c>
      <c r="H107" s="3879">
        <v>8.75</v>
      </c>
      <c r="I107" s="3846">
        <f>+$D$107</f>
        <v>9.2462351136497105</v>
      </c>
      <c r="J107" s="3847">
        <f t="shared" si="700"/>
        <v>8.7024718815717961</v>
      </c>
      <c r="K107" s="3850">
        <f>+$D$107</f>
        <v>9.2462351136497105</v>
      </c>
      <c r="L107" s="3850">
        <v>9.01</v>
      </c>
      <c r="M107" s="1304">
        <f>+$D$107</f>
        <v>9.2462351136497105</v>
      </c>
      <c r="N107" s="1304">
        <f>+((F107*F$65)+(H107*H$65)+(L107*L$65))/N$65-0.02</f>
        <v>8.7679674220283559</v>
      </c>
      <c r="O107" s="3850">
        <f>+$D$107</f>
        <v>9.2462351136497105</v>
      </c>
      <c r="P107" s="3850">
        <v>9.3699999999999992</v>
      </c>
      <c r="Q107" s="1296">
        <f>+$D$107</f>
        <v>9.2462351136497105</v>
      </c>
      <c r="R107" s="1296">
        <f t="shared" si="701"/>
        <v>8.9457550871361313</v>
      </c>
      <c r="S107" s="3850">
        <f>+$D$107</f>
        <v>9.2462351136497105</v>
      </c>
      <c r="T107" s="3850">
        <v>9.56</v>
      </c>
      <c r="U107" s="1296">
        <f>+$D$107</f>
        <v>9.2462351136497105</v>
      </c>
      <c r="V107" s="1300">
        <f t="shared" si="702"/>
        <v>9.0787757925167032</v>
      </c>
      <c r="W107" s="3850">
        <f>+$D$107</f>
        <v>9.2462351136497105</v>
      </c>
      <c r="X107" s="3850">
        <v>9.64</v>
      </c>
      <c r="Y107" s="1304">
        <f>+$D$107</f>
        <v>9.2462351136497105</v>
      </c>
      <c r="Z107" s="1304">
        <f t="shared" si="694"/>
        <v>9.5201873247117828</v>
      </c>
      <c r="AA107" s="1305">
        <f>+$D$107</f>
        <v>9.2462351136497105</v>
      </c>
      <c r="AB107" s="1305">
        <f>+((N107*N$65)+(Z107*Z$65))/AB$65</f>
        <v>9.1792446637000147</v>
      </c>
      <c r="AC107" s="3850">
        <f>+$D$107</f>
        <v>9.2462351136497105</v>
      </c>
      <c r="AD107" s="3850">
        <v>10.039999999999999</v>
      </c>
      <c r="AE107" s="1300">
        <f>+$D$107</f>
        <v>9.2462351136497105</v>
      </c>
      <c r="AF107" s="1296">
        <f t="shared" si="703"/>
        <v>9.3106648141482609</v>
      </c>
      <c r="AG107" s="3850">
        <f>+$D$107</f>
        <v>9.2462351136497105</v>
      </c>
      <c r="AH107" s="3850">
        <v>10.210000000000001</v>
      </c>
      <c r="AI107" s="1300">
        <f>+$D$107</f>
        <v>9.2462351136497105</v>
      </c>
      <c r="AJ107" s="1296">
        <f t="shared" si="704"/>
        <v>9.3195641373483262</v>
      </c>
      <c r="AK107" s="3850">
        <f>+$D$107</f>
        <v>9.2462351136497105</v>
      </c>
      <c r="AL107" s="3850">
        <v>10.214401244167966</v>
      </c>
      <c r="AM107" s="1304">
        <f>+$D$107</f>
        <v>9.2462351136497105</v>
      </c>
      <c r="AN107" s="1304">
        <f t="shared" ref="AN107:AN110" si="709">+((AD107*AD$65)+(AH107*AH$65)+(AL107*AL$65))/AN$65</f>
        <v>10.128570578145492</v>
      </c>
      <c r="AO107" s="1300">
        <f>+$D$107</f>
        <v>9.2462351136497105</v>
      </c>
      <c r="AP107" s="1296">
        <f t="shared" si="697"/>
        <v>9.4339793251054473</v>
      </c>
      <c r="AQ107" s="3850">
        <f>+$D$107</f>
        <v>9.2462351136497105</v>
      </c>
      <c r="AR107" s="3850">
        <v>10.35</v>
      </c>
      <c r="AS107" s="1300">
        <f>+$D$107</f>
        <v>9.2462351136497105</v>
      </c>
      <c r="AT107" s="1300">
        <f t="shared" si="705"/>
        <v>9.5397673935087681</v>
      </c>
      <c r="AU107" s="3850">
        <f>+$D$107</f>
        <v>9.2462351136497105</v>
      </c>
      <c r="AV107" s="3850">
        <v>9.32</v>
      </c>
      <c r="AW107" s="1300">
        <f>+$D$107</f>
        <v>9.2462351136497105</v>
      </c>
      <c r="AX107" s="1300">
        <f t="shared" si="706"/>
        <v>9.5185036947976229</v>
      </c>
      <c r="AY107" s="3850">
        <f>+$D$107</f>
        <v>9.2462351136497105</v>
      </c>
      <c r="AZ107" s="3850">
        <v>9.6999999999999993</v>
      </c>
      <c r="BA107" s="1298">
        <f>+$D$107</f>
        <v>9.2462351136497105</v>
      </c>
      <c r="BB107" s="1298">
        <f t="shared" ref="BB107:BB110" si="710">+((AR107*AR$65)+(AV107*AV$65)+(AZ107*AZ$65))/BB$65</f>
        <v>9.7979371688823633</v>
      </c>
      <c r="BC107" s="1301">
        <f>+$D$107</f>
        <v>9.2462351136497105</v>
      </c>
      <c r="BD107" s="1301">
        <f t="shared" si="699"/>
        <v>9.9313531944208879</v>
      </c>
      <c r="BE107" s="1300">
        <f>+$D$107</f>
        <v>9.2462351136497105</v>
      </c>
      <c r="BF107" s="1300">
        <f t="shared" si="707"/>
        <v>9.5373441337546083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77" t="s">
        <v>433</v>
      </c>
      <c r="C108" s="3844" t="s">
        <v>49</v>
      </c>
      <c r="D108" s="3470">
        <v>2.598845747358093</v>
      </c>
      <c r="E108" s="3850">
        <f>+$D$108</f>
        <v>2.598845747358093</v>
      </c>
      <c r="F108" s="3878">
        <v>2.29</v>
      </c>
      <c r="G108" s="3850">
        <f>+$D$108</f>
        <v>2.598845747358093</v>
      </c>
      <c r="H108" s="3878">
        <v>2.46</v>
      </c>
      <c r="I108" s="3846">
        <f>+$D$108</f>
        <v>2.598845747358093</v>
      </c>
      <c r="J108" s="3847">
        <f t="shared" si="700"/>
        <v>2.3792021986720542</v>
      </c>
      <c r="K108" s="3850">
        <f>+$D$108</f>
        <v>2.598845747358093</v>
      </c>
      <c r="L108" s="3850">
        <v>2.56</v>
      </c>
      <c r="M108" s="1304">
        <f>+$D$108</f>
        <v>2.598845747358093</v>
      </c>
      <c r="N108" s="1304">
        <f>+((F108*F$65)+(H108*H$65)+(L108*L$65))/N$65-0.01</f>
        <v>2.4194655886244725</v>
      </c>
      <c r="O108" s="3850">
        <f>+$D$108</f>
        <v>2.598845747358093</v>
      </c>
      <c r="P108" s="3850">
        <v>2.81</v>
      </c>
      <c r="Q108" s="1296">
        <f>+$D$108</f>
        <v>2.598845747358093</v>
      </c>
      <c r="R108" s="1296">
        <f t="shared" si="701"/>
        <v>2.534795229715697</v>
      </c>
      <c r="S108" s="3850">
        <f>+$D$108</f>
        <v>2.598845747358093</v>
      </c>
      <c r="T108" s="3850">
        <v>2.65</v>
      </c>
      <c r="U108" s="1296">
        <f>+$D$108</f>
        <v>2.598845747358093</v>
      </c>
      <c r="V108" s="1300">
        <f t="shared" si="702"/>
        <v>2.5597439423309556</v>
      </c>
      <c r="W108" s="3850">
        <f>+$D$108</f>
        <v>2.598845747358093</v>
      </c>
      <c r="X108" s="3850">
        <v>2.8</v>
      </c>
      <c r="Y108" s="1304">
        <f>+$D$108</f>
        <v>2.598845747358093</v>
      </c>
      <c r="Z108" s="1304">
        <f t="shared" si="694"/>
        <v>2.7546972425003382</v>
      </c>
      <c r="AA108" s="1305">
        <f>+$D$108</f>
        <v>2.598845747358093</v>
      </c>
      <c r="AB108" s="1305">
        <f t="shared" si="695"/>
        <v>2.6027539454404161</v>
      </c>
      <c r="AC108" s="3850">
        <f>+$D$108</f>
        <v>2.598845747358093</v>
      </c>
      <c r="AD108" s="3850">
        <v>2.61</v>
      </c>
      <c r="AE108" s="1300">
        <f>+$D$108</f>
        <v>2.598845747358093</v>
      </c>
      <c r="AF108" s="1296">
        <f t="shared" si="703"/>
        <v>2.6038602732669389</v>
      </c>
      <c r="AG108" s="3850">
        <f>+$D$108</f>
        <v>2.598845747358093</v>
      </c>
      <c r="AH108" s="3850">
        <v>2.85</v>
      </c>
      <c r="AI108" s="1300">
        <f>+$D$108</f>
        <v>2.598845747358093</v>
      </c>
      <c r="AJ108" s="1296">
        <f t="shared" si="704"/>
        <v>2.6062959357596709</v>
      </c>
      <c r="AK108" s="3850">
        <f>+$D$108</f>
        <v>2.598845747358093</v>
      </c>
      <c r="AL108" s="3850">
        <v>2.7208074534161497</v>
      </c>
      <c r="AM108" s="1304">
        <f>+$D$108</f>
        <v>2.598845747358093</v>
      </c>
      <c r="AN108" s="1304">
        <f t="shared" si="709"/>
        <v>2.6705192186059938</v>
      </c>
      <c r="AO108" s="1300">
        <f>+$D$108</f>
        <v>2.598845747358093</v>
      </c>
      <c r="AP108" s="1296">
        <f t="shared" si="697"/>
        <v>2.6209375467223461</v>
      </c>
      <c r="AQ108" s="3850">
        <f>+$D$108</f>
        <v>2.598845747358093</v>
      </c>
      <c r="AR108" s="3850">
        <v>2.39</v>
      </c>
      <c r="AS108" s="1300">
        <f>+$D$108</f>
        <v>2.598845747358093</v>
      </c>
      <c r="AT108" s="1300">
        <f t="shared" si="705"/>
        <v>2.5942673659511848</v>
      </c>
      <c r="AU108" s="3850">
        <f>+$D$108</f>
        <v>2.598845747358093</v>
      </c>
      <c r="AV108" s="3850">
        <v>2.3199999999999998</v>
      </c>
      <c r="AW108" s="1300">
        <f>+$D$108</f>
        <v>2.598845747358093</v>
      </c>
      <c r="AX108" s="1300">
        <f t="shared" si="706"/>
        <v>2.5677304964785406</v>
      </c>
      <c r="AY108" s="3850">
        <f>+$D$108</f>
        <v>2.598845747358093</v>
      </c>
      <c r="AZ108" s="3850">
        <v>2.2599999999999998</v>
      </c>
      <c r="BA108" s="1298">
        <f>+$D$108</f>
        <v>2.598845747358093</v>
      </c>
      <c r="BB108" s="1298">
        <f t="shared" si="710"/>
        <v>2.3211110130517065</v>
      </c>
      <c r="BC108" s="1301">
        <f>+$D$108</f>
        <v>2.598845747358093</v>
      </c>
      <c r="BD108" s="1301">
        <f t="shared" si="699"/>
        <v>2.4621029780787538</v>
      </c>
      <c r="BE108" s="1300">
        <f>+$D$108</f>
        <v>2.598845747358093</v>
      </c>
      <c r="BF108" s="1300">
        <f t="shared" si="707"/>
        <v>2.5357861677626361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77" t="s">
        <v>434</v>
      </c>
      <c r="C109" s="3844" t="s">
        <v>49</v>
      </c>
      <c r="D109" s="3470">
        <v>1.7221171729653546</v>
      </c>
      <c r="E109" s="3850">
        <f>+$D$109</f>
        <v>1.7221171729653546</v>
      </c>
      <c r="F109" s="3879">
        <v>1.67</v>
      </c>
      <c r="G109" s="3850">
        <f>+$D$109</f>
        <v>1.7221171729653546</v>
      </c>
      <c r="H109" s="3879">
        <v>1.67</v>
      </c>
      <c r="I109" s="3846">
        <f>+$D$109</f>
        <v>1.7221171729653546</v>
      </c>
      <c r="J109" s="3847">
        <f t="shared" si="700"/>
        <v>1.6700000000000002</v>
      </c>
      <c r="K109" s="3850">
        <f>+$D$109</f>
        <v>1.7221171729653546</v>
      </c>
      <c r="L109" s="3850">
        <v>1.79</v>
      </c>
      <c r="M109" s="1304">
        <f>+$D$109</f>
        <v>1.7221171729653546</v>
      </c>
      <c r="N109" s="1304">
        <f t="shared" si="708"/>
        <v>1.7033610627451692</v>
      </c>
      <c r="O109" s="3850">
        <f>+$D$109</f>
        <v>1.7221171729653546</v>
      </c>
      <c r="P109" s="3850">
        <v>1.79</v>
      </c>
      <c r="Q109" s="1296">
        <f>+$D$109</f>
        <v>1.7221171729653546</v>
      </c>
      <c r="R109" s="1296">
        <f t="shared" si="701"/>
        <v>1.7289466123077062</v>
      </c>
      <c r="S109" s="3850">
        <f>+$D$109</f>
        <v>1.7221171729653546</v>
      </c>
      <c r="T109" s="3850">
        <v>1.76</v>
      </c>
      <c r="U109" s="1296">
        <f>+$D$109</f>
        <v>1.7221171729653546</v>
      </c>
      <c r="V109" s="1300">
        <f t="shared" si="702"/>
        <v>1.7356715252028347</v>
      </c>
      <c r="W109" s="3850">
        <f>+$D$109</f>
        <v>1.7221171729653546</v>
      </c>
      <c r="X109" s="3850">
        <v>1.76</v>
      </c>
      <c r="Y109" s="1304">
        <f>+$D$109</f>
        <v>1.7221171729653546</v>
      </c>
      <c r="Z109" s="1304">
        <f t="shared" si="694"/>
        <v>1.7704220440871135</v>
      </c>
      <c r="AA109" s="1305">
        <f>+$D$109</f>
        <v>1.7221171729653546</v>
      </c>
      <c r="AB109" s="1305">
        <f t="shared" si="695"/>
        <v>1.7400267443254089</v>
      </c>
      <c r="AC109" s="3850">
        <f>+$D$109</f>
        <v>1.7221171729653546</v>
      </c>
      <c r="AD109" s="3850">
        <v>1.71</v>
      </c>
      <c r="AE109" s="1300">
        <f>+$D$109</f>
        <v>1.7221171729653546</v>
      </c>
      <c r="AF109" s="1296">
        <f t="shared" si="703"/>
        <v>1.7354422601052137</v>
      </c>
      <c r="AG109" s="3850">
        <f>+$D$109</f>
        <v>1.7221171729653546</v>
      </c>
      <c r="AH109" s="3850">
        <v>1.65</v>
      </c>
      <c r="AI109" s="1300">
        <f>+$D$109</f>
        <v>1.7221171729653546</v>
      </c>
      <c r="AJ109" s="1296">
        <f t="shared" si="704"/>
        <v>1.7345967707931278</v>
      </c>
      <c r="AK109" s="3850">
        <f>+$D$109</f>
        <v>1.7221171729653546</v>
      </c>
      <c r="AL109" s="3850">
        <v>1.6836904761904761</v>
      </c>
      <c r="AM109" s="1304">
        <f>+$D$109</f>
        <v>1.7221171729653546</v>
      </c>
      <c r="AN109" s="1304">
        <f t="shared" si="709"/>
        <v>1.6955336513759718</v>
      </c>
      <c r="AO109" s="1300">
        <f>+$D$109</f>
        <v>1.7221171729653546</v>
      </c>
      <c r="AP109" s="1296">
        <f t="shared" si="697"/>
        <v>1.7280878171404539</v>
      </c>
      <c r="AQ109" s="3850">
        <f>+$D$109</f>
        <v>1.7221171729653546</v>
      </c>
      <c r="AR109" s="3850">
        <v>1.67</v>
      </c>
      <c r="AS109" s="1300">
        <f>+$D$109</f>
        <v>1.7221171729653546</v>
      </c>
      <c r="AT109" s="1300">
        <f t="shared" si="705"/>
        <v>1.7213794554828294</v>
      </c>
      <c r="AU109" s="3850">
        <f>+$D$109</f>
        <v>1.7221171729653546</v>
      </c>
      <c r="AV109" s="3850">
        <v>1.68</v>
      </c>
      <c r="AW109" s="1300">
        <f>+$D$109</f>
        <v>1.7221171729653546</v>
      </c>
      <c r="AX109" s="1300">
        <f t="shared" si="706"/>
        <v>1.717375766581714</v>
      </c>
      <c r="AY109" s="3850">
        <f>+$D$109</f>
        <v>1.7221171729653546</v>
      </c>
      <c r="AZ109" s="3850">
        <v>1.66</v>
      </c>
      <c r="BA109" s="1298">
        <f>+$D$109</f>
        <v>1.7221171729653546</v>
      </c>
      <c r="BB109" s="1298">
        <f t="shared" si="710"/>
        <v>1.6693980846323975</v>
      </c>
      <c r="BC109" s="1301">
        <f>+$D$109</f>
        <v>1.7221171729653546</v>
      </c>
      <c r="BD109" s="1301">
        <f t="shared" si="699"/>
        <v>1.6799442162163036</v>
      </c>
      <c r="BE109" s="1300">
        <f>+$D$109</f>
        <v>1.7221171729653546</v>
      </c>
      <c r="BF109" s="1300">
        <f t="shared" si="707"/>
        <v>1.711419807165969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80" t="s">
        <v>1380</v>
      </c>
      <c r="C110" s="3852" t="s">
        <v>49</v>
      </c>
      <c r="D110" s="1454">
        <v>3.8771259387331174</v>
      </c>
      <c r="E110" s="3881">
        <f>+$D$110</f>
        <v>3.8771259387331174</v>
      </c>
      <c r="F110" s="3882">
        <v>3.47</v>
      </c>
      <c r="G110" s="3881">
        <f>+$D$110</f>
        <v>3.8771259387331174</v>
      </c>
      <c r="H110" s="3882">
        <v>3.49</v>
      </c>
      <c r="I110" s="3863">
        <f>+$D$110</f>
        <v>3.8771259387331174</v>
      </c>
      <c r="J110" s="3864">
        <f t="shared" si="700"/>
        <v>3.4804943763143594</v>
      </c>
      <c r="K110" s="3881">
        <f>+$D$110</f>
        <v>3.8771259387331174</v>
      </c>
      <c r="L110" s="3881">
        <v>3.96</v>
      </c>
      <c r="M110" s="1304">
        <f>+$D$110</f>
        <v>3.8771259387331174</v>
      </c>
      <c r="N110" s="1304">
        <f>+((F110*F$65)+(H110*H$65)+(L110*L$65))/N$65-0.01</f>
        <v>3.6038011863013439</v>
      </c>
      <c r="O110" s="3881">
        <f>+$D$110</f>
        <v>3.8771259387331174</v>
      </c>
      <c r="P110" s="3881">
        <v>4.1399999999999997</v>
      </c>
      <c r="Q110" s="1296">
        <f>+$D$110</f>
        <v>3.8771259387331174</v>
      </c>
      <c r="R110" s="1296">
        <f t="shared" si="701"/>
        <v>3.7621473267082726</v>
      </c>
      <c r="S110" s="3881">
        <f>+$D$110</f>
        <v>3.8771259387331174</v>
      </c>
      <c r="T110" s="3881">
        <v>4.13</v>
      </c>
      <c r="U110" s="1296">
        <f>+$D$110</f>
        <v>3.8771259387331174</v>
      </c>
      <c r="V110" s="1300">
        <f t="shared" si="702"/>
        <v>3.8418093980622761</v>
      </c>
      <c r="W110" s="3881">
        <f>+$D$110</f>
        <v>3.8771259387331174</v>
      </c>
      <c r="X110" s="3881">
        <v>4.1500000000000004</v>
      </c>
      <c r="Y110" s="1304">
        <f>+$D$110</f>
        <v>3.8771259387331174</v>
      </c>
      <c r="Z110" s="1304">
        <f t="shared" si="694"/>
        <v>4.1400224156782466</v>
      </c>
      <c r="AA110" s="1305">
        <f>+$D$110</f>
        <v>3.8771259387331174</v>
      </c>
      <c r="AB110" s="1305">
        <f t="shared" si="695"/>
        <v>3.8969808633574714</v>
      </c>
      <c r="AC110" s="3881">
        <f>+$D$110</f>
        <v>3.8771259387331174</v>
      </c>
      <c r="AD110" s="3881">
        <v>4.1100000000000003</v>
      </c>
      <c r="AE110" s="1300">
        <f>+$D$110</f>
        <v>3.8771259387331174</v>
      </c>
      <c r="AF110" s="1296">
        <f t="shared" si="703"/>
        <v>3.9295046315007567</v>
      </c>
      <c r="AG110" s="3881">
        <f>+$D$110</f>
        <v>3.8771259387331174</v>
      </c>
      <c r="AH110" s="3881">
        <v>3.99</v>
      </c>
      <c r="AI110" s="1300">
        <f>+$D$110</f>
        <v>3.8771259387331174</v>
      </c>
      <c r="AJ110" s="1296">
        <f t="shared" si="704"/>
        <v>3.9301032601820887</v>
      </c>
      <c r="AK110" s="3881">
        <f>+$D$110</f>
        <v>3.8771259387331174</v>
      </c>
      <c r="AL110" s="3881">
        <v>4.1129399585921336</v>
      </c>
      <c r="AM110" s="1304">
        <f>+$D$110</f>
        <v>3.8771259387331174</v>
      </c>
      <c r="AN110" s="1304">
        <f t="shared" si="709"/>
        <v>4.1075414179893599</v>
      </c>
      <c r="AO110" s="1300">
        <f>+$D$110</f>
        <v>3.8771259387331174</v>
      </c>
      <c r="AP110" s="1296">
        <f t="shared" si="697"/>
        <v>3.9534810291838984</v>
      </c>
      <c r="AQ110" s="3881">
        <f>+$D$110</f>
        <v>3.8771259387331174</v>
      </c>
      <c r="AR110" s="3881">
        <v>4.13</v>
      </c>
      <c r="AS110" s="1300">
        <f>+$D$110</f>
        <v>3.8771259387331174</v>
      </c>
      <c r="AT110" s="1300">
        <f t="shared" si="705"/>
        <v>3.9738665963124213</v>
      </c>
      <c r="AU110" s="3881">
        <f>+$D$110</f>
        <v>3.8771259387331174</v>
      </c>
      <c r="AV110" s="3881">
        <v>3.77</v>
      </c>
      <c r="AW110" s="1300">
        <f>+$D$110</f>
        <v>3.8771259387331174</v>
      </c>
      <c r="AX110" s="1300">
        <f t="shared" si="706"/>
        <v>3.9541413867986588</v>
      </c>
      <c r="AY110" s="3881">
        <f>+$D$110</f>
        <v>3.8771259387331174</v>
      </c>
      <c r="AZ110" s="3881">
        <v>3.85</v>
      </c>
      <c r="BA110" s="1298">
        <f>+$D$110</f>
        <v>3.8771259387331174</v>
      </c>
      <c r="BB110" s="1298">
        <f t="shared" si="710"/>
        <v>3.9177412907648548</v>
      </c>
      <c r="BC110" s="1301">
        <f>+$D$110</f>
        <v>3.8771259387331174</v>
      </c>
      <c r="BD110" s="1301">
        <f t="shared" si="699"/>
        <v>3.994328767745583</v>
      </c>
      <c r="BE110" s="1300">
        <f>+$D$110</f>
        <v>3.8771259387331174</v>
      </c>
      <c r="BF110" s="1300">
        <f>+((AX110*AX$65)+(AZ110*AZ$65))/BF$65</f>
        <v>3.9433308667790463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72" t="s">
        <v>618</v>
      </c>
      <c r="C111" s="3873" t="s">
        <v>49</v>
      </c>
      <c r="D111" s="793"/>
      <c r="E111" s="3874">
        <f>+$D$111</f>
        <v>0</v>
      </c>
      <c r="F111" s="3874"/>
      <c r="G111" s="3874">
        <f>+$D$111</f>
        <v>0</v>
      </c>
      <c r="H111" s="3874"/>
      <c r="I111" s="3875">
        <f>+$D$111</f>
        <v>0</v>
      </c>
      <c r="J111" s="3876"/>
      <c r="K111" s="1303">
        <f>+$D$111</f>
        <v>0</v>
      </c>
      <c r="L111" s="1303"/>
      <c r="M111" s="1287">
        <f>+$D$111</f>
        <v>0</v>
      </c>
      <c r="N111" s="1304"/>
      <c r="O111" s="1303">
        <f>+$D$111</f>
        <v>0</v>
      </c>
      <c r="P111" s="1303"/>
      <c r="Q111" s="1285">
        <f>+$D$111</f>
        <v>0</v>
      </c>
      <c r="R111" s="1296"/>
      <c r="S111" s="1303">
        <f>+$D$111</f>
        <v>0</v>
      </c>
      <c r="T111" s="1303"/>
      <c r="U111" s="1285">
        <f>+$D$111</f>
        <v>0</v>
      </c>
      <c r="V111" s="1296"/>
      <c r="W111" s="1303">
        <f>+$D$111</f>
        <v>0</v>
      </c>
      <c r="X111" s="1303"/>
      <c r="Y111" s="1287">
        <f>+$D$111</f>
        <v>0</v>
      </c>
      <c r="Z111" s="1304"/>
      <c r="AA111" s="1299">
        <f>+$D$111</f>
        <v>0</v>
      </c>
      <c r="AB111" s="1305"/>
      <c r="AG111" s="2670"/>
      <c r="AH111" s="2670"/>
      <c r="AI111" s="2670"/>
      <c r="AJ111" s="2670"/>
      <c r="AQ111" s="2793"/>
      <c r="AR111" s="2793"/>
      <c r="AS111" s="2793"/>
      <c r="AT111" s="2793"/>
      <c r="AW111" s="26">
        <f t="shared" ref="AW111:AW143" si="711">AS111-AU111</f>
        <v>0</v>
      </c>
      <c r="AX111" s="26">
        <f t="shared" ref="AX111:AX143" si="712">AT111-AV111</f>
        <v>0</v>
      </c>
      <c r="BG111" s="26"/>
      <c r="BH111" s="26"/>
      <c r="BI111" s="26"/>
      <c r="BJ111" s="26"/>
      <c r="BK111" s="26">
        <f t="shared" ref="BK111:BK137" si="713">AM111+Y111+M111</f>
        <v>0</v>
      </c>
      <c r="BL111" s="26">
        <f t="shared" ref="BL111:BL137" si="714">AN111+Z111+N111</f>
        <v>0</v>
      </c>
      <c r="BM111" s="26">
        <f t="shared" ref="BM111:BM137" si="715">BK111-BG111</f>
        <v>0</v>
      </c>
      <c r="BN111" s="26">
        <f t="shared" ref="BN111:BN137" si="716">BL111-BH111</f>
        <v>0</v>
      </c>
    </row>
    <row r="112" spans="2:66" hidden="1" x14ac:dyDescent="0.25">
      <c r="B112" s="545" t="s">
        <v>619</v>
      </c>
      <c r="C112" s="64" t="s">
        <v>49</v>
      </c>
      <c r="D112" s="159"/>
      <c r="E112" s="1303">
        <f>+$D$112</f>
        <v>0</v>
      </c>
      <c r="F112" s="1303"/>
      <c r="G112" s="1303">
        <f>+$D$112</f>
        <v>0</v>
      </c>
      <c r="H112" s="1303"/>
      <c r="I112" s="1285">
        <f>+$D$112</f>
        <v>0</v>
      </c>
      <c r="J112" s="1296"/>
      <c r="K112" s="1303">
        <f>+$D$112</f>
        <v>0</v>
      </c>
      <c r="L112" s="1303"/>
      <c r="M112" s="1287">
        <f>+$D$112</f>
        <v>0</v>
      </c>
      <c r="N112" s="1304"/>
      <c r="O112" s="1303">
        <f>+$D$112</f>
        <v>0</v>
      </c>
      <c r="P112" s="1303"/>
      <c r="Q112" s="1285">
        <f>+$D$112</f>
        <v>0</v>
      </c>
      <c r="R112" s="1296"/>
      <c r="S112" s="1303">
        <f>+$D$112</f>
        <v>0</v>
      </c>
      <c r="T112" s="1303"/>
      <c r="U112" s="1285">
        <f>+$D$112</f>
        <v>0</v>
      </c>
      <c r="V112" s="1296"/>
      <c r="W112" s="1303">
        <f>+$D$112</f>
        <v>0</v>
      </c>
      <c r="X112" s="1303"/>
      <c r="Y112" s="1287">
        <f>+$D$112</f>
        <v>0</v>
      </c>
      <c r="Z112" s="1304"/>
      <c r="AA112" s="1299">
        <f>+$D$112</f>
        <v>0</v>
      </c>
      <c r="AB112" s="1305"/>
      <c r="AG112" s="2670"/>
      <c r="AH112" s="2670"/>
      <c r="AI112" s="2670"/>
      <c r="AJ112" s="2670"/>
      <c r="AQ112" s="2793"/>
      <c r="AR112" s="2793"/>
      <c r="AS112" s="2793"/>
      <c r="AT112" s="2793"/>
      <c r="AW112" s="26">
        <f t="shared" si="711"/>
        <v>0</v>
      </c>
      <c r="AX112" s="26">
        <f t="shared" si="712"/>
        <v>0</v>
      </c>
      <c r="BG112" s="26"/>
      <c r="BH112" s="26"/>
      <c r="BI112" s="26"/>
      <c r="BJ112" s="26"/>
      <c r="BK112" s="26">
        <f t="shared" si="713"/>
        <v>0</v>
      </c>
      <c r="BL112" s="26">
        <f t="shared" si="714"/>
        <v>0</v>
      </c>
      <c r="BM112" s="26">
        <f t="shared" si="715"/>
        <v>0</v>
      </c>
      <c r="BN112" s="26">
        <f t="shared" si="716"/>
        <v>0</v>
      </c>
    </row>
    <row r="113" spans="2:66" ht="15" hidden="1" customHeight="1" x14ac:dyDescent="0.25">
      <c r="B113" s="233"/>
      <c r="C113" s="233"/>
      <c r="E113" s="233"/>
      <c r="F113" s="233"/>
      <c r="G113" s="233"/>
      <c r="H113" s="233"/>
      <c r="I113" s="233"/>
      <c r="J113" s="233"/>
      <c r="K113" s="1556"/>
      <c r="L113" s="233"/>
      <c r="M113" s="233"/>
      <c r="N113" s="233"/>
      <c r="O113" s="1556"/>
      <c r="P113" s="233"/>
      <c r="Q113" s="233"/>
      <c r="R113" s="233"/>
      <c r="S113" s="1556"/>
      <c r="T113" s="233"/>
      <c r="U113" s="233"/>
      <c r="V113" s="233"/>
      <c r="W113" s="233"/>
      <c r="X113" s="233"/>
      <c r="Y113" s="233"/>
      <c r="Z113" s="233"/>
      <c r="AA113" s="233"/>
      <c r="AB113" s="233"/>
      <c r="AG113" s="2670"/>
      <c r="AH113" s="2670"/>
      <c r="AI113" s="2670"/>
      <c r="AJ113" s="2670"/>
      <c r="AQ113" s="2793"/>
      <c r="AR113" s="2793"/>
      <c r="AS113" s="2793"/>
      <c r="AT113" s="2793"/>
      <c r="AW113" s="26">
        <f t="shared" si="711"/>
        <v>0</v>
      </c>
      <c r="AX113" s="26">
        <f t="shared" si="712"/>
        <v>0</v>
      </c>
      <c r="BG113" s="26"/>
      <c r="BH113" s="26"/>
      <c r="BI113" s="26"/>
      <c r="BJ113" s="26"/>
      <c r="BK113" s="26">
        <f t="shared" si="713"/>
        <v>0</v>
      </c>
      <c r="BL113" s="26">
        <f t="shared" si="714"/>
        <v>0</v>
      </c>
      <c r="BM113" s="26">
        <f t="shared" si="715"/>
        <v>0</v>
      </c>
      <c r="BN113" s="26">
        <f t="shared" si="716"/>
        <v>0</v>
      </c>
    </row>
    <row r="114" spans="2:66" ht="15" hidden="1" customHeight="1" x14ac:dyDescent="0.25">
      <c r="B114" s="233"/>
      <c r="C114" s="233"/>
      <c r="E114" s="233"/>
      <c r="F114" s="233"/>
      <c r="G114" s="233"/>
      <c r="H114" s="233"/>
      <c r="I114" s="233"/>
      <c r="J114" s="233"/>
      <c r="K114" s="1556"/>
      <c r="L114" s="233"/>
      <c r="M114" s="233"/>
      <c r="N114" s="233"/>
      <c r="O114" s="1556"/>
      <c r="P114" s="233"/>
      <c r="Q114" s="233"/>
      <c r="R114" s="233"/>
      <c r="S114" s="1556"/>
      <c r="T114" s="233"/>
      <c r="U114" s="233"/>
      <c r="V114" s="233"/>
      <c r="W114" s="233"/>
      <c r="X114" s="233"/>
      <c r="Y114" s="233"/>
      <c r="Z114" s="233"/>
      <c r="AA114" s="233"/>
      <c r="AB114" s="233"/>
      <c r="AG114" s="2670"/>
      <c r="AH114" s="2670"/>
      <c r="AI114" s="2670"/>
      <c r="AJ114" s="2670"/>
      <c r="AQ114" s="2793"/>
      <c r="AR114" s="2793"/>
      <c r="AS114" s="2793"/>
      <c r="AT114" s="2793"/>
      <c r="AW114" s="26">
        <f t="shared" si="711"/>
        <v>0</v>
      </c>
      <c r="AX114" s="26">
        <f t="shared" si="712"/>
        <v>0</v>
      </c>
      <c r="BG114" s="26"/>
      <c r="BH114" s="26"/>
      <c r="BI114" s="26"/>
      <c r="BJ114" s="26"/>
      <c r="BK114" s="26">
        <f t="shared" si="713"/>
        <v>0</v>
      </c>
      <c r="BL114" s="26">
        <f t="shared" si="714"/>
        <v>0</v>
      </c>
      <c r="BM114" s="26">
        <f t="shared" si="715"/>
        <v>0</v>
      </c>
      <c r="BN114" s="26">
        <f t="shared" si="716"/>
        <v>0</v>
      </c>
    </row>
    <row r="115" spans="2:66" ht="15" hidden="1" customHeight="1" x14ac:dyDescent="0.25">
      <c r="B115" s="1237" t="s">
        <v>928</v>
      </c>
      <c r="C115" s="233"/>
      <c r="E115" s="233"/>
      <c r="F115" s="233"/>
      <c r="G115" s="233"/>
      <c r="H115" s="233"/>
      <c r="I115" s="233"/>
      <c r="J115" s="233"/>
      <c r="K115" s="1556"/>
      <c r="L115" s="233"/>
      <c r="M115" s="233"/>
      <c r="N115" s="233"/>
      <c r="O115" s="1556"/>
      <c r="P115" s="233"/>
      <c r="Q115" s="233"/>
      <c r="R115" s="233"/>
      <c r="S115" s="1556"/>
      <c r="T115" s="233"/>
      <c r="U115" s="233"/>
      <c r="V115" s="233"/>
      <c r="W115" s="233"/>
      <c r="X115" s="233"/>
      <c r="Y115" s="233"/>
      <c r="Z115" s="233"/>
      <c r="AA115" s="233"/>
      <c r="AB115" s="233"/>
      <c r="AG115" s="2670"/>
      <c r="AH115" s="2670"/>
      <c r="AI115" s="2670"/>
      <c r="AJ115" s="2670"/>
      <c r="AQ115" s="2793"/>
      <c r="AR115" s="2793"/>
      <c r="AS115" s="2793"/>
      <c r="AT115" s="2793"/>
      <c r="AW115" s="26">
        <f t="shared" si="711"/>
        <v>0</v>
      </c>
      <c r="AX115" s="26">
        <f t="shared" si="712"/>
        <v>0</v>
      </c>
      <c r="BG115" s="26"/>
      <c r="BH115" s="26"/>
      <c r="BI115" s="26"/>
      <c r="BJ115" s="26"/>
      <c r="BK115" s="26">
        <f t="shared" si="713"/>
        <v>0</v>
      </c>
      <c r="BL115" s="26">
        <f t="shared" si="714"/>
        <v>0</v>
      </c>
      <c r="BM115" s="26">
        <f t="shared" si="715"/>
        <v>0</v>
      </c>
      <c r="BN115" s="26">
        <f t="shared" si="716"/>
        <v>0</v>
      </c>
    </row>
    <row r="116" spans="2:66" ht="15" hidden="1" customHeight="1" x14ac:dyDescent="0.25">
      <c r="B116" s="1181" t="s">
        <v>786</v>
      </c>
      <c r="C116" s="233"/>
      <c r="E116" s="233"/>
      <c r="F116" s="233"/>
      <c r="G116" s="233"/>
      <c r="H116" s="233"/>
      <c r="I116" s="233"/>
      <c r="J116" s="233"/>
      <c r="K116" s="1556"/>
      <c r="L116" s="233"/>
      <c r="M116" s="233"/>
      <c r="N116" s="233"/>
      <c r="O116" s="1556"/>
      <c r="P116" s="233"/>
      <c r="Q116" s="233"/>
      <c r="R116" s="233"/>
      <c r="S116" s="1556"/>
      <c r="T116" s="233"/>
      <c r="U116" s="233"/>
      <c r="V116" s="233"/>
      <c r="W116" s="233"/>
      <c r="X116" s="233"/>
      <c r="Y116" s="233"/>
      <c r="Z116" s="233"/>
      <c r="AA116" s="233"/>
      <c r="AB116" s="233"/>
      <c r="AG116" s="2670"/>
      <c r="AH116" s="2670"/>
      <c r="AI116" s="2670"/>
      <c r="AJ116" s="2670"/>
      <c r="AQ116" s="2793"/>
      <c r="AR116" s="2793"/>
      <c r="AS116" s="2793"/>
      <c r="AT116" s="2793"/>
      <c r="AW116" s="26">
        <f t="shared" si="711"/>
        <v>0</v>
      </c>
      <c r="AX116" s="26">
        <f t="shared" si="712"/>
        <v>0</v>
      </c>
      <c r="BG116" s="26"/>
      <c r="BH116" s="26"/>
      <c r="BI116" s="26"/>
      <c r="BJ116" s="26"/>
      <c r="BK116" s="26">
        <f t="shared" si="713"/>
        <v>0</v>
      </c>
      <c r="BL116" s="26">
        <f t="shared" si="714"/>
        <v>0</v>
      </c>
      <c r="BM116" s="26">
        <f t="shared" si="715"/>
        <v>0</v>
      </c>
      <c r="BN116" s="26">
        <f t="shared" si="716"/>
        <v>0</v>
      </c>
    </row>
    <row r="117" spans="2:66" ht="15" hidden="1" customHeight="1" x14ac:dyDescent="0.25">
      <c r="B117" s="1238" t="s">
        <v>933</v>
      </c>
      <c r="C117" s="1239" t="s">
        <v>49</v>
      </c>
      <c r="D117" s="732"/>
      <c r="E117" s="1240"/>
      <c r="F117" s="1241">
        <v>8</v>
      </c>
      <c r="G117" s="1240"/>
      <c r="H117" s="1241">
        <v>8</v>
      </c>
      <c r="I117" s="1242"/>
      <c r="J117" s="1243">
        <v>8</v>
      </c>
      <c r="K117" s="1246"/>
      <c r="L117" s="1241">
        <v>8</v>
      </c>
      <c r="M117" s="1244"/>
      <c r="N117" s="1245">
        <v>8</v>
      </c>
      <c r="O117" s="1246"/>
      <c r="P117" s="1241">
        <v>8</v>
      </c>
      <c r="Q117" s="1242"/>
      <c r="R117" s="1243">
        <v>8</v>
      </c>
      <c r="S117" s="1246"/>
      <c r="T117" s="1241">
        <v>8</v>
      </c>
      <c r="U117" s="1242"/>
      <c r="V117" s="1243">
        <v>8</v>
      </c>
      <c r="W117" s="1246"/>
      <c r="X117" s="1247">
        <v>8</v>
      </c>
      <c r="Y117" s="1244"/>
      <c r="Z117" s="1245">
        <v>8</v>
      </c>
      <c r="AA117" s="1248"/>
      <c r="AB117" s="1249">
        <v>8</v>
      </c>
      <c r="AG117" s="2670"/>
      <c r="AH117" s="2670"/>
      <c r="AI117" s="2670"/>
      <c r="AJ117" s="2670"/>
      <c r="AQ117" s="2793"/>
      <c r="AR117" s="2793"/>
      <c r="AS117" s="2793"/>
      <c r="AT117" s="2793"/>
      <c r="AW117" s="26">
        <f t="shared" si="711"/>
        <v>0</v>
      </c>
      <c r="AX117" s="26">
        <f t="shared" si="712"/>
        <v>0</v>
      </c>
      <c r="BG117" s="26"/>
      <c r="BH117" s="26"/>
      <c r="BI117" s="26"/>
      <c r="BJ117" s="26"/>
      <c r="BK117" s="26">
        <f t="shared" si="713"/>
        <v>0</v>
      </c>
      <c r="BL117" s="26">
        <f t="shared" si="714"/>
        <v>16</v>
      </c>
      <c r="BM117" s="26">
        <f t="shared" si="715"/>
        <v>0</v>
      </c>
      <c r="BN117" s="26">
        <f t="shared" si="716"/>
        <v>16</v>
      </c>
    </row>
    <row r="118" spans="2:66" ht="15" hidden="1" customHeight="1" x14ac:dyDescent="0.25">
      <c r="B118" s="1238" t="s">
        <v>934</v>
      </c>
      <c r="C118" s="1239" t="s">
        <v>49</v>
      </c>
      <c r="D118" s="732"/>
      <c r="E118" s="1250"/>
      <c r="F118" s="1251" t="e">
        <f>+'B-FCE'!#REF!</f>
        <v>#REF!</v>
      </c>
      <c r="G118" s="1250"/>
      <c r="H118" s="1251" t="e">
        <f>+'B-FCE'!#REF!</f>
        <v>#REF!</v>
      </c>
      <c r="I118" s="1252"/>
      <c r="J118" s="1253" t="e">
        <f>+'B-FCE'!#REF!</f>
        <v>#REF!</v>
      </c>
      <c r="K118" s="1256"/>
      <c r="L118" s="1251" t="e">
        <f>+'B-FCE'!#REF!</f>
        <v>#REF!</v>
      </c>
      <c r="M118" s="1254"/>
      <c r="N118" s="1255" t="e">
        <f>+'B-FCE'!#REF!</f>
        <v>#REF!</v>
      </c>
      <c r="O118" s="1256"/>
      <c r="P118" s="1251" t="e">
        <f>+'B-FCE'!#REF!</f>
        <v>#REF!</v>
      </c>
      <c r="Q118" s="1252"/>
      <c r="R118" s="1253" t="e">
        <f>+'B-FCE'!#REF!</f>
        <v>#REF!</v>
      </c>
      <c r="S118" s="1256"/>
      <c r="T118" s="1251" t="e">
        <f>+'B-FCE'!#REF!</f>
        <v>#REF!</v>
      </c>
      <c r="U118" s="1252"/>
      <c r="V118" s="1253" t="e">
        <f>+'B-FCE'!#REF!</f>
        <v>#REF!</v>
      </c>
      <c r="W118" s="1256"/>
      <c r="X118" s="1257" t="e">
        <f>+'B-FCE'!#REF!</f>
        <v>#REF!</v>
      </c>
      <c r="Y118" s="1254"/>
      <c r="Z118" s="1255" t="e">
        <f>+'B-FCE'!#REF!</f>
        <v>#REF!</v>
      </c>
      <c r="AA118" s="1258"/>
      <c r="AB118" s="1259" t="e">
        <f>+'B-FCE'!#REF!</f>
        <v>#REF!</v>
      </c>
      <c r="AG118" s="2670"/>
      <c r="AH118" s="2670"/>
      <c r="AI118" s="2670"/>
      <c r="AJ118" s="2670"/>
      <c r="AQ118" s="2793"/>
      <c r="AR118" s="2793"/>
      <c r="AS118" s="2793"/>
      <c r="AT118" s="2793"/>
      <c r="AW118" s="26">
        <f t="shared" si="711"/>
        <v>0</v>
      </c>
      <c r="AX118" s="26">
        <f t="shared" si="712"/>
        <v>0</v>
      </c>
      <c r="BG118" s="26"/>
      <c r="BH118" s="26"/>
      <c r="BI118" s="26"/>
      <c r="BJ118" s="26"/>
      <c r="BK118" s="26">
        <f t="shared" si="713"/>
        <v>0</v>
      </c>
      <c r="BL118" s="26" t="e">
        <f t="shared" si="714"/>
        <v>#REF!</v>
      </c>
      <c r="BM118" s="26">
        <f t="shared" si="715"/>
        <v>0</v>
      </c>
      <c r="BN118" s="26" t="e">
        <f t="shared" si="716"/>
        <v>#REF!</v>
      </c>
    </row>
    <row r="119" spans="2:66" ht="15" hidden="1" customHeight="1" x14ac:dyDescent="0.25">
      <c r="B119" s="1238" t="s">
        <v>929</v>
      </c>
      <c r="C119" s="1239" t="s">
        <v>49</v>
      </c>
      <c r="D119" s="732"/>
      <c r="E119" s="1250"/>
      <c r="F119" s="1251">
        <v>2.5</v>
      </c>
      <c r="G119" s="1250"/>
      <c r="H119" s="1251">
        <v>2.5</v>
      </c>
      <c r="I119" s="1252"/>
      <c r="J119" s="1253">
        <v>2.5</v>
      </c>
      <c r="K119" s="1256"/>
      <c r="L119" s="1251">
        <v>2.5</v>
      </c>
      <c r="M119" s="1254"/>
      <c r="N119" s="1255">
        <v>2.5</v>
      </c>
      <c r="O119" s="1256"/>
      <c r="P119" s="1251">
        <v>2.5</v>
      </c>
      <c r="Q119" s="1252"/>
      <c r="R119" s="1253">
        <v>2.5</v>
      </c>
      <c r="S119" s="1256"/>
      <c r="T119" s="1251">
        <v>2.5</v>
      </c>
      <c r="U119" s="1252"/>
      <c r="V119" s="1253">
        <v>2.5</v>
      </c>
      <c r="W119" s="1256"/>
      <c r="X119" s="1257">
        <v>2.5</v>
      </c>
      <c r="Y119" s="1254"/>
      <c r="Z119" s="1255">
        <v>2.5</v>
      </c>
      <c r="AA119" s="1258"/>
      <c r="AB119" s="1259">
        <v>2.5</v>
      </c>
      <c r="AG119" s="2670"/>
      <c r="AH119" s="2670"/>
      <c r="AI119" s="2670"/>
      <c r="AJ119" s="2670"/>
      <c r="AQ119" s="2793"/>
      <c r="AR119" s="2793"/>
      <c r="AS119" s="2793"/>
      <c r="AT119" s="2793"/>
      <c r="AW119" s="26">
        <f t="shared" si="711"/>
        <v>0</v>
      </c>
      <c r="AX119" s="26">
        <f t="shared" si="712"/>
        <v>0</v>
      </c>
      <c r="BG119" s="26"/>
      <c r="BH119" s="26"/>
      <c r="BI119" s="26"/>
      <c r="BJ119" s="26"/>
      <c r="BK119" s="26">
        <f t="shared" si="713"/>
        <v>0</v>
      </c>
      <c r="BL119" s="26">
        <f t="shared" si="714"/>
        <v>5</v>
      </c>
      <c r="BM119" s="26">
        <f t="shared" si="715"/>
        <v>0</v>
      </c>
      <c r="BN119" s="26">
        <f t="shared" si="716"/>
        <v>5</v>
      </c>
    </row>
    <row r="120" spans="2:66" ht="15" hidden="1" customHeight="1" x14ac:dyDescent="0.25">
      <c r="B120" s="1260" t="s">
        <v>931</v>
      </c>
      <c r="C120" s="1261" t="s">
        <v>930</v>
      </c>
      <c r="D120" s="1445"/>
      <c r="E120" s="1240"/>
      <c r="F120" s="1241">
        <f>+(F6/(F65/1000))*(100-F117)/100</f>
        <v>722.60721498928001</v>
      </c>
      <c r="G120" s="1240"/>
      <c r="H120" s="1241">
        <f>+(H6/(H65/1000))*(100-H117)/100</f>
        <v>723.18080752928461</v>
      </c>
      <c r="I120" s="1242"/>
      <c r="J120" s="1243">
        <f>+(J6/(J65/1000))*(100-J117)/100</f>
        <v>722.90818978757602</v>
      </c>
      <c r="K120" s="1246"/>
      <c r="L120" s="1241">
        <f>+(L6/(L65/1000))*(100-L117)/100</f>
        <v>724.91851942762241</v>
      </c>
      <c r="M120" s="1244"/>
      <c r="N120" s="1245">
        <f>+(N6/(N65/1000))*(100-N117)/100</f>
        <v>723.46707923140968</v>
      </c>
      <c r="O120" s="1246"/>
      <c r="P120" s="1241">
        <f>+(P6/(P65/1000))*(100-P117)/100</f>
        <v>724.00261555645454</v>
      </c>
      <c r="Q120" s="1242"/>
      <c r="R120" s="1243">
        <f>+(R6/(R65/1000))*(100-R117)/100</f>
        <v>723.62522973072487</v>
      </c>
      <c r="S120" s="1246"/>
      <c r="T120" s="1241">
        <f>+(T6/(T65/1000))*(100-T117)/100</f>
        <v>723.02665735231346</v>
      </c>
      <c r="U120" s="1242"/>
      <c r="V120" s="1243">
        <f>+(V6/(V65/1000))*(100-V117)/100</f>
        <v>723.49560306499245</v>
      </c>
      <c r="W120" s="1246"/>
      <c r="X120" s="1247">
        <f>+(X6/(X65/1000))*(100-X117)/100</f>
        <v>722.19951569405032</v>
      </c>
      <c r="Y120" s="1244"/>
      <c r="Z120" s="1245">
        <f>+(Z6/(Z65/1000))*(100-Z117)/100</f>
        <v>723.09488390428771</v>
      </c>
      <c r="AA120" s="1248"/>
      <c r="AB120" s="1249">
        <f>+(AB6/(AB65/1000))*(100-AB117)/100</f>
        <v>723.26358093662157</v>
      </c>
      <c r="AG120" s="2670"/>
      <c r="AH120" s="2670"/>
      <c r="AI120" s="2670"/>
      <c r="AJ120" s="2670"/>
      <c r="AQ120" s="2793"/>
      <c r="AR120" s="2793"/>
      <c r="AS120" s="2793"/>
      <c r="AT120" s="2793"/>
      <c r="AW120" s="26">
        <f t="shared" si="711"/>
        <v>0</v>
      </c>
      <c r="AX120" s="26">
        <f t="shared" si="712"/>
        <v>0</v>
      </c>
      <c r="BG120" s="26"/>
      <c r="BH120" s="26"/>
      <c r="BI120" s="26"/>
      <c r="BJ120" s="26"/>
      <c r="BK120" s="26">
        <f t="shared" si="713"/>
        <v>0</v>
      </c>
      <c r="BL120" s="26">
        <f t="shared" si="714"/>
        <v>1446.5619631356974</v>
      </c>
      <c r="BM120" s="26">
        <f t="shared" si="715"/>
        <v>0</v>
      </c>
      <c r="BN120" s="26">
        <f t="shared" si="716"/>
        <v>1446.5619631356974</v>
      </c>
    </row>
    <row r="121" spans="2:66" ht="15" hidden="1" customHeight="1" x14ac:dyDescent="0.25">
      <c r="B121" s="1260" t="s">
        <v>48</v>
      </c>
      <c r="C121" s="1262" t="s">
        <v>354</v>
      </c>
      <c r="D121" s="843"/>
      <c r="E121" s="1240"/>
      <c r="F121" s="1241">
        <f>+F120*F65/1000</f>
        <v>232556.68</v>
      </c>
      <c r="G121" s="1240"/>
      <c r="H121" s="1241">
        <f>+H120*H65/1000</f>
        <v>256950.48</v>
      </c>
      <c r="I121" s="1242"/>
      <c r="J121" s="1243">
        <f>+J120*J65/1000</f>
        <v>489507.16000000003</v>
      </c>
      <c r="K121" s="1246"/>
      <c r="L121" s="1241">
        <f>+L120*L65/1000</f>
        <v>189013.08</v>
      </c>
      <c r="M121" s="1244"/>
      <c r="N121" s="1245">
        <f>+N120*N65/1000</f>
        <v>678520.23999999987</v>
      </c>
      <c r="O121" s="1246"/>
      <c r="P121" s="1241">
        <f>+P120*P65/1000</f>
        <v>284556.92</v>
      </c>
      <c r="Q121" s="1242"/>
      <c r="R121" s="1243">
        <f>+R120*R65/1000</f>
        <v>963077.16000000015</v>
      </c>
      <c r="S121" s="1246"/>
      <c r="T121" s="1241">
        <f>+T120*T65/1000</f>
        <v>265994.99999999994</v>
      </c>
      <c r="U121" s="1242"/>
      <c r="V121" s="1243">
        <f>+V120*V65/1000</f>
        <v>1229072.1599999999</v>
      </c>
      <c r="W121" s="1246"/>
      <c r="X121" s="1247">
        <f>+X120*X65/1000</f>
        <v>267522.19999999995</v>
      </c>
      <c r="Y121" s="1244"/>
      <c r="Z121" s="1245">
        <f>+Z120*Z65/1000</f>
        <v>818074.11999999976</v>
      </c>
      <c r="AA121" s="1248"/>
      <c r="AB121" s="1249">
        <f>+AB120*AB65/1000</f>
        <v>1496594.3599999999</v>
      </c>
      <c r="AG121" s="2670"/>
      <c r="AH121" s="2670"/>
      <c r="AI121" s="2670"/>
      <c r="AJ121" s="2670"/>
      <c r="AQ121" s="2793"/>
      <c r="AR121" s="2793"/>
      <c r="AS121" s="2793"/>
      <c r="AT121" s="2793"/>
      <c r="AW121" s="26">
        <f t="shared" si="711"/>
        <v>0</v>
      </c>
      <c r="AX121" s="26">
        <f t="shared" si="712"/>
        <v>0</v>
      </c>
      <c r="BG121" s="26"/>
      <c r="BH121" s="26"/>
      <c r="BI121" s="26"/>
      <c r="BJ121" s="26"/>
      <c r="BK121" s="26">
        <f t="shared" si="713"/>
        <v>0</v>
      </c>
      <c r="BL121" s="26">
        <f t="shared" si="714"/>
        <v>1496594.3599999996</v>
      </c>
      <c r="BM121" s="26">
        <f t="shared" si="715"/>
        <v>0</v>
      </c>
      <c r="BN121" s="26">
        <f t="shared" si="716"/>
        <v>1496594.3599999996</v>
      </c>
    </row>
    <row r="122" spans="2:66" ht="15" hidden="1" customHeight="1" x14ac:dyDescent="0.25">
      <c r="B122" s="1238" t="s">
        <v>209</v>
      </c>
      <c r="C122" s="1262" t="s">
        <v>354</v>
      </c>
      <c r="D122" s="843"/>
      <c r="E122" s="1240"/>
      <c r="F122" s="1241">
        <f>+F121*F117/(100-F117)</f>
        <v>20222.32</v>
      </c>
      <c r="G122" s="1240"/>
      <c r="H122" s="1241">
        <f>+H121*H117/(100-H117)</f>
        <v>22343.52</v>
      </c>
      <c r="I122" s="1242"/>
      <c r="J122" s="1243">
        <f>+J121*J117/(100-J117)</f>
        <v>42565.840000000004</v>
      </c>
      <c r="K122" s="1246"/>
      <c r="L122" s="1241">
        <f>+L121*L117/(100-L117)</f>
        <v>16435.919999999998</v>
      </c>
      <c r="M122" s="1244"/>
      <c r="N122" s="1245">
        <f>+N121*N117/(100-N117)</f>
        <v>59001.759999999987</v>
      </c>
      <c r="O122" s="1246"/>
      <c r="P122" s="1241">
        <f>+P121*P117/(100-P117)</f>
        <v>24744.079999999998</v>
      </c>
      <c r="Q122" s="1242"/>
      <c r="R122" s="1243">
        <f>+R121*R117/(100-R117)</f>
        <v>83745.840000000011</v>
      </c>
      <c r="S122" s="1246"/>
      <c r="T122" s="1241">
        <f>+T121*T117/(100-T117)</f>
        <v>23129.999999999996</v>
      </c>
      <c r="U122" s="1242"/>
      <c r="V122" s="1243">
        <f>+V121*V117/(100-V117)</f>
        <v>106875.84</v>
      </c>
      <c r="W122" s="1246"/>
      <c r="X122" s="1247">
        <f>+X121*X117/(100-X117)</f>
        <v>23262.799999999996</v>
      </c>
      <c r="Y122" s="1244"/>
      <c r="Z122" s="1245">
        <f>+Z121*Z117/(100-Z117)</f>
        <v>71136.879999999976</v>
      </c>
      <c r="AA122" s="1248"/>
      <c r="AB122" s="1249">
        <f>+AB121*AB117/(100-AB117)</f>
        <v>130138.63999999998</v>
      </c>
      <c r="AG122" s="2670"/>
      <c r="AH122" s="2670"/>
      <c r="AI122" s="2670"/>
      <c r="AJ122" s="2670"/>
      <c r="AQ122" s="2793"/>
      <c r="AR122" s="2793"/>
      <c r="AS122" s="2793"/>
      <c r="AT122" s="2793"/>
      <c r="AW122" s="26">
        <f t="shared" si="711"/>
        <v>0</v>
      </c>
      <c r="AX122" s="26">
        <f t="shared" si="712"/>
        <v>0</v>
      </c>
      <c r="BG122" s="26"/>
      <c r="BH122" s="26"/>
      <c r="BI122" s="26"/>
      <c r="BJ122" s="26"/>
      <c r="BK122" s="26">
        <f t="shared" si="713"/>
        <v>0</v>
      </c>
      <c r="BL122" s="26">
        <f t="shared" si="714"/>
        <v>130138.63999999996</v>
      </c>
      <c r="BM122" s="26">
        <f t="shared" si="715"/>
        <v>0</v>
      </c>
      <c r="BN122" s="26">
        <f t="shared" si="716"/>
        <v>130138.63999999996</v>
      </c>
    </row>
    <row r="123" spans="2:66" ht="15" hidden="1" customHeight="1" x14ac:dyDescent="0.25">
      <c r="B123" s="1238" t="s">
        <v>843</v>
      </c>
      <c r="C123" s="1262" t="s">
        <v>354</v>
      </c>
      <c r="D123" s="843"/>
      <c r="E123" s="1240"/>
      <c r="F123" s="1241">
        <f>+F121/(100-F119)*F119</f>
        <v>5962.9917948717948</v>
      </c>
      <c r="G123" s="1240"/>
      <c r="H123" s="1241">
        <f>+H121/(100-H119)*H119</f>
        <v>6588.4738461538464</v>
      </c>
      <c r="I123" s="1242"/>
      <c r="J123" s="1243">
        <f>+J121/(100-J119)*J119</f>
        <v>12551.465641025643</v>
      </c>
      <c r="K123" s="1246"/>
      <c r="L123" s="1241">
        <f>+L121/(100-L119)*L119</f>
        <v>4846.4892307692307</v>
      </c>
      <c r="M123" s="1244"/>
      <c r="N123" s="1245">
        <f>+N121/(100-N119)*N119</f>
        <v>17397.954871794867</v>
      </c>
      <c r="O123" s="1246"/>
      <c r="P123" s="1241">
        <f>+P121/(100-P119)*P119</f>
        <v>7296.331282051282</v>
      </c>
      <c r="Q123" s="1242"/>
      <c r="R123" s="1243">
        <f>+R121/(100-R119)*R119</f>
        <v>24694.286153846155</v>
      </c>
      <c r="S123" s="1246"/>
      <c r="T123" s="1241">
        <f>+T121/(100-T119)*T119</f>
        <v>6820.3846153846143</v>
      </c>
      <c r="U123" s="1242"/>
      <c r="V123" s="1243">
        <f>+V121/(100-V119)*V119</f>
        <v>31514.670769230765</v>
      </c>
      <c r="W123" s="1246"/>
      <c r="X123" s="1247">
        <f>+X121/(100-X119)*X119</f>
        <v>6859.5435897435891</v>
      </c>
      <c r="Y123" s="1244"/>
      <c r="Z123" s="1245">
        <f>+Z121/(100-Z119)*Z119</f>
        <v>20976.259487179483</v>
      </c>
      <c r="AA123" s="1248"/>
      <c r="AB123" s="1249">
        <f>+AB121/(100-AB119)*AB119</f>
        <v>38374.214358974357</v>
      </c>
      <c r="AG123" s="2670"/>
      <c r="AH123" s="2670"/>
      <c r="AI123" s="2670"/>
      <c r="AJ123" s="2670"/>
      <c r="AQ123" s="2793"/>
      <c r="AR123" s="2793"/>
      <c r="AS123" s="2793"/>
      <c r="AT123" s="2793"/>
      <c r="AW123" s="26">
        <f t="shared" si="711"/>
        <v>0</v>
      </c>
      <c r="AX123" s="26">
        <f t="shared" si="712"/>
        <v>0</v>
      </c>
      <c r="BG123" s="26"/>
      <c r="BH123" s="26"/>
      <c r="BI123" s="26"/>
      <c r="BJ123" s="26"/>
      <c r="BK123" s="26">
        <f t="shared" si="713"/>
        <v>0</v>
      </c>
      <c r="BL123" s="26">
        <f t="shared" si="714"/>
        <v>38374.21435897435</v>
      </c>
      <c r="BM123" s="26">
        <f t="shared" si="715"/>
        <v>0</v>
      </c>
      <c r="BN123" s="26">
        <f t="shared" si="716"/>
        <v>38374.21435897435</v>
      </c>
    </row>
    <row r="124" spans="2:66" ht="15" hidden="1" customHeight="1" x14ac:dyDescent="0.25">
      <c r="B124" s="1238" t="s">
        <v>923</v>
      </c>
      <c r="C124" s="1262" t="s">
        <v>354</v>
      </c>
      <c r="D124" s="843"/>
      <c r="E124" s="1240"/>
      <c r="F124" s="1241">
        <f>+F123*F117/(100-F117)</f>
        <v>518.52102564102563</v>
      </c>
      <c r="G124" s="1240"/>
      <c r="H124" s="1241">
        <f>+H123*H117/(100-H117)</f>
        <v>572.91076923076923</v>
      </c>
      <c r="I124" s="1242"/>
      <c r="J124" s="1243">
        <f>+J123*J117/(100-J117)</f>
        <v>1091.4317948717951</v>
      </c>
      <c r="K124" s="1246"/>
      <c r="L124" s="1241">
        <f>+L123*L117/(100-L117)</f>
        <v>421.43384615384616</v>
      </c>
      <c r="M124" s="1244"/>
      <c r="N124" s="1245">
        <f>+N123*N117/(100-N117)</f>
        <v>1512.8656410256406</v>
      </c>
      <c r="O124" s="1246"/>
      <c r="P124" s="1241">
        <f>+P123*P117/(100-P117)</f>
        <v>634.46358974358975</v>
      </c>
      <c r="Q124" s="1242"/>
      <c r="R124" s="1243">
        <f>+R123*R117/(100-R117)</f>
        <v>2147.3292307692309</v>
      </c>
      <c r="S124" s="1246"/>
      <c r="T124" s="1241">
        <f>+T123*T117/(100-T117)</f>
        <v>593.07692307692298</v>
      </c>
      <c r="U124" s="1242"/>
      <c r="V124" s="1243">
        <f>+V123*V117/(100-V117)</f>
        <v>2740.4061538461533</v>
      </c>
      <c r="W124" s="1246"/>
      <c r="X124" s="1247">
        <f>+X123*X117/(100-X117)</f>
        <v>596.4820512820512</v>
      </c>
      <c r="Y124" s="1244"/>
      <c r="Z124" s="1245">
        <f>+Z123*Z117/(100-Z117)</f>
        <v>1824.0225641025638</v>
      </c>
      <c r="AA124" s="1248"/>
      <c r="AB124" s="1249">
        <f>+AB123*AB117/(100-AB117)</f>
        <v>3336.8882051282048</v>
      </c>
      <c r="AG124" s="2670"/>
      <c r="AH124" s="2670"/>
      <c r="AI124" s="2670"/>
      <c r="AJ124" s="2670"/>
      <c r="AQ124" s="2793"/>
      <c r="AR124" s="2793"/>
      <c r="AS124" s="2793"/>
      <c r="AT124" s="2793"/>
      <c r="AW124" s="26">
        <f t="shared" si="711"/>
        <v>0</v>
      </c>
      <c r="AX124" s="26">
        <f t="shared" si="712"/>
        <v>0</v>
      </c>
      <c r="BG124" s="26"/>
      <c r="BH124" s="26"/>
      <c r="BI124" s="26"/>
      <c r="BJ124" s="26"/>
      <c r="BK124" s="26">
        <f t="shared" si="713"/>
        <v>0</v>
      </c>
      <c r="BL124" s="26">
        <f t="shared" si="714"/>
        <v>3336.8882051282044</v>
      </c>
      <c r="BM124" s="26">
        <f t="shared" si="715"/>
        <v>0</v>
      </c>
      <c r="BN124" s="26">
        <f t="shared" si="716"/>
        <v>3336.8882051282044</v>
      </c>
    </row>
    <row r="125" spans="2:66" ht="15" hidden="1" customHeight="1" x14ac:dyDescent="0.25">
      <c r="B125" s="1238" t="s">
        <v>502</v>
      </c>
      <c r="C125" s="1262" t="s">
        <v>354</v>
      </c>
      <c r="D125" s="843"/>
      <c r="E125" s="1240"/>
      <c r="F125" s="1241">
        <f>SUM(F121:F124)</f>
        <v>259260.51282051284</v>
      </c>
      <c r="G125" s="1240"/>
      <c r="H125" s="1241">
        <f>SUM(H121:H124)</f>
        <v>286455.38461538457</v>
      </c>
      <c r="I125" s="1242"/>
      <c r="J125" s="1243">
        <f>SUM(J121:J124)</f>
        <v>545715.8974358975</v>
      </c>
      <c r="K125" s="1246"/>
      <c r="L125" s="1241">
        <f>SUM(L121:L124)</f>
        <v>210716.92307692306</v>
      </c>
      <c r="M125" s="1244"/>
      <c r="N125" s="1245">
        <f>SUM(N121:N124)</f>
        <v>756432.82051282038</v>
      </c>
      <c r="O125" s="1246"/>
      <c r="P125" s="1241">
        <f>SUM(P121:P124)</f>
        <v>317231.79487179487</v>
      </c>
      <c r="Q125" s="1242"/>
      <c r="R125" s="1243">
        <f>SUM(R121:R124)</f>
        <v>1073664.6153846155</v>
      </c>
      <c r="S125" s="1246"/>
      <c r="T125" s="1241">
        <f>SUM(T121:T124)</f>
        <v>296538.4615384615</v>
      </c>
      <c r="U125" s="1242"/>
      <c r="V125" s="1243">
        <f>SUM(V121:V124)</f>
        <v>1370203.0769230768</v>
      </c>
      <c r="W125" s="1246"/>
      <c r="X125" s="1247">
        <f>SUM(X121:X124)</f>
        <v>298241.02564102563</v>
      </c>
      <c r="Y125" s="1244"/>
      <c r="Z125" s="1245">
        <f>SUM(Z121:Z124)</f>
        <v>912011.28205128177</v>
      </c>
      <c r="AA125" s="1248"/>
      <c r="AB125" s="1249">
        <f>SUM(AB121:AB124)</f>
        <v>1668444.1025641023</v>
      </c>
      <c r="AG125" s="2670"/>
      <c r="AH125" s="2670"/>
      <c r="AI125" s="2670"/>
      <c r="AJ125" s="2670"/>
      <c r="AQ125" s="2793"/>
      <c r="AR125" s="2793"/>
      <c r="AS125" s="2793"/>
      <c r="AT125" s="2793"/>
      <c r="AW125" s="26">
        <f t="shared" si="711"/>
        <v>0</v>
      </c>
      <c r="AX125" s="26">
        <f t="shared" si="712"/>
        <v>0</v>
      </c>
      <c r="BG125" s="26"/>
      <c r="BH125" s="26"/>
      <c r="BI125" s="26"/>
      <c r="BJ125" s="26"/>
      <c r="BK125" s="26">
        <f t="shared" si="713"/>
        <v>0</v>
      </c>
      <c r="BL125" s="26">
        <f t="shared" si="714"/>
        <v>1668444.102564102</v>
      </c>
      <c r="BM125" s="26">
        <f t="shared" si="715"/>
        <v>0</v>
      </c>
      <c r="BN125" s="26">
        <f t="shared" si="716"/>
        <v>1668444.102564102</v>
      </c>
    </row>
    <row r="126" spans="2:66" ht="15" hidden="1" customHeight="1" x14ac:dyDescent="0.25">
      <c r="B126" s="1263" t="s">
        <v>932</v>
      </c>
      <c r="C126" s="1262" t="s">
        <v>354</v>
      </c>
      <c r="D126" s="843"/>
      <c r="E126" s="1240"/>
      <c r="F126" s="1241" t="e">
        <f>+'B-FCE'!#REF!+SMS!F146</f>
        <v>#REF!</v>
      </c>
      <c r="G126" s="1240"/>
      <c r="H126" s="1241" t="e">
        <f>+'B-FCE'!#REF!+SMS!H146</f>
        <v>#REF!</v>
      </c>
      <c r="I126" s="1242"/>
      <c r="J126" s="1243" t="e">
        <f>+'B-FCE'!#REF!+SMS!J146</f>
        <v>#REF!</v>
      </c>
      <c r="K126" s="1246"/>
      <c r="L126" s="1241" t="e">
        <f>+'B-FCE'!#REF!+SMS!L146</f>
        <v>#REF!</v>
      </c>
      <c r="M126" s="1244"/>
      <c r="N126" s="1245" t="e">
        <f>+'B-FCE'!#REF!+SMS!N146</f>
        <v>#REF!</v>
      </c>
      <c r="O126" s="1246"/>
      <c r="P126" s="1241" t="e">
        <f>+'B-FCE'!#REF!+SMS!P146</f>
        <v>#REF!</v>
      </c>
      <c r="Q126" s="1242"/>
      <c r="R126" s="1243" t="e">
        <f>+'B-FCE'!#REF!+SMS!R146</f>
        <v>#REF!</v>
      </c>
      <c r="S126" s="1246"/>
      <c r="T126" s="1241" t="e">
        <f>+'B-FCE'!#REF!+SMS!T146</f>
        <v>#REF!</v>
      </c>
      <c r="U126" s="1242"/>
      <c r="V126" s="1243" t="e">
        <f>+'B-FCE'!#REF!+SMS!V146</f>
        <v>#REF!</v>
      </c>
      <c r="W126" s="1246"/>
      <c r="X126" s="1247" t="e">
        <f>+'B-FCE'!#REF!+SMS!X146</f>
        <v>#REF!</v>
      </c>
      <c r="Y126" s="1244"/>
      <c r="Z126" s="1245" t="e">
        <f>+'B-FCE'!#REF!+SMS!Z146</f>
        <v>#REF!</v>
      </c>
      <c r="AA126" s="1248"/>
      <c r="AB126" s="1249" t="e">
        <f>+'B-FCE'!#REF!+SMS!AB146</f>
        <v>#REF!</v>
      </c>
      <c r="AG126" s="2670"/>
      <c r="AH126" s="2670"/>
      <c r="AI126" s="2670"/>
      <c r="AJ126" s="2670"/>
      <c r="AQ126" s="2793"/>
      <c r="AR126" s="2793"/>
      <c r="AS126" s="2793"/>
      <c r="AT126" s="2793"/>
      <c r="AW126" s="26">
        <f t="shared" si="711"/>
        <v>0</v>
      </c>
      <c r="AX126" s="26">
        <f t="shared" si="712"/>
        <v>0</v>
      </c>
      <c r="BG126" s="26"/>
      <c r="BH126" s="26"/>
      <c r="BI126" s="26"/>
      <c r="BJ126" s="26"/>
      <c r="BK126" s="26">
        <f t="shared" si="713"/>
        <v>0</v>
      </c>
      <c r="BL126" s="26" t="e">
        <f t="shared" si="714"/>
        <v>#REF!</v>
      </c>
      <c r="BM126" s="26">
        <f t="shared" si="715"/>
        <v>0</v>
      </c>
      <c r="BN126" s="26" t="e">
        <f t="shared" si="716"/>
        <v>#REF!</v>
      </c>
    </row>
    <row r="127" spans="2:66" ht="15" hidden="1" customHeight="1" x14ac:dyDescent="0.25">
      <c r="B127" s="1238" t="s">
        <v>209</v>
      </c>
      <c r="C127" s="1262" t="s">
        <v>354</v>
      </c>
      <c r="D127" s="843"/>
      <c r="E127" s="1240"/>
      <c r="F127" s="1241" t="e">
        <f>+F126*F118/(100-F118)</f>
        <v>#REF!</v>
      </c>
      <c r="G127" s="1240"/>
      <c r="H127" s="1241" t="e">
        <f>+H126*H118/(100-H118)</f>
        <v>#REF!</v>
      </c>
      <c r="I127" s="1242"/>
      <c r="J127" s="1243" t="e">
        <f>+J126*J118/(100-J118)</f>
        <v>#REF!</v>
      </c>
      <c r="K127" s="1246"/>
      <c r="L127" s="1241" t="e">
        <f>+L126*L118/(100-L118)</f>
        <v>#REF!</v>
      </c>
      <c r="M127" s="1244"/>
      <c r="N127" s="1245" t="e">
        <f>+N126*N118/(100-N118)</f>
        <v>#REF!</v>
      </c>
      <c r="O127" s="1246"/>
      <c r="P127" s="1241" t="e">
        <f>+P126*P118/(100-P118)</f>
        <v>#REF!</v>
      </c>
      <c r="Q127" s="1242"/>
      <c r="R127" s="1243" t="e">
        <f>+R126*R118/(100-R118)</f>
        <v>#REF!</v>
      </c>
      <c r="S127" s="1246"/>
      <c r="T127" s="1241" t="e">
        <f>+T126*T118/(100-T118)</f>
        <v>#REF!</v>
      </c>
      <c r="U127" s="1242"/>
      <c r="V127" s="1243" t="e">
        <f>+V126*V118/(100-V118)</f>
        <v>#REF!</v>
      </c>
      <c r="W127" s="1246"/>
      <c r="X127" s="1247" t="e">
        <f>+X126*X118/(100-X118)</f>
        <v>#REF!</v>
      </c>
      <c r="Y127" s="1244"/>
      <c r="Z127" s="1245" t="e">
        <f>+Z126*Z118/(100-Z118)</f>
        <v>#REF!</v>
      </c>
      <c r="AA127" s="1248"/>
      <c r="AB127" s="1249" t="e">
        <f>+AB126*AB118/(100-AB118)</f>
        <v>#REF!</v>
      </c>
      <c r="AG127" s="2670"/>
      <c r="AH127" s="2670"/>
      <c r="AI127" s="2670"/>
      <c r="AJ127" s="2670"/>
      <c r="AQ127" s="2793"/>
      <c r="AR127" s="2793"/>
      <c r="AS127" s="2793"/>
      <c r="AT127" s="2793"/>
      <c r="AW127" s="26">
        <f t="shared" si="711"/>
        <v>0</v>
      </c>
      <c r="AX127" s="26">
        <f t="shared" si="712"/>
        <v>0</v>
      </c>
      <c r="BG127" s="26"/>
      <c r="BH127" s="26"/>
      <c r="BI127" s="26"/>
      <c r="BJ127" s="26"/>
      <c r="BK127" s="26">
        <f t="shared" si="713"/>
        <v>0</v>
      </c>
      <c r="BL127" s="26" t="e">
        <f t="shared" si="714"/>
        <v>#REF!</v>
      </c>
      <c r="BM127" s="26">
        <f t="shared" si="715"/>
        <v>0</v>
      </c>
      <c r="BN127" s="26" t="e">
        <f t="shared" si="716"/>
        <v>#REF!</v>
      </c>
    </row>
    <row r="128" spans="2:66" ht="15" hidden="1" customHeight="1" x14ac:dyDescent="0.25">
      <c r="B128" s="1238" t="s">
        <v>843</v>
      </c>
      <c r="C128" s="1262" t="s">
        <v>354</v>
      </c>
      <c r="D128" s="843"/>
      <c r="E128" s="1240"/>
      <c r="F128" s="1241" t="e">
        <f>+F126/(100-F119)*F119</f>
        <v>#REF!</v>
      </c>
      <c r="G128" s="1240"/>
      <c r="H128" s="1241" t="e">
        <f>+H126/(100-H119)*H119</f>
        <v>#REF!</v>
      </c>
      <c r="I128" s="1242"/>
      <c r="J128" s="1243" t="e">
        <f>+J126/(100-J119)*J119</f>
        <v>#REF!</v>
      </c>
      <c r="K128" s="1246"/>
      <c r="L128" s="1241" t="e">
        <f>+L126/(100-L119)*L119</f>
        <v>#REF!</v>
      </c>
      <c r="M128" s="1244"/>
      <c r="N128" s="1245" t="e">
        <f>+N126/(100-N119)*N119</f>
        <v>#REF!</v>
      </c>
      <c r="O128" s="1246"/>
      <c r="P128" s="1241" t="e">
        <f>+P126/(100-P119)*P119</f>
        <v>#REF!</v>
      </c>
      <c r="Q128" s="1242"/>
      <c r="R128" s="1243" t="e">
        <f>+R126/(100-R119)*R119</f>
        <v>#REF!</v>
      </c>
      <c r="S128" s="1246"/>
      <c r="T128" s="1241" t="e">
        <f>+T126/(100-T119)*T119</f>
        <v>#REF!</v>
      </c>
      <c r="U128" s="1242"/>
      <c r="V128" s="1243" t="e">
        <f>+V126/(100-V119)*V119</f>
        <v>#REF!</v>
      </c>
      <c r="W128" s="1246"/>
      <c r="X128" s="1247" t="e">
        <f>+X126/(100-X119)*X119</f>
        <v>#REF!</v>
      </c>
      <c r="Y128" s="1244"/>
      <c r="Z128" s="1245" t="e">
        <f>+Z126/(100-Z119)*Z119</f>
        <v>#REF!</v>
      </c>
      <c r="AA128" s="1248"/>
      <c r="AB128" s="1249" t="e">
        <f>+AB126/(100-AB119)*AB119</f>
        <v>#REF!</v>
      </c>
      <c r="AG128" s="2670"/>
      <c r="AH128" s="2670"/>
      <c r="AI128" s="2670"/>
      <c r="AJ128" s="2670"/>
      <c r="AQ128" s="2793"/>
      <c r="AR128" s="2793"/>
      <c r="AS128" s="2793"/>
      <c r="AT128" s="2793"/>
      <c r="AW128" s="26">
        <f t="shared" si="711"/>
        <v>0</v>
      </c>
      <c r="AX128" s="26">
        <f t="shared" si="712"/>
        <v>0</v>
      </c>
      <c r="BG128" s="26"/>
      <c r="BH128" s="26"/>
      <c r="BI128" s="26"/>
      <c r="BJ128" s="26"/>
      <c r="BK128" s="26">
        <f t="shared" si="713"/>
        <v>0</v>
      </c>
      <c r="BL128" s="26" t="e">
        <f t="shared" si="714"/>
        <v>#REF!</v>
      </c>
      <c r="BM128" s="26">
        <f t="shared" si="715"/>
        <v>0</v>
      </c>
      <c r="BN128" s="26" t="e">
        <f t="shared" si="716"/>
        <v>#REF!</v>
      </c>
    </row>
    <row r="129" spans="2:66" ht="15" hidden="1" customHeight="1" x14ac:dyDescent="0.25">
      <c r="B129" s="1238" t="s">
        <v>923</v>
      </c>
      <c r="C129" s="1262" t="s">
        <v>354</v>
      </c>
      <c r="D129" s="843"/>
      <c r="E129" s="1240"/>
      <c r="F129" s="1241" t="e">
        <f>+F128*F118/(100-F118)</f>
        <v>#REF!</v>
      </c>
      <c r="G129" s="1240"/>
      <c r="H129" s="1241" t="e">
        <f>+H128*H118/(100-H118)</f>
        <v>#REF!</v>
      </c>
      <c r="I129" s="1242"/>
      <c r="J129" s="1243" t="e">
        <f>+J128*J118/(100-J118)</f>
        <v>#REF!</v>
      </c>
      <c r="K129" s="1246"/>
      <c r="L129" s="1241" t="e">
        <f>+L128*L118/(100-L118)</f>
        <v>#REF!</v>
      </c>
      <c r="M129" s="1244"/>
      <c r="N129" s="1245" t="e">
        <f>+N128*N118/(100-N118)</f>
        <v>#REF!</v>
      </c>
      <c r="O129" s="1246"/>
      <c r="P129" s="1241" t="e">
        <f>+P128*P118/(100-P118)</f>
        <v>#REF!</v>
      </c>
      <c r="Q129" s="1242"/>
      <c r="R129" s="1243" t="e">
        <f>+R128*R118/(100-R118)</f>
        <v>#REF!</v>
      </c>
      <c r="S129" s="1246"/>
      <c r="T129" s="1241" t="e">
        <f>+T128*T118/(100-T118)</f>
        <v>#REF!</v>
      </c>
      <c r="U129" s="1242"/>
      <c r="V129" s="1243" t="e">
        <f>+V128*V118/(100-V118)</f>
        <v>#REF!</v>
      </c>
      <c r="W129" s="1246"/>
      <c r="X129" s="1247" t="e">
        <f>+X128*X118/(100-X118)</f>
        <v>#REF!</v>
      </c>
      <c r="Y129" s="1244"/>
      <c r="Z129" s="1245" t="e">
        <f>+Z128*Z118/(100-Z118)</f>
        <v>#REF!</v>
      </c>
      <c r="AA129" s="1248"/>
      <c r="AB129" s="1249" t="e">
        <f>+AB128*AB118/(100-AB118)</f>
        <v>#REF!</v>
      </c>
      <c r="AG129" s="2670"/>
      <c r="AH129" s="2670"/>
      <c r="AI129" s="2670"/>
      <c r="AJ129" s="2670"/>
      <c r="AQ129" s="2793"/>
      <c r="AR129" s="2793"/>
      <c r="AS129" s="2793"/>
      <c r="AT129" s="2793"/>
      <c r="AW129" s="26">
        <f t="shared" si="711"/>
        <v>0</v>
      </c>
      <c r="AX129" s="26">
        <f t="shared" si="712"/>
        <v>0</v>
      </c>
      <c r="BG129" s="26"/>
      <c r="BH129" s="26"/>
      <c r="BI129" s="26"/>
      <c r="BJ129" s="26"/>
      <c r="BK129" s="26">
        <f t="shared" si="713"/>
        <v>0</v>
      </c>
      <c r="BL129" s="26" t="e">
        <f t="shared" si="714"/>
        <v>#REF!</v>
      </c>
      <c r="BM129" s="26">
        <f t="shared" si="715"/>
        <v>0</v>
      </c>
      <c r="BN129" s="26" t="e">
        <f t="shared" si="716"/>
        <v>#REF!</v>
      </c>
    </row>
    <row r="130" spans="2:66" ht="15" hidden="1" customHeight="1" x14ac:dyDescent="0.25">
      <c r="B130" s="1238" t="s">
        <v>502</v>
      </c>
      <c r="C130" s="1262" t="s">
        <v>354</v>
      </c>
      <c r="D130" s="843"/>
      <c r="E130" s="1240"/>
      <c r="F130" s="1241" t="e">
        <f>SUM(F126:F129)</f>
        <v>#REF!</v>
      </c>
      <c r="G130" s="1240"/>
      <c r="H130" s="1241" t="e">
        <f>SUM(H126:H129)</f>
        <v>#REF!</v>
      </c>
      <c r="I130" s="1242"/>
      <c r="J130" s="1243" t="e">
        <f>SUM(J126:J129)</f>
        <v>#REF!</v>
      </c>
      <c r="K130" s="1246"/>
      <c r="L130" s="1241" t="e">
        <f>SUM(L126:L129)</f>
        <v>#REF!</v>
      </c>
      <c r="M130" s="1244"/>
      <c r="N130" s="1245" t="e">
        <f>SUM(N126:N129)</f>
        <v>#REF!</v>
      </c>
      <c r="O130" s="1246"/>
      <c r="P130" s="1241" t="e">
        <f>SUM(P126:P129)</f>
        <v>#REF!</v>
      </c>
      <c r="Q130" s="1242"/>
      <c r="R130" s="1243" t="e">
        <f>SUM(R126:R129)</f>
        <v>#REF!</v>
      </c>
      <c r="S130" s="1246"/>
      <c r="T130" s="1241" t="e">
        <f>SUM(T126:T129)</f>
        <v>#REF!</v>
      </c>
      <c r="U130" s="1242"/>
      <c r="V130" s="1243" t="e">
        <f>SUM(V126:V129)</f>
        <v>#REF!</v>
      </c>
      <c r="W130" s="1246"/>
      <c r="X130" s="1247" t="e">
        <f>SUM(X126:X129)</f>
        <v>#REF!</v>
      </c>
      <c r="Y130" s="1244"/>
      <c r="Z130" s="1245" t="e">
        <f>SUM(Z126:Z129)</f>
        <v>#REF!</v>
      </c>
      <c r="AA130" s="1248"/>
      <c r="AB130" s="1249" t="e">
        <f>SUM(AB126:AB129)</f>
        <v>#REF!</v>
      </c>
      <c r="AG130" s="2670"/>
      <c r="AH130" s="2670"/>
      <c r="AI130" s="2670"/>
      <c r="AJ130" s="2670"/>
      <c r="AQ130" s="2793"/>
      <c r="AR130" s="2793"/>
      <c r="AS130" s="2793"/>
      <c r="AT130" s="2793"/>
      <c r="AW130" s="26">
        <f t="shared" si="711"/>
        <v>0</v>
      </c>
      <c r="AX130" s="26">
        <f t="shared" si="712"/>
        <v>0</v>
      </c>
      <c r="BG130" s="26"/>
      <c r="BH130" s="26"/>
      <c r="BI130" s="26"/>
      <c r="BJ130" s="26"/>
      <c r="BK130" s="26">
        <f t="shared" si="713"/>
        <v>0</v>
      </c>
      <c r="BL130" s="26" t="e">
        <f t="shared" si="714"/>
        <v>#REF!</v>
      </c>
      <c r="BM130" s="26">
        <f t="shared" si="715"/>
        <v>0</v>
      </c>
      <c r="BN130" s="26" t="e">
        <f t="shared" si="716"/>
        <v>#REF!</v>
      </c>
    </row>
    <row r="131" spans="2:66" ht="15" hidden="1" customHeight="1" x14ac:dyDescent="0.25">
      <c r="B131" s="1263"/>
      <c r="C131" s="1261"/>
      <c r="D131" s="1445"/>
      <c r="E131" s="1240"/>
      <c r="F131" s="1241"/>
      <c r="G131" s="1240"/>
      <c r="H131" s="1241"/>
      <c r="I131" s="1242"/>
      <c r="J131" s="1243"/>
      <c r="K131" s="1246"/>
      <c r="L131" s="1241"/>
      <c r="M131" s="1244"/>
      <c r="N131" s="1245"/>
      <c r="O131" s="1246"/>
      <c r="P131" s="1241"/>
      <c r="Q131" s="1242"/>
      <c r="R131" s="1243"/>
      <c r="S131" s="1246"/>
      <c r="T131" s="1241"/>
      <c r="U131" s="1242"/>
      <c r="V131" s="1243"/>
      <c r="W131" s="1246"/>
      <c r="X131" s="1247"/>
      <c r="Y131" s="1244"/>
      <c r="Z131" s="1245"/>
      <c r="AA131" s="1248"/>
      <c r="AB131" s="1249"/>
      <c r="AG131" s="2670"/>
      <c r="AH131" s="2670"/>
      <c r="AI131" s="2670"/>
      <c r="AJ131" s="2670"/>
      <c r="AQ131" s="2793"/>
      <c r="AR131" s="2793"/>
      <c r="AS131" s="2793"/>
      <c r="AT131" s="2793"/>
      <c r="AW131" s="26">
        <f t="shared" si="711"/>
        <v>0</v>
      </c>
      <c r="AX131" s="26">
        <f t="shared" si="712"/>
        <v>0</v>
      </c>
      <c r="BG131" s="26"/>
      <c r="BH131" s="26"/>
      <c r="BI131" s="26"/>
      <c r="BJ131" s="26"/>
      <c r="BK131" s="26">
        <f t="shared" si="713"/>
        <v>0</v>
      </c>
      <c r="BL131" s="26">
        <f t="shared" si="714"/>
        <v>0</v>
      </c>
      <c r="BM131" s="26">
        <f t="shared" si="715"/>
        <v>0</v>
      </c>
      <c r="BN131" s="26">
        <f t="shared" si="716"/>
        <v>0</v>
      </c>
    </row>
    <row r="132" spans="2:66" ht="15" hidden="1" customHeight="1" x14ac:dyDescent="0.25">
      <c r="B132" s="1238" t="s">
        <v>935</v>
      </c>
      <c r="C132" s="1262" t="s">
        <v>354</v>
      </c>
      <c r="D132" s="843"/>
      <c r="E132" s="1240"/>
      <c r="F132" s="1241" t="e">
        <f>+F125-F130</f>
        <v>#REF!</v>
      </c>
      <c r="G132" s="1240"/>
      <c r="H132" s="1241" t="e">
        <f>+H125-H130</f>
        <v>#REF!</v>
      </c>
      <c r="I132" s="1242"/>
      <c r="J132" s="1243" t="e">
        <f>+J125-J130</f>
        <v>#REF!</v>
      </c>
      <c r="K132" s="1246"/>
      <c r="L132" s="1241" t="e">
        <f>+L125-L130</f>
        <v>#REF!</v>
      </c>
      <c r="M132" s="1244"/>
      <c r="N132" s="1245" t="e">
        <f>+N125-N130</f>
        <v>#REF!</v>
      </c>
      <c r="O132" s="1246"/>
      <c r="P132" s="1241" t="e">
        <f>+P125-P130</f>
        <v>#REF!</v>
      </c>
      <c r="Q132" s="1242"/>
      <c r="R132" s="1243" t="e">
        <f>+R125-R130</f>
        <v>#REF!</v>
      </c>
      <c r="S132" s="1246"/>
      <c r="T132" s="1241" t="e">
        <f>+T125-T130</f>
        <v>#REF!</v>
      </c>
      <c r="U132" s="1242"/>
      <c r="V132" s="1243" t="e">
        <f>+V125-V130</f>
        <v>#REF!</v>
      </c>
      <c r="W132" s="1246"/>
      <c r="X132" s="1247" t="e">
        <f>+X125-X130</f>
        <v>#REF!</v>
      </c>
      <c r="Y132" s="1244"/>
      <c r="Z132" s="1245" t="e">
        <f>+Z125-Z130</f>
        <v>#REF!</v>
      </c>
      <c r="AA132" s="1248"/>
      <c r="AB132" s="1249" t="e">
        <f>+AB125-AB130</f>
        <v>#REF!</v>
      </c>
      <c r="AG132" s="2670"/>
      <c r="AH132" s="2670"/>
      <c r="AI132" s="2670"/>
      <c r="AJ132" s="2670"/>
      <c r="AQ132" s="2793"/>
      <c r="AR132" s="2793"/>
      <c r="AS132" s="2793"/>
      <c r="AT132" s="2793"/>
      <c r="AW132" s="26">
        <f t="shared" si="711"/>
        <v>0</v>
      </c>
      <c r="AX132" s="26">
        <f t="shared" si="712"/>
        <v>0</v>
      </c>
      <c r="BG132" s="26"/>
      <c r="BH132" s="26"/>
      <c r="BI132" s="26"/>
      <c r="BJ132" s="26"/>
      <c r="BK132" s="26">
        <f t="shared" si="713"/>
        <v>0</v>
      </c>
      <c r="BL132" s="26" t="e">
        <f t="shared" si="714"/>
        <v>#REF!</v>
      </c>
      <c r="BM132" s="26">
        <f t="shared" si="715"/>
        <v>0</v>
      </c>
      <c r="BN132" s="26" t="e">
        <f t="shared" si="716"/>
        <v>#REF!</v>
      </c>
    </row>
    <row r="133" spans="2:66" ht="15" hidden="1" customHeight="1" x14ac:dyDescent="0.25">
      <c r="B133" s="1263"/>
      <c r="C133" s="1261"/>
      <c r="E133" s="233"/>
      <c r="F133" s="233"/>
      <c r="G133" s="233"/>
      <c r="H133" s="233"/>
      <c r="I133" s="233"/>
      <c r="J133" s="233"/>
      <c r="K133" s="1556"/>
      <c r="L133" s="233"/>
      <c r="M133" s="233"/>
      <c r="N133" s="233"/>
      <c r="O133" s="1556"/>
      <c r="P133" s="233"/>
      <c r="Q133" s="233"/>
      <c r="R133" s="233"/>
      <c r="S133" s="1556"/>
      <c r="T133" s="233"/>
      <c r="U133" s="233"/>
      <c r="V133" s="233"/>
      <c r="W133" s="233"/>
      <c r="X133" s="233"/>
      <c r="Y133" s="233"/>
      <c r="Z133" s="233"/>
      <c r="AA133" s="233"/>
      <c r="AB133" s="233"/>
      <c r="AG133" s="2670"/>
      <c r="AH133" s="2670"/>
      <c r="AI133" s="2670"/>
      <c r="AJ133" s="2670"/>
      <c r="AQ133" s="2793"/>
      <c r="AR133" s="2793"/>
      <c r="AS133" s="2793"/>
      <c r="AT133" s="2793"/>
      <c r="AW133" s="26">
        <f t="shared" si="711"/>
        <v>0</v>
      </c>
      <c r="AX133" s="26">
        <f t="shared" si="712"/>
        <v>0</v>
      </c>
      <c r="BG133" s="26"/>
      <c r="BH133" s="26"/>
      <c r="BI133" s="26"/>
      <c r="BJ133" s="26"/>
      <c r="BK133" s="26">
        <f t="shared" si="713"/>
        <v>0</v>
      </c>
      <c r="BL133" s="26">
        <f t="shared" si="714"/>
        <v>0</v>
      </c>
      <c r="BM133" s="26">
        <f t="shared" si="715"/>
        <v>0</v>
      </c>
      <c r="BN133" s="26">
        <f t="shared" si="716"/>
        <v>0</v>
      </c>
    </row>
    <row r="134" spans="2:66" ht="15.75" hidden="1" customHeight="1" x14ac:dyDescent="0.25">
      <c r="B134" s="1264" t="s">
        <v>788</v>
      </c>
      <c r="C134" s="1261"/>
      <c r="E134" s="233"/>
      <c r="F134" s="233"/>
      <c r="G134" s="233"/>
      <c r="H134" s="233"/>
      <c r="I134" s="233"/>
      <c r="J134" s="233"/>
      <c r="K134" s="1556"/>
      <c r="L134" s="233"/>
      <c r="M134" s="233"/>
      <c r="N134" s="233"/>
      <c r="O134" s="1556"/>
      <c r="P134" s="233"/>
      <c r="Q134" s="233"/>
      <c r="R134" s="233"/>
      <c r="S134" s="1556"/>
      <c r="T134" s="233"/>
      <c r="U134" s="233"/>
      <c r="V134" s="233"/>
      <c r="W134" s="233"/>
      <c r="X134" s="233"/>
      <c r="Y134" s="233"/>
      <c r="Z134" s="233"/>
      <c r="AA134" s="233"/>
      <c r="AB134" s="233"/>
      <c r="AG134" s="2670"/>
      <c r="AH134" s="2670"/>
      <c r="AI134" s="2670"/>
      <c r="AJ134" s="2670"/>
      <c r="AQ134" s="2793"/>
      <c r="AR134" s="2793"/>
      <c r="AS134" s="2793"/>
      <c r="AT134" s="2793"/>
      <c r="AW134" s="26">
        <f t="shared" si="711"/>
        <v>0</v>
      </c>
      <c r="AX134" s="26">
        <f t="shared" si="712"/>
        <v>0</v>
      </c>
      <c r="BG134" s="26"/>
      <c r="BH134" s="26"/>
      <c r="BI134" s="26"/>
      <c r="BJ134" s="26"/>
      <c r="BK134" s="26">
        <f t="shared" si="713"/>
        <v>0</v>
      </c>
      <c r="BL134" s="26">
        <f t="shared" si="714"/>
        <v>0</v>
      </c>
      <c r="BM134" s="26">
        <f t="shared" si="715"/>
        <v>0</v>
      </c>
      <c r="BN134" s="26">
        <f t="shared" si="716"/>
        <v>0</v>
      </c>
    </row>
    <row r="135" spans="2:66" ht="15" hidden="1" customHeight="1" x14ac:dyDescent="0.25">
      <c r="B135" s="1238" t="s">
        <v>19</v>
      </c>
      <c r="C135" s="1262" t="s">
        <v>354</v>
      </c>
      <c r="D135" s="843"/>
      <c r="E135" s="1240"/>
      <c r="F135" s="1241">
        <f>+F7+F40</f>
        <v>20729</v>
      </c>
      <c r="G135" s="1240"/>
      <c r="H135" s="1241">
        <f>+H7+H40</f>
        <v>21120</v>
      </c>
      <c r="I135" s="1242"/>
      <c r="J135" s="1243">
        <f>+J7+J40</f>
        <v>41849</v>
      </c>
      <c r="K135" s="1246"/>
      <c r="L135" s="1241">
        <f>+L7+L40</f>
        <v>15255</v>
      </c>
      <c r="M135" s="1244"/>
      <c r="N135" s="1245">
        <f>+N7+N40</f>
        <v>57104</v>
      </c>
      <c r="O135" s="1246"/>
      <c r="P135" s="1241">
        <f>+P7+P40</f>
        <v>24666</v>
      </c>
      <c r="Q135" s="1242"/>
      <c r="R135" s="1243">
        <f>+R7+R40</f>
        <v>81770</v>
      </c>
      <c r="S135" s="1246"/>
      <c r="T135" s="1241">
        <f>+T7+T40</f>
        <v>22492</v>
      </c>
      <c r="U135" s="1242"/>
      <c r="V135" s="1243">
        <f>+V7+V40</f>
        <v>104262</v>
      </c>
      <c r="W135" s="1246"/>
      <c r="X135" s="1247">
        <f>+X7+X40</f>
        <v>23467</v>
      </c>
      <c r="Y135" s="1244"/>
      <c r="Z135" s="1245">
        <f>+Z7+Z40</f>
        <v>70625</v>
      </c>
      <c r="AA135" s="1248"/>
      <c r="AB135" s="1249">
        <f>+AB7+AB40</f>
        <v>127729</v>
      </c>
      <c r="AG135" s="2670"/>
      <c r="AH135" s="2670"/>
      <c r="AI135" s="2670"/>
      <c r="AJ135" s="2670"/>
      <c r="AQ135" s="2793"/>
      <c r="AR135" s="2793"/>
      <c r="AS135" s="2793"/>
      <c r="AT135" s="2793"/>
      <c r="AW135" s="26">
        <f t="shared" si="711"/>
        <v>0</v>
      </c>
      <c r="AX135" s="26">
        <f t="shared" si="712"/>
        <v>0</v>
      </c>
      <c r="BG135" s="26"/>
      <c r="BH135" s="26"/>
      <c r="BI135" s="26"/>
      <c r="BJ135" s="26"/>
      <c r="BK135" s="26">
        <f t="shared" si="713"/>
        <v>0</v>
      </c>
      <c r="BL135" s="26">
        <f t="shared" si="714"/>
        <v>127729</v>
      </c>
      <c r="BM135" s="26">
        <f t="shared" si="715"/>
        <v>0</v>
      </c>
      <c r="BN135" s="26">
        <f t="shared" si="716"/>
        <v>127729</v>
      </c>
    </row>
    <row r="136" spans="2:66" ht="15" hidden="1" customHeight="1" x14ac:dyDescent="0.25">
      <c r="B136" s="1238" t="s">
        <v>929</v>
      </c>
      <c r="C136" s="1265" t="s">
        <v>49</v>
      </c>
      <c r="D136" s="1427"/>
      <c r="E136" s="1266"/>
      <c r="F136" s="1267">
        <v>1.25</v>
      </c>
      <c r="G136" s="1266"/>
      <c r="H136" s="1267">
        <v>1.25</v>
      </c>
      <c r="I136" s="1268"/>
      <c r="J136" s="1269">
        <v>1.25</v>
      </c>
      <c r="K136" s="1272"/>
      <c r="L136" s="1267">
        <v>1.25</v>
      </c>
      <c r="M136" s="1270"/>
      <c r="N136" s="1271">
        <v>1.25</v>
      </c>
      <c r="O136" s="1272"/>
      <c r="P136" s="1267">
        <v>1.25</v>
      </c>
      <c r="Q136" s="1268"/>
      <c r="R136" s="1269">
        <v>1.25</v>
      </c>
      <c r="S136" s="1272"/>
      <c r="T136" s="1267">
        <v>1.25</v>
      </c>
      <c r="U136" s="1268"/>
      <c r="V136" s="1269">
        <v>1.25</v>
      </c>
      <c r="W136" s="1272"/>
      <c r="X136" s="1273">
        <v>1.25</v>
      </c>
      <c r="Y136" s="1270"/>
      <c r="Z136" s="1271">
        <v>1.25</v>
      </c>
      <c r="AA136" s="1274"/>
      <c r="AB136" s="1275">
        <v>1.25</v>
      </c>
      <c r="AG136" s="2670"/>
      <c r="AH136" s="2670"/>
      <c r="AI136" s="2670"/>
      <c r="AJ136" s="2670"/>
      <c r="AQ136" s="2793"/>
      <c r="AR136" s="2793"/>
      <c r="AS136" s="2793"/>
      <c r="AT136" s="2793"/>
      <c r="AW136" s="26">
        <f t="shared" si="711"/>
        <v>0</v>
      </c>
      <c r="AX136" s="26">
        <f t="shared" si="712"/>
        <v>0</v>
      </c>
      <c r="BG136" s="26"/>
      <c r="BH136" s="26"/>
      <c r="BI136" s="26"/>
      <c r="BJ136" s="26"/>
      <c r="BK136" s="26">
        <f t="shared" si="713"/>
        <v>0</v>
      </c>
      <c r="BL136" s="26">
        <f t="shared" si="714"/>
        <v>2.5</v>
      </c>
      <c r="BM136" s="26">
        <f t="shared" si="715"/>
        <v>0</v>
      </c>
      <c r="BN136" s="26">
        <f t="shared" si="716"/>
        <v>2.5</v>
      </c>
    </row>
    <row r="137" spans="2:66" ht="15" hidden="1" customHeight="1" x14ac:dyDescent="0.25">
      <c r="B137" s="1238" t="s">
        <v>929</v>
      </c>
      <c r="C137" s="1262" t="s">
        <v>354</v>
      </c>
      <c r="D137" s="843"/>
      <c r="E137" s="1240"/>
      <c r="F137" s="1241">
        <f>+F135*F136/(100-F136)</f>
        <v>262.39240506329116</v>
      </c>
      <c r="G137" s="1240"/>
      <c r="H137" s="1241">
        <f>+H135*H136/(100-H136)</f>
        <v>267.34177215189874</v>
      </c>
      <c r="I137" s="1242"/>
      <c r="J137" s="1243">
        <f>+J135*J136/(100-J136)</f>
        <v>529.7341772151899</v>
      </c>
      <c r="K137" s="1246"/>
      <c r="L137" s="1241">
        <f>+L135*L136/(100-L136)</f>
        <v>193.1012658227848</v>
      </c>
      <c r="M137" s="1244"/>
      <c r="N137" s="1245">
        <f>+N135*N136/(100-N136)</f>
        <v>722.83544303797464</v>
      </c>
      <c r="O137" s="1246"/>
      <c r="P137" s="1241">
        <f>+P135*P136/(100-P136)</f>
        <v>312.22784810126581</v>
      </c>
      <c r="Q137" s="1242"/>
      <c r="R137" s="1243">
        <f>+R135*R136/(100-R136)</f>
        <v>1035.0632911392406</v>
      </c>
      <c r="S137" s="1246"/>
      <c r="T137" s="1241">
        <f>+T135*T136/(100-T136)</f>
        <v>284.70886075949369</v>
      </c>
      <c r="U137" s="1242"/>
      <c r="V137" s="1243">
        <f>+V135*V136/(100-V136)</f>
        <v>1319.7721518987341</v>
      </c>
      <c r="W137" s="1246"/>
      <c r="X137" s="1247">
        <f>+X135*X136/(100-X136)</f>
        <v>297.05063291139243</v>
      </c>
      <c r="Y137" s="1244"/>
      <c r="Z137" s="1245">
        <f>+Z135*Z136/(100-Z136)</f>
        <v>893.98734177215192</v>
      </c>
      <c r="AA137" s="1248"/>
      <c r="AB137" s="1249">
        <f>+AB135*AB136/(100-AB136)</f>
        <v>1616.8227848101267</v>
      </c>
      <c r="AG137" s="2670"/>
      <c r="AH137" s="2670"/>
      <c r="AI137" s="2670"/>
      <c r="AJ137" s="2670"/>
      <c r="AQ137" s="2793"/>
      <c r="AR137" s="2793"/>
      <c r="AS137" s="2793"/>
      <c r="AT137" s="2793"/>
      <c r="AW137" s="26">
        <f t="shared" si="711"/>
        <v>0</v>
      </c>
      <c r="AX137" s="26">
        <f t="shared" si="712"/>
        <v>0</v>
      </c>
      <c r="BG137" s="26"/>
      <c r="BH137" s="26"/>
      <c r="BI137" s="26"/>
      <c r="BJ137" s="26"/>
      <c r="BK137" s="26">
        <f t="shared" si="713"/>
        <v>0</v>
      </c>
      <c r="BL137" s="26">
        <f t="shared" si="714"/>
        <v>1616.8227848101264</v>
      </c>
      <c r="BM137" s="26">
        <f t="shared" si="715"/>
        <v>0</v>
      </c>
      <c r="BN137" s="26">
        <f t="shared" si="716"/>
        <v>1616.8227848101264</v>
      </c>
    </row>
    <row r="138" spans="2:66" ht="15" hidden="1" customHeight="1" x14ac:dyDescent="0.25">
      <c r="B138" s="1238" t="s">
        <v>502</v>
      </c>
      <c r="C138" s="1262" t="s">
        <v>354</v>
      </c>
      <c r="D138" s="843"/>
      <c r="E138" s="1240"/>
      <c r="F138" s="1241">
        <f>+F137+F135</f>
        <v>20991.392405063292</v>
      </c>
      <c r="G138" s="1240"/>
      <c r="H138" s="1241">
        <f>+H137+H135</f>
        <v>21387.3417721519</v>
      </c>
      <c r="I138" s="1242"/>
      <c r="J138" s="1243">
        <f>+J137+J135</f>
        <v>42378.734177215192</v>
      </c>
      <c r="K138" s="1246"/>
      <c r="L138" s="1241">
        <f>+L137+L135</f>
        <v>15448.101265822785</v>
      </c>
      <c r="M138" s="1244"/>
      <c r="N138" s="1245">
        <f>+N137+N135</f>
        <v>57826.835443037977</v>
      </c>
      <c r="O138" s="1246"/>
      <c r="P138" s="1241">
        <f>+P137+P135</f>
        <v>24978.227848101265</v>
      </c>
      <c r="Q138" s="1242"/>
      <c r="R138" s="1243">
        <f>+R137+R135</f>
        <v>82805.063291139246</v>
      </c>
      <c r="S138" s="1246"/>
      <c r="T138" s="1241">
        <f>+T137+T135</f>
        <v>22776.708860759492</v>
      </c>
      <c r="U138" s="1242"/>
      <c r="V138" s="1243">
        <f>+V137+V135</f>
        <v>105581.77215189874</v>
      </c>
      <c r="W138" s="1246"/>
      <c r="X138" s="1247">
        <f>+X137+X135</f>
        <v>23764.050632911392</v>
      </c>
      <c r="Y138" s="1244"/>
      <c r="Z138" s="1245">
        <f>+Z137+Z135</f>
        <v>71518.987341772154</v>
      </c>
      <c r="AA138" s="1248"/>
      <c r="AB138" s="1249">
        <f>+AB137+AB135</f>
        <v>129345.82278481012</v>
      </c>
      <c r="AG138" s="2670"/>
      <c r="AH138" s="2670"/>
      <c r="AI138" s="2670"/>
      <c r="AJ138" s="2670"/>
      <c r="AQ138" s="2793"/>
      <c r="AR138" s="2793"/>
      <c r="AS138" s="2793"/>
      <c r="AT138" s="2793"/>
      <c r="AW138" s="26">
        <f t="shared" si="711"/>
        <v>0</v>
      </c>
      <c r="AX138" s="26">
        <f t="shared" si="712"/>
        <v>0</v>
      </c>
      <c r="BG138" s="26"/>
      <c r="BH138" s="26"/>
      <c r="BI138" s="26"/>
      <c r="BJ138" s="26"/>
      <c r="BK138" s="26">
        <f t="shared" ref="BK138:BK151" si="717">AM138+Y138+M138</f>
        <v>0</v>
      </c>
      <c r="BL138" s="26">
        <f t="shared" ref="BL138:BL151" si="718">AN138+Z138+N138</f>
        <v>129345.82278481012</v>
      </c>
      <c r="BM138" s="26">
        <f t="shared" ref="BM138:BM151" si="719">BK138-BG138</f>
        <v>0</v>
      </c>
      <c r="BN138" s="26">
        <f t="shared" ref="BN138:BN151" si="720">BL138-BH138</f>
        <v>129345.82278481012</v>
      </c>
    </row>
    <row r="139" spans="2:66" ht="15" hidden="1" customHeight="1" x14ac:dyDescent="0.25">
      <c r="B139" s="1238"/>
      <c r="C139" s="1262"/>
      <c r="D139" s="843"/>
      <c r="E139" s="1240"/>
      <c r="F139" s="1241"/>
      <c r="G139" s="1240"/>
      <c r="H139" s="1241"/>
      <c r="I139" s="1242"/>
      <c r="J139" s="1243"/>
      <c r="K139" s="1246"/>
      <c r="L139" s="1241"/>
      <c r="M139" s="1244"/>
      <c r="N139" s="1245"/>
      <c r="O139" s="1246"/>
      <c r="P139" s="1241"/>
      <c r="Q139" s="1242"/>
      <c r="R139" s="1243"/>
      <c r="S139" s="1246"/>
      <c r="T139" s="1241"/>
      <c r="U139" s="1242"/>
      <c r="V139" s="1243"/>
      <c r="W139" s="1246"/>
      <c r="X139" s="1247"/>
      <c r="Y139" s="1244"/>
      <c r="Z139" s="1245"/>
      <c r="AA139" s="1248"/>
      <c r="AB139" s="1249"/>
      <c r="AG139" s="2670"/>
      <c r="AH139" s="2670"/>
      <c r="AI139" s="2670"/>
      <c r="AJ139" s="2670"/>
      <c r="AQ139" s="2793"/>
      <c r="AR139" s="2793"/>
      <c r="AS139" s="2793"/>
      <c r="AT139" s="2793"/>
      <c r="AW139" s="26">
        <f t="shared" si="711"/>
        <v>0</v>
      </c>
      <c r="AX139" s="26">
        <f t="shared" si="712"/>
        <v>0</v>
      </c>
      <c r="BG139" s="26"/>
      <c r="BH139" s="26"/>
      <c r="BI139" s="26"/>
      <c r="BJ139" s="26"/>
      <c r="BK139" s="26">
        <f t="shared" si="717"/>
        <v>0</v>
      </c>
      <c r="BL139" s="26">
        <f t="shared" si="718"/>
        <v>0</v>
      </c>
      <c r="BM139" s="26">
        <f t="shared" si="719"/>
        <v>0</v>
      </c>
      <c r="BN139" s="26">
        <f t="shared" si="720"/>
        <v>0</v>
      </c>
    </row>
    <row r="140" spans="2:66" ht="15.75" hidden="1" customHeight="1" x14ac:dyDescent="0.25">
      <c r="B140" s="1264" t="s">
        <v>787</v>
      </c>
      <c r="C140" s="1261"/>
      <c r="D140" s="1445"/>
      <c r="E140" s="1240"/>
      <c r="F140" s="1241"/>
      <c r="G140" s="1240"/>
      <c r="H140" s="1241"/>
      <c r="I140" s="1242"/>
      <c r="J140" s="1243"/>
      <c r="K140" s="1246"/>
      <c r="L140" s="1241"/>
      <c r="M140" s="1244"/>
      <c r="N140" s="1245"/>
      <c r="O140" s="1246"/>
      <c r="P140" s="1241"/>
      <c r="Q140" s="1242"/>
      <c r="R140" s="1243"/>
      <c r="S140" s="1246"/>
      <c r="T140" s="1241"/>
      <c r="U140" s="1242"/>
      <c r="V140" s="1243"/>
      <c r="W140" s="1246"/>
      <c r="X140" s="1247"/>
      <c r="Y140" s="1244"/>
      <c r="Z140" s="1245"/>
      <c r="AA140" s="1248"/>
      <c r="AB140" s="1249"/>
      <c r="AG140" s="2670"/>
      <c r="AH140" s="2670"/>
      <c r="AI140" s="2670"/>
      <c r="AJ140" s="2670"/>
      <c r="AQ140" s="2793"/>
      <c r="AR140" s="2793"/>
      <c r="AS140" s="2793"/>
      <c r="AT140" s="2793"/>
      <c r="AW140" s="26">
        <f t="shared" si="711"/>
        <v>0</v>
      </c>
      <c r="AX140" s="26">
        <f t="shared" si="712"/>
        <v>0</v>
      </c>
      <c r="BG140" s="26"/>
      <c r="BH140" s="26"/>
      <c r="BI140" s="26"/>
      <c r="BJ140" s="26"/>
      <c r="BK140" s="26">
        <f t="shared" si="717"/>
        <v>0</v>
      </c>
      <c r="BL140" s="26">
        <f t="shared" si="718"/>
        <v>0</v>
      </c>
      <c r="BM140" s="26">
        <f t="shared" si="719"/>
        <v>0</v>
      </c>
      <c r="BN140" s="26">
        <f t="shared" si="720"/>
        <v>0</v>
      </c>
    </row>
    <row r="141" spans="2:66" ht="15" hidden="1" customHeight="1" x14ac:dyDescent="0.25">
      <c r="B141" s="1238" t="s">
        <v>19</v>
      </c>
      <c r="C141" s="1262" t="s">
        <v>354</v>
      </c>
      <c r="D141" s="843"/>
      <c r="E141" s="1240"/>
      <c r="F141" s="1241">
        <f>+F8+F41</f>
        <v>32007</v>
      </c>
      <c r="G141" s="1240"/>
      <c r="H141" s="1241">
        <f>+H8+H41</f>
        <v>34439</v>
      </c>
      <c r="I141" s="1242"/>
      <c r="J141" s="1243">
        <f>+J8+J41</f>
        <v>66446</v>
      </c>
      <c r="K141" s="1246"/>
      <c r="L141" s="1241">
        <f>+L8+L41</f>
        <v>25539</v>
      </c>
      <c r="M141" s="1244"/>
      <c r="N141" s="1245">
        <f>+N8+N41</f>
        <v>91985</v>
      </c>
      <c r="O141" s="1246"/>
      <c r="P141" s="1241">
        <f>+P8+P41</f>
        <v>36587</v>
      </c>
      <c r="Q141" s="1242"/>
      <c r="R141" s="1243">
        <f>+R8+R41</f>
        <v>128572</v>
      </c>
      <c r="S141" s="1246"/>
      <c r="T141" s="1241">
        <f>+T8+T41</f>
        <v>35432</v>
      </c>
      <c r="U141" s="1242"/>
      <c r="V141" s="1243">
        <f>+V8+V41</f>
        <v>164004</v>
      </c>
      <c r="W141" s="1246"/>
      <c r="X141" s="1247">
        <f>+X8+X41</f>
        <v>35547</v>
      </c>
      <c r="Y141" s="1244"/>
      <c r="Z141" s="1245">
        <f>+Z8+Z41</f>
        <v>107566</v>
      </c>
      <c r="AA141" s="1248"/>
      <c r="AB141" s="1249">
        <f>+AB8+AB41</f>
        <v>199551</v>
      </c>
      <c r="AG141" s="2670"/>
      <c r="AH141" s="2670"/>
      <c r="AI141" s="2670"/>
      <c r="AJ141" s="2670"/>
      <c r="AQ141" s="2793"/>
      <c r="AR141" s="2793"/>
      <c r="AS141" s="2793"/>
      <c r="AT141" s="2793"/>
      <c r="AW141" s="26">
        <f t="shared" si="711"/>
        <v>0</v>
      </c>
      <c r="AX141" s="26">
        <f t="shared" si="712"/>
        <v>0</v>
      </c>
      <c r="BG141" s="26"/>
      <c r="BH141" s="26"/>
      <c r="BI141" s="26"/>
      <c r="BJ141" s="26"/>
      <c r="BK141" s="26">
        <f t="shared" si="717"/>
        <v>0</v>
      </c>
      <c r="BL141" s="26">
        <f t="shared" si="718"/>
        <v>199551</v>
      </c>
      <c r="BM141" s="26">
        <f t="shared" si="719"/>
        <v>0</v>
      </c>
      <c r="BN141" s="26">
        <f t="shared" si="720"/>
        <v>199551</v>
      </c>
    </row>
    <row r="142" spans="2:66" ht="15" hidden="1" customHeight="1" x14ac:dyDescent="0.25">
      <c r="B142" s="1238" t="s">
        <v>929</v>
      </c>
      <c r="C142" s="1265" t="s">
        <v>49</v>
      </c>
      <c r="D142" s="1427"/>
      <c r="E142" s="1266"/>
      <c r="F142" s="1267">
        <v>1.25</v>
      </c>
      <c r="G142" s="1266"/>
      <c r="H142" s="1267">
        <v>1.25</v>
      </c>
      <c r="I142" s="1268"/>
      <c r="J142" s="1269">
        <v>1.25</v>
      </c>
      <c r="K142" s="1272"/>
      <c r="L142" s="1267">
        <v>1.25</v>
      </c>
      <c r="M142" s="1270"/>
      <c r="N142" s="1271">
        <v>1.25</v>
      </c>
      <c r="O142" s="1272"/>
      <c r="P142" s="1267">
        <v>1.25</v>
      </c>
      <c r="Q142" s="1268"/>
      <c r="R142" s="1269">
        <v>1.25</v>
      </c>
      <c r="S142" s="1272"/>
      <c r="T142" s="1267">
        <v>1.25</v>
      </c>
      <c r="U142" s="1268"/>
      <c r="V142" s="1269">
        <v>1.25</v>
      </c>
      <c r="W142" s="1272"/>
      <c r="X142" s="1273">
        <v>1.25</v>
      </c>
      <c r="Y142" s="1270"/>
      <c r="Z142" s="1271">
        <v>1.25</v>
      </c>
      <c r="AA142" s="1274"/>
      <c r="AB142" s="1275">
        <v>1.25</v>
      </c>
      <c r="AG142" s="2670"/>
      <c r="AH142" s="2670"/>
      <c r="AI142" s="2670"/>
      <c r="AJ142" s="2670"/>
      <c r="AQ142" s="2793"/>
      <c r="AR142" s="2793"/>
      <c r="AS142" s="2793"/>
      <c r="AT142" s="2793"/>
      <c r="AW142" s="26">
        <f t="shared" si="711"/>
        <v>0</v>
      </c>
      <c r="AX142" s="26">
        <f t="shared" si="712"/>
        <v>0</v>
      </c>
      <c r="BG142" s="26"/>
      <c r="BH142" s="26"/>
      <c r="BI142" s="26"/>
      <c r="BJ142" s="26"/>
      <c r="BK142" s="26">
        <f t="shared" si="717"/>
        <v>0</v>
      </c>
      <c r="BL142" s="26">
        <f t="shared" si="718"/>
        <v>2.5</v>
      </c>
      <c r="BM142" s="26">
        <f t="shared" si="719"/>
        <v>0</v>
      </c>
      <c r="BN142" s="26">
        <f t="shared" si="720"/>
        <v>2.5</v>
      </c>
    </row>
    <row r="143" spans="2:66" ht="15" hidden="1" customHeight="1" x14ac:dyDescent="0.25">
      <c r="B143" s="1238" t="s">
        <v>929</v>
      </c>
      <c r="C143" s="1262" t="s">
        <v>354</v>
      </c>
      <c r="D143" s="843"/>
      <c r="E143" s="1240"/>
      <c r="F143" s="1241">
        <f>+F141*F142/(100-F142)</f>
        <v>405.15189873417722</v>
      </c>
      <c r="G143" s="1240"/>
      <c r="H143" s="1241">
        <f>+H141*H142/(100-H142)</f>
        <v>435.9367088607595</v>
      </c>
      <c r="I143" s="1242"/>
      <c r="J143" s="1243">
        <f>+J141*J142/(100-J142)</f>
        <v>841.08860759493666</v>
      </c>
      <c r="K143" s="1246"/>
      <c r="L143" s="1241">
        <f>+L141*L142/(100-L142)</f>
        <v>323.27848101265823</v>
      </c>
      <c r="M143" s="1244"/>
      <c r="N143" s="1245">
        <f>+N141*N142/(100-N142)</f>
        <v>1164.367088607595</v>
      </c>
      <c r="O143" s="1246"/>
      <c r="P143" s="1241">
        <f>+P141*P142/(100-P142)</f>
        <v>463.12658227848101</v>
      </c>
      <c r="Q143" s="1242"/>
      <c r="R143" s="1243">
        <f>+R141*R142/(100-R142)</f>
        <v>1627.493670886076</v>
      </c>
      <c r="S143" s="1246"/>
      <c r="T143" s="1241">
        <f>+T141*T142/(100-T142)</f>
        <v>448.50632911392404</v>
      </c>
      <c r="U143" s="1242"/>
      <c r="V143" s="1243">
        <f>+V141*V142/(100-V142)</f>
        <v>2076</v>
      </c>
      <c r="W143" s="1246"/>
      <c r="X143" s="1247">
        <f>+X141*X142/(100-X142)</f>
        <v>449.96202531645571</v>
      </c>
      <c r="Y143" s="1244"/>
      <c r="Z143" s="1245">
        <f>+Z141*Z142/(100-Z142)</f>
        <v>1361.5949367088608</v>
      </c>
      <c r="AA143" s="1248"/>
      <c r="AB143" s="1249">
        <f>+AB141*AB142/(100-AB142)</f>
        <v>2525.9620253164558</v>
      </c>
      <c r="AG143" s="2670"/>
      <c r="AH143" s="2670"/>
      <c r="AI143" s="2670"/>
      <c r="AJ143" s="2670"/>
      <c r="AQ143" s="2793"/>
      <c r="AR143" s="2793"/>
      <c r="AS143" s="2793"/>
      <c r="AT143" s="2793"/>
      <c r="AW143" s="26">
        <f t="shared" si="711"/>
        <v>0</v>
      </c>
      <c r="AX143" s="26">
        <f t="shared" si="712"/>
        <v>0</v>
      </c>
      <c r="BG143" s="26"/>
      <c r="BH143" s="26"/>
      <c r="BI143" s="26"/>
      <c r="BJ143" s="26"/>
      <c r="BK143" s="26">
        <f t="shared" si="717"/>
        <v>0</v>
      </c>
      <c r="BL143" s="26">
        <f t="shared" si="718"/>
        <v>2525.9620253164558</v>
      </c>
      <c r="BM143" s="26">
        <f t="shared" si="719"/>
        <v>0</v>
      </c>
      <c r="BN143" s="26">
        <f t="shared" si="720"/>
        <v>2525.9620253164558</v>
      </c>
    </row>
    <row r="144" spans="2:66" ht="15" hidden="1" customHeight="1" x14ac:dyDescent="0.25">
      <c r="B144" s="1238" t="s">
        <v>502</v>
      </c>
      <c r="C144" s="1262" t="s">
        <v>354</v>
      </c>
      <c r="D144" s="843"/>
      <c r="E144" s="1240"/>
      <c r="F144" s="1241">
        <f>+F143+F141</f>
        <v>32412.151898734177</v>
      </c>
      <c r="G144" s="1240"/>
      <c r="H144" s="1241">
        <f>+H143+H141</f>
        <v>34874.936708860761</v>
      </c>
      <c r="I144" s="1242"/>
      <c r="J144" s="1243">
        <f>+J143+J141</f>
        <v>67287.088607594938</v>
      </c>
      <c r="K144" s="1246"/>
      <c r="L144" s="1241">
        <f>+L143+L141</f>
        <v>25862.278481012658</v>
      </c>
      <c r="M144" s="1244"/>
      <c r="N144" s="1245">
        <f>+N143+N141</f>
        <v>93149.3670886076</v>
      </c>
      <c r="O144" s="1246"/>
      <c r="P144" s="1241">
        <f>+P143+P141</f>
        <v>37050.126582278484</v>
      </c>
      <c r="Q144" s="1242"/>
      <c r="R144" s="1243">
        <f>+R143+R141</f>
        <v>130199.49367088608</v>
      </c>
      <c r="S144" s="1246"/>
      <c r="T144" s="1241">
        <f>+T143+T141</f>
        <v>35880.506329113923</v>
      </c>
      <c r="U144" s="1242"/>
      <c r="V144" s="1243">
        <f>+V143+V141</f>
        <v>166080</v>
      </c>
      <c r="W144" s="1246"/>
      <c r="X144" s="1247">
        <f>+X143+X141</f>
        <v>35996.962025316454</v>
      </c>
      <c r="Y144" s="1244"/>
      <c r="Z144" s="1245">
        <f>+Z143+Z141</f>
        <v>108927.59493670886</v>
      </c>
      <c r="AA144" s="1248"/>
      <c r="AB144" s="1249">
        <f>+AB143+AB141</f>
        <v>202076.96202531646</v>
      </c>
      <c r="AG144" s="2670"/>
      <c r="AH144" s="2670"/>
      <c r="AI144" s="2670"/>
      <c r="AJ144" s="2670"/>
      <c r="AQ144" s="2793"/>
      <c r="AR144" s="2793"/>
      <c r="AS144" s="2793"/>
      <c r="AT144" s="2793"/>
      <c r="AW144" s="26">
        <f t="shared" ref="AW144:AW151" si="721">AS144-AU144</f>
        <v>0</v>
      </c>
      <c r="AX144" s="26">
        <f t="shared" ref="AX144:AX151" si="722">AT144-AV144</f>
        <v>0</v>
      </c>
      <c r="BG144" s="26"/>
      <c r="BH144" s="26"/>
      <c r="BI144" s="26"/>
      <c r="BJ144" s="26"/>
      <c r="BK144" s="26">
        <f t="shared" si="717"/>
        <v>0</v>
      </c>
      <c r="BL144" s="26">
        <f t="shared" si="718"/>
        <v>202076.96202531646</v>
      </c>
      <c r="BM144" s="26">
        <f t="shared" si="719"/>
        <v>0</v>
      </c>
      <c r="BN144" s="26">
        <f t="shared" si="720"/>
        <v>202076.96202531646</v>
      </c>
    </row>
    <row r="145" spans="2:66" ht="15" hidden="1" customHeight="1" x14ac:dyDescent="0.25">
      <c r="B145" s="233"/>
      <c r="C145" s="233"/>
      <c r="E145" s="233"/>
      <c r="F145" s="233"/>
      <c r="G145" s="233"/>
      <c r="H145" s="233"/>
      <c r="I145" s="233"/>
      <c r="J145" s="233"/>
      <c r="K145" s="1556"/>
      <c r="L145" s="233"/>
      <c r="M145" s="233"/>
      <c r="N145" s="233"/>
      <c r="O145" s="1556"/>
      <c r="P145" s="233"/>
      <c r="Q145" s="233"/>
      <c r="R145" s="233"/>
      <c r="S145" s="1556"/>
      <c r="T145" s="233"/>
      <c r="U145" s="233"/>
      <c r="V145" s="233"/>
      <c r="W145" s="233"/>
      <c r="X145" s="233"/>
      <c r="Y145" s="233"/>
      <c r="Z145" s="233"/>
      <c r="AA145" s="233"/>
      <c r="AB145" s="233"/>
      <c r="AG145" s="2670"/>
      <c r="AH145" s="2670"/>
      <c r="AI145" s="2670"/>
      <c r="AJ145" s="2670"/>
      <c r="AQ145" s="2793"/>
      <c r="AR145" s="2793"/>
      <c r="AS145" s="2793"/>
      <c r="AT145" s="2793"/>
      <c r="AW145" s="26">
        <f t="shared" si="721"/>
        <v>0</v>
      </c>
      <c r="AX145" s="26">
        <f t="shared" si="722"/>
        <v>0</v>
      </c>
      <c r="BG145" s="26"/>
      <c r="BH145" s="26"/>
      <c r="BI145" s="26"/>
      <c r="BJ145" s="26"/>
      <c r="BK145" s="26">
        <f t="shared" si="717"/>
        <v>0</v>
      </c>
      <c r="BL145" s="26">
        <f t="shared" si="718"/>
        <v>0</v>
      </c>
      <c r="BM145" s="26">
        <f t="shared" si="719"/>
        <v>0</v>
      </c>
      <c r="BN145" s="26">
        <f t="shared" si="720"/>
        <v>0</v>
      </c>
    </row>
    <row r="146" spans="2:66" ht="15" hidden="1" customHeight="1" x14ac:dyDescent="0.25">
      <c r="B146" s="233"/>
      <c r="C146" s="233"/>
      <c r="E146" s="233"/>
      <c r="F146" s="233"/>
      <c r="G146" s="233"/>
      <c r="H146" s="233"/>
      <c r="I146" s="233"/>
      <c r="J146" s="233"/>
      <c r="K146" s="1556"/>
      <c r="L146" s="233"/>
      <c r="M146" s="233"/>
      <c r="N146" s="233"/>
      <c r="O146" s="1556"/>
      <c r="P146" s="233"/>
      <c r="Q146" s="233"/>
      <c r="R146" s="233"/>
      <c r="S146" s="1556"/>
      <c r="T146" s="233"/>
      <c r="U146" s="233"/>
      <c r="V146" s="233"/>
      <c r="W146" s="233"/>
      <c r="X146" s="233"/>
      <c r="Y146" s="233"/>
      <c r="Z146" s="233"/>
      <c r="AA146" s="233"/>
      <c r="AB146" s="233"/>
      <c r="AG146" s="2670"/>
      <c r="AH146" s="2670"/>
      <c r="AI146" s="2670"/>
      <c r="AJ146" s="2670"/>
      <c r="AQ146" s="2793"/>
      <c r="AR146" s="2793"/>
      <c r="AS146" s="2793"/>
      <c r="AT146" s="2793"/>
      <c r="AW146" s="26">
        <f t="shared" si="721"/>
        <v>0</v>
      </c>
      <c r="AX146" s="26">
        <f t="shared" si="722"/>
        <v>0</v>
      </c>
      <c r="BG146" s="26"/>
      <c r="BH146" s="26"/>
      <c r="BI146" s="26"/>
      <c r="BJ146" s="26"/>
      <c r="BK146" s="26">
        <f t="shared" si="717"/>
        <v>0</v>
      </c>
      <c r="BL146" s="26">
        <f t="shared" si="718"/>
        <v>0</v>
      </c>
      <c r="BM146" s="26">
        <f t="shared" si="719"/>
        <v>0</v>
      </c>
      <c r="BN146" s="26">
        <f t="shared" si="720"/>
        <v>0</v>
      </c>
    </row>
    <row r="147" spans="2:66" ht="15" hidden="1" customHeight="1" x14ac:dyDescent="0.25">
      <c r="B147" s="233"/>
      <c r="C147" s="233"/>
      <c r="E147" s="233"/>
      <c r="F147" s="233"/>
      <c r="G147" s="233"/>
      <c r="H147" s="233"/>
      <c r="I147" s="233"/>
      <c r="J147" s="233"/>
      <c r="K147" s="1556"/>
      <c r="L147" s="233"/>
      <c r="M147" s="233"/>
      <c r="N147" s="233"/>
      <c r="O147" s="1556"/>
      <c r="P147" s="233"/>
      <c r="Q147" s="233"/>
      <c r="R147" s="233"/>
      <c r="S147" s="1556"/>
      <c r="T147" s="233"/>
      <c r="U147" s="233"/>
      <c r="V147" s="233"/>
      <c r="W147" s="233"/>
      <c r="X147" s="233"/>
      <c r="Y147" s="233"/>
      <c r="Z147" s="233"/>
      <c r="AA147" s="233"/>
      <c r="AB147" s="233"/>
      <c r="AG147" s="2670"/>
      <c r="AH147" s="2670"/>
      <c r="AI147" s="2670"/>
      <c r="AJ147" s="2670"/>
      <c r="AQ147" s="2793"/>
      <c r="AR147" s="2793"/>
      <c r="AS147" s="2793"/>
      <c r="AT147" s="2793"/>
      <c r="AW147" s="26">
        <f t="shared" si="721"/>
        <v>0</v>
      </c>
      <c r="AX147" s="26">
        <f t="shared" si="722"/>
        <v>0</v>
      </c>
      <c r="BG147" s="26"/>
      <c r="BH147" s="26"/>
      <c r="BI147" s="26"/>
      <c r="BJ147" s="26"/>
      <c r="BK147" s="26">
        <f t="shared" si="717"/>
        <v>0</v>
      </c>
      <c r="BL147" s="26">
        <f t="shared" si="718"/>
        <v>0</v>
      </c>
      <c r="BM147" s="26">
        <f t="shared" si="719"/>
        <v>0</v>
      </c>
      <c r="BN147" s="26">
        <f t="shared" si="720"/>
        <v>0</v>
      </c>
    </row>
    <row r="148" spans="2:66" ht="15" hidden="1" customHeight="1" x14ac:dyDescent="0.25">
      <c r="B148" s="233"/>
      <c r="C148" s="233"/>
      <c r="E148" s="233"/>
      <c r="F148" s="233"/>
      <c r="G148" s="233"/>
      <c r="H148" s="233"/>
      <c r="I148" s="233"/>
      <c r="J148" s="233"/>
      <c r="K148" s="1556"/>
      <c r="L148" s="233"/>
      <c r="M148" s="233"/>
      <c r="N148" s="233"/>
      <c r="O148" s="1556"/>
      <c r="P148" s="233"/>
      <c r="Q148" s="233"/>
      <c r="R148" s="233"/>
      <c r="S148" s="1556"/>
      <c r="T148" s="233"/>
      <c r="U148" s="233"/>
      <c r="V148" s="233"/>
      <c r="W148" s="233"/>
      <c r="X148" s="233"/>
      <c r="Y148" s="233"/>
      <c r="Z148" s="233"/>
      <c r="AA148" s="233"/>
      <c r="AB148" s="233"/>
      <c r="AG148" s="2670"/>
      <c r="AH148" s="2670"/>
      <c r="AI148" s="2670"/>
      <c r="AJ148" s="2670"/>
      <c r="AQ148" s="2793"/>
      <c r="AR148" s="2793"/>
      <c r="AS148" s="2793"/>
      <c r="AT148" s="2793"/>
      <c r="AW148" s="26">
        <f t="shared" si="721"/>
        <v>0</v>
      </c>
      <c r="AX148" s="26">
        <f t="shared" si="722"/>
        <v>0</v>
      </c>
      <c r="BG148" s="26"/>
      <c r="BH148" s="26"/>
      <c r="BI148" s="26"/>
      <c r="BJ148" s="26"/>
      <c r="BK148" s="26">
        <f t="shared" si="717"/>
        <v>0</v>
      </c>
      <c r="BL148" s="26">
        <f t="shared" si="718"/>
        <v>0</v>
      </c>
      <c r="BM148" s="26">
        <f t="shared" si="719"/>
        <v>0</v>
      </c>
      <c r="BN148" s="26">
        <f t="shared" si="720"/>
        <v>0</v>
      </c>
    </row>
    <row r="149" spans="2:66" ht="15" hidden="1" customHeight="1" x14ac:dyDescent="0.25">
      <c r="B149" s="233"/>
      <c r="C149" s="233"/>
      <c r="E149" s="233"/>
      <c r="F149" s="233"/>
      <c r="G149" s="233"/>
      <c r="H149" s="233"/>
      <c r="I149" s="233"/>
      <c r="J149" s="233"/>
      <c r="K149" s="1556"/>
      <c r="L149" s="233"/>
      <c r="M149" s="233"/>
      <c r="N149" s="233"/>
      <c r="O149" s="1556"/>
      <c r="P149" s="233"/>
      <c r="Q149" s="233"/>
      <c r="R149" s="233"/>
      <c r="S149" s="1556"/>
      <c r="T149" s="233"/>
      <c r="U149" s="233"/>
      <c r="V149" s="233"/>
      <c r="W149" s="233"/>
      <c r="X149" s="233"/>
      <c r="Y149" s="233"/>
      <c r="Z149" s="233"/>
      <c r="AA149" s="233"/>
      <c r="AB149" s="233"/>
      <c r="AG149" s="2670"/>
      <c r="AH149" s="2670"/>
      <c r="AI149" s="2670"/>
      <c r="AJ149" s="2670"/>
      <c r="AQ149" s="2793"/>
      <c r="AR149" s="2793"/>
      <c r="AS149" s="2793"/>
      <c r="AT149" s="2793"/>
      <c r="AW149" s="26">
        <f t="shared" si="721"/>
        <v>0</v>
      </c>
      <c r="AX149" s="26">
        <f t="shared" si="722"/>
        <v>0</v>
      </c>
      <c r="BG149" s="26"/>
      <c r="BH149" s="26"/>
      <c r="BI149" s="26"/>
      <c r="BJ149" s="26"/>
      <c r="BK149" s="26">
        <f t="shared" si="717"/>
        <v>0</v>
      </c>
      <c r="BL149" s="26">
        <f t="shared" si="718"/>
        <v>0</v>
      </c>
      <c r="BM149" s="26">
        <f t="shared" si="719"/>
        <v>0</v>
      </c>
      <c r="BN149" s="26">
        <f t="shared" si="720"/>
        <v>0</v>
      </c>
    </row>
    <row r="150" spans="2:66" ht="15" hidden="1" customHeight="1" x14ac:dyDescent="0.25">
      <c r="B150" s="233"/>
      <c r="C150" s="233"/>
      <c r="E150" s="233"/>
      <c r="F150" s="233"/>
      <c r="G150" s="233"/>
      <c r="H150" s="233"/>
      <c r="I150" s="233"/>
      <c r="J150" s="233"/>
      <c r="K150" s="1556"/>
      <c r="L150" s="233"/>
      <c r="M150" s="233"/>
      <c r="N150" s="233"/>
      <c r="O150" s="1556"/>
      <c r="P150" s="233"/>
      <c r="Q150" s="233"/>
      <c r="R150" s="233"/>
      <c r="S150" s="1556"/>
      <c r="T150" s="233"/>
      <c r="U150" s="233"/>
      <c r="V150" s="233"/>
      <c r="W150" s="233"/>
      <c r="X150" s="233"/>
      <c r="Y150" s="233"/>
      <c r="Z150" s="233"/>
      <c r="AA150" s="233"/>
      <c r="AB150" s="233"/>
      <c r="AG150" s="2670"/>
      <c r="AH150" s="2670"/>
      <c r="AI150" s="2670"/>
      <c r="AJ150" s="2670"/>
      <c r="AQ150" s="2793"/>
      <c r="AR150" s="2793"/>
      <c r="AS150" s="2793"/>
      <c r="AT150" s="2793"/>
      <c r="AW150" s="26">
        <f t="shared" si="721"/>
        <v>0</v>
      </c>
      <c r="AX150" s="26">
        <f t="shared" si="722"/>
        <v>0</v>
      </c>
      <c r="BG150" s="26"/>
      <c r="BH150" s="26"/>
      <c r="BI150" s="26"/>
      <c r="BJ150" s="26"/>
      <c r="BK150" s="26">
        <f t="shared" si="717"/>
        <v>0</v>
      </c>
      <c r="BL150" s="26">
        <f t="shared" si="718"/>
        <v>0</v>
      </c>
      <c r="BM150" s="26">
        <f t="shared" si="719"/>
        <v>0</v>
      </c>
      <c r="BN150" s="26">
        <f t="shared" si="720"/>
        <v>0</v>
      </c>
    </row>
    <row r="151" spans="2:66" ht="15" hidden="1" customHeight="1" x14ac:dyDescent="0.25">
      <c r="B151" s="233"/>
      <c r="C151" s="233"/>
      <c r="E151" s="233"/>
      <c r="F151" s="233"/>
      <c r="G151" s="233"/>
      <c r="H151" s="233"/>
      <c r="I151" s="233"/>
      <c r="J151" s="233"/>
      <c r="K151" s="1556"/>
      <c r="L151" s="233"/>
      <c r="M151" s="233"/>
      <c r="N151" s="233"/>
      <c r="O151" s="1556"/>
      <c r="P151" s="233"/>
      <c r="Q151" s="233"/>
      <c r="R151" s="233"/>
      <c r="S151" s="1556"/>
      <c r="T151" s="233"/>
      <c r="U151" s="233"/>
      <c r="V151" s="233"/>
      <c r="W151" s="233"/>
      <c r="X151" s="233"/>
      <c r="Y151" s="233"/>
      <c r="Z151" s="233"/>
      <c r="AA151" s="233"/>
      <c r="AB151" s="233"/>
      <c r="AG151" s="2670"/>
      <c r="AH151" s="2670"/>
      <c r="AI151" s="2670"/>
      <c r="AJ151" s="2670"/>
      <c r="AQ151" s="2793"/>
      <c r="AR151" s="2793"/>
      <c r="AS151" s="2793"/>
      <c r="AT151" s="2793"/>
      <c r="AW151" s="26">
        <f t="shared" si="721"/>
        <v>0</v>
      </c>
      <c r="AX151" s="26">
        <f t="shared" si="722"/>
        <v>0</v>
      </c>
      <c r="BG151" s="26"/>
      <c r="BH151" s="26"/>
      <c r="BI151" s="26"/>
      <c r="BJ151" s="26"/>
      <c r="BK151" s="26">
        <f t="shared" si="717"/>
        <v>0</v>
      </c>
      <c r="BL151" s="26">
        <f t="shared" si="718"/>
        <v>0</v>
      </c>
      <c r="BM151" s="26">
        <f t="shared" si="719"/>
        <v>0</v>
      </c>
      <c r="BN151" s="26">
        <f t="shared" si="720"/>
        <v>0</v>
      </c>
    </row>
    <row r="152" spans="2:66" ht="15" customHeight="1" x14ac:dyDescent="0.25">
      <c r="B152" s="233"/>
      <c r="C152" s="233"/>
      <c r="E152" s="233"/>
      <c r="F152" s="233"/>
      <c r="G152" s="233"/>
      <c r="H152" s="233"/>
      <c r="I152" s="233"/>
      <c r="J152" s="233"/>
      <c r="K152" s="1556"/>
      <c r="L152" s="233"/>
      <c r="M152" s="233"/>
      <c r="N152" s="233"/>
      <c r="O152" s="1556"/>
      <c r="P152" s="233"/>
      <c r="Q152" s="233"/>
      <c r="R152" s="233"/>
      <c r="S152" s="1556"/>
      <c r="T152" s="233"/>
      <c r="U152" s="233"/>
      <c r="V152" s="233"/>
      <c r="W152" s="233"/>
      <c r="X152" s="233"/>
      <c r="Y152" s="233"/>
      <c r="Z152" s="233"/>
      <c r="AA152" s="233"/>
      <c r="AB152" s="233"/>
      <c r="AG152" s="2670"/>
      <c r="AH152" s="2670"/>
      <c r="AI152" s="2670"/>
      <c r="AJ152" s="2670"/>
      <c r="AQ152" s="2793"/>
      <c r="AR152" s="2793"/>
      <c r="AS152" s="2793"/>
      <c r="AT152" s="2793"/>
    </row>
    <row r="153" spans="2:66" ht="15" customHeight="1" x14ac:dyDescent="0.25">
      <c r="B153" s="233"/>
      <c r="C153" s="233"/>
      <c r="E153" s="233"/>
      <c r="F153" s="233"/>
      <c r="G153" s="233"/>
      <c r="H153" s="233"/>
      <c r="I153" s="233"/>
      <c r="J153" s="233"/>
      <c r="K153" s="1556"/>
      <c r="L153" s="233"/>
      <c r="M153" s="233"/>
      <c r="N153" s="233"/>
      <c r="O153" s="1556"/>
      <c r="P153" s="233"/>
      <c r="Q153" s="233"/>
      <c r="R153" s="233"/>
      <c r="S153" s="233"/>
      <c r="T153" s="1821"/>
      <c r="U153" s="233"/>
      <c r="V153" s="233"/>
      <c r="W153" s="233"/>
      <c r="X153" s="233"/>
      <c r="Y153" s="233"/>
      <c r="Z153" s="233"/>
      <c r="AA153" s="233"/>
      <c r="AB153" s="233"/>
      <c r="AQ153" s="2793"/>
      <c r="AR153" s="2793"/>
      <c r="AS153" s="2793"/>
      <c r="AT153" s="2793"/>
    </row>
    <row r="154" spans="2:66" ht="15" customHeight="1" x14ac:dyDescent="0.25">
      <c r="B154" s="233"/>
      <c r="C154" s="233"/>
      <c r="E154" s="233"/>
      <c r="F154" s="233"/>
      <c r="G154" s="233"/>
      <c r="H154" s="233"/>
      <c r="I154" s="233"/>
      <c r="J154" s="233"/>
      <c r="K154" s="1556"/>
      <c r="L154" s="233"/>
      <c r="M154" s="233"/>
      <c r="N154" s="233"/>
      <c r="O154" s="1556"/>
      <c r="P154" s="233"/>
      <c r="Q154" s="233"/>
      <c r="R154" s="233"/>
      <c r="S154" s="233"/>
      <c r="T154" s="1821"/>
      <c r="U154" s="233"/>
      <c r="V154" s="233"/>
      <c r="W154" s="233"/>
      <c r="X154" s="233"/>
      <c r="Y154" s="233"/>
      <c r="Z154" s="233"/>
      <c r="AA154" s="233"/>
      <c r="AB154" s="233"/>
    </row>
    <row r="155" spans="2:66" x14ac:dyDescent="0.25">
      <c r="B155" s="233"/>
      <c r="C155" s="233"/>
      <c r="E155" s="233"/>
      <c r="F155" s="233"/>
      <c r="G155" s="233"/>
      <c r="H155" s="233"/>
      <c r="I155" s="233"/>
      <c r="J155" s="233"/>
      <c r="K155" s="1556"/>
      <c r="L155" s="233"/>
      <c r="M155" s="233"/>
      <c r="N155" s="233"/>
      <c r="O155" s="1556"/>
      <c r="P155" s="233"/>
      <c r="Q155" s="233"/>
      <c r="R155" s="233"/>
      <c r="S155" s="233"/>
      <c r="T155" s="1821"/>
      <c r="U155" s="233"/>
      <c r="V155" s="233"/>
      <c r="W155" s="233"/>
      <c r="X155" s="233"/>
      <c r="Y155" s="233"/>
      <c r="Z155" s="233"/>
      <c r="AA155" s="233"/>
      <c r="AB155" s="233"/>
    </row>
    <row r="156" spans="2:66" x14ac:dyDescent="0.25">
      <c r="B156" s="233"/>
      <c r="C156" s="233"/>
      <c r="E156" s="233"/>
      <c r="F156" s="233"/>
      <c r="G156" s="233"/>
      <c r="H156" s="233"/>
      <c r="I156" s="233"/>
      <c r="J156" s="233"/>
      <c r="K156" s="1556"/>
      <c r="L156" s="233"/>
      <c r="M156" s="233"/>
      <c r="N156" s="233"/>
      <c r="O156" s="1556"/>
      <c r="P156" s="233"/>
      <c r="Q156" s="233"/>
      <c r="R156" s="233"/>
      <c r="S156" s="233"/>
      <c r="T156" s="1821"/>
      <c r="U156" s="233"/>
      <c r="V156" s="233"/>
      <c r="W156" s="233"/>
      <c r="X156" s="233"/>
      <c r="Y156" s="233"/>
      <c r="Z156" s="233"/>
      <c r="AA156" s="233"/>
      <c r="AB156" s="233"/>
    </row>
    <row r="157" spans="2:66" x14ac:dyDescent="0.25">
      <c r="B157" s="233"/>
      <c r="C157" s="233"/>
      <c r="E157" s="233"/>
      <c r="F157" s="233"/>
      <c r="G157" s="233"/>
      <c r="H157" s="233"/>
      <c r="I157" s="233"/>
      <c r="J157" s="233"/>
      <c r="K157" s="1556"/>
      <c r="L157" s="233"/>
      <c r="M157" s="233"/>
      <c r="N157" s="233"/>
      <c r="O157" s="1556"/>
      <c r="P157" s="233"/>
      <c r="Q157" s="233"/>
      <c r="R157" s="233"/>
      <c r="S157" s="233"/>
      <c r="T157" s="1821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25">
      <c r="B158" s="233"/>
      <c r="C158" s="233"/>
      <c r="E158" s="233"/>
      <c r="F158" s="233"/>
      <c r="G158" s="233"/>
      <c r="H158" s="233"/>
      <c r="I158" s="233"/>
      <c r="J158" s="233"/>
      <c r="K158" s="1556"/>
      <c r="L158" s="233"/>
      <c r="M158" s="233"/>
      <c r="N158" s="233"/>
      <c r="O158" s="1556"/>
      <c r="P158" s="233"/>
      <c r="Q158" s="233"/>
      <c r="R158" s="233"/>
      <c r="S158" s="233"/>
      <c r="T158" s="1821"/>
      <c r="U158" s="233"/>
      <c r="V158" s="233"/>
      <c r="W158" s="233"/>
      <c r="X158" s="233"/>
      <c r="Y158" s="233"/>
      <c r="Z158" s="233"/>
      <c r="AA158" s="233"/>
      <c r="AB158" s="233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N116"/>
  <sheetViews>
    <sheetView topLeftCell="A58" zoomScaleNormal="100" workbookViewId="0">
      <pane xSplit="4" topLeftCell="F1" activePane="topRight" state="frozen"/>
      <selection pane="topRight" activeCell="I74" sqref="I74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customWidth="1"/>
    <col min="10" max="10" width="14" customWidth="1"/>
    <col min="11" max="11" width="10.140625" hidden="1" customWidth="1"/>
    <col min="12" max="12" width="9.85546875" hidden="1" customWidth="1"/>
    <col min="13" max="14" width="11.5703125" hidden="1" customWidth="1"/>
    <col min="15" max="15" width="10.140625" hidden="1" customWidth="1"/>
    <col min="16" max="16" width="10.28515625" hidden="1" customWidth="1"/>
    <col min="17" max="17" width="11.7109375" hidden="1" customWidth="1"/>
    <col min="18" max="18" width="12.42578125" hidden="1" customWidth="1"/>
    <col min="19" max="19" width="10.140625" hidden="1" customWidth="1"/>
    <col min="20" max="20" width="12" hidden="1" customWidth="1"/>
    <col min="21" max="21" width="11.140625" hidden="1" customWidth="1"/>
    <col min="22" max="22" width="12.42578125" hidden="1" customWidth="1"/>
    <col min="23" max="23" width="10.140625" hidden="1" customWidth="1"/>
    <col min="24" max="24" width="12" hidden="1" customWidth="1"/>
    <col min="25" max="25" width="11.85546875" hidden="1" customWidth="1"/>
    <col min="26" max="26" width="9.85546875" hidden="1" customWidth="1"/>
    <col min="27" max="27" width="10.140625" hidden="1" customWidth="1"/>
    <col min="28" max="28" width="11.28515625" hidden="1" customWidth="1"/>
    <col min="29" max="29" width="10.140625" hidden="1" customWidth="1"/>
    <col min="30" max="30" width="15.28515625" hidden="1" customWidth="1"/>
    <col min="31" max="31" width="10.140625" hidden="1" customWidth="1"/>
    <col min="32" max="32" width="11.28515625" hidden="1" customWidth="1"/>
    <col min="33" max="34" width="9.7109375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3022" hidden="1" customWidth="1"/>
    <col min="54" max="54" width="10.140625" style="3022" hidden="1" customWidth="1"/>
    <col min="55" max="55" width="10" style="3022" hidden="1" customWidth="1"/>
    <col min="56" max="56" width="11.42578125" style="3022" hidden="1" customWidth="1"/>
    <col min="57" max="57" width="10" hidden="1" customWidth="1"/>
    <col min="58" max="58" width="11.28515625" hidden="1" customWidth="1"/>
    <col min="59" max="59" width="8.85546875"/>
    <col min="60" max="60" width="9.140625" bestFit="1" customWidth="1"/>
  </cols>
  <sheetData>
    <row r="1" spans="1:62" ht="22.5" x14ac:dyDescent="0.3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23"/>
      <c r="P1" s="579"/>
      <c r="Q1" s="347"/>
      <c r="R1" s="347"/>
      <c r="S1" s="347"/>
      <c r="T1" s="1814"/>
      <c r="U1" s="347"/>
      <c r="V1" s="347"/>
      <c r="W1" s="347"/>
      <c r="X1" s="347"/>
      <c r="Y1" s="347"/>
      <c r="Z1" s="347"/>
      <c r="AA1" s="347"/>
      <c r="AB1" s="347"/>
    </row>
    <row r="2" spans="1:62" ht="16.5" thickBot="1" x14ac:dyDescent="0.3">
      <c r="A2" s="93"/>
      <c r="B2" s="45"/>
      <c r="C2" s="202"/>
      <c r="D2" s="5666">
        <v>365</v>
      </c>
      <c r="E2" s="5666">
        <v>30</v>
      </c>
      <c r="F2" s="5666">
        <v>30</v>
      </c>
      <c r="G2" s="5666">
        <v>31</v>
      </c>
      <c r="H2" s="5666">
        <v>31</v>
      </c>
      <c r="I2" s="5666">
        <f>+E2+G2</f>
        <v>61</v>
      </c>
      <c r="J2" s="5666">
        <f>+F2+H2</f>
        <v>61</v>
      </c>
      <c r="K2" s="5743">
        <v>30</v>
      </c>
      <c r="L2" s="5666">
        <v>30</v>
      </c>
      <c r="M2" s="5666">
        <f>+I2+K2</f>
        <v>91</v>
      </c>
      <c r="N2" s="5666">
        <f>+J2+L2</f>
        <v>91</v>
      </c>
      <c r="O2" s="5743">
        <v>31</v>
      </c>
      <c r="P2" s="5743">
        <v>31</v>
      </c>
      <c r="Q2" s="5666">
        <f>+M2+O2</f>
        <v>122</v>
      </c>
      <c r="R2" s="5666">
        <f>+N2+P2</f>
        <v>122</v>
      </c>
      <c r="S2" s="5666">
        <v>31</v>
      </c>
      <c r="T2" s="5744">
        <v>31</v>
      </c>
      <c r="U2" s="5666">
        <f>+Q2+S2</f>
        <v>153</v>
      </c>
      <c r="V2" s="5666">
        <f>+R2+T2</f>
        <v>153</v>
      </c>
      <c r="W2" s="5666">
        <v>30</v>
      </c>
      <c r="X2" s="5743">
        <v>30</v>
      </c>
      <c r="Y2" s="5666">
        <f>+O2+S2+W2</f>
        <v>92</v>
      </c>
      <c r="Z2" s="5666">
        <f>+P2+T2+X2</f>
        <v>92</v>
      </c>
      <c r="AA2" s="5666">
        <f>+U2+W2</f>
        <v>183</v>
      </c>
      <c r="AB2" s="5666">
        <f>+V2+X2</f>
        <v>183</v>
      </c>
      <c r="AC2" s="5666">
        <v>31</v>
      </c>
      <c r="AD2" s="5744">
        <v>31</v>
      </c>
      <c r="AE2" s="5666">
        <f>+AA2+AC2</f>
        <v>214</v>
      </c>
      <c r="AF2" s="5666">
        <f>+AB2+AD2</f>
        <v>214</v>
      </c>
      <c r="AG2" s="5666">
        <v>30</v>
      </c>
      <c r="AH2" s="5744">
        <v>30</v>
      </c>
      <c r="AI2" s="5666">
        <f>+AE2+AG2</f>
        <v>244</v>
      </c>
      <c r="AJ2" s="5666">
        <f>+AF2+AH2</f>
        <v>244</v>
      </c>
      <c r="AK2" s="97">
        <v>31</v>
      </c>
      <c r="AL2" s="1806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806">
        <v>31</v>
      </c>
      <c r="AS2" s="97">
        <f>+AO2+AQ2</f>
        <v>306</v>
      </c>
      <c r="AT2" s="97">
        <f>+AP2+AR2</f>
        <v>306</v>
      </c>
      <c r="AU2" s="97">
        <v>28</v>
      </c>
      <c r="AV2" s="1806">
        <v>28</v>
      </c>
      <c r="AW2" s="97">
        <f>+AS2+AU2</f>
        <v>334</v>
      </c>
      <c r="AX2" s="97">
        <f>+AT2+AV2</f>
        <v>334</v>
      </c>
      <c r="AY2" s="97">
        <v>31</v>
      </c>
      <c r="AZ2" s="1806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2" ht="16.5" hidden="1" thickBot="1" x14ac:dyDescent="0.3">
      <c r="A3" s="93"/>
      <c r="B3" s="45" t="s">
        <v>2304</v>
      </c>
      <c r="C3" s="202"/>
      <c r="D3" s="5665"/>
      <c r="E3" s="5665"/>
      <c r="F3" s="5665">
        <f>80/24</f>
        <v>3.3333333333333335</v>
      </c>
      <c r="G3" s="5665"/>
      <c r="H3" s="5665">
        <f>29/24</f>
        <v>1.2083333333333333</v>
      </c>
      <c r="I3" s="5665"/>
      <c r="J3" s="5666">
        <f>+F3+H3</f>
        <v>4.541666666666667</v>
      </c>
      <c r="K3" s="5741"/>
      <c r="L3" s="5665">
        <f>118/24</f>
        <v>4.916666666666667</v>
      </c>
      <c r="M3" s="5665"/>
      <c r="N3" s="5665">
        <f>+F3+H3+L3</f>
        <v>9.4583333333333339</v>
      </c>
      <c r="O3" s="5741"/>
      <c r="P3" s="5745">
        <f>18/24</f>
        <v>0.75</v>
      </c>
      <c r="Q3" s="5665"/>
      <c r="R3" s="5666">
        <f>+N3+P3</f>
        <v>10.208333333333334</v>
      </c>
      <c r="S3" s="5665"/>
      <c r="T3" s="5742">
        <f>34/24</f>
        <v>1.4166666666666667</v>
      </c>
      <c r="U3" s="5665"/>
      <c r="V3" s="5666">
        <f>+R3+T3</f>
        <v>11.625</v>
      </c>
      <c r="W3" s="5665"/>
      <c r="X3" s="5741">
        <f>2/24</f>
        <v>8.3333333333333329E-2</v>
      </c>
      <c r="Y3" s="5665"/>
      <c r="Z3" s="5665">
        <f>+P3+T3+X3</f>
        <v>2.2500000000000004</v>
      </c>
      <c r="AA3" s="5665"/>
      <c r="AB3" s="5665">
        <f>+N3+Z3</f>
        <v>11.708333333333334</v>
      </c>
      <c r="AC3" s="5665"/>
      <c r="AD3" s="5742">
        <f>24.83/24</f>
        <v>1.0345833333333332</v>
      </c>
      <c r="AE3" s="5665"/>
      <c r="AF3" s="5666">
        <f>+AB3+AD3</f>
        <v>12.742916666666668</v>
      </c>
      <c r="AG3" s="5665"/>
      <c r="AH3" s="5742">
        <f>651/24</f>
        <v>27.125</v>
      </c>
      <c r="AI3" s="5665"/>
      <c r="AJ3" s="5666">
        <f>+AF3+AH3</f>
        <v>39.867916666666666</v>
      </c>
      <c r="AK3" s="97"/>
      <c r="AL3" s="3137">
        <f>6/24</f>
        <v>0.25</v>
      </c>
      <c r="AM3" s="97"/>
      <c r="AN3" s="3138">
        <f>+AD3+AH3+AL3</f>
        <v>28.409583333333334</v>
      </c>
      <c r="AO3" s="97"/>
      <c r="AP3" s="97">
        <f>+AL3+AJ3</f>
        <v>40.117916666666666</v>
      </c>
      <c r="AQ3" s="97"/>
      <c r="AR3" s="1806">
        <f>27/24</f>
        <v>1.125</v>
      </c>
      <c r="AS3" s="97"/>
      <c r="AT3" s="97">
        <f>AP3+AR3</f>
        <v>41.242916666666666</v>
      </c>
      <c r="AU3" s="97"/>
      <c r="AV3" s="1806">
        <f>19.5/24</f>
        <v>0.8125</v>
      </c>
      <c r="AW3" s="97"/>
      <c r="AX3" s="2935">
        <f>AV3+F3+H3+L3+P3+T3+X3+AD3+AH3+AL3+AR3</f>
        <v>42.055416666666666</v>
      </c>
      <c r="AY3" s="97"/>
      <c r="AZ3" s="1806">
        <f>18.5/24</f>
        <v>0.77083333333333337</v>
      </c>
      <c r="BA3" s="97"/>
      <c r="BB3" s="2935">
        <f t="shared" ref="BB3" si="0">+AZ3+AV3+AR3</f>
        <v>2.7083333333333335</v>
      </c>
      <c r="BC3" s="97"/>
      <c r="BD3" s="97">
        <f>+AN3+BB3</f>
        <v>31.117916666666666</v>
      </c>
      <c r="BE3" s="97"/>
      <c r="BF3" s="2935">
        <f t="shared" ref="BF3" si="1">+AX3+AZ3</f>
        <v>42.826250000000002</v>
      </c>
    </row>
    <row r="4" spans="1:62" ht="15.75" thickBot="1" x14ac:dyDescent="0.3">
      <c r="A4" s="93"/>
      <c r="B4" s="7657" t="s">
        <v>171</v>
      </c>
      <c r="C4" s="7318" t="s">
        <v>172</v>
      </c>
      <c r="D4" s="7318" t="s">
        <v>2255</v>
      </c>
      <c r="E4" s="7318" t="s">
        <v>2254</v>
      </c>
      <c r="F4" s="7318"/>
      <c r="G4" s="7318" t="s">
        <v>2306</v>
      </c>
      <c r="H4" s="7318"/>
      <c r="I4" s="7656" t="s">
        <v>14</v>
      </c>
      <c r="J4" s="7297"/>
      <c r="K4" s="7317" t="s">
        <v>1903</v>
      </c>
      <c r="L4" s="7318"/>
      <c r="M4" s="7305" t="s">
        <v>637</v>
      </c>
      <c r="N4" s="7305"/>
      <c r="O4" s="7318" t="s">
        <v>1937</v>
      </c>
      <c r="P4" s="7318"/>
      <c r="Q4" s="7656" t="s">
        <v>17</v>
      </c>
      <c r="R4" s="7656"/>
      <c r="S4" s="7318" t="s">
        <v>1961</v>
      </c>
      <c r="T4" s="7318"/>
      <c r="U4" s="7656" t="s">
        <v>18</v>
      </c>
      <c r="V4" s="7297"/>
      <c r="W4" s="7364" t="s">
        <v>1983</v>
      </c>
      <c r="X4" s="7364"/>
      <c r="Y4" s="7371" t="s">
        <v>139</v>
      </c>
      <c r="Z4" s="7372"/>
      <c r="AA4" s="7354" t="s">
        <v>657</v>
      </c>
      <c r="AB4" s="7355"/>
      <c r="AC4" s="7318" t="s">
        <v>2002</v>
      </c>
      <c r="AD4" s="7318"/>
      <c r="AE4" s="7656" t="s">
        <v>24</v>
      </c>
      <c r="AF4" s="7297"/>
      <c r="AG4" s="7318" t="s">
        <v>2018</v>
      </c>
      <c r="AH4" s="7318"/>
      <c r="AI4" s="7656" t="s">
        <v>27</v>
      </c>
      <c r="AJ4" s="7297"/>
      <c r="AK4" s="7318" t="s">
        <v>2033</v>
      </c>
      <c r="AL4" s="7318"/>
      <c r="AM4" s="7371" t="s">
        <v>1685</v>
      </c>
      <c r="AN4" s="7372"/>
      <c r="AO4" s="7656" t="s">
        <v>1683</v>
      </c>
      <c r="AP4" s="7297"/>
      <c r="AQ4" s="7318" t="s">
        <v>2137</v>
      </c>
      <c r="AR4" s="7318"/>
      <c r="AS4" s="7656" t="s">
        <v>28</v>
      </c>
      <c r="AT4" s="7297"/>
      <c r="AU4" s="7318" t="s">
        <v>2151</v>
      </c>
      <c r="AV4" s="7318"/>
      <c r="AW4" s="7656" t="s">
        <v>30</v>
      </c>
      <c r="AX4" s="7297"/>
      <c r="AY4" s="7318" t="s">
        <v>2163</v>
      </c>
      <c r="AZ4" s="7318"/>
      <c r="BA4" s="7371" t="s">
        <v>1729</v>
      </c>
      <c r="BB4" s="7372"/>
      <c r="BC4" s="7354" t="s">
        <v>671</v>
      </c>
      <c r="BD4" s="7355"/>
      <c r="BE4" s="7656" t="s">
        <v>1765</v>
      </c>
      <c r="BF4" s="7297"/>
    </row>
    <row r="5" spans="1:62" ht="15.75" thickBot="1" x14ac:dyDescent="0.3">
      <c r="A5" s="93"/>
      <c r="B5" s="7658"/>
      <c r="C5" s="7659"/>
      <c r="D5" s="7659"/>
      <c r="E5" s="3811" t="s">
        <v>173</v>
      </c>
      <c r="F5" s="3811" t="s">
        <v>174</v>
      </c>
      <c r="G5" s="3811" t="s">
        <v>173</v>
      </c>
      <c r="H5" s="3811" t="s">
        <v>174</v>
      </c>
      <c r="I5" s="3812" t="s">
        <v>173</v>
      </c>
      <c r="J5" s="915" t="s">
        <v>174</v>
      </c>
      <c r="K5" s="1559" t="s">
        <v>173</v>
      </c>
      <c r="L5" s="2158" t="s">
        <v>174</v>
      </c>
      <c r="M5" s="2159" t="s">
        <v>173</v>
      </c>
      <c r="N5" s="2159" t="s">
        <v>174</v>
      </c>
      <c r="O5" s="814" t="s">
        <v>173</v>
      </c>
      <c r="P5" s="814" t="s">
        <v>174</v>
      </c>
      <c r="Q5" s="2160" t="s">
        <v>173</v>
      </c>
      <c r="R5" s="2160" t="s">
        <v>174</v>
      </c>
      <c r="S5" s="814" t="s">
        <v>173</v>
      </c>
      <c r="T5" s="814" t="s">
        <v>174</v>
      </c>
      <c r="U5" s="2160" t="s">
        <v>173</v>
      </c>
      <c r="V5" s="915" t="s">
        <v>174</v>
      </c>
      <c r="W5" s="232" t="s">
        <v>173</v>
      </c>
      <c r="X5" s="400" t="s">
        <v>174</v>
      </c>
      <c r="Y5" s="704" t="s">
        <v>173</v>
      </c>
      <c r="Z5" s="170" t="s">
        <v>174</v>
      </c>
      <c r="AA5" s="706" t="s">
        <v>173</v>
      </c>
      <c r="AB5" s="467" t="s">
        <v>174</v>
      </c>
      <c r="AC5" s="814" t="s">
        <v>173</v>
      </c>
      <c r="AD5" s="2164" t="s">
        <v>174</v>
      </c>
      <c r="AE5" s="2627" t="s">
        <v>173</v>
      </c>
      <c r="AF5" s="915" t="s">
        <v>174</v>
      </c>
      <c r="AG5" s="814" t="s">
        <v>173</v>
      </c>
      <c r="AH5" s="2164" t="s">
        <v>174</v>
      </c>
      <c r="AI5" s="2673" t="s">
        <v>173</v>
      </c>
      <c r="AJ5" s="915" t="s">
        <v>174</v>
      </c>
      <c r="AK5" s="814" t="s">
        <v>173</v>
      </c>
      <c r="AL5" s="2164" t="s">
        <v>174</v>
      </c>
      <c r="AM5" s="2740" t="s">
        <v>173</v>
      </c>
      <c r="AN5" s="170" t="s">
        <v>174</v>
      </c>
      <c r="AO5" s="2745" t="s">
        <v>173</v>
      </c>
      <c r="AP5" s="915" t="s">
        <v>174</v>
      </c>
      <c r="AQ5" s="814" t="s">
        <v>173</v>
      </c>
      <c r="AR5" s="2164" t="s">
        <v>174</v>
      </c>
      <c r="AS5" s="2804" t="s">
        <v>173</v>
      </c>
      <c r="AT5" s="915" t="s">
        <v>174</v>
      </c>
      <c r="AU5" s="814" t="s">
        <v>173</v>
      </c>
      <c r="AV5" s="2164" t="s">
        <v>174</v>
      </c>
      <c r="AW5" s="2843" t="s">
        <v>173</v>
      </c>
      <c r="AX5" s="915" t="s">
        <v>174</v>
      </c>
      <c r="AY5" s="814" t="s">
        <v>173</v>
      </c>
      <c r="AZ5" s="2164" t="s">
        <v>174</v>
      </c>
      <c r="BA5" s="3016" t="s">
        <v>173</v>
      </c>
      <c r="BB5" s="170" t="s">
        <v>174</v>
      </c>
      <c r="BC5" s="3019" t="s">
        <v>173</v>
      </c>
      <c r="BD5" s="467" t="s">
        <v>174</v>
      </c>
      <c r="BE5" s="3025" t="s">
        <v>173</v>
      </c>
      <c r="BF5" s="915" t="s">
        <v>174</v>
      </c>
    </row>
    <row r="6" spans="1:62" ht="18.75" x14ac:dyDescent="0.25">
      <c r="A6" s="93"/>
      <c r="B6" s="3703" t="s">
        <v>87</v>
      </c>
      <c r="C6" s="3550" t="s">
        <v>50</v>
      </c>
      <c r="D6" s="3797">
        <v>2950000</v>
      </c>
      <c r="E6" s="3797">
        <f>+'Maj Production Summ'!E17</f>
        <v>252000</v>
      </c>
      <c r="F6" s="3143">
        <f>+'Maj Production Summ'!F17</f>
        <v>226125.59999999995</v>
      </c>
      <c r="G6" s="7200">
        <f>+'Maj Production Summ'!G17</f>
        <v>260000</v>
      </c>
      <c r="H6" s="3143">
        <f>+'Maj Production Summ'!H17</f>
        <v>255730.90000000002</v>
      </c>
      <c r="I6" s="3813">
        <f>+E6+G6</f>
        <v>512000</v>
      </c>
      <c r="J6" s="182">
        <f>+F6+H6</f>
        <v>481856.5</v>
      </c>
      <c r="K6" s="4609">
        <f>+'Maj Production Summ'!K17</f>
        <v>149000</v>
      </c>
      <c r="L6" s="3143">
        <f>+'Maj Production Summ'!L17</f>
        <v>167351.5</v>
      </c>
      <c r="M6" s="378">
        <f>+K6+G6+E6</f>
        <v>661000</v>
      </c>
      <c r="N6" s="378">
        <f>+L6+H6+F6</f>
        <v>649208</v>
      </c>
      <c r="O6" s="4798">
        <f>+'Maj Production Summ'!O17</f>
        <v>74000</v>
      </c>
      <c r="P6" s="3143">
        <f>+'Maj Production Summ'!P17</f>
        <v>250033.8</v>
      </c>
      <c r="Q6" s="2165">
        <f>+M6+O6</f>
        <v>735000</v>
      </c>
      <c r="R6" s="256">
        <f>+N6+P6</f>
        <v>899241.8</v>
      </c>
      <c r="S6" s="4935">
        <f>+'Maj Production Summ'!S17</f>
        <v>240000</v>
      </c>
      <c r="T6" s="3143">
        <f>+'Maj Production Summ'!T17</f>
        <v>245401.9</v>
      </c>
      <c r="U6" s="2165">
        <f>+Q6+S6</f>
        <v>975000</v>
      </c>
      <c r="V6" s="256">
        <f>+R6+T6</f>
        <v>1144643.7</v>
      </c>
      <c r="W6" s="5056">
        <f>+'Maj Production Summ'!W17</f>
        <v>232000</v>
      </c>
      <c r="X6" s="3143">
        <f>+'Maj Production Summ'!X17</f>
        <v>245769.8</v>
      </c>
      <c r="Y6" s="786">
        <f>+W6+S6+O6</f>
        <v>546000</v>
      </c>
      <c r="Z6" s="91">
        <f>+X6+T6+P6</f>
        <v>741205.5</v>
      </c>
      <c r="AA6" s="2458">
        <f>M6+Y6</f>
        <v>1207000</v>
      </c>
      <c r="AB6" s="468">
        <f>+N6+Z6</f>
        <v>1390413.5</v>
      </c>
      <c r="AC6" s="5370">
        <f>+'Maj Production Summ'!AC17</f>
        <v>250000</v>
      </c>
      <c r="AD6" s="3143">
        <f>+'Maj Production Summ'!AD17</f>
        <v>237886.3</v>
      </c>
      <c r="AE6" s="2165">
        <f>+AA6+AC6</f>
        <v>1457000</v>
      </c>
      <c r="AF6" s="256">
        <f>+AB6+AD6</f>
        <v>1628299.8</v>
      </c>
      <c r="AG6" s="5562">
        <f>+'Maj Production Summ'!AG17</f>
        <v>242000</v>
      </c>
      <c r="AH6" s="3143">
        <f>+'Maj Production Summ'!AH17</f>
        <v>8246.5</v>
      </c>
      <c r="AI6" s="2165">
        <f>+AE6+AG6</f>
        <v>1699000</v>
      </c>
      <c r="AJ6" s="256">
        <f>+AF6+AH6</f>
        <v>1636546.3</v>
      </c>
      <c r="AK6" s="5953">
        <f>+'Maj Production Summ'!AK17</f>
        <v>250000</v>
      </c>
      <c r="AL6" s="3143">
        <f>+'Maj Production Summ'!AL17</f>
        <v>257290.9</v>
      </c>
      <c r="AM6" s="786">
        <f>+AK6+AG6+AC6</f>
        <v>742000</v>
      </c>
      <c r="AN6" s="91">
        <f>+AL6+AH6+AD6</f>
        <v>503423.7</v>
      </c>
      <c r="AO6" s="256">
        <f>+AK6+AI6</f>
        <v>1949000</v>
      </c>
      <c r="AP6" s="256">
        <f>+AL6+AJ6</f>
        <v>1893837.2</v>
      </c>
      <c r="AQ6" s="6106">
        <f>+'Maj Production Summ'!AQ17</f>
        <v>250000</v>
      </c>
      <c r="AR6" s="3143">
        <v>261845.40000000002</v>
      </c>
      <c r="AS6" s="2165">
        <f>+AO6+AQ6</f>
        <v>2199000</v>
      </c>
      <c r="AT6" s="256">
        <f>+AP6+AR6</f>
        <v>2155682.6</v>
      </c>
      <c r="AU6" s="6247">
        <f>+'Maj Production Summ'!AU17</f>
        <v>225000</v>
      </c>
      <c r="AV6" s="3143">
        <v>239624</v>
      </c>
      <c r="AW6" s="2165">
        <f>+AS6+AU6</f>
        <v>2424000</v>
      </c>
      <c r="AX6" s="256">
        <f>+AT6+AV6</f>
        <v>2395306.6</v>
      </c>
      <c r="AY6" s="6443">
        <f>+'Maj Production Summ'!AY17</f>
        <v>250000</v>
      </c>
      <c r="AZ6" s="3143">
        <v>263830.00000000006</v>
      </c>
      <c r="BA6" s="786">
        <f>+AY6+AU6+AQ6</f>
        <v>725000</v>
      </c>
      <c r="BB6" s="194">
        <f>+AZ6+AV6+AR6</f>
        <v>765299.40000000014</v>
      </c>
      <c r="BC6" s="2458">
        <f>AM6+BA6</f>
        <v>1467000</v>
      </c>
      <c r="BD6" s="468">
        <f>+AN6+BB6</f>
        <v>1268723.1000000001</v>
      </c>
      <c r="BE6" s="2165">
        <f>+AW6+AY6</f>
        <v>2674000</v>
      </c>
      <c r="BF6" s="256">
        <f>+AX6+AZ6</f>
        <v>2659136.6</v>
      </c>
      <c r="BG6" s="26"/>
      <c r="BH6" s="26"/>
      <c r="BI6" s="26"/>
      <c r="BJ6" s="26"/>
    </row>
    <row r="7" spans="1:62" x14ac:dyDescent="0.25">
      <c r="A7" s="148"/>
      <c r="B7" s="1836" t="s">
        <v>235</v>
      </c>
      <c r="C7" s="3814"/>
      <c r="D7" s="3814"/>
      <c r="E7" s="3814"/>
      <c r="F7" s="3814"/>
      <c r="G7" s="3814"/>
      <c r="H7" s="3814"/>
      <c r="I7" s="3814"/>
      <c r="J7" s="1341"/>
      <c r="K7" s="3814"/>
      <c r="L7" s="3814"/>
      <c r="M7" s="814"/>
      <c r="N7" s="814"/>
      <c r="O7" s="3814"/>
      <c r="P7" s="3814"/>
      <c r="Q7" s="814"/>
      <c r="R7" s="814"/>
      <c r="S7" s="3814"/>
      <c r="T7" s="3814"/>
      <c r="U7" s="814"/>
      <c r="V7" s="814"/>
      <c r="W7" s="3814"/>
      <c r="X7" s="3814"/>
      <c r="Y7" s="644"/>
      <c r="Z7" s="644"/>
      <c r="AA7" s="644"/>
      <c r="AB7" s="652"/>
      <c r="AC7" s="3814"/>
      <c r="AD7" s="3814"/>
      <c r="AE7" s="814"/>
      <c r="AF7" s="814"/>
      <c r="AG7" s="3814"/>
      <c r="AH7" s="3814"/>
      <c r="AI7" s="814"/>
      <c r="AJ7" s="814"/>
      <c r="AK7" s="3814"/>
      <c r="AL7" s="3814"/>
      <c r="AM7" s="644"/>
      <c r="AN7" s="644"/>
      <c r="AO7" s="814"/>
      <c r="AP7" s="814"/>
      <c r="AQ7" s="3814"/>
      <c r="AR7" s="3814"/>
      <c r="AS7" s="814"/>
      <c r="AT7" s="814"/>
      <c r="AU7" s="3814"/>
      <c r="AV7" s="3814"/>
      <c r="AW7" s="814"/>
      <c r="AX7" s="814"/>
      <c r="AY7" s="3814"/>
      <c r="AZ7" s="3814"/>
      <c r="BA7" s="644"/>
      <c r="BB7" s="644"/>
      <c r="BC7" s="644"/>
      <c r="BD7" s="652"/>
      <c r="BE7" s="814"/>
      <c r="BF7" s="814"/>
      <c r="BG7" s="26"/>
      <c r="BH7" s="26"/>
      <c r="BI7" s="26"/>
      <c r="BJ7" s="26"/>
    </row>
    <row r="8" spans="1:62" x14ac:dyDescent="0.25">
      <c r="A8" s="147"/>
      <c r="B8" s="2208" t="s">
        <v>439</v>
      </c>
      <c r="C8" s="3142" t="s">
        <v>50</v>
      </c>
      <c r="D8" s="3132">
        <v>2933450</v>
      </c>
      <c r="E8" s="3132">
        <v>251100</v>
      </c>
      <c r="F8" s="3202">
        <v>221192.69999999992</v>
      </c>
      <c r="G8" s="7199">
        <v>259100</v>
      </c>
      <c r="H8" s="7194">
        <v>252875.2</v>
      </c>
      <c r="I8" s="3133">
        <f>+E8+G8</f>
        <v>510200</v>
      </c>
      <c r="J8" s="39">
        <f t="shared" ref="J8:J31" si="2">+F8+H8</f>
        <v>474067.89999999991</v>
      </c>
      <c r="K8" s="4603">
        <v>148200</v>
      </c>
      <c r="L8" s="4602">
        <v>156130</v>
      </c>
      <c r="M8" s="2149">
        <f t="shared" ref="M8:N8" si="3">+K8+G8+E8</f>
        <v>658400</v>
      </c>
      <c r="N8" s="2149">
        <f t="shared" si="3"/>
        <v>630197.89999999991</v>
      </c>
      <c r="O8" s="4791">
        <v>67500</v>
      </c>
      <c r="P8" s="4790">
        <v>249656.5</v>
      </c>
      <c r="Q8" s="2150">
        <f t="shared" ref="Q8:R11" si="4">+M8+O8</f>
        <v>725900</v>
      </c>
      <c r="R8" s="2150">
        <f t="shared" si="4"/>
        <v>879854.39999999991</v>
      </c>
      <c r="S8" s="4932">
        <v>239620</v>
      </c>
      <c r="T8" s="4929">
        <v>244931.19999999998</v>
      </c>
      <c r="U8" s="4914">
        <f t="shared" ref="U8:U11" si="5">+Q8+S8</f>
        <v>965520</v>
      </c>
      <c r="V8" s="4914">
        <f t="shared" ref="V8:V11" si="6">+R8+T8</f>
        <v>1124785.5999999999</v>
      </c>
      <c r="W8" s="5053">
        <v>231620</v>
      </c>
      <c r="X8" s="5050">
        <v>245088.19999999998</v>
      </c>
      <c r="Y8" s="68">
        <f t="shared" ref="Y8:Z8" si="7">+W8+S8+O8</f>
        <v>538740</v>
      </c>
      <c r="Z8" s="69">
        <f t="shared" si="7"/>
        <v>739675.89999999991</v>
      </c>
      <c r="AA8" s="469">
        <f>M8+Y8</f>
        <v>1197140</v>
      </c>
      <c r="AB8" s="477">
        <f>+N8+Z8</f>
        <v>1369873.7999999998</v>
      </c>
      <c r="AC8" s="5368">
        <v>249620</v>
      </c>
      <c r="AD8" s="5365">
        <v>237569.19999999995</v>
      </c>
      <c r="AE8" s="2399">
        <f t="shared" ref="AE8:AE11" si="8">+AA8+AC8</f>
        <v>1446760</v>
      </c>
      <c r="AF8" s="2399">
        <f t="shared" ref="AF8:AF11" si="9">+AB8+AD8</f>
        <v>1607442.9999999998</v>
      </c>
      <c r="AG8" s="5555">
        <v>241620</v>
      </c>
      <c r="AH8" s="5552">
        <v>6810.3</v>
      </c>
      <c r="AI8" s="5535">
        <f t="shared" ref="AI8:AI11" si="10">+AE8+AG8</f>
        <v>1688380</v>
      </c>
      <c r="AJ8" s="5535">
        <f t="shared" ref="AJ8:AJ11" si="11">+AF8+AH8</f>
        <v>1614253.2999999998</v>
      </c>
      <c r="AK8" s="5949">
        <v>249620</v>
      </c>
      <c r="AL8" s="5948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2399">
        <f>+AK8+AI8</f>
        <v>1938000</v>
      </c>
      <c r="AP8" s="2399">
        <f>+AL8+AJ8</f>
        <v>1865746.5999999999</v>
      </c>
      <c r="AQ8" s="6102">
        <v>249620</v>
      </c>
      <c r="AR8" s="6098">
        <v>261252.00000000003</v>
      </c>
      <c r="AS8" s="2399">
        <f t="shared" ref="AS8:AS10" si="14">+AO8+AQ8</f>
        <v>2187620</v>
      </c>
      <c r="AT8" s="2399">
        <f t="shared" ref="AT8:AT10" si="15">+AP8+AR8</f>
        <v>2126998.6</v>
      </c>
      <c r="AU8" s="6244">
        <v>224620</v>
      </c>
      <c r="AV8" s="6242">
        <v>239235.20000000001</v>
      </c>
      <c r="AW8" s="6234">
        <f t="shared" ref="AW8:AW11" si="16">+AS8+AU8</f>
        <v>2412240</v>
      </c>
      <c r="AX8" s="6234">
        <f t="shared" ref="AX8:AX11" si="17">+AT8+AV8</f>
        <v>2366233.8000000003</v>
      </c>
      <c r="AY8" s="6436">
        <v>249620</v>
      </c>
      <c r="AZ8" s="6433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2399">
        <f t="shared" ref="BE8:BE11" si="20">+AW8+AY8</f>
        <v>2661860</v>
      </c>
      <c r="BF8" s="2399">
        <f t="shared" ref="BF8:BF11" si="21">+AX8+AZ8</f>
        <v>2624800.4000000004</v>
      </c>
      <c r="BG8" s="26"/>
      <c r="BH8" s="26"/>
      <c r="BI8" s="26"/>
      <c r="BJ8" s="26"/>
    </row>
    <row r="9" spans="1:62" x14ac:dyDescent="0.25">
      <c r="A9" s="147"/>
      <c r="B9" s="2208" t="s">
        <v>440</v>
      </c>
      <c r="C9" s="3142" t="s">
        <v>50</v>
      </c>
      <c r="D9" s="3132">
        <v>14050</v>
      </c>
      <c r="E9" s="3132">
        <v>900</v>
      </c>
      <c r="F9" s="3202">
        <v>4689.7</v>
      </c>
      <c r="G9" s="7199">
        <v>900</v>
      </c>
      <c r="H9" s="7194">
        <v>2855.7000000000003</v>
      </c>
      <c r="I9" s="3133">
        <f>+E9+G9</f>
        <v>1800</v>
      </c>
      <c r="J9" s="39">
        <f t="shared" si="2"/>
        <v>7545.4</v>
      </c>
      <c r="K9" s="4603">
        <v>800</v>
      </c>
      <c r="L9" s="4602">
        <v>3748.5</v>
      </c>
      <c r="M9" s="2374">
        <f t="shared" ref="M9" si="22">+K9+G9+E9</f>
        <v>2600</v>
      </c>
      <c r="N9" s="2374">
        <f t="shared" ref="N9" si="23">+L9+H9+F9</f>
        <v>11293.900000000001</v>
      </c>
      <c r="O9" s="4791">
        <v>4000</v>
      </c>
      <c r="P9" s="4790">
        <v>377.3</v>
      </c>
      <c r="Q9" s="2150">
        <f t="shared" si="4"/>
        <v>6600</v>
      </c>
      <c r="R9" s="2150">
        <f t="shared" si="4"/>
        <v>11671.2</v>
      </c>
      <c r="S9" s="4932">
        <v>380</v>
      </c>
      <c r="T9" s="4929">
        <v>470.7</v>
      </c>
      <c r="U9" s="4914">
        <f t="shared" si="5"/>
        <v>6980</v>
      </c>
      <c r="V9" s="4914">
        <f t="shared" si="6"/>
        <v>12141.900000000001</v>
      </c>
      <c r="W9" s="5053">
        <v>380</v>
      </c>
      <c r="X9" s="5050">
        <v>681.6</v>
      </c>
      <c r="Y9" s="68">
        <f t="shared" ref="Y9:Y10" si="24">+W9+S9+O9</f>
        <v>4760</v>
      </c>
      <c r="Z9" s="69">
        <f t="shared" ref="Z9:Z10" si="25">+X9+T9+P9</f>
        <v>1529.6</v>
      </c>
      <c r="AA9" s="469">
        <f t="shared" ref="AA9:AA10" si="26">M9+Y9</f>
        <v>7360</v>
      </c>
      <c r="AB9" s="477">
        <f t="shared" ref="AB9:AB10" si="27">+N9+Z9</f>
        <v>12823.500000000002</v>
      </c>
      <c r="AC9" s="5368">
        <v>380</v>
      </c>
      <c r="AD9" s="5365">
        <v>317.10000000000002</v>
      </c>
      <c r="AE9" s="2399">
        <f t="shared" si="8"/>
        <v>7740</v>
      </c>
      <c r="AF9" s="2399">
        <f t="shared" si="9"/>
        <v>13140.600000000002</v>
      </c>
      <c r="AG9" s="5555">
        <v>380</v>
      </c>
      <c r="AH9" s="5552">
        <v>30</v>
      </c>
      <c r="AI9" s="5535">
        <f t="shared" si="10"/>
        <v>8120</v>
      </c>
      <c r="AJ9" s="5535">
        <f t="shared" si="11"/>
        <v>13170.600000000002</v>
      </c>
      <c r="AK9" s="5949">
        <v>380</v>
      </c>
      <c r="AL9" s="5948">
        <v>2557.8000000000002</v>
      </c>
      <c r="AM9" s="68">
        <f t="shared" si="12"/>
        <v>1140</v>
      </c>
      <c r="AN9" s="69">
        <f t="shared" si="13"/>
        <v>2904.9</v>
      </c>
      <c r="AO9" s="2399">
        <f t="shared" ref="AO9:AP13" si="28">+AK9+AI9</f>
        <v>8500</v>
      </c>
      <c r="AP9" s="2399">
        <f t="shared" ref="AP9:AP11" si="29">+AL9+AJ9</f>
        <v>15728.400000000001</v>
      </c>
      <c r="AQ9" s="6102">
        <v>380</v>
      </c>
      <c r="AR9" s="6098">
        <v>593.40000000000009</v>
      </c>
      <c r="AS9" s="2399">
        <f t="shared" si="14"/>
        <v>8880</v>
      </c>
      <c r="AT9" s="2399">
        <f t="shared" si="15"/>
        <v>16321.800000000001</v>
      </c>
      <c r="AU9" s="6244">
        <v>380</v>
      </c>
      <c r="AV9" s="6242">
        <v>388.8</v>
      </c>
      <c r="AW9" s="6234">
        <f t="shared" si="16"/>
        <v>9260</v>
      </c>
      <c r="AX9" s="6234">
        <f t="shared" si="17"/>
        <v>16710.600000000002</v>
      </c>
      <c r="AY9" s="6436">
        <v>380</v>
      </c>
      <c r="AZ9" s="6433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2399">
        <f t="shared" si="20"/>
        <v>9640</v>
      </c>
      <c r="BF9" s="2399">
        <f t="shared" si="21"/>
        <v>21974</v>
      </c>
      <c r="BG9" s="26"/>
      <c r="BH9" s="26"/>
      <c r="BI9" s="26"/>
      <c r="BJ9" s="26"/>
    </row>
    <row r="10" spans="1:62" x14ac:dyDescent="0.25">
      <c r="A10" s="147"/>
      <c r="B10" s="2441" t="s">
        <v>441</v>
      </c>
      <c r="C10" s="3515" t="s">
        <v>50</v>
      </c>
      <c r="D10" s="3477">
        <v>2500</v>
      </c>
      <c r="E10" s="3477">
        <v>0</v>
      </c>
      <c r="F10" s="3516">
        <v>243.20000000000002</v>
      </c>
      <c r="G10" s="7198">
        <v>0</v>
      </c>
      <c r="H10" s="3516">
        <v>0</v>
      </c>
      <c r="I10" s="3478">
        <f>+E10+G10</f>
        <v>0</v>
      </c>
      <c r="J10" s="165">
        <f t="shared" si="2"/>
        <v>243.20000000000002</v>
      </c>
      <c r="K10" s="3477">
        <v>0</v>
      </c>
      <c r="L10" s="3516">
        <v>1721.3999999999996</v>
      </c>
      <c r="M10" s="2369">
        <f t="shared" ref="M10" si="32">+K10+G10+E10</f>
        <v>0</v>
      </c>
      <c r="N10" s="2369">
        <f t="shared" ref="N10" si="33">+L10+H10+F10</f>
        <v>1964.5999999999997</v>
      </c>
      <c r="O10" s="3477">
        <v>2500</v>
      </c>
      <c r="P10" s="3516">
        <v>0</v>
      </c>
      <c r="Q10" s="4801">
        <f t="shared" si="4"/>
        <v>2500</v>
      </c>
      <c r="R10" s="2371">
        <f t="shared" si="4"/>
        <v>1964.5999999999997</v>
      </c>
      <c r="S10" s="3477">
        <v>0</v>
      </c>
      <c r="T10" s="3516">
        <v>0</v>
      </c>
      <c r="U10" s="4930">
        <f t="shared" si="5"/>
        <v>2500</v>
      </c>
      <c r="V10" s="4915">
        <f t="shared" si="6"/>
        <v>1964.5999999999997</v>
      </c>
      <c r="W10" s="3477">
        <v>0</v>
      </c>
      <c r="X10" s="3516">
        <v>0</v>
      </c>
      <c r="Y10" s="2389">
        <f t="shared" si="24"/>
        <v>2500</v>
      </c>
      <c r="Z10" s="173">
        <f t="shared" si="25"/>
        <v>0</v>
      </c>
      <c r="AA10" s="2442">
        <f t="shared" si="26"/>
        <v>2500</v>
      </c>
      <c r="AB10" s="2443">
        <f t="shared" si="27"/>
        <v>1964.5999999999997</v>
      </c>
      <c r="AC10" s="3477">
        <v>0</v>
      </c>
      <c r="AD10" s="3516">
        <v>0</v>
      </c>
      <c r="AE10" s="2401">
        <f t="shared" si="8"/>
        <v>2500</v>
      </c>
      <c r="AF10" s="2401">
        <f t="shared" si="9"/>
        <v>1964.5999999999997</v>
      </c>
      <c r="AG10" s="3477">
        <v>0</v>
      </c>
      <c r="AH10" s="3516">
        <v>105.20000000000005</v>
      </c>
      <c r="AI10" s="5536">
        <f t="shared" si="10"/>
        <v>2500</v>
      </c>
      <c r="AJ10" s="5536">
        <f t="shared" si="11"/>
        <v>2069.7999999999997</v>
      </c>
      <c r="AK10" s="3477">
        <v>0</v>
      </c>
      <c r="AL10" s="3516">
        <v>2456.8000000000002</v>
      </c>
      <c r="AM10" s="2389">
        <f t="shared" si="12"/>
        <v>0</v>
      </c>
      <c r="AN10" s="173">
        <f t="shared" si="13"/>
        <v>2562</v>
      </c>
      <c r="AO10" s="2399">
        <f t="shared" si="28"/>
        <v>2500</v>
      </c>
      <c r="AP10" s="2399">
        <f t="shared" si="29"/>
        <v>4526.6000000000004</v>
      </c>
      <c r="AQ10" s="6103">
        <v>0</v>
      </c>
      <c r="AR10" s="3516">
        <v>0</v>
      </c>
      <c r="AS10" s="2401">
        <f t="shared" si="14"/>
        <v>2500</v>
      </c>
      <c r="AT10" s="2401">
        <f t="shared" si="15"/>
        <v>4526.6000000000004</v>
      </c>
      <c r="AU10" s="6246">
        <v>0</v>
      </c>
      <c r="AV10" s="3516">
        <v>0</v>
      </c>
      <c r="AW10" s="6235">
        <f t="shared" si="16"/>
        <v>2500</v>
      </c>
      <c r="AX10" s="6235">
        <f t="shared" si="17"/>
        <v>4526.6000000000004</v>
      </c>
      <c r="AY10" s="6442">
        <v>0</v>
      </c>
      <c r="AZ10" s="3516">
        <v>0</v>
      </c>
      <c r="BA10" s="2389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401">
        <f t="shared" si="20"/>
        <v>2500</v>
      </c>
      <c r="BF10" s="2401">
        <f t="shared" si="21"/>
        <v>4526.6000000000004</v>
      </c>
      <c r="BG10" s="26"/>
      <c r="BH10" s="26"/>
      <c r="BI10" s="26"/>
      <c r="BJ10" s="26"/>
    </row>
    <row r="11" spans="1:62" s="3427" customFormat="1" ht="15.75" thickBot="1" x14ac:dyDescent="0.3">
      <c r="A11" s="147"/>
      <c r="B11" s="2208" t="s">
        <v>1913</v>
      </c>
      <c r="C11" s="4663"/>
      <c r="D11" s="4662"/>
      <c r="E11" s="4662">
        <v>0</v>
      </c>
      <c r="F11" s="4660">
        <v>0</v>
      </c>
      <c r="G11" s="7199">
        <v>0</v>
      </c>
      <c r="H11" s="7194">
        <v>0</v>
      </c>
      <c r="I11" s="4661">
        <f>+E11+G11</f>
        <v>0</v>
      </c>
      <c r="J11" s="165">
        <f t="shared" si="2"/>
        <v>0</v>
      </c>
      <c r="K11" s="4662">
        <v>0</v>
      </c>
      <c r="L11" s="4660">
        <v>5752</v>
      </c>
      <c r="M11" s="4659">
        <f t="shared" ref="M11" si="34">+K11+G11+E11</f>
        <v>0</v>
      </c>
      <c r="N11" s="4659">
        <f t="shared" ref="N11" si="35">+L11+H11+F11</f>
        <v>5752</v>
      </c>
      <c r="O11" s="4791">
        <v>0</v>
      </c>
      <c r="P11" s="4790">
        <v>0</v>
      </c>
      <c r="Q11" s="4801">
        <f t="shared" si="4"/>
        <v>0</v>
      </c>
      <c r="R11" s="4207">
        <f t="shared" si="4"/>
        <v>5752</v>
      </c>
      <c r="S11" s="4932">
        <v>0</v>
      </c>
      <c r="T11" s="4929">
        <v>0</v>
      </c>
      <c r="U11" s="4930">
        <f t="shared" si="5"/>
        <v>0</v>
      </c>
      <c r="V11" s="4207">
        <f t="shared" si="6"/>
        <v>5752</v>
      </c>
      <c r="W11" s="5053">
        <v>0</v>
      </c>
      <c r="X11" s="5050">
        <v>0</v>
      </c>
      <c r="Y11" s="2389">
        <f t="shared" ref="Y11" si="36">+W11+S11+O11</f>
        <v>0</v>
      </c>
      <c r="Z11" s="173">
        <f t="shared" ref="Z11" si="37">+X11+T11+P11</f>
        <v>0</v>
      </c>
      <c r="AA11" s="2442">
        <f t="shared" ref="AA11" si="38">M11+Y11</f>
        <v>0</v>
      </c>
      <c r="AB11" s="2443">
        <f t="shared" ref="AB11" si="39">+N11+Z11</f>
        <v>5752</v>
      </c>
      <c r="AC11" s="5368">
        <v>0</v>
      </c>
      <c r="AD11" s="5365">
        <v>0</v>
      </c>
      <c r="AE11" s="4207">
        <f t="shared" si="8"/>
        <v>0</v>
      </c>
      <c r="AF11" s="4207">
        <f t="shared" si="9"/>
        <v>5752</v>
      </c>
      <c r="AG11" s="5555">
        <v>0</v>
      </c>
      <c r="AH11" s="5552">
        <v>1301</v>
      </c>
      <c r="AI11" s="4207">
        <f t="shared" si="10"/>
        <v>0</v>
      </c>
      <c r="AJ11" s="4207">
        <f t="shared" si="11"/>
        <v>7053</v>
      </c>
      <c r="AK11" s="5949">
        <v>0</v>
      </c>
      <c r="AL11" s="5948">
        <v>783</v>
      </c>
      <c r="AM11" s="2446">
        <f t="shared" si="12"/>
        <v>0</v>
      </c>
      <c r="AN11" s="173">
        <f t="shared" si="13"/>
        <v>2084</v>
      </c>
      <c r="AO11" s="4207">
        <f t="shared" si="28"/>
        <v>0</v>
      </c>
      <c r="AP11" s="5943">
        <f t="shared" si="29"/>
        <v>7836</v>
      </c>
      <c r="AQ11" s="6102">
        <v>0</v>
      </c>
      <c r="AR11" s="6098">
        <v>0</v>
      </c>
      <c r="AS11" s="6089">
        <f t="shared" ref="AS11" si="40">+AO11+AQ11</f>
        <v>0</v>
      </c>
      <c r="AT11" s="6089">
        <f t="shared" ref="AT11" si="41">+AP11+AR11</f>
        <v>7836</v>
      </c>
      <c r="AU11" s="6244">
        <v>0</v>
      </c>
      <c r="AV11" s="6242">
        <v>0</v>
      </c>
      <c r="AW11" s="6235">
        <f t="shared" si="16"/>
        <v>0</v>
      </c>
      <c r="AX11" s="6235">
        <f t="shared" si="17"/>
        <v>7836</v>
      </c>
      <c r="AY11" s="6436">
        <v>0</v>
      </c>
      <c r="AZ11" s="6433">
        <v>0</v>
      </c>
      <c r="BA11" s="2446">
        <f t="shared" si="18"/>
        <v>0</v>
      </c>
      <c r="BB11" s="173">
        <f t="shared" si="19"/>
        <v>0</v>
      </c>
      <c r="BC11" s="2447">
        <f t="shared" si="30"/>
        <v>0</v>
      </c>
      <c r="BD11" s="477">
        <f t="shared" si="31"/>
        <v>2084</v>
      </c>
      <c r="BE11" s="4207">
        <f t="shared" si="20"/>
        <v>0</v>
      </c>
      <c r="BF11" s="6422">
        <f t="shared" si="21"/>
        <v>7836</v>
      </c>
      <c r="BG11" s="26"/>
      <c r="BH11" s="26"/>
      <c r="BI11" s="26"/>
      <c r="BJ11" s="26"/>
    </row>
    <row r="12" spans="1:62" ht="15.75" thickBot="1" x14ac:dyDescent="0.3">
      <c r="A12" s="148"/>
      <c r="B12" s="2455" t="s">
        <v>236</v>
      </c>
      <c r="C12" s="2456"/>
      <c r="D12" s="2456"/>
      <c r="E12" s="2456"/>
      <c r="F12" s="2456"/>
      <c r="G12" s="2456"/>
      <c r="H12" s="2456"/>
      <c r="I12" s="2456"/>
      <c r="J12" s="3815"/>
      <c r="K12" s="2456"/>
      <c r="L12" s="2456"/>
      <c r="M12" s="2456"/>
      <c r="N12" s="2456"/>
      <c r="O12" s="2456"/>
      <c r="P12" s="2456"/>
      <c r="Q12" s="4806"/>
      <c r="R12" s="2456"/>
      <c r="S12" s="2456"/>
      <c r="T12" s="2456"/>
      <c r="U12" s="4806"/>
      <c r="V12" s="2456"/>
      <c r="W12" s="2456"/>
      <c r="X12" s="2456"/>
      <c r="Y12" s="2456"/>
      <c r="Z12" s="2456"/>
      <c r="AA12" s="2456"/>
      <c r="AB12" s="2457"/>
      <c r="AC12" s="2456"/>
      <c r="AD12" s="2456"/>
      <c r="AE12" s="2456"/>
      <c r="AF12" s="2456"/>
      <c r="AG12" s="2456"/>
      <c r="AH12" s="2456"/>
      <c r="AI12" s="2456"/>
      <c r="AJ12" s="2456"/>
      <c r="AK12" s="2456"/>
      <c r="AL12" s="2456"/>
      <c r="AM12" s="2456"/>
      <c r="AN12" s="2456"/>
      <c r="AO12" s="2456"/>
      <c r="AP12" s="2456"/>
      <c r="AQ12" s="2456"/>
      <c r="AR12" s="2456"/>
      <c r="AS12" s="2456"/>
      <c r="AT12" s="2456"/>
      <c r="AU12" s="2456"/>
      <c r="AV12" s="2456"/>
      <c r="AW12" s="2456"/>
      <c r="AX12" s="2456"/>
      <c r="AY12" s="2456"/>
      <c r="AZ12" s="2456"/>
      <c r="BA12" s="2456"/>
      <c r="BB12" s="2456"/>
      <c r="BC12" s="2456"/>
      <c r="BD12" s="2457"/>
      <c r="BE12" s="2456"/>
      <c r="BF12" s="2456"/>
      <c r="BG12" s="26"/>
      <c r="BH12" s="26"/>
      <c r="BI12" s="26"/>
      <c r="BJ12" s="26"/>
    </row>
    <row r="13" spans="1:62" ht="15.75" thickBot="1" x14ac:dyDescent="0.3">
      <c r="A13" s="147" t="s">
        <v>470</v>
      </c>
      <c r="B13" s="1883" t="s">
        <v>20</v>
      </c>
      <c r="C13" s="820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720</v>
      </c>
      <c r="L13" s="275">
        <f>+'Maj Production Summ'!L23</f>
        <v>3128.8729499999999</v>
      </c>
      <c r="M13" s="618">
        <f t="shared" ref="M13:N13" si="42">+K13+G13+E13</f>
        <v>2340</v>
      </c>
      <c r="N13" s="618">
        <f t="shared" si="42"/>
        <v>9427.018329999999</v>
      </c>
      <c r="O13" s="158">
        <f>+'Maj Production Summ'!O23</f>
        <v>3600</v>
      </c>
      <c r="P13" s="275">
        <f>+'Maj Production Summ'!P23</f>
        <v>314.93230999999997</v>
      </c>
      <c r="Q13" s="373">
        <f t="shared" ref="Q13:R15" si="43">+M13+O13</f>
        <v>5940</v>
      </c>
      <c r="R13" s="373">
        <f t="shared" si="43"/>
        <v>9741.9506399999991</v>
      </c>
      <c r="S13" s="158">
        <f>+'Maj Production Summ'!S23</f>
        <v>342</v>
      </c>
      <c r="T13" s="275">
        <f>+'Maj Production Summ'!T23</f>
        <v>392.89328999999998</v>
      </c>
      <c r="U13" s="373">
        <f t="shared" ref="U13:U15" si="44">+Q13+S13</f>
        <v>6282</v>
      </c>
      <c r="V13" s="373">
        <f t="shared" ref="V13:V15" si="45">+R13+T13</f>
        <v>10134.843929999999</v>
      </c>
      <c r="W13" s="158">
        <f>+'Maj Production Summ'!W23</f>
        <v>342</v>
      </c>
      <c r="X13" s="275">
        <f>+'Maj Production Summ'!X23</f>
        <v>569</v>
      </c>
      <c r="Y13" s="618">
        <f t="shared" ref="Y13:Z13" si="46">+W13+S13+O13</f>
        <v>4284</v>
      </c>
      <c r="Z13" s="618">
        <f t="shared" si="46"/>
        <v>1276.8255999999999</v>
      </c>
      <c r="AA13" s="1052">
        <f>M13+Y13</f>
        <v>6624</v>
      </c>
      <c r="AB13" s="458">
        <f>+N13+Z13</f>
        <v>10703.843929999999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6966</v>
      </c>
      <c r="AF13" s="373">
        <f t="shared" ref="AF13:AF15" si="48">+AB13+AD13</f>
        <v>10968.5273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7308</v>
      </c>
      <c r="AJ13" s="373">
        <f t="shared" ref="AJ13:AJ15" si="50">+AF13+AH13</f>
        <v>10993.568299999999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2399">
        <f t="shared" si="28"/>
        <v>7650</v>
      </c>
      <c r="AP13" s="2399">
        <f t="shared" si="28"/>
        <v>13128.563959999999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7992</v>
      </c>
      <c r="AT13" s="373">
        <f t="shared" ref="AT13:AT15" si="54">+AP13+AR13</f>
        <v>13623.87494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8334</v>
      </c>
      <c r="AX13" s="373">
        <f t="shared" ref="AX13:AX15" si="56">+AT13+AV13</f>
        <v>13948.406300000001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8676</v>
      </c>
      <c r="BF13" s="373">
        <f t="shared" ref="BF13:BF15" si="62">+AX13+AZ13</f>
        <v>18341.76628</v>
      </c>
      <c r="BG13" s="26"/>
      <c r="BH13" s="26"/>
      <c r="BI13" s="26"/>
      <c r="BJ13" s="26"/>
    </row>
    <row r="14" spans="1:62" x14ac:dyDescent="0.25">
      <c r="A14" s="233"/>
      <c r="B14" s="1908" t="s">
        <v>113</v>
      </c>
      <c r="C14" s="3142" t="s">
        <v>50</v>
      </c>
      <c r="D14" s="7026">
        <f>+'Maj Production Summ'!D24</f>
        <v>0</v>
      </c>
      <c r="E14" s="3132">
        <f>+'Maj Production Summ'!E24</f>
        <v>0</v>
      </c>
      <c r="F14" s="7026">
        <v>194.6</v>
      </c>
      <c r="G14" s="7199">
        <f>+'Maj Production Summ'!G24</f>
        <v>0</v>
      </c>
      <c r="H14" s="7199">
        <v>230</v>
      </c>
      <c r="I14" s="3133">
        <f>+E14+G14</f>
        <v>0</v>
      </c>
      <c r="J14" s="39">
        <f t="shared" si="2"/>
        <v>424.6</v>
      </c>
      <c r="K14" s="4603">
        <f>+'Maj Production Summ'!K24</f>
        <v>0</v>
      </c>
      <c r="L14" s="4602">
        <v>441.72323999999998</v>
      </c>
      <c r="M14" s="2374">
        <f t="shared" ref="M14:M15" si="63">+K14+G14+E14</f>
        <v>0</v>
      </c>
      <c r="N14" s="2374">
        <f t="shared" ref="N14:N15" si="64">+L14+H14+F14</f>
        <v>866.32324000000006</v>
      </c>
      <c r="O14" s="4791">
        <f>+'Maj Production Summ'!O24</f>
        <v>0</v>
      </c>
      <c r="P14" s="4790">
        <v>44.461031999999996</v>
      </c>
      <c r="Q14" s="2373">
        <f t="shared" si="43"/>
        <v>0</v>
      </c>
      <c r="R14" s="2373">
        <f t="shared" si="43"/>
        <v>910.7842720000001</v>
      </c>
      <c r="S14" s="4932">
        <f>+'Maj Production Summ'!S24</f>
        <v>0</v>
      </c>
      <c r="T14" s="275">
        <f>+'Maj Production Summ'!T24</f>
        <v>55.467287999999996</v>
      </c>
      <c r="U14" s="4914">
        <f t="shared" si="44"/>
        <v>0</v>
      </c>
      <c r="V14" s="4914">
        <f t="shared" si="45"/>
        <v>966.25156000000015</v>
      </c>
      <c r="W14" s="5053">
        <f>+'Maj Production Summ'!W24</f>
        <v>0</v>
      </c>
      <c r="X14" s="275">
        <f>+'Maj Production Summ'!X24</f>
        <v>80.319744</v>
      </c>
      <c r="Y14" s="2374">
        <f t="shared" ref="Y14:Y15" si="65">+W14+S14+O14</f>
        <v>0</v>
      </c>
      <c r="Z14" s="2374">
        <f t="shared" ref="Z14:Z15" si="66">+X14+T14+P14</f>
        <v>180.248064</v>
      </c>
      <c r="AA14" s="2375">
        <f t="shared" ref="AA14:AA15" si="67">M14+Y14</f>
        <v>0</v>
      </c>
      <c r="AB14" s="454">
        <f t="shared" ref="AB14:AB15" si="68">+N14+Z14</f>
        <v>1046.5713040000001</v>
      </c>
      <c r="AC14" s="5368">
        <f>+'Maj Production Summ'!AC24</f>
        <v>0</v>
      </c>
      <c r="AD14" s="275">
        <f>+'Maj Production Summ'!AD24</f>
        <v>37.367063999999999</v>
      </c>
      <c r="AE14" s="2399">
        <f t="shared" si="47"/>
        <v>0</v>
      </c>
      <c r="AF14" s="2399">
        <f t="shared" si="48"/>
        <v>1083.9383680000001</v>
      </c>
      <c r="AG14" s="5555">
        <f>+'Maj Production Summ'!AG24</f>
        <v>0</v>
      </c>
      <c r="AH14" s="275">
        <f>+'Maj Production Summ'!AH24</f>
        <v>3.5351999999999997</v>
      </c>
      <c r="AI14" s="5535">
        <f t="shared" si="49"/>
        <v>0</v>
      </c>
      <c r="AJ14" s="5535">
        <f t="shared" si="50"/>
        <v>1087.4735680000001</v>
      </c>
      <c r="AK14" s="5949">
        <f>+'Maj Production Summ'!AK24</f>
        <v>0</v>
      </c>
      <c r="AL14" s="275">
        <f>+'Maj Production Summ'!AL24</f>
        <v>301.41115200000002</v>
      </c>
      <c r="AM14" s="2736">
        <f t="shared" si="51"/>
        <v>0</v>
      </c>
      <c r="AN14" s="2736">
        <f t="shared" si="52"/>
        <v>342.31341599999996</v>
      </c>
      <c r="AO14" s="2399">
        <f t="shared" ref="AO14:AP17" si="69">+AK14+AI14</f>
        <v>0</v>
      </c>
      <c r="AP14" s="2399">
        <f t="shared" ref="AP14:AP15" si="70">+AL14+AJ14</f>
        <v>1388.88472</v>
      </c>
      <c r="AQ14" s="6102">
        <f>+'Maj Production Summ'!AQ24</f>
        <v>0</v>
      </c>
      <c r="AR14" s="275">
        <f>+'Maj Production Summ'!AR24</f>
        <v>70</v>
      </c>
      <c r="AS14" s="2399">
        <f t="shared" si="53"/>
        <v>0</v>
      </c>
      <c r="AT14" s="2399">
        <f t="shared" si="54"/>
        <v>1458.88472</v>
      </c>
      <c r="AU14" s="6244">
        <f>+'Maj Production Summ'!AU24</f>
        <v>0</v>
      </c>
      <c r="AV14" s="275">
        <f>+'Maj Production Summ'!AV24</f>
        <v>45.816192000000001</v>
      </c>
      <c r="AW14" s="6234">
        <f t="shared" si="55"/>
        <v>0</v>
      </c>
      <c r="AX14" s="6234">
        <f t="shared" si="56"/>
        <v>1504.700912</v>
      </c>
      <c r="AY14" s="6436">
        <f>+'Maj Production Summ'!AY24</f>
        <v>0</v>
      </c>
      <c r="AZ14" s="275">
        <f>+'Maj Production Summ'!AZ24</f>
        <v>620.23905599999989</v>
      </c>
      <c r="BA14" s="3012">
        <f t="shared" si="57"/>
        <v>0</v>
      </c>
      <c r="BB14" s="3012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2399">
        <f t="shared" si="61"/>
        <v>0</v>
      </c>
      <c r="BF14" s="2399">
        <f t="shared" si="62"/>
        <v>2124.9399679999997</v>
      </c>
      <c r="BG14" s="26"/>
      <c r="BH14" s="26"/>
      <c r="BI14" s="26"/>
      <c r="BJ14" s="26"/>
    </row>
    <row r="15" spans="1:62" ht="30" x14ac:dyDescent="0.25">
      <c r="A15" s="147"/>
      <c r="B15" s="2449" t="s">
        <v>1751</v>
      </c>
      <c r="C15" s="3142" t="s">
        <v>50</v>
      </c>
      <c r="D15" s="7023">
        <f>+'Maj Production Summ'!D25</f>
        <v>1625</v>
      </c>
      <c r="E15" s="3142">
        <f>+'Maj Production Summ'!E25</f>
        <v>0</v>
      </c>
      <c r="F15" s="3202">
        <v>552.63424799999996</v>
      </c>
      <c r="G15" s="7187">
        <f>+'Maj Production Summ'!G25</f>
        <v>0</v>
      </c>
      <c r="H15" s="7194">
        <v>336.51568800000001</v>
      </c>
      <c r="I15" s="3558">
        <f>+E15+G15</f>
        <v>0</v>
      </c>
      <c r="J15" s="39">
        <f t="shared" si="2"/>
        <v>889.14993600000003</v>
      </c>
      <c r="K15" s="4604">
        <f>+'Maj Production Summ'!K25</f>
        <v>0</v>
      </c>
      <c r="L15" s="4602">
        <f>+'Maj Production Summ'!L25</f>
        <v>5978.4</v>
      </c>
      <c r="M15" s="2374">
        <f t="shared" si="63"/>
        <v>0</v>
      </c>
      <c r="N15" s="2374">
        <f t="shared" si="64"/>
        <v>6867.5499360000003</v>
      </c>
      <c r="O15" s="4797">
        <f>+'Maj Production Summ'!O25</f>
        <v>1625</v>
      </c>
      <c r="P15" s="4790">
        <f>+'Maj Production Summ'!P25</f>
        <v>0</v>
      </c>
      <c r="Q15" s="590">
        <f t="shared" si="43"/>
        <v>1625</v>
      </c>
      <c r="R15" s="2373">
        <f t="shared" si="43"/>
        <v>6867.5499360000003</v>
      </c>
      <c r="S15" s="4797">
        <f>+'Maj Production Summ'!S25</f>
        <v>0</v>
      </c>
      <c r="T15" s="4929">
        <f>+'Maj Production Summ'!T25</f>
        <v>0</v>
      </c>
      <c r="U15" s="4918">
        <f t="shared" si="44"/>
        <v>1625</v>
      </c>
      <c r="V15" s="4914">
        <f t="shared" si="45"/>
        <v>6867.5499360000003</v>
      </c>
      <c r="W15" s="5042">
        <f>+'Maj Production Summ'!W25</f>
        <v>0</v>
      </c>
      <c r="X15" s="5050">
        <f>+'Maj Production Summ'!X25</f>
        <v>0</v>
      </c>
      <c r="Y15" s="2374">
        <f t="shared" si="65"/>
        <v>1625</v>
      </c>
      <c r="Z15" s="2374">
        <f t="shared" si="66"/>
        <v>0</v>
      </c>
      <c r="AA15" s="2448">
        <f t="shared" si="67"/>
        <v>1625</v>
      </c>
      <c r="AB15" s="454">
        <f t="shared" si="68"/>
        <v>6867.5499360000003</v>
      </c>
      <c r="AC15" s="5357">
        <f>+'Maj Production Summ'!AC25</f>
        <v>0</v>
      </c>
      <c r="AD15" s="5365">
        <f>+'Maj Production Summ'!AD25</f>
        <v>0</v>
      </c>
      <c r="AE15" s="590">
        <f t="shared" si="47"/>
        <v>1625</v>
      </c>
      <c r="AF15" s="2399">
        <f t="shared" si="48"/>
        <v>6867.5499360000003</v>
      </c>
      <c r="AG15" s="5544">
        <f>+'Maj Production Summ'!AG25</f>
        <v>0</v>
      </c>
      <c r="AH15" s="6019">
        <f>+'Maj Production Summ'!AH25</f>
        <v>1512.9</v>
      </c>
      <c r="AI15" s="5539">
        <f t="shared" si="49"/>
        <v>1625</v>
      </c>
      <c r="AJ15" s="5535">
        <f t="shared" si="50"/>
        <v>8380.4499360000009</v>
      </c>
      <c r="AK15" s="5944">
        <f>+'Maj Production Summ'!AK25</f>
        <v>0</v>
      </c>
      <c r="AL15" s="5948">
        <f>+'Maj Production Summ'!AL25</f>
        <v>2513.5</v>
      </c>
      <c r="AM15" s="2736">
        <f t="shared" si="51"/>
        <v>0</v>
      </c>
      <c r="AN15" s="2736">
        <f t="shared" si="52"/>
        <v>4026.4</v>
      </c>
      <c r="AO15" s="2399">
        <f t="shared" si="69"/>
        <v>1625</v>
      </c>
      <c r="AP15" s="2399">
        <f t="shared" si="70"/>
        <v>10893.949936000001</v>
      </c>
      <c r="AQ15" s="6085">
        <f>+'Maj Production Summ'!AQ25</f>
        <v>0</v>
      </c>
      <c r="AR15" s="6098">
        <f>+'Maj Production Summ'!AR25</f>
        <v>0</v>
      </c>
      <c r="AS15" s="590">
        <f t="shared" si="53"/>
        <v>1625</v>
      </c>
      <c r="AT15" s="2399">
        <f t="shared" si="54"/>
        <v>10893.949936000001</v>
      </c>
      <c r="AU15" s="6232">
        <f>+'Maj Production Summ'!AU25</f>
        <v>0</v>
      </c>
      <c r="AV15" s="6242">
        <f>+'Maj Production Summ'!AV25</f>
        <v>630</v>
      </c>
      <c r="AW15" s="6238">
        <f t="shared" si="55"/>
        <v>1625</v>
      </c>
      <c r="AX15" s="6234">
        <f t="shared" si="56"/>
        <v>11523.949936000001</v>
      </c>
      <c r="AY15" s="6420">
        <f>+'Maj Production Summ'!AY25</f>
        <v>0</v>
      </c>
      <c r="AZ15" s="6433">
        <f>+'Maj Production Summ'!AZ25</f>
        <v>480</v>
      </c>
      <c r="BA15" s="3012">
        <f t="shared" si="57"/>
        <v>0</v>
      </c>
      <c r="BB15" s="3012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1625</v>
      </c>
      <c r="BF15" s="2399">
        <f t="shared" si="62"/>
        <v>12003.949936000001</v>
      </c>
      <c r="BG15" s="26"/>
      <c r="BH15" s="26"/>
      <c r="BI15" s="26"/>
      <c r="BJ15" s="26"/>
    </row>
    <row r="16" spans="1:62" ht="16.5" thickBot="1" x14ac:dyDescent="0.3">
      <c r="A16" s="147"/>
      <c r="B16" s="2450" t="s">
        <v>126</v>
      </c>
      <c r="C16" s="3714" t="s">
        <v>50</v>
      </c>
      <c r="D16" s="2451">
        <f>SUM(D13:D15)</f>
        <v>14270</v>
      </c>
      <c r="E16" s="2451">
        <f t="shared" ref="E16:AF16" si="71">SUM(E13:E15)</f>
        <v>810</v>
      </c>
      <c r="F16" s="2452">
        <f t="shared" si="71"/>
        <v>4661.7268380000005</v>
      </c>
      <c r="G16" s="2451">
        <f t="shared" ref="G16:H16" si="72">SUM(G13:G15)</f>
        <v>810</v>
      </c>
      <c r="H16" s="2452">
        <f t="shared" si="72"/>
        <v>2950.1684780000001</v>
      </c>
      <c r="I16" s="374">
        <f t="shared" si="71"/>
        <v>1620</v>
      </c>
      <c r="J16" s="3810">
        <f t="shared" si="71"/>
        <v>7611.8953160000001</v>
      </c>
      <c r="K16" s="2451">
        <f t="shared" si="71"/>
        <v>720</v>
      </c>
      <c r="L16" s="2452">
        <f t="shared" si="71"/>
        <v>9548.9961899999998</v>
      </c>
      <c r="M16" s="2418">
        <f t="shared" si="71"/>
        <v>2340</v>
      </c>
      <c r="N16" s="2418">
        <f t="shared" si="71"/>
        <v>17160.891506</v>
      </c>
      <c r="O16" s="2451">
        <f t="shared" ref="O16:P16" si="73">SUM(O13:O15)</f>
        <v>5225</v>
      </c>
      <c r="P16" s="2452">
        <f t="shared" si="73"/>
        <v>359.39334199999996</v>
      </c>
      <c r="Q16" s="374">
        <f t="shared" ref="Q16:T16" si="74">SUM(Q13:Q15)</f>
        <v>7565</v>
      </c>
      <c r="R16" s="374">
        <f t="shared" si="74"/>
        <v>17520.284847999999</v>
      </c>
      <c r="S16" s="2451">
        <f t="shared" si="74"/>
        <v>342</v>
      </c>
      <c r="T16" s="2452">
        <f t="shared" si="74"/>
        <v>448.36057799999998</v>
      </c>
      <c r="U16" s="374">
        <f t="shared" ref="U16:X16" si="75">SUM(U13:U15)</f>
        <v>7907</v>
      </c>
      <c r="V16" s="374">
        <f t="shared" si="75"/>
        <v>17968.645425999999</v>
      </c>
      <c r="W16" s="2451">
        <f t="shared" si="75"/>
        <v>342</v>
      </c>
      <c r="X16" s="2452">
        <f t="shared" si="75"/>
        <v>649.31974400000001</v>
      </c>
      <c r="Y16" s="2418">
        <f t="shared" si="71"/>
        <v>5909</v>
      </c>
      <c r="Z16" s="2418">
        <f t="shared" si="71"/>
        <v>1457.073664</v>
      </c>
      <c r="AA16" s="2453">
        <f t="shared" si="71"/>
        <v>8249</v>
      </c>
      <c r="AB16" s="2454">
        <f t="shared" si="71"/>
        <v>18617.965169999999</v>
      </c>
      <c r="AC16" s="2451">
        <f t="shared" si="71"/>
        <v>342</v>
      </c>
      <c r="AD16" s="2452">
        <f t="shared" si="71"/>
        <v>302.050434</v>
      </c>
      <c r="AE16" s="374">
        <f t="shared" si="71"/>
        <v>8591</v>
      </c>
      <c r="AF16" s="374">
        <f t="shared" si="71"/>
        <v>18920.015604</v>
      </c>
      <c r="AG16" s="2451">
        <f t="shared" ref="AG16:AJ16" si="76">SUM(AG13:AG15)</f>
        <v>342</v>
      </c>
      <c r="AH16" s="2452">
        <f t="shared" si="76"/>
        <v>1541.4762000000001</v>
      </c>
      <c r="AI16" s="374">
        <f t="shared" si="76"/>
        <v>8933</v>
      </c>
      <c r="AJ16" s="374">
        <f t="shared" si="76"/>
        <v>20461.491803999998</v>
      </c>
      <c r="AK16" s="2451">
        <f t="shared" ref="AK16:AL16" si="77">SUM(AK13:AK15)</f>
        <v>342</v>
      </c>
      <c r="AL16" s="2452">
        <f t="shared" si="77"/>
        <v>4949.9068120000002</v>
      </c>
      <c r="AM16" s="2418">
        <f t="shared" ref="AM16:AT16" si="78">SUM(AM13:AM15)</f>
        <v>1026</v>
      </c>
      <c r="AN16" s="2418">
        <f t="shared" si="78"/>
        <v>6793.4334460000009</v>
      </c>
      <c r="AO16" s="374">
        <f t="shared" si="78"/>
        <v>9275</v>
      </c>
      <c r="AP16" s="374">
        <f t="shared" si="78"/>
        <v>25411.398615999999</v>
      </c>
      <c r="AQ16" s="2451">
        <f t="shared" si="78"/>
        <v>342</v>
      </c>
      <c r="AR16" s="2452">
        <f t="shared" si="78"/>
        <v>565.31097999999997</v>
      </c>
      <c r="AS16" s="374">
        <f t="shared" si="78"/>
        <v>9617</v>
      </c>
      <c r="AT16" s="374">
        <f t="shared" si="78"/>
        <v>25976.709596000001</v>
      </c>
      <c r="AU16" s="2451">
        <f t="shared" ref="AU16:AX16" si="79">SUM(AU13:AU15)</f>
        <v>342</v>
      </c>
      <c r="AV16" s="2452">
        <f t="shared" si="79"/>
        <v>1000.347552</v>
      </c>
      <c r="AW16" s="374">
        <f t="shared" si="79"/>
        <v>9959</v>
      </c>
      <c r="AX16" s="374">
        <f t="shared" si="79"/>
        <v>26977.057148</v>
      </c>
      <c r="AY16" s="2451">
        <f t="shared" ref="AY16:AZ16" si="80">SUM(AY13:AY15)</f>
        <v>342</v>
      </c>
      <c r="AZ16" s="2452">
        <f t="shared" si="80"/>
        <v>5493.5990359999996</v>
      </c>
      <c r="BA16" s="2418">
        <f t="shared" ref="BA16:BD16" si="81">SUM(BA13:BA15)</f>
        <v>1026</v>
      </c>
      <c r="BB16" s="2418">
        <f t="shared" si="81"/>
        <v>7059.2575679999991</v>
      </c>
      <c r="BC16" s="2453">
        <f t="shared" si="81"/>
        <v>2052</v>
      </c>
      <c r="BD16" s="2454">
        <f t="shared" si="81"/>
        <v>13852.691014</v>
      </c>
      <c r="BE16" s="374">
        <f t="shared" ref="BE16:BF16" si="82">SUM(BE13:BE15)</f>
        <v>10301</v>
      </c>
      <c r="BF16" s="374">
        <f t="shared" si="82"/>
        <v>32470.656183999999</v>
      </c>
      <c r="BG16" s="26"/>
      <c r="BH16" s="26"/>
      <c r="BI16" s="26"/>
      <c r="BJ16" s="26"/>
    </row>
    <row r="17" spans="1:62" ht="15.75" thickBot="1" x14ac:dyDescent="0.3">
      <c r="A17" s="186"/>
      <c r="B17" s="1784" t="s">
        <v>708</v>
      </c>
      <c r="C17" s="826" t="s">
        <v>50</v>
      </c>
      <c r="D17" s="2213">
        <f>+'Maj Production Summ'!D27</f>
        <v>3541.35</v>
      </c>
      <c r="E17" s="2213">
        <f>+'Maj Production Summ'!E27</f>
        <v>273.99599999999998</v>
      </c>
      <c r="F17" s="2444">
        <f>+'Maj Production Summ'!F27</f>
        <v>374.5</v>
      </c>
      <c r="G17" s="2213">
        <f>+'Maj Production Summ'!G27</f>
        <v>279.98</v>
      </c>
      <c r="H17" s="2444">
        <f>+'Maj Production Summ'!H27</f>
        <v>603.86199999999997</v>
      </c>
      <c r="I17" s="2445" t="s">
        <v>32</v>
      </c>
      <c r="J17" s="535">
        <f t="shared" si="2"/>
        <v>978.36199999999997</v>
      </c>
      <c r="K17" s="2213">
        <f>+'Maj Production Summ'!K27</f>
        <v>189.24</v>
      </c>
      <c r="L17" s="2444">
        <f>+'Maj Production Summ'!L27</f>
        <v>1153.0050000000001</v>
      </c>
      <c r="M17" s="2446">
        <f t="shared" ref="M17:N21" si="83">+K17+G17+E17</f>
        <v>743.21600000000001</v>
      </c>
      <c r="N17" s="2446">
        <f t="shared" si="83"/>
        <v>2131.3670000000002</v>
      </c>
      <c r="O17" s="2213">
        <f>+'Maj Production Summ'!O27</f>
        <v>436.24</v>
      </c>
      <c r="P17" s="2444">
        <f>+'Maj Production Summ'!P27</f>
        <v>1162.3989999999999</v>
      </c>
      <c r="Q17" s="1673">
        <f t="shared" ref="Q17:R21" si="84">+M17+O17</f>
        <v>1179.4560000000001</v>
      </c>
      <c r="R17" s="535">
        <f t="shared" si="84"/>
        <v>3293.7660000000001</v>
      </c>
      <c r="S17" s="2213">
        <f>+'Maj Production Summ'!S27</f>
        <v>218.5</v>
      </c>
      <c r="T17" s="2444">
        <f>+'Maj Production Summ'!T27</f>
        <v>1097.691</v>
      </c>
      <c r="U17" s="1673">
        <f t="shared" ref="U17:U21" si="85">+Q17+S17</f>
        <v>1397.9560000000001</v>
      </c>
      <c r="V17" s="535">
        <f t="shared" ref="V17:V21" si="86">+R17+T17</f>
        <v>4391.4570000000003</v>
      </c>
      <c r="W17" s="2213">
        <f>+'Maj Production Summ'!W27</f>
        <v>212.42</v>
      </c>
      <c r="X17" s="2444">
        <f>+'Maj Production Summ'!X27</f>
        <v>183</v>
      </c>
      <c r="Y17" s="2446">
        <f t="shared" ref="Y17:Z18" si="87">+W17+S17+O17</f>
        <v>867.16</v>
      </c>
      <c r="Z17" s="534">
        <f t="shared" si="87"/>
        <v>2443.09</v>
      </c>
      <c r="AA17" s="2447">
        <f>M17+Y17</f>
        <v>1610.376</v>
      </c>
      <c r="AB17" s="2443">
        <f>+N17+Z17</f>
        <v>4574.4570000000003</v>
      </c>
      <c r="AC17" s="2213">
        <f>+'Maj Production Summ'!AC27</f>
        <v>226.1</v>
      </c>
      <c r="AD17" s="2444">
        <f>+'Maj Production Summ'!AD27</f>
        <v>0</v>
      </c>
      <c r="AE17" s="1673">
        <f t="shared" ref="AE17:AE21" si="88">+AA17+AC17</f>
        <v>1836.4759999999999</v>
      </c>
      <c r="AF17" s="535">
        <f t="shared" ref="AF17:AF21" si="89">+AB17+AD17</f>
        <v>4574.4570000000003</v>
      </c>
      <c r="AG17" s="2213">
        <f>+'Maj Production Summ'!AG27</f>
        <v>220.02</v>
      </c>
      <c r="AH17" s="2444">
        <f>+'Maj Production Summ'!AH27</f>
        <v>1174.3690000000001</v>
      </c>
      <c r="AI17" s="1673">
        <f t="shared" ref="AI17:AI21" si="90">+AE17+AG17</f>
        <v>2056.4960000000001</v>
      </c>
      <c r="AJ17" s="535">
        <f t="shared" ref="AJ17:AJ21" si="91">+AF17+AH17</f>
        <v>5748.8260000000009</v>
      </c>
      <c r="AK17" s="2213">
        <f>+'Maj Production Summ'!AK27</f>
        <v>226.1</v>
      </c>
      <c r="AL17" s="2444">
        <f>+'Maj Production Summ'!AL27</f>
        <v>1177.7849999999999</v>
      </c>
      <c r="AM17" s="2446">
        <f t="shared" ref="AM17:AM21" si="92">+AK17+AG17+AC17</f>
        <v>672.22</v>
      </c>
      <c r="AN17" s="534">
        <f t="shared" ref="AN17:AN21" si="93">+AL17+AH17+AD17</f>
        <v>2352.154</v>
      </c>
      <c r="AO17" s="2399">
        <f t="shared" si="69"/>
        <v>2282.596</v>
      </c>
      <c r="AP17" s="2399">
        <f t="shared" si="69"/>
        <v>6926.6110000000008</v>
      </c>
      <c r="AQ17" s="2213">
        <f>+'Maj Production Summ'!AQ27</f>
        <v>226.1</v>
      </c>
      <c r="AR17" s="2444">
        <f>+'Maj Production Summ'!AR27</f>
        <v>766.2410000000001</v>
      </c>
      <c r="AS17" s="1673">
        <f t="shared" ref="AS17:AS21" si="94">+AO17+AQ17</f>
        <v>2508.6959999999999</v>
      </c>
      <c r="AT17" s="535">
        <f t="shared" ref="AT17:AT21" si="95">+AP17+AR17</f>
        <v>7692.8520000000008</v>
      </c>
      <c r="AU17" s="2213">
        <f>+'Maj Production Summ'!AU27</f>
        <v>207.1</v>
      </c>
      <c r="AV17" s="2444">
        <f>+'Maj Production Summ'!AV27</f>
        <v>658.14700000000005</v>
      </c>
      <c r="AW17" s="1673">
        <f t="shared" ref="AW17:AW21" si="96">+AS17+AU17</f>
        <v>2715.7959999999998</v>
      </c>
      <c r="AX17" s="535">
        <f t="shared" ref="AX17:AX21" si="97">+AT17+AV17</f>
        <v>8350.9990000000016</v>
      </c>
      <c r="AY17" s="2213">
        <f>+'Maj Production Summ'!AY27</f>
        <v>226.1</v>
      </c>
      <c r="AZ17" s="2444">
        <f>+'Maj Production Summ'!AZ27</f>
        <v>554.32999999999993</v>
      </c>
      <c r="BA17" s="2446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73">
        <f t="shared" ref="BE17:BE21" si="102">+AW17+AY17</f>
        <v>2941.8959999999997</v>
      </c>
      <c r="BF17" s="535">
        <f t="shared" ref="BF17:BF21" si="103">+AX17+AZ17</f>
        <v>8905.3290000000015</v>
      </c>
      <c r="BG17" s="26"/>
      <c r="BH17" s="26"/>
      <c r="BI17" s="26"/>
      <c r="BJ17" s="26"/>
    </row>
    <row r="18" spans="1:62" x14ac:dyDescent="0.25">
      <c r="A18" s="147"/>
      <c r="B18" s="2214" t="s">
        <v>237</v>
      </c>
      <c r="C18" s="820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56620</v>
      </c>
      <c r="L18" s="275">
        <v>72265.20610000001</v>
      </c>
      <c r="M18" s="618">
        <f t="shared" si="83"/>
        <v>248108</v>
      </c>
      <c r="N18" s="618">
        <f>+L18+H18+F18</f>
        <v>242943.01450000005</v>
      </c>
      <c r="O18" s="158">
        <v>28120</v>
      </c>
      <c r="P18" s="275">
        <v>97820.280700000003</v>
      </c>
      <c r="Q18" s="373">
        <f t="shared" si="84"/>
        <v>276228</v>
      </c>
      <c r="R18" s="373">
        <f t="shared" si="84"/>
        <v>340763.29520000005</v>
      </c>
      <c r="S18" s="158">
        <v>91200</v>
      </c>
      <c r="T18" s="275">
        <v>96845.807700000005</v>
      </c>
      <c r="U18" s="373">
        <f t="shared" si="85"/>
        <v>367428</v>
      </c>
      <c r="V18" s="373">
        <f t="shared" si="86"/>
        <v>437609.10290000006</v>
      </c>
      <c r="W18" s="158">
        <v>88160</v>
      </c>
      <c r="X18" s="275">
        <v>91964.911699999997</v>
      </c>
      <c r="Y18" s="618">
        <f t="shared" si="87"/>
        <v>207480</v>
      </c>
      <c r="Z18" s="618">
        <f t="shared" si="87"/>
        <v>286631.0001</v>
      </c>
      <c r="AA18" s="1052">
        <f>M18+Y18</f>
        <v>455588</v>
      </c>
      <c r="AB18" s="458">
        <f>+N18+Z18</f>
        <v>529574.01460000011</v>
      </c>
      <c r="AC18" s="158">
        <v>95000</v>
      </c>
      <c r="AD18" s="275">
        <v>89395.797399999996</v>
      </c>
      <c r="AE18" s="373">
        <f t="shared" si="88"/>
        <v>550588</v>
      </c>
      <c r="AF18" s="373">
        <f t="shared" si="89"/>
        <v>618969.81200000015</v>
      </c>
      <c r="AG18" s="158">
        <v>91960</v>
      </c>
      <c r="AH18" s="275">
        <v>3506.2129999999997</v>
      </c>
      <c r="AI18" s="373">
        <f t="shared" si="90"/>
        <v>642548</v>
      </c>
      <c r="AJ18" s="373">
        <f t="shared" si="91"/>
        <v>622476.02500000014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2399">
        <f t="shared" ref="AO18:AP23" si="104">+AK18+AI18</f>
        <v>737548</v>
      </c>
      <c r="AP18" s="2399">
        <f t="shared" ref="AP18:AP21" si="105">+AL18+AJ18</f>
        <v>722708.02500000014</v>
      </c>
      <c r="AQ18" s="158">
        <v>95000</v>
      </c>
      <c r="AR18" s="275">
        <v>106187.04370000001</v>
      </c>
      <c r="AS18" s="373">
        <f t="shared" si="94"/>
        <v>832548</v>
      </c>
      <c r="AT18" s="373">
        <f t="shared" si="95"/>
        <v>828895.06870000018</v>
      </c>
      <c r="AU18" s="158">
        <v>85500</v>
      </c>
      <c r="AV18" s="275">
        <v>87019.843199999988</v>
      </c>
      <c r="AW18" s="373">
        <f t="shared" si="96"/>
        <v>918048</v>
      </c>
      <c r="AX18" s="373">
        <f t="shared" si="97"/>
        <v>915914.91190000018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1013048</v>
      </c>
      <c r="BF18" s="373">
        <f t="shared" si="103"/>
        <v>1018371.3727000002</v>
      </c>
      <c r="BG18" s="26"/>
      <c r="BH18" s="26"/>
      <c r="BI18" s="26"/>
      <c r="BJ18" s="26"/>
    </row>
    <row r="19" spans="1:62" x14ac:dyDescent="0.25">
      <c r="A19" s="147" t="s">
        <v>470</v>
      </c>
      <c r="B19" s="1779" t="s">
        <v>564</v>
      </c>
      <c r="C19" s="3142" t="s">
        <v>50</v>
      </c>
      <c r="D19" s="3202">
        <v>1048134.9999999999</v>
      </c>
      <c r="E19" s="3202">
        <v>89535.6</v>
      </c>
      <c r="F19" s="3202">
        <v>73150.340758762904</v>
      </c>
      <c r="G19" s="7194">
        <v>92378</v>
      </c>
      <c r="H19" s="7194">
        <v>77751.078862886585</v>
      </c>
      <c r="I19" s="3133">
        <f>+E19+G19</f>
        <v>181913.60000000001</v>
      </c>
      <c r="J19" s="39">
        <f t="shared" si="2"/>
        <v>150901.41962164949</v>
      </c>
      <c r="K19" s="4602">
        <v>53789</v>
      </c>
      <c r="L19" s="4602">
        <v>57046.015385567</v>
      </c>
      <c r="M19" s="2374">
        <f t="shared" ref="M19:M20" si="106">+K19+G19+E19</f>
        <v>235702.6</v>
      </c>
      <c r="N19" s="2374">
        <f t="shared" ref="N19:N20" si="107">+L19+H19+F19</f>
        <v>207947.4350072165</v>
      </c>
      <c r="O19" s="4790">
        <v>26714</v>
      </c>
      <c r="P19" s="4790">
        <v>87111.654582474235</v>
      </c>
      <c r="Q19" s="2373">
        <f t="shared" si="84"/>
        <v>262416.59999999998</v>
      </c>
      <c r="R19" s="2373">
        <f t="shared" si="84"/>
        <v>295059.08958969073</v>
      </c>
      <c r="S19" s="4929">
        <v>86640</v>
      </c>
      <c r="T19" s="4929">
        <v>87232.065900000001</v>
      </c>
      <c r="U19" s="4914">
        <f t="shared" si="85"/>
        <v>349056.6</v>
      </c>
      <c r="V19" s="4914">
        <f t="shared" si="86"/>
        <v>382291.15548969072</v>
      </c>
      <c r="W19" s="5050">
        <v>83752</v>
      </c>
      <c r="X19" s="5050">
        <v>83624.759721649491</v>
      </c>
      <c r="Y19" s="2374">
        <f t="shared" ref="Y19:Y21" si="108">+W19+S19+O19</f>
        <v>197106</v>
      </c>
      <c r="Z19" s="2374">
        <f t="shared" ref="Z19:Z21" si="109">+X19+T19+P19</f>
        <v>257968.48020412374</v>
      </c>
      <c r="AA19" s="2375">
        <f t="shared" ref="AA19:AA20" si="110">M19+Y19</f>
        <v>432808.6</v>
      </c>
      <c r="AB19" s="454">
        <f t="shared" ref="AB19:AB20" si="111">+N19+Z19</f>
        <v>465915.91521134024</v>
      </c>
      <c r="AC19" s="5365">
        <v>90250</v>
      </c>
      <c r="AD19" s="5365">
        <v>84199.873500000002</v>
      </c>
      <c r="AE19" s="2399">
        <f t="shared" si="88"/>
        <v>523058.6</v>
      </c>
      <c r="AF19" s="2399">
        <f t="shared" si="89"/>
        <v>550115.78871134028</v>
      </c>
      <c r="AG19" s="5552">
        <v>87362</v>
      </c>
      <c r="AH19" s="5552">
        <v>2400.2629999999999</v>
      </c>
      <c r="AI19" s="5535">
        <f t="shared" si="90"/>
        <v>610420.6</v>
      </c>
      <c r="AJ19" s="5535">
        <f t="shared" si="91"/>
        <v>552516.05171134032</v>
      </c>
      <c r="AK19" s="5948">
        <v>90250</v>
      </c>
      <c r="AL19" s="6004">
        <v>95312</v>
      </c>
      <c r="AM19" s="2736">
        <f t="shared" si="92"/>
        <v>267862</v>
      </c>
      <c r="AN19" s="2736">
        <f t="shared" si="93"/>
        <v>181912.13650000002</v>
      </c>
      <c r="AO19" s="2399">
        <f t="shared" si="104"/>
        <v>700670.6</v>
      </c>
      <c r="AP19" s="2399">
        <f t="shared" si="105"/>
        <v>647828.05171134032</v>
      </c>
      <c r="AQ19" s="6098">
        <v>90250</v>
      </c>
      <c r="AR19" s="6098">
        <v>96971.438800000033</v>
      </c>
      <c r="AS19" s="2399">
        <f t="shared" si="94"/>
        <v>790920.6</v>
      </c>
      <c r="AT19" s="2399">
        <f t="shared" si="95"/>
        <v>744799.49051134032</v>
      </c>
      <c r="AU19" s="6242">
        <v>81225</v>
      </c>
      <c r="AV19" s="6242">
        <v>82756.044600000023</v>
      </c>
      <c r="AW19" s="6234">
        <f t="shared" si="96"/>
        <v>872145.6</v>
      </c>
      <c r="AX19" s="6234">
        <f t="shared" si="97"/>
        <v>827555.53511134034</v>
      </c>
      <c r="AY19" s="6433">
        <v>90250</v>
      </c>
      <c r="AZ19" s="6433">
        <v>93058.28240000004</v>
      </c>
      <c r="BA19" s="3012">
        <f t="shared" si="98"/>
        <v>261725</v>
      </c>
      <c r="BB19" s="3012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2399">
        <f t="shared" si="102"/>
        <v>962395.6</v>
      </c>
      <c r="BF19" s="2399">
        <f t="shared" si="103"/>
        <v>920613.81751134037</v>
      </c>
      <c r="BG19" s="26"/>
      <c r="BH19" s="26"/>
      <c r="BI19" s="26"/>
      <c r="BJ19" s="26"/>
    </row>
    <row r="20" spans="1:62" x14ac:dyDescent="0.25">
      <c r="A20" s="147"/>
      <c r="B20" s="1779" t="s">
        <v>563</v>
      </c>
      <c r="C20" s="3142" t="s">
        <v>50</v>
      </c>
      <c r="D20" s="3202">
        <v>0</v>
      </c>
      <c r="E20" s="3202">
        <v>0</v>
      </c>
      <c r="F20" s="3202">
        <v>0</v>
      </c>
      <c r="G20" s="7194">
        <v>0</v>
      </c>
      <c r="H20" s="7194">
        <v>0</v>
      </c>
      <c r="I20" s="3133">
        <f>+E20+G20</f>
        <v>0</v>
      </c>
      <c r="J20" s="39">
        <f>+F20+H20</f>
        <v>0</v>
      </c>
      <c r="K20" s="4602">
        <v>0</v>
      </c>
      <c r="L20" s="4681">
        <v>8400</v>
      </c>
      <c r="M20" s="2374">
        <f t="shared" si="106"/>
        <v>0</v>
      </c>
      <c r="N20" s="2374">
        <f t="shared" si="107"/>
        <v>8400</v>
      </c>
      <c r="O20" s="4790">
        <v>0</v>
      </c>
      <c r="P20" s="4790">
        <v>3495</v>
      </c>
      <c r="Q20" s="2373">
        <f t="shared" si="84"/>
        <v>0</v>
      </c>
      <c r="R20" s="590">
        <f t="shared" si="84"/>
        <v>11895</v>
      </c>
      <c r="S20" s="4929">
        <v>0</v>
      </c>
      <c r="T20" s="4929">
        <v>0</v>
      </c>
      <c r="U20" s="4914">
        <f t="shared" si="85"/>
        <v>0</v>
      </c>
      <c r="V20" s="4918">
        <f t="shared" si="86"/>
        <v>11895</v>
      </c>
      <c r="W20" s="5050">
        <v>0</v>
      </c>
      <c r="X20" s="5050">
        <v>8000</v>
      </c>
      <c r="Y20" s="2374">
        <f t="shared" si="108"/>
        <v>0</v>
      </c>
      <c r="Z20" s="2374">
        <f t="shared" si="109"/>
        <v>11495</v>
      </c>
      <c r="AA20" s="2375">
        <f t="shared" si="110"/>
        <v>0</v>
      </c>
      <c r="AB20" s="454">
        <f t="shared" si="111"/>
        <v>19895</v>
      </c>
      <c r="AC20" s="5365">
        <v>0</v>
      </c>
      <c r="AD20" s="5365">
        <v>0</v>
      </c>
      <c r="AE20" s="2399">
        <f t="shared" si="88"/>
        <v>0</v>
      </c>
      <c r="AF20" s="590">
        <f t="shared" si="89"/>
        <v>19895</v>
      </c>
      <c r="AG20" s="5552">
        <v>0</v>
      </c>
      <c r="AH20" s="5552">
        <v>6810</v>
      </c>
      <c r="AI20" s="5535">
        <f t="shared" si="90"/>
        <v>0</v>
      </c>
      <c r="AJ20" s="5539">
        <f t="shared" si="91"/>
        <v>26705</v>
      </c>
      <c r="AK20" s="5948">
        <v>0</v>
      </c>
      <c r="AL20" s="5948">
        <v>0</v>
      </c>
      <c r="AM20" s="2736">
        <f t="shared" si="92"/>
        <v>0</v>
      </c>
      <c r="AN20" s="2736">
        <f t="shared" si="93"/>
        <v>6810</v>
      </c>
      <c r="AO20" s="2399">
        <f t="shared" si="104"/>
        <v>0</v>
      </c>
      <c r="AP20" s="2399">
        <f t="shared" si="105"/>
        <v>26705</v>
      </c>
      <c r="AQ20" s="6098">
        <v>0</v>
      </c>
      <c r="AR20" s="6098">
        <v>0</v>
      </c>
      <c r="AS20" s="2399">
        <f t="shared" si="94"/>
        <v>0</v>
      </c>
      <c r="AT20" s="590">
        <f t="shared" si="95"/>
        <v>26705</v>
      </c>
      <c r="AU20" s="6242">
        <v>0</v>
      </c>
      <c r="AV20" s="6242">
        <v>0</v>
      </c>
      <c r="AW20" s="6234">
        <f t="shared" si="96"/>
        <v>0</v>
      </c>
      <c r="AX20" s="6238">
        <f t="shared" si="97"/>
        <v>26705</v>
      </c>
      <c r="AY20" s="6433">
        <v>0</v>
      </c>
      <c r="AZ20" s="6433">
        <v>0</v>
      </c>
      <c r="BA20" s="3012">
        <f t="shared" si="98"/>
        <v>0</v>
      </c>
      <c r="BB20" s="3012">
        <f t="shared" si="99"/>
        <v>0</v>
      </c>
      <c r="BC20" s="469">
        <f t="shared" si="100"/>
        <v>0</v>
      </c>
      <c r="BD20" s="477">
        <f t="shared" si="101"/>
        <v>6810</v>
      </c>
      <c r="BE20" s="2399">
        <f t="shared" si="102"/>
        <v>0</v>
      </c>
      <c r="BF20" s="590">
        <f t="shared" si="103"/>
        <v>26705</v>
      </c>
      <c r="BG20" s="26"/>
      <c r="BH20" s="26"/>
      <c r="BI20" s="26"/>
      <c r="BJ20" s="26"/>
    </row>
    <row r="21" spans="1:62" ht="16.5" thickBot="1" x14ac:dyDescent="0.3">
      <c r="A21" s="147" t="s">
        <v>470</v>
      </c>
      <c r="B21" s="1769" t="s">
        <v>104</v>
      </c>
      <c r="C21" s="2380" t="s">
        <v>50</v>
      </c>
      <c r="D21" s="1145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437">
        <f>+E21+G21</f>
        <v>187658.23999999999</v>
      </c>
      <c r="J21" s="2031">
        <f t="shared" si="2"/>
        <v>146374.377033</v>
      </c>
      <c r="K21" s="234">
        <v>55546.069546891456</v>
      </c>
      <c r="L21" s="234">
        <v>55334.634923999991</v>
      </c>
      <c r="M21" s="2438">
        <f t="shared" si="83"/>
        <v>243204.30954689143</v>
      </c>
      <c r="N21" s="2438">
        <f t="shared" si="83"/>
        <v>201709.01195700001</v>
      </c>
      <c r="O21" s="234">
        <v>27586.638566912534</v>
      </c>
      <c r="P21" s="234">
        <v>84498.304945000011</v>
      </c>
      <c r="Q21" s="2437">
        <f t="shared" si="84"/>
        <v>270790.94811380398</v>
      </c>
      <c r="R21" s="2437">
        <f t="shared" si="84"/>
        <v>286207.31690199999</v>
      </c>
      <c r="S21" s="234">
        <v>89470.179135932543</v>
      </c>
      <c r="T21" s="234">
        <v>84615.103923000002</v>
      </c>
      <c r="U21" s="4928">
        <f t="shared" si="85"/>
        <v>360261.12724973651</v>
      </c>
      <c r="V21" s="4928">
        <f t="shared" si="86"/>
        <v>370822.42082499998</v>
      </c>
      <c r="W21" s="234">
        <v>86487.839831401463</v>
      </c>
      <c r="X21" s="234">
        <v>81116.016929999998</v>
      </c>
      <c r="Y21" s="2438">
        <f t="shared" si="108"/>
        <v>203544.65753424654</v>
      </c>
      <c r="Z21" s="2438">
        <f t="shared" si="109"/>
        <v>250229.42579800001</v>
      </c>
      <c r="AA21" s="2439">
        <f>+U21+W21</f>
        <v>446748.96708113799</v>
      </c>
      <c r="AB21" s="2440">
        <f>+V21+X21</f>
        <v>451938.43775499996</v>
      </c>
      <c r="AC21" s="234">
        <v>93198.103266596401</v>
      </c>
      <c r="AD21" s="234">
        <v>81673.877294999998</v>
      </c>
      <c r="AE21" s="589">
        <f t="shared" si="88"/>
        <v>539947.07034773438</v>
      </c>
      <c r="AF21" s="589">
        <f t="shared" si="89"/>
        <v>533612.31504999998</v>
      </c>
      <c r="AG21" s="234">
        <v>90215.763962065321</v>
      </c>
      <c r="AH21" s="234">
        <v>2328.2551100000001</v>
      </c>
      <c r="AI21" s="589">
        <f t="shared" si="90"/>
        <v>630162.83430979971</v>
      </c>
      <c r="AJ21" s="589">
        <f t="shared" si="91"/>
        <v>535940.57016</v>
      </c>
      <c r="AK21" s="234">
        <v>93198.103266596401</v>
      </c>
      <c r="AL21" s="234">
        <v>92452.295552999989</v>
      </c>
      <c r="AM21" s="2438">
        <f t="shared" si="92"/>
        <v>276611.97049525811</v>
      </c>
      <c r="AN21" s="2438">
        <f t="shared" si="93"/>
        <v>176454.42795799999</v>
      </c>
      <c r="AO21" s="2399">
        <f t="shared" si="104"/>
        <v>723360.93757639616</v>
      </c>
      <c r="AP21" s="2399">
        <f t="shared" si="105"/>
        <v>628392.86571299995</v>
      </c>
      <c r="AQ21" s="234">
        <v>93198.103266596401</v>
      </c>
      <c r="AR21" s="234">
        <v>94062.295636000024</v>
      </c>
      <c r="AS21" s="589">
        <f t="shared" si="94"/>
        <v>816559.0408429926</v>
      </c>
      <c r="AT21" s="589">
        <f t="shared" si="95"/>
        <v>722455.16134899994</v>
      </c>
      <c r="AU21" s="234">
        <v>83878.292939936771</v>
      </c>
      <c r="AV21" s="234">
        <v>80273.363262000028</v>
      </c>
      <c r="AW21" s="589">
        <f t="shared" si="96"/>
        <v>900437.33378292935</v>
      </c>
      <c r="AX21" s="589">
        <f t="shared" si="97"/>
        <v>802728.52461099997</v>
      </c>
      <c r="AY21" s="234">
        <v>93198.103266596401</v>
      </c>
      <c r="AZ21" s="234">
        <v>90266.533928000033</v>
      </c>
      <c r="BA21" s="2438">
        <f t="shared" si="98"/>
        <v>270274.49947312957</v>
      </c>
      <c r="BB21" s="2438">
        <f t="shared" si="99"/>
        <v>264602.19282600004</v>
      </c>
      <c r="BC21" s="2458">
        <f>AM21+BA21</f>
        <v>546886.46996838762</v>
      </c>
      <c r="BD21" s="468">
        <f>+AN21+BB21</f>
        <v>441056.62078400003</v>
      </c>
      <c r="BE21" s="589">
        <f t="shared" si="102"/>
        <v>993635.43704952579</v>
      </c>
      <c r="BF21" s="589">
        <f t="shared" si="103"/>
        <v>892995.05853899999</v>
      </c>
      <c r="BG21" s="26"/>
      <c r="BH21" s="26"/>
      <c r="BI21" s="26"/>
      <c r="BJ21" s="26"/>
    </row>
    <row r="22" spans="1:62" ht="16.5" thickBot="1" x14ac:dyDescent="0.3">
      <c r="A22" s="148"/>
      <c r="B22" s="1771" t="s">
        <v>445</v>
      </c>
      <c r="C22" s="1780"/>
      <c r="D22" s="2235"/>
      <c r="E22" s="2235"/>
      <c r="F22" s="2235"/>
      <c r="G22" s="2235"/>
      <c r="H22" s="2235"/>
      <c r="I22" s="1780"/>
      <c r="J22" s="3816"/>
      <c r="K22" s="2235"/>
      <c r="L22" s="2235"/>
      <c r="M22" s="1780"/>
      <c r="N22" s="1780"/>
      <c r="O22" s="2235"/>
      <c r="P22" s="2235"/>
      <c r="Q22" s="1780"/>
      <c r="R22" s="1780"/>
      <c r="S22" s="2235"/>
      <c r="T22" s="2235"/>
      <c r="U22" s="1780"/>
      <c r="V22" s="1780"/>
      <c r="W22" s="2235"/>
      <c r="X22" s="2235"/>
      <c r="Y22" s="1780"/>
      <c r="Z22" s="1780"/>
      <c r="AA22" s="1780"/>
      <c r="AB22" s="1404"/>
      <c r="AC22" s="2235"/>
      <c r="AD22" s="2235"/>
      <c r="AE22" s="1780"/>
      <c r="AF22" s="1780"/>
      <c r="AG22" s="2235"/>
      <c r="AH22" s="2235"/>
      <c r="AI22" s="1780"/>
      <c r="AJ22" s="1780"/>
      <c r="AK22" s="2235"/>
      <c r="AL22" s="2235"/>
      <c r="AM22" s="1780"/>
      <c r="AN22" s="1780"/>
      <c r="AO22" s="1780"/>
      <c r="AP22" s="1780"/>
      <c r="AQ22" s="2235"/>
      <c r="AR22" s="2235"/>
      <c r="AS22" s="1780"/>
      <c r="AT22" s="1780"/>
      <c r="AU22" s="2235"/>
      <c r="AV22" s="2235"/>
      <c r="AW22" s="1780"/>
      <c r="AX22" s="1780"/>
      <c r="AY22" s="2235"/>
      <c r="AZ22" s="2235"/>
      <c r="BA22" s="1780"/>
      <c r="BB22" s="1780"/>
      <c r="BC22" s="1780"/>
      <c r="BD22" s="1404"/>
      <c r="BE22" s="1780"/>
      <c r="BF22" s="1780"/>
      <c r="BG22" s="26"/>
      <c r="BH22" s="26"/>
      <c r="BI22" s="26"/>
      <c r="BJ22" s="26"/>
    </row>
    <row r="23" spans="1:62" x14ac:dyDescent="0.25">
      <c r="A23" s="147" t="s">
        <v>470</v>
      </c>
      <c r="B23" s="1774" t="s">
        <v>238</v>
      </c>
      <c r="C23" s="759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3">
        <f>+E23+G23</f>
        <v>182272</v>
      </c>
      <c r="J23" s="43">
        <f t="shared" si="2"/>
        <v>167160.06780000002</v>
      </c>
      <c r="K23" s="158">
        <f t="shared" ref="K23:K25" si="114">+K$6*K39/1000</f>
        <v>55428</v>
      </c>
      <c r="L23" s="275">
        <v>68233.758200000011</v>
      </c>
      <c r="M23" s="717">
        <f t="shared" ref="M23:N23" si="115">+K23+G23+E23</f>
        <v>237700</v>
      </c>
      <c r="N23" s="717">
        <f t="shared" si="115"/>
        <v>235393.826</v>
      </c>
      <c r="O23" s="158">
        <f t="shared" ref="O23:O25" si="116">+O$6*O39/1000</f>
        <v>29008</v>
      </c>
      <c r="P23" s="275">
        <v>92706.741020000001</v>
      </c>
      <c r="Q23" s="713">
        <f t="shared" ref="Q23:R25" si="117">+M23+O23</f>
        <v>266708</v>
      </c>
      <c r="R23" s="43">
        <f t="shared" si="117"/>
        <v>328100.56702000002</v>
      </c>
      <c r="S23" s="158">
        <f t="shared" ref="S23:S25" si="118">+S$6*S39/1000</f>
        <v>87696</v>
      </c>
      <c r="T23" s="275">
        <v>92607.479009999995</v>
      </c>
      <c r="U23" s="713">
        <f t="shared" ref="U23:U25" si="119">+Q23+S23</f>
        <v>354404</v>
      </c>
      <c r="V23" s="43">
        <f t="shared" ref="V23:V25" si="120">+R23+T23</f>
        <v>420708.04603000003</v>
      </c>
      <c r="W23" s="158">
        <f t="shared" ref="W23:W25" si="121">+W$6*W39/1000</f>
        <v>84772.800000000003</v>
      </c>
      <c r="X23" s="275">
        <v>93450.417199999996</v>
      </c>
      <c r="Y23" s="717">
        <f t="shared" ref="Y23:Z23" si="122">+W23+S23+O23</f>
        <v>201476.8</v>
      </c>
      <c r="Z23" s="73">
        <f t="shared" si="122"/>
        <v>278764.63722999999</v>
      </c>
      <c r="AA23" s="715">
        <f>M23+Y23</f>
        <v>439176.8</v>
      </c>
      <c r="AB23" s="458">
        <f>+N23+Z23</f>
        <v>514158.46322999999</v>
      </c>
      <c r="AC23" s="158">
        <f t="shared" ref="AC23:AC25" si="123">+AC$6*AC39/1000</f>
        <v>90600</v>
      </c>
      <c r="AD23" s="275">
        <v>90529.182680000013</v>
      </c>
      <c r="AE23" s="713">
        <f t="shared" ref="AE23:AE25" si="124">+AA23+AC23</f>
        <v>529776.80000000005</v>
      </c>
      <c r="AF23" s="43">
        <f t="shared" ref="AF23:AF25" si="125">+AB23+AD23</f>
        <v>604687.64590999996</v>
      </c>
      <c r="AG23" s="158">
        <f t="shared" ref="AG23:AG25" si="126">+AG$6*AG39/1000</f>
        <v>85982.6</v>
      </c>
      <c r="AH23" s="275">
        <v>5150.0958000000001</v>
      </c>
      <c r="AI23" s="713">
        <f t="shared" ref="AI23:AI25" si="127">+AE23+AG23</f>
        <v>615759.4</v>
      </c>
      <c r="AJ23" s="43">
        <f t="shared" ref="AJ23:AJ25" si="128">+AF23+AH23</f>
        <v>609837.74170999997</v>
      </c>
      <c r="AK23" s="158">
        <f t="shared" ref="AK23:AK25" si="129">+AK$6*AK39/1000</f>
        <v>88825</v>
      </c>
      <c r="AL23" s="275">
        <v>94257.042999999991</v>
      </c>
      <c r="AM23" s="717">
        <f t="shared" ref="AM23:AM25" si="130">+AK23+AG23+AC23</f>
        <v>265407.59999999998</v>
      </c>
      <c r="AN23" s="73">
        <f t="shared" ref="AN23:AN25" si="131">+AL23+AH23+AD23</f>
        <v>189936.32147999998</v>
      </c>
      <c r="AO23" s="2399">
        <f t="shared" si="104"/>
        <v>704584.4</v>
      </c>
      <c r="AP23" s="2399">
        <f t="shared" si="104"/>
        <v>704094.78470999992</v>
      </c>
      <c r="AQ23" s="158">
        <f t="shared" ref="AQ23:AQ25" si="132">+AQ$6*AQ39/1000</f>
        <v>88825</v>
      </c>
      <c r="AR23" s="275">
        <v>91127.224099999992</v>
      </c>
      <c r="AS23" s="713">
        <f t="shared" ref="AS23:AS25" si="133">+AO23+AQ23</f>
        <v>793409.4</v>
      </c>
      <c r="AT23" s="43">
        <f t="shared" ref="AT23:AT25" si="134">+AP23+AR23</f>
        <v>795222.00880999991</v>
      </c>
      <c r="AU23" s="158">
        <f t="shared" ref="AU23:AU25" si="135">+AU$6*AU39/1000</f>
        <v>79942.5</v>
      </c>
      <c r="AV23" s="275">
        <v>82009.378899999996</v>
      </c>
      <c r="AW23" s="713">
        <f t="shared" ref="AW23:AW25" si="136">+AS23+AU23</f>
        <v>873351.9</v>
      </c>
      <c r="AX23" s="43">
        <f t="shared" ref="AX23:AX25" si="137">+AT23+AV23</f>
        <v>877231.38770999992</v>
      </c>
      <c r="AY23" s="158">
        <f t="shared" ref="AY23:AY25" si="138">+AY$6*AY39/1000</f>
        <v>88825</v>
      </c>
      <c r="AZ23" s="275">
        <v>89515.708799999993</v>
      </c>
      <c r="BA23" s="717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3">
        <f t="shared" ref="BE23:BE25" si="143">+AW23+AY23</f>
        <v>962176.9</v>
      </c>
      <c r="BF23" s="43">
        <f t="shared" ref="BF23:BF25" si="144">+AX23+AZ23</f>
        <v>966747.09650999994</v>
      </c>
      <c r="BG23" s="26"/>
      <c r="BH23" s="26"/>
      <c r="BI23" s="26"/>
      <c r="BJ23" s="26"/>
    </row>
    <row r="24" spans="1:62" x14ac:dyDescent="0.25">
      <c r="A24" s="147" t="s">
        <v>470</v>
      </c>
      <c r="B24" s="1772" t="s">
        <v>1</v>
      </c>
      <c r="C24" s="3479" t="s">
        <v>50</v>
      </c>
      <c r="D24" s="3132">
        <f t="shared" si="112"/>
        <v>85410</v>
      </c>
      <c r="E24" s="3132">
        <f t="shared" si="112"/>
        <v>7308</v>
      </c>
      <c r="F24" s="3202">
        <v>5715.1388000000006</v>
      </c>
      <c r="G24" s="7199">
        <f t="shared" ref="G24" si="145">+G$6*G40/1000</f>
        <v>7540</v>
      </c>
      <c r="H24" s="7194">
        <v>6699.8459999999995</v>
      </c>
      <c r="I24" s="719">
        <f>+E24+G24</f>
        <v>14848</v>
      </c>
      <c r="J24" s="62">
        <f t="shared" si="2"/>
        <v>12414.9848</v>
      </c>
      <c r="K24" s="4603">
        <f t="shared" si="114"/>
        <v>5811</v>
      </c>
      <c r="L24" s="4602">
        <v>7596.8565620155032</v>
      </c>
      <c r="M24" s="68">
        <f t="shared" ref="M24:M25" si="146">+K24+G24+E24</f>
        <v>20659</v>
      </c>
      <c r="N24" s="68">
        <f t="shared" ref="N24:N25" si="147">+L24+H24+F24</f>
        <v>20011.841362015504</v>
      </c>
      <c r="O24" s="4791">
        <f t="shared" si="116"/>
        <v>2664</v>
      </c>
      <c r="P24" s="4790">
        <v>12751.287262015505</v>
      </c>
      <c r="Q24" s="719">
        <f t="shared" si="117"/>
        <v>23323</v>
      </c>
      <c r="R24" s="62">
        <f t="shared" si="117"/>
        <v>32763.128624031007</v>
      </c>
      <c r="S24" s="4932">
        <f t="shared" si="118"/>
        <v>9360</v>
      </c>
      <c r="T24" s="4929">
        <v>12520.34484</v>
      </c>
      <c r="U24" s="4908">
        <f t="shared" si="119"/>
        <v>32683</v>
      </c>
      <c r="V24" s="62">
        <f t="shared" si="120"/>
        <v>45283.473464031005</v>
      </c>
      <c r="W24" s="5053">
        <f t="shared" si="121"/>
        <v>9048</v>
      </c>
      <c r="X24" s="5050">
        <v>11740.725</v>
      </c>
      <c r="Y24" s="68">
        <f t="shared" ref="Y24:Y25" si="148">+W24+S24+O24</f>
        <v>21072</v>
      </c>
      <c r="Z24" s="69">
        <f t="shared" ref="Z24:Z25" si="149">+X24+T24+P24</f>
        <v>37012.357102015507</v>
      </c>
      <c r="AA24" s="797">
        <f t="shared" ref="AA24:AA25" si="150">M24+Y24</f>
        <v>41731</v>
      </c>
      <c r="AB24" s="477">
        <f t="shared" ref="AB24:AB25" si="151">+N24+Z24</f>
        <v>57024.198464031011</v>
      </c>
      <c r="AC24" s="5368">
        <f t="shared" si="123"/>
        <v>9750</v>
      </c>
      <c r="AD24" s="5365">
        <v>9460.2050799999997</v>
      </c>
      <c r="AE24" s="719">
        <f t="shared" si="124"/>
        <v>51481</v>
      </c>
      <c r="AF24" s="62">
        <f t="shared" si="125"/>
        <v>66484.403544031011</v>
      </c>
      <c r="AG24" s="5555">
        <f t="shared" si="126"/>
        <v>9438</v>
      </c>
      <c r="AH24" s="5552">
        <v>116.1062</v>
      </c>
      <c r="AI24" s="5529">
        <f t="shared" si="127"/>
        <v>60919</v>
      </c>
      <c r="AJ24" s="62">
        <f t="shared" si="128"/>
        <v>66600.509744031006</v>
      </c>
      <c r="AK24" s="5949">
        <f t="shared" si="129"/>
        <v>9750</v>
      </c>
      <c r="AL24" s="5948">
        <v>8541.23</v>
      </c>
      <c r="AM24" s="68">
        <f t="shared" si="130"/>
        <v>28938</v>
      </c>
      <c r="AN24" s="69">
        <f t="shared" si="131"/>
        <v>18117.541279999998</v>
      </c>
      <c r="AO24" s="2399">
        <f t="shared" ref="AO24:AP27" si="152">+AK24+AI24</f>
        <v>70669</v>
      </c>
      <c r="AP24" s="2399">
        <f t="shared" ref="AP24:AP25" si="153">+AL24+AJ24</f>
        <v>75141.739744031001</v>
      </c>
      <c r="AQ24" s="6102">
        <f t="shared" si="132"/>
        <v>9750</v>
      </c>
      <c r="AR24" s="6098">
        <v>7963.6405999999997</v>
      </c>
      <c r="AS24" s="719">
        <f t="shared" si="133"/>
        <v>80419</v>
      </c>
      <c r="AT24" s="62">
        <f t="shared" si="134"/>
        <v>83105.380344031</v>
      </c>
      <c r="AU24" s="6244">
        <f t="shared" si="135"/>
        <v>8775</v>
      </c>
      <c r="AV24" s="6242">
        <v>6990.9988999999996</v>
      </c>
      <c r="AW24" s="6229">
        <f t="shared" si="136"/>
        <v>89194</v>
      </c>
      <c r="AX24" s="62">
        <f t="shared" si="137"/>
        <v>90096.379244031006</v>
      </c>
      <c r="AY24" s="6436">
        <f t="shared" si="138"/>
        <v>9750</v>
      </c>
      <c r="AZ24" s="6433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9">
        <f t="shared" si="143"/>
        <v>98944</v>
      </c>
      <c r="BF24" s="62">
        <f t="shared" si="144"/>
        <v>97519.504344031011</v>
      </c>
      <c r="BG24" s="26"/>
      <c r="BH24" s="26"/>
      <c r="BI24" s="26"/>
      <c r="BJ24" s="26"/>
    </row>
    <row r="25" spans="1:62" ht="15.75" thickBot="1" x14ac:dyDescent="0.3">
      <c r="A25" s="147" t="s">
        <v>470</v>
      </c>
      <c r="B25" s="1776" t="s">
        <v>124</v>
      </c>
      <c r="C25" s="3584" t="s">
        <v>50</v>
      </c>
      <c r="D25" s="3477">
        <f t="shared" si="112"/>
        <v>441511.99999999994</v>
      </c>
      <c r="E25" s="3477">
        <f t="shared" si="112"/>
        <v>37800</v>
      </c>
      <c r="F25" s="3516">
        <v>34122.403299999998</v>
      </c>
      <c r="G25" s="7198">
        <f t="shared" ref="G25" si="156">+G$6*G41/1000</f>
        <v>39000</v>
      </c>
      <c r="H25" s="3516">
        <v>39876.654799999997</v>
      </c>
      <c r="I25" s="3706">
        <f>+E25+G25</f>
        <v>76800</v>
      </c>
      <c r="J25" s="535">
        <f t="shared" si="2"/>
        <v>73999.058099999995</v>
      </c>
      <c r="K25" s="3477">
        <f t="shared" si="114"/>
        <v>19221</v>
      </c>
      <c r="L25" s="3516">
        <v>19911.159200000002</v>
      </c>
      <c r="M25" s="68">
        <f t="shared" si="146"/>
        <v>96021</v>
      </c>
      <c r="N25" s="68">
        <f t="shared" si="147"/>
        <v>93910.217299999989</v>
      </c>
      <c r="O25" s="3477">
        <f t="shared" si="116"/>
        <v>8288</v>
      </c>
      <c r="P25" s="3516">
        <v>32300.348500000004</v>
      </c>
      <c r="Q25" s="719">
        <f t="shared" si="117"/>
        <v>104309</v>
      </c>
      <c r="R25" s="62">
        <f t="shared" si="117"/>
        <v>126210.5658</v>
      </c>
      <c r="S25" s="3477">
        <f t="shared" si="118"/>
        <v>32640</v>
      </c>
      <c r="T25" s="3516">
        <v>32026.347880000005</v>
      </c>
      <c r="U25" s="4908">
        <f t="shared" si="119"/>
        <v>136949</v>
      </c>
      <c r="V25" s="62">
        <f t="shared" si="120"/>
        <v>158236.91368</v>
      </c>
      <c r="W25" s="3477">
        <f t="shared" si="121"/>
        <v>32712</v>
      </c>
      <c r="X25" s="3516">
        <v>30058.200800000002</v>
      </c>
      <c r="Y25" s="68">
        <f t="shared" si="148"/>
        <v>73640</v>
      </c>
      <c r="Z25" s="69">
        <f t="shared" si="149"/>
        <v>94384.897180000014</v>
      </c>
      <c r="AA25" s="797">
        <f t="shared" si="150"/>
        <v>169661</v>
      </c>
      <c r="AB25" s="477">
        <f t="shared" si="151"/>
        <v>188295.11447999999</v>
      </c>
      <c r="AC25" s="3477">
        <f t="shared" si="123"/>
        <v>36500</v>
      </c>
      <c r="AD25" s="3516">
        <v>29990.934699999994</v>
      </c>
      <c r="AE25" s="719">
        <f t="shared" si="124"/>
        <v>206161</v>
      </c>
      <c r="AF25" s="62">
        <f t="shared" si="125"/>
        <v>218286.04917999997</v>
      </c>
      <c r="AG25" s="3477">
        <f t="shared" si="126"/>
        <v>35332</v>
      </c>
      <c r="AH25" s="3516">
        <v>0</v>
      </c>
      <c r="AI25" s="5529">
        <f t="shared" si="127"/>
        <v>241493</v>
      </c>
      <c r="AJ25" s="62">
        <f t="shared" si="128"/>
        <v>218286.04917999997</v>
      </c>
      <c r="AK25" s="3477">
        <f t="shared" si="129"/>
        <v>36500</v>
      </c>
      <c r="AL25" s="3516">
        <v>35753.689999999995</v>
      </c>
      <c r="AM25" s="68">
        <f t="shared" si="130"/>
        <v>108332</v>
      </c>
      <c r="AN25" s="69">
        <f t="shared" si="131"/>
        <v>65744.624699999986</v>
      </c>
      <c r="AO25" s="2399">
        <f t="shared" si="152"/>
        <v>277993</v>
      </c>
      <c r="AP25" s="2399">
        <f t="shared" si="153"/>
        <v>254039.73917999998</v>
      </c>
      <c r="AQ25" s="6103">
        <f t="shared" si="132"/>
        <v>36500</v>
      </c>
      <c r="AR25" s="3516">
        <v>40224.270799999991</v>
      </c>
      <c r="AS25" s="719">
        <f t="shared" si="133"/>
        <v>314493</v>
      </c>
      <c r="AT25" s="62">
        <f t="shared" si="134"/>
        <v>294264.00997999997</v>
      </c>
      <c r="AU25" s="6246">
        <f t="shared" si="135"/>
        <v>32850</v>
      </c>
      <c r="AV25" s="3516">
        <v>37459.847000000002</v>
      </c>
      <c r="AW25" s="6229">
        <f t="shared" si="136"/>
        <v>347343</v>
      </c>
      <c r="AX25" s="62">
        <f t="shared" si="137"/>
        <v>331723.85697999998</v>
      </c>
      <c r="AY25" s="6442">
        <f t="shared" si="138"/>
        <v>36500</v>
      </c>
      <c r="AZ25" s="3516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9">
        <f t="shared" si="143"/>
        <v>383843</v>
      </c>
      <c r="BF25" s="62">
        <f t="shared" si="144"/>
        <v>373550.41707999998</v>
      </c>
      <c r="BG25" s="26"/>
      <c r="BH25" s="26"/>
      <c r="BI25" s="26"/>
      <c r="BJ25" s="26"/>
    </row>
    <row r="26" spans="1:62" ht="16.5" thickBot="1" x14ac:dyDescent="0.3">
      <c r="A26" s="147" t="s">
        <v>470</v>
      </c>
      <c r="B26" s="1777" t="s">
        <v>239</v>
      </c>
      <c r="C26" s="495" t="s">
        <v>50</v>
      </c>
      <c r="D26" s="2434">
        <f>SUM(D23:D25)</f>
        <v>1577830</v>
      </c>
      <c r="E26" s="2434">
        <f t="shared" ref="E26:L26" si="157">SUM(E23:E25)</f>
        <v>134820</v>
      </c>
      <c r="F26" s="2557">
        <f t="shared" si="157"/>
        <v>118522.35960000003</v>
      </c>
      <c r="G26" s="2434">
        <f t="shared" ref="G26:H26" si="158">SUM(G23:G25)</f>
        <v>139100</v>
      </c>
      <c r="H26" s="2557">
        <f t="shared" si="158"/>
        <v>135051.75109999999</v>
      </c>
      <c r="I26" s="40">
        <f t="shared" si="157"/>
        <v>273920</v>
      </c>
      <c r="J26" s="41">
        <f t="shared" si="157"/>
        <v>253574.11070000002</v>
      </c>
      <c r="K26" s="2434">
        <f t="shared" si="157"/>
        <v>80460</v>
      </c>
      <c r="L26" s="2557">
        <f t="shared" si="157"/>
        <v>95741.773962015519</v>
      </c>
      <c r="M26" s="354">
        <f t="shared" ref="M26:R26" si="159">SUM(M23:M25)</f>
        <v>354380</v>
      </c>
      <c r="N26" s="67">
        <f t="shared" si="159"/>
        <v>349315.88466201548</v>
      </c>
      <c r="O26" s="2434">
        <f t="shared" si="159"/>
        <v>39960</v>
      </c>
      <c r="P26" s="2557">
        <f t="shared" si="159"/>
        <v>137758.37678201552</v>
      </c>
      <c r="Q26" s="40">
        <f t="shared" si="159"/>
        <v>394340</v>
      </c>
      <c r="R26" s="41">
        <f t="shared" si="159"/>
        <v>487074.26144403103</v>
      </c>
      <c r="S26" s="2434">
        <f t="shared" ref="S26:V26" si="160">SUM(S23:S25)</f>
        <v>129696</v>
      </c>
      <c r="T26" s="2557">
        <f t="shared" si="160"/>
        <v>137154.17173</v>
      </c>
      <c r="U26" s="40">
        <f t="shared" si="160"/>
        <v>524036</v>
      </c>
      <c r="V26" s="41">
        <f t="shared" si="160"/>
        <v>624228.43317403109</v>
      </c>
      <c r="W26" s="2434">
        <f t="shared" ref="W26:X26" si="161">SUM(W23:W25)</f>
        <v>126532.8</v>
      </c>
      <c r="X26" s="2557">
        <f t="shared" si="161"/>
        <v>135249.34299999999</v>
      </c>
      <c r="Y26" s="354">
        <f t="shared" ref="Y26:Z26" si="162">SUM(Y23:Y25)</f>
        <v>296188.79999999999</v>
      </c>
      <c r="Z26" s="67">
        <f t="shared" si="162"/>
        <v>410161.89151201554</v>
      </c>
      <c r="AA26" s="463">
        <f t="shared" ref="AA26:AF26" si="163">SUM(AA23:AA25)</f>
        <v>650568.80000000005</v>
      </c>
      <c r="AB26" s="460">
        <f t="shared" si="163"/>
        <v>759477.77617403097</v>
      </c>
      <c r="AC26" s="2434">
        <f t="shared" si="163"/>
        <v>136850</v>
      </c>
      <c r="AD26" s="2557">
        <f t="shared" si="163"/>
        <v>129980.32246000001</v>
      </c>
      <c r="AE26" s="40">
        <f t="shared" si="163"/>
        <v>787418.8</v>
      </c>
      <c r="AF26" s="41">
        <f t="shared" si="163"/>
        <v>889458.0986340309</v>
      </c>
      <c r="AG26" s="2434">
        <f t="shared" ref="AG26:AJ26" si="164">SUM(AG23:AG25)</f>
        <v>130752.6</v>
      </c>
      <c r="AH26" s="2557">
        <f t="shared" si="164"/>
        <v>5266.2020000000002</v>
      </c>
      <c r="AI26" s="40">
        <f t="shared" si="164"/>
        <v>918171.4</v>
      </c>
      <c r="AJ26" s="41">
        <f t="shared" si="164"/>
        <v>894724.30063403095</v>
      </c>
      <c r="AK26" s="2434">
        <f t="shared" ref="AK26:AL26" si="165">SUM(AK23:AK25)</f>
        <v>135075</v>
      </c>
      <c r="AL26" s="2557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1053246.3999999999</v>
      </c>
      <c r="AP26" s="41">
        <f t="shared" si="166"/>
        <v>1033276.2636340309</v>
      </c>
      <c r="AQ26" s="2434">
        <f t="shared" si="166"/>
        <v>135075</v>
      </c>
      <c r="AR26" s="2557">
        <f t="shared" si="166"/>
        <v>139315.13549999997</v>
      </c>
      <c r="AS26" s="40">
        <f t="shared" si="166"/>
        <v>1188321.3999999999</v>
      </c>
      <c r="AT26" s="41">
        <f t="shared" si="166"/>
        <v>1172591.399134031</v>
      </c>
      <c r="AU26" s="2434">
        <f t="shared" ref="AU26:AX26" si="167">SUM(AU23:AU25)</f>
        <v>121567.5</v>
      </c>
      <c r="AV26" s="2557">
        <f t="shared" si="167"/>
        <v>126460.2248</v>
      </c>
      <c r="AW26" s="40">
        <f t="shared" si="167"/>
        <v>1309888.8999999999</v>
      </c>
      <c r="AX26" s="41">
        <f t="shared" si="167"/>
        <v>1299051.623934031</v>
      </c>
      <c r="AY26" s="2434">
        <f t="shared" ref="AY26:AZ26" si="168">SUM(AY23:AY25)</f>
        <v>135075</v>
      </c>
      <c r="AZ26" s="2557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1444963.9</v>
      </c>
      <c r="BF26" s="41">
        <f t="shared" si="170"/>
        <v>1437817.0179340311</v>
      </c>
      <c r="BG26" s="26"/>
      <c r="BH26" s="26"/>
      <c r="BI26" s="26"/>
      <c r="BJ26" s="26"/>
    </row>
    <row r="27" spans="1:62" x14ac:dyDescent="0.25">
      <c r="A27" s="147" t="s">
        <v>470</v>
      </c>
      <c r="B27" s="1782" t="s">
        <v>19</v>
      </c>
      <c r="C27" s="60" t="s">
        <v>50</v>
      </c>
      <c r="D27" s="1205">
        <f t="shared" ref="D27:E30" si="171">+D$6*D43/1000</f>
        <v>3380758.2895959732</v>
      </c>
      <c r="E27" s="1205">
        <f t="shared" si="171"/>
        <v>288796.97931463906</v>
      </c>
      <c r="F27" s="1309">
        <v>252189.2</v>
      </c>
      <c r="G27" s="7192">
        <f t="shared" ref="G27" si="172">+G$6*G43/1000</f>
        <v>297965.13738811965</v>
      </c>
      <c r="H27" s="6405">
        <v>288586</v>
      </c>
      <c r="I27" s="719">
        <f>+E27+G27</f>
        <v>586762.11670275871</v>
      </c>
      <c r="J27" s="62">
        <f t="shared" si="2"/>
        <v>540775.19999999995</v>
      </c>
      <c r="K27" s="1205">
        <f t="shared" ref="K27:K30" si="173">+K$6*K43/1000</f>
        <v>170756.94411857627</v>
      </c>
      <c r="L27" s="4597">
        <v>216088.9</v>
      </c>
      <c r="M27" s="68">
        <f t="shared" ref="M27:M31" si="174">+K27+G27+E27</f>
        <v>757519.06082133506</v>
      </c>
      <c r="N27" s="68">
        <f t="shared" ref="N27:N31" si="175">+L27+H27+F27</f>
        <v>756864.10000000009</v>
      </c>
      <c r="O27" s="1205">
        <f t="shared" ref="O27:O30" si="176">+O$6*O43/1000</f>
        <v>84805.462179695591</v>
      </c>
      <c r="P27" s="4772">
        <v>316260.80000000005</v>
      </c>
      <c r="Q27" s="713">
        <f t="shared" ref="Q27:R29" si="177">+M27+O27</f>
        <v>842324.52300103067</v>
      </c>
      <c r="R27" s="43">
        <f t="shared" si="177"/>
        <v>1073124.9000000001</v>
      </c>
      <c r="S27" s="1205">
        <f t="shared" ref="S27:S30" si="178">+S$6*S43/1000</f>
        <v>275044.74220441811</v>
      </c>
      <c r="T27" s="4913">
        <v>298330.8</v>
      </c>
      <c r="U27" s="713">
        <f t="shared" ref="U27:U30" si="179">+Q27+S27</f>
        <v>1117369.2652054487</v>
      </c>
      <c r="V27" s="43">
        <f t="shared" ref="V27:V30" si="180">+R27+T27</f>
        <v>1371455.7000000002</v>
      </c>
      <c r="W27" s="1205">
        <f t="shared" ref="W27:W30" si="181">+W$6*W43/1000</f>
        <v>265876.58413093752</v>
      </c>
      <c r="X27" s="5041">
        <v>290589.19</v>
      </c>
      <c r="Y27" s="68">
        <f t="shared" ref="Y27:Y29" si="182">+W27+S27+O27</f>
        <v>625726.78851505124</v>
      </c>
      <c r="Z27" s="69">
        <f t="shared" ref="Z27:Z29" si="183">+X27+T27+P27</f>
        <v>905180.79</v>
      </c>
      <c r="AA27" s="797">
        <f t="shared" ref="AA27:AA31" si="184">M27+Y27</f>
        <v>1383245.8493363862</v>
      </c>
      <c r="AB27" s="477">
        <f t="shared" ref="AB27:AB31" si="185">+N27+Z27</f>
        <v>1662044.8900000001</v>
      </c>
      <c r="AC27" s="1205">
        <f t="shared" ref="AC27:AC30" si="186">+AC$6*AC43/1000</f>
        <v>286504.93979626888</v>
      </c>
      <c r="AD27" s="5355">
        <v>292845.7</v>
      </c>
      <c r="AE27" s="713">
        <f t="shared" ref="AE27:AE30" si="187">+AA27+AC27</f>
        <v>1669750.7891326551</v>
      </c>
      <c r="AF27" s="43">
        <f t="shared" ref="AF27:AF30" si="188">+AB27+AD27</f>
        <v>1954890.59</v>
      </c>
      <c r="AG27" s="5560">
        <f t="shared" ref="AG27:AG30" si="189">+AG$6*AG43/1000</f>
        <v>277336.78172278829</v>
      </c>
      <c r="AH27" s="5534">
        <v>8034</v>
      </c>
      <c r="AI27" s="713">
        <f t="shared" ref="AI27:AI30" si="190">+AE27+AG27</f>
        <v>1947087.5708554434</v>
      </c>
      <c r="AJ27" s="43">
        <f t="shared" ref="AJ27:AJ30" si="191">+AF27+AH27</f>
        <v>1962924.59</v>
      </c>
      <c r="AK27" s="5952">
        <f t="shared" ref="AK27:AK30" si="192">+AK$6*AK43/1000</f>
        <v>286504.93979626888</v>
      </c>
      <c r="AL27" s="5942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2399">
        <f t="shared" si="152"/>
        <v>2233592.5106517123</v>
      </c>
      <c r="AP27" s="2399">
        <f t="shared" si="152"/>
        <v>2253438.59</v>
      </c>
      <c r="AQ27" s="6101">
        <f t="shared" ref="AQ27:AQ30" si="195">+AQ$6*AQ43/1000</f>
        <v>286504.93979626888</v>
      </c>
      <c r="AR27" s="6088">
        <v>290281.8</v>
      </c>
      <c r="AS27" s="713">
        <f t="shared" ref="AS27:AS30" si="196">+AO27+AQ27</f>
        <v>2520097.4504479812</v>
      </c>
      <c r="AT27" s="43">
        <f t="shared" ref="AT27:AT30" si="197">+AP27+AR27</f>
        <v>2543720.3899999997</v>
      </c>
      <c r="AU27" s="6245">
        <f t="shared" ref="AU27:AU30" si="198">+AU$6*AU43/1000</f>
        <v>257854.44581664202</v>
      </c>
      <c r="AV27" s="6233">
        <v>273999.96000000002</v>
      </c>
      <c r="AW27" s="713">
        <f t="shared" ref="AW27:AW30" si="199">+AS27+AU27</f>
        <v>2777951.8962646234</v>
      </c>
      <c r="AX27" s="43">
        <f t="shared" ref="AX27:AX30" si="200">+AT27+AV27</f>
        <v>2817720.3499999996</v>
      </c>
      <c r="AY27" s="6441">
        <f t="shared" ref="AY27:AY30" si="201">+AY$6*AY43/1000</f>
        <v>286504.93979626888</v>
      </c>
      <c r="AZ27" s="6405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3">
        <f t="shared" ref="BE27:BE30" si="206">+AW27+AY27</f>
        <v>3064456.8360608923</v>
      </c>
      <c r="BF27" s="43">
        <f t="shared" ref="BF27:BF30" si="207">+AX27+AZ27</f>
        <v>3134945.55</v>
      </c>
      <c r="BG27" s="26"/>
      <c r="BH27" s="26"/>
      <c r="BI27" s="26"/>
      <c r="BJ27" s="26"/>
    </row>
    <row r="28" spans="1:62" x14ac:dyDescent="0.25">
      <c r="A28" s="147" t="s">
        <v>470</v>
      </c>
      <c r="B28" s="1772" t="s">
        <v>240</v>
      </c>
      <c r="C28" s="3479" t="s">
        <v>50</v>
      </c>
      <c r="D28" s="3132">
        <f t="shared" si="171"/>
        <v>627855.11092496617</v>
      </c>
      <c r="E28" s="3132">
        <f t="shared" si="171"/>
        <v>53633.724729861518</v>
      </c>
      <c r="F28" s="3202">
        <v>53203</v>
      </c>
      <c r="G28" s="7199">
        <f t="shared" ref="G28" si="208">+G$6*G44/1000</f>
        <v>55336.382657793634</v>
      </c>
      <c r="H28" s="7194">
        <v>64050.099999999984</v>
      </c>
      <c r="I28" s="719">
        <f>+E28+G28</f>
        <v>108970.10738765515</v>
      </c>
      <c r="J28" s="62">
        <f t="shared" si="2"/>
        <v>117253.09999999998</v>
      </c>
      <c r="K28" s="4603">
        <f t="shared" si="173"/>
        <v>31712.003907735583</v>
      </c>
      <c r="L28" s="4602">
        <v>32512.502000000004</v>
      </c>
      <c r="M28" s="68">
        <f t="shared" si="174"/>
        <v>140682.11129539073</v>
      </c>
      <c r="N28" s="68">
        <f t="shared" si="175"/>
        <v>149765.60199999998</v>
      </c>
      <c r="O28" s="4791">
        <f t="shared" si="176"/>
        <v>15749.585833372033</v>
      </c>
      <c r="P28" s="4790">
        <v>38593.394130000008</v>
      </c>
      <c r="Q28" s="719">
        <f t="shared" si="177"/>
        <v>156431.69712876275</v>
      </c>
      <c r="R28" s="62">
        <f t="shared" si="177"/>
        <v>188358.99612999998</v>
      </c>
      <c r="S28" s="4932">
        <f t="shared" si="178"/>
        <v>51079.737837963352</v>
      </c>
      <c r="T28" s="4929">
        <v>42839.504300000008</v>
      </c>
      <c r="U28" s="4908">
        <f t="shared" si="179"/>
        <v>207511.43496672611</v>
      </c>
      <c r="V28" s="62">
        <f t="shared" si="180"/>
        <v>231198.50042999999</v>
      </c>
      <c r="W28" s="5053">
        <f t="shared" si="181"/>
        <v>49377.079910031243</v>
      </c>
      <c r="X28" s="5050">
        <v>52994.719349999992</v>
      </c>
      <c r="Y28" s="68">
        <f t="shared" si="182"/>
        <v>116206.40358136663</v>
      </c>
      <c r="Z28" s="69">
        <f t="shared" si="183"/>
        <v>134427.61778</v>
      </c>
      <c r="AA28" s="797">
        <f t="shared" si="184"/>
        <v>256888.51487675734</v>
      </c>
      <c r="AB28" s="477">
        <f t="shared" si="185"/>
        <v>284193.21977999998</v>
      </c>
      <c r="AC28" s="5368">
        <f t="shared" si="186"/>
        <v>53208.060247878493</v>
      </c>
      <c r="AD28" s="5365">
        <v>39578.370449999995</v>
      </c>
      <c r="AE28" s="719">
        <f t="shared" si="187"/>
        <v>310096.57512463583</v>
      </c>
      <c r="AF28" s="62">
        <f t="shared" si="188"/>
        <v>323771.59022999997</v>
      </c>
      <c r="AG28" s="5555">
        <f t="shared" si="189"/>
        <v>51505.402319946377</v>
      </c>
      <c r="AH28" s="5552">
        <v>459.3544</v>
      </c>
      <c r="AI28" s="5529">
        <f t="shared" si="190"/>
        <v>361601.97744458221</v>
      </c>
      <c r="AJ28" s="62">
        <f t="shared" si="191"/>
        <v>324230.94462999998</v>
      </c>
      <c r="AK28" s="5949">
        <f t="shared" si="192"/>
        <v>53208.060247878493</v>
      </c>
      <c r="AL28" s="5948">
        <v>50191.451000000001</v>
      </c>
      <c r="AM28" s="68">
        <f t="shared" si="193"/>
        <v>157921.52281570336</v>
      </c>
      <c r="AN28" s="69">
        <f t="shared" si="194"/>
        <v>90229.17585</v>
      </c>
      <c r="AO28" s="2399">
        <f t="shared" ref="AO28:AP33" si="209">+AK28+AI28</f>
        <v>414810.0376924607</v>
      </c>
      <c r="AP28" s="2399">
        <f t="shared" ref="AP28:AP31" si="210">+AL28+AJ28</f>
        <v>374422.39562999998</v>
      </c>
      <c r="AQ28" s="6102">
        <f t="shared" si="195"/>
        <v>53208.060247878493</v>
      </c>
      <c r="AR28" s="6098">
        <v>66494.785999999993</v>
      </c>
      <c r="AS28" s="719">
        <f t="shared" si="196"/>
        <v>468018.09794033918</v>
      </c>
      <c r="AT28" s="62">
        <f t="shared" si="197"/>
        <v>440917.18163000001</v>
      </c>
      <c r="AU28" s="6244">
        <f t="shared" si="198"/>
        <v>47887.25422309064</v>
      </c>
      <c r="AV28" s="6242">
        <v>66187.100000000006</v>
      </c>
      <c r="AW28" s="6229">
        <f t="shared" si="199"/>
        <v>515905.35216342984</v>
      </c>
      <c r="AX28" s="62">
        <f t="shared" si="200"/>
        <v>507104.28162999998</v>
      </c>
      <c r="AY28" s="6436">
        <f t="shared" si="201"/>
        <v>53208.060247878493</v>
      </c>
      <c r="AZ28" s="6433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9">
        <f t="shared" si="206"/>
        <v>569113.41241130838</v>
      </c>
      <c r="BF28" s="62">
        <f t="shared" si="207"/>
        <v>593315.58163000003</v>
      </c>
      <c r="BG28" s="26"/>
      <c r="BH28" s="26"/>
      <c r="BI28" s="26"/>
      <c r="BJ28" s="26"/>
    </row>
    <row r="29" spans="1:62" x14ac:dyDescent="0.25">
      <c r="A29" s="147" t="s">
        <v>470</v>
      </c>
      <c r="B29" s="1772" t="s">
        <v>241</v>
      </c>
      <c r="C29" s="3479" t="s">
        <v>50</v>
      </c>
      <c r="D29" s="3132">
        <f t="shared" si="171"/>
        <v>1003.0000000000001</v>
      </c>
      <c r="E29" s="3132">
        <f t="shared" si="171"/>
        <v>85.68</v>
      </c>
      <c r="F29" s="3202">
        <v>0</v>
      </c>
      <c r="G29" s="7199">
        <f t="shared" ref="G29" si="211">+G$6*G45/1000</f>
        <v>88.4</v>
      </c>
      <c r="H29" s="7194">
        <v>0</v>
      </c>
      <c r="I29" s="719">
        <f>+E29+G29</f>
        <v>174.08</v>
      </c>
      <c r="J29" s="62">
        <f t="shared" si="2"/>
        <v>0</v>
      </c>
      <c r="K29" s="4603">
        <f t="shared" si="173"/>
        <v>50.66</v>
      </c>
      <c r="L29" s="4602">
        <v>3743.6160000000004</v>
      </c>
      <c r="M29" s="68">
        <f t="shared" si="174"/>
        <v>224.74</v>
      </c>
      <c r="N29" s="68">
        <f t="shared" si="175"/>
        <v>3743.6160000000004</v>
      </c>
      <c r="O29" s="4791">
        <f t="shared" si="176"/>
        <v>25.16</v>
      </c>
      <c r="P29" s="4790">
        <v>0</v>
      </c>
      <c r="Q29" s="719">
        <f t="shared" si="177"/>
        <v>249.9</v>
      </c>
      <c r="R29" s="62">
        <f t="shared" si="177"/>
        <v>3743.6160000000004</v>
      </c>
      <c r="S29" s="4932">
        <f t="shared" si="178"/>
        <v>81.599999999999994</v>
      </c>
      <c r="T29" s="4929">
        <v>0</v>
      </c>
      <c r="U29" s="4908">
        <f t="shared" si="179"/>
        <v>331.5</v>
      </c>
      <c r="V29" s="62">
        <f t="shared" si="180"/>
        <v>3743.6160000000004</v>
      </c>
      <c r="W29" s="5053">
        <f t="shared" si="181"/>
        <v>78.88</v>
      </c>
      <c r="X29" s="5050">
        <v>0</v>
      </c>
      <c r="Y29" s="68">
        <f t="shared" si="182"/>
        <v>185.64</v>
      </c>
      <c r="Z29" s="69">
        <f t="shared" si="183"/>
        <v>0</v>
      </c>
      <c r="AA29" s="797">
        <f t="shared" si="184"/>
        <v>410.38</v>
      </c>
      <c r="AB29" s="477">
        <f t="shared" si="185"/>
        <v>3743.6160000000004</v>
      </c>
      <c r="AC29" s="5368">
        <f t="shared" si="186"/>
        <v>85</v>
      </c>
      <c r="AD29" s="5365">
        <v>0</v>
      </c>
      <c r="AE29" s="719">
        <f t="shared" si="187"/>
        <v>495.38</v>
      </c>
      <c r="AF29" s="62">
        <f t="shared" si="188"/>
        <v>3743.6160000000004</v>
      </c>
      <c r="AG29" s="5555">
        <f t="shared" si="189"/>
        <v>82.28</v>
      </c>
      <c r="AH29" s="5552">
        <v>78.72</v>
      </c>
      <c r="AI29" s="5529">
        <f t="shared" si="190"/>
        <v>577.66</v>
      </c>
      <c r="AJ29" s="62">
        <f t="shared" si="191"/>
        <v>3822.3360000000002</v>
      </c>
      <c r="AK29" s="5949">
        <f t="shared" si="192"/>
        <v>85</v>
      </c>
      <c r="AL29" s="5948">
        <v>52.991999999999997</v>
      </c>
      <c r="AM29" s="68">
        <f t="shared" si="193"/>
        <v>252.28</v>
      </c>
      <c r="AN29" s="69">
        <f t="shared" si="194"/>
        <v>131.71199999999999</v>
      </c>
      <c r="AO29" s="2399">
        <f t="shared" si="209"/>
        <v>662.66</v>
      </c>
      <c r="AP29" s="2399">
        <f t="shared" si="210"/>
        <v>3875.3280000000004</v>
      </c>
      <c r="AQ29" s="6102">
        <f t="shared" si="195"/>
        <v>85</v>
      </c>
      <c r="AR29" s="6098">
        <v>0</v>
      </c>
      <c r="AS29" s="719">
        <f t="shared" si="196"/>
        <v>747.66</v>
      </c>
      <c r="AT29" s="62">
        <f t="shared" si="197"/>
        <v>3875.3280000000004</v>
      </c>
      <c r="AU29" s="6244">
        <f t="shared" si="198"/>
        <v>76.5</v>
      </c>
      <c r="AV29" s="6242">
        <v>0</v>
      </c>
      <c r="AW29" s="6229">
        <f t="shared" si="199"/>
        <v>824.16</v>
      </c>
      <c r="AX29" s="62">
        <f t="shared" si="200"/>
        <v>3875.3280000000004</v>
      </c>
      <c r="AY29" s="6436">
        <f t="shared" si="201"/>
        <v>85</v>
      </c>
      <c r="AZ29" s="6433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9">
        <f t="shared" si="206"/>
        <v>909.16</v>
      </c>
      <c r="BF29" s="62">
        <f t="shared" si="207"/>
        <v>3875.3280000000004</v>
      </c>
      <c r="BG29" s="26"/>
      <c r="BH29" s="26"/>
      <c r="BI29" s="26"/>
      <c r="BJ29" s="26"/>
    </row>
    <row r="30" spans="1:62" x14ac:dyDescent="0.25">
      <c r="A30" s="147"/>
      <c r="B30" s="1775" t="s">
        <v>1309</v>
      </c>
      <c r="C30" s="3479" t="s">
        <v>50</v>
      </c>
      <c r="D30" s="3132">
        <f t="shared" si="171"/>
        <v>821041.298901879</v>
      </c>
      <c r="E30" s="3132">
        <f t="shared" si="171"/>
        <v>70136.409262126603</v>
      </c>
      <c r="F30" s="3202">
        <v>66962.899999999994</v>
      </c>
      <c r="G30" s="7199">
        <f t="shared" ref="G30" si="212">+G$6*G46/1000</f>
        <v>72362.961937114756</v>
      </c>
      <c r="H30" s="7194">
        <v>67337.200000000012</v>
      </c>
      <c r="I30" s="719">
        <f>+E30+G30</f>
        <v>142499.37119924137</v>
      </c>
      <c r="J30" s="62">
        <f t="shared" si="2"/>
        <v>134300.1</v>
      </c>
      <c r="K30" s="4603">
        <f t="shared" si="173"/>
        <v>41469.543571654227</v>
      </c>
      <c r="L30" s="4602">
        <v>17904.739000000001</v>
      </c>
      <c r="M30" s="68">
        <f t="shared" si="174"/>
        <v>183968.91477089559</v>
      </c>
      <c r="N30" s="68">
        <f t="shared" si="175"/>
        <v>152204.83900000001</v>
      </c>
      <c r="O30" s="4791">
        <f t="shared" si="176"/>
        <v>20595.612243640357</v>
      </c>
      <c r="P30" s="4790">
        <v>56121.196499999998</v>
      </c>
      <c r="Q30" s="719">
        <f t="shared" ref="Q30" si="213">+M30+O30</f>
        <v>204564.52701453594</v>
      </c>
      <c r="R30" s="62">
        <f t="shared" ref="R30" si="214">+N30+P30</f>
        <v>208326.0355</v>
      </c>
      <c r="S30" s="4932">
        <f t="shared" si="178"/>
        <v>66796.580249644394</v>
      </c>
      <c r="T30" s="4929">
        <v>57340.6685</v>
      </c>
      <c r="U30" s="4908">
        <f t="shared" si="179"/>
        <v>271361.10726418032</v>
      </c>
      <c r="V30" s="62">
        <f t="shared" si="180"/>
        <v>265666.70400000003</v>
      </c>
      <c r="W30" s="5053">
        <f t="shared" si="181"/>
        <v>64570.027574656247</v>
      </c>
      <c r="X30" s="5050">
        <v>56328.355499999998</v>
      </c>
      <c r="Y30" s="68">
        <f t="shared" ref="Y30:Y31" si="215">+W30+S30+O30</f>
        <v>151962.220067941</v>
      </c>
      <c r="Z30" s="69">
        <f t="shared" ref="Z30:Z31" si="216">+X30+T30+P30</f>
        <v>169790.2205</v>
      </c>
      <c r="AA30" s="797">
        <f t="shared" si="184"/>
        <v>335931.13483883662</v>
      </c>
      <c r="AB30" s="477">
        <f t="shared" si="185"/>
        <v>321995.05949999997</v>
      </c>
      <c r="AC30" s="5368">
        <f t="shared" si="186"/>
        <v>69579.771093379575</v>
      </c>
      <c r="AD30" s="5365">
        <v>55674.839500000002</v>
      </c>
      <c r="AE30" s="719">
        <f t="shared" si="187"/>
        <v>405510.90593221621</v>
      </c>
      <c r="AF30" s="62">
        <f t="shared" si="188"/>
        <v>377669.89899999998</v>
      </c>
      <c r="AG30" s="5555">
        <f t="shared" si="189"/>
        <v>67353.218418391436</v>
      </c>
      <c r="AH30" s="5552">
        <v>3807.38</v>
      </c>
      <c r="AI30" s="5529">
        <f t="shared" si="190"/>
        <v>472864.12435060763</v>
      </c>
      <c r="AJ30" s="62">
        <f t="shared" si="191"/>
        <v>381477.27899999998</v>
      </c>
      <c r="AK30" s="5949">
        <f t="shared" si="192"/>
        <v>69579.771093379575</v>
      </c>
      <c r="AL30" s="5948">
        <v>84637.486999999994</v>
      </c>
      <c r="AM30" s="68">
        <f t="shared" si="193"/>
        <v>206512.7606051506</v>
      </c>
      <c r="AN30" s="69">
        <f t="shared" si="194"/>
        <v>144119.7065</v>
      </c>
      <c r="AO30" s="2399">
        <f t="shared" si="209"/>
        <v>542443.89544398722</v>
      </c>
      <c r="AP30" s="2399">
        <f t="shared" si="210"/>
        <v>466114.76599999995</v>
      </c>
      <c r="AQ30" s="6102">
        <f t="shared" si="195"/>
        <v>69579.771093379575</v>
      </c>
      <c r="AR30" s="6098">
        <v>71609.3</v>
      </c>
      <c r="AS30" s="719">
        <f t="shared" si="196"/>
        <v>612023.66653736681</v>
      </c>
      <c r="AT30" s="62">
        <f t="shared" si="197"/>
        <v>537724.06599999999</v>
      </c>
      <c r="AU30" s="6244">
        <f t="shared" si="198"/>
        <v>62621.793984041615</v>
      </c>
      <c r="AV30" s="6242">
        <v>52850.1</v>
      </c>
      <c r="AW30" s="6229">
        <f t="shared" si="199"/>
        <v>674645.46052140847</v>
      </c>
      <c r="AX30" s="62">
        <f t="shared" si="200"/>
        <v>590574.16599999997</v>
      </c>
      <c r="AY30" s="6436">
        <f t="shared" si="201"/>
        <v>69579.771093379575</v>
      </c>
      <c r="AZ30" s="6433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9">
        <f t="shared" si="206"/>
        <v>744225.23161478806</v>
      </c>
      <c r="BF30" s="62">
        <f t="shared" si="207"/>
        <v>628180.36599999992</v>
      </c>
      <c r="BG30" s="26"/>
      <c r="BH30" s="26"/>
      <c r="BI30" s="26"/>
      <c r="BJ30" s="26"/>
    </row>
    <row r="31" spans="1:62" ht="15.75" thickBot="1" x14ac:dyDescent="0.3">
      <c r="A31" s="147" t="s">
        <v>470</v>
      </c>
      <c r="B31" s="2211" t="s">
        <v>6</v>
      </c>
      <c r="C31" s="750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3709">
        <f>+E31+G31</f>
        <v>1610.6305084745763</v>
      </c>
      <c r="J31" s="197">
        <f t="shared" si="2"/>
        <v>1152.6999999999998</v>
      </c>
      <c r="K31" s="109">
        <f>+K$6*K47/1000</f>
        <v>468.71864406779662</v>
      </c>
      <c r="L31" s="234">
        <v>5093.0879999999997</v>
      </c>
      <c r="M31" s="2212">
        <f t="shared" si="174"/>
        <v>2079.3491525423728</v>
      </c>
      <c r="N31" s="2212">
        <f t="shared" si="175"/>
        <v>6245.7879999999996</v>
      </c>
      <c r="O31" s="109">
        <f>+O$6*O47/1000</f>
        <v>232.78644067796611</v>
      </c>
      <c r="P31" s="234">
        <v>6417.7440000000006</v>
      </c>
      <c r="Q31" s="2385">
        <f>+M31+O31</f>
        <v>2312.1355932203392</v>
      </c>
      <c r="R31" s="197">
        <f>+N31+P31</f>
        <v>12663.531999999999</v>
      </c>
      <c r="S31" s="109">
        <f>+S$6*S47/1000</f>
        <v>754.98305084745766</v>
      </c>
      <c r="T31" s="234">
        <v>4114.1760000000004</v>
      </c>
      <c r="U31" s="4921">
        <f>+Q31+S31</f>
        <v>3067.1186440677966</v>
      </c>
      <c r="V31" s="197">
        <f>+R31+T31</f>
        <v>16777.707999999999</v>
      </c>
      <c r="W31" s="109">
        <f>+W$6*W47/1000</f>
        <v>729.81694915254241</v>
      </c>
      <c r="X31" s="234">
        <v>2484.576</v>
      </c>
      <c r="Y31" s="2212">
        <f t="shared" si="215"/>
        <v>1717.5864406779663</v>
      </c>
      <c r="Z31" s="74">
        <f t="shared" si="216"/>
        <v>13016.496000000001</v>
      </c>
      <c r="AA31" s="2387">
        <f t="shared" si="184"/>
        <v>3796.9355932203389</v>
      </c>
      <c r="AB31" s="1674">
        <f t="shared" si="185"/>
        <v>19262.284</v>
      </c>
      <c r="AC31" s="109">
        <f>+AC$6*AC47/1000</f>
        <v>786.4406779661017</v>
      </c>
      <c r="AD31" s="234">
        <v>1722.432</v>
      </c>
      <c r="AE31" s="2626">
        <f>+AA31+AC31</f>
        <v>4583.3762711864401</v>
      </c>
      <c r="AF31" s="197">
        <f>+AB31+AD31</f>
        <v>20984.716</v>
      </c>
      <c r="AG31" s="109">
        <f>+AG$6*AG47/1000</f>
        <v>761.27457627118645</v>
      </c>
      <c r="AH31" s="234">
        <v>280.512</v>
      </c>
      <c r="AI31" s="5546">
        <f>+AE31+AG31</f>
        <v>5344.6508474576267</v>
      </c>
      <c r="AJ31" s="197">
        <f>+AF31+AH31</f>
        <v>21265.227999999999</v>
      </c>
      <c r="AK31" s="109">
        <f>+AK$6*AK47/1000</f>
        <v>786.4406779661017</v>
      </c>
      <c r="AL31" s="234">
        <v>1645.7280000000001</v>
      </c>
      <c r="AM31" s="2212">
        <f t="shared" si="193"/>
        <v>2334.15593220339</v>
      </c>
      <c r="AN31" s="74">
        <f t="shared" si="194"/>
        <v>3648.672</v>
      </c>
      <c r="AO31" s="2399">
        <f t="shared" si="209"/>
        <v>6131.0915254237279</v>
      </c>
      <c r="AP31" s="2399">
        <f t="shared" si="210"/>
        <v>22910.955999999998</v>
      </c>
      <c r="AQ31" s="109">
        <f>+AQ$6*AQ47/1000</f>
        <v>786.4406779661017</v>
      </c>
      <c r="AR31" s="234">
        <v>393.2</v>
      </c>
      <c r="AS31" s="2803">
        <f>+AO31+AQ31</f>
        <v>6917.5322033898301</v>
      </c>
      <c r="AT31" s="197">
        <f>+AP31+AR31</f>
        <v>23304.155999999999</v>
      </c>
      <c r="AU31" s="109">
        <f>+AU$6*AU47/1000</f>
        <v>707.7966101694916</v>
      </c>
      <c r="AV31" s="234">
        <v>345.4</v>
      </c>
      <c r="AW31" s="6241">
        <f>+AS31+AU31</f>
        <v>7625.328813559322</v>
      </c>
      <c r="AX31" s="197">
        <f>+AT31+AV31</f>
        <v>23649.556</v>
      </c>
      <c r="AY31" s="109">
        <f>+AY$6*AY47/1000</f>
        <v>786.4406779661017</v>
      </c>
      <c r="AZ31" s="234">
        <v>1046.5</v>
      </c>
      <c r="BA31" s="2212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3024">
        <f>+AW31+AY31</f>
        <v>8411.7694915254233</v>
      </c>
      <c r="BF31" s="197">
        <f>+AX31+AZ31</f>
        <v>24696.056</v>
      </c>
      <c r="BG31" s="26"/>
      <c r="BH31" s="26"/>
      <c r="BI31" s="26"/>
      <c r="BJ31" s="26"/>
    </row>
    <row r="32" spans="1:62" ht="15.75" x14ac:dyDescent="0.25">
      <c r="A32" s="148" t="s">
        <v>470</v>
      </c>
      <c r="B32" s="1771" t="s">
        <v>443</v>
      </c>
      <c r="C32" s="2209"/>
      <c r="D32" s="2210"/>
      <c r="E32" s="2210"/>
      <c r="F32" s="2210"/>
      <c r="G32" s="2210"/>
      <c r="H32" s="2210"/>
      <c r="I32" s="2209"/>
      <c r="J32" s="2209"/>
      <c r="K32" s="2210"/>
      <c r="L32" s="2210"/>
      <c r="M32" s="2209"/>
      <c r="N32" s="2209"/>
      <c r="O32" s="2210"/>
      <c r="P32" s="2210"/>
      <c r="Q32" s="2209"/>
      <c r="R32" s="2209"/>
      <c r="S32" s="2210"/>
      <c r="T32" s="2210"/>
      <c r="U32" s="2209"/>
      <c r="V32" s="2209"/>
      <c r="W32" s="2210"/>
      <c r="X32" s="2210"/>
      <c r="Y32" s="2209"/>
      <c r="Z32" s="2209"/>
      <c r="AA32" s="2209"/>
      <c r="AB32" s="2209"/>
      <c r="AC32" s="2210"/>
      <c r="AD32" s="2210"/>
      <c r="AE32" s="2209"/>
      <c r="AF32" s="2209"/>
      <c r="AG32" s="2210"/>
      <c r="AH32" s="2210"/>
      <c r="AI32" s="2209"/>
      <c r="AJ32" s="2209"/>
      <c r="AK32" s="2210"/>
      <c r="AL32" s="2210"/>
      <c r="AM32" s="2209"/>
      <c r="AN32" s="2209"/>
      <c r="AO32" s="2209"/>
      <c r="AP32" s="2209"/>
      <c r="AQ32" s="2210"/>
      <c r="AR32" s="2210"/>
      <c r="AS32" s="2209"/>
      <c r="AT32" s="2209"/>
      <c r="AU32" s="2210"/>
      <c r="AV32" s="2210"/>
      <c r="AW32" s="2209"/>
      <c r="AX32" s="2209"/>
      <c r="AY32" s="2210"/>
      <c r="AZ32" s="2210"/>
      <c r="BA32" s="2209"/>
      <c r="BB32" s="2209"/>
      <c r="BC32" s="2209"/>
      <c r="BD32" s="2209"/>
      <c r="BE32" s="2209"/>
      <c r="BF32" s="2209"/>
      <c r="BG32" s="26"/>
      <c r="BH32" s="26"/>
      <c r="BI32" s="26"/>
      <c r="BJ32" s="26"/>
    </row>
    <row r="33" spans="1:62" x14ac:dyDescent="0.25">
      <c r="A33" s="147"/>
      <c r="B33" s="1772" t="s">
        <v>793</v>
      </c>
      <c r="C33" s="551" t="s">
        <v>50</v>
      </c>
      <c r="D33" s="1762">
        <v>8000</v>
      </c>
      <c r="E33" s="1762">
        <v>0</v>
      </c>
      <c r="F33" s="1761">
        <v>0</v>
      </c>
      <c r="G33" s="1970">
        <v>0</v>
      </c>
      <c r="H33" s="7188">
        <v>0</v>
      </c>
      <c r="I33" s="1759">
        <f t="shared" ref="I33:J36" si="217">+E33+G33</f>
        <v>0</v>
      </c>
      <c r="J33" s="1759">
        <f t="shared" si="217"/>
        <v>0</v>
      </c>
      <c r="K33" s="1970">
        <v>3500</v>
      </c>
      <c r="L33" s="4599">
        <v>2533</v>
      </c>
      <c r="M33" s="1760">
        <f t="shared" ref="M33:N37" si="218">+K33+G33+E33</f>
        <v>3500</v>
      </c>
      <c r="N33" s="1760">
        <f t="shared" si="218"/>
        <v>2533</v>
      </c>
      <c r="O33" s="1970">
        <v>8500</v>
      </c>
      <c r="P33" s="4778">
        <v>55</v>
      </c>
      <c r="Q33" s="1759">
        <f t="shared" ref="Q33:R37" si="219">+M33+O33</f>
        <v>12000</v>
      </c>
      <c r="R33" s="1759">
        <f t="shared" si="219"/>
        <v>2588</v>
      </c>
      <c r="S33" s="1970">
        <v>0</v>
      </c>
      <c r="T33" s="4919">
        <v>0</v>
      </c>
      <c r="U33" s="4914">
        <f t="shared" ref="U33:U37" si="220">+Q33+S33</f>
        <v>12000</v>
      </c>
      <c r="V33" s="4914">
        <f t="shared" ref="V33:V37" si="221">+R33+T33</f>
        <v>2588</v>
      </c>
      <c r="W33" s="1970">
        <v>0</v>
      </c>
      <c r="X33" s="5043">
        <v>1473.4774066797643</v>
      </c>
      <c r="Y33" s="782">
        <f t="shared" ref="Y33:Z37" si="222">+W33+S33+O33</f>
        <v>8500</v>
      </c>
      <c r="Z33" s="782">
        <f t="shared" si="222"/>
        <v>1528.4774066797643</v>
      </c>
      <c r="AA33" s="465">
        <f>M33+Y33</f>
        <v>12000</v>
      </c>
      <c r="AB33" s="465">
        <f>+N33+Z33</f>
        <v>4061.4774066797645</v>
      </c>
      <c r="AC33" s="1970">
        <v>0</v>
      </c>
      <c r="AD33" s="5453">
        <v>1700</v>
      </c>
      <c r="AE33" s="2399">
        <f t="shared" ref="AE33:AE37" si="223">+AA33+AC33</f>
        <v>12000</v>
      </c>
      <c r="AF33" s="2399">
        <f t="shared" ref="AF33:AF37" si="224">+AB33+AD33</f>
        <v>5761.4774066797645</v>
      </c>
      <c r="AG33" s="1970">
        <v>0</v>
      </c>
      <c r="AH33" s="5543">
        <v>3000</v>
      </c>
      <c r="AI33" s="5535">
        <f t="shared" ref="AI33:AI37" si="225">+AE33+AG33</f>
        <v>12000</v>
      </c>
      <c r="AJ33" s="5535">
        <f t="shared" ref="AJ33:AJ37" si="226">+AF33+AH33</f>
        <v>8761.4774066797654</v>
      </c>
      <c r="AK33" s="1970">
        <v>0</v>
      </c>
      <c r="AL33" s="151">
        <v>3239</v>
      </c>
      <c r="AM33" s="2736">
        <f t="shared" ref="AM33:AM37" si="227">+AK33+AG33+AC33</f>
        <v>0</v>
      </c>
      <c r="AN33" s="2736">
        <f t="shared" ref="AN33:AN37" si="228">+AL33+AH33+AD33</f>
        <v>7939</v>
      </c>
      <c r="AO33" s="2399">
        <f t="shared" si="209"/>
        <v>12000</v>
      </c>
      <c r="AP33" s="2399">
        <f t="shared" si="209"/>
        <v>12000.477406679765</v>
      </c>
      <c r="AQ33" s="1970">
        <v>0</v>
      </c>
      <c r="AR33" s="151">
        <v>0</v>
      </c>
      <c r="AS33" s="2399">
        <f t="shared" ref="AS33:AS37" si="229">+AO33+AQ33</f>
        <v>12000</v>
      </c>
      <c r="AT33" s="2399">
        <f t="shared" ref="AT33:AT37" si="230">+AP33+AR33</f>
        <v>12000.477406679765</v>
      </c>
      <c r="AU33" s="1970">
        <v>0</v>
      </c>
      <c r="AV33" s="151">
        <v>0</v>
      </c>
      <c r="AW33" s="6234">
        <f t="shared" ref="AW33:AW37" si="231">+AS33+AU33</f>
        <v>12000</v>
      </c>
      <c r="AX33" s="6234">
        <f t="shared" ref="AX33:AX37" si="232">+AT33+AV33</f>
        <v>12000.477406679765</v>
      </c>
      <c r="AY33" s="1970">
        <v>0</v>
      </c>
      <c r="AZ33" s="151">
        <v>0</v>
      </c>
      <c r="BA33" s="3012">
        <f t="shared" ref="BA33:BA37" si="233">+AY33+AU33+AQ33</f>
        <v>0</v>
      </c>
      <c r="BB33" s="3012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2399">
        <f t="shared" ref="BE33:BE37" si="237">+AW33+AY33</f>
        <v>12000</v>
      </c>
      <c r="BF33" s="2399">
        <f t="shared" ref="BF33:BF37" si="238">+AX33+AZ33</f>
        <v>12000.477406679765</v>
      </c>
      <c r="BG33" s="26"/>
      <c r="BH33" s="26"/>
      <c r="BI33" s="26"/>
      <c r="BJ33" s="26"/>
    </row>
    <row r="34" spans="1:62" x14ac:dyDescent="0.25">
      <c r="A34" s="147" t="s">
        <v>470</v>
      </c>
      <c r="B34" s="1772" t="s">
        <v>446</v>
      </c>
      <c r="C34" s="551" t="s">
        <v>50</v>
      </c>
      <c r="D34" s="1762">
        <f>+D23+D24+D64+D33</f>
        <v>1270575.5555555555</v>
      </c>
      <c r="E34" s="1762">
        <f>+E23+E24+E64+E33</f>
        <v>107800</v>
      </c>
      <c r="F34" s="1762">
        <f>+F23+F24+F64+F33</f>
        <v>96344.858300000022</v>
      </c>
      <c r="G34" s="1970">
        <f>+G23+G24+G64+G33</f>
        <v>111222.22222222222</v>
      </c>
      <c r="H34" s="1970">
        <f>+H23+H24+H64+H33</f>
        <v>106072.2938</v>
      </c>
      <c r="I34" s="1759">
        <f t="shared" si="217"/>
        <v>219022.22222222222</v>
      </c>
      <c r="J34" s="1759">
        <f t="shared" si="217"/>
        <v>202417.15210000001</v>
      </c>
      <c r="K34" s="1970">
        <f>+K23+K24+K64+K33</f>
        <v>71543.333333333328</v>
      </c>
      <c r="L34" s="1970">
        <f>+L23+L24+L64+L33</f>
        <v>86530.245398726882</v>
      </c>
      <c r="M34" s="2374">
        <f t="shared" si="218"/>
        <v>290565.55555555556</v>
      </c>
      <c r="N34" s="2374">
        <f t="shared" si="218"/>
        <v>288947.3974987269</v>
      </c>
      <c r="O34" s="1970">
        <f>+O23+O24+O64+O33</f>
        <v>43691.111111111109</v>
      </c>
      <c r="P34" s="1970">
        <f>+P23+P24+P64+P33</f>
        <v>113868.56767359923</v>
      </c>
      <c r="Q34" s="1759">
        <f t="shared" si="219"/>
        <v>334256.66666666669</v>
      </c>
      <c r="R34" s="1759">
        <f t="shared" si="219"/>
        <v>402815.96517232613</v>
      </c>
      <c r="S34" s="1970">
        <f>+S23+S24+S64+S33</f>
        <v>107840</v>
      </c>
      <c r="T34" s="1970">
        <f>+T23+T24+T64+T33</f>
        <v>114480.49185000001</v>
      </c>
      <c r="U34" s="4914">
        <f t="shared" si="220"/>
        <v>442096.66666666669</v>
      </c>
      <c r="V34" s="4914">
        <f t="shared" si="221"/>
        <v>517296.45702232613</v>
      </c>
      <c r="W34" s="1970">
        <f>+W23+W24+W64+W33</f>
        <v>104245.33333333333</v>
      </c>
      <c r="X34" s="1970">
        <f>+X23+X24+X64+X33</f>
        <v>117478.06960667977</v>
      </c>
      <c r="Y34" s="2374">
        <f t="shared" si="222"/>
        <v>255776.44444444444</v>
      </c>
      <c r="Z34" s="2374">
        <f t="shared" si="222"/>
        <v>345827.12913027901</v>
      </c>
      <c r="AA34" s="2375">
        <f t="shared" ref="AA34:AA37" si="239">M34+Y34</f>
        <v>546342</v>
      </c>
      <c r="AB34" s="2375">
        <f t="shared" ref="AB34:AB37" si="240">+N34+Z34</f>
        <v>634774.52662900591</v>
      </c>
      <c r="AC34" s="1970">
        <f>+AC23+AC24+AC64+AC33</f>
        <v>111500</v>
      </c>
      <c r="AD34" s="1970">
        <f>+AD23+AD24+AD64+AD33</f>
        <v>109857.69356000001</v>
      </c>
      <c r="AE34" s="2399">
        <f t="shared" si="223"/>
        <v>657842</v>
      </c>
      <c r="AF34" s="2399">
        <f t="shared" si="224"/>
        <v>744632.22018900595</v>
      </c>
      <c r="AG34" s="1970">
        <f>+AG23+AG24+AG64+AG33</f>
        <v>106022.88888888889</v>
      </c>
      <c r="AH34" s="1970">
        <f>+AH23+AH24+AH64+AH33</f>
        <v>9294.5384000000013</v>
      </c>
      <c r="AI34" s="5535">
        <f t="shared" si="225"/>
        <v>763864.88888888888</v>
      </c>
      <c r="AJ34" s="5535">
        <f t="shared" si="226"/>
        <v>753926.75858900591</v>
      </c>
      <c r="AK34" s="1970">
        <f>+AK23+AK24+AK64+AK33</f>
        <v>109527.77777777778</v>
      </c>
      <c r="AL34" s="1970">
        <f>+AL23+AL24+AL64+AL33</f>
        <v>115522.77586736191</v>
      </c>
      <c r="AM34" s="2736">
        <f t="shared" si="227"/>
        <v>327050.66666666669</v>
      </c>
      <c r="AN34" s="2736">
        <f t="shared" si="228"/>
        <v>234675.00782736193</v>
      </c>
      <c r="AO34" s="2399">
        <f t="shared" ref="AO34:AO37" si="241">+AK34+AI34</f>
        <v>873392.66666666663</v>
      </c>
      <c r="AP34" s="2399">
        <f t="shared" ref="AP34:AP37" si="242">+AL34+AJ34</f>
        <v>869449.53445636784</v>
      </c>
      <c r="AQ34" s="1970">
        <f>+AQ23+AQ24+AQ64+AQ33</f>
        <v>109527.77777777778</v>
      </c>
      <c r="AR34" s="1970">
        <f>+AR23+AR24+AR64+AR33</f>
        <v>109386.28169999999</v>
      </c>
      <c r="AS34" s="2399">
        <f t="shared" si="229"/>
        <v>982920.44444444438</v>
      </c>
      <c r="AT34" s="2399">
        <f t="shared" si="230"/>
        <v>978835.81615636777</v>
      </c>
      <c r="AU34" s="1970">
        <f>+AU23+AU24+AU64+AU33</f>
        <v>98575</v>
      </c>
      <c r="AV34" s="1970">
        <f>+AV23+AV24+AV64+AV33</f>
        <v>98752.593300000008</v>
      </c>
      <c r="AW34" s="6234">
        <f t="shared" si="231"/>
        <v>1081495.4444444445</v>
      </c>
      <c r="AX34" s="6234">
        <f t="shared" si="232"/>
        <v>1077588.4094563678</v>
      </c>
      <c r="AY34" s="1970">
        <f>+AY23+AY24+AY64+AY33</f>
        <v>109527.77777777778</v>
      </c>
      <c r="AZ34" s="1970">
        <f>+AZ23+AZ24+AZ64+AZ33</f>
        <v>106849.0223</v>
      </c>
      <c r="BA34" s="3012">
        <f t="shared" si="233"/>
        <v>317630.55555555556</v>
      </c>
      <c r="BB34" s="3012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2399">
        <f t="shared" si="237"/>
        <v>1191023.2222222222</v>
      </c>
      <c r="BF34" s="2399">
        <f t="shared" si="238"/>
        <v>1184437.4317563679</v>
      </c>
      <c r="BG34" s="26"/>
      <c r="BH34" s="26"/>
      <c r="BI34" s="26"/>
      <c r="BJ34" s="26"/>
    </row>
    <row r="35" spans="1:62" x14ac:dyDescent="0.25">
      <c r="A35" s="147" t="s">
        <v>470</v>
      </c>
      <c r="B35" s="1772" t="s">
        <v>576</v>
      </c>
      <c r="C35" s="551" t="s">
        <v>50</v>
      </c>
      <c r="D35" s="1762">
        <f>+D27+D62</f>
        <v>4122875.9629219188</v>
      </c>
      <c r="E35" s="1762">
        <f>+E27+E62</f>
        <v>352191.43818858423</v>
      </c>
      <c r="F35" s="1762">
        <f>+F27+F62</f>
        <v>312893.28860000003</v>
      </c>
      <c r="G35" s="1970">
        <f>+G27+G62</f>
        <v>363372.11876599962</v>
      </c>
      <c r="H35" s="1970">
        <f>+H27+H62</f>
        <v>354317.93660000002</v>
      </c>
      <c r="I35" s="1759">
        <f t="shared" si="217"/>
        <v>715563.55695458385</v>
      </c>
      <c r="J35" s="1759">
        <f t="shared" si="217"/>
        <v>667211.22519999999</v>
      </c>
      <c r="K35" s="1970">
        <f>+K27+K62</f>
        <v>208240.17575436132</v>
      </c>
      <c r="L35" s="1970">
        <f>+L27+L62</f>
        <v>262270.67200000002</v>
      </c>
      <c r="M35" s="2374">
        <f t="shared" si="218"/>
        <v>923803.73270894517</v>
      </c>
      <c r="N35" s="2374">
        <f t="shared" si="218"/>
        <v>929481.89720000001</v>
      </c>
      <c r="O35" s="1970">
        <f>+O27+O62</f>
        <v>103421.29534109219</v>
      </c>
      <c r="P35" s="1970">
        <f>+P27+P62</f>
        <v>385671.69780000008</v>
      </c>
      <c r="Q35" s="1759">
        <f t="shared" si="219"/>
        <v>1027225.0280500373</v>
      </c>
      <c r="R35" s="1759">
        <f t="shared" si="219"/>
        <v>1315153.5950000002</v>
      </c>
      <c r="S35" s="1970">
        <f>+S27+S62</f>
        <v>335420.41732246114</v>
      </c>
      <c r="T35" s="1970">
        <f>+T27+T62</f>
        <v>365028.065</v>
      </c>
      <c r="U35" s="4914">
        <f t="shared" si="220"/>
        <v>1362645.4453724986</v>
      </c>
      <c r="V35" s="4914">
        <f t="shared" si="221"/>
        <v>1680181.6600000001</v>
      </c>
      <c r="W35" s="1970">
        <f>+W27+W62</f>
        <v>324239.73674504575</v>
      </c>
      <c r="X35" s="1970">
        <f>+X27+X62</f>
        <v>363874.45530000003</v>
      </c>
      <c r="Y35" s="2374">
        <f t="shared" si="222"/>
        <v>763081.44940859906</v>
      </c>
      <c r="Z35" s="2374">
        <f t="shared" si="222"/>
        <v>1114574.2181000002</v>
      </c>
      <c r="AA35" s="2375">
        <f t="shared" si="239"/>
        <v>1686885.1821175441</v>
      </c>
      <c r="AB35" s="2375">
        <f t="shared" si="240"/>
        <v>2044056.1153000002</v>
      </c>
      <c r="AC35" s="1970">
        <f>+AC27+AC62</f>
        <v>349396.26804423035</v>
      </c>
      <c r="AD35" s="1970">
        <f>+AD27+AD62</f>
        <v>367689.84130000003</v>
      </c>
      <c r="AE35" s="2399">
        <f t="shared" si="223"/>
        <v>2036281.4501617744</v>
      </c>
      <c r="AF35" s="2399">
        <f t="shared" si="224"/>
        <v>2411745.9566000002</v>
      </c>
      <c r="AG35" s="1970">
        <f>+AG27+AG62</f>
        <v>338215.58746681502</v>
      </c>
      <c r="AH35" s="1970">
        <f>+AH27+AH62</f>
        <v>11028.7173</v>
      </c>
      <c r="AI35" s="5535">
        <f t="shared" si="225"/>
        <v>2374497.0376285892</v>
      </c>
      <c r="AJ35" s="5535">
        <f t="shared" si="226"/>
        <v>2422774.6739000003</v>
      </c>
      <c r="AK35" s="1970">
        <f>+AK27+AK62</f>
        <v>349396.26804423035</v>
      </c>
      <c r="AL35" s="1970">
        <f>+AL27+AL62</f>
        <v>363082.25760000001</v>
      </c>
      <c r="AM35" s="2736">
        <f t="shared" si="227"/>
        <v>1037008.1235552756</v>
      </c>
      <c r="AN35" s="2736">
        <f t="shared" si="228"/>
        <v>741800.8162</v>
      </c>
      <c r="AO35" s="2399">
        <f t="shared" si="241"/>
        <v>2723893.3056728197</v>
      </c>
      <c r="AP35" s="2399">
        <f t="shared" si="242"/>
        <v>2785856.9315000004</v>
      </c>
      <c r="AQ35" s="1970">
        <f>+AQ27+AQ62</f>
        <v>349396.26804423035</v>
      </c>
      <c r="AR35" s="1970">
        <f>+AR27+AR62</f>
        <v>359927.06660000002</v>
      </c>
      <c r="AS35" s="2399">
        <f t="shared" si="229"/>
        <v>3073289.5737170503</v>
      </c>
      <c r="AT35" s="2399">
        <f t="shared" si="230"/>
        <v>3145783.9981000004</v>
      </c>
      <c r="AU35" s="1970">
        <f>+AU27+AU62</f>
        <v>314456.64123980736</v>
      </c>
      <c r="AV35" s="1970">
        <f>+AV27+AV62</f>
        <v>343578.47700000001</v>
      </c>
      <c r="AW35" s="6234">
        <f t="shared" si="231"/>
        <v>3387746.2149568577</v>
      </c>
      <c r="AX35" s="6234">
        <f t="shared" si="232"/>
        <v>3489362.4751000004</v>
      </c>
      <c r="AY35" s="1970">
        <f>+AY27+AY62</f>
        <v>349396.26804423035</v>
      </c>
      <c r="AZ35" s="1970">
        <f>+AZ27+AZ62</f>
        <v>399623.73050000001</v>
      </c>
      <c r="BA35" s="3012">
        <f t="shared" si="233"/>
        <v>1013249.1773282681</v>
      </c>
      <c r="BB35" s="3012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2399">
        <f t="shared" si="237"/>
        <v>3737142.4830010883</v>
      </c>
      <c r="BF35" s="2399">
        <f t="shared" si="238"/>
        <v>3888986.2056000005</v>
      </c>
      <c r="BG35" s="26"/>
      <c r="BH35" s="26"/>
      <c r="BI35" s="26"/>
      <c r="BJ35" s="26"/>
    </row>
    <row r="36" spans="1:62" x14ac:dyDescent="0.25">
      <c r="A36" s="147" t="s">
        <v>470</v>
      </c>
      <c r="B36" s="1772" t="s">
        <v>611</v>
      </c>
      <c r="C36" s="551" t="s">
        <v>50</v>
      </c>
      <c r="D36" s="1762">
        <f>+D28+D68</f>
        <v>738653.07167643076</v>
      </c>
      <c r="E36" s="1762">
        <f>+E28+E68</f>
        <v>63098.49968219002</v>
      </c>
      <c r="F36" s="1762">
        <f>+F28+F68</f>
        <v>56667.055200000003</v>
      </c>
      <c r="G36" s="1970">
        <f>+G28+G68</f>
        <v>65101.626656227803</v>
      </c>
      <c r="H36" s="1970">
        <f>+H28+H68</f>
        <v>70336.455399999977</v>
      </c>
      <c r="I36" s="1759">
        <f t="shared" si="217"/>
        <v>128200.12633841782</v>
      </c>
      <c r="J36" s="1759">
        <f t="shared" si="217"/>
        <v>127003.51059999998</v>
      </c>
      <c r="K36" s="1970">
        <f>+K28+K68</f>
        <v>37308.239891453632</v>
      </c>
      <c r="L36" s="1970">
        <f>+L28+L68</f>
        <v>40094.389000000003</v>
      </c>
      <c r="M36" s="2374">
        <f t="shared" si="218"/>
        <v>165508.36622987146</v>
      </c>
      <c r="N36" s="2374">
        <f t="shared" si="218"/>
        <v>167097.89959999998</v>
      </c>
      <c r="O36" s="1970">
        <f>+O28+O68</f>
        <v>18528.92450984945</v>
      </c>
      <c r="P36" s="1970">
        <f>+P28+P68</f>
        <v>47529.856530000005</v>
      </c>
      <c r="Q36" s="1759">
        <f t="shared" si="219"/>
        <v>184037.29073972092</v>
      </c>
      <c r="R36" s="1759">
        <f t="shared" si="219"/>
        <v>214627.75612999999</v>
      </c>
      <c r="S36" s="1970">
        <f>+S28+S68</f>
        <v>60093.809221133357</v>
      </c>
      <c r="T36" s="1970">
        <f>+T28+T68</f>
        <v>50489.529800000004</v>
      </c>
      <c r="U36" s="4914">
        <f t="shared" si="220"/>
        <v>244131.09996085428</v>
      </c>
      <c r="V36" s="4914">
        <f t="shared" si="221"/>
        <v>265117.28593000001</v>
      </c>
      <c r="W36" s="1970">
        <f>+W28+W68</f>
        <v>58090.682247095581</v>
      </c>
      <c r="X36" s="1970">
        <f>+X28+X68</f>
        <v>63304.354949999994</v>
      </c>
      <c r="Y36" s="2374">
        <f t="shared" si="222"/>
        <v>136713.41597807838</v>
      </c>
      <c r="Z36" s="2374">
        <f t="shared" si="222"/>
        <v>161323.74128000002</v>
      </c>
      <c r="AA36" s="2375">
        <f t="shared" si="239"/>
        <v>302221.78220794984</v>
      </c>
      <c r="AB36" s="2375">
        <f t="shared" si="240"/>
        <v>328421.64087999996</v>
      </c>
      <c r="AC36" s="1970">
        <f>+AC28+AC68</f>
        <v>62597.71793868058</v>
      </c>
      <c r="AD36" s="1970">
        <f>+AD28+AD68</f>
        <v>48785.487149999994</v>
      </c>
      <c r="AE36" s="2399">
        <f t="shared" si="223"/>
        <v>364819.50014663045</v>
      </c>
      <c r="AF36" s="2399">
        <f t="shared" si="224"/>
        <v>377207.12802999996</v>
      </c>
      <c r="AG36" s="1970">
        <f>+AG28+AG68</f>
        <v>60594.590964642797</v>
      </c>
      <c r="AH36" s="1970">
        <f>+AH28+AH68</f>
        <v>1149.2244000000001</v>
      </c>
      <c r="AI36" s="5535">
        <f t="shared" si="225"/>
        <v>425414.09111127327</v>
      </c>
      <c r="AJ36" s="5535">
        <f t="shared" si="226"/>
        <v>378356.35242999997</v>
      </c>
      <c r="AK36" s="1970">
        <f>+AK28+AK68</f>
        <v>62597.71793868058</v>
      </c>
      <c r="AL36" s="1970">
        <f>+AL28+AL68</f>
        <v>59988.256399999998</v>
      </c>
      <c r="AM36" s="2736">
        <f t="shared" si="227"/>
        <v>185790.02684200395</v>
      </c>
      <c r="AN36" s="2736">
        <f t="shared" si="228"/>
        <v>109922.96794999999</v>
      </c>
      <c r="AO36" s="2399">
        <f t="shared" si="241"/>
        <v>488011.80904995382</v>
      </c>
      <c r="AP36" s="2399">
        <f t="shared" si="242"/>
        <v>438344.60882999998</v>
      </c>
      <c r="AQ36" s="1970">
        <f>+AQ28+AQ68</f>
        <v>62597.71793868058</v>
      </c>
      <c r="AR36" s="1970">
        <f>+AR28+AR68</f>
        <v>76933.126699999993</v>
      </c>
      <c r="AS36" s="2399">
        <f t="shared" si="229"/>
        <v>550609.52698863437</v>
      </c>
      <c r="AT36" s="2399">
        <f t="shared" si="230"/>
        <v>515277.73552999995</v>
      </c>
      <c r="AU36" s="1970">
        <f>+AU28+AU68</f>
        <v>56337.946144812522</v>
      </c>
      <c r="AV36" s="1970">
        <f>+AV28+AV68</f>
        <v>76116.217100000009</v>
      </c>
      <c r="AW36" s="6234">
        <f t="shared" si="231"/>
        <v>606947.47313344688</v>
      </c>
      <c r="AX36" s="6234">
        <f t="shared" si="232"/>
        <v>591393.95262999996</v>
      </c>
      <c r="AY36" s="1970">
        <f>+AY28+AY68</f>
        <v>62597.71793868058</v>
      </c>
      <c r="AZ36" s="1970">
        <f>+AZ28+AZ68</f>
        <v>93657.713600000003</v>
      </c>
      <c r="BA36" s="3012">
        <f t="shared" si="233"/>
        <v>181533.38202217367</v>
      </c>
      <c r="BB36" s="3012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2399">
        <f t="shared" si="237"/>
        <v>669545.19107212743</v>
      </c>
      <c r="BF36" s="2399">
        <f t="shared" si="238"/>
        <v>685051.66622999997</v>
      </c>
      <c r="BG36" s="26"/>
      <c r="BH36" s="26"/>
      <c r="BI36" s="26"/>
      <c r="BJ36" s="26"/>
    </row>
    <row r="37" spans="1:62" ht="15.75" thickBot="1" x14ac:dyDescent="0.3">
      <c r="A37" s="147"/>
      <c r="B37" s="1773" t="s">
        <v>1322</v>
      </c>
      <c r="C37" s="750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3">F30+F66</f>
        <v>67577.565799999997</v>
      </c>
      <c r="G37" s="109">
        <f>G30+G66</f>
        <v>73464.935976766254</v>
      </c>
      <c r="H37" s="109">
        <f t="shared" ref="H37" si="244">H30+H66</f>
        <v>68611.192900000009</v>
      </c>
      <c r="I37" s="109">
        <f t="shared" si="243"/>
        <v>144669.41238501662</v>
      </c>
      <c r="J37" s="109">
        <f t="shared" si="243"/>
        <v>136188.75870000001</v>
      </c>
      <c r="K37" s="109">
        <f>K30+K66</f>
        <v>42101.059463608355</v>
      </c>
      <c r="L37" s="109">
        <f t="shared" ref="L37" si="245">L30+L66</f>
        <v>18131.22</v>
      </c>
      <c r="M37" s="2374">
        <f t="shared" si="218"/>
        <v>186770.47184862496</v>
      </c>
      <c r="N37" s="2374">
        <f t="shared" si="218"/>
        <v>154319.97870000001</v>
      </c>
      <c r="O37" s="109">
        <f>O30+O66</f>
        <v>20909.251008771935</v>
      </c>
      <c r="P37" s="109">
        <f t="shared" ref="P37" si="246">P30+P66</f>
        <v>56876.5245</v>
      </c>
      <c r="Q37" s="589">
        <f t="shared" si="219"/>
        <v>207679.7228573969</v>
      </c>
      <c r="R37" s="589">
        <f t="shared" si="219"/>
        <v>211196.50320000001</v>
      </c>
      <c r="S37" s="109">
        <f>S30+S66</f>
        <v>67813.78705547654</v>
      </c>
      <c r="T37" s="109">
        <f t="shared" ref="T37" si="247">T30+T66</f>
        <v>58142.940499999997</v>
      </c>
      <c r="U37" s="589">
        <f t="shared" si="220"/>
        <v>275493.50991287344</v>
      </c>
      <c r="V37" s="589">
        <f t="shared" si="221"/>
        <v>269339.4437</v>
      </c>
      <c r="W37" s="109">
        <f>W30+W66</f>
        <v>65553.327486960654</v>
      </c>
      <c r="X37" s="109">
        <f t="shared" ref="X37" si="248">X30+X66</f>
        <v>57114.412199999999</v>
      </c>
      <c r="Y37" s="2374">
        <f t="shared" si="222"/>
        <v>154276.36555120914</v>
      </c>
      <c r="Z37" s="2374">
        <f t="shared" si="222"/>
        <v>172133.87719999999</v>
      </c>
      <c r="AA37" s="2375">
        <f t="shared" si="239"/>
        <v>341046.83739983407</v>
      </c>
      <c r="AB37" s="2375">
        <f t="shared" si="240"/>
        <v>326453.85589999997</v>
      </c>
      <c r="AC37" s="109">
        <f>AC30+AC66</f>
        <v>70639.361516121397</v>
      </c>
      <c r="AD37" s="109">
        <f t="shared" ref="AD37" si="249">AD30+AD66</f>
        <v>56568.368500000004</v>
      </c>
      <c r="AE37" s="589">
        <f t="shared" si="223"/>
        <v>411686.19891595549</v>
      </c>
      <c r="AF37" s="589">
        <f t="shared" si="224"/>
        <v>383022.22439999995</v>
      </c>
      <c r="AG37" s="109">
        <f>AG30+AG66</f>
        <v>68378.901947605525</v>
      </c>
      <c r="AH37" s="109">
        <f t="shared" ref="AH37" si="250">AH30+AH66</f>
        <v>3930.3924999999999</v>
      </c>
      <c r="AI37" s="589">
        <f t="shared" si="225"/>
        <v>480065.10086356103</v>
      </c>
      <c r="AJ37" s="589">
        <f t="shared" si="226"/>
        <v>386952.61689999996</v>
      </c>
      <c r="AK37" s="109">
        <f>AK30+AK66</f>
        <v>70639.361516121397</v>
      </c>
      <c r="AL37" s="109">
        <f t="shared" ref="AL37" si="251">AL30+AL66</f>
        <v>86036.612999999998</v>
      </c>
      <c r="AM37" s="2736">
        <f t="shared" si="227"/>
        <v>209657.6249798483</v>
      </c>
      <c r="AN37" s="2736">
        <f t="shared" si="228"/>
        <v>146535.37400000001</v>
      </c>
      <c r="AO37" s="2399">
        <f t="shared" si="241"/>
        <v>550704.46237968246</v>
      </c>
      <c r="AP37" s="2399">
        <f t="shared" si="242"/>
        <v>472989.22989999998</v>
      </c>
      <c r="AQ37" s="109">
        <f>AQ30+AQ66</f>
        <v>70639.361516121397</v>
      </c>
      <c r="AR37" s="109">
        <f t="shared" ref="AR37" si="252">AR30+AR66</f>
        <v>72885.307700000005</v>
      </c>
      <c r="AS37" s="589">
        <f t="shared" si="229"/>
        <v>621343.82389580389</v>
      </c>
      <c r="AT37" s="589">
        <f t="shared" si="230"/>
        <v>545874.53759999992</v>
      </c>
      <c r="AU37" s="109">
        <f>AU30+AU66</f>
        <v>63575.425364509254</v>
      </c>
      <c r="AV37" s="109">
        <f t="shared" ref="AV37" si="253">AV30+AV66</f>
        <v>53805.534</v>
      </c>
      <c r="AW37" s="589">
        <f t="shared" si="231"/>
        <v>684919.24926031311</v>
      </c>
      <c r="AX37" s="589">
        <f t="shared" si="232"/>
        <v>599680.07159999991</v>
      </c>
      <c r="AY37" s="109">
        <f>AY30+AY66</f>
        <v>70639.361516121397</v>
      </c>
      <c r="AZ37" s="109">
        <f t="shared" ref="AZ37" si="254">AZ30+AZ66</f>
        <v>39083.374199999998</v>
      </c>
      <c r="BA37" s="3012">
        <f t="shared" si="233"/>
        <v>204854.14839675205</v>
      </c>
      <c r="BB37" s="3012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755558.61077643454</v>
      </c>
      <c r="BF37" s="589">
        <f t="shared" si="238"/>
        <v>638763.44579999987</v>
      </c>
      <c r="BG37" s="26"/>
      <c r="BH37" s="26"/>
      <c r="BI37" s="26"/>
      <c r="BJ37" s="26"/>
    </row>
    <row r="38" spans="1:62" ht="16.5" thickBot="1" x14ac:dyDescent="0.3">
      <c r="A38" s="148"/>
      <c r="B38" s="2435" t="s">
        <v>444</v>
      </c>
      <c r="C38" s="2436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4671"/>
      <c r="AE38" s="117"/>
      <c r="AF38" s="117"/>
      <c r="AG38" s="117"/>
      <c r="AH38" s="4671"/>
      <c r="AI38" s="117"/>
      <c r="AJ38" s="117"/>
      <c r="AK38" s="117"/>
      <c r="AL38" s="4671"/>
      <c r="AM38" s="117"/>
      <c r="AN38" s="117"/>
      <c r="AO38" s="117"/>
      <c r="AP38" s="117"/>
      <c r="AQ38" s="117"/>
      <c r="AR38" s="4671"/>
      <c r="AS38" s="117"/>
      <c r="AT38" s="117"/>
      <c r="AU38" s="117"/>
      <c r="AV38" s="4671"/>
      <c r="AW38" s="117"/>
      <c r="AX38" s="117"/>
      <c r="AY38" s="117"/>
      <c r="AZ38" s="4671"/>
      <c r="BA38" s="117"/>
      <c r="BB38" s="117"/>
      <c r="BC38" s="117"/>
      <c r="BD38" s="117"/>
      <c r="BE38" s="117"/>
      <c r="BF38" s="117"/>
      <c r="BG38" s="26"/>
      <c r="BH38" s="26"/>
      <c r="BI38" s="26"/>
      <c r="BJ38" s="26"/>
    </row>
    <row r="39" spans="1:62" x14ac:dyDescent="0.25">
      <c r="A39" s="147"/>
      <c r="B39" s="1774" t="s">
        <v>238</v>
      </c>
      <c r="C39" s="759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372</v>
      </c>
      <c r="L39" s="158">
        <f t="shared" ref="L39:L41" si="257">+L23/L$6*1000</f>
        <v>407.72719814283113</v>
      </c>
      <c r="M39" s="73">
        <f t="shared" ref="M39:N41" si="258">+M23/M$6*1000</f>
        <v>359.60665658093797</v>
      </c>
      <c r="N39" s="73">
        <f t="shared" si="258"/>
        <v>362.5861449643258</v>
      </c>
      <c r="O39" s="158">
        <f>+'Maj Techno Summ'!O10</f>
        <v>392</v>
      </c>
      <c r="P39" s="158">
        <f t="shared" ref="P39:P41" si="259">+P23/P$6*1000</f>
        <v>370.776835051901</v>
      </c>
      <c r="Q39" s="43">
        <f t="shared" ref="Q39:R41" si="260">+Q23/Q$6*1000</f>
        <v>362.86802721088435</v>
      </c>
      <c r="R39" s="43">
        <f t="shared" si="260"/>
        <v>364.86356285928878</v>
      </c>
      <c r="S39" s="158">
        <f>+'Maj Techno Summ'!S10</f>
        <v>365.4</v>
      </c>
      <c r="T39" s="158">
        <f t="shared" ref="T39:V41" si="261">+T23/T$6*1000</f>
        <v>377.37066832000892</v>
      </c>
      <c r="U39" s="43">
        <f t="shared" si="261"/>
        <v>363.49128205128204</v>
      </c>
      <c r="V39" s="43">
        <f t="shared" si="261"/>
        <v>367.54498018029545</v>
      </c>
      <c r="W39" s="158">
        <f>+'Maj Techno Summ'!W10</f>
        <v>365.4</v>
      </c>
      <c r="X39" s="158">
        <f t="shared" ref="X39" si="262">+X23/X$6*1000</f>
        <v>380.23555864064667</v>
      </c>
      <c r="Y39" s="73">
        <f t="shared" ref="Y39:AB41" si="263">+Y23/Y$6*1000</f>
        <v>369.00512820512819</v>
      </c>
      <c r="Z39" s="73">
        <f t="shared" si="263"/>
        <v>376.09628804697212</v>
      </c>
      <c r="AA39" s="458">
        <f t="shared" si="263"/>
        <v>363.85816072908034</v>
      </c>
      <c r="AB39" s="458">
        <f t="shared" si="263"/>
        <v>369.78816965600521</v>
      </c>
      <c r="AC39" s="158">
        <f>+'Maj Techno Summ'!AC10</f>
        <v>362.4</v>
      </c>
      <c r="AD39" s="158">
        <f t="shared" ref="AD39:AD41" si="264">+AD23/AD$6*1000</f>
        <v>380.55652082528508</v>
      </c>
      <c r="AE39" s="43">
        <f t="shared" ref="AE39:AF39" si="265">+AE23/AE$6*1000</f>
        <v>363.60796156485929</v>
      </c>
      <c r="AF39" s="43">
        <f t="shared" si="265"/>
        <v>371.3613708667163</v>
      </c>
      <c r="AG39" s="158">
        <f>+'Maj Techno Summ'!AG10</f>
        <v>355.3</v>
      </c>
      <c r="AH39" s="158">
        <f t="shared" ref="AH39:AJ41" si="266">+AH23/AH$6*1000</f>
        <v>624.51898381131389</v>
      </c>
      <c r="AI39" s="43">
        <f t="shared" si="266"/>
        <v>362.424602707475</v>
      </c>
      <c r="AJ39" s="43">
        <f t="shared" si="266"/>
        <v>372.63702329106115</v>
      </c>
      <c r="AK39" s="158">
        <f>+'Maj Techno Summ'!AK10</f>
        <v>355.3</v>
      </c>
      <c r="AL39" s="158">
        <f t="shared" ref="AL39" si="267">+AL23/AL$6*1000</f>
        <v>366.34425469381154</v>
      </c>
      <c r="AM39" s="73">
        <f t="shared" ref="AM39:AP39" si="268">+AM23/AM$6*1000</f>
        <v>357.69218328840969</v>
      </c>
      <c r="AN39" s="73">
        <f t="shared" si="268"/>
        <v>377.28919294026082</v>
      </c>
      <c r="AO39" s="43">
        <f t="shared" si="268"/>
        <v>361.51072344792203</v>
      </c>
      <c r="AP39" s="43">
        <f t="shared" si="268"/>
        <v>371.78210709452742</v>
      </c>
      <c r="AQ39" s="158">
        <f>+'Maj Techno Summ'!AQ10</f>
        <v>355.3</v>
      </c>
      <c r="AR39" s="158">
        <f t="shared" ref="AR39:AR41" si="269">+AR23/AR$6*1000</f>
        <v>348.01919033139393</v>
      </c>
      <c r="AS39" s="43">
        <f t="shared" ref="AS39:AT39" si="270">+AS23/AS$6*1000</f>
        <v>360.80463847203276</v>
      </c>
      <c r="AT39" s="43">
        <f t="shared" si="270"/>
        <v>368.89568474041579</v>
      </c>
      <c r="AU39" s="158">
        <f>+'Maj Techno Summ'!AU10</f>
        <v>355.3</v>
      </c>
      <c r="AV39" s="158">
        <f t="shared" ref="AV39:AX41" si="271">+AV23/AV$6*1000</f>
        <v>342.2419244316095</v>
      </c>
      <c r="AW39" s="43">
        <f t="shared" si="271"/>
        <v>360.29368811881193</v>
      </c>
      <c r="AX39" s="43">
        <f t="shared" si="271"/>
        <v>366.22927006922617</v>
      </c>
      <c r="AY39" s="158">
        <f>+'Maj Techno Summ'!AY10</f>
        <v>355.3</v>
      </c>
      <c r="AZ39" s="158">
        <f t="shared" ref="AZ39" si="272">+AZ23/AZ$6*1000</f>
        <v>339.29313876359765</v>
      </c>
      <c r="BA39" s="73">
        <f t="shared" ref="BA39:BF39" si="273">+BA23/BA$6*1000</f>
        <v>355.3</v>
      </c>
      <c r="BB39" s="73">
        <f t="shared" si="273"/>
        <v>343.20203543867916</v>
      </c>
      <c r="BC39" s="458">
        <f t="shared" si="273"/>
        <v>356.50995228357192</v>
      </c>
      <c r="BD39" s="458">
        <f t="shared" si="273"/>
        <v>356.72766837775703</v>
      </c>
      <c r="BE39" s="43">
        <f t="shared" si="273"/>
        <v>359.82681376215407</v>
      </c>
      <c r="BF39" s="43">
        <f t="shared" si="273"/>
        <v>363.55676369164337</v>
      </c>
      <c r="BG39" s="26"/>
      <c r="BH39" s="26"/>
      <c r="BI39" s="26"/>
      <c r="BJ39" s="26"/>
    </row>
    <row r="40" spans="1:62" x14ac:dyDescent="0.25">
      <c r="A40" s="147"/>
      <c r="B40" s="1772" t="s">
        <v>1</v>
      </c>
      <c r="C40" s="3479" t="s">
        <v>242</v>
      </c>
      <c r="D40" s="3132">
        <v>28.952542372881357</v>
      </c>
      <c r="E40" s="3132">
        <f>+'Maj Techno Summ'!E11</f>
        <v>29</v>
      </c>
      <c r="F40" s="3132">
        <f t="shared" ref="F40:H40" si="274">+F24/F$6*1000</f>
        <v>25.274178598088856</v>
      </c>
      <c r="G40" s="7199">
        <f>+'Maj Techno Summ'!G11</f>
        <v>29</v>
      </c>
      <c r="H40" s="7199">
        <f t="shared" si="274"/>
        <v>26.198812892771265</v>
      </c>
      <c r="I40" s="39">
        <f t="shared" si="256"/>
        <v>29</v>
      </c>
      <c r="J40" s="39">
        <f t="shared" si="256"/>
        <v>25.764900546116948</v>
      </c>
      <c r="K40" s="4603">
        <f>+'Maj Techno Summ'!K11</f>
        <v>39</v>
      </c>
      <c r="L40" s="4603">
        <f t="shared" si="257"/>
        <v>45.394612907655464</v>
      </c>
      <c r="M40" s="69">
        <f t="shared" si="258"/>
        <v>31.254160363086232</v>
      </c>
      <c r="N40" s="69">
        <f t="shared" si="258"/>
        <v>30.825007335115252</v>
      </c>
      <c r="O40" s="4791">
        <f>+'Maj Techno Summ'!O11</f>
        <v>36</v>
      </c>
      <c r="P40" s="4791">
        <f t="shared" si="259"/>
        <v>50.998254084109853</v>
      </c>
      <c r="Q40" s="39">
        <f t="shared" si="260"/>
        <v>31.731972789115645</v>
      </c>
      <c r="R40" s="39">
        <f t="shared" si="260"/>
        <v>36.434170013038766</v>
      </c>
      <c r="S40" s="4932">
        <f>+'Maj Techno Summ'!S11</f>
        <v>39</v>
      </c>
      <c r="T40" s="4976">
        <f t="shared" si="261"/>
        <v>51.019755103770592</v>
      </c>
      <c r="U40" s="39">
        <f t="shared" si="261"/>
        <v>33.521025641025638</v>
      </c>
      <c r="V40" s="39">
        <f t="shared" si="261"/>
        <v>39.56119573630729</v>
      </c>
      <c r="W40" s="5053">
        <f>+'Maj Techno Summ'!W11</f>
        <v>39</v>
      </c>
      <c r="X40" s="5053">
        <f t="shared" ref="X40" si="275">+X24/X$6*1000</f>
        <v>47.771227384324682</v>
      </c>
      <c r="Y40" s="69">
        <f t="shared" si="263"/>
        <v>38.593406593406591</v>
      </c>
      <c r="Z40" s="69">
        <f t="shared" si="263"/>
        <v>49.935351399868871</v>
      </c>
      <c r="AA40" s="454">
        <f t="shared" si="263"/>
        <v>34.574150787075396</v>
      </c>
      <c r="AB40" s="454">
        <f t="shared" si="263"/>
        <v>41.012402759345342</v>
      </c>
      <c r="AC40" s="5368">
        <f>+'Maj Techno Summ'!AC11</f>
        <v>39</v>
      </c>
      <c r="AD40" s="5368">
        <f t="shared" si="264"/>
        <v>39.767759135351639</v>
      </c>
      <c r="AE40" s="39">
        <f t="shared" ref="AE40:AF40" si="276">+AE24/AE$6*1000</f>
        <v>35.333562113932736</v>
      </c>
      <c r="AF40" s="39">
        <f t="shared" si="276"/>
        <v>40.830566670849564</v>
      </c>
      <c r="AG40" s="5555">
        <f>+'Maj Techno Summ'!AG11</f>
        <v>39</v>
      </c>
      <c r="AH40" s="5555">
        <f t="shared" si="266"/>
        <v>14.079451888680046</v>
      </c>
      <c r="AI40" s="39">
        <f t="shared" si="266"/>
        <v>35.855797527957627</v>
      </c>
      <c r="AJ40" s="39">
        <f t="shared" si="266"/>
        <v>40.69576873201266</v>
      </c>
      <c r="AK40" s="5949">
        <f>+'Maj Techno Summ'!AK11</f>
        <v>39</v>
      </c>
      <c r="AL40" s="5949">
        <f t="shared" ref="AL40" si="277">+AL24/AL$6*1000</f>
        <v>33.19678231915703</v>
      </c>
      <c r="AM40" s="69">
        <f t="shared" ref="AM40:AP40" si="278">+AM24/AM$6*1000</f>
        <v>39</v>
      </c>
      <c r="AN40" s="69">
        <f t="shared" si="278"/>
        <v>35.988653851616441</v>
      </c>
      <c r="AO40" s="39">
        <f t="shared" si="278"/>
        <v>36.259107234479217</v>
      </c>
      <c r="AP40" s="39">
        <f t="shared" si="278"/>
        <v>39.676979491178543</v>
      </c>
      <c r="AQ40" s="6102">
        <f>+'Maj Techno Summ'!AQ11</f>
        <v>39</v>
      </c>
      <c r="AR40" s="6102">
        <f t="shared" si="269"/>
        <v>30.413521108257008</v>
      </c>
      <c r="AS40" s="39">
        <f t="shared" ref="AS40:AT40" si="279">+AS24/AS$6*1000</f>
        <v>36.570713960891318</v>
      </c>
      <c r="AT40" s="39">
        <f t="shared" si="279"/>
        <v>38.551770257843614</v>
      </c>
      <c r="AU40" s="6244">
        <f>+'Maj Techno Summ'!AU11</f>
        <v>39</v>
      </c>
      <c r="AV40" s="6244">
        <f t="shared" si="271"/>
        <v>29.174869378693284</v>
      </c>
      <c r="AW40" s="39">
        <f t="shared" si="271"/>
        <v>36.796204620462049</v>
      </c>
      <c r="AX40" s="39">
        <f t="shared" si="271"/>
        <v>37.61371477205924</v>
      </c>
      <c r="AY40" s="6436">
        <f>+'Maj Techno Summ'!AY11</f>
        <v>39</v>
      </c>
      <c r="AZ40" s="6436">
        <f t="shared" ref="AZ40" si="280">+AZ24/AZ$6*1000</f>
        <v>28.136015995148384</v>
      </c>
      <c r="BA40" s="69">
        <f t="shared" ref="BA40:BF40" si="281">+BA24/BA$6*1000</f>
        <v>39</v>
      </c>
      <c r="BB40" s="69">
        <f t="shared" si="281"/>
        <v>29.240535926200902</v>
      </c>
      <c r="BC40" s="454">
        <f t="shared" si="281"/>
        <v>39</v>
      </c>
      <c r="BD40" s="454">
        <f t="shared" si="281"/>
        <v>31.918159194862927</v>
      </c>
      <c r="BE40" s="39">
        <f t="shared" si="281"/>
        <v>37.002243829468966</v>
      </c>
      <c r="BF40" s="39">
        <f t="shared" si="281"/>
        <v>36.673371478558494</v>
      </c>
      <c r="BG40" s="26"/>
      <c r="BH40" s="26"/>
      <c r="BI40" s="26"/>
      <c r="BJ40" s="26"/>
    </row>
    <row r="41" spans="1:62" ht="15.75" thickBot="1" x14ac:dyDescent="0.3">
      <c r="A41" s="147"/>
      <c r="B41" s="1776" t="s">
        <v>124</v>
      </c>
      <c r="C41" s="3584" t="s">
        <v>242</v>
      </c>
      <c r="D41" s="3477">
        <v>149.6650847457627</v>
      </c>
      <c r="E41" s="3477">
        <f>+'Maj Techno Summ'!E12</f>
        <v>150</v>
      </c>
      <c r="F41" s="3477">
        <f t="shared" ref="F41:H41" si="282">+F25/F$6*1000</f>
        <v>150.9002222658558</v>
      </c>
      <c r="G41" s="7198">
        <f>+'Maj Techno Summ'!G12</f>
        <v>150</v>
      </c>
      <c r="H41" s="7198">
        <f t="shared" si="282"/>
        <v>155.9320942443795</v>
      </c>
      <c r="I41" s="165">
        <f t="shared" si="256"/>
        <v>150</v>
      </c>
      <c r="J41" s="165">
        <f t="shared" si="256"/>
        <v>153.57073755360776</v>
      </c>
      <c r="K41" s="3477">
        <f>+'Maj Techno Summ'!K12</f>
        <v>129</v>
      </c>
      <c r="L41" s="3477">
        <f t="shared" si="257"/>
        <v>118.97807429273118</v>
      </c>
      <c r="M41" s="173">
        <f t="shared" si="258"/>
        <v>145.2662632375189</v>
      </c>
      <c r="N41" s="173">
        <f t="shared" si="258"/>
        <v>144.65351212554373</v>
      </c>
      <c r="O41" s="3477">
        <f>+'Maj Techno Summ'!O12</f>
        <v>112</v>
      </c>
      <c r="P41" s="3477">
        <f t="shared" si="259"/>
        <v>129.18392833288942</v>
      </c>
      <c r="Q41" s="165">
        <f t="shared" si="260"/>
        <v>141.91700680272109</v>
      </c>
      <c r="R41" s="165">
        <f t="shared" si="260"/>
        <v>140.35220093194064</v>
      </c>
      <c r="S41" s="3477">
        <f>+'Maj Techno Summ'!S12</f>
        <v>136</v>
      </c>
      <c r="T41" s="3477">
        <f t="shared" si="261"/>
        <v>130.50570464205862</v>
      </c>
      <c r="U41" s="165">
        <f t="shared" si="261"/>
        <v>140.46051282051283</v>
      </c>
      <c r="V41" s="165">
        <f t="shared" si="261"/>
        <v>138.2411956489168</v>
      </c>
      <c r="W41" s="3477">
        <f>+'Maj Techno Summ'!W12</f>
        <v>141</v>
      </c>
      <c r="X41" s="3477">
        <f t="shared" ref="X41" si="283">+X25/X$6*1000</f>
        <v>122.30225519978454</v>
      </c>
      <c r="Y41" s="173">
        <f t="shared" si="263"/>
        <v>134.87179487179486</v>
      </c>
      <c r="Z41" s="173">
        <f t="shared" si="263"/>
        <v>127.33971507227079</v>
      </c>
      <c r="AA41" s="2433">
        <f t="shared" si="263"/>
        <v>140.56420878210437</v>
      </c>
      <c r="AB41" s="2433">
        <f t="shared" si="263"/>
        <v>135.42382498443808</v>
      </c>
      <c r="AC41" s="3477">
        <f>+'Maj Techno Summ'!AC12</f>
        <v>146</v>
      </c>
      <c r="AD41" s="3477">
        <f t="shared" si="264"/>
        <v>126.07255945382309</v>
      </c>
      <c r="AE41" s="165">
        <f t="shared" ref="AE41:AF41" si="284">+AE25/AE$6*1000</f>
        <v>141.49691146190804</v>
      </c>
      <c r="AF41" s="165">
        <f t="shared" si="284"/>
        <v>134.05765276148776</v>
      </c>
      <c r="AG41" s="3477">
        <f>+'Maj Techno Summ'!AG12</f>
        <v>146</v>
      </c>
      <c r="AH41" s="3477">
        <f t="shared" si="266"/>
        <v>0</v>
      </c>
      <c r="AI41" s="165">
        <f t="shared" si="266"/>
        <v>142.13831665685697</v>
      </c>
      <c r="AJ41" s="165">
        <f t="shared" si="266"/>
        <v>133.38214090246024</v>
      </c>
      <c r="AK41" s="3477">
        <f>+'Maj Techno Summ'!AK12</f>
        <v>146</v>
      </c>
      <c r="AL41" s="3477">
        <f t="shared" ref="AL41" si="285">+AL25/AL$6*1000</f>
        <v>138.96212419483157</v>
      </c>
      <c r="AM41" s="173">
        <f t="shared" ref="AM41:AP41" si="286">+AM25/AM$6*1000</f>
        <v>146</v>
      </c>
      <c r="AN41" s="173">
        <f t="shared" si="286"/>
        <v>130.59501310724937</v>
      </c>
      <c r="AO41" s="165">
        <f t="shared" si="286"/>
        <v>142.63365828630069</v>
      </c>
      <c r="AP41" s="165">
        <f t="shared" si="286"/>
        <v>134.14022027870186</v>
      </c>
      <c r="AQ41" s="6103">
        <f>+'Maj Techno Summ'!AQ12</f>
        <v>146</v>
      </c>
      <c r="AR41" s="6103">
        <f t="shared" si="269"/>
        <v>153.61839772629187</v>
      </c>
      <c r="AS41" s="165">
        <f t="shared" ref="AS41:AT41" si="287">+AS25/AS$6*1000</f>
        <v>143.01637107776264</v>
      </c>
      <c r="AT41" s="165">
        <f t="shared" si="287"/>
        <v>136.50618601272745</v>
      </c>
      <c r="AU41" s="6246">
        <f>+'Maj Techno Summ'!AU12</f>
        <v>146</v>
      </c>
      <c r="AV41" s="6246">
        <f t="shared" si="271"/>
        <v>156.32760908757055</v>
      </c>
      <c r="AW41" s="165">
        <f t="shared" si="271"/>
        <v>143.29331683168317</v>
      </c>
      <c r="AX41" s="165">
        <f t="shared" si="271"/>
        <v>138.48910071888082</v>
      </c>
      <c r="AY41" s="6442">
        <f>+'Maj Techno Summ'!AY12</f>
        <v>146</v>
      </c>
      <c r="AZ41" s="6442">
        <f t="shared" ref="AZ41" si="288">+AZ25/AZ$6*1000</f>
        <v>158.53602736610694</v>
      </c>
      <c r="BA41" s="173">
        <f t="shared" ref="BA41:BF41" si="289">+BA25/BA$6*1000</f>
        <v>146</v>
      </c>
      <c r="BB41" s="173">
        <f t="shared" si="289"/>
        <v>156.16199084959428</v>
      </c>
      <c r="BC41" s="2433">
        <f t="shared" si="289"/>
        <v>146</v>
      </c>
      <c r="BD41" s="2433">
        <f t="shared" si="289"/>
        <v>146.01712745673188</v>
      </c>
      <c r="BE41" s="165">
        <f t="shared" si="289"/>
        <v>143.54637247569184</v>
      </c>
      <c r="BF41" s="165">
        <f t="shared" si="289"/>
        <v>140.47808490921452</v>
      </c>
      <c r="BG41" s="26"/>
      <c r="BH41" s="26"/>
      <c r="BI41" s="26"/>
      <c r="BJ41" s="26"/>
    </row>
    <row r="42" spans="1:62" ht="16.5" thickBot="1" x14ac:dyDescent="0.3">
      <c r="A42" s="147"/>
      <c r="B42" s="1777" t="s">
        <v>239</v>
      </c>
      <c r="C42" s="495" t="s">
        <v>242</v>
      </c>
      <c r="D42" s="2434">
        <f>SUM(D39:D41)</f>
        <v>534.85762711864402</v>
      </c>
      <c r="E42" s="2434">
        <f t="shared" ref="E42:L42" si="290">SUM(E39:E41)</f>
        <v>535</v>
      </c>
      <c r="F42" s="2434">
        <f t="shared" si="290"/>
        <v>524.14392532291799</v>
      </c>
      <c r="G42" s="2434">
        <f t="shared" ref="G42:H42" si="291">SUM(G39:G41)</f>
        <v>535</v>
      </c>
      <c r="H42" s="2434">
        <f t="shared" si="291"/>
        <v>528.10102768183265</v>
      </c>
      <c r="I42" s="727">
        <f t="shared" si="290"/>
        <v>535</v>
      </c>
      <c r="J42" s="41">
        <f t="shared" si="290"/>
        <v>526.24403883728871</v>
      </c>
      <c r="K42" s="2434">
        <f t="shared" si="290"/>
        <v>540</v>
      </c>
      <c r="L42" s="2434">
        <f t="shared" si="290"/>
        <v>572.09988534321781</v>
      </c>
      <c r="M42" s="728">
        <f t="shared" ref="M42:R42" si="292">SUM(M39:M41)</f>
        <v>536.12708018154308</v>
      </c>
      <c r="N42" s="67">
        <f t="shared" si="292"/>
        <v>538.06466442498481</v>
      </c>
      <c r="O42" s="2434">
        <f t="shared" si="292"/>
        <v>540</v>
      </c>
      <c r="P42" s="2434">
        <f t="shared" si="292"/>
        <v>550.95901746890036</v>
      </c>
      <c r="Q42" s="727">
        <f t="shared" si="292"/>
        <v>536.51700680272108</v>
      </c>
      <c r="R42" s="41">
        <f t="shared" si="292"/>
        <v>541.64993380426813</v>
      </c>
      <c r="S42" s="2434">
        <f t="shared" ref="S42:V42" si="293">SUM(S39:S41)</f>
        <v>540.4</v>
      </c>
      <c r="T42" s="2434">
        <f t="shared" si="293"/>
        <v>558.89612806583818</v>
      </c>
      <c r="U42" s="727">
        <f t="shared" si="293"/>
        <v>537.47282051282048</v>
      </c>
      <c r="V42" s="41">
        <f t="shared" si="293"/>
        <v>545.34737156551955</v>
      </c>
      <c r="W42" s="2434">
        <f t="shared" ref="W42:X42" si="294">SUM(W39:W41)</f>
        <v>545.4</v>
      </c>
      <c r="X42" s="2434">
        <f t="shared" si="294"/>
        <v>550.3090412247559</v>
      </c>
      <c r="Y42" s="728">
        <f t="shared" ref="Y42:AF42" si="295">SUM(Y39:Y41)</f>
        <v>542.47032967032965</v>
      </c>
      <c r="Z42" s="67">
        <f t="shared" si="295"/>
        <v>553.37135451911172</v>
      </c>
      <c r="AA42" s="729">
        <f t="shared" si="295"/>
        <v>538.99652029826007</v>
      </c>
      <c r="AB42" s="460">
        <f t="shared" si="295"/>
        <v>546.22439739978859</v>
      </c>
      <c r="AC42" s="2434">
        <f t="shared" si="295"/>
        <v>547.4</v>
      </c>
      <c r="AD42" s="2434">
        <f t="shared" si="295"/>
        <v>546.39683941445981</v>
      </c>
      <c r="AE42" s="727">
        <f t="shared" si="295"/>
        <v>540.43843514069999</v>
      </c>
      <c r="AF42" s="41">
        <f t="shared" si="295"/>
        <v>546.24959029905358</v>
      </c>
      <c r="AG42" s="2434">
        <f t="shared" ref="AG42:AJ42" si="296">SUM(AG39:AG41)</f>
        <v>540.29999999999995</v>
      </c>
      <c r="AH42" s="2434">
        <f t="shared" si="296"/>
        <v>638.59843569999396</v>
      </c>
      <c r="AI42" s="727">
        <f t="shared" si="296"/>
        <v>540.41871689228958</v>
      </c>
      <c r="AJ42" s="41">
        <f t="shared" si="296"/>
        <v>546.71493292553407</v>
      </c>
      <c r="AK42" s="2434">
        <f t="shared" ref="AK42:AL42" si="297">SUM(AK39:AK41)</f>
        <v>540.29999999999995</v>
      </c>
      <c r="AL42" s="2434">
        <f t="shared" si="297"/>
        <v>538.50316120780008</v>
      </c>
      <c r="AM42" s="728">
        <f t="shared" ref="AM42:AT42" si="298">SUM(AM39:AM41)</f>
        <v>542.69218328840975</v>
      </c>
      <c r="AN42" s="67">
        <f t="shared" si="298"/>
        <v>543.87285989912664</v>
      </c>
      <c r="AO42" s="727">
        <f t="shared" si="298"/>
        <v>540.40348896870194</v>
      </c>
      <c r="AP42" s="41">
        <f t="shared" si="298"/>
        <v>545.59930686440782</v>
      </c>
      <c r="AQ42" s="2434">
        <f t="shared" si="298"/>
        <v>540.29999999999995</v>
      </c>
      <c r="AR42" s="2434">
        <f t="shared" si="298"/>
        <v>532.05110916594276</v>
      </c>
      <c r="AS42" s="727">
        <f t="shared" si="298"/>
        <v>540.39172351068669</v>
      </c>
      <c r="AT42" s="41">
        <f t="shared" si="298"/>
        <v>543.95364101098687</v>
      </c>
      <c r="AU42" s="2434">
        <f t="shared" ref="AU42:AX42" si="299">SUM(AU39:AU41)</f>
        <v>540.29999999999995</v>
      </c>
      <c r="AV42" s="2434">
        <f t="shared" si="299"/>
        <v>527.74440289787333</v>
      </c>
      <c r="AW42" s="727">
        <f t="shared" si="299"/>
        <v>540.38320957095721</v>
      </c>
      <c r="AX42" s="41">
        <f t="shared" si="299"/>
        <v>542.33208556016621</v>
      </c>
      <c r="AY42" s="2434">
        <f t="shared" ref="AY42:AZ42" si="300">SUM(AY39:AY41)</f>
        <v>540.29999999999995</v>
      </c>
      <c r="AZ42" s="2434">
        <f t="shared" si="300"/>
        <v>525.96518212485296</v>
      </c>
      <c r="BA42" s="728">
        <f t="shared" ref="BA42:BD42" si="301">SUM(BA39:BA41)</f>
        <v>540.29999999999995</v>
      </c>
      <c r="BB42" s="67">
        <f t="shared" si="301"/>
        <v>528.6045622144743</v>
      </c>
      <c r="BC42" s="729">
        <f t="shared" si="301"/>
        <v>541.50995228357192</v>
      </c>
      <c r="BD42" s="460">
        <f t="shared" si="301"/>
        <v>534.66295502935191</v>
      </c>
      <c r="BE42" s="727">
        <f t="shared" ref="BE42:BF42" si="302">SUM(BE39:BE41)</f>
        <v>540.37543006731494</v>
      </c>
      <c r="BF42" s="41">
        <f t="shared" si="302"/>
        <v>540.70822007941638</v>
      </c>
      <c r="BG42" s="26"/>
      <c r="BH42" s="26"/>
      <c r="BI42" s="26"/>
      <c r="BJ42" s="26"/>
    </row>
    <row r="43" spans="1:62" x14ac:dyDescent="0.25">
      <c r="A43" s="147" t="s">
        <v>470</v>
      </c>
      <c r="B43" s="1782" t="s">
        <v>19</v>
      </c>
      <c r="C43" s="60" t="s">
        <v>242</v>
      </c>
      <c r="D43" s="1205">
        <v>1146.0197591850756</v>
      </c>
      <c r="E43" s="1205">
        <f>+$D$43</f>
        <v>1146.0197591850756</v>
      </c>
      <c r="F43" s="1205">
        <f t="shared" ref="F43:H43" si="303">+F27/F$6*1000</f>
        <v>1115.2616068238185</v>
      </c>
      <c r="G43" s="7192">
        <f>+$D$43</f>
        <v>1146.0197591850756</v>
      </c>
      <c r="H43" s="7192">
        <f t="shared" si="303"/>
        <v>1128.4752839801524</v>
      </c>
      <c r="I43" s="2402">
        <f t="shared" ref="I43:J46" si="304">+I27/I$6*1000</f>
        <v>1146.0197591850756</v>
      </c>
      <c r="J43" s="62">
        <f t="shared" si="304"/>
        <v>1122.2743700666069</v>
      </c>
      <c r="K43" s="1205">
        <f>+$D$43</f>
        <v>1146.0197591850756</v>
      </c>
      <c r="L43" s="1205">
        <f t="shared" ref="L43:L45" si="305">+L27/L$6*1000</f>
        <v>1291.2277451949938</v>
      </c>
      <c r="M43" s="2370">
        <f>+$D$43</f>
        <v>1146.0197591850756</v>
      </c>
      <c r="N43" s="2370">
        <f>+N27/N$6*1000</f>
        <v>1165.8268228364409</v>
      </c>
      <c r="O43" s="1205">
        <f>+$D$43</f>
        <v>1146.0197591850756</v>
      </c>
      <c r="P43" s="1205">
        <f t="shared" ref="P43:P45" si="306">+P27/P$6*1000</f>
        <v>1264.8721892800097</v>
      </c>
      <c r="Q43" s="2372">
        <f t="shared" ref="Q43:R46" si="307">+Q27/Q$6*1000</f>
        <v>1146.0197591850758</v>
      </c>
      <c r="R43" s="2372">
        <f t="shared" si="307"/>
        <v>1193.3663448474038</v>
      </c>
      <c r="S43" s="1205">
        <f>+$D$43</f>
        <v>1146.0197591850756</v>
      </c>
      <c r="T43" s="1205">
        <f t="shared" ref="T43:V45" si="308">+T27/T$6*1000</f>
        <v>1215.6825191654993</v>
      </c>
      <c r="U43" s="4916">
        <f t="shared" si="308"/>
        <v>1146.0197591850756</v>
      </c>
      <c r="V43" s="4916">
        <f t="shared" si="308"/>
        <v>1198.150743327378</v>
      </c>
      <c r="W43" s="1205">
        <f>+$D$43</f>
        <v>1146.0197591850756</v>
      </c>
      <c r="X43" s="1205">
        <f t="shared" ref="X43" si="309">+X27/X$6*1000</f>
        <v>1182.363292804893</v>
      </c>
      <c r="Y43" s="2370">
        <f t="shared" ref="Y43:AB46" si="310">+Y27/Y$6*1000</f>
        <v>1146.0197591850756</v>
      </c>
      <c r="Z43" s="2370">
        <f t="shared" si="310"/>
        <v>1221.227837623979</v>
      </c>
      <c r="AA43" s="2368">
        <f t="shared" si="310"/>
        <v>1146.0197591850756</v>
      </c>
      <c r="AB43" s="477">
        <f t="shared" si="310"/>
        <v>1195.3601500560803</v>
      </c>
      <c r="AC43" s="1205">
        <f>+$D$43</f>
        <v>1146.0197591850756</v>
      </c>
      <c r="AD43" s="1205">
        <f t="shared" ref="AD43:AD45" si="311">+AD27/AD$6*1000</f>
        <v>1231.0322200143514</v>
      </c>
      <c r="AE43" s="2402">
        <f t="shared" ref="AE43:AF43" si="312">+AE27/AE$6*1000</f>
        <v>1146.0197591850756</v>
      </c>
      <c r="AF43" s="2402">
        <f t="shared" si="312"/>
        <v>1200.5716576271766</v>
      </c>
      <c r="AG43" s="5560">
        <f>+$D$43</f>
        <v>1146.0197591850756</v>
      </c>
      <c r="AH43" s="5560">
        <f t="shared" ref="AH43:AJ45" si="313">+AH27/AH$6*1000</f>
        <v>974.23149214818409</v>
      </c>
      <c r="AI43" s="5537">
        <f t="shared" si="313"/>
        <v>1146.0197591850756</v>
      </c>
      <c r="AJ43" s="5537">
        <f t="shared" si="313"/>
        <v>1199.4311373897579</v>
      </c>
      <c r="AK43" s="5952">
        <f>+$D$43</f>
        <v>1146.0197591850756</v>
      </c>
      <c r="AL43" s="5952">
        <f t="shared" ref="AL43" si="314">+AL27/AL$6*1000</f>
        <v>1129.1266033893933</v>
      </c>
      <c r="AM43" s="2407">
        <f t="shared" ref="AM43:AP43" si="315">+AM27/AM$6*1000</f>
        <v>1146.0197591850756</v>
      </c>
      <c r="AN43" s="2407">
        <f t="shared" si="315"/>
        <v>1174.7434616208968</v>
      </c>
      <c r="AO43" s="2402">
        <f t="shared" si="315"/>
        <v>1146.0197591850756</v>
      </c>
      <c r="AP43" s="2402">
        <f t="shared" si="315"/>
        <v>1189.8797795290957</v>
      </c>
      <c r="AQ43" s="6101">
        <f>+$D$43</f>
        <v>1146.0197591850756</v>
      </c>
      <c r="AR43" s="6101">
        <f t="shared" ref="AR43:AR45" si="316">+AR27/AR$6*1000</f>
        <v>1108.5999601291448</v>
      </c>
      <c r="AS43" s="2402">
        <f t="shared" ref="AS43:AT43" si="317">+AS27/AS$6*1000</f>
        <v>1146.0197591850756</v>
      </c>
      <c r="AT43" s="2402">
        <f t="shared" si="317"/>
        <v>1180.0069221693398</v>
      </c>
      <c r="AU43" s="6245">
        <f>+$D$43</f>
        <v>1146.0197591850756</v>
      </c>
      <c r="AV43" s="6245">
        <f t="shared" ref="AV43:AX45" si="318">+AV27/AV$6*1000</f>
        <v>1143.4579174039329</v>
      </c>
      <c r="AW43" s="6236">
        <f t="shared" si="318"/>
        <v>1146.0197591850756</v>
      </c>
      <c r="AX43" s="6236">
        <f t="shared" si="318"/>
        <v>1176.3505974558745</v>
      </c>
      <c r="AY43" s="6441">
        <f>+$D$43</f>
        <v>1146.0197591850756</v>
      </c>
      <c r="AZ43" s="6441">
        <f t="shared" ref="AZ43" si="319">+AZ27/AZ$6*1000</f>
        <v>1202.3848690444604</v>
      </c>
      <c r="BA43" s="2407">
        <f t="shared" ref="BA43:BF43" si="320">+BA27/BA$6*1000</f>
        <v>1146.0197591850756</v>
      </c>
      <c r="BB43" s="2407">
        <f t="shared" si="320"/>
        <v>1151.8458788808666</v>
      </c>
      <c r="BC43" s="3015">
        <f t="shared" si="320"/>
        <v>1146.0197591850756</v>
      </c>
      <c r="BD43" s="477">
        <f t="shared" si="320"/>
        <v>1160.9315381740898</v>
      </c>
      <c r="BE43" s="2402">
        <f t="shared" si="320"/>
        <v>1146.0197591850756</v>
      </c>
      <c r="BF43" s="2402">
        <f t="shared" si="320"/>
        <v>1178.9336245456511</v>
      </c>
      <c r="BG43" s="26"/>
      <c r="BH43" s="26"/>
      <c r="BI43" s="26"/>
      <c r="BJ43" s="26"/>
    </row>
    <row r="44" spans="1:62" x14ac:dyDescent="0.25">
      <c r="A44" s="147" t="s">
        <v>470</v>
      </c>
      <c r="B44" s="1772" t="s">
        <v>240</v>
      </c>
      <c r="C44" s="3479" t="s">
        <v>242</v>
      </c>
      <c r="D44" s="3132">
        <v>212.83224099151397</v>
      </c>
      <c r="E44" s="3132">
        <f>+$D$44</f>
        <v>212.83224099151397</v>
      </c>
      <c r="F44" s="3132">
        <f t="shared" ref="F44:H44" si="321">+F28/F$6*1000</f>
        <v>235.28074662930695</v>
      </c>
      <c r="G44" s="7199">
        <f>+$D$44</f>
        <v>212.83224099151397</v>
      </c>
      <c r="H44" s="7199">
        <f t="shared" si="321"/>
        <v>250.45897855910249</v>
      </c>
      <c r="I44" s="3133">
        <f t="shared" si="304"/>
        <v>212.83224099151397</v>
      </c>
      <c r="J44" s="39">
        <f t="shared" si="304"/>
        <v>243.33613845615858</v>
      </c>
      <c r="K44" s="4603">
        <f>+$D$44</f>
        <v>212.83224099151397</v>
      </c>
      <c r="L44" s="4603">
        <f t="shared" si="305"/>
        <v>194.2767289208642</v>
      </c>
      <c r="M44" s="2374">
        <f>+$D$44</f>
        <v>212.83224099151397</v>
      </c>
      <c r="N44" s="2374">
        <f>+N28/N$6*1000</f>
        <v>230.68970499439314</v>
      </c>
      <c r="O44" s="4791">
        <f>+$D$44</f>
        <v>212.83224099151397</v>
      </c>
      <c r="P44" s="4791">
        <f t="shared" si="306"/>
        <v>154.35270803387385</v>
      </c>
      <c r="Q44" s="2373">
        <f t="shared" si="307"/>
        <v>212.83224099151397</v>
      </c>
      <c r="R44" s="2373">
        <f t="shared" si="307"/>
        <v>209.4642354592502</v>
      </c>
      <c r="S44" s="4932">
        <f>+$D$44</f>
        <v>212.83224099151397</v>
      </c>
      <c r="T44" s="4932">
        <f t="shared" si="308"/>
        <v>174.56875558013203</v>
      </c>
      <c r="U44" s="4914">
        <f t="shared" si="308"/>
        <v>212.83224099151397</v>
      </c>
      <c r="V44" s="4914">
        <f t="shared" si="308"/>
        <v>201.98294056919198</v>
      </c>
      <c r="W44" s="5053">
        <f>+$D$44</f>
        <v>212.83224099151397</v>
      </c>
      <c r="X44" s="5053">
        <f t="shared" ref="X44" si="322">+X28/X$6*1000</f>
        <v>215.62746663747944</v>
      </c>
      <c r="Y44" s="2374">
        <f t="shared" si="310"/>
        <v>212.83224099151397</v>
      </c>
      <c r="Z44" s="2374">
        <f t="shared" si="310"/>
        <v>181.36349201402311</v>
      </c>
      <c r="AA44" s="2375">
        <f t="shared" si="310"/>
        <v>212.83224099151397</v>
      </c>
      <c r="AB44" s="454">
        <f t="shared" si="310"/>
        <v>204.39475003658984</v>
      </c>
      <c r="AC44" s="5368">
        <f>+$D$44</f>
        <v>212.83224099151397</v>
      </c>
      <c r="AD44" s="5368">
        <f t="shared" si="311"/>
        <v>166.37515674505005</v>
      </c>
      <c r="AE44" s="2399">
        <f t="shared" ref="AE44:AF44" si="323">+AE28/AE$6*1000</f>
        <v>212.83224099151397</v>
      </c>
      <c r="AF44" s="5651">
        <f t="shared" si="323"/>
        <v>198.84028127375558</v>
      </c>
      <c r="AG44" s="5555">
        <f>+$D$44</f>
        <v>212.83224099151397</v>
      </c>
      <c r="AH44" s="5555">
        <f t="shared" si="313"/>
        <v>55.702952767840905</v>
      </c>
      <c r="AI44" s="5535">
        <f t="shared" si="313"/>
        <v>212.83224099151397</v>
      </c>
      <c r="AJ44" s="5651">
        <f t="shared" si="313"/>
        <v>198.11901724381397</v>
      </c>
      <c r="AK44" s="5949">
        <f>+$D$44</f>
        <v>212.83224099151397</v>
      </c>
      <c r="AL44" s="5949">
        <f t="shared" ref="AL44" si="324">+AL28/AL$6*1000</f>
        <v>195.07666613937766</v>
      </c>
      <c r="AM44" s="2736">
        <f t="shared" ref="AM44:AP44" si="325">+AM28/AM$6*1000</f>
        <v>212.83224099151397</v>
      </c>
      <c r="AN44" s="2736">
        <f t="shared" si="325"/>
        <v>179.23108477014492</v>
      </c>
      <c r="AO44" s="2399">
        <f t="shared" si="325"/>
        <v>212.83224099151397</v>
      </c>
      <c r="AP44" s="2399">
        <f t="shared" si="325"/>
        <v>197.70569277549305</v>
      </c>
      <c r="AQ44" s="6102">
        <f>+$D$44</f>
        <v>212.83224099151397</v>
      </c>
      <c r="AR44" s="6102">
        <f t="shared" si="316"/>
        <v>253.94674109226278</v>
      </c>
      <c r="AS44" s="2399">
        <f t="shared" ref="AS44:AT44" si="326">+AS28/AS$6*1000</f>
        <v>212.83224099151397</v>
      </c>
      <c r="AT44" s="2399">
        <f t="shared" si="326"/>
        <v>204.53715293244005</v>
      </c>
      <c r="AU44" s="6244">
        <f>+$D$44</f>
        <v>212.83224099151397</v>
      </c>
      <c r="AV44" s="6244">
        <f t="shared" si="318"/>
        <v>276.21231596167331</v>
      </c>
      <c r="AW44" s="6234">
        <f t="shared" si="318"/>
        <v>212.83224099151397</v>
      </c>
      <c r="AX44" s="6234">
        <f t="shared" si="318"/>
        <v>211.70746226391228</v>
      </c>
      <c r="AY44" s="6436">
        <f>+$D$44</f>
        <v>212.83224099151397</v>
      </c>
      <c r="AZ44" s="6436">
        <f t="shared" ref="AZ44" si="327">+AZ28/AZ$6*1000</f>
        <v>326.76837357389223</v>
      </c>
      <c r="BA44" s="3012">
        <f t="shared" ref="BA44:BF44" si="328">+BA28/BA$6*1000</f>
        <v>212.83224099151397</v>
      </c>
      <c r="BB44" s="3012">
        <f t="shared" si="328"/>
        <v>286.02294213219034</v>
      </c>
      <c r="BC44" s="3014">
        <f t="shared" si="328"/>
        <v>212.83224099151397</v>
      </c>
      <c r="BD44" s="454">
        <f t="shared" si="328"/>
        <v>243.64840669331232</v>
      </c>
      <c r="BE44" s="2399">
        <f t="shared" si="328"/>
        <v>212.832240991514</v>
      </c>
      <c r="BF44" s="2399">
        <f t="shared" si="328"/>
        <v>223.12339337136726</v>
      </c>
      <c r="BG44" s="26"/>
      <c r="BH44" s="26"/>
      <c r="BI44" s="26"/>
      <c r="BJ44" s="26"/>
    </row>
    <row r="45" spans="1:62" x14ac:dyDescent="0.25">
      <c r="A45" s="147" t="s">
        <v>470</v>
      </c>
      <c r="B45" s="1772" t="s">
        <v>241</v>
      </c>
      <c r="C45" s="3479" t="s">
        <v>242</v>
      </c>
      <c r="D45" s="3132">
        <v>0.34</v>
      </c>
      <c r="E45" s="3132">
        <f>+$D$45</f>
        <v>0.34</v>
      </c>
      <c r="F45" s="3132">
        <f t="shared" ref="F45:H45" si="329">+F29/F$6*1000</f>
        <v>0</v>
      </c>
      <c r="G45" s="7199">
        <f>+$D$45</f>
        <v>0.34</v>
      </c>
      <c r="H45" s="7199">
        <f t="shared" si="329"/>
        <v>0</v>
      </c>
      <c r="I45" s="3133">
        <f t="shared" si="304"/>
        <v>0.34</v>
      </c>
      <c r="J45" s="39">
        <f t="shared" si="304"/>
        <v>0</v>
      </c>
      <c r="K45" s="4603">
        <f>+$D$45</f>
        <v>0.34</v>
      </c>
      <c r="L45" s="4603">
        <f t="shared" si="305"/>
        <v>22.369778579815538</v>
      </c>
      <c r="M45" s="2374">
        <f>+$D$45</f>
        <v>0.34</v>
      </c>
      <c r="N45" s="2374">
        <f>+N29/N$6*1000</f>
        <v>5.7664354105309865</v>
      </c>
      <c r="O45" s="4791">
        <f>+$D$45</f>
        <v>0.34</v>
      </c>
      <c r="P45" s="4791">
        <f t="shared" si="306"/>
        <v>0</v>
      </c>
      <c r="Q45" s="2373">
        <f t="shared" si="307"/>
        <v>0.34</v>
      </c>
      <c r="R45" s="2373">
        <f t="shared" si="307"/>
        <v>4.1630804973701174</v>
      </c>
      <c r="S45" s="4932">
        <f>+$D$45</f>
        <v>0.34</v>
      </c>
      <c r="T45" s="4932">
        <f t="shared" si="308"/>
        <v>0</v>
      </c>
      <c r="U45" s="4914">
        <f t="shared" si="308"/>
        <v>0.34</v>
      </c>
      <c r="V45" s="4914">
        <f t="shared" si="308"/>
        <v>3.2705513514816889</v>
      </c>
      <c r="W45" s="5053">
        <f>+$D$45</f>
        <v>0.34</v>
      </c>
      <c r="X45" s="5053">
        <f t="shared" ref="X45" si="330">+X29/X$6*1000</f>
        <v>0</v>
      </c>
      <c r="Y45" s="2374">
        <f t="shared" si="310"/>
        <v>0.33999999999999997</v>
      </c>
      <c r="Z45" s="2374">
        <f t="shared" si="310"/>
        <v>0</v>
      </c>
      <c r="AA45" s="2375">
        <f t="shared" si="310"/>
        <v>0.33999999999999997</v>
      </c>
      <c r="AB45" s="454">
        <f t="shared" si="310"/>
        <v>2.6924479660187424</v>
      </c>
      <c r="AC45" s="5368">
        <f>+$D$45</f>
        <v>0.34</v>
      </c>
      <c r="AD45" s="5368">
        <f t="shared" si="311"/>
        <v>0</v>
      </c>
      <c r="AE45" s="2399">
        <f t="shared" ref="AE45:AF45" si="331">+AE29/AE$6*1000</f>
        <v>0.33999999999999997</v>
      </c>
      <c r="AF45" s="2399">
        <f t="shared" si="331"/>
        <v>2.299095043799674</v>
      </c>
      <c r="AG45" s="5555">
        <f>+$D$45</f>
        <v>0.34</v>
      </c>
      <c r="AH45" s="5555">
        <f t="shared" si="313"/>
        <v>9.5458679439762317</v>
      </c>
      <c r="AI45" s="5535">
        <f t="shared" si="313"/>
        <v>0.33999999999999997</v>
      </c>
      <c r="AJ45" s="5535">
        <f t="shared" si="313"/>
        <v>2.3356112809029601</v>
      </c>
      <c r="AK45" s="5949">
        <f>+$D$45</f>
        <v>0.34</v>
      </c>
      <c r="AL45" s="5949">
        <f t="shared" ref="AL45" si="332">+AL29/AL$6*1000</f>
        <v>0.20596142343160989</v>
      </c>
      <c r="AM45" s="2736">
        <f t="shared" ref="AM45:AP45" si="333">+AM29/AM$6*1000</f>
        <v>0.34</v>
      </c>
      <c r="AN45" s="2736">
        <f t="shared" si="333"/>
        <v>0.26163249763568935</v>
      </c>
      <c r="AO45" s="2399">
        <f t="shared" si="333"/>
        <v>0.33999999999999997</v>
      </c>
      <c r="AP45" s="2399">
        <f t="shared" si="333"/>
        <v>2.0462835981889049</v>
      </c>
      <c r="AQ45" s="6102">
        <f>+$D$45</f>
        <v>0.34</v>
      </c>
      <c r="AR45" s="6102">
        <f t="shared" si="316"/>
        <v>0</v>
      </c>
      <c r="AS45" s="2399">
        <f t="shared" ref="AS45:AT45" si="334">+AS29/AS$6*1000</f>
        <v>0.33999999999999997</v>
      </c>
      <c r="AT45" s="2399">
        <f t="shared" si="334"/>
        <v>1.7977266226484365</v>
      </c>
      <c r="AU45" s="6244">
        <f>+$D$45</f>
        <v>0.34</v>
      </c>
      <c r="AV45" s="6244">
        <f t="shared" si="318"/>
        <v>0</v>
      </c>
      <c r="AW45" s="6234">
        <f t="shared" si="318"/>
        <v>0.33999999999999997</v>
      </c>
      <c r="AX45" s="6234">
        <f t="shared" si="318"/>
        <v>1.617883906803413</v>
      </c>
      <c r="AY45" s="6436">
        <f>+$D$45</f>
        <v>0.34</v>
      </c>
      <c r="AZ45" s="6436">
        <f t="shared" ref="AZ45" si="335">+AZ29/AZ$6*1000</f>
        <v>0</v>
      </c>
      <c r="BA45" s="3012">
        <f t="shared" ref="BA45:BF45" si="336">+BA29/BA$6*1000</f>
        <v>0.34</v>
      </c>
      <c r="BB45" s="3012">
        <f t="shared" si="336"/>
        <v>0</v>
      </c>
      <c r="BC45" s="3014">
        <f t="shared" si="336"/>
        <v>0.33999999999999997</v>
      </c>
      <c r="BD45" s="454">
        <f t="shared" si="336"/>
        <v>0.10381461486749943</v>
      </c>
      <c r="BE45" s="2399">
        <f t="shared" si="336"/>
        <v>0.33999999999999997</v>
      </c>
      <c r="BF45" s="2399">
        <f t="shared" si="336"/>
        <v>1.4573632659563258</v>
      </c>
      <c r="BG45" s="26"/>
      <c r="BH45" s="26"/>
      <c r="BI45" s="26"/>
      <c r="BJ45" s="26"/>
    </row>
    <row r="46" spans="1:62" x14ac:dyDescent="0.25">
      <c r="A46" s="147"/>
      <c r="B46" s="1772" t="s">
        <v>1309</v>
      </c>
      <c r="C46" s="3479" t="s">
        <v>242</v>
      </c>
      <c r="D46" s="3132">
        <v>278.31908437351831</v>
      </c>
      <c r="E46" s="3132">
        <f>+$D$46</f>
        <v>278.31908437351831</v>
      </c>
      <c r="F46" s="3132">
        <f>+F30/F$6*1000</f>
        <v>296.13144199506826</v>
      </c>
      <c r="G46" s="7199">
        <f>+$D$46</f>
        <v>278.31908437351831</v>
      </c>
      <c r="H46" s="7199">
        <f>+H30/H$6*1000</f>
        <v>263.31272443025074</v>
      </c>
      <c r="I46" s="3133">
        <f t="shared" si="304"/>
        <v>278.31908437351831</v>
      </c>
      <c r="J46" s="39">
        <f t="shared" si="304"/>
        <v>278.71389096131315</v>
      </c>
      <c r="K46" s="4603">
        <f>+$D$46</f>
        <v>278.31908437351831</v>
      </c>
      <c r="L46" s="4603">
        <f>+L30/L$6*1000</f>
        <v>106.98881695114774</v>
      </c>
      <c r="M46" s="2374">
        <f t="shared" ref="M46:N46" si="337">+M30/M$6*1000</f>
        <v>278.31908437351825</v>
      </c>
      <c r="N46" s="2374">
        <f t="shared" si="337"/>
        <v>234.44695536715506</v>
      </c>
      <c r="O46" s="4791">
        <f>+$D$46</f>
        <v>278.31908437351831</v>
      </c>
      <c r="P46" s="4791">
        <f>+P30/P$6*1000</f>
        <v>224.4544397597445</v>
      </c>
      <c r="Q46" s="2373">
        <f t="shared" si="307"/>
        <v>278.31908437351825</v>
      </c>
      <c r="R46" s="2373">
        <f t="shared" si="307"/>
        <v>231.66854065280327</v>
      </c>
      <c r="S46" s="4932">
        <f>+$D$46</f>
        <v>278.31908437351831</v>
      </c>
      <c r="T46" s="4932">
        <f>+T30/T$6*1000</f>
        <v>233.66024672180615</v>
      </c>
      <c r="U46" s="4914">
        <f t="shared" ref="U46:V46" si="338">+U30/U$6*1000</f>
        <v>278.31908437351825</v>
      </c>
      <c r="V46" s="4914">
        <f t="shared" si="338"/>
        <v>232.09554553962951</v>
      </c>
      <c r="W46" s="5053">
        <f>+$D$46</f>
        <v>278.31908437351831</v>
      </c>
      <c r="X46" s="5053">
        <f>+X30/X$6*1000</f>
        <v>229.19152597267851</v>
      </c>
      <c r="Y46" s="2374">
        <f t="shared" si="310"/>
        <v>278.31908437351831</v>
      </c>
      <c r="Z46" s="2374">
        <f t="shared" si="310"/>
        <v>229.07307150311215</v>
      </c>
      <c r="AA46" s="2375">
        <f>+AA30/AA$6*1000</f>
        <v>278.31908437351831</v>
      </c>
      <c r="AB46" s="454">
        <f>+AB30/AB$6*1000</f>
        <v>231.58223039405181</v>
      </c>
      <c r="AC46" s="5368">
        <f>+$D$46</f>
        <v>278.31908437351831</v>
      </c>
      <c r="AD46" s="5368">
        <f>+AD30/AD$6*1000</f>
        <v>234.03970510281593</v>
      </c>
      <c r="AE46" s="2399">
        <f t="shared" ref="AE46:AF46" si="339">+AE30/AE$6*1000</f>
        <v>278.31908437351831</v>
      </c>
      <c r="AF46" s="2399">
        <f t="shared" si="339"/>
        <v>231.94125492123746</v>
      </c>
      <c r="AG46" s="5555">
        <f>+$D$46</f>
        <v>278.31908437351831</v>
      </c>
      <c r="AH46" s="5555">
        <f>+AH30/AH$6*1000</f>
        <v>461.69647729339721</v>
      </c>
      <c r="AI46" s="5535">
        <f t="shared" ref="AI46:AJ46" si="340">+AI30/AI$6*1000</f>
        <v>278.31908437351831</v>
      </c>
      <c r="AJ46" s="5535">
        <f t="shared" si="340"/>
        <v>233.09898351180163</v>
      </c>
      <c r="AK46" s="5949">
        <f>+$D$46</f>
        <v>278.31908437351831</v>
      </c>
      <c r="AL46" s="5949">
        <f>+AL30/AL$6*1000</f>
        <v>328.9563952708782</v>
      </c>
      <c r="AM46" s="2736">
        <f t="shared" ref="AM46:AP46" si="341">+AM30/AM$6*1000</f>
        <v>278.31908437351831</v>
      </c>
      <c r="AN46" s="2736">
        <f t="shared" si="341"/>
        <v>286.27914518128568</v>
      </c>
      <c r="AO46" s="2399">
        <f t="shared" si="341"/>
        <v>278.31908437351831</v>
      </c>
      <c r="AP46" s="2399">
        <f t="shared" si="341"/>
        <v>246.12187679067659</v>
      </c>
      <c r="AQ46" s="6102">
        <f>+$D$46</f>
        <v>278.31908437351831</v>
      </c>
      <c r="AR46" s="6102">
        <f>+AR30/AR$6*1000</f>
        <v>273.47931260201631</v>
      </c>
      <c r="AS46" s="2399">
        <f t="shared" ref="AS46:AT46" si="342">+AS30/AS$6*1000</f>
        <v>278.31908437351831</v>
      </c>
      <c r="AT46" s="2399">
        <f t="shared" si="342"/>
        <v>249.44491642693595</v>
      </c>
      <c r="AU46" s="6244">
        <f>+$D$46</f>
        <v>278.31908437351831</v>
      </c>
      <c r="AV46" s="6244">
        <f>+AV30/AV$6*1000</f>
        <v>220.55428504657294</v>
      </c>
      <c r="AW46" s="6234">
        <f t="shared" ref="AW46:AX46" si="343">+AW30/AW$6*1000</f>
        <v>278.31908437351831</v>
      </c>
      <c r="AX46" s="6234">
        <f t="shared" si="343"/>
        <v>246.55472748248593</v>
      </c>
      <c r="AY46" s="6436">
        <f>+$D$46</f>
        <v>278.31908437351831</v>
      </c>
      <c r="AZ46" s="6436">
        <f>+AZ30/AZ$6*1000</f>
        <v>142.539514081037</v>
      </c>
      <c r="BA46" s="3012">
        <f t="shared" ref="BA46:BB46" si="344">+BA30/BA$6*1000</f>
        <v>278.31908437351831</v>
      </c>
      <c r="BB46" s="3012">
        <f t="shared" si="344"/>
        <v>211.76757749973402</v>
      </c>
      <c r="BC46" s="3014">
        <f>+BC30/BC$6*1000</f>
        <v>278.31908437351831</v>
      </c>
      <c r="BD46" s="454">
        <f>+BD30/BD$6*1000</f>
        <v>241.33343713848981</v>
      </c>
      <c r="BE46" s="2399">
        <f t="shared" ref="BE46:BF46" si="345">+BE30/BE$6*1000</f>
        <v>278.31908437351831</v>
      </c>
      <c r="BF46" s="2399">
        <f t="shared" si="345"/>
        <v>236.23471092083042</v>
      </c>
      <c r="BG46" s="26"/>
      <c r="BH46" s="26"/>
      <c r="BI46" s="26"/>
      <c r="BJ46" s="26"/>
    </row>
    <row r="47" spans="1:62" ht="15.75" thickBot="1" x14ac:dyDescent="0.3">
      <c r="A47" s="147" t="s">
        <v>470</v>
      </c>
      <c r="B47" s="1773" t="s">
        <v>6</v>
      </c>
      <c r="C47" s="750" t="s">
        <v>242</v>
      </c>
      <c r="D47" s="1454">
        <v>3.1457627118644069</v>
      </c>
      <c r="E47" s="1454">
        <f>+$D$47</f>
        <v>3.1457627118644069</v>
      </c>
      <c r="F47" s="1454">
        <f>+F31/F$6*1000</f>
        <v>1.4589237131930222</v>
      </c>
      <c r="G47" s="1454">
        <f>+$D$47</f>
        <v>3.1457627118644069</v>
      </c>
      <c r="H47" s="1454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4">
        <f>+$D$47</f>
        <v>3.1457627118644069</v>
      </c>
      <c r="L47" s="109">
        <f>+L31/L$6*1000</f>
        <v>30.433476843649444</v>
      </c>
      <c r="M47" s="488">
        <f>+M31/M$6*1000</f>
        <v>3.1457627118644065</v>
      </c>
      <c r="N47" s="488">
        <f>+N31/N$6*1000</f>
        <v>9.6206269793348191</v>
      </c>
      <c r="O47" s="109">
        <f>+$D$47</f>
        <v>3.1457627118644069</v>
      </c>
      <c r="P47" s="109">
        <f>+P31/P$6*1000</f>
        <v>25.667505753222169</v>
      </c>
      <c r="Q47" s="589">
        <f>+Q31/Q$6*1000</f>
        <v>3.1457627118644069</v>
      </c>
      <c r="R47" s="589">
        <f>+R31/R$6*1000</f>
        <v>14.082454796918913</v>
      </c>
      <c r="S47" s="109">
        <f>+$D$47</f>
        <v>3.1457627118644069</v>
      </c>
      <c r="T47" s="109">
        <f>+T31/T$6*1000</f>
        <v>16.765053571304868</v>
      </c>
      <c r="U47" s="589">
        <f>+U31/U$6*1000</f>
        <v>3.1457627118644065</v>
      </c>
      <c r="V47" s="589">
        <f>+V31/V$6*1000</f>
        <v>14.657581219378573</v>
      </c>
      <c r="W47" s="109">
        <f>+$D$47</f>
        <v>3.1457627118644069</v>
      </c>
      <c r="X47" s="109">
        <f>+X31/X$6*1000</f>
        <v>10.109362501007039</v>
      </c>
      <c r="Y47" s="488">
        <f>+Y31/Y$6*1000</f>
        <v>3.1457627118644069</v>
      </c>
      <c r="Z47" s="488">
        <f>+Z31/Z$6*1000</f>
        <v>17.5612512319458</v>
      </c>
      <c r="AA47" s="1146">
        <f>+AA31/AA$6*1000</f>
        <v>3.1457627118644065</v>
      </c>
      <c r="AB47" s="459">
        <f>+AB31/AB$6*1000</f>
        <v>13.853637065520436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3.1457627118644065</v>
      </c>
      <c r="AF47" s="589">
        <f>+AF31/AF$6*1000</f>
        <v>12.887501429405077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3.1457627118644065</v>
      </c>
      <c r="AJ47" s="589">
        <f>+AJ31/AJ$6*1000</f>
        <v>12.993966623492412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3.1457627118644065</v>
      </c>
      <c r="AP47" s="589">
        <f>+AP31/AP$6*1000</f>
        <v>12.097637537165284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3.1457627118644065</v>
      </c>
      <c r="AT47" s="589">
        <f>+AT31/AT$6*1000</f>
        <v>10.810569236862607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3.1457627118644065</v>
      </c>
      <c r="AX47" s="589">
        <f>+AX31/AX$6*1000</f>
        <v>9.8732897074637549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6">
        <f>+BC31/BC$6*1000</f>
        <v>3.1457627118644069</v>
      </c>
      <c r="BD47" s="459">
        <f>+BD31/BD$6*1000</f>
        <v>4.2828667658057133</v>
      </c>
      <c r="BE47" s="589">
        <f>+BE31/BE$6*1000</f>
        <v>3.1457627118644065</v>
      </c>
      <c r="BF47" s="589">
        <f>+BF31/BF$6*1000</f>
        <v>9.2872460933372132</v>
      </c>
      <c r="BG47" s="26"/>
      <c r="BH47" s="26"/>
      <c r="BI47" s="26"/>
      <c r="BJ47" s="26"/>
    </row>
    <row r="48" spans="1:62" ht="16.5" thickBot="1" x14ac:dyDescent="0.3">
      <c r="A48" s="148" t="s">
        <v>470</v>
      </c>
      <c r="B48" s="1771" t="s">
        <v>47</v>
      </c>
      <c r="C48" s="2383"/>
      <c r="D48" s="2383"/>
      <c r="E48" s="2383"/>
      <c r="F48" s="2383"/>
      <c r="G48" s="5172"/>
      <c r="H48" s="5172"/>
      <c r="I48" s="2383"/>
      <c r="J48" s="2383"/>
      <c r="K48" s="3427"/>
      <c r="L48" s="3427"/>
      <c r="M48" s="2383"/>
      <c r="N48" s="2383"/>
      <c r="O48" s="4712"/>
      <c r="P48" s="4712"/>
      <c r="Q48" s="2383"/>
      <c r="R48" s="2383"/>
      <c r="S48" s="4712"/>
      <c r="T48" s="4712"/>
      <c r="U48" s="4712"/>
      <c r="V48" s="4712"/>
      <c r="W48" s="4712"/>
      <c r="X48" s="4712"/>
      <c r="Y48" s="2383"/>
      <c r="Z48" s="2383"/>
      <c r="AA48" s="2383"/>
      <c r="AB48" s="2383"/>
      <c r="AC48" s="5172"/>
      <c r="AD48" s="5172"/>
      <c r="AE48" s="2624"/>
      <c r="AF48" s="2624"/>
      <c r="AG48" s="5172"/>
      <c r="AH48" s="5172"/>
      <c r="AI48" s="5172"/>
      <c r="AJ48" s="5172"/>
      <c r="AK48" s="5172"/>
      <c r="AL48" s="5172"/>
      <c r="AM48" s="2744"/>
      <c r="AN48" s="2744"/>
      <c r="AO48" s="2744"/>
      <c r="AP48" s="2744"/>
      <c r="AQ48" s="5172"/>
      <c r="AR48" s="5172"/>
      <c r="AS48" s="2801"/>
      <c r="AT48" s="2801"/>
      <c r="AU48" s="5172"/>
      <c r="AV48" s="5172"/>
      <c r="AW48" s="5172"/>
      <c r="AX48" s="5172"/>
      <c r="AY48" s="5172"/>
      <c r="AZ48" s="5172"/>
      <c r="BE48" s="3022"/>
      <c r="BF48" s="3022"/>
      <c r="BG48" s="26"/>
      <c r="BH48" s="26"/>
      <c r="BI48" s="26"/>
      <c r="BJ48" s="26"/>
    </row>
    <row r="49" spans="1:66" x14ac:dyDescent="0.25">
      <c r="A49" s="147" t="s">
        <v>470</v>
      </c>
      <c r="B49" s="2236" t="s">
        <v>262</v>
      </c>
      <c r="C49" s="2201" t="s">
        <v>243</v>
      </c>
      <c r="D49" s="2237">
        <f>+'Maj Techno Summ'!D14</f>
        <v>2.4361020820953088</v>
      </c>
      <c r="E49" s="2237">
        <f>+'Maj Techno Summ'!E14</f>
        <v>2.4471008652249489</v>
      </c>
      <c r="F49" s="2238">
        <f>+'Maj Techno Summ'!F14</f>
        <v>2.3879780343565189</v>
      </c>
      <c r="G49" s="2237">
        <f>+'Maj Techno Summ'!G14</f>
        <v>2.4406270534121841</v>
      </c>
      <c r="H49" s="2238">
        <f>+'Maj Techno Summ'!H14</f>
        <v>2.4173399790859662</v>
      </c>
      <c r="I49" s="2239">
        <f>+(I6/3551)/(E50+G50)</f>
        <v>2.4438090965065942</v>
      </c>
      <c r="J49" s="2239">
        <f>+(J6/3551)/(F50+H50)</f>
        <v>2.40347160666763</v>
      </c>
      <c r="K49" s="2237">
        <f>+'Maj Techno Summ'!K14</f>
        <v>2.2084216454964505</v>
      </c>
      <c r="L49" s="2238">
        <f>+'Maj Techno Summ'!L14</f>
        <v>1.8780768962350072</v>
      </c>
      <c r="M49" s="2240">
        <f>+(M6/3551)/(E50+G50+K50)</f>
        <v>2.3864711276707897</v>
      </c>
      <c r="N49" s="2240">
        <f>+(N6/3551)/(F50+H50+L50)</f>
        <v>2.2418065335507329</v>
      </c>
      <c r="O49" s="2237">
        <f>+'Maj Techno Summ'!O14</f>
        <v>2.1936000237145952</v>
      </c>
      <c r="P49" s="2238">
        <f>+'Maj Techno Summ'!P14</f>
        <v>2.3276758263880968</v>
      </c>
      <c r="Q49" s="2239">
        <f>+(Q6/3551)/(M50+O50)</f>
        <v>2.3655308363841172</v>
      </c>
      <c r="R49" s="2239">
        <f>+(R6/3551)/(N50+P50)</f>
        <v>2.2650399723979984</v>
      </c>
      <c r="S49" s="2237">
        <f>+'Maj Techno Summ'!S14</f>
        <v>2.2528865108420164</v>
      </c>
      <c r="T49" s="2238">
        <f>+'Maj Techno Summ'!T14</f>
        <v>2.3360392827253578</v>
      </c>
      <c r="U49" s="2239">
        <f>+(U6/3551)/(Q50+S50)</f>
        <v>2.3367705830542191</v>
      </c>
      <c r="V49" s="2239">
        <f>+(V6/3551)/(R50+T50)</f>
        <v>2.279895790866687</v>
      </c>
      <c r="W49" s="2237">
        <f>+'Maj Techno Summ'!W14</f>
        <v>2.2528865108420164</v>
      </c>
      <c r="X49" s="2238">
        <f>+'Maj Techno Summ'!X14</f>
        <v>2.3134740969039282</v>
      </c>
      <c r="Y49" s="2241">
        <f>+(Y6/3551)/(O50+S50+W50)</f>
        <v>2.2446642972987974</v>
      </c>
      <c r="Z49" s="2241">
        <f>+(Z6/3551)/(P50+T50+X50)</f>
        <v>2.3256986735579712</v>
      </c>
      <c r="AA49" s="2242">
        <f>+(AA6/3551)/(M50+Y50)</f>
        <v>2.3201655448688681</v>
      </c>
      <c r="AB49" s="2243">
        <f>+(AB6/3551)/(N50+Z50)</f>
        <v>2.2857599981107133</v>
      </c>
      <c r="AC49" s="2237">
        <f>+'Maj Techno Summ'!AC14</f>
        <v>2.3467567821271005</v>
      </c>
      <c r="AD49" s="2238">
        <f>+'Maj Techno Summ'!AD14</f>
        <v>2.2356326894354832</v>
      </c>
      <c r="AE49" s="2239">
        <f>+(AE6/3551)/(AA50+AC50)</f>
        <v>2.3246853019099274</v>
      </c>
      <c r="AF49" s="2239">
        <f>+(AF6/3551)/(AB50+AD50)</f>
        <v>2.278296897138345</v>
      </c>
      <c r="AG49" s="2237">
        <f>+'Maj Techno Summ'!AG14</f>
        <v>2.3499936880334826</v>
      </c>
      <c r="AH49" s="2238">
        <f>+'Maj Techno Summ'!AH14</f>
        <v>0.80694655877663402</v>
      </c>
      <c r="AI49" s="2239">
        <f>+(AI6/3551)/(AE50+AG50)</f>
        <v>2.3282568016548577</v>
      </c>
      <c r="AJ49" s="2239">
        <f>+(AJ6/3551)/(AF50+AH50)</f>
        <v>2.2575548793304723</v>
      </c>
      <c r="AK49" s="2237">
        <f>+'Maj Techno Summ'!AK14</f>
        <v>2.3467567821271005</v>
      </c>
      <c r="AL49" s="2238">
        <f>+'Maj Techno Summ'!AL14</f>
        <v>2.3560233856843715</v>
      </c>
      <c r="AM49" s="2241">
        <f>+(AM6/3551)/(AC50+AG50+AK50)</f>
        <v>2.347811504276371</v>
      </c>
      <c r="AN49" s="2241">
        <f>+(AN6/3551)/(AD50+AH50+AL50)</f>
        <v>2.2291988613244564</v>
      </c>
      <c r="AO49" s="2239">
        <f>+(AO6/3551)/(AK50+AI50)</f>
        <v>2.3306134870653339</v>
      </c>
      <c r="AP49" s="2239">
        <f>+(AP6/3551)/(AL50+AJ50)</f>
        <v>2.2704465982537165</v>
      </c>
      <c r="AQ49" s="2237">
        <f>+'Maj Techno Summ'!AQ14</f>
        <v>2.3467567821271005</v>
      </c>
      <c r="AR49" s="2238">
        <f>+'Maj Techno Summ'!AR14</f>
        <v>2.4887714643263985</v>
      </c>
      <c r="AS49" s="2239">
        <f>+(AS6/3551)/(AO50+AQ50)</f>
        <v>2.3324375882022568</v>
      </c>
      <c r="AT49" s="2239">
        <f>+(AT6/3551)/(AP50+AR50)</f>
        <v>2.2949001593178062</v>
      </c>
      <c r="AU49" s="2237">
        <f>+'Maj Techno Summ'!AU14</f>
        <v>2.3467567821271005</v>
      </c>
      <c r="AV49" s="2238">
        <f>+'Maj Techno Summ'!AV14</f>
        <v>2.4820490909149764</v>
      </c>
      <c r="AW49" s="2239">
        <f>+(AW6/3551)/(AS50+AU50)</f>
        <v>2.3337593599491657</v>
      </c>
      <c r="AX49" s="2239">
        <f>+(AX6/3551)/(AT50+AV50)</f>
        <v>2.3123422403688334</v>
      </c>
      <c r="AY49" s="2237">
        <f>+'Maj Techno Summ'!AY14</f>
        <v>2.3467567821271005</v>
      </c>
      <c r="AZ49" s="2238">
        <f>+'Maj Techno Summ'!AZ14</f>
        <v>2.458086816036321</v>
      </c>
      <c r="BA49" s="2241">
        <f>+(BA6/3551)/(AQ50+AU50+AY50)</f>
        <v>2.3467567821271009</v>
      </c>
      <c r="BB49" s="2241">
        <f>+(BB6/3551)/(AR50+AV50+AZ50)</f>
        <v>2.4760163164415827</v>
      </c>
      <c r="BC49" s="2242">
        <f>+(BC6/3551)/(AM50+BA50)</f>
        <v>2.3472901359412202</v>
      </c>
      <c r="BD49" s="2243">
        <f>+(BD6/3551)/(AN50+BB50)</f>
        <v>2.371814661419942</v>
      </c>
      <c r="BE49" s="2239">
        <f>+(BE6/3551)/(AW50+AY50)</f>
        <v>2.3349684224773455</v>
      </c>
      <c r="BF49" s="2239">
        <f>+(BF6/3551)/(AX50+AZ50)</f>
        <v>2.3260256146203999</v>
      </c>
      <c r="BG49" s="26"/>
      <c r="BH49" s="26"/>
      <c r="BI49" s="26"/>
      <c r="BJ49" s="26"/>
      <c r="BK49" s="1549"/>
      <c r="BL49" s="1549"/>
      <c r="BM49" s="1549"/>
      <c r="BN49" s="1549"/>
    </row>
    <row r="50" spans="1:66" ht="15.75" thickBot="1" x14ac:dyDescent="0.3">
      <c r="A50" s="147" t="s">
        <v>470</v>
      </c>
      <c r="B50" s="1773" t="s">
        <v>442</v>
      </c>
      <c r="C50" s="750" t="s">
        <v>244</v>
      </c>
      <c r="D50" s="109">
        <f>+D6/(D49*3551)</f>
        <v>341.01686746987951</v>
      </c>
      <c r="E50" s="1454">
        <f>+E6/(E49*3551)</f>
        <v>29</v>
      </c>
      <c r="F50" s="192">
        <f>+F6/(F49*3551)</f>
        <v>26.666666666666664</v>
      </c>
      <c r="G50" s="1454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4">
        <f>+K6/(K49*3551)</f>
        <v>18.999999999999996</v>
      </c>
      <c r="L50" s="192">
        <f>+L6/(L49*3551)</f>
        <v>25.093750000000004</v>
      </c>
      <c r="M50" s="2225">
        <f>+K50+G50+E50</f>
        <v>78</v>
      </c>
      <c r="N50" s="2225">
        <f>+L50+H50+F50</f>
        <v>81.552083333333343</v>
      </c>
      <c r="O50" s="1454">
        <f>+O6/(O49*3551)</f>
        <v>9.4999999999999982</v>
      </c>
      <c r="P50" s="2221">
        <f>+P6/(P49*3551)</f>
        <v>30.25001209836914</v>
      </c>
      <c r="Q50" s="593">
        <f>+M50+O50</f>
        <v>87.5</v>
      </c>
      <c r="R50" s="593">
        <f>+N50+P50</f>
        <v>111.80209543170248</v>
      </c>
      <c r="S50" s="1454">
        <f>+S6/(S49*3551)</f>
        <v>30</v>
      </c>
      <c r="T50" s="2221">
        <f>+T6/(T49*3551)</f>
        <v>29.583333333333336</v>
      </c>
      <c r="U50" s="593">
        <f>+Q50+S50</f>
        <v>117.5</v>
      </c>
      <c r="V50" s="593">
        <f>+R50+T50</f>
        <v>141.38542876503581</v>
      </c>
      <c r="W50" s="1454">
        <f>+W6/(W49*3551)</f>
        <v>29</v>
      </c>
      <c r="X50" s="2221">
        <f>+X6/(X49*3551)</f>
        <v>29.916666666666671</v>
      </c>
      <c r="Y50" s="2212">
        <f>+W50+S50+O50</f>
        <v>68.5</v>
      </c>
      <c r="Z50" s="74">
        <f>+X50+T50+P50</f>
        <v>89.750012098369155</v>
      </c>
      <c r="AA50" s="2244">
        <f>M50+Y50</f>
        <v>146.5</v>
      </c>
      <c r="AB50" s="476">
        <f>+N50+Z50</f>
        <v>171.3020954317025</v>
      </c>
      <c r="AC50" s="1454">
        <f>+AC6/(AC49*3551)</f>
        <v>29.999999999999996</v>
      </c>
      <c r="AD50" s="2221">
        <f>+AD6/(AD49*3551)</f>
        <v>29.965277777777771</v>
      </c>
      <c r="AE50" s="593">
        <f>+AA50+AC50</f>
        <v>176.5</v>
      </c>
      <c r="AF50" s="593">
        <f>+AB50+AD50</f>
        <v>201.26737320948027</v>
      </c>
      <c r="AG50" s="1454">
        <f>+AG6/(AG49*3551)</f>
        <v>29</v>
      </c>
      <c r="AH50" s="2221">
        <f>+AH6/(AH49*3551)</f>
        <v>2.8778901789705245</v>
      </c>
      <c r="AI50" s="593">
        <f>+AE50+AG50</f>
        <v>205.5</v>
      </c>
      <c r="AJ50" s="593">
        <f>+AF50+AH50</f>
        <v>204.14526338845079</v>
      </c>
      <c r="AK50" s="1454">
        <f>+AK6/(AK49*3551)</f>
        <v>29.999999999999996</v>
      </c>
      <c r="AL50" s="2221">
        <f>+AL6/(AL49*3551)</f>
        <v>30.753472222222221</v>
      </c>
      <c r="AM50" s="2212">
        <f>+AK50+AG50+AC50</f>
        <v>89</v>
      </c>
      <c r="AN50" s="74">
        <f>+AL50+AH50+AD50</f>
        <v>63.596640178970517</v>
      </c>
      <c r="AO50" s="593">
        <f>+AK50+AI50</f>
        <v>235.5</v>
      </c>
      <c r="AP50" s="593">
        <f>+AL50+AJ50</f>
        <v>234.89873561067301</v>
      </c>
      <c r="AQ50" s="1454">
        <f>+AQ6/(AQ49*3551)</f>
        <v>29.999999999999996</v>
      </c>
      <c r="AR50" s="2221">
        <f>+AR6/(AR49*3551)</f>
        <v>29.628472222222221</v>
      </c>
      <c r="AS50" s="593">
        <f>+AO50+AQ50</f>
        <v>265.5</v>
      </c>
      <c r="AT50" s="593">
        <f>+AP50+AR50</f>
        <v>264.52720783289521</v>
      </c>
      <c r="AU50" s="1454">
        <f>+AU6/(AU49*3551)</f>
        <v>26.999999999999996</v>
      </c>
      <c r="AV50" s="2221">
        <f>+AV6/(AV49*3551)</f>
        <v>27.1875</v>
      </c>
      <c r="AW50" s="593">
        <f>+AS50+AU50</f>
        <v>292.5</v>
      </c>
      <c r="AX50" s="593">
        <f>+AT50+AV50</f>
        <v>291.71470783289521</v>
      </c>
      <c r="AY50" s="1454">
        <f>+AY6/(AY49*3551)</f>
        <v>29.999999999999996</v>
      </c>
      <c r="AZ50" s="2221">
        <f>+AZ6/(AZ49*3551)</f>
        <v>30.22569444444445</v>
      </c>
      <c r="BA50" s="2212">
        <f>+AY50+AU50+AQ50</f>
        <v>86.999999999999986</v>
      </c>
      <c r="BB50" s="74">
        <f>+AZ50+AV50+AR50</f>
        <v>87.041666666666671</v>
      </c>
      <c r="BC50" s="469">
        <f t="shared" ref="BC50" si="346">AM50+BA50</f>
        <v>176</v>
      </c>
      <c r="BD50" s="469">
        <f t="shared" ref="BD50" si="347">AN50+BB50</f>
        <v>150.6383068456372</v>
      </c>
      <c r="BE50" s="593">
        <f>+AW50+AY50</f>
        <v>322.5</v>
      </c>
      <c r="BF50" s="593">
        <f>+AX50+AZ50</f>
        <v>321.94040227733967</v>
      </c>
      <c r="BG50" s="26"/>
      <c r="BH50" s="26"/>
      <c r="BI50" s="26"/>
      <c r="BJ50" s="26"/>
    </row>
    <row r="51" spans="1:66" ht="15.75" thickBot="1" x14ac:dyDescent="0.3">
      <c r="A51" s="147" t="s">
        <v>470</v>
      </c>
      <c r="B51" s="1774" t="s">
        <v>245</v>
      </c>
      <c r="C51" s="759" t="s">
        <v>49</v>
      </c>
      <c r="D51" s="1452">
        <v>70</v>
      </c>
      <c r="E51" s="1452">
        <f>+$D$51</f>
        <v>70</v>
      </c>
      <c r="F51" s="1224">
        <f>+F109</f>
        <v>67.728144451358403</v>
      </c>
      <c r="G51" s="1452">
        <f>+$D$51</f>
        <v>70</v>
      </c>
      <c r="H51" s="1224">
        <f>+H109</f>
        <v>68.71532071205479</v>
      </c>
      <c r="I51" s="1453">
        <f>+(I43/(I43+I44+I46))*100</f>
        <v>70</v>
      </c>
      <c r="J51" s="1453">
        <f>+J109</f>
        <v>68.251396769319385</v>
      </c>
      <c r="K51" s="1452">
        <f>+$D$51</f>
        <v>70</v>
      </c>
      <c r="L51" s="1224">
        <f>+L109</f>
        <v>81.082146621154223</v>
      </c>
      <c r="M51" s="1577">
        <f>+$D$51</f>
        <v>70</v>
      </c>
      <c r="N51" s="2218">
        <f>+N109</f>
        <v>71.480866055350958</v>
      </c>
      <c r="O51" s="1452">
        <f>+$D$51</f>
        <v>70</v>
      </c>
      <c r="P51" s="1224">
        <f>+P109</f>
        <v>76.953707499417817</v>
      </c>
      <c r="Q51" s="769">
        <f>+$D$51</f>
        <v>70</v>
      </c>
      <c r="R51" s="2217">
        <f>+R109</f>
        <v>73.011134086563047</v>
      </c>
      <c r="S51" s="1452">
        <f>+$D$51</f>
        <v>70</v>
      </c>
      <c r="T51" s="1224">
        <f>+T109</f>
        <v>74.861376564836206</v>
      </c>
      <c r="U51" s="769">
        <f>+$D$51</f>
        <v>70</v>
      </c>
      <c r="V51" s="2217">
        <f>+V109</f>
        <v>73.405788949217651</v>
      </c>
      <c r="W51" s="1452">
        <f>+$D$51</f>
        <v>70</v>
      </c>
      <c r="X51" s="1224">
        <f>+X109</f>
        <v>72.663235299621249</v>
      </c>
      <c r="Y51" s="2228">
        <f>+(Y43/(Y43+Y44+Y46))*100</f>
        <v>70</v>
      </c>
      <c r="Z51" s="2229">
        <f>+Z109</f>
        <v>74.845528085916797</v>
      </c>
      <c r="AA51" s="2230">
        <f>+(AA43/(AA43+AA44+AA46))*100</f>
        <v>70</v>
      </c>
      <c r="AB51" s="2231">
        <f>+AB109</f>
        <v>73.274869290778383</v>
      </c>
      <c r="AC51" s="1452">
        <f>+$D$51</f>
        <v>70</v>
      </c>
      <c r="AD51" s="1224">
        <f>+AD109</f>
        <v>75.456460322892482</v>
      </c>
      <c r="AE51" s="769">
        <f>+$D$51</f>
        <v>70</v>
      </c>
      <c r="AF51" s="2217">
        <f>+AF109</f>
        <v>73.593606962224044</v>
      </c>
      <c r="AG51" s="1452">
        <f>+$D$51</f>
        <v>70</v>
      </c>
      <c r="AH51" s="1224">
        <f>+AH109</f>
        <v>65.313173496372698</v>
      </c>
      <c r="AI51" s="769">
        <f>+$D$51</f>
        <v>70</v>
      </c>
      <c r="AJ51" s="2217">
        <f>+AJ109</f>
        <v>73.555439323626445</v>
      </c>
      <c r="AK51" s="1452">
        <f>+$D$51</f>
        <v>70</v>
      </c>
      <c r="AL51" s="1224">
        <f>+AL109</f>
        <v>68.301122234689601</v>
      </c>
      <c r="AM51" s="2228">
        <f>+(AM43/(AM43+AM44+AM46))*100</f>
        <v>70</v>
      </c>
      <c r="AN51" s="2229">
        <f>+AN109</f>
        <v>71.619620041507233</v>
      </c>
      <c r="AO51" s="769">
        <f>+$D$51</f>
        <v>70</v>
      </c>
      <c r="AP51" s="2217">
        <f>+AP109</f>
        <v>72.833104422774497</v>
      </c>
      <c r="AQ51" s="1452">
        <f>+$D$51</f>
        <v>70</v>
      </c>
      <c r="AR51" s="1224">
        <f>+AR109</f>
        <v>67.761756277843389</v>
      </c>
      <c r="AS51" s="769">
        <f>+$D$51</f>
        <v>70</v>
      </c>
      <c r="AT51" s="1453">
        <f>+AT109</f>
        <v>72.216332440854288</v>
      </c>
      <c r="AU51" s="1452">
        <f>+$D$51</f>
        <v>70</v>
      </c>
      <c r="AV51" s="1224">
        <f>+AV109</f>
        <v>69.713499863473473</v>
      </c>
      <c r="AW51" s="769">
        <f>+$D$51</f>
        <v>70</v>
      </c>
      <c r="AX51" s="1453">
        <f>+AX109</f>
        <v>71.965092079651555</v>
      </c>
      <c r="AY51" s="1452">
        <f>+$D$51</f>
        <v>70</v>
      </c>
      <c r="AZ51" s="1224">
        <f>+AZ109</f>
        <v>71.926187645776693</v>
      </c>
      <c r="BA51" s="2228">
        <f>+(BA43/(BA43+BA44+BA46))*100</f>
        <v>70</v>
      </c>
      <c r="BB51" s="2229">
        <f>+BB109</f>
        <v>69.824227928002742</v>
      </c>
      <c r="BC51" s="2230">
        <f>+(BC43/(BC43+BC44+BC46))*100</f>
        <v>70</v>
      </c>
      <c r="BD51" s="2231">
        <f>+BD109</f>
        <v>70.534181863157983</v>
      </c>
      <c r="BE51" s="769">
        <f>+$D$51</f>
        <v>70</v>
      </c>
      <c r="BF51" s="2217">
        <f>+BF109</f>
        <v>71.961153425461561</v>
      </c>
      <c r="BG51" s="26"/>
      <c r="BH51" s="26"/>
      <c r="BI51" s="26"/>
      <c r="BJ51" s="26"/>
    </row>
    <row r="52" spans="1:66" ht="15.75" thickBot="1" x14ac:dyDescent="0.3">
      <c r="A52" s="147"/>
      <c r="B52" s="1773" t="s">
        <v>1329</v>
      </c>
      <c r="C52" s="750" t="s">
        <v>49</v>
      </c>
      <c r="D52" s="1454">
        <v>17</v>
      </c>
      <c r="E52" s="1454">
        <v>17</v>
      </c>
      <c r="F52" s="192">
        <f>+F111</f>
        <v>17.983612954408294</v>
      </c>
      <c r="G52" s="1454">
        <v>17</v>
      </c>
      <c r="H52" s="192">
        <f>+H111</f>
        <v>16.033685950987838</v>
      </c>
      <c r="I52" s="2232">
        <f>+I111</f>
        <v>17.000000000000004</v>
      </c>
      <c r="J52" s="593">
        <f>+J111</f>
        <v>16.950055052930075</v>
      </c>
      <c r="K52" s="1454">
        <v>15</v>
      </c>
      <c r="L52" s="192">
        <f>+L111</f>
        <v>6.7183213613077637</v>
      </c>
      <c r="M52" s="1899">
        <f>+M111</f>
        <v>16.999999999999989</v>
      </c>
      <c r="N52" s="2225">
        <f>+N111</f>
        <v>14.374751966086444</v>
      </c>
      <c r="O52" s="1454">
        <v>15</v>
      </c>
      <c r="P52" s="192">
        <f>+P111</f>
        <v>13.655609990167461</v>
      </c>
      <c r="Q52" s="2118">
        <f>+Q111</f>
        <v>16.999999999999993</v>
      </c>
      <c r="R52" s="2223">
        <f>+R111</f>
        <v>14.173671780062696</v>
      </c>
      <c r="S52" s="1454">
        <v>15</v>
      </c>
      <c r="T52" s="192">
        <f>+T111</f>
        <v>14.388730151422321</v>
      </c>
      <c r="U52" s="2118">
        <f>+U111</f>
        <v>16.999999999999986</v>
      </c>
      <c r="V52" s="2223">
        <f>+V111</f>
        <v>14.219543514718165</v>
      </c>
      <c r="W52" s="1454">
        <v>15</v>
      </c>
      <c r="X52" s="192">
        <f>+X111</f>
        <v>14.085178288074697</v>
      </c>
      <c r="Y52" s="2233">
        <f>+Y111</f>
        <v>17</v>
      </c>
      <c r="Z52" s="2233">
        <f>+Z111</f>
        <v>14.039227143946311</v>
      </c>
      <c r="AA52" s="2234">
        <f>+AA111</f>
        <v>16.999999999999993</v>
      </c>
      <c r="AB52" s="492">
        <f>+AB111</f>
        <v>14.1958535771792</v>
      </c>
      <c r="AC52" s="1454">
        <v>15</v>
      </c>
      <c r="AD52" s="192">
        <f>+AD111</f>
        <v>14.345528439431277</v>
      </c>
      <c r="AE52" s="2118">
        <f>+AE111</f>
        <v>16.999999999999986</v>
      </c>
      <c r="AF52" s="2223">
        <f>+AF111</f>
        <v>14.217721570018329</v>
      </c>
      <c r="AG52" s="1454">
        <v>15</v>
      </c>
      <c r="AH52" s="192">
        <f>+AH111</f>
        <v>30.952460854694991</v>
      </c>
      <c r="AI52" s="2118">
        <f>+AI111</f>
        <v>17.000000000000007</v>
      </c>
      <c r="AJ52" s="2223">
        <f>+AJ111</f>
        <v>14.294858290417888</v>
      </c>
      <c r="AK52" s="1454">
        <v>15</v>
      </c>
      <c r="AL52" s="192">
        <f>+AL111</f>
        <v>19.89864634827909</v>
      </c>
      <c r="AM52" s="2233">
        <f>+AM111</f>
        <v>17.000000000000007</v>
      </c>
      <c r="AN52" s="2233">
        <f>+AN111</f>
        <v>17.453345580149978</v>
      </c>
      <c r="AO52" s="2118">
        <f>+AO111</f>
        <v>16.999999999999989</v>
      </c>
      <c r="AP52" s="2223">
        <f>+AP111</f>
        <v>15.065236557023326</v>
      </c>
      <c r="AQ52" s="1454">
        <v>15</v>
      </c>
      <c r="AR52" s="192">
        <f>+AR111</f>
        <v>16.716073600986931</v>
      </c>
      <c r="AS52" s="2118">
        <f>+AS111</f>
        <v>17.000000000000007</v>
      </c>
      <c r="AT52" s="593">
        <f>+AT111</f>
        <v>15.266009607173793</v>
      </c>
      <c r="AU52" s="1454">
        <v>15</v>
      </c>
      <c r="AV52" s="192">
        <f>+AV111</f>
        <v>13.446591156927752</v>
      </c>
      <c r="AW52" s="2118">
        <f>+AW111</f>
        <v>16.999999999999989</v>
      </c>
      <c r="AX52" s="593">
        <f>+AX111</f>
        <v>15.083372001786296</v>
      </c>
      <c r="AY52" s="1454">
        <v>15</v>
      </c>
      <c r="AZ52" s="192">
        <f>+AZ111</f>
        <v>8.5266573962113057</v>
      </c>
      <c r="BA52" s="2233">
        <f t="shared" ref="BA52:BF52" si="348">+BA111</f>
        <v>17.000000000000004</v>
      </c>
      <c r="BB52" s="2233">
        <f t="shared" si="348"/>
        <v>12.837227506052255</v>
      </c>
      <c r="BC52" s="2234">
        <f t="shared" si="348"/>
        <v>16.999999999999989</v>
      </c>
      <c r="BD52" s="492">
        <f t="shared" si="348"/>
        <v>14.662584299811334</v>
      </c>
      <c r="BE52" s="2118">
        <f t="shared" si="348"/>
        <v>17.000000000000004</v>
      </c>
      <c r="BF52" s="2223">
        <f t="shared" si="348"/>
        <v>14.419575388347216</v>
      </c>
      <c r="BG52" s="26"/>
      <c r="BH52" s="26"/>
      <c r="BI52" s="26"/>
      <c r="BJ52" s="26"/>
    </row>
    <row r="53" spans="1:66" x14ac:dyDescent="0.25">
      <c r="A53" s="147"/>
      <c r="B53" s="1774" t="s">
        <v>594</v>
      </c>
      <c r="C53" s="759" t="s">
        <v>49</v>
      </c>
      <c r="D53" s="820"/>
      <c r="E53" s="2215" t="s">
        <v>32</v>
      </c>
      <c r="F53" s="2216">
        <v>0.41</v>
      </c>
      <c r="G53" s="2215" t="s">
        <v>32</v>
      </c>
      <c r="H53" s="2216">
        <v>0.77</v>
      </c>
      <c r="I53" s="823" t="s">
        <v>32</v>
      </c>
      <c r="J53" s="2217">
        <f>+((F53*F57)+(H53*H57))/J57</f>
        <v>0.59748325419038339</v>
      </c>
      <c r="K53" s="2215" t="s">
        <v>32</v>
      </c>
      <c r="L53" s="2216">
        <v>0.94</v>
      </c>
      <c r="M53" s="824" t="s">
        <v>32</v>
      </c>
      <c r="N53" s="2218">
        <f>+((F53*F57)+(H53*H57)+(L53*L57))/N57</f>
        <v>0.6893512680075482</v>
      </c>
      <c r="O53" s="2215" t="s">
        <v>32</v>
      </c>
      <c r="P53" s="2216">
        <v>1.29</v>
      </c>
      <c r="Q53" s="823" t="s">
        <v>32</v>
      </c>
      <c r="R53" s="2217">
        <f>+((N53*N57)+(P53*P57))/R57</f>
        <v>0.86235632890134106</v>
      </c>
      <c r="S53" s="2215" t="s">
        <v>32</v>
      </c>
      <c r="T53" s="2216">
        <v>1.35</v>
      </c>
      <c r="U53" s="823" t="s">
        <v>32</v>
      </c>
      <c r="V53" s="2217">
        <f>+((R53*R57)+(T53*T57))/V57</f>
        <v>0.96811486347772535</v>
      </c>
      <c r="W53" s="2215" t="s">
        <v>32</v>
      </c>
      <c r="X53" s="2216">
        <v>1.29</v>
      </c>
      <c r="Y53" s="824" t="s">
        <v>32</v>
      </c>
      <c r="Z53" s="2218">
        <f>+((P53*P57)+(T53*T57)+(X53*X57))/Z57</f>
        <v>1.3091194838125852</v>
      </c>
      <c r="AA53" s="825" t="s">
        <v>32</v>
      </c>
      <c r="AB53" s="2219">
        <f>+((N53*N57)+(Z53*Z57))/AB57</f>
        <v>1.0300281356626</v>
      </c>
      <c r="AC53" s="2215" t="s">
        <v>32</v>
      </c>
      <c r="AD53" s="2216">
        <v>0.87</v>
      </c>
      <c r="AE53" s="823" t="s">
        <v>32</v>
      </c>
      <c r="AF53" s="2217">
        <f>+((AB53*AB57)+(AD53*AD57))/AF57</f>
        <v>1.0038469906043059</v>
      </c>
      <c r="AG53" s="2215" t="s">
        <v>32</v>
      </c>
      <c r="AH53" s="2216">
        <v>0.87</v>
      </c>
      <c r="AI53" s="823" t="s">
        <v>32</v>
      </c>
      <c r="AJ53" s="2217">
        <f>+((AF53*AF57)+(AH53*AH57))/AJ57</f>
        <v>1.0029764977643059</v>
      </c>
      <c r="AK53" s="2215" t="s">
        <v>32</v>
      </c>
      <c r="AL53" s="2216">
        <v>0.76</v>
      </c>
      <c r="AM53" s="824" t="s">
        <v>32</v>
      </c>
      <c r="AN53" s="2218">
        <f>+((AD53*AD57)+(AH53*AH57)+(AL53*AL57))/AN57</f>
        <v>0.81695778325837809</v>
      </c>
      <c r="AO53" s="823" t="s">
        <v>32</v>
      </c>
      <c r="AP53" s="2217">
        <f>+((AL53*AL57)+(AJ53*AJ57))/AP57</f>
        <v>0.96992902221403809</v>
      </c>
      <c r="AQ53" s="2215" t="s">
        <v>32</v>
      </c>
      <c r="AR53" s="2216">
        <v>0.81</v>
      </c>
      <c r="AS53" s="823" t="s">
        <v>32</v>
      </c>
      <c r="AT53" s="2217">
        <f>+((AP53*AP57)+(AR53*AR57))/AT57</f>
        <v>0.95145520172016962</v>
      </c>
      <c r="AU53" s="2215" t="s">
        <v>32</v>
      </c>
      <c r="AV53" s="2216">
        <v>0.7</v>
      </c>
      <c r="AW53" s="823" t="s">
        <v>32</v>
      </c>
      <c r="AX53" s="2217">
        <f>+((AT53*AT57)+(AV53*AV57))/AX57</f>
        <v>0.92546493960903708</v>
      </c>
      <c r="AY53" s="2215" t="s">
        <v>32</v>
      </c>
      <c r="AZ53" s="2216">
        <v>0.45</v>
      </c>
      <c r="BA53" s="824" t="s">
        <v>32</v>
      </c>
      <c r="BB53" s="2218">
        <f>+((AR53*AR57)+(AV53*AV57)+(AZ53*AZ57))/BB57</f>
        <v>0.64185618729096994</v>
      </c>
      <c r="BC53" s="825" t="s">
        <v>32</v>
      </c>
      <c r="BD53" s="2219">
        <f>+((AN53*AN57)+(BB53*BB57))/BD57</f>
        <v>0.71272209767814243</v>
      </c>
      <c r="BE53" s="823" t="s">
        <v>32</v>
      </c>
      <c r="BF53" s="2217">
        <f>+((AX53*AX57)+(AZ53*AZ57))/BF57</f>
        <v>0.87372919479365352</v>
      </c>
      <c r="BG53" s="26"/>
      <c r="BH53" s="26"/>
      <c r="BI53" s="26"/>
      <c r="BJ53" s="26"/>
    </row>
    <row r="54" spans="1:66" x14ac:dyDescent="0.25">
      <c r="A54" s="147"/>
      <c r="B54" s="1772" t="s">
        <v>595</v>
      </c>
      <c r="C54" s="551" t="s">
        <v>49</v>
      </c>
      <c r="D54" s="159"/>
      <c r="E54" s="1682" t="s">
        <v>32</v>
      </c>
      <c r="F54" s="1139">
        <v>4.7</v>
      </c>
      <c r="G54" s="1682" t="s">
        <v>32</v>
      </c>
      <c r="H54" s="1139">
        <v>5.25</v>
      </c>
      <c r="I54" s="787" t="s">
        <v>32</v>
      </c>
      <c r="J54" s="2206">
        <f>+((F54*F63)+(H54*H63))/J63</f>
        <v>4.9631807780320365</v>
      </c>
      <c r="K54" s="1682" t="s">
        <v>32</v>
      </c>
      <c r="L54" s="1139">
        <v>4.5</v>
      </c>
      <c r="M54" s="821" t="s">
        <v>32</v>
      </c>
      <c r="N54" s="2207">
        <f>+((F54*F63)+(H54*H63)+(L54*L63))/N63</f>
        <v>4.8416313060012097</v>
      </c>
      <c r="O54" s="1682" t="s">
        <v>32</v>
      </c>
      <c r="P54" s="1139">
        <v>5.61</v>
      </c>
      <c r="Q54" s="787" t="s">
        <v>32</v>
      </c>
      <c r="R54" s="2206">
        <f>+((N54*N63)+(P54*P63))/R63</f>
        <v>5.0057708388294735</v>
      </c>
      <c r="S54" s="1682" t="s">
        <v>32</v>
      </c>
      <c r="T54" s="1139">
        <v>6.66</v>
      </c>
      <c r="U54" s="787" t="s">
        <v>32</v>
      </c>
      <c r="V54" s="2206">
        <f>+((R54*R63)+(T54*T63))/V63</f>
        <v>5.3278818034947726</v>
      </c>
      <c r="W54" s="1682" t="s">
        <v>32</v>
      </c>
      <c r="X54" s="1139">
        <v>5.97</v>
      </c>
      <c r="Y54" s="821" t="s">
        <v>32</v>
      </c>
      <c r="Z54" s="2207">
        <f>+((P54*P63)+(T54*T63)+(X54*X63))/Z63</f>
        <v>6.0927120422374266</v>
      </c>
      <c r="AA54" s="788" t="s">
        <v>32</v>
      </c>
      <c r="AB54" s="464">
        <f>+((N54*N63)+(Z54*Z63))/AB63</f>
        <v>5.4451709488294808</v>
      </c>
      <c r="AC54" s="1682" t="s">
        <v>32</v>
      </c>
      <c r="AD54" s="1139">
        <v>5.83</v>
      </c>
      <c r="AE54" s="787" t="s">
        <v>32</v>
      </c>
      <c r="AF54" s="2206">
        <f>+((AB54*AB63)+(AD54*AD63))/AF63</f>
        <v>5.4917699503605979</v>
      </c>
      <c r="AG54" s="1682" t="s">
        <v>32</v>
      </c>
      <c r="AH54" s="1139">
        <v>5.83</v>
      </c>
      <c r="AI54" s="787" t="s">
        <v>32</v>
      </c>
      <c r="AJ54" s="2206">
        <f>+((AF54*AF63)+(AH54*AH63))/AJ63</f>
        <v>5.4968486618687828</v>
      </c>
      <c r="AK54" s="1682" t="s">
        <v>32</v>
      </c>
      <c r="AL54" s="1139">
        <v>5.07</v>
      </c>
      <c r="AM54" s="821" t="s">
        <v>32</v>
      </c>
      <c r="AN54" s="2258">
        <f>+((AD54*AD63)+(AH54*AH63)+(AL54*AL63))/AN63</f>
        <v>5.4456514581398405</v>
      </c>
      <c r="AO54" s="787" t="s">
        <v>32</v>
      </c>
      <c r="AP54" s="2206">
        <f>+((AL54*AL63)+(AJ54*AJ63))/AP63</f>
        <v>5.4452857255675164</v>
      </c>
      <c r="AQ54" s="1682" t="s">
        <v>32</v>
      </c>
      <c r="AR54" s="1139">
        <v>4.9800000000000004</v>
      </c>
      <c r="AS54" s="787" t="s">
        <v>32</v>
      </c>
      <c r="AT54" s="2206">
        <f>+((AP54*AP63)+(AR54*AR63))/AT63</f>
        <v>5.3913971140187664</v>
      </c>
      <c r="AU54" s="1682" t="s">
        <v>32</v>
      </c>
      <c r="AV54" s="1139">
        <v>4.8099999999999996</v>
      </c>
      <c r="AW54" s="787" t="s">
        <v>32</v>
      </c>
      <c r="AX54" s="2206">
        <f>+((AT54*AT63)+(AV54*AV63))/AX63</f>
        <v>5.3340117265972653</v>
      </c>
      <c r="AY54" s="1682" t="s">
        <v>32</v>
      </c>
      <c r="AZ54" s="1139">
        <v>4.92</v>
      </c>
      <c r="BA54" s="821" t="s">
        <v>32</v>
      </c>
      <c r="BB54" s="2258">
        <f>+((AR54*AR63)+(AV54*AV63)+(AZ54*AZ63))/BB63</f>
        <v>4.9048633463479669</v>
      </c>
      <c r="BC54" s="788" t="s">
        <v>32</v>
      </c>
      <c r="BD54" s="464">
        <f>+((AN54*AN63)+(BB54*BB63))/BD63</f>
        <v>5.1133049601622815</v>
      </c>
      <c r="BE54" s="787" t="s">
        <v>32</v>
      </c>
      <c r="BF54" s="2206">
        <f>+((AX54*AX63)+(AZ54*AZ63))/BF63</f>
        <v>5.2962315144632006</v>
      </c>
      <c r="BG54" s="26"/>
      <c r="BH54" s="26"/>
      <c r="BI54" s="26"/>
      <c r="BJ54" s="26"/>
    </row>
    <row r="55" spans="1:66" x14ac:dyDescent="0.25">
      <c r="A55" s="147"/>
      <c r="B55" s="1772" t="s">
        <v>1325</v>
      </c>
      <c r="C55" s="551" t="s">
        <v>49</v>
      </c>
      <c r="D55" s="159"/>
      <c r="E55" s="1682" t="s">
        <v>32</v>
      </c>
      <c r="F55" s="1139">
        <v>1.02</v>
      </c>
      <c r="G55" s="1682" t="s">
        <v>32</v>
      </c>
      <c r="H55" s="1139">
        <v>1.47</v>
      </c>
      <c r="I55" s="2203"/>
      <c r="J55" s="2206">
        <f>+((F55*F65)+(H55*H65))/J65</f>
        <v>1.3239968652037619</v>
      </c>
      <c r="K55" s="1682" t="s">
        <v>32</v>
      </c>
      <c r="L55" s="1139">
        <v>1.53</v>
      </c>
      <c r="M55" s="2204"/>
      <c r="N55" s="2207">
        <f>+((J55*J65)+(L55*L65))/N65</f>
        <v>1.3460960820895522</v>
      </c>
      <c r="O55" s="1682" t="s">
        <v>32</v>
      </c>
      <c r="P55" s="1139">
        <v>1.65</v>
      </c>
      <c r="Q55" s="2203"/>
      <c r="R55" s="2206">
        <f>+((N55*N65)+(P55*P65))/R65</f>
        <v>1.4262465659340657</v>
      </c>
      <c r="S55" s="1682" t="s">
        <v>32</v>
      </c>
      <c r="T55" s="1139">
        <v>2.4</v>
      </c>
      <c r="U55" s="2203"/>
      <c r="V55" s="2206">
        <f>+((R55*R65)+(T55*T65))/V65</f>
        <v>1.6406079271558649</v>
      </c>
      <c r="W55" s="1682" t="s">
        <v>32</v>
      </c>
      <c r="X55" s="1139">
        <v>2.11</v>
      </c>
      <c r="Y55" s="2204"/>
      <c r="Z55" s="2207">
        <f>+((P55*P64)+(T55*T64)+(X55*X64))/Z64</f>
        <v>2.0703363021791876</v>
      </c>
      <c r="AA55" s="827"/>
      <c r="AB55" s="464">
        <f>+((N55*N65)+(Z55*Z65))/AB65</f>
        <v>1.7280900972260955</v>
      </c>
      <c r="AC55" s="1682" t="s">
        <v>32</v>
      </c>
      <c r="AD55" s="1139">
        <v>1.81</v>
      </c>
      <c r="AE55" s="2203"/>
      <c r="AF55" s="2206">
        <f>+((AB55*AB65)+(AD55*AD65))/AF65</f>
        <v>1.7417743291930963</v>
      </c>
      <c r="AG55" s="1682" t="s">
        <v>32</v>
      </c>
      <c r="AH55" s="1139">
        <v>1.59</v>
      </c>
      <c r="AI55" s="2203"/>
      <c r="AJ55" s="2206">
        <f>+((AF55*AF65)+(AH55*AH65))/AJ65</f>
        <v>1.738369485124694</v>
      </c>
      <c r="AK55" s="1682" t="s">
        <v>32</v>
      </c>
      <c r="AL55" s="1139">
        <v>1.47</v>
      </c>
      <c r="AM55" s="2204"/>
      <c r="AN55" s="2258">
        <f>+((AD55*AD64)+(AH55*AH64)+(AL55*AL64))/AN64</f>
        <v>1.6252618465139452</v>
      </c>
      <c r="AO55" s="2203"/>
      <c r="AP55" s="2206">
        <f>+((AL55*AL65)+(AJ55*AJ65))/AP65</f>
        <v>1.6838665290495989</v>
      </c>
      <c r="AQ55" s="1682" t="s">
        <v>32</v>
      </c>
      <c r="AR55" s="1139">
        <v>1.77</v>
      </c>
      <c r="AS55" s="2203"/>
      <c r="AT55" s="2206">
        <f>+((AP55*AP65)+(AR55*AR65))/AT65</f>
        <v>1.697361569305849</v>
      </c>
      <c r="AU55" s="1682" t="s">
        <v>32</v>
      </c>
      <c r="AV55" s="1139">
        <v>1.4</v>
      </c>
      <c r="AW55" s="2203"/>
      <c r="AX55" s="2206">
        <f>+((AT55*AT65)+(AV55*AV65))/AX65</f>
        <v>1.6662445757143407</v>
      </c>
      <c r="AY55" s="1682" t="s">
        <v>32</v>
      </c>
      <c r="AZ55" s="1139">
        <v>1.06</v>
      </c>
      <c r="BA55" s="2204"/>
      <c r="BB55" s="2258">
        <f>+((AR55*AR64)+(AV55*AV64)+(AZ55*AZ64))/BB64</f>
        <v>1.4146819835617617</v>
      </c>
      <c r="BC55" s="827"/>
      <c r="BD55" s="464">
        <f>+((AN55*AN65)+(BB55*BB65))/BD65</f>
        <v>1.4978501887656888</v>
      </c>
      <c r="BE55" s="2203"/>
      <c r="BF55" s="2206">
        <f>+((AX55*AX65)+(AZ55*AZ65))/BF65</f>
        <v>1.5820705636673298</v>
      </c>
      <c r="BG55" s="26"/>
      <c r="BH55" s="26"/>
      <c r="BI55" s="26"/>
      <c r="BJ55" s="26"/>
    </row>
    <row r="56" spans="1:66" ht="15.75" thickBot="1" x14ac:dyDescent="0.3">
      <c r="A56" s="147"/>
      <c r="B56" s="1783" t="s">
        <v>596</v>
      </c>
      <c r="C56" s="831" t="s">
        <v>49</v>
      </c>
      <c r="D56" s="894"/>
      <c r="E56" s="2220" t="s">
        <v>32</v>
      </c>
      <c r="F56" s="2221">
        <v>6.78</v>
      </c>
      <c r="G56" s="2220" t="s">
        <v>32</v>
      </c>
      <c r="H56" s="2221">
        <v>7.54</v>
      </c>
      <c r="I56" s="2222" t="s">
        <v>32</v>
      </c>
      <c r="J56" s="2223">
        <f>+((F56*F67)+(H56*H67))/J67</f>
        <v>7.2714160722776988</v>
      </c>
      <c r="K56" s="2220" t="s">
        <v>32</v>
      </c>
      <c r="L56" s="2221">
        <v>6.65</v>
      </c>
      <c r="M56" s="2224" t="s">
        <v>32</v>
      </c>
      <c r="N56" s="2225">
        <f>+((F56*F67)+(H56*H67)+(L56*L67))/N67</f>
        <v>7.0006031013575152</v>
      </c>
      <c r="O56" s="2220" t="s">
        <v>32</v>
      </c>
      <c r="P56" s="2221">
        <v>8.08</v>
      </c>
      <c r="Q56" s="2222" t="s">
        <v>32</v>
      </c>
      <c r="R56" s="2223">
        <f>+((N56*N67)+(P56*P67))/R67</f>
        <v>7.3706407137064067</v>
      </c>
      <c r="S56" s="2220" t="s">
        <v>32</v>
      </c>
      <c r="T56" s="2221">
        <v>8.35</v>
      </c>
      <c r="U56" s="2222" t="s">
        <v>32</v>
      </c>
      <c r="V56" s="2223">
        <f>+((R56*R67)+(T56*T67))/V67</f>
        <v>7.5933484988830164</v>
      </c>
      <c r="W56" s="2220" t="s">
        <v>32</v>
      </c>
      <c r="X56" s="2221">
        <v>8.0399999999999991</v>
      </c>
      <c r="Y56" s="2224" t="s">
        <v>32</v>
      </c>
      <c r="Z56" s="2225">
        <f>+((P56*P67)+(T56*T67)+(X56*X67))/Z67</f>
        <v>8.1416547131147521</v>
      </c>
      <c r="AA56" s="2226" t="s">
        <v>32</v>
      </c>
      <c r="AB56" s="476">
        <f>+((N56*N67)+(Z56*Z67))/AB67</f>
        <v>7.6978502410418006</v>
      </c>
      <c r="AC56" s="2220" t="s">
        <v>32</v>
      </c>
      <c r="AD56" s="2221">
        <v>8.0299999999999994</v>
      </c>
      <c r="AE56" s="2222" t="s">
        <v>32</v>
      </c>
      <c r="AF56" s="2223">
        <f>+((AB56*AB67)+(AD56*AD67))/AF67</f>
        <v>7.7552516917552818</v>
      </c>
      <c r="AG56" s="2220" t="s">
        <v>32</v>
      </c>
      <c r="AH56" s="2221">
        <v>7.4</v>
      </c>
      <c r="AI56" s="2222" t="s">
        <v>32</v>
      </c>
      <c r="AJ56" s="2223">
        <f>+((AF56*AF67)+(AH56*AH67))/AJ67</f>
        <v>7.7507408859270868</v>
      </c>
      <c r="AK56" s="2220" t="s">
        <v>32</v>
      </c>
      <c r="AL56" s="2221">
        <v>7.06</v>
      </c>
      <c r="AM56" s="2224" t="s">
        <v>32</v>
      </c>
      <c r="AN56" s="2225">
        <f>+((AD56*AD67)+(AH56*AH67)+(AL56*AL67))/AN67</f>
        <v>7.5278579142602231</v>
      </c>
      <c r="AO56" s="2222" t="s">
        <v>32</v>
      </c>
      <c r="AP56" s="2223">
        <f>+((AL56*AL67)+(AJ56*AJ67))/AP67</f>
        <v>7.6455439650937667</v>
      </c>
      <c r="AQ56" s="2220" t="s">
        <v>32</v>
      </c>
      <c r="AR56" s="2221">
        <v>7.19</v>
      </c>
      <c r="AS56" s="2222" t="s">
        <v>32</v>
      </c>
      <c r="AT56" s="2223">
        <f>+((AP56*AP67)+(AR56*AR67))/AT67</f>
        <v>7.5818671157455162</v>
      </c>
      <c r="AU56" s="2220" t="s">
        <v>32</v>
      </c>
      <c r="AV56" s="2221">
        <v>6.69</v>
      </c>
      <c r="AW56" s="2222" t="s">
        <v>32</v>
      </c>
      <c r="AX56" s="2223">
        <f>+((AT56*AT67)+(AV56*AV67))/AX67</f>
        <v>7.4776942328379183</v>
      </c>
      <c r="AY56" s="2220" t="s">
        <v>32</v>
      </c>
      <c r="AZ56" s="2221">
        <v>6.78</v>
      </c>
      <c r="BA56" s="2224" t="s">
        <v>32</v>
      </c>
      <c r="BB56" s="2225">
        <f>+((AR56*AR67)+(AV56*AV67)+(AZ56*AZ67))/BB67</f>
        <v>6.9022914714151842</v>
      </c>
      <c r="BC56" s="2226" t="s">
        <v>32</v>
      </c>
      <c r="BD56" s="476">
        <f>+((AN56*AN67)+(BB56*BB67))/BD67</f>
        <v>7.1626375236941362</v>
      </c>
      <c r="BE56" s="2222" t="s">
        <v>32</v>
      </c>
      <c r="BF56" s="2223">
        <f>+((AX56*AX67)+(AZ56*AZ67))/BF67</f>
        <v>7.4214506004642251</v>
      </c>
      <c r="BG56" s="26"/>
      <c r="BH56" s="26"/>
      <c r="BI56" s="26"/>
      <c r="BJ56" s="26"/>
    </row>
    <row r="57" spans="1:66" ht="15.75" x14ac:dyDescent="0.25">
      <c r="A57" s="147"/>
      <c r="B57" s="2236" t="s">
        <v>1625</v>
      </c>
      <c r="C57" s="2381" t="s">
        <v>50</v>
      </c>
      <c r="D57" s="2430"/>
      <c r="E57" s="2431" t="s">
        <v>32</v>
      </c>
      <c r="F57" s="2432">
        <f>+RMHP!E28</f>
        <v>60954</v>
      </c>
      <c r="G57" s="2431" t="s">
        <v>32</v>
      </c>
      <c r="H57" s="2432">
        <f>+RMHP!G28</f>
        <v>66242</v>
      </c>
      <c r="I57" s="2419" t="s">
        <v>32</v>
      </c>
      <c r="J57" s="2420">
        <f t="shared" ref="I57:J68" si="349">+F57+H57</f>
        <v>127196</v>
      </c>
      <c r="K57" s="2431" t="s">
        <v>32</v>
      </c>
      <c r="L57" s="2432">
        <f>+RMHP!K28</f>
        <v>46620</v>
      </c>
      <c r="M57" s="2421" t="s">
        <v>32</v>
      </c>
      <c r="N57" s="2421">
        <f>F57+H57+L57</f>
        <v>173816</v>
      </c>
      <c r="O57" s="2431" t="s">
        <v>32</v>
      </c>
      <c r="P57" s="2432">
        <f>+RMHP!O28</f>
        <v>70318</v>
      </c>
      <c r="Q57" s="2419" t="s">
        <v>32</v>
      </c>
      <c r="R57" s="2420">
        <f t="shared" ref="R57:R68" si="350">+N57+P57</f>
        <v>244134</v>
      </c>
      <c r="S57" s="2431" t="s">
        <v>32</v>
      </c>
      <c r="T57" s="2432">
        <f>+RMHP!S28</f>
        <v>67610</v>
      </c>
      <c r="U57" s="2419" t="s">
        <v>32</v>
      </c>
      <c r="V57" s="2420">
        <f t="shared" ref="V57:V68" si="351">+R57+T57</f>
        <v>311744</v>
      </c>
      <c r="W57" s="2431" t="s">
        <v>32</v>
      </c>
      <c r="X57" s="2432">
        <f>+RMHP!W28</f>
        <v>74243</v>
      </c>
      <c r="Y57" s="2421" t="s">
        <v>32</v>
      </c>
      <c r="Z57" s="2421">
        <f>P57+T57+X57</f>
        <v>212171</v>
      </c>
      <c r="AA57" s="2422" t="s">
        <v>32</v>
      </c>
      <c r="AB57" s="2425">
        <f t="shared" ref="AB57:AB68" si="352">+N57+Z57</f>
        <v>385987</v>
      </c>
      <c r="AC57" s="2431" t="s">
        <v>32</v>
      </c>
      <c r="AD57" s="2432">
        <f>+RMHP!AC28</f>
        <v>75501</v>
      </c>
      <c r="AE57" s="2419" t="s">
        <v>32</v>
      </c>
      <c r="AF57" s="2420">
        <f t="shared" ref="AF57:AF68" si="353">+AB57+AD57</f>
        <v>461488</v>
      </c>
      <c r="AG57" s="2431" t="s">
        <v>32</v>
      </c>
      <c r="AH57" s="2432">
        <f>+RMHP!AG28</f>
        <v>3021</v>
      </c>
      <c r="AI57" s="2419" t="s">
        <v>32</v>
      </c>
      <c r="AJ57" s="2420">
        <f t="shared" ref="AJ57:AJ68" si="354">+AF57+AH57</f>
        <v>464509</v>
      </c>
      <c r="AK57" s="2431" t="s">
        <v>32</v>
      </c>
      <c r="AL57" s="2432">
        <f>+RMHP!AK28</f>
        <v>73124</v>
      </c>
      <c r="AM57" s="2421" t="s">
        <v>32</v>
      </c>
      <c r="AN57" s="2421">
        <f>AD57+AH57+AL57</f>
        <v>151646</v>
      </c>
      <c r="AO57" s="2419" t="s">
        <v>32</v>
      </c>
      <c r="AP57" s="2420">
        <f>+AL57+AJ57</f>
        <v>537633</v>
      </c>
      <c r="AQ57" s="2431" t="s">
        <v>32</v>
      </c>
      <c r="AR57" s="2432">
        <f>+RMHP!AQ28</f>
        <v>70214</v>
      </c>
      <c r="AS57" s="2419" t="s">
        <v>32</v>
      </c>
      <c r="AT57" s="2420">
        <f t="shared" ref="AT57:AT68" si="355">+AP57+AR57</f>
        <v>607847</v>
      </c>
      <c r="AU57" s="2431" t="s">
        <v>32</v>
      </c>
      <c r="AV57" s="2432">
        <f>+RMHP!AU28</f>
        <v>70069</v>
      </c>
      <c r="AW57" s="2419" t="s">
        <v>32</v>
      </c>
      <c r="AX57" s="2420">
        <f t="shared" ref="AX57:AX68" si="356">+AT57+AV57</f>
        <v>677916</v>
      </c>
      <c r="AY57" s="2431" t="s">
        <v>32</v>
      </c>
      <c r="AZ57" s="2432">
        <f>+RMHP!AY28</f>
        <v>82771</v>
      </c>
      <c r="BA57" s="2421" t="s">
        <v>32</v>
      </c>
      <c r="BB57" s="2421">
        <f>AR57+AV57+AZ57</f>
        <v>223054</v>
      </c>
      <c r="BC57" s="2422" t="s">
        <v>32</v>
      </c>
      <c r="BD57" s="468">
        <f>+AN57+BB57</f>
        <v>374700</v>
      </c>
      <c r="BE57" s="2419" t="s">
        <v>32</v>
      </c>
      <c r="BF57" s="2420">
        <f t="shared" ref="BF57:BF68" si="357">+AX57+AZ57</f>
        <v>760687</v>
      </c>
      <c r="BG57" s="26"/>
      <c r="BH57" s="26"/>
      <c r="BI57" s="26"/>
      <c r="BJ57" s="26"/>
    </row>
    <row r="58" spans="1:66" ht="15.75" thickBot="1" x14ac:dyDescent="0.3">
      <c r="A58" s="147" t="s">
        <v>470</v>
      </c>
      <c r="B58" s="1782" t="s">
        <v>577</v>
      </c>
      <c r="C58" s="60" t="s">
        <v>50</v>
      </c>
      <c r="D58" s="2198">
        <f>+(D27/((100-D70)/100))-D27</f>
        <v>742117.67332594562</v>
      </c>
      <c r="E58" s="2198">
        <f>+(E27/((100-E70)/100))-E27</f>
        <v>63394.458873945172</v>
      </c>
      <c r="F58" s="2198">
        <f>+F57-((F53/100)*F57)</f>
        <v>60704.088600000003</v>
      </c>
      <c r="G58" s="7188">
        <f>+(G27/((100-G70)/100))-G27</f>
        <v>65406.981377879973</v>
      </c>
      <c r="H58" s="7188">
        <f>+H57-((H53/100)*H57)</f>
        <v>65731.936600000001</v>
      </c>
      <c r="I58" s="2199">
        <f>+E58+G58</f>
        <v>128801.44025182514</v>
      </c>
      <c r="J58" s="39">
        <f t="shared" si="349"/>
        <v>126436.0252</v>
      </c>
      <c r="K58" s="4599">
        <f>+(K27/((100-K70)/100))-K27</f>
        <v>37483.23163578505</v>
      </c>
      <c r="L58" s="4599">
        <f>+L57-((L53/100)*L57)</f>
        <v>46181.771999999997</v>
      </c>
      <c r="M58" s="2200">
        <f>+K58+G58+E58</f>
        <v>166284.67188761019</v>
      </c>
      <c r="N58" s="2200">
        <f>+N57-((N53/100)*N57)</f>
        <v>172617.7972</v>
      </c>
      <c r="O58" s="4778">
        <f>+(O27/((100-O70)/100))-O27</f>
        <v>18615.8331613966</v>
      </c>
      <c r="P58" s="4778">
        <f>+P57-((P53/100)*P57)</f>
        <v>69410.897800000006</v>
      </c>
      <c r="Q58" s="2199">
        <f>+M58+O58</f>
        <v>184900.50504900678</v>
      </c>
      <c r="R58" s="39">
        <f t="shared" si="350"/>
        <v>242028.69500000001</v>
      </c>
      <c r="S58" s="4919">
        <f>+(S27/((100-S70)/100))-S27</f>
        <v>60375.675118043029</v>
      </c>
      <c r="T58" s="4919">
        <f>+T57-((T53/100)*T57)</f>
        <v>66697.264999999999</v>
      </c>
      <c r="U58" s="4907">
        <f>+Q58+S58</f>
        <v>245276.18016704981</v>
      </c>
      <c r="V58" s="39">
        <f t="shared" si="351"/>
        <v>308725.96000000002</v>
      </c>
      <c r="W58" s="5043">
        <f>+(W27/((100-W70)/100))-W27</f>
        <v>58363.152614108229</v>
      </c>
      <c r="X58" s="5043">
        <f>+X57-((X53/100)*X57)</f>
        <v>73285.265299999999</v>
      </c>
      <c r="Y58" s="68">
        <f>+W58+S58+O58</f>
        <v>137354.66089354787</v>
      </c>
      <c r="Z58" s="69">
        <f t="shared" ref="Z58:Z64" si="358">+X58+T58+P58</f>
        <v>209393.42809999999</v>
      </c>
      <c r="AA58" s="640">
        <f>M58+Y58</f>
        <v>303639.33278115804</v>
      </c>
      <c r="AB58" s="477">
        <f t="shared" si="352"/>
        <v>382011.22529999999</v>
      </c>
      <c r="AC58" s="5358">
        <f>+(AC27/((100-AC70)/100))-AC27</f>
        <v>62891.328247961472</v>
      </c>
      <c r="AD58" s="5358">
        <f>+AD57-((AD53/100)*AD57)</f>
        <v>74844.141300000003</v>
      </c>
      <c r="AE58" s="2621">
        <f>+AA58+AC58</f>
        <v>366530.66102911951</v>
      </c>
      <c r="AF58" s="39">
        <f t="shared" si="353"/>
        <v>456855.36660000001</v>
      </c>
      <c r="AG58" s="5543">
        <f>+(AG27/((100-AG70)/100))-AG27</f>
        <v>60878.805744026729</v>
      </c>
      <c r="AH58" s="5543">
        <f>+AH57-((AH53/100)*AH57)</f>
        <v>2994.7172999999998</v>
      </c>
      <c r="AI58" s="5528">
        <f>+AE58+AG58</f>
        <v>427409.46677314624</v>
      </c>
      <c r="AJ58" s="39">
        <f t="shared" si="354"/>
        <v>459850.08390000003</v>
      </c>
      <c r="AK58" s="5945">
        <f>+(AK27/((100-AK70)/100))-AK27</f>
        <v>62891.328247961472</v>
      </c>
      <c r="AL58" s="5945">
        <f>+AL57-((AL53/100)*AL57)</f>
        <v>72568.257599999997</v>
      </c>
      <c r="AM58" s="68">
        <f>+AK58+AG58+AC58</f>
        <v>186661.46223994967</v>
      </c>
      <c r="AN58" s="69">
        <f t="shared" ref="AN58:AN59" si="359">+AL58+AH58+AD58</f>
        <v>150407.11619999999</v>
      </c>
      <c r="AO58" s="589">
        <f>+AK58+AI58</f>
        <v>490300.79502110771</v>
      </c>
      <c r="AP58" s="589">
        <f>+AL58+AJ58</f>
        <v>532418.34149999998</v>
      </c>
      <c r="AQ58" s="6090">
        <f>+(AQ27/((100-AQ70)/100))-AQ27</f>
        <v>62891.328247961472</v>
      </c>
      <c r="AR58" s="6090">
        <f>+AR57-((AR53/100)*AR57)</f>
        <v>69645.266600000003</v>
      </c>
      <c r="AS58" s="2798">
        <f>+AO58+AQ58</f>
        <v>553192.12326906924</v>
      </c>
      <c r="AT58" s="39">
        <f t="shared" si="355"/>
        <v>602063.60809999995</v>
      </c>
      <c r="AU58" s="6239">
        <f>+(AU27/((100-AU70)/100))-AU27</f>
        <v>56602.195423165336</v>
      </c>
      <c r="AV58" s="6239">
        <f>+AV57-((AV53/100)*AV57)</f>
        <v>69578.517000000007</v>
      </c>
      <c r="AW58" s="6228">
        <f>+AS58+AU58</f>
        <v>609794.31869223458</v>
      </c>
      <c r="AX58" s="39">
        <f t="shared" si="356"/>
        <v>671642.12509999995</v>
      </c>
      <c r="AY58" s="6423">
        <f>+(AY27/((100-AY70)/100))-AY27</f>
        <v>62891.328247961472</v>
      </c>
      <c r="AZ58" s="6423">
        <f>+AZ57-((AZ53/100)*AZ57)</f>
        <v>82398.530499999993</v>
      </c>
      <c r="BA58" s="68">
        <f>+AY58+AU58+AQ58</f>
        <v>182384.85191908828</v>
      </c>
      <c r="BB58" s="69">
        <f t="shared" ref="BB58:BB59" si="360">+AZ58+AV58+AR58</f>
        <v>221622.31409999999</v>
      </c>
      <c r="BC58" s="469">
        <f t="shared" ref="BC58" si="361">AM58+BA58</f>
        <v>369046.31415903795</v>
      </c>
      <c r="BD58" s="469">
        <f t="shared" ref="BD58" si="362">AN58+BB58</f>
        <v>372029.43030000001</v>
      </c>
      <c r="BE58" s="3013">
        <f>+AW58+AY58</f>
        <v>672685.64694019605</v>
      </c>
      <c r="BF58" s="39">
        <f t="shared" si="357"/>
        <v>754040.65559999994</v>
      </c>
      <c r="BG58" s="26"/>
      <c r="BH58" s="26"/>
      <c r="BI58" s="26"/>
      <c r="BJ58" s="26"/>
    </row>
    <row r="59" spans="1:66" ht="15.75" hidden="1" customHeight="1" thickBot="1" x14ac:dyDescent="0.3">
      <c r="A59" s="147"/>
      <c r="B59" s="1782" t="s">
        <v>1096</v>
      </c>
      <c r="C59" s="60" t="s">
        <v>50</v>
      </c>
      <c r="D59" s="1680" t="s">
        <v>32</v>
      </c>
      <c r="E59" s="1682" t="s">
        <v>32</v>
      </c>
      <c r="F59" s="2198"/>
      <c r="G59" s="1682" t="s">
        <v>32</v>
      </c>
      <c r="H59" s="7188"/>
      <c r="I59" s="828" t="s">
        <v>32</v>
      </c>
      <c r="J59" s="39">
        <f t="shared" si="349"/>
        <v>0</v>
      </c>
      <c r="K59" s="1682" t="s">
        <v>32</v>
      </c>
      <c r="L59" s="4599"/>
      <c r="M59" s="829" t="s">
        <v>32</v>
      </c>
      <c r="N59" s="829"/>
      <c r="O59" s="1682" t="s">
        <v>32</v>
      </c>
      <c r="P59" s="4778"/>
      <c r="Q59" s="828" t="s">
        <v>32</v>
      </c>
      <c r="R59" s="39">
        <f t="shared" si="350"/>
        <v>0</v>
      </c>
      <c r="S59" s="1682" t="s">
        <v>32</v>
      </c>
      <c r="T59" s="4919"/>
      <c r="U59" s="828" t="s">
        <v>32</v>
      </c>
      <c r="V59" s="39">
        <f t="shared" si="351"/>
        <v>0</v>
      </c>
      <c r="W59" s="1682" t="s">
        <v>32</v>
      </c>
      <c r="X59" s="5043"/>
      <c r="Y59" s="829" t="s">
        <v>32</v>
      </c>
      <c r="Z59" s="69">
        <f t="shared" si="358"/>
        <v>0</v>
      </c>
      <c r="AA59" s="830" t="s">
        <v>32</v>
      </c>
      <c r="AB59" s="477">
        <f t="shared" si="352"/>
        <v>0</v>
      </c>
      <c r="AC59" s="1682" t="s">
        <v>32</v>
      </c>
      <c r="AD59" s="5358"/>
      <c r="AE59" s="828" t="s">
        <v>32</v>
      </c>
      <c r="AF59" s="39">
        <f t="shared" si="353"/>
        <v>0</v>
      </c>
      <c r="AG59" s="1682" t="s">
        <v>32</v>
      </c>
      <c r="AH59" s="5543"/>
      <c r="AI59" s="828" t="s">
        <v>32</v>
      </c>
      <c r="AJ59" s="39">
        <f t="shared" si="354"/>
        <v>0</v>
      </c>
      <c r="AK59" s="1682" t="s">
        <v>32</v>
      </c>
      <c r="AL59" s="5945"/>
      <c r="AM59" s="829" t="s">
        <v>32</v>
      </c>
      <c r="AN59" s="69">
        <f t="shared" si="359"/>
        <v>0</v>
      </c>
      <c r="AO59" s="589" t="e">
        <f t="shared" ref="AO59:AO60" si="363">+AK59+AI59</f>
        <v>#VALUE!</v>
      </c>
      <c r="AP59" s="589">
        <f t="shared" ref="AO59:AP66" si="364">+AL59+AJ59</f>
        <v>0</v>
      </c>
      <c r="AQ59" s="1682" t="s">
        <v>32</v>
      </c>
      <c r="AR59" s="6090"/>
      <c r="AS59" s="828" t="s">
        <v>32</v>
      </c>
      <c r="AT59" s="39">
        <f t="shared" si="355"/>
        <v>0</v>
      </c>
      <c r="AU59" s="1682" t="s">
        <v>32</v>
      </c>
      <c r="AV59" s="6239"/>
      <c r="AW59" s="828" t="s">
        <v>32</v>
      </c>
      <c r="AX59" s="39">
        <f t="shared" si="356"/>
        <v>0</v>
      </c>
      <c r="AY59" s="1682" t="s">
        <v>32</v>
      </c>
      <c r="AZ59" s="6423"/>
      <c r="BA59" s="829" t="s">
        <v>32</v>
      </c>
      <c r="BB59" s="69">
        <f t="shared" si="360"/>
        <v>0</v>
      </c>
      <c r="BC59" s="830" t="s">
        <v>32</v>
      </c>
      <c r="BD59" s="477">
        <f t="shared" ref="BD59" si="365">+AP59+BB59</f>
        <v>0</v>
      </c>
      <c r="BE59" s="828" t="s">
        <v>32</v>
      </c>
      <c r="BF59" s="39">
        <f t="shared" si="357"/>
        <v>0</v>
      </c>
      <c r="BG59" s="26"/>
      <c r="BH59" s="26"/>
      <c r="BI59" s="26"/>
      <c r="BJ59" s="26"/>
    </row>
    <row r="60" spans="1:66" ht="15.75" thickBot="1" x14ac:dyDescent="0.3">
      <c r="A60" s="147"/>
      <c r="B60" s="1782" t="s">
        <v>584</v>
      </c>
      <c r="C60" s="60" t="s">
        <v>50</v>
      </c>
      <c r="D60" s="2198">
        <v>0</v>
      </c>
      <c r="E60" s="1682">
        <v>0</v>
      </c>
      <c r="F60" s="2198">
        <f>+F59-((F53/100)*F59)</f>
        <v>0</v>
      </c>
      <c r="G60" s="1682">
        <v>0</v>
      </c>
      <c r="H60" s="7188">
        <f>+H59-((H53/100)*H59)</f>
        <v>0</v>
      </c>
      <c r="I60" s="2199">
        <f>+E60+G60</f>
        <v>0</v>
      </c>
      <c r="J60" s="39">
        <f t="shared" si="349"/>
        <v>0</v>
      </c>
      <c r="K60" s="1682">
        <v>0</v>
      </c>
      <c r="L60" s="4599">
        <f>+L59-((L53/100)*L59)</f>
        <v>0</v>
      </c>
      <c r="M60" s="2200">
        <f>+K60+G60+E60</f>
        <v>0</v>
      </c>
      <c r="N60" s="2200">
        <f>+N59-((N53/100)*N59)</f>
        <v>0</v>
      </c>
      <c r="O60" s="1682">
        <v>0</v>
      </c>
      <c r="P60" s="4778">
        <f>+P59-((P53/100)*P59)</f>
        <v>0</v>
      </c>
      <c r="Q60" s="2199">
        <f>+M60+O60</f>
        <v>0</v>
      </c>
      <c r="R60" s="39">
        <f t="shared" si="350"/>
        <v>0</v>
      </c>
      <c r="S60" s="1682">
        <v>0</v>
      </c>
      <c r="T60" s="4919">
        <f>+T59-((T53/100)*T59)</f>
        <v>0</v>
      </c>
      <c r="U60" s="4907">
        <f>+Q60+S60</f>
        <v>0</v>
      </c>
      <c r="V60" s="39">
        <f t="shared" si="351"/>
        <v>0</v>
      </c>
      <c r="W60" s="1682">
        <v>0</v>
      </c>
      <c r="X60" s="5043">
        <f>+X59-((X53/100)*X59)</f>
        <v>0</v>
      </c>
      <c r="Y60" s="68">
        <f>+W60+S60+O60</f>
        <v>0</v>
      </c>
      <c r="Z60" s="69">
        <f>+X60+T60+P60</f>
        <v>0</v>
      </c>
      <c r="AA60" s="640">
        <f>M60+Y60</f>
        <v>0</v>
      </c>
      <c r="AB60" s="477">
        <f t="shared" ref="AB60" si="366">+N60+Z60</f>
        <v>0</v>
      </c>
      <c r="AC60" s="1682">
        <v>0</v>
      </c>
      <c r="AD60" s="5358">
        <f>+AD59-((AD53/100)*AD59)</f>
        <v>0</v>
      </c>
      <c r="AE60" s="2621">
        <f>+AA60+AC60</f>
        <v>0</v>
      </c>
      <c r="AF60" s="39">
        <f t="shared" si="353"/>
        <v>0</v>
      </c>
      <c r="AG60" s="1682">
        <v>0</v>
      </c>
      <c r="AH60" s="5543">
        <f>+AH59-((AH53/100)*AH59)</f>
        <v>0</v>
      </c>
      <c r="AI60" s="5528">
        <f>+AE60+AG60</f>
        <v>0</v>
      </c>
      <c r="AJ60" s="39">
        <f t="shared" si="354"/>
        <v>0</v>
      </c>
      <c r="AK60" s="1682">
        <v>0</v>
      </c>
      <c r="AL60" s="5945">
        <f>+AL59-((AL53/100)*AL59)</f>
        <v>0</v>
      </c>
      <c r="AM60" s="68">
        <f>+AK60+AG60+AC60</f>
        <v>0</v>
      </c>
      <c r="AN60" s="69">
        <f>+AL60+AH60+AD60</f>
        <v>0</v>
      </c>
      <c r="AO60" s="589">
        <f t="shared" si="363"/>
        <v>0</v>
      </c>
      <c r="AP60" s="589">
        <f t="shared" si="364"/>
        <v>0</v>
      </c>
      <c r="AQ60" s="1682">
        <v>0</v>
      </c>
      <c r="AR60" s="6090">
        <f>+AR59-((AR53/100)*AR59)</f>
        <v>0</v>
      </c>
      <c r="AS60" s="2798">
        <f>+AO60+AQ60</f>
        <v>0</v>
      </c>
      <c r="AT60" s="39">
        <f t="shared" si="355"/>
        <v>0</v>
      </c>
      <c r="AU60" s="1682">
        <v>0</v>
      </c>
      <c r="AV60" s="6239">
        <f>+AV59-((AV53/100)*AV59)</f>
        <v>0</v>
      </c>
      <c r="AW60" s="6228">
        <f>+AS60+AU60</f>
        <v>0</v>
      </c>
      <c r="AX60" s="39">
        <f t="shared" si="356"/>
        <v>0</v>
      </c>
      <c r="AY60" s="1682">
        <v>0</v>
      </c>
      <c r="AZ60" s="6423">
        <f>+AZ59-((AZ53/100)*AZ59)</f>
        <v>0</v>
      </c>
      <c r="BA60" s="68">
        <f>+AY60+AU60+AQ60</f>
        <v>0</v>
      </c>
      <c r="BB60" s="69">
        <f>+AZ60+AV60+AR60</f>
        <v>0</v>
      </c>
      <c r="BC60" s="469">
        <f t="shared" ref="BC60" si="367">AM60+BA60</f>
        <v>0</v>
      </c>
      <c r="BD60" s="469">
        <f t="shared" ref="BD60:BD62" si="368">AN60+BB60</f>
        <v>0</v>
      </c>
      <c r="BE60" s="3013">
        <f>+AW60+AY60</f>
        <v>0</v>
      </c>
      <c r="BF60" s="39">
        <f t="shared" si="357"/>
        <v>0</v>
      </c>
      <c r="BG60" s="26"/>
      <c r="BH60" s="26"/>
      <c r="BI60" s="26"/>
      <c r="BJ60" s="26"/>
    </row>
    <row r="61" spans="1:66" ht="15.75" thickBot="1" x14ac:dyDescent="0.3">
      <c r="A61" s="147"/>
      <c r="B61" s="1782" t="s">
        <v>1327</v>
      </c>
      <c r="C61" s="60" t="s">
        <v>50</v>
      </c>
      <c r="D61" s="1680" t="s">
        <v>32</v>
      </c>
      <c r="E61" s="1682" t="s">
        <v>32</v>
      </c>
      <c r="F61" s="2198">
        <f>+F57+F59</f>
        <v>60954</v>
      </c>
      <c r="G61" s="1682" t="s">
        <v>32</v>
      </c>
      <c r="H61" s="7188">
        <f>+H57+H59</f>
        <v>66242</v>
      </c>
      <c r="I61" s="828" t="s">
        <v>32</v>
      </c>
      <c r="J61" s="39">
        <f t="shared" si="349"/>
        <v>127196</v>
      </c>
      <c r="K61" s="1682" t="s">
        <v>32</v>
      </c>
      <c r="L61" s="4599">
        <f>+L57+L59</f>
        <v>46620</v>
      </c>
      <c r="M61" s="829" t="s">
        <v>32</v>
      </c>
      <c r="N61" s="829">
        <f>+N57+N59</f>
        <v>173816</v>
      </c>
      <c r="O61" s="1682" t="s">
        <v>32</v>
      </c>
      <c r="P61" s="4778">
        <f>+P57+P59</f>
        <v>70318</v>
      </c>
      <c r="Q61" s="828" t="s">
        <v>32</v>
      </c>
      <c r="R61" s="39">
        <f t="shared" si="350"/>
        <v>244134</v>
      </c>
      <c r="S61" s="1682" t="s">
        <v>32</v>
      </c>
      <c r="T61" s="4919">
        <f>+T57+T59</f>
        <v>67610</v>
      </c>
      <c r="U61" s="828" t="s">
        <v>32</v>
      </c>
      <c r="V61" s="39">
        <f t="shared" si="351"/>
        <v>311744</v>
      </c>
      <c r="W61" s="1682" t="s">
        <v>32</v>
      </c>
      <c r="X61" s="5043">
        <f>+X57+X59</f>
        <v>74243</v>
      </c>
      <c r="Y61" s="829" t="s">
        <v>32</v>
      </c>
      <c r="Z61" s="69">
        <f t="shared" si="358"/>
        <v>212171</v>
      </c>
      <c r="AA61" s="830" t="s">
        <v>32</v>
      </c>
      <c r="AB61" s="477">
        <f t="shared" si="352"/>
        <v>385987</v>
      </c>
      <c r="AC61" s="1682" t="s">
        <v>32</v>
      </c>
      <c r="AD61" s="5358">
        <f>+AD57+AD59</f>
        <v>75501</v>
      </c>
      <c r="AE61" s="828" t="s">
        <v>32</v>
      </c>
      <c r="AF61" s="39">
        <f t="shared" si="353"/>
        <v>461488</v>
      </c>
      <c r="AG61" s="1682" t="s">
        <v>32</v>
      </c>
      <c r="AH61" s="5543">
        <f>+AH57+AH59</f>
        <v>3021</v>
      </c>
      <c r="AI61" s="828" t="s">
        <v>32</v>
      </c>
      <c r="AJ61" s="39">
        <f t="shared" si="354"/>
        <v>464509</v>
      </c>
      <c r="AK61" s="1682" t="s">
        <v>32</v>
      </c>
      <c r="AL61" s="5945">
        <f>+AL57+AL59</f>
        <v>73124</v>
      </c>
      <c r="AM61" s="829" t="s">
        <v>32</v>
      </c>
      <c r="AN61" s="69">
        <f t="shared" ref="AN61" si="369">+AL61+AH61+AD61</f>
        <v>151646</v>
      </c>
      <c r="AO61" s="828" t="s">
        <v>32</v>
      </c>
      <c r="AP61" s="589">
        <f t="shared" si="364"/>
        <v>537633</v>
      </c>
      <c r="AQ61" s="1682" t="s">
        <v>32</v>
      </c>
      <c r="AR61" s="6090">
        <f>+AR57+AR59</f>
        <v>70214</v>
      </c>
      <c r="AS61" s="828" t="s">
        <v>32</v>
      </c>
      <c r="AT61" s="39">
        <f t="shared" si="355"/>
        <v>607847</v>
      </c>
      <c r="AU61" s="1682" t="s">
        <v>32</v>
      </c>
      <c r="AV61" s="6239">
        <f>+AV57+AV59</f>
        <v>70069</v>
      </c>
      <c r="AW61" s="828" t="s">
        <v>32</v>
      </c>
      <c r="AX61" s="39">
        <f t="shared" si="356"/>
        <v>677916</v>
      </c>
      <c r="AY61" s="1682" t="s">
        <v>32</v>
      </c>
      <c r="AZ61" s="6423">
        <f>+AZ57+AZ59</f>
        <v>82771</v>
      </c>
      <c r="BA61" s="829" t="s">
        <v>32</v>
      </c>
      <c r="BB61" s="69">
        <f t="shared" ref="BB61" si="370">+AZ61+AV61+AR61</f>
        <v>223054</v>
      </c>
      <c r="BC61" s="830" t="s">
        <v>32</v>
      </c>
      <c r="BD61" s="469">
        <f t="shared" si="368"/>
        <v>374700</v>
      </c>
      <c r="BE61" s="828" t="s">
        <v>32</v>
      </c>
      <c r="BF61" s="39">
        <f t="shared" si="357"/>
        <v>760687</v>
      </c>
      <c r="BG61" s="26"/>
      <c r="BH61" s="26"/>
      <c r="BI61" s="26"/>
      <c r="BJ61" s="26"/>
    </row>
    <row r="62" spans="1:66" ht="15.75" thickBot="1" x14ac:dyDescent="0.3">
      <c r="A62" s="147" t="s">
        <v>470</v>
      </c>
      <c r="B62" s="1783" t="s">
        <v>1326</v>
      </c>
      <c r="C62" s="831" t="s">
        <v>50</v>
      </c>
      <c r="D62" s="4677">
        <f>+D58+D60</f>
        <v>742117.67332594562</v>
      </c>
      <c r="E62" s="4677">
        <f>+E58+E60</f>
        <v>63394.458873945172</v>
      </c>
      <c r="F62" s="4677">
        <f>+F58+F60</f>
        <v>60704.088600000003</v>
      </c>
      <c r="G62" s="7188">
        <f>+G58+G60</f>
        <v>65406.981377879973</v>
      </c>
      <c r="H62" s="7188">
        <f>+H58+H60</f>
        <v>65731.936600000001</v>
      </c>
      <c r="I62" s="723">
        <f>+E62+G62</f>
        <v>128801.44025182514</v>
      </c>
      <c r="J62" s="44">
        <f t="shared" si="349"/>
        <v>126436.0252</v>
      </c>
      <c r="K62" s="4677">
        <f>+K58+K60</f>
        <v>37483.23163578505</v>
      </c>
      <c r="L62" s="4677">
        <f>+L58+L60</f>
        <v>46181.771999999997</v>
      </c>
      <c r="M62" s="4674">
        <f>+K62+G62+E62</f>
        <v>166284.67188761019</v>
      </c>
      <c r="N62" s="4674">
        <f>+N58+N60</f>
        <v>172617.7972</v>
      </c>
      <c r="O62" s="4778">
        <f>+O58+O60</f>
        <v>18615.8331613966</v>
      </c>
      <c r="P62" s="4778">
        <f>+P58+P60</f>
        <v>69410.897800000006</v>
      </c>
      <c r="Q62" s="723">
        <f>+M62+O62</f>
        <v>184900.50504900678</v>
      </c>
      <c r="R62" s="44">
        <f t="shared" si="350"/>
        <v>242028.69500000001</v>
      </c>
      <c r="S62" s="4919">
        <f>+S58+S60</f>
        <v>60375.675118043029</v>
      </c>
      <c r="T62" s="4919">
        <f>+T58+T60</f>
        <v>66697.264999999999</v>
      </c>
      <c r="U62" s="723">
        <f>+Q62+S62</f>
        <v>245276.18016704981</v>
      </c>
      <c r="V62" s="44">
        <f t="shared" si="351"/>
        <v>308725.96000000002</v>
      </c>
      <c r="W62" s="5043">
        <f>+W58+W60</f>
        <v>58363.152614108229</v>
      </c>
      <c r="X62" s="5043">
        <f>+X58+X60</f>
        <v>73285.265299999999</v>
      </c>
      <c r="Y62" s="68">
        <f>+W62+S62+O62</f>
        <v>137354.66089354787</v>
      </c>
      <c r="Z62" s="69">
        <f>+X62+T62+P62</f>
        <v>209393.42809999999</v>
      </c>
      <c r="AA62" s="640">
        <f>M62+Y62</f>
        <v>303639.33278115804</v>
      </c>
      <c r="AB62" s="477">
        <f t="shared" si="352"/>
        <v>382011.22529999999</v>
      </c>
      <c r="AC62" s="5358">
        <f>+AC58+AC60</f>
        <v>62891.328247961472</v>
      </c>
      <c r="AD62" s="5358">
        <f>+AD58+AD60</f>
        <v>74844.141300000003</v>
      </c>
      <c r="AE62" s="723">
        <f>+AA62+AC62</f>
        <v>366530.66102911951</v>
      </c>
      <c r="AF62" s="44">
        <f t="shared" si="353"/>
        <v>456855.36660000001</v>
      </c>
      <c r="AG62" s="5543">
        <f>+AG58+AG60</f>
        <v>60878.805744026729</v>
      </c>
      <c r="AH62" s="5543">
        <f>+AH58+AH60</f>
        <v>2994.7172999999998</v>
      </c>
      <c r="AI62" s="723">
        <f>+AE62+AG62</f>
        <v>427409.46677314624</v>
      </c>
      <c r="AJ62" s="44">
        <f t="shared" si="354"/>
        <v>459850.08390000003</v>
      </c>
      <c r="AK62" s="5945">
        <f>+AK58+AK60</f>
        <v>62891.328247961472</v>
      </c>
      <c r="AL62" s="5945">
        <f>+AL58+AL60</f>
        <v>72568.257599999997</v>
      </c>
      <c r="AM62" s="68">
        <f>+AK62+AG62+AC62</f>
        <v>186661.46223994967</v>
      </c>
      <c r="AN62" s="69">
        <f>+AL62+AH62+AD62</f>
        <v>150407.11619999999</v>
      </c>
      <c r="AO62" s="589">
        <f t="shared" si="364"/>
        <v>490300.79502110771</v>
      </c>
      <c r="AP62" s="589">
        <f t="shared" si="364"/>
        <v>532418.34149999998</v>
      </c>
      <c r="AQ62" s="6090">
        <f>+AQ58+AQ60</f>
        <v>62891.328247961472</v>
      </c>
      <c r="AR62" s="6090">
        <f>+AR58+AR60</f>
        <v>69645.266600000003</v>
      </c>
      <c r="AS62" s="723">
        <f>+AO62+AQ62</f>
        <v>553192.12326906924</v>
      </c>
      <c r="AT62" s="44">
        <f t="shared" si="355"/>
        <v>602063.60809999995</v>
      </c>
      <c r="AU62" s="6239">
        <f>+AU58+AU60</f>
        <v>56602.195423165336</v>
      </c>
      <c r="AV62" s="6239">
        <f>+AV58+AV60</f>
        <v>69578.517000000007</v>
      </c>
      <c r="AW62" s="723">
        <f>+AS62+AU62</f>
        <v>609794.31869223458</v>
      </c>
      <c r="AX62" s="44">
        <f t="shared" si="356"/>
        <v>671642.12509999995</v>
      </c>
      <c r="AY62" s="6423">
        <f>+AY58+AY60</f>
        <v>62891.328247961472</v>
      </c>
      <c r="AZ62" s="6423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9">
        <f t="shared" ref="BC62" si="371">AM62+BA62</f>
        <v>369046.31415903795</v>
      </c>
      <c r="BD62" s="469">
        <f t="shared" si="368"/>
        <v>372029.43030000001</v>
      </c>
      <c r="BE62" s="723">
        <f>+AW62+AY62</f>
        <v>672685.64694019605</v>
      </c>
      <c r="BF62" s="44">
        <f t="shared" si="357"/>
        <v>754040.65559999994</v>
      </c>
      <c r="BG62" s="26"/>
      <c r="BH62" s="26"/>
      <c r="BI62" s="26"/>
      <c r="BJ62" s="26"/>
    </row>
    <row r="63" spans="1:66" ht="15.75" x14ac:dyDescent="0.25">
      <c r="A63" s="147"/>
      <c r="B63" s="1782" t="s">
        <v>246</v>
      </c>
      <c r="C63" s="60" t="s">
        <v>50</v>
      </c>
      <c r="D63" s="4745" t="s">
        <v>32</v>
      </c>
      <c r="E63" s="1682" t="s">
        <v>32</v>
      </c>
      <c r="F63" s="4677">
        <f>+RMHP!E29</f>
        <v>12534</v>
      </c>
      <c r="G63" s="1682" t="s">
        <v>32</v>
      </c>
      <c r="H63" s="7188">
        <f>+RMHP!G29</f>
        <v>11501</v>
      </c>
      <c r="I63" s="4746" t="s">
        <v>32</v>
      </c>
      <c r="J63" s="62">
        <f t="shared" si="349"/>
        <v>24035</v>
      </c>
      <c r="K63" s="1682" t="s">
        <v>32</v>
      </c>
      <c r="L63" s="4677">
        <f>+RMHP!K29</f>
        <v>8551.4456928914951</v>
      </c>
      <c r="M63" s="4747" t="s">
        <v>32</v>
      </c>
      <c r="N63" s="4747">
        <f>F63+H63+L63</f>
        <v>32586.445692891495</v>
      </c>
      <c r="O63" s="1682" t="s">
        <v>32</v>
      </c>
      <c r="P63" s="4778">
        <f>+RMHP!O29</f>
        <v>8852.1447098037061</v>
      </c>
      <c r="Q63" s="2427" t="s">
        <v>32</v>
      </c>
      <c r="R63" s="100">
        <f t="shared" si="350"/>
        <v>41438.590402695205</v>
      </c>
      <c r="S63" s="1682" t="s">
        <v>32</v>
      </c>
      <c r="T63" s="4919">
        <f>+RMHP!S29</f>
        <v>10020</v>
      </c>
      <c r="U63" s="2427" t="s">
        <v>32</v>
      </c>
      <c r="V63" s="100">
        <f t="shared" si="351"/>
        <v>51458.590402695205</v>
      </c>
      <c r="W63" s="1682" t="s">
        <v>32</v>
      </c>
      <c r="X63" s="5043">
        <f>+RMHP!W29</f>
        <v>11500</v>
      </c>
      <c r="Y63" s="2428" t="s">
        <v>32</v>
      </c>
      <c r="Z63" s="2107">
        <f>P63+T63+X63</f>
        <v>30372.144709803706</v>
      </c>
      <c r="AA63" s="2429" t="s">
        <v>32</v>
      </c>
      <c r="AB63" s="491">
        <f t="shared" si="352"/>
        <v>62958.590402695205</v>
      </c>
      <c r="AC63" s="1682" t="s">
        <v>32</v>
      </c>
      <c r="AD63" s="5358">
        <f>+RMHP!AC29</f>
        <v>8674</v>
      </c>
      <c r="AE63" s="2427" t="s">
        <v>32</v>
      </c>
      <c r="AF63" s="100">
        <f t="shared" si="353"/>
        <v>71632.590402695205</v>
      </c>
      <c r="AG63" s="1682" t="s">
        <v>32</v>
      </c>
      <c r="AH63" s="5543">
        <f>+RMHP!AG29</f>
        <v>1092</v>
      </c>
      <c r="AI63" s="2427" t="s">
        <v>32</v>
      </c>
      <c r="AJ63" s="100">
        <f t="shared" si="354"/>
        <v>72724.590402695205</v>
      </c>
      <c r="AK63" s="1682" t="s">
        <v>32</v>
      </c>
      <c r="AL63" s="5945">
        <f>+RMHP!AK29</f>
        <v>9992.1024621952165</v>
      </c>
      <c r="AM63" s="2428" t="s">
        <v>32</v>
      </c>
      <c r="AN63" s="2107">
        <f>AD63+AH63+AL63</f>
        <v>19758.102462195217</v>
      </c>
      <c r="AO63" s="2427" t="s">
        <v>32</v>
      </c>
      <c r="AP63" s="2420">
        <f>+AL63+AJ63</f>
        <v>82716.692864890414</v>
      </c>
      <c r="AQ63" s="1682" t="s">
        <v>32</v>
      </c>
      <c r="AR63" s="6090">
        <f>+RMHP!AQ29</f>
        <v>10835</v>
      </c>
      <c r="AS63" s="2427" t="s">
        <v>32</v>
      </c>
      <c r="AT63" s="100">
        <f t="shared" si="355"/>
        <v>93551.692864890414</v>
      </c>
      <c r="AU63" s="1682" t="s">
        <v>32</v>
      </c>
      <c r="AV63" s="6239">
        <f>+RMHP!AU29</f>
        <v>10245</v>
      </c>
      <c r="AW63" s="2427" t="s">
        <v>32</v>
      </c>
      <c r="AX63" s="100">
        <f t="shared" si="356"/>
        <v>103796.69286489041</v>
      </c>
      <c r="AY63" s="1682" t="s">
        <v>32</v>
      </c>
      <c r="AZ63" s="6423">
        <f>+RMHP!AY29</f>
        <v>10423</v>
      </c>
      <c r="BA63" s="2428" t="s">
        <v>32</v>
      </c>
      <c r="BB63" s="2107">
        <f>AR63+AV63+AZ63</f>
        <v>31503</v>
      </c>
      <c r="BC63" s="2429" t="s">
        <v>32</v>
      </c>
      <c r="BD63" s="468">
        <f>+AN63+BB63</f>
        <v>51261.102462195217</v>
      </c>
      <c r="BE63" s="2427" t="s">
        <v>32</v>
      </c>
      <c r="BF63" s="100">
        <f t="shared" si="357"/>
        <v>114219.69286489041</v>
      </c>
      <c r="BG63" s="26"/>
      <c r="BH63" s="26"/>
      <c r="BI63" s="26"/>
      <c r="BJ63" s="26"/>
    </row>
    <row r="64" spans="1:66" ht="15.75" thickBot="1" x14ac:dyDescent="0.3">
      <c r="A64" s="147" t="s">
        <v>470</v>
      </c>
      <c r="B64" s="1773" t="s">
        <v>247</v>
      </c>
      <c r="C64" s="750" t="s">
        <v>50</v>
      </c>
      <c r="D64" s="4677">
        <f>+((D23+D24)/((100-D71)/100))-(D23+D24)</f>
        <v>126257.5555555555</v>
      </c>
      <c r="E64" s="4677">
        <f>+((E23+E24)/((100-E71)/100))-(E23+E24)</f>
        <v>10780</v>
      </c>
      <c r="F64" s="4677">
        <f>+F63-((F54/100)*F63)</f>
        <v>11944.902</v>
      </c>
      <c r="G64" s="7188">
        <f>+((G23+G24)/((100-G71)/100))-(G23+G24)</f>
        <v>11122.222222222219</v>
      </c>
      <c r="H64" s="7188">
        <f>+H63-((H54/100)*H63)</f>
        <v>10897.1975</v>
      </c>
      <c r="I64" s="723">
        <f>+E64+G64</f>
        <v>21902.222222222219</v>
      </c>
      <c r="J64" s="44">
        <f t="shared" si="349"/>
        <v>22842.0995</v>
      </c>
      <c r="K64" s="4677">
        <f>+((K23+K24)/((100-K71)/100))-(K23+K24)</f>
        <v>6804.3333333333285</v>
      </c>
      <c r="L64" s="4677">
        <f>+L63-((L54/100)*L63)</f>
        <v>8166.6306367113775</v>
      </c>
      <c r="M64" s="4674">
        <f>+K64+G64+E64</f>
        <v>28706.555555555547</v>
      </c>
      <c r="N64" s="4674">
        <f>+N63-((N54/100)*N63)</f>
        <v>31008.730136711376</v>
      </c>
      <c r="O64" s="4778">
        <f>+((O23+O24)/((100-O71)/100))-(O23+O24)</f>
        <v>3519.1111111111095</v>
      </c>
      <c r="P64" s="4778">
        <f>+P63-((P54/100)*P63)</f>
        <v>8355.5393915837176</v>
      </c>
      <c r="Q64" s="723">
        <f>+M64+O64</f>
        <v>32225.666666666657</v>
      </c>
      <c r="R64" s="44">
        <f t="shared" si="350"/>
        <v>39364.269528295095</v>
      </c>
      <c r="S64" s="4919">
        <f>+((S23+S24)/((100-S71)/100))-(S23+S24)</f>
        <v>10784</v>
      </c>
      <c r="T64" s="4919">
        <f>+T63-((T54/100)*T63)</f>
        <v>9352.6679999999997</v>
      </c>
      <c r="U64" s="723">
        <f>+Q64+S64</f>
        <v>43009.666666666657</v>
      </c>
      <c r="V64" s="44">
        <f t="shared" si="351"/>
        <v>48716.937528295093</v>
      </c>
      <c r="W64" s="5043">
        <f>+((W23+W24)/((100-W71)/100))-(W23+W24)</f>
        <v>10424.533333333326</v>
      </c>
      <c r="X64" s="5043">
        <f>+X63-((X54/100)*X63)</f>
        <v>10813.45</v>
      </c>
      <c r="Y64" s="68">
        <f>+W64+S64+O64</f>
        <v>24727.644444444435</v>
      </c>
      <c r="Z64" s="69">
        <f t="shared" si="358"/>
        <v>28521.657391583722</v>
      </c>
      <c r="AA64" s="640">
        <f>M64+Y64</f>
        <v>53434.199999999983</v>
      </c>
      <c r="AB64" s="477">
        <f t="shared" si="352"/>
        <v>59530.387528295098</v>
      </c>
      <c r="AC64" s="5358">
        <f>+((AC23+AC24)/((100-AC71)/100))-(AC23+AC24)</f>
        <v>11150</v>
      </c>
      <c r="AD64" s="5358">
        <f>+AD63-((AD54/100)*AD63)</f>
        <v>8168.3058000000001</v>
      </c>
      <c r="AE64" s="723">
        <f>+AA64+AC64</f>
        <v>64584.199999999983</v>
      </c>
      <c r="AF64" s="44">
        <f t="shared" si="353"/>
        <v>67698.693328295092</v>
      </c>
      <c r="AG64" s="5543">
        <f>+((AG23+AG24)/((100-AG71)/100))-(AG23+AG24)</f>
        <v>10602.288888888885</v>
      </c>
      <c r="AH64" s="5543">
        <f>+AH63-((AH54/100)*AH63)</f>
        <v>1028.3363999999999</v>
      </c>
      <c r="AI64" s="723">
        <f>+AE64+AG64</f>
        <v>75186.488888888867</v>
      </c>
      <c r="AJ64" s="44">
        <f t="shared" si="354"/>
        <v>68727.029728295092</v>
      </c>
      <c r="AK64" s="5945">
        <f>+((AK23+AK24)/((100-AK71)/100))-(AK23+AK24)</f>
        <v>10952.777777777781</v>
      </c>
      <c r="AL64" s="5945">
        <f>+AL63-((AL54/100)*AL63)</f>
        <v>9485.5028673619199</v>
      </c>
      <c r="AM64" s="68">
        <f>+AK64+AG64+AC64</f>
        <v>32705.066666666666</v>
      </c>
      <c r="AN64" s="69">
        <f t="shared" ref="AN64:AN66" si="372">+AL64+AH64+AD64</f>
        <v>18682.145067361918</v>
      </c>
      <c r="AO64" s="589">
        <f t="shared" si="364"/>
        <v>86139.266666666648</v>
      </c>
      <c r="AP64" s="589">
        <f t="shared" si="364"/>
        <v>78212.532595657016</v>
      </c>
      <c r="AQ64" s="6090">
        <f>+((AQ23+AQ24)/((100-AQ71)/100))-(AQ23+AQ24)</f>
        <v>10952.777777777781</v>
      </c>
      <c r="AR64" s="6090">
        <f>+AR63-((AR54/100)*AR63)</f>
        <v>10295.416999999999</v>
      </c>
      <c r="AS64" s="723">
        <f>+AO64+AQ64</f>
        <v>97092.044444444429</v>
      </c>
      <c r="AT64" s="44">
        <f t="shared" si="355"/>
        <v>88507.949595657017</v>
      </c>
      <c r="AU64" s="6239">
        <f>+((AU23+AU24)/((100-AU71)/100))-(AU23+AU24)</f>
        <v>9857.5</v>
      </c>
      <c r="AV64" s="6239">
        <f>+AV63-((AV54/100)*AV63)</f>
        <v>9752.2155000000002</v>
      </c>
      <c r="AW64" s="723">
        <f>+AS64+AU64</f>
        <v>106949.54444444443</v>
      </c>
      <c r="AX64" s="44">
        <f t="shared" si="356"/>
        <v>98260.165095657023</v>
      </c>
      <c r="AY64" s="6423">
        <f>+((AY23+AY24)/((100-AY71)/100))-(AY23+AY24)</f>
        <v>10952.777777777781</v>
      </c>
      <c r="AZ64" s="6423">
        <f>+AZ63-((AZ54/100)*AZ63)</f>
        <v>9910.1883999999991</v>
      </c>
      <c r="BA64" s="68">
        <f>+AY64+AU64+AQ64</f>
        <v>31763.055555555562</v>
      </c>
      <c r="BB64" s="69">
        <f t="shared" ref="BB64:BB66" si="373">+AZ64+AV64+AR64</f>
        <v>29957.820899999999</v>
      </c>
      <c r="BC64" s="469">
        <f t="shared" ref="BC64" si="374">AM64+BA64</f>
        <v>64468.122222222228</v>
      </c>
      <c r="BD64" s="469">
        <f t="shared" ref="BD64" si="375">AN64+BB64</f>
        <v>48639.965967361917</v>
      </c>
      <c r="BE64" s="723">
        <f>+AW64+AY64</f>
        <v>117902.32222222221</v>
      </c>
      <c r="BF64" s="44">
        <f t="shared" si="357"/>
        <v>108170.35349565702</v>
      </c>
      <c r="BG64" s="26"/>
      <c r="BH64" s="26"/>
      <c r="BI64" s="26"/>
      <c r="BJ64" s="26"/>
    </row>
    <row r="65" spans="1:62" ht="16.5" thickBot="1" x14ac:dyDescent="0.3">
      <c r="A65" s="147"/>
      <c r="B65" s="1774" t="s">
        <v>1323</v>
      </c>
      <c r="C65" s="750" t="s">
        <v>50</v>
      </c>
      <c r="D65" s="4677"/>
      <c r="E65" s="4677"/>
      <c r="F65" s="4677">
        <f>+RMHP!E31</f>
        <v>621</v>
      </c>
      <c r="G65" s="7188"/>
      <c r="H65" s="7188">
        <f>+RMHP!G31</f>
        <v>1293</v>
      </c>
      <c r="I65" s="4678"/>
      <c r="J65" s="44">
        <f t="shared" si="349"/>
        <v>1914</v>
      </c>
      <c r="K65" s="4677"/>
      <c r="L65" s="4677">
        <f>+RMHP!K31</f>
        <v>230</v>
      </c>
      <c r="M65" s="4679"/>
      <c r="N65" s="4679">
        <f>F65+H65+L65</f>
        <v>2144</v>
      </c>
      <c r="O65" s="4778"/>
      <c r="P65" s="4778">
        <f>+RMHP!O31</f>
        <v>768</v>
      </c>
      <c r="Q65" s="2377"/>
      <c r="R65" s="2031">
        <f t="shared" si="350"/>
        <v>2912</v>
      </c>
      <c r="S65" s="4919"/>
      <c r="T65" s="4919">
        <f>+RMHP!S31</f>
        <v>822</v>
      </c>
      <c r="U65" s="4909"/>
      <c r="V65" s="2031">
        <f t="shared" si="351"/>
        <v>3734</v>
      </c>
      <c r="W65" s="5043"/>
      <c r="X65" s="5043">
        <f>+RMHP!W31</f>
        <v>803</v>
      </c>
      <c r="Y65" s="2424"/>
      <c r="Z65" s="2423">
        <f>P65+T65+X65</f>
        <v>2393</v>
      </c>
      <c r="AA65" s="2379"/>
      <c r="AB65" s="2425">
        <f t="shared" si="352"/>
        <v>4537</v>
      </c>
      <c r="AC65" s="5358"/>
      <c r="AD65" s="5358">
        <f>+RMHP!AC31</f>
        <v>910</v>
      </c>
      <c r="AE65" s="2622"/>
      <c r="AF65" s="2031">
        <f t="shared" si="353"/>
        <v>5447</v>
      </c>
      <c r="AG65" s="5543"/>
      <c r="AH65" s="5543">
        <f>+RMHP!AG31</f>
        <v>125</v>
      </c>
      <c r="AI65" s="5530"/>
      <c r="AJ65" s="2031">
        <f t="shared" si="354"/>
        <v>5572</v>
      </c>
      <c r="AK65" s="5945"/>
      <c r="AL65" s="5945">
        <f>+RMHP!AK31</f>
        <v>1420</v>
      </c>
      <c r="AM65" s="2424"/>
      <c r="AN65" s="2423">
        <f>AD65+AH65+AL65</f>
        <v>2455</v>
      </c>
      <c r="AO65" s="2738"/>
      <c r="AP65" s="2420">
        <f>+AL65+AJ65</f>
        <v>6992</v>
      </c>
      <c r="AQ65" s="6090"/>
      <c r="AR65" s="6090">
        <f>+RMHP!AQ31</f>
        <v>1299</v>
      </c>
      <c r="AS65" s="2799"/>
      <c r="AT65" s="2031">
        <f t="shared" si="355"/>
        <v>8291</v>
      </c>
      <c r="AU65" s="6239"/>
      <c r="AV65" s="6239">
        <f>+RMHP!AU31</f>
        <v>969</v>
      </c>
      <c r="AW65" s="6230"/>
      <c r="AX65" s="2031">
        <f t="shared" si="356"/>
        <v>9260</v>
      </c>
      <c r="AY65" s="6423"/>
      <c r="AZ65" s="6423">
        <f>+RMHP!AY31</f>
        <v>1493</v>
      </c>
      <c r="BA65" s="2424"/>
      <c r="BB65" s="2423">
        <f>AR65+AV65+AZ65</f>
        <v>3761</v>
      </c>
      <c r="BC65" s="3017"/>
      <c r="BD65" s="468">
        <f>+AN65+BB65</f>
        <v>6216</v>
      </c>
      <c r="BE65" s="3018"/>
      <c r="BF65" s="2031">
        <f t="shared" si="357"/>
        <v>10753</v>
      </c>
      <c r="BG65" s="26"/>
      <c r="BH65" s="26"/>
      <c r="BI65" s="26"/>
      <c r="BJ65" s="26"/>
    </row>
    <row r="66" spans="1:62" ht="15.75" thickBot="1" x14ac:dyDescent="0.3">
      <c r="A66" s="147"/>
      <c r="B66" s="1773" t="s">
        <v>1324</v>
      </c>
      <c r="C66" s="750" t="s">
        <v>50</v>
      </c>
      <c r="D66" s="4677">
        <f>D30/((100-D72)/100)-D30</f>
        <v>12503.166988353478</v>
      </c>
      <c r="E66" s="4677">
        <f>E30/((100-E72)/100)-E30</f>
        <v>1068.0671461237507</v>
      </c>
      <c r="F66" s="4677">
        <f>+F65-((F55/100)*F65)</f>
        <v>614.66579999999999</v>
      </c>
      <c r="G66" s="7188">
        <f>G30/((100-G72)/100)-G30</f>
        <v>1101.9740396514972</v>
      </c>
      <c r="H66" s="7188">
        <f>+H65-((H55/100)*H65)</f>
        <v>1273.9929</v>
      </c>
      <c r="I66" s="44">
        <f t="shared" si="349"/>
        <v>2170.0411857752479</v>
      </c>
      <c r="J66" s="44">
        <f t="shared" si="349"/>
        <v>1888.6587</v>
      </c>
      <c r="K66" s="4677">
        <f>K30/((100-K72)/100)-K30</f>
        <v>631.51589195412816</v>
      </c>
      <c r="L66" s="4677">
        <f>+L65-((L55/100)*L65)</f>
        <v>226.48099999999999</v>
      </c>
      <c r="M66" s="4679">
        <f>E66+G66+K66</f>
        <v>2801.557077729376</v>
      </c>
      <c r="N66" s="4679">
        <f>+N65-((N55/100)*N65)</f>
        <v>2115.1397000000002</v>
      </c>
      <c r="O66" s="4778">
        <f>O30/((100-O72)/100)-O30</f>
        <v>313.63876513157811</v>
      </c>
      <c r="P66" s="4778">
        <f>+P65-((P55/100)*P65)</f>
        <v>755.32799999999997</v>
      </c>
      <c r="Q66" s="2202">
        <f>M66+O66</f>
        <v>3115.1958428609541</v>
      </c>
      <c r="R66" s="44">
        <f t="shared" si="350"/>
        <v>2870.4677000000001</v>
      </c>
      <c r="S66" s="4919">
        <f>S30/((100-S72)/100)-S30</f>
        <v>1017.2068058321456</v>
      </c>
      <c r="T66" s="4919">
        <f>+T65-((T55/100)*T65)</f>
        <v>802.27200000000005</v>
      </c>
      <c r="U66" s="4920">
        <f>Q66+S66</f>
        <v>4132.4026486930998</v>
      </c>
      <c r="V66" s="44">
        <f t="shared" si="351"/>
        <v>3672.7397000000001</v>
      </c>
      <c r="W66" s="5043">
        <f>W30/((100-W72)/100)-W30</f>
        <v>983.29991230440646</v>
      </c>
      <c r="X66" s="5043">
        <f>+X65-((X55/100)*X65)</f>
        <v>786.05669999999998</v>
      </c>
      <c r="Y66" s="68">
        <f>+W66+S66+O66</f>
        <v>2314.1454832681302</v>
      </c>
      <c r="Z66" s="1126">
        <f>+Z65-((Z55/100)*Z65)</f>
        <v>2343.4568522888521</v>
      </c>
      <c r="AA66" s="640">
        <f>M66+Y66</f>
        <v>5115.7025609975062</v>
      </c>
      <c r="AB66" s="458">
        <f t="shared" si="352"/>
        <v>4458.5965522888528</v>
      </c>
      <c r="AC66" s="5358">
        <f>AC30/((100-AC72)/100)-AC30</f>
        <v>1059.5904227418214</v>
      </c>
      <c r="AD66" s="5358">
        <f>+AD65-((AD55/100)*AD65)</f>
        <v>893.529</v>
      </c>
      <c r="AE66" s="2625">
        <f>AA66+AC66</f>
        <v>6175.2929837393276</v>
      </c>
      <c r="AF66" s="44">
        <f t="shared" si="353"/>
        <v>5352.1255522888532</v>
      </c>
      <c r="AG66" s="5543">
        <f>AG30/((100-AG72)/100)-AG30</f>
        <v>1025.6835292140895</v>
      </c>
      <c r="AH66" s="5543">
        <f>+AH65-((AH55/100)*AH65)</f>
        <v>123.0125</v>
      </c>
      <c r="AI66" s="5545">
        <f>AE66+AG66</f>
        <v>7200.9765129534171</v>
      </c>
      <c r="AJ66" s="44">
        <f t="shared" si="354"/>
        <v>5475.138052288853</v>
      </c>
      <c r="AK66" s="5945">
        <f>AK30/((100-AK72)/100)-AK30</f>
        <v>1059.5904227418214</v>
      </c>
      <c r="AL66" s="5945">
        <f>+AL65-((AL55/100)*AL65)</f>
        <v>1399.126</v>
      </c>
      <c r="AM66" s="68">
        <f>+AK66+AG66+AC66</f>
        <v>3144.8643746977323</v>
      </c>
      <c r="AN66" s="69">
        <f t="shared" si="372"/>
        <v>2415.6675</v>
      </c>
      <c r="AO66" s="589">
        <f t="shared" si="364"/>
        <v>8260.5669356952385</v>
      </c>
      <c r="AP66" s="589">
        <f t="shared" si="364"/>
        <v>6874.2640522888532</v>
      </c>
      <c r="AQ66" s="6090">
        <f>AQ30/((100-AQ72)/100)-AQ30</f>
        <v>1059.5904227418214</v>
      </c>
      <c r="AR66" s="6090">
        <f>+AR65-((AR55/100)*AR65)</f>
        <v>1276.0077000000001</v>
      </c>
      <c r="AS66" s="2802">
        <f>AO66+AQ66</f>
        <v>9320.1573584370599</v>
      </c>
      <c r="AT66" s="44">
        <f t="shared" si="355"/>
        <v>8150.2717522888533</v>
      </c>
      <c r="AU66" s="6239">
        <f>AU30/((100-AU72)/100)-AU30</f>
        <v>953.63138046763925</v>
      </c>
      <c r="AV66" s="6239">
        <f>+AV65-((AV55/100)*AV65)</f>
        <v>955.43399999999997</v>
      </c>
      <c r="AW66" s="6240">
        <f>AS66+AU66</f>
        <v>10273.788738904699</v>
      </c>
      <c r="AX66" s="44">
        <f t="shared" si="356"/>
        <v>9105.7057522888535</v>
      </c>
      <c r="AY66" s="6423">
        <f>AY30/((100-AY72)/100)-AY30</f>
        <v>1059.5904227418214</v>
      </c>
      <c r="AZ66" s="6423">
        <f>+AZ65-((AZ55/100)*AZ65)</f>
        <v>1477.1741999999999</v>
      </c>
      <c r="BA66" s="68">
        <f>+AY66+AU66+AQ66</f>
        <v>3072.812225951282</v>
      </c>
      <c r="BB66" s="69">
        <f t="shared" si="373"/>
        <v>3708.6158999999998</v>
      </c>
      <c r="BC66" s="469">
        <f t="shared" ref="BC66" si="376">AM66+BA66</f>
        <v>6217.6766006490143</v>
      </c>
      <c r="BD66" s="469">
        <f t="shared" ref="BD66" si="377">AN66+BB66</f>
        <v>6124.2834000000003</v>
      </c>
      <c r="BE66" s="3023">
        <f>AW66+AY66</f>
        <v>11333.379161646521</v>
      </c>
      <c r="BF66" s="44">
        <f t="shared" si="357"/>
        <v>10582.879952288853</v>
      </c>
      <c r="BG66" s="26"/>
      <c r="BH66" s="26"/>
      <c r="BI66" s="26"/>
      <c r="BJ66" s="26"/>
    </row>
    <row r="67" spans="1:62" ht="15.75" x14ac:dyDescent="0.25">
      <c r="A67" s="147"/>
      <c r="B67" s="1774" t="s">
        <v>597</v>
      </c>
      <c r="C67" s="759" t="s">
        <v>50</v>
      </c>
      <c r="D67" s="1680" t="s">
        <v>32</v>
      </c>
      <c r="E67" s="1682" t="s">
        <v>32</v>
      </c>
      <c r="F67" s="4677">
        <f>+RMHP!E30</f>
        <v>3716</v>
      </c>
      <c r="G67" s="1682" t="s">
        <v>32</v>
      </c>
      <c r="H67" s="7188">
        <f>+RMHP!G30</f>
        <v>6799</v>
      </c>
      <c r="I67" s="4748" t="s">
        <v>32</v>
      </c>
      <c r="J67" s="43">
        <f t="shared" si="349"/>
        <v>10515</v>
      </c>
      <c r="K67" s="1682" t="s">
        <v>32</v>
      </c>
      <c r="L67" s="4677">
        <f>+RMHP!K30</f>
        <v>8122</v>
      </c>
      <c r="M67" s="4749" t="s">
        <v>32</v>
      </c>
      <c r="N67" s="4749">
        <f>F67+H67+L67</f>
        <v>18637</v>
      </c>
      <c r="O67" s="1682" t="s">
        <v>32</v>
      </c>
      <c r="P67" s="4778">
        <f>+RMHP!O30</f>
        <v>9722</v>
      </c>
      <c r="Q67" s="2419" t="s">
        <v>32</v>
      </c>
      <c r="R67" s="2420">
        <f t="shared" si="350"/>
        <v>28359</v>
      </c>
      <c r="S67" s="1682" t="s">
        <v>32</v>
      </c>
      <c r="T67" s="4919">
        <f>+RMHP!S30</f>
        <v>8347</v>
      </c>
      <c r="U67" s="2419" t="s">
        <v>32</v>
      </c>
      <c r="V67" s="2420">
        <f t="shared" si="351"/>
        <v>36706</v>
      </c>
      <c r="W67" s="1682" t="s">
        <v>32</v>
      </c>
      <c r="X67" s="5043">
        <f>+RMHP!W30</f>
        <v>11211</v>
      </c>
      <c r="Y67" s="786"/>
      <c r="Z67" s="2107">
        <f>P67+T67+X67</f>
        <v>29280</v>
      </c>
      <c r="AA67" s="2422" t="s">
        <v>32</v>
      </c>
      <c r="AB67" s="491">
        <f t="shared" si="352"/>
        <v>47917</v>
      </c>
      <c r="AC67" s="1682" t="s">
        <v>32</v>
      </c>
      <c r="AD67" s="5358">
        <f>+RMHP!AC30</f>
        <v>10011</v>
      </c>
      <c r="AE67" s="2419" t="s">
        <v>32</v>
      </c>
      <c r="AF67" s="2420">
        <f t="shared" si="353"/>
        <v>57928</v>
      </c>
      <c r="AG67" s="1682" t="s">
        <v>32</v>
      </c>
      <c r="AH67" s="5543">
        <f>+RMHP!AG30</f>
        <v>745</v>
      </c>
      <c r="AI67" s="2419" t="s">
        <v>32</v>
      </c>
      <c r="AJ67" s="2420">
        <f t="shared" si="354"/>
        <v>58673</v>
      </c>
      <c r="AK67" s="1682" t="s">
        <v>32</v>
      </c>
      <c r="AL67" s="5945">
        <f>+RMHP!AK30</f>
        <v>10541</v>
      </c>
      <c r="AM67" s="786"/>
      <c r="AN67" s="2107">
        <f>AD67+AH67+AL67</f>
        <v>21297</v>
      </c>
      <c r="AO67" s="2419" t="s">
        <v>32</v>
      </c>
      <c r="AP67" s="2420">
        <f>+AL67+AJ67</f>
        <v>69214</v>
      </c>
      <c r="AQ67" s="1682" t="s">
        <v>32</v>
      </c>
      <c r="AR67" s="6090">
        <f>+RMHP!AQ30</f>
        <v>11247</v>
      </c>
      <c r="AS67" s="2419" t="s">
        <v>32</v>
      </c>
      <c r="AT67" s="2420">
        <f t="shared" si="355"/>
        <v>80461</v>
      </c>
      <c r="AU67" s="1682" t="s">
        <v>32</v>
      </c>
      <c r="AV67" s="6239">
        <f>+RMHP!AU30</f>
        <v>10641</v>
      </c>
      <c r="AW67" s="2419" t="s">
        <v>32</v>
      </c>
      <c r="AX67" s="2420">
        <f t="shared" si="356"/>
        <v>91102</v>
      </c>
      <c r="AY67" s="1682" t="s">
        <v>32</v>
      </c>
      <c r="AZ67" s="6423">
        <f>+RMHP!AY30</f>
        <v>7988</v>
      </c>
      <c r="BA67" s="786"/>
      <c r="BB67" s="2107">
        <f>AR67+AV67+AZ67</f>
        <v>29876</v>
      </c>
      <c r="BC67" s="2422" t="s">
        <v>32</v>
      </c>
      <c r="BD67" s="468">
        <f>+AN67+BB67</f>
        <v>51173</v>
      </c>
      <c r="BE67" s="2419" t="s">
        <v>32</v>
      </c>
      <c r="BF67" s="2420">
        <f t="shared" si="357"/>
        <v>99090</v>
      </c>
      <c r="BG67" s="26"/>
      <c r="BH67" s="26"/>
      <c r="BI67" s="26"/>
      <c r="BJ67" s="26"/>
    </row>
    <row r="68" spans="1:62" ht="15.75" thickBot="1" x14ac:dyDescent="0.3">
      <c r="A68" s="147" t="s">
        <v>470</v>
      </c>
      <c r="B68" s="1773" t="s">
        <v>598</v>
      </c>
      <c r="C68" s="750" t="s">
        <v>50</v>
      </c>
      <c r="D68" s="234">
        <f>+(D28/((100-D73)/100))-D28</f>
        <v>110797.96075146459</v>
      </c>
      <c r="E68" s="234">
        <f>+(E28/((100-E73)/100))-E28</f>
        <v>9464.774952328502</v>
      </c>
      <c r="F68" s="234">
        <f>+F67-((F56/100)*F67)</f>
        <v>3464.0551999999998</v>
      </c>
      <c r="G68" s="234">
        <f>+(G28/((100-G73)/100))-G28</f>
        <v>9765.243998434169</v>
      </c>
      <c r="H68" s="234">
        <f>+H67-((H56/100)*H67)</f>
        <v>6286.3554000000004</v>
      </c>
      <c r="I68" s="723">
        <f>+E68+G68</f>
        <v>19230.018950762671</v>
      </c>
      <c r="J68" s="44">
        <f t="shared" si="349"/>
        <v>9750.4105999999992</v>
      </c>
      <c r="K68" s="234">
        <f>+(K28/((100-K73)/100))-K28</f>
        <v>5596.2359837180484</v>
      </c>
      <c r="L68" s="234">
        <f>+L67-((L56/100)*L67)</f>
        <v>7581.8869999999997</v>
      </c>
      <c r="M68" s="1544">
        <f>+K68+G68+E68</f>
        <v>24826.254934480719</v>
      </c>
      <c r="N68" s="1544">
        <f>+N67-((N56/100)*N67)</f>
        <v>17332.297599999998</v>
      </c>
      <c r="O68" s="234">
        <f>+(O28/((100-O73)/100))-O28</f>
        <v>2779.3386764774168</v>
      </c>
      <c r="P68" s="234">
        <f>+P67-((P56/100)*P67)</f>
        <v>8936.4624000000003</v>
      </c>
      <c r="Q68" s="723">
        <f>+M68+O68</f>
        <v>27605.593610958138</v>
      </c>
      <c r="R68" s="44">
        <f t="shared" si="350"/>
        <v>26268.76</v>
      </c>
      <c r="S68" s="234">
        <f>+(S28/((100-S73)/100))-S28</f>
        <v>9014.071383170005</v>
      </c>
      <c r="T68" s="234">
        <f>+T67-((T56/100)*T67)</f>
        <v>7650.0254999999997</v>
      </c>
      <c r="U68" s="723">
        <f>+Q68+S68</f>
        <v>36619.664994128143</v>
      </c>
      <c r="V68" s="44">
        <f t="shared" si="351"/>
        <v>33918.785499999998</v>
      </c>
      <c r="W68" s="234">
        <f>+(W28/((100-W73)/100))-W28</f>
        <v>8713.6023370643379</v>
      </c>
      <c r="X68" s="234">
        <f>+X67-((X56/100)*X67)</f>
        <v>10309.6356</v>
      </c>
      <c r="Y68" s="2212">
        <f>+W68+S68+O68</f>
        <v>20507.012396711762</v>
      </c>
      <c r="Z68" s="74">
        <f>+X68+T68+P68</f>
        <v>26896.123499999998</v>
      </c>
      <c r="AA68" s="640">
        <f>M68+Y68</f>
        <v>45333.267331192481</v>
      </c>
      <c r="AB68" s="1674">
        <f t="shared" si="352"/>
        <v>44228.421099999992</v>
      </c>
      <c r="AC68" s="234">
        <f>+(AC28/((100-AC73)/100))-AC28</f>
        <v>9389.657690802087</v>
      </c>
      <c r="AD68" s="234">
        <f>+AD67-((AD56/100)*AD67)</f>
        <v>9207.1167000000005</v>
      </c>
      <c r="AE68" s="723">
        <f>+AA68+AC68</f>
        <v>54722.925021994568</v>
      </c>
      <c r="AF68" s="44">
        <f t="shared" si="353"/>
        <v>53435.537799999991</v>
      </c>
      <c r="AG68" s="234">
        <f>+(AG28/((100-AG73)/100))-AG28</f>
        <v>9089.1886446964199</v>
      </c>
      <c r="AH68" s="234">
        <f>+AH67-((AH56/100)*AH67)</f>
        <v>689.87</v>
      </c>
      <c r="AI68" s="723">
        <f>+AE68+AG68</f>
        <v>63812.113666690988</v>
      </c>
      <c r="AJ68" s="44">
        <f t="shared" si="354"/>
        <v>54125.407799999994</v>
      </c>
      <c r="AK68" s="234">
        <f>+(AK28/((100-AK73)/100))-AK28</f>
        <v>9389.657690802087</v>
      </c>
      <c r="AL68" s="234">
        <f>+AL67-((AL56/100)*AL67)</f>
        <v>9796.8053999999993</v>
      </c>
      <c r="AM68" s="2212">
        <f>+AK68+AG68+AC68</f>
        <v>27868.504026300594</v>
      </c>
      <c r="AN68" s="74">
        <f>+AL68+AH68+AD68</f>
        <v>19693.792099999999</v>
      </c>
      <c r="AO68" s="589">
        <f t="shared" ref="AO68" si="378">+AK68+AI68</f>
        <v>73201.771357493068</v>
      </c>
      <c r="AP68" s="589">
        <f t="shared" ref="AP68" si="379">+AL68+AJ68</f>
        <v>63922.213199999991</v>
      </c>
      <c r="AQ68" s="234">
        <f>+(AQ28/((100-AQ73)/100))-AQ28</f>
        <v>9389.657690802087</v>
      </c>
      <c r="AR68" s="234">
        <f>+AR67-((AR56/100)*AR67)</f>
        <v>10438.340700000001</v>
      </c>
      <c r="AS68" s="723">
        <f>+AO68+AQ68</f>
        <v>82591.429048295162</v>
      </c>
      <c r="AT68" s="44">
        <f t="shared" si="355"/>
        <v>74360.553899999999</v>
      </c>
      <c r="AU68" s="234">
        <f>+(AU28/((100-AU73)/100))-AU28</f>
        <v>8450.691921721882</v>
      </c>
      <c r="AV68" s="234">
        <f>+AV67-((AV56/100)*AV67)</f>
        <v>9929.1170999999995</v>
      </c>
      <c r="AW68" s="723">
        <f>+AS68+AU68</f>
        <v>91042.120970017044</v>
      </c>
      <c r="AX68" s="44">
        <f t="shared" si="356"/>
        <v>84289.671000000002</v>
      </c>
      <c r="AY68" s="234">
        <f>+(AY28/((100-AY73)/100))-AY28</f>
        <v>9389.657690802087</v>
      </c>
      <c r="AZ68" s="234">
        <f>+AZ67-((AZ56/100)*AZ67)</f>
        <v>7446.4135999999999</v>
      </c>
      <c r="BA68" s="2212">
        <f>+AY68+AU68+AQ68</f>
        <v>27230.007303326056</v>
      </c>
      <c r="BB68" s="74">
        <f>+AZ68+AV68+AR68</f>
        <v>27813.8714</v>
      </c>
      <c r="BC68" s="469">
        <f t="shared" ref="BC68" si="380">AM68+BA68</f>
        <v>55098.51132962665</v>
      </c>
      <c r="BD68" s="469">
        <f t="shared" ref="BD68" si="381">AN68+BB68</f>
        <v>47507.663499999995</v>
      </c>
      <c r="BE68" s="723">
        <f>+AW68+AY68</f>
        <v>100431.77866081914</v>
      </c>
      <c r="BF68" s="44">
        <f t="shared" si="357"/>
        <v>91736.084600000002</v>
      </c>
      <c r="BG68" s="26"/>
      <c r="BH68" s="26"/>
      <c r="BI68" s="26"/>
      <c r="BJ68" s="26"/>
    </row>
    <row r="69" spans="1:62" ht="30.75" hidden="1" customHeight="1" thickBot="1" x14ac:dyDescent="0.3">
      <c r="A69" s="147"/>
      <c r="B69" s="1784" t="s">
        <v>586</v>
      </c>
      <c r="C69" s="826" t="s">
        <v>49</v>
      </c>
      <c r="D69" s="2213"/>
      <c r="E69" s="2213">
        <v>0</v>
      </c>
      <c r="F69" s="4750">
        <f>+(F60/(F62+F27+F93))*100</f>
        <v>0</v>
      </c>
      <c r="G69" s="2213">
        <v>0</v>
      </c>
      <c r="H69" s="4750">
        <f>+(H60/(H62+H27+H93))*100</f>
        <v>0</v>
      </c>
      <c r="I69" s="4686" t="s">
        <v>32</v>
      </c>
      <c r="J69" s="4751">
        <f>+(J60/(J62+J27+J93))*100</f>
        <v>0</v>
      </c>
      <c r="K69" s="2213">
        <v>0</v>
      </c>
      <c r="L69" s="4750">
        <f>+(L60/(L62+L27+L93))*100</f>
        <v>0</v>
      </c>
      <c r="M69" s="4752" t="s">
        <v>32</v>
      </c>
      <c r="N69" s="4753">
        <f>+(N60/(N62+N27+N93))*100</f>
        <v>0</v>
      </c>
      <c r="O69" s="2213">
        <v>0</v>
      </c>
      <c r="P69" s="4750">
        <f>+(P60/(P62+P27+P93))*100</f>
        <v>0</v>
      </c>
      <c r="Q69" s="832" t="s">
        <v>32</v>
      </c>
      <c r="R69" s="612">
        <f>+(R60/(R62+R27+R93))*100</f>
        <v>0</v>
      </c>
      <c r="S69" s="2213">
        <v>0</v>
      </c>
      <c r="T69" s="4750">
        <f>+(T60/(T62+T27+T93))*100</f>
        <v>0</v>
      </c>
      <c r="U69" s="832" t="s">
        <v>32</v>
      </c>
      <c r="V69" s="612">
        <f>+(V60/(V62+V27+V93))*100</f>
        <v>0</v>
      </c>
      <c r="W69" s="2213">
        <v>0</v>
      </c>
      <c r="X69" s="4750">
        <f>+(X60/(X62+X27+X93))*100</f>
        <v>0</v>
      </c>
      <c r="Y69" s="2245" t="s">
        <v>32</v>
      </c>
      <c r="Z69" s="611">
        <f>+(Z60/(Z62+Z27+Z93))*100</f>
        <v>0</v>
      </c>
      <c r="AA69" s="2246" t="s">
        <v>32</v>
      </c>
      <c r="AB69" s="2247">
        <f>+(AB60/(AB62+AB27+AB93))*100</f>
        <v>0</v>
      </c>
      <c r="AC69" s="2213">
        <v>0</v>
      </c>
      <c r="AD69" s="4750">
        <f>+(AD60/(AD62+AD27+AD93))*100</f>
        <v>0</v>
      </c>
      <c r="AE69" s="832" t="s">
        <v>32</v>
      </c>
      <c r="AF69" s="612">
        <f>+(AF60/(AF62+AF27+AF93))*100</f>
        <v>0</v>
      </c>
      <c r="AG69" s="2213">
        <v>0</v>
      </c>
      <c r="AH69" s="4750">
        <f>+(AH60/(AH62+AH27+AH93))*100</f>
        <v>0</v>
      </c>
      <c r="AI69" s="832" t="s">
        <v>32</v>
      </c>
      <c r="AJ69" s="612">
        <f>+(AJ60/(AJ62+AJ27+AJ93))*100</f>
        <v>0</v>
      </c>
      <c r="AK69" s="2213">
        <v>0</v>
      </c>
      <c r="AL69" s="4750">
        <f>+(AL60/(AL62+AL27+AL93))*100</f>
        <v>0</v>
      </c>
      <c r="AM69" s="2245" t="s">
        <v>32</v>
      </c>
      <c r="AN69" s="611">
        <f>+(AN60/(AN62+AN27+AN93))*100</f>
        <v>0</v>
      </c>
      <c r="AO69" s="832" t="s">
        <v>32</v>
      </c>
      <c r="AP69" s="612">
        <f>+(AP60/(AP62+AP27+AP93))*100</f>
        <v>0</v>
      </c>
      <c r="AQ69" s="2213">
        <v>0</v>
      </c>
      <c r="AR69" s="4750">
        <f>+(AR60/(AR62+AR27+AR93))*100</f>
        <v>0</v>
      </c>
      <c r="AS69" s="832" t="s">
        <v>32</v>
      </c>
      <c r="AT69" s="612">
        <f>+(AT60/(AT62+AT27+AT93))*100</f>
        <v>0</v>
      </c>
      <c r="AU69" s="2213">
        <v>0</v>
      </c>
      <c r="AV69" s="4750">
        <f>+(AV60/(AV62+AV27+AV93))*100</f>
        <v>0</v>
      </c>
      <c r="AW69" s="832" t="s">
        <v>32</v>
      </c>
      <c r="AX69" s="612">
        <f>+(AX60/(AX62+AX27+AX93))*100</f>
        <v>0</v>
      </c>
      <c r="AY69" s="2213">
        <v>0</v>
      </c>
      <c r="AZ69" s="4750">
        <f>+(AZ60/(AZ62+AZ27+AZ93))*100</f>
        <v>0</v>
      </c>
      <c r="BA69" s="2245" t="s">
        <v>32</v>
      </c>
      <c r="BB69" s="611">
        <f>+(BB60/(BB62+BB27+BB93))*100</f>
        <v>0</v>
      </c>
      <c r="BC69" s="2246" t="s">
        <v>32</v>
      </c>
      <c r="BD69" s="2247">
        <f>+(BD60/(BD62+BD27+BD93))*100</f>
        <v>0</v>
      </c>
      <c r="BE69" s="832" t="s">
        <v>32</v>
      </c>
      <c r="BF69" s="612">
        <f>+(BF60/(BF62+BF27+BF93))*100</f>
        <v>0</v>
      </c>
      <c r="BG69" s="26"/>
      <c r="BH69" s="26"/>
      <c r="BI69" s="26"/>
      <c r="BJ69" s="26"/>
    </row>
    <row r="70" spans="1:62" ht="30" x14ac:dyDescent="0.25">
      <c r="A70" s="199" t="s">
        <v>631</v>
      </c>
      <c r="B70" s="3975" t="s">
        <v>585</v>
      </c>
      <c r="C70" s="759" t="s">
        <v>49</v>
      </c>
      <c r="D70" s="2227">
        <v>18</v>
      </c>
      <c r="E70" s="1224">
        <f>+$D$70</f>
        <v>18</v>
      </c>
      <c r="F70" s="1224">
        <f>+(F58/(F62+F27+F93))*100</f>
        <v>19.400891873268513</v>
      </c>
      <c r="G70" s="1224">
        <f>+$D$70</f>
        <v>18</v>
      </c>
      <c r="H70" s="1224">
        <f>+(H58/(H62+H27+H93))*100</f>
        <v>18.551681924645752</v>
      </c>
      <c r="I70" s="4754">
        <f>+(I58/(I62+I27+I93))*100</f>
        <v>18.000000000000007</v>
      </c>
      <c r="J70" s="2217">
        <f>+(J58/(J62+J27+J93))*100</f>
        <v>18.949924765144672</v>
      </c>
      <c r="K70" s="1224">
        <f>+$D$70</f>
        <v>18</v>
      </c>
      <c r="L70" s="1224">
        <f>+(L58/(L62+L27+L93))*100</f>
        <v>17.608439269183705</v>
      </c>
      <c r="M70" s="1577">
        <f>+$D$70</f>
        <v>18</v>
      </c>
      <c r="N70" s="95">
        <f>+(N58/(N62+N27+N93))*100</f>
        <v>18.571399585080588</v>
      </c>
      <c r="O70" s="1224">
        <f>+$D$70</f>
        <v>18</v>
      </c>
      <c r="P70" s="1224">
        <f>+(P58/(P62+P27+P93))*100</f>
        <v>17.997405097636904</v>
      </c>
      <c r="Q70" s="833">
        <f>+(Q58/(Q62+Q27+Q93))*100</f>
        <v>18.000000000000004</v>
      </c>
      <c r="R70" s="613">
        <f>+(R58/(R62+R27+R93))*100</f>
        <v>18.403074433294613</v>
      </c>
      <c r="S70" s="1224">
        <f>+$D$70</f>
        <v>18</v>
      </c>
      <c r="T70" s="1224">
        <f>+(T58/(T62+T27+T93))*100</f>
        <v>18.27181836004856</v>
      </c>
      <c r="U70" s="833">
        <f>+(U58/(U62+U27+U93))*100</f>
        <v>18.000000000000004</v>
      </c>
      <c r="V70" s="613">
        <f>+(V58/(V62+V27+V93))*100</f>
        <v>18.374558379598071</v>
      </c>
      <c r="W70" s="1224">
        <f>+$D$70</f>
        <v>18</v>
      </c>
      <c r="X70" s="1224">
        <f>+(X58/(X62+X27+X93))*100</f>
        <v>20.107106063078874</v>
      </c>
      <c r="Y70" s="195">
        <f>+(Y58/(Y62+Y27+Y93))*100</f>
        <v>18.000000000000004</v>
      </c>
      <c r="Z70" s="195">
        <f>+(Z58/(Z27+Z62+Z93))*100</f>
        <v>18.776745794639886</v>
      </c>
      <c r="AA70" s="834">
        <f>+(AA58/(AA62+AA27+AA93))*100</f>
        <v>18.000000000000004</v>
      </c>
      <c r="AB70" s="494">
        <f>+(AB58/(AB62+AB27+AB93))*100</f>
        <v>18.683397293140892</v>
      </c>
      <c r="AC70" s="1224">
        <f>+$D$70</f>
        <v>18</v>
      </c>
      <c r="AD70" s="1224">
        <f>+(AD58/(AD62+AD27+AD93))*100</f>
        <v>20.333117870264896</v>
      </c>
      <c r="AE70" s="833">
        <f>+(AE58/(AE62+AE27+AE93))*100</f>
        <v>18.000000000000004</v>
      </c>
      <c r="AF70" s="613">
        <f>+(AF58/(AF62+AF27+AF93))*100</f>
        <v>18.935079565682607</v>
      </c>
      <c r="AG70" s="1224">
        <f>+$D$70</f>
        <v>18</v>
      </c>
      <c r="AH70" s="1224">
        <f>+(AH58/(AH62+AH27+AH93))*100</f>
        <v>27.1538132544208</v>
      </c>
      <c r="AI70" s="833">
        <f>+(AI58/(AI62+AI27+AI93))*100</f>
        <v>18.000000000000004</v>
      </c>
      <c r="AJ70" s="613">
        <f>+(AJ58/(AJ62+AJ27+AJ93))*100</f>
        <v>18.972476643634263</v>
      </c>
      <c r="AK70" s="1224">
        <f>+$D$70</f>
        <v>18</v>
      </c>
      <c r="AL70" s="1224">
        <f>+(AL58/(AL62+AL27+AL93))*100</f>
        <v>19.986726445869714</v>
      </c>
      <c r="AM70" s="195">
        <f>+(AM58/(AM62+AM27+AM93))*100</f>
        <v>18.000000000000004</v>
      </c>
      <c r="AN70" s="195">
        <f>+(AN58/(AN27+AN62+AN93))*100</f>
        <v>20.265016275523735</v>
      </c>
      <c r="AO70" s="833">
        <f>+(AO58/(AO62+AO27+AO93))*100</f>
        <v>18.000000000000004</v>
      </c>
      <c r="AP70" s="613">
        <f>+(AP58/(AP62+AP27+AP93))*100</f>
        <v>19.104616942550788</v>
      </c>
      <c r="AQ70" s="1224">
        <f>+$D$70</f>
        <v>18</v>
      </c>
      <c r="AR70" s="1224">
        <f>+(AR58/(AR62+AR27+AR93))*100</f>
        <v>19.349827524196535</v>
      </c>
      <c r="AS70" s="3206">
        <f>+(AS58/(AS62+AS27+AS93))*100</f>
        <v>18.000000000000007</v>
      </c>
      <c r="AT70" s="2834">
        <f>+(AT58/(AT62+AT27+AT93))*100</f>
        <v>19.132663966243651</v>
      </c>
      <c r="AU70" s="1224">
        <f>+$D$70</f>
        <v>18</v>
      </c>
      <c r="AV70" s="1224">
        <f>+(AV58/(AV62+AV27+AV93))*100</f>
        <v>20.251127954094748</v>
      </c>
      <c r="AW70" s="3206">
        <f>+(AW58/(AW62+AW27+AW93))*100</f>
        <v>18.000000000000004</v>
      </c>
      <c r="AX70" s="2834">
        <f>+(AX58/(AX62+AX27+AX93))*100</f>
        <v>19.24276145791297</v>
      </c>
      <c r="AY70" s="1224">
        <f>+$D$70</f>
        <v>18</v>
      </c>
      <c r="AZ70" s="1224">
        <f>+(AZ58/(AZ62+AZ27+AZ93))*100</f>
        <v>20.619028403769928</v>
      </c>
      <c r="BA70" s="3205">
        <f>+(BA58/(BA62+BA27+BA93))*100</f>
        <v>18.000000000000004</v>
      </c>
      <c r="BB70" s="195">
        <f>+(BB58/(BB27+BB62+BB93))*100</f>
        <v>20.090330236300996</v>
      </c>
      <c r="BC70" s="3204">
        <f>+(BC58/(BC62+BC27+BC93))*100</f>
        <v>18.000000000000004</v>
      </c>
      <c r="BD70" s="494">
        <f>+(BD58/(BD62+BD27+BD93))*100</f>
        <v>20.160589818351593</v>
      </c>
      <c r="BE70" s="3206">
        <f>+(BE58/(BE62+BE27+BE93))*100</f>
        <v>18.000000000000004</v>
      </c>
      <c r="BF70" s="613">
        <f>+(BF58/(BF62+BF27+BF93))*100</f>
        <v>19.384147288607032</v>
      </c>
      <c r="BG70" s="26"/>
      <c r="BH70" s="26"/>
      <c r="BI70" s="26"/>
      <c r="BJ70" s="26"/>
    </row>
    <row r="71" spans="1:62" x14ac:dyDescent="0.25">
      <c r="A71" s="199" t="s">
        <v>631</v>
      </c>
      <c r="B71" s="1772" t="s">
        <v>583</v>
      </c>
      <c r="C71" s="551" t="s">
        <v>49</v>
      </c>
      <c r="D71" s="775">
        <v>10</v>
      </c>
      <c r="E71" s="191">
        <f>+$D$71</f>
        <v>10</v>
      </c>
      <c r="F71" s="191">
        <f>+(F64/(F64+F23+F24+F33))*100</f>
        <v>12.398068989634911</v>
      </c>
      <c r="G71" s="191">
        <f>+$D$71</f>
        <v>10</v>
      </c>
      <c r="H71" s="191">
        <f>+(H64/(H64+H23+H24+H33))*100</f>
        <v>10.273368388305752</v>
      </c>
      <c r="I71" s="4755">
        <f>+(I64/(I64+I23+I24))*100</f>
        <v>10</v>
      </c>
      <c r="J71" s="2206">
        <f>+(J64/(J64+J23+J24+J33))*100</f>
        <v>11.28466597964748</v>
      </c>
      <c r="K71" s="191">
        <f>+$D$71</f>
        <v>10</v>
      </c>
      <c r="L71" s="191">
        <f>+(L64/(L64+L23+L24+L33))*100</f>
        <v>9.4378914552708917</v>
      </c>
      <c r="M71" s="77">
        <f>+$D$71</f>
        <v>10</v>
      </c>
      <c r="N71" s="90">
        <f>+(N64/(N64+N23+N24+N33))*100</f>
        <v>10.731617728741785</v>
      </c>
      <c r="O71" s="191">
        <f>+$D$71</f>
        <v>10</v>
      </c>
      <c r="P71" s="191">
        <f>+(P64/(P64+P23+P24+P33))*100</f>
        <v>7.3378804724536586</v>
      </c>
      <c r="Q71" s="835">
        <f>+(Q64/(Q64+Q23+Q24))*100</f>
        <v>9.9999999999999982</v>
      </c>
      <c r="R71" s="402">
        <f>+(R64/(R64+R23+R24+R33))*100</f>
        <v>9.7722714419859003</v>
      </c>
      <c r="S71" s="191">
        <f>+$D$71</f>
        <v>10</v>
      </c>
      <c r="T71" s="191">
        <f>+(T64/(T64+T23+T24+T33))*100</f>
        <v>8.1696609167739176</v>
      </c>
      <c r="U71" s="835">
        <f>+(U64/(U64+U23+U24))*100</f>
        <v>10</v>
      </c>
      <c r="V71" s="402">
        <f>+(V64/(V64+V23+V24+V33))*100</f>
        <v>9.4176051018637672</v>
      </c>
      <c r="W71" s="191">
        <f>+$D$71</f>
        <v>10</v>
      </c>
      <c r="X71" s="191">
        <f>+(X64/(X64+X23+X24+X33))*100</f>
        <v>9.204654142006051</v>
      </c>
      <c r="Y71" s="195">
        <f>+(Y64/(Y64+Y23+Y24))*100</f>
        <v>9.9999999999999964</v>
      </c>
      <c r="Z71" s="195">
        <f>+(Z64/(Z64+Z23+Z24+Z33))*100</f>
        <v>8.2473741904843791</v>
      </c>
      <c r="AA71" s="834">
        <f>+(AA64/(AA64+AA23+AA24))*100</f>
        <v>9.9999999999999964</v>
      </c>
      <c r="AB71" s="494">
        <f>+(AB64/(AB64+AB23+AB24+AB33))*100</f>
        <v>9.3781941509898772</v>
      </c>
      <c r="AC71" s="191">
        <f>+$D$71</f>
        <v>10</v>
      </c>
      <c r="AD71" s="191">
        <f>+(AD64/(AD64+AD23+AD24+AD33))*100</f>
        <v>7.4353516219952205</v>
      </c>
      <c r="AE71" s="835">
        <f>+(AE64/(AE64+AE23+AE24))*100</f>
        <v>9.9999999999999982</v>
      </c>
      <c r="AF71" s="402">
        <f>+(AF64/(AF64+AF23+AF24+AF33))*100</f>
        <v>9.0915611079938916</v>
      </c>
      <c r="AG71" s="191">
        <f>+$D$71</f>
        <v>10</v>
      </c>
      <c r="AH71" s="191">
        <f>+(AH64/(AH64+AH23+AH24+AH33))*100</f>
        <v>11.063878115776033</v>
      </c>
      <c r="AI71" s="835">
        <f>+(AI64/(AI64+AI23+AI24))*100</f>
        <v>9.9999999999999982</v>
      </c>
      <c r="AJ71" s="402">
        <f>+(AJ64/(AJ64+AJ23+AJ24+AJ33))*100</f>
        <v>9.1158761703749018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10</v>
      </c>
      <c r="AN71" s="195">
        <f>+(AN64/(AN64+AN23+AN24+AN33))*100</f>
        <v>7.96085839745892</v>
      </c>
      <c r="AO71" s="835">
        <f>+(AO64/(AO64+AO23+AO24))*100</f>
        <v>9.9999999999999982</v>
      </c>
      <c r="AP71" s="402">
        <f>+(AP64/(AP64+AP23+AP24+AP33))*100</f>
        <v>8.9956379865750584</v>
      </c>
      <c r="AQ71" s="191">
        <f>+$D$71</f>
        <v>10</v>
      </c>
      <c r="AR71" s="191">
        <f>+(AR64/(AR64+AR23+AR24+AR33))*100</f>
        <v>9.4119818682894323</v>
      </c>
      <c r="AS71" s="3203">
        <f>+(AS64/(AS64+AS23+AS24))*100</f>
        <v>9.9999999999999982</v>
      </c>
      <c r="AT71" s="4167">
        <f>+(AT64/(AT64+AT23+AT24+AT33))*100</f>
        <v>9.0421650020127569</v>
      </c>
      <c r="AU71" s="191">
        <f>+$D$71</f>
        <v>10</v>
      </c>
      <c r="AV71" s="191">
        <f>+(AV64/(AV64+AV23+AV24+AV33))*100</f>
        <v>9.8754019252677185</v>
      </c>
      <c r="AW71" s="3203">
        <f>+(AW64/(AW64+AW23+AW24))*100</f>
        <v>9.9999999999999982</v>
      </c>
      <c r="AX71" s="4167">
        <f>+(AX64/(AX64+AX23+AX24+AX33))*100</f>
        <v>9.1185246828358402</v>
      </c>
      <c r="AY71" s="191">
        <f>+$D$71</f>
        <v>10</v>
      </c>
      <c r="AZ71" s="191">
        <f>+(AZ64/(AZ64+AZ23+AZ24+AZ33))*100</f>
        <v>9.2749453262896164</v>
      </c>
      <c r="BA71" s="3205">
        <f>+(BA64/(BA64+BA23+BA24))*100</f>
        <v>10.000000000000002</v>
      </c>
      <c r="BB71" s="195">
        <f>+(BB64/(BB64+BB23+BB24+BB33))*100</f>
        <v>9.5107847497606084</v>
      </c>
      <c r="BC71" s="3204">
        <f>+(BC64/(BC64+BC23+BC24))*100</f>
        <v>10</v>
      </c>
      <c r="BD71" s="494">
        <f>+(BD64/(BD64+BD23+BD24+BD33))*100</f>
        <v>8.849053758883656</v>
      </c>
      <c r="BE71" s="3203">
        <f>+(BE64/(BE64+BE23+BE24))*100</f>
        <v>10</v>
      </c>
      <c r="BF71" s="402">
        <f>+(BF64/(BF64+BF23+BF24+BF33))*100</f>
        <v>9.1326355107888109</v>
      </c>
      <c r="BG71" s="26"/>
      <c r="BH71" s="26"/>
      <c r="BI71" s="26"/>
      <c r="BJ71" s="26"/>
    </row>
    <row r="72" spans="1:62" x14ac:dyDescent="0.25">
      <c r="A72" s="199"/>
      <c r="B72" s="1772" t="s">
        <v>1328</v>
      </c>
      <c r="C72" s="551" t="s">
        <v>49</v>
      </c>
      <c r="D72" s="406">
        <v>1.5</v>
      </c>
      <c r="E72" s="1139">
        <f>+$D$72</f>
        <v>1.5</v>
      </c>
      <c r="F72" s="1139">
        <f>+(F66/(F66+F30))*100</f>
        <v>0.90957079131725704</v>
      </c>
      <c r="G72" s="1139">
        <f>+$D$72</f>
        <v>1.5</v>
      </c>
      <c r="H72" s="1139">
        <f>+(H66/(H66+H30))*100</f>
        <v>1.8568295436239235</v>
      </c>
      <c r="I72" s="4755">
        <f>+$D$72</f>
        <v>1.5</v>
      </c>
      <c r="J72" s="2206">
        <f>+(J66/(J66+J30))*100</f>
        <v>1.3867948559252121</v>
      </c>
      <c r="K72" s="1139">
        <f>+$D$72</f>
        <v>1.5</v>
      </c>
      <c r="L72" s="1139">
        <f>+(L66/(L66+L30))*100</f>
        <v>1.2491216807252903</v>
      </c>
      <c r="M72" s="77">
        <f>+$D$72</f>
        <v>1.5</v>
      </c>
      <c r="N72" s="2110">
        <f t="shared" ref="N72" si="382">+(N66/(N66+N30))*100</f>
        <v>1.3706194867430992</v>
      </c>
      <c r="O72" s="1139">
        <f>+$D$72</f>
        <v>1.5</v>
      </c>
      <c r="P72" s="1139">
        <f>+(P66/(P66+P30))*100</f>
        <v>1.3280136341664126</v>
      </c>
      <c r="Q72" s="1372">
        <f>+$D$72</f>
        <v>1.5</v>
      </c>
      <c r="R72" s="417">
        <f t="shared" ref="R72" si="383">+(R66/(R66+R30))*100</f>
        <v>1.3591454671395335</v>
      </c>
      <c r="S72" s="1139">
        <f>+$D$72</f>
        <v>1.5</v>
      </c>
      <c r="T72" s="1139">
        <f>+(T66/(T66+T30))*100</f>
        <v>1.379827014424907</v>
      </c>
      <c r="U72" s="1372">
        <f>+$D$72</f>
        <v>1.5</v>
      </c>
      <c r="V72" s="417">
        <f t="shared" ref="V72" si="384">+(V66/(V66+V30))*100</f>
        <v>1.3636100414950103</v>
      </c>
      <c r="W72" s="1139">
        <f>+$D$72</f>
        <v>1.5</v>
      </c>
      <c r="X72" s="1139">
        <f>+(X66/(X66+X30))*100</f>
        <v>1.3762843207550335</v>
      </c>
      <c r="Y72" s="1373">
        <f>+$D$72</f>
        <v>1.5</v>
      </c>
      <c r="Z72" s="426">
        <f t="shared" ref="Z72:AB72" si="385">+(Z66/(Z66+Z30))*100</f>
        <v>1.361416829254587</v>
      </c>
      <c r="AA72" s="834">
        <f>D72</f>
        <v>1.5</v>
      </c>
      <c r="AB72" s="494">
        <f t="shared" si="385"/>
        <v>1.3657670758555416</v>
      </c>
      <c r="AC72" s="1139">
        <f>+$D$72</f>
        <v>1.5</v>
      </c>
      <c r="AD72" s="1139">
        <f>+(AD66/(AD66+AD30))*100</f>
        <v>1.579555896154226</v>
      </c>
      <c r="AE72" s="1372">
        <f>+$D$72</f>
        <v>1.5</v>
      </c>
      <c r="AF72" s="417">
        <f t="shared" ref="AF72" si="386">+(AF66/(AF66+AF30))*100</f>
        <v>1.3973414605974441</v>
      </c>
      <c r="AG72" s="1139">
        <f>+$D$72</f>
        <v>1.5</v>
      </c>
      <c r="AH72" s="1139">
        <f>+(AH66/(AH66+AH30))*100</f>
        <v>3.129776479066658</v>
      </c>
      <c r="AI72" s="1372">
        <f>+$D$72</f>
        <v>1.5</v>
      </c>
      <c r="AJ72" s="417">
        <f t="shared" ref="AJ72" si="387">+(AJ66/(AJ66+AJ30))*100</f>
        <v>1.4149383260084401</v>
      </c>
      <c r="AK72" s="1139">
        <f>+$D$72</f>
        <v>1.5</v>
      </c>
      <c r="AL72" s="1139">
        <f>+(AL66/(AL66+AL30))*100</f>
        <v>1.6261983720814301</v>
      </c>
      <c r="AM72" s="1373">
        <f>+$D$72</f>
        <v>1.5</v>
      </c>
      <c r="AN72" s="426">
        <f t="shared" ref="AN72" si="388">+(AN66/(AN66+AN30))*100</f>
        <v>1.6485217419242402</v>
      </c>
      <c r="AO72" s="1372">
        <f>+$D$72</f>
        <v>1.5</v>
      </c>
      <c r="AP72" s="417">
        <f t="shared" ref="AP72" si="389">+(AP66/(AP66+AP30))*100</f>
        <v>1.4533664874910324</v>
      </c>
      <c r="AQ72" s="1139">
        <f>+$D$72</f>
        <v>1.5</v>
      </c>
      <c r="AR72" s="1139">
        <f>+(AR66/(AR66+AR30))*100</f>
        <v>1.7507063361138835</v>
      </c>
      <c r="AS72" s="1372">
        <f>+$D$72</f>
        <v>1.5</v>
      </c>
      <c r="AT72" s="420">
        <f t="shared" ref="AT72" si="390">+(AT66/(AT66+AT30))*100</f>
        <v>1.4930673945671629</v>
      </c>
      <c r="AU72" s="1139">
        <f>+$D$72</f>
        <v>1.5</v>
      </c>
      <c r="AV72" s="191">
        <f>+(AV66/(AV66+AV30))*100</f>
        <v>1.7757169736481009</v>
      </c>
      <c r="AW72" s="1372">
        <f>+$D$72</f>
        <v>1.5</v>
      </c>
      <c r="AX72" s="420">
        <f t="shared" ref="AX72" si="391">+(AX66/(AX66+AX30))*100</f>
        <v>1.5184277780879345</v>
      </c>
      <c r="AY72" s="1139">
        <f>+$D$72</f>
        <v>1.5</v>
      </c>
      <c r="AZ72" s="191">
        <f>+(AZ66/(AZ66+AZ30))*100</f>
        <v>3.7795462398945072</v>
      </c>
      <c r="BA72" s="1373">
        <f>+$D$72</f>
        <v>1.5</v>
      </c>
      <c r="BB72" s="426">
        <f t="shared" ref="BB72" si="392">+(BB66/(BB66+BB30))*100</f>
        <v>2.2371488110293032</v>
      </c>
      <c r="BC72" s="834">
        <v>2.7</v>
      </c>
      <c r="BD72" s="494">
        <f t="shared" ref="BD72" si="393">+(BD66/(BD66+BD30))*100</f>
        <v>1.9609655284555838</v>
      </c>
      <c r="BE72" s="1372">
        <f>+$D$72</f>
        <v>1.5</v>
      </c>
      <c r="BF72" s="417">
        <f t="shared" ref="BF72" si="394">+(BF66/(BF66+BF30))*100</f>
        <v>1.6567765943564201</v>
      </c>
      <c r="BG72" s="26"/>
      <c r="BH72" s="26"/>
      <c r="BI72" s="26"/>
      <c r="BJ72" s="26"/>
    </row>
    <row r="73" spans="1:62" ht="15.75" thickBot="1" x14ac:dyDescent="0.3">
      <c r="A73" s="199" t="s">
        <v>631</v>
      </c>
      <c r="B73" s="1773" t="s">
        <v>599</v>
      </c>
      <c r="C73" s="750" t="s">
        <v>49</v>
      </c>
      <c r="D73" s="1004">
        <v>15</v>
      </c>
      <c r="E73" s="192">
        <f>+$D$73</f>
        <v>15</v>
      </c>
      <c r="F73" s="2221">
        <f>+(F68/(F68+F28))*100</f>
        <v>6.1129966746533881</v>
      </c>
      <c r="G73" s="192">
        <f>+$D$73</f>
        <v>15</v>
      </c>
      <c r="H73" s="2221">
        <f>+(H68/(H68+H28))*100</f>
        <v>8.937549332348075</v>
      </c>
      <c r="I73" s="4756">
        <f>+(I68/(I68+I28))*100</f>
        <v>15</v>
      </c>
      <c r="J73" s="2223">
        <f>+(J68/(J68+J28))*100</f>
        <v>7.6772764421521433</v>
      </c>
      <c r="K73" s="192">
        <f>+$D$73</f>
        <v>15</v>
      </c>
      <c r="L73" s="2221">
        <f>+(L68/(L68+L28))*100</f>
        <v>18.910094876367861</v>
      </c>
      <c r="M73" s="1899">
        <f>+$D$73</f>
        <v>15</v>
      </c>
      <c r="N73" s="4757">
        <f>+(N68/(N68+N28))*100</f>
        <v>10.372540673156374</v>
      </c>
      <c r="O73" s="192">
        <f>+$D$73</f>
        <v>15</v>
      </c>
      <c r="P73" s="2221">
        <f>+(P68/(P68+P28))*100</f>
        <v>18.801787029084473</v>
      </c>
      <c r="Q73" s="836">
        <f>+(Q68/(Q68+Q28))*100</f>
        <v>15.000000000000002</v>
      </c>
      <c r="R73" s="614">
        <f>+(R68/(R68+R28))*100</f>
        <v>12.239218483973255</v>
      </c>
      <c r="S73" s="192">
        <f>+$D$73</f>
        <v>15</v>
      </c>
      <c r="T73" s="2221">
        <f>+(T68/(T68+T28))*100</f>
        <v>15.151706760398467</v>
      </c>
      <c r="U73" s="836">
        <f>+(U68/(U68+U28))*100</f>
        <v>15.000000000000002</v>
      </c>
      <c r="V73" s="614">
        <f>+(V68/(V68+V28))*100</f>
        <v>12.793879275361816</v>
      </c>
      <c r="W73" s="192">
        <f>+$D$73</f>
        <v>15</v>
      </c>
      <c r="X73" s="2221">
        <f>+(X68/(X68+X28))*100</f>
        <v>16.285823634318543</v>
      </c>
      <c r="Y73" s="195">
        <f>+(Y68/(Y68+Y28))*100</f>
        <v>15.000000000000002</v>
      </c>
      <c r="Z73" s="195">
        <f>+(Z68/(Z68+Z28))*100</f>
        <v>16.672142169897981</v>
      </c>
      <c r="AA73" s="834">
        <f>+(AA68/(AA68+AA28))*100</f>
        <v>15.000000000000002</v>
      </c>
      <c r="AB73" s="494">
        <f>+(AB68/(AB68+AB28))*100</f>
        <v>13.466963072680205</v>
      </c>
      <c r="AC73" s="192">
        <f>+$D$73</f>
        <v>15</v>
      </c>
      <c r="AD73" s="2221">
        <f>+(AD68/(AD68+AD28))*100</f>
        <v>18.87265504122367</v>
      </c>
      <c r="AE73" s="836">
        <f>+(AE68/(AE68+AE28))*100</f>
        <v>15.000000000000002</v>
      </c>
      <c r="AF73" s="614">
        <f>+(AF68/(AF68+AF28))*100</f>
        <v>14.166099691453912</v>
      </c>
      <c r="AG73" s="192">
        <f>+$D$73</f>
        <v>15</v>
      </c>
      <c r="AH73" s="2221">
        <f>+(AH68/(AH68+AH28))*100</f>
        <v>60.029181420095142</v>
      </c>
      <c r="AI73" s="836">
        <f>+(AI68/(AI68+AI28))*100</f>
        <v>15.000000000000002</v>
      </c>
      <c r="AJ73" s="614">
        <f>+(AJ68/(AJ68+AJ28))*100</f>
        <v>14.305404799570208</v>
      </c>
      <c r="AK73" s="192">
        <f>+$D$73</f>
        <v>15</v>
      </c>
      <c r="AL73" s="2221">
        <f>+(AL68/(AL68+AL28))*100</f>
        <v>16.331205452405847</v>
      </c>
      <c r="AM73" s="195">
        <f>+(AM68/(AM68+AM28))*100</f>
        <v>15</v>
      </c>
      <c r="AN73" s="195">
        <f>+(AN68/(AN68+AN28))*100</f>
        <v>17.915993779351005</v>
      </c>
      <c r="AO73" s="836">
        <f>+(AO68/(AO68+AO28))*100</f>
        <v>15</v>
      </c>
      <c r="AP73" s="614">
        <f>+(AP68/(AP68+AP28))*100</f>
        <v>14.582639300758569</v>
      </c>
      <c r="AQ73" s="192">
        <f>+$D$73</f>
        <v>15</v>
      </c>
      <c r="AR73" s="2221">
        <f>+(AR68/(AR68+AR28))*100</f>
        <v>13.568070280965197</v>
      </c>
      <c r="AS73" s="6361">
        <f>+(AS68/(AS68+AS28))*100</f>
        <v>15.000000000000002</v>
      </c>
      <c r="AT73" s="5717">
        <f>+(AT68/(AT68+AT28))*100</f>
        <v>14.431159891570875</v>
      </c>
      <c r="AU73" s="192">
        <f>+$D$73</f>
        <v>15</v>
      </c>
      <c r="AV73" s="192">
        <f>+(AV68/(AV68+AV28))*100</f>
        <v>13.044680198643238</v>
      </c>
      <c r="AW73" s="6361">
        <f>+(AW68/(AW68+AW28))*100</f>
        <v>15.000000000000002</v>
      </c>
      <c r="AX73" s="5717">
        <f>+(AX68/(AX68+AX28))*100</f>
        <v>14.252711010174131</v>
      </c>
      <c r="AY73" s="192">
        <f>+$D$73</f>
        <v>15</v>
      </c>
      <c r="AZ73" s="192">
        <f>+(AZ68/(AZ68+AZ28))*100</f>
        <v>7.9506677173464544</v>
      </c>
      <c r="BA73" s="195">
        <f t="shared" ref="BA73:BF73" si="395">+(BA68/(BA68+BA28))*100</f>
        <v>15.000000000000002</v>
      </c>
      <c r="BB73" s="195">
        <f t="shared" si="395"/>
        <v>11.274047728153883</v>
      </c>
      <c r="BC73" s="834">
        <f t="shared" si="395"/>
        <v>15</v>
      </c>
      <c r="BD73" s="494">
        <f t="shared" si="395"/>
        <v>13.321274184184444</v>
      </c>
      <c r="BE73" s="836">
        <f t="shared" si="395"/>
        <v>15.000000000000002</v>
      </c>
      <c r="BF73" s="614">
        <f t="shared" si="395"/>
        <v>13.391119111474495</v>
      </c>
      <c r="BG73" s="26"/>
      <c r="BH73" s="26"/>
      <c r="BI73" s="26"/>
      <c r="BJ73" s="26"/>
    </row>
    <row r="74" spans="1:62" ht="15.75" thickBot="1" x14ac:dyDescent="0.3">
      <c r="A74" s="147"/>
      <c r="B74" s="4758" t="s">
        <v>248</v>
      </c>
      <c r="C74" s="826" t="s">
        <v>363</v>
      </c>
      <c r="D74" s="2444">
        <f>+'Maj Techno Summ'!D15</f>
        <v>871.29177755633066</v>
      </c>
      <c r="E74" s="2444">
        <f>+'Maj Techno Summ'!E15</f>
        <v>866.91251568708628</v>
      </c>
      <c r="F74" s="2444">
        <f>+'Maj Techno Summ'!F15</f>
        <v>848.82294100624927</v>
      </c>
      <c r="G74" s="2444">
        <f>+'Maj Techno Summ'!G15</f>
        <v>866.91251568708628</v>
      </c>
      <c r="H74" s="2444">
        <f>+'Maj Techno Summ'!H15</f>
        <v>836.726488959525</v>
      </c>
      <c r="I74" s="4207">
        <f>+'Maj Techno Summ'!I15</f>
        <v>866.91251568708617</v>
      </c>
      <c r="J74" s="4207">
        <f>+'Maj Techno Summ'!J15</f>
        <v>842.40311151610922</v>
      </c>
      <c r="K74" s="2444">
        <f>+'Maj Techno Summ'!K15</f>
        <v>918.52304191449321</v>
      </c>
      <c r="L74" s="2444">
        <f>+'Maj Techno Summ'!L15</f>
        <v>966.95282680626599</v>
      </c>
      <c r="M74" s="4003">
        <f>+'Maj Techno Summ'!M15</f>
        <v>880.73261912750058</v>
      </c>
      <c r="N74" s="4003">
        <f>+'Maj Techno Summ'!N15</f>
        <v>874.50928038399229</v>
      </c>
      <c r="O74" s="2444">
        <f>+'Maj Techno Summ'!O15</f>
        <v>1076.9039529754427</v>
      </c>
      <c r="P74" s="2444">
        <f>+'Maj Techno Summ'!P15</f>
        <v>883.14642328614877</v>
      </c>
      <c r="Q74" s="572">
        <f>+'Maj Techno Summ'!Q15</f>
        <v>900.48320239926613</v>
      </c>
      <c r="R74" s="572">
        <f>+'Maj Techno Summ'!R15</f>
        <v>876.91083429415221</v>
      </c>
      <c r="S74" s="2444">
        <f>+'Maj Techno Summ'!S15</f>
        <v>876.78258810480679</v>
      </c>
      <c r="T74" s="2444">
        <f>+'Maj Techno Summ'!T15</f>
        <v>908.50860040774546</v>
      </c>
      <c r="U74" s="4916">
        <f>+'Maj Techno Summ'!U15</f>
        <v>894.64920503447615</v>
      </c>
      <c r="V74" s="4916">
        <f>+'Maj Techno Summ'!V15</f>
        <v>883.68512732527745</v>
      </c>
      <c r="W74" s="2444">
        <f>+'Maj Techno Summ'!W15</f>
        <v>882.41812751169959</v>
      </c>
      <c r="X74" s="2444">
        <f>+'Maj Techno Summ'!X15</f>
        <v>913.7326875694223</v>
      </c>
      <c r="Y74" s="782">
        <f>+'Maj Techno Summ'!Y15</f>
        <v>915.86957773826725</v>
      </c>
      <c r="Z74" s="782">
        <f>+'Maj Techno Summ'!Z15</f>
        <v>901.68528532835387</v>
      </c>
      <c r="AA74" s="465">
        <f>+'Maj Techno Summ'!AA15</f>
        <v>896.62721680892457</v>
      </c>
      <c r="AB74" s="465">
        <f>+'Maj Techno Summ'!AB15</f>
        <v>888.99634076767518</v>
      </c>
      <c r="AC74" s="2444">
        <f>+'Maj Techno Summ'!AC15</f>
        <v>882.68648653107562</v>
      </c>
      <c r="AD74" s="2444">
        <f>+'Maj Techno Summ'!AD15</f>
        <v>891.41530285112128</v>
      </c>
      <c r="AE74" s="2402">
        <f>+'Maj Techno Summ'!AE15</f>
        <v>894.23519033709044</v>
      </c>
      <c r="AF74" s="2402">
        <f>+'Maj Techno Summ'!AF15</f>
        <v>889.34973879663232</v>
      </c>
      <c r="AG74" s="2444">
        <f>+'Maj Techno Summ'!AG15</f>
        <v>869.98415961395165</v>
      </c>
      <c r="AH74" s="2444">
        <f>+'Maj Techno Summ'!AH15</f>
        <v>1821.6956432768995</v>
      </c>
      <c r="AI74" s="5537">
        <f>+'Maj Techno Summ'!AI15</f>
        <v>890.78095288270583</v>
      </c>
      <c r="AJ74" s="5537">
        <f>+'Maj Techno Summ'!AJ15</f>
        <v>894.04779744691098</v>
      </c>
      <c r="AK74" s="2444">
        <f>+'Maj Techno Summ'!AK15</f>
        <v>869.98415961395165</v>
      </c>
      <c r="AL74" s="2444">
        <f>+'Maj Techno Summ'!AL15</f>
        <v>880.90898319828568</v>
      </c>
      <c r="AM74" s="2736">
        <f>+'Maj Techno Summ'!AM15</f>
        <v>883.49537384954363</v>
      </c>
      <c r="AN74" s="2736">
        <f>+'Maj Techno Summ'!AN15</f>
        <v>901.28447744134314</v>
      </c>
      <c r="AO74" s="2402">
        <f>+'Maj Techno Summ'!AO15</f>
        <v>891.62781841186938</v>
      </c>
      <c r="AP74" s="2402">
        <f>+'Maj Techno Summ'!AP15</f>
        <v>892.26279853414201</v>
      </c>
      <c r="AQ74" s="2444">
        <f>+'Maj Techno Summ'!AQ15</f>
        <v>869.98415961395165</v>
      </c>
      <c r="AR74" s="2444">
        <f>+'Maj Techno Summ'!AR15</f>
        <v>839.50234176485299</v>
      </c>
      <c r="AS74" s="2402">
        <f>+'Maj Techno Summ'!AS15</f>
        <v>889.16719326431166</v>
      </c>
      <c r="AT74" s="2402">
        <f>+'Maj Techno Summ'!AT15</f>
        <v>885.85411716939132</v>
      </c>
      <c r="AU74" s="2444">
        <f>+'Maj Techno Summ'!AU15</f>
        <v>869.98415961395165</v>
      </c>
      <c r="AV74" s="2444">
        <f>+'Maj Techno Summ'!AV15</f>
        <v>833.03361977916063</v>
      </c>
      <c r="AW74" s="6236">
        <f>+'Maj Techno Summ'!AW15</f>
        <v>887.38658989330054</v>
      </c>
      <c r="AX74" s="6236">
        <f>+'Maj Techno Summ'!AX15</f>
        <v>880.57000912800879</v>
      </c>
      <c r="AY74" s="2444">
        <f>+'Maj Techno Summ'!AY15</f>
        <v>869.98415961395165</v>
      </c>
      <c r="AZ74" s="2444">
        <f>+'Maj Techno Summ'!AZ15</f>
        <v>821.74730547663194</v>
      </c>
      <c r="BA74" s="3012">
        <f>+'Maj Techno Summ'!BA15</f>
        <v>879.17042362526865</v>
      </c>
      <c r="BB74" s="3012">
        <f>+'Maj Techno Summ'!BB15</f>
        <v>831.35602378652857</v>
      </c>
      <c r="BC74" s="3014">
        <f>+'Maj Techno Summ'!BC15</f>
        <v>881.35795809453384</v>
      </c>
      <c r="BD74" s="3014">
        <f>+'Maj Techno Summ'!BD15</f>
        <v>859.10332410303215</v>
      </c>
      <c r="BE74" s="2402">
        <f>+'Maj Techno Summ'!BE15</f>
        <v>888.2502525104909</v>
      </c>
      <c r="BF74" s="2402">
        <f>+'Maj Techno Summ'!BF15</f>
        <v>874.7338313610062</v>
      </c>
      <c r="BG74" s="26"/>
      <c r="BH74" s="26"/>
      <c r="BI74" s="26"/>
      <c r="BJ74" s="26"/>
    </row>
    <row r="75" spans="1:62" s="4712" customFormat="1" ht="15.75" hidden="1" thickBot="1" x14ac:dyDescent="0.3">
      <c r="A75" s="147"/>
      <c r="B75" s="4740" t="s">
        <v>1934</v>
      </c>
      <c r="C75" s="4685"/>
      <c r="D75" s="4681"/>
      <c r="E75" s="4681"/>
      <c r="F75" s="4681">
        <f>+F2*24</f>
        <v>720</v>
      </c>
      <c r="G75" s="7194"/>
      <c r="H75" s="7194">
        <f>+H2*24</f>
        <v>744</v>
      </c>
      <c r="I75" s="4680"/>
      <c r="J75" s="44">
        <f t="shared" ref="J75:J76" si="396">+F75+H75</f>
        <v>1464</v>
      </c>
      <c r="K75" s="4681"/>
      <c r="L75" s="4681">
        <f>+L2*24</f>
        <v>720</v>
      </c>
      <c r="M75" s="4683"/>
      <c r="N75" s="4683">
        <f>+F75+H75+L75</f>
        <v>2184</v>
      </c>
      <c r="O75" s="4790"/>
      <c r="P75" s="4790">
        <f>+P2*24</f>
        <v>744</v>
      </c>
      <c r="Q75" s="4676"/>
      <c r="R75" s="44">
        <f t="shared" ref="R75:R76" si="397">+N75+P75</f>
        <v>2928</v>
      </c>
      <c r="S75" s="4929"/>
      <c r="T75" s="4929">
        <f>+T2*24</f>
        <v>744</v>
      </c>
      <c r="U75" s="4916"/>
      <c r="V75" s="44">
        <f t="shared" ref="V75:V76" si="398">+R75+T75</f>
        <v>3672</v>
      </c>
      <c r="W75" s="5050"/>
      <c r="X75" s="5050">
        <f>+X2*24</f>
        <v>720</v>
      </c>
      <c r="Y75" s="4683"/>
      <c r="Z75" s="4683"/>
      <c r="AA75" s="4682"/>
      <c r="AB75" s="4682"/>
      <c r="AC75" s="5365"/>
      <c r="AD75" s="5365">
        <f>+AD2*24</f>
        <v>744</v>
      </c>
      <c r="AE75" s="4676"/>
      <c r="AF75" s="4676"/>
      <c r="AG75" s="5552"/>
      <c r="AH75" s="5552">
        <f>+AH2*24</f>
        <v>720</v>
      </c>
      <c r="AI75" s="5537"/>
      <c r="AJ75" s="5537"/>
      <c r="AK75" s="5948"/>
      <c r="AL75" s="5948">
        <f>+AL2*24</f>
        <v>744</v>
      </c>
      <c r="AM75" s="4683"/>
      <c r="AN75" s="4683"/>
      <c r="AO75" s="4676"/>
      <c r="AP75" s="4676"/>
      <c r="AQ75" s="6098"/>
      <c r="AR75" s="6098">
        <f>+AR2*24</f>
        <v>744</v>
      </c>
      <c r="AS75" s="4676"/>
      <c r="AT75" s="4676"/>
      <c r="AU75" s="6242"/>
      <c r="AV75" s="6242">
        <f>+AV2*24</f>
        <v>672</v>
      </c>
      <c r="AW75" s="6236"/>
      <c r="AX75" s="6236"/>
      <c r="AY75" s="6433"/>
      <c r="AZ75" s="6433">
        <f>+AZ2*24</f>
        <v>744</v>
      </c>
      <c r="BA75" s="4683"/>
      <c r="BB75" s="4683"/>
      <c r="BC75" s="4682"/>
      <c r="BD75" s="4682"/>
      <c r="BE75" s="4676"/>
      <c r="BF75" s="4676"/>
      <c r="BG75" s="26"/>
      <c r="BH75" s="26"/>
      <c r="BI75" s="26"/>
      <c r="BJ75" s="26"/>
    </row>
    <row r="76" spans="1:62" s="4712" customFormat="1" ht="15.75" hidden="1" thickBot="1" x14ac:dyDescent="0.3">
      <c r="A76" s="147"/>
      <c r="B76" s="4740" t="s">
        <v>1931</v>
      </c>
      <c r="C76" s="4685" t="s">
        <v>221</v>
      </c>
      <c r="D76" s="4681"/>
      <c r="E76" s="4681"/>
      <c r="F76" s="4681">
        <v>720</v>
      </c>
      <c r="G76" s="7194"/>
      <c r="H76" s="7194">
        <v>720</v>
      </c>
      <c r="I76" s="4680"/>
      <c r="J76" s="44">
        <f t="shared" si="396"/>
        <v>1440</v>
      </c>
      <c r="K76" s="4681"/>
      <c r="L76" s="4681">
        <v>602</v>
      </c>
      <c r="M76" s="4683"/>
      <c r="N76" s="4683">
        <f>+F76+H76+L76</f>
        <v>2042</v>
      </c>
      <c r="O76" s="4790"/>
      <c r="P76" s="4790">
        <v>726</v>
      </c>
      <c r="Q76" s="4676"/>
      <c r="R76" s="44">
        <f t="shared" si="397"/>
        <v>2768</v>
      </c>
      <c r="S76" s="4929"/>
      <c r="T76" s="4929">
        <v>720</v>
      </c>
      <c r="U76" s="4916"/>
      <c r="V76" s="44">
        <f t="shared" si="398"/>
        <v>3488</v>
      </c>
      <c r="W76" s="5050"/>
      <c r="X76" s="5050">
        <v>720</v>
      </c>
      <c r="Y76" s="4683"/>
      <c r="Z76" s="4683"/>
      <c r="AA76" s="4682"/>
      <c r="AB76" s="4682"/>
      <c r="AC76" s="5365"/>
      <c r="AD76" s="5365">
        <v>720</v>
      </c>
      <c r="AE76" s="4676"/>
      <c r="AF76" s="4676"/>
      <c r="AG76" s="5552"/>
      <c r="AH76" s="5552">
        <v>720</v>
      </c>
      <c r="AI76" s="5537"/>
      <c r="AJ76" s="5537"/>
      <c r="AK76" s="5948"/>
      <c r="AL76" s="5948">
        <v>720</v>
      </c>
      <c r="AM76" s="4683"/>
      <c r="AN76" s="4683"/>
      <c r="AO76" s="4676"/>
      <c r="AP76" s="4676"/>
      <c r="AQ76" s="6098"/>
      <c r="AR76" s="6098">
        <v>720</v>
      </c>
      <c r="AS76" s="4676"/>
      <c r="AT76" s="4676"/>
      <c r="AU76" s="6242"/>
      <c r="AV76" s="6242">
        <v>720</v>
      </c>
      <c r="AW76" s="6236"/>
      <c r="AX76" s="6236"/>
      <c r="AY76" s="6433"/>
      <c r="AZ76" s="6433">
        <v>720</v>
      </c>
      <c r="BA76" s="4683"/>
      <c r="BB76" s="4683"/>
      <c r="BC76" s="4682"/>
      <c r="BD76" s="4682"/>
      <c r="BE76" s="4676"/>
      <c r="BF76" s="4676"/>
      <c r="BG76" s="26"/>
      <c r="BH76" s="26"/>
      <c r="BI76" s="26"/>
      <c r="BJ76" s="26"/>
    </row>
    <row r="77" spans="1:62" x14ac:dyDescent="0.25">
      <c r="A77" s="4739"/>
      <c r="B77" s="4740" t="s">
        <v>251</v>
      </c>
      <c r="C77" s="4685" t="s">
        <v>49</v>
      </c>
      <c r="D77" s="2227">
        <v>93.429278758871092</v>
      </c>
      <c r="E77" s="1224">
        <v>96.666666666666671</v>
      </c>
      <c r="F77" s="1224">
        <f>+F50/F2*100</f>
        <v>88.888888888888886</v>
      </c>
      <c r="G77" s="1224">
        <v>96.774193548387103</v>
      </c>
      <c r="H77" s="1224">
        <f>+H50/H2*100</f>
        <v>96.102150537634401</v>
      </c>
      <c r="I77" s="4754">
        <f t="shared" ref="I77:J77" si="399">+I50/I2*100</f>
        <v>96.721311475409834</v>
      </c>
      <c r="J77" s="2217">
        <f t="shared" si="399"/>
        <v>92.554644808743163</v>
      </c>
      <c r="K77" s="1224">
        <v>63.333333333333336</v>
      </c>
      <c r="L77" s="1224">
        <f>+L50/L2*100</f>
        <v>83.645833333333343</v>
      </c>
      <c r="M77" s="1577">
        <f>M50/M2*100</f>
        <v>85.714285714285708</v>
      </c>
      <c r="N77" s="95">
        <f>+N50/N2*100</f>
        <v>89.617673992674014</v>
      </c>
      <c r="O77" s="1224">
        <v>30.64516129032258</v>
      </c>
      <c r="P77" s="1224">
        <f>+P50/P2*100</f>
        <v>97.580684188287549</v>
      </c>
      <c r="Q77" s="833">
        <f>+Q50/Q2*100</f>
        <v>71.721311475409834</v>
      </c>
      <c r="R77" s="613">
        <f>+R50/R2*100</f>
        <v>91.641061829264331</v>
      </c>
      <c r="S77" s="1224">
        <v>96.774193548387103</v>
      </c>
      <c r="T77" s="1224">
        <f>+T50/T2*100</f>
        <v>95.430107526881727</v>
      </c>
      <c r="U77" s="833">
        <f>+U50/U2*100</f>
        <v>76.797385620915037</v>
      </c>
      <c r="V77" s="613">
        <f>+V50/V2*100</f>
        <v>92.40877697061164</v>
      </c>
      <c r="W77" s="1224">
        <v>96.666666666666671</v>
      </c>
      <c r="X77" s="1224">
        <f t="shared" ref="X77:AB77" si="400">+X50/X2*100</f>
        <v>99.722222222222229</v>
      </c>
      <c r="Y77" s="782">
        <f t="shared" si="400"/>
        <v>74.456521739130437</v>
      </c>
      <c r="Z77" s="782">
        <f t="shared" si="400"/>
        <v>97.554360976488212</v>
      </c>
      <c r="AA77" s="465">
        <f t="shared" si="400"/>
        <v>80.054644808743163</v>
      </c>
      <c r="AB77" s="465">
        <f t="shared" si="400"/>
        <v>93.60770242169535</v>
      </c>
      <c r="AC77" s="1224">
        <v>96.774193548387103</v>
      </c>
      <c r="AD77" s="1224">
        <f t="shared" ref="AD77" si="401">+AD50/AD2*100</f>
        <v>96.662186379928301</v>
      </c>
      <c r="AE77" s="266">
        <f>+AE50/AE2*100</f>
        <v>82.476635514018696</v>
      </c>
      <c r="AF77" s="2399">
        <f>+AF50/AF2*100</f>
        <v>94.050174396953395</v>
      </c>
      <c r="AG77" s="1224">
        <v>96.666666666666671</v>
      </c>
      <c r="AH77" s="1224">
        <f t="shared" ref="AH77" si="402">+AH50/AH2*100</f>
        <v>9.5929672632350815</v>
      </c>
      <c r="AI77" s="266">
        <f>+AI50/AI2*100</f>
        <v>84.221311475409834</v>
      </c>
      <c r="AJ77" s="5535">
        <f>+AJ50/AJ2*100</f>
        <v>83.666091552643763</v>
      </c>
      <c r="AK77" s="1224">
        <v>96.774193548387103</v>
      </c>
      <c r="AL77" s="1224">
        <f t="shared" ref="AL77" si="403">+AL50/AL2*100</f>
        <v>99.204749103942646</v>
      </c>
      <c r="AM77" s="2736">
        <f>+AM50/AM2*100</f>
        <v>96.739130434782609</v>
      </c>
      <c r="AN77" s="2736">
        <f>+AN50/AN2*100</f>
        <v>69.126782803228821</v>
      </c>
      <c r="AO77" s="266">
        <f>+AO50/AO2*100</f>
        <v>85.636363636363626</v>
      </c>
      <c r="AP77" s="2399">
        <f>+AP50/AP2*100</f>
        <v>85.41772204024474</v>
      </c>
      <c r="AQ77" s="1224">
        <v>96.774193548387103</v>
      </c>
      <c r="AR77" s="1224">
        <f t="shared" ref="AR77" si="404">+AR50/AR2*100</f>
        <v>95.575716845878134</v>
      </c>
      <c r="AS77" s="266">
        <f>+AS50/AS2*100</f>
        <v>86.764705882352942</v>
      </c>
      <c r="AT77" s="266">
        <f>+AT50/AT2*100</f>
        <v>86.446799945390595</v>
      </c>
      <c r="AU77" s="1224">
        <v>96.428571428571431</v>
      </c>
      <c r="AV77" s="1224">
        <f t="shared" ref="AV77" si="405">+AV50/AV2*100</f>
        <v>97.098214285714292</v>
      </c>
      <c r="AW77" s="266">
        <f>+AW50/AW2*100</f>
        <v>87.574850299401191</v>
      </c>
      <c r="AX77" s="266">
        <f>+AX50/AX2*100</f>
        <v>87.339732884100357</v>
      </c>
      <c r="AY77" s="1224">
        <v>96.774193548387103</v>
      </c>
      <c r="AZ77" s="1224">
        <f t="shared" ref="AZ77" si="406">+AZ50/AZ2*100</f>
        <v>97.502240143369193</v>
      </c>
      <c r="BA77" s="3012">
        <f t="shared" ref="BA77:BF77" si="407">+BA50/BA2*100</f>
        <v>96.666666666666657</v>
      </c>
      <c r="BB77" s="3012">
        <f t="shared" si="407"/>
        <v>96.712962962962962</v>
      </c>
      <c r="BC77" s="3014">
        <f t="shared" si="407"/>
        <v>96.703296703296701</v>
      </c>
      <c r="BD77" s="3014">
        <f t="shared" si="407"/>
        <v>82.768300464635828</v>
      </c>
      <c r="BE77" s="266">
        <f t="shared" si="407"/>
        <v>88.356164383561648</v>
      </c>
      <c r="BF77" s="2399">
        <f t="shared" si="407"/>
        <v>88.202849938997176</v>
      </c>
      <c r="BG77" s="26"/>
      <c r="BH77" s="26"/>
      <c r="BI77" s="26"/>
      <c r="BJ77" s="26"/>
    </row>
    <row r="78" spans="1:62" s="4712" customFormat="1" ht="15.75" hidden="1" thickBot="1" x14ac:dyDescent="0.3">
      <c r="A78" s="4737"/>
      <c r="B78" s="4740" t="s">
        <v>1933</v>
      </c>
      <c r="C78" s="4685" t="s">
        <v>221</v>
      </c>
      <c r="D78" s="3470"/>
      <c r="E78" s="3473"/>
      <c r="F78" s="4681">
        <v>720</v>
      </c>
      <c r="G78" s="3473"/>
      <c r="H78" s="7194">
        <v>720</v>
      </c>
      <c r="I78" s="4680"/>
      <c r="J78" s="44">
        <f t="shared" ref="J78" si="408">+F78+H78</f>
        <v>1440</v>
      </c>
      <c r="K78" s="4681"/>
      <c r="L78" s="4681">
        <v>602</v>
      </c>
      <c r="M78" s="4044"/>
      <c r="N78" s="4683">
        <f>+F78+H78+L78</f>
        <v>2042</v>
      </c>
      <c r="O78" s="4790"/>
      <c r="P78" s="4790">
        <v>726</v>
      </c>
      <c r="Q78" s="3755"/>
      <c r="R78" s="44">
        <f t="shared" ref="R78" si="409">+N78+P78</f>
        <v>2768</v>
      </c>
      <c r="S78" s="4929"/>
      <c r="T78" s="4929">
        <v>710</v>
      </c>
      <c r="U78" s="3755"/>
      <c r="V78" s="44">
        <f t="shared" ref="V78" si="410">+R78+T78</f>
        <v>3478</v>
      </c>
      <c r="W78" s="5050"/>
      <c r="X78" s="5050">
        <v>710</v>
      </c>
      <c r="Y78" s="4683"/>
      <c r="Z78" s="4683"/>
      <c r="AA78" s="4682"/>
      <c r="AB78" s="4682"/>
      <c r="AC78" s="5365"/>
      <c r="AD78" s="5365">
        <v>710</v>
      </c>
      <c r="AE78" s="3755"/>
      <c r="AF78" s="4680"/>
      <c r="AG78" s="5552"/>
      <c r="AH78" s="5552">
        <v>710</v>
      </c>
      <c r="AI78" s="3755"/>
      <c r="AJ78" s="5553"/>
      <c r="AK78" s="5948"/>
      <c r="AL78" s="5948">
        <v>710</v>
      </c>
      <c r="AM78" s="4683"/>
      <c r="AN78" s="4683"/>
      <c r="AO78" s="3755"/>
      <c r="AP78" s="4680"/>
      <c r="AQ78" s="6098"/>
      <c r="AR78" s="6098">
        <v>710</v>
      </c>
      <c r="AS78" s="3755"/>
      <c r="AT78" s="4680"/>
      <c r="AU78" s="6242"/>
      <c r="AV78" s="6242">
        <v>710</v>
      </c>
      <c r="AW78" s="3755"/>
      <c r="AX78" s="6243"/>
      <c r="AY78" s="6433"/>
      <c r="AZ78" s="6433">
        <v>710</v>
      </c>
      <c r="BA78" s="4683"/>
      <c r="BB78" s="4683"/>
      <c r="BC78" s="4682"/>
      <c r="BD78" s="4682"/>
      <c r="BE78" s="3755"/>
      <c r="BF78" s="4680"/>
      <c r="BG78" s="26"/>
      <c r="BH78" s="26"/>
      <c r="BI78" s="26"/>
      <c r="BJ78" s="26"/>
    </row>
    <row r="79" spans="1:62" s="4712" customFormat="1" hidden="1" x14ac:dyDescent="0.25">
      <c r="A79" s="4737"/>
      <c r="B79" s="4740" t="s">
        <v>1932</v>
      </c>
      <c r="C79" s="4685" t="s">
        <v>49</v>
      </c>
      <c r="D79" s="3470"/>
      <c r="E79" s="3473"/>
      <c r="F79" s="4815">
        <f>+F78/F76*100</f>
        <v>100</v>
      </c>
      <c r="G79" s="3473"/>
      <c r="H79" s="4815">
        <f>+H78/H76*100</f>
        <v>100</v>
      </c>
      <c r="I79" s="4744"/>
      <c r="J79" s="4814">
        <f>+J78/J76*100</f>
        <v>100</v>
      </c>
      <c r="K79" s="4738"/>
      <c r="L79" s="4815">
        <f>+L78/L76*100</f>
        <v>100</v>
      </c>
      <c r="M79" s="4044"/>
      <c r="N79" s="4816">
        <f>+N78/N76*100</f>
        <v>100</v>
      </c>
      <c r="O79" s="4738"/>
      <c r="P79" s="4815">
        <f>+P78/P76*100</f>
        <v>100</v>
      </c>
      <c r="Q79" s="3755"/>
      <c r="R79" s="4814">
        <f>+R78/R76*100</f>
        <v>100</v>
      </c>
      <c r="S79" s="4738"/>
      <c r="T79" s="4815">
        <f>+T78/T76*100</f>
        <v>98.611111111111114</v>
      </c>
      <c r="U79" s="3755"/>
      <c r="V79" s="4814">
        <f>+V78/V76*100</f>
        <v>99.713302752293572</v>
      </c>
      <c r="W79" s="4738"/>
      <c r="X79" s="4815">
        <f>+X78/X76*100</f>
        <v>98.611111111111114</v>
      </c>
      <c r="Y79" s="4683"/>
      <c r="Z79" s="4683"/>
      <c r="AA79" s="4682"/>
      <c r="AB79" s="4682"/>
      <c r="AC79" s="4738"/>
      <c r="AD79" s="4815">
        <f>+AD78/AD76*100</f>
        <v>98.611111111111114</v>
      </c>
      <c r="AE79" s="3755"/>
      <c r="AF79" s="4680"/>
      <c r="AG79" s="4738"/>
      <c r="AH79" s="4815">
        <f>+AH78/AH76*100</f>
        <v>98.611111111111114</v>
      </c>
      <c r="AI79" s="3755"/>
      <c r="AJ79" s="5553"/>
      <c r="AK79" s="4738"/>
      <c r="AL79" s="4815">
        <f>+AL78/AL76*100</f>
        <v>98.611111111111114</v>
      </c>
      <c r="AM79" s="4683"/>
      <c r="AN79" s="4683"/>
      <c r="AO79" s="3755"/>
      <c r="AP79" s="4680"/>
      <c r="AQ79" s="4738"/>
      <c r="AR79" s="4815">
        <f>+AR78/AR76*100</f>
        <v>98.611111111111114</v>
      </c>
      <c r="AS79" s="3755"/>
      <c r="AT79" s="4680"/>
      <c r="AU79" s="4738"/>
      <c r="AV79" s="4815">
        <f>+AV78/AV76*100</f>
        <v>98.611111111111114</v>
      </c>
      <c r="AW79" s="3755"/>
      <c r="AX79" s="6243"/>
      <c r="AY79" s="4738"/>
      <c r="AZ79" s="4815">
        <f>+AZ78/AZ76*100</f>
        <v>98.611111111111114</v>
      </c>
      <c r="BA79" s="4683"/>
      <c r="BB79" s="4683"/>
      <c r="BC79" s="4682"/>
      <c r="BD79" s="4682"/>
      <c r="BE79" s="3755"/>
      <c r="BF79" s="4680"/>
      <c r="BG79" s="26"/>
      <c r="BH79" s="26"/>
      <c r="BI79" s="26"/>
      <c r="BJ79" s="26"/>
    </row>
    <row r="80" spans="1:62" x14ac:dyDescent="0.25">
      <c r="A80" s="147" t="s">
        <v>470</v>
      </c>
      <c r="B80" s="4741" t="s">
        <v>250</v>
      </c>
      <c r="C80" s="4685" t="s">
        <v>249</v>
      </c>
      <c r="D80" s="4684">
        <v>1175</v>
      </c>
      <c r="E80" s="4681">
        <f>+$D$80</f>
        <v>1175</v>
      </c>
      <c r="F80" s="4681">
        <v>1169.6366534085485</v>
      </c>
      <c r="G80" s="7194">
        <v>1175</v>
      </c>
      <c r="H80" s="7194">
        <v>1185.0594910509444</v>
      </c>
      <c r="I80" s="4680">
        <f>+AVERAGE(E80,G80)</f>
        <v>1175</v>
      </c>
      <c r="J80" s="4680">
        <f>+((F80*F$2)+(H80*H$2))/J$2</f>
        <v>1177.4744889317333</v>
      </c>
      <c r="K80" s="4681">
        <f>+$D$80</f>
        <v>1175</v>
      </c>
      <c r="L80" s="4681">
        <v>1134.6538461538462</v>
      </c>
      <c r="M80" s="4683">
        <f>+$D$80</f>
        <v>1175</v>
      </c>
      <c r="N80" s="4683">
        <f>+((F80*F$2)+(H80*H$2)+(L80*L$2))/N$2</f>
        <v>1163.3577935104518</v>
      </c>
      <c r="O80" s="4790">
        <f>+$D$80</f>
        <v>1175</v>
      </c>
      <c r="P80" s="4790">
        <v>1171.9745161290323</v>
      </c>
      <c r="Q80" s="783">
        <f>+$D$80</f>
        <v>1175</v>
      </c>
      <c r="R80" s="1973">
        <f>+((N80*N$2)+(P80*P$2))/R$2</f>
        <v>1165.5472886020582</v>
      </c>
      <c r="S80" s="4929">
        <f>+$D$80</f>
        <v>1175</v>
      </c>
      <c r="T80" s="4929">
        <v>1161</v>
      </c>
      <c r="U80" s="4914">
        <f>+$D$80</f>
        <v>1175</v>
      </c>
      <c r="V80" s="4914">
        <f>+((R80*R$2)+(T80*T$2))/V$2</f>
        <v>1164.6259425454321</v>
      </c>
      <c r="W80" s="5050">
        <f>+$D$80</f>
        <v>1175</v>
      </c>
      <c r="X80" s="5050">
        <v>1162.4360000000001</v>
      </c>
      <c r="Y80" s="782">
        <f>+AVERAGE(O80,S80,W80)</f>
        <v>1175</v>
      </c>
      <c r="Z80" s="782">
        <f>+((P80*P$2)+(T80*T$2)+(X80*X$2))/Z$2</f>
        <v>1165.1661956521739</v>
      </c>
      <c r="AA80" s="465">
        <f>+AVERAGE(E80,G80,K80,O80,S80,W80)</f>
        <v>1175</v>
      </c>
      <c r="AB80" s="465">
        <f>+((N80*N$2)+(Z80*Z$2))/AB$2</f>
        <v>1164.2669355707712</v>
      </c>
      <c r="AC80" s="5365">
        <f>+$D$80</f>
        <v>1175</v>
      </c>
      <c r="AD80" s="5365">
        <v>1146.546129032258</v>
      </c>
      <c r="AE80" s="2399">
        <f>+$D$80</f>
        <v>1175</v>
      </c>
      <c r="AF80" s="2399">
        <f>+((AB80*AB$2)+(AD80*AD$2))/AF$2</f>
        <v>1161.6999028479024</v>
      </c>
      <c r="AG80" s="5552">
        <f>+$D$80</f>
        <v>1175</v>
      </c>
      <c r="AH80" s="5552">
        <v>1008.6666666666666</v>
      </c>
      <c r="AI80" s="5535">
        <f>+$D$80</f>
        <v>1175</v>
      </c>
      <c r="AJ80" s="5535">
        <f>+((AF80*AF$2)+(AH80*AH$2))/AJ$2</f>
        <v>1142.8843410223405</v>
      </c>
      <c r="AK80" s="5948">
        <f>+$D$80</f>
        <v>1175</v>
      </c>
      <c r="AL80" s="5948">
        <v>1168.2702832980101</v>
      </c>
      <c r="AM80" s="2736">
        <f>+AVERAGE(AC80,AG80,AK80)</f>
        <v>1175</v>
      </c>
      <c r="AN80" s="2736">
        <f>+((AD80*AD$2)+(AH80*AH$2)+(AL80*AL$2))/AN$2</f>
        <v>1108.9055302417207</v>
      </c>
      <c r="AO80" s="2399">
        <f>+$D$80</f>
        <v>1175</v>
      </c>
      <c r="AP80" s="2399">
        <f>+((AL80*AL$2)+(AJ80*AJ$2))/AP$2</f>
        <v>1145.7460290606887</v>
      </c>
      <c r="AQ80" s="6098">
        <f>+$D$80</f>
        <v>1175</v>
      </c>
      <c r="AR80" s="6098">
        <v>1180.3109392030563</v>
      </c>
      <c r="AS80" s="2399">
        <f>+$D$80</f>
        <v>1175</v>
      </c>
      <c r="AT80" s="2399">
        <f>+((AP80*AP$2)+(AR80*AR$2))/AT$2</f>
        <v>1149.2477029640004</v>
      </c>
      <c r="AU80" s="6242">
        <f>+$D$80</f>
        <v>1175</v>
      </c>
      <c r="AV80" s="6242">
        <v>1171.6966869804357</v>
      </c>
      <c r="AW80" s="6234">
        <f>+$D$80</f>
        <v>1175</v>
      </c>
      <c r="AX80" s="6234">
        <f>+((AT80*AT$2)+(AV80*AV$2))/AX$2</f>
        <v>1151.1296537198691</v>
      </c>
      <c r="AY80" s="6433">
        <f>+$D$80</f>
        <v>1175</v>
      </c>
      <c r="AZ80" s="6433">
        <v>1179.4645730205052</v>
      </c>
      <c r="BA80" s="3012">
        <f>+AVERAGE(AQ80,AU80,AY80)</f>
        <v>1175</v>
      </c>
      <c r="BB80" s="3012">
        <f>+((AR80*AR$2)+(AV80*AV$2)+(AZ80*AZ$2))/BB$2</f>
        <v>1177.33942349314</v>
      </c>
      <c r="BC80" s="3014">
        <f>+AVERAGE(AC80,AG80,AK80,AQ80,AU80,AY80)</f>
        <v>1175</v>
      </c>
      <c r="BD80" s="3014">
        <f>+((AN80*AN$2)+(BB80*BB$2))/BD$2</f>
        <v>1142.7464664649501</v>
      </c>
      <c r="BE80" s="2399">
        <f>+$D$80</f>
        <v>1175</v>
      </c>
      <c r="BF80" s="2399">
        <f>+((AX80*AX$2)+(AZ80*AZ$2))/BF$2</f>
        <v>1153.5361811125258</v>
      </c>
      <c r="BG80" s="26"/>
      <c r="BH80" s="26"/>
      <c r="BI80" s="26"/>
      <c r="BJ80" s="26"/>
    </row>
    <row r="81" spans="1:62" x14ac:dyDescent="0.25">
      <c r="A81" s="147" t="s">
        <v>470</v>
      </c>
      <c r="B81" s="4741" t="s">
        <v>252</v>
      </c>
      <c r="C81" s="4685" t="s">
        <v>219</v>
      </c>
      <c r="D81" s="4684">
        <v>374</v>
      </c>
      <c r="E81" s="4684">
        <f>$D$81</f>
        <v>374</v>
      </c>
      <c r="F81" s="4681">
        <f>+F18/F6*1000</f>
        <v>363.92550953983107</v>
      </c>
      <c r="G81" s="7199">
        <f>$D$81</f>
        <v>374</v>
      </c>
      <c r="H81" s="7194">
        <f>+H18/H6*1000</f>
        <v>345.61695203825582</v>
      </c>
      <c r="I81" s="4680">
        <f>+I18/I6*1000</f>
        <v>374</v>
      </c>
      <c r="J81" s="4680">
        <f>+J18/J6*1000</f>
        <v>354.20879120651068</v>
      </c>
      <c r="K81" s="4684">
        <f>$D$81</f>
        <v>374</v>
      </c>
      <c r="L81" s="4681">
        <f>+L18/L6*1000</f>
        <v>431.81690095398017</v>
      </c>
      <c r="M81" s="4683">
        <f>+M18/M6*1000</f>
        <v>375.35249621785169</v>
      </c>
      <c r="N81" s="4683">
        <f>+N18/N6*1000</f>
        <v>374.21444976032342</v>
      </c>
      <c r="O81" s="4791">
        <f>$D$81</f>
        <v>374</v>
      </c>
      <c r="P81" s="4790">
        <f>+P18/P6*1000</f>
        <v>391.22822874347389</v>
      </c>
      <c r="Q81" s="376">
        <f>+Q18/Q6*1000</f>
        <v>375.82040816326531</v>
      </c>
      <c r="R81" s="376">
        <f>+R18/R6*1000</f>
        <v>378.94512376982482</v>
      </c>
      <c r="S81" s="4932">
        <f>$D$81</f>
        <v>374</v>
      </c>
      <c r="T81" s="4929">
        <f>+T18/T6*1000</f>
        <v>394.64163765643218</v>
      </c>
      <c r="U81" s="4917">
        <f>+U18/U6*1000</f>
        <v>376.84923076923076</v>
      </c>
      <c r="V81" s="4917">
        <f>+V18/V6*1000</f>
        <v>382.31032320363101</v>
      </c>
      <c r="W81" s="5053">
        <f>$D$81</f>
        <v>374</v>
      </c>
      <c r="X81" s="5050">
        <f>+X18/X6*1000</f>
        <v>374.1912623113173</v>
      </c>
      <c r="Y81" s="378">
        <f>+Y18/Y6*1000</f>
        <v>380</v>
      </c>
      <c r="Z81" s="378">
        <f>+Z18/Z6*1000</f>
        <v>386.70921910320413</v>
      </c>
      <c r="AA81" s="544">
        <f>+AA18/AA6*1000</f>
        <v>377.45484672742333</v>
      </c>
      <c r="AB81" s="544">
        <f>+AB18/AB6*1000</f>
        <v>380.87519619163663</v>
      </c>
      <c r="AC81" s="5368">
        <f>$D$81</f>
        <v>374</v>
      </c>
      <c r="AD81" s="5365">
        <f>+AD18/AD6*1000</f>
        <v>375.79212169847528</v>
      </c>
      <c r="AE81" s="376">
        <f>+AE18/AE6*1000</f>
        <v>377.8915579958819</v>
      </c>
      <c r="AF81" s="376">
        <f>+AF18/AF6*1000</f>
        <v>380.13258492078677</v>
      </c>
      <c r="AG81" s="5555">
        <f>$D$81</f>
        <v>374</v>
      </c>
      <c r="AH81" s="5552">
        <f>+AH18/AH6*1000</f>
        <v>425.17589280300734</v>
      </c>
      <c r="AI81" s="5538">
        <f>+AI18/AI6*1000</f>
        <v>378.19187757504415</v>
      </c>
      <c r="AJ81" s="5538">
        <f>+AJ18/AJ6*1000</f>
        <v>380.35955658571964</v>
      </c>
      <c r="AK81" s="5949">
        <f>$D$81</f>
        <v>374</v>
      </c>
      <c r="AL81" s="5948">
        <f>+AL18/AL6*1000</f>
        <v>389.56682883071267</v>
      </c>
      <c r="AM81" s="378">
        <f>+AM18/AM6*1000</f>
        <v>380</v>
      </c>
      <c r="AN81" s="378">
        <f>+AN18/AN6*1000</f>
        <v>383.64107689010268</v>
      </c>
      <c r="AO81" s="376">
        <f>+AO18/AO6*1000</f>
        <v>378.42380708055413</v>
      </c>
      <c r="AP81" s="4167">
        <f>+AP18/AP6*1000</f>
        <v>381.61042828813385</v>
      </c>
      <c r="AQ81" s="6102">
        <f>$D$81</f>
        <v>374</v>
      </c>
      <c r="AR81" s="6098">
        <f>+AR18/AR6*1000</f>
        <v>405.53335556018931</v>
      </c>
      <c r="AS81" s="376">
        <f>+AS18/AS6*1000</f>
        <v>378.60300136425644</v>
      </c>
      <c r="AT81" s="6158">
        <f>+AT18/AT6*1000</f>
        <v>384.51628672050339</v>
      </c>
      <c r="AU81" s="6358">
        <f>$D$81</f>
        <v>374</v>
      </c>
      <c r="AV81" s="6356">
        <f>+AV18/AV6*1000</f>
        <v>363.15161753413679</v>
      </c>
      <c r="AW81" s="6237">
        <f>+AW18/AW6*1000</f>
        <v>378.73267326732673</v>
      </c>
      <c r="AX81" s="6237">
        <f>+AX18/AX6*1000</f>
        <v>382.37898726618135</v>
      </c>
      <c r="AY81" s="6434">
        <f>$D$81</f>
        <v>374</v>
      </c>
      <c r="AZ81" s="6432">
        <f>+AZ18/AZ6*1000</f>
        <v>388.34272372360977</v>
      </c>
      <c r="BA81" s="378">
        <f t="shared" ref="BA81:BF81" si="411">+BA18/BA6*1000</f>
        <v>380</v>
      </c>
      <c r="BB81" s="378">
        <f t="shared" si="411"/>
        <v>386.33683457742154</v>
      </c>
      <c r="BC81" s="544">
        <f t="shared" si="411"/>
        <v>380</v>
      </c>
      <c r="BD81" s="544">
        <f t="shared" si="411"/>
        <v>385.26716988127663</v>
      </c>
      <c r="BE81" s="376">
        <f t="shared" si="411"/>
        <v>378.85115931189227</v>
      </c>
      <c r="BF81" s="376">
        <f t="shared" si="411"/>
        <v>382.97068781648909</v>
      </c>
      <c r="BG81" s="26"/>
      <c r="BH81" s="26"/>
      <c r="BI81" s="26"/>
      <c r="BJ81" s="26"/>
    </row>
    <row r="82" spans="1:62" x14ac:dyDescent="0.25">
      <c r="A82" s="147" t="s">
        <v>470</v>
      </c>
      <c r="B82" s="4742" t="s">
        <v>253</v>
      </c>
      <c r="C82" s="4685" t="s">
        <v>49</v>
      </c>
      <c r="D82" s="3221">
        <v>0.5428135593220339</v>
      </c>
      <c r="E82" s="3221">
        <v>0.53</v>
      </c>
      <c r="F82" s="3221">
        <v>0.67656430326636097</v>
      </c>
      <c r="G82" s="3221">
        <v>0.53</v>
      </c>
      <c r="H82" s="3221">
        <v>0.660483227748908</v>
      </c>
      <c r="I82" s="3549">
        <f>+((E82*E$6)+(G82*G$6))/I$6</f>
        <v>0.53</v>
      </c>
      <c r="J82" s="3549">
        <f>+((F82*F$6)+(H82*H$6))/J$6</f>
        <v>0.66802975425634203</v>
      </c>
      <c r="K82" s="3221">
        <v>0.8</v>
      </c>
      <c r="L82" s="3221">
        <v>0.82446182416632663</v>
      </c>
      <c r="M82" s="4044">
        <f>+((E82*E$6)+(G82*G$6)+(K82*K$6))/M$6</f>
        <v>0.59086232980332831</v>
      </c>
      <c r="N82" s="4044">
        <f>+((F82*F$6)+(H82*H$6)+(L82*L$6))/N$6</f>
        <v>0.70835449077767376</v>
      </c>
      <c r="O82" s="3221">
        <v>0.8</v>
      </c>
      <c r="P82" s="3221">
        <v>0.56939299431249313</v>
      </c>
      <c r="Q82" s="2206">
        <f>+((M82*M$6)+(O82*O$6))/Q$6</f>
        <v>0.61191836734693883</v>
      </c>
      <c r="R82" s="375">
        <f>+((N82*N$6)+(P82*P$6))/R$6</f>
        <v>0.66971630579241648</v>
      </c>
      <c r="S82" s="3221">
        <v>0.55000000000000004</v>
      </c>
      <c r="T82" s="3221">
        <v>0.68155759870357879</v>
      </c>
      <c r="U82" s="2206">
        <f>+((Q82*Q$6)+(S82*S$6))/U$6</f>
        <v>0.5966769230769231</v>
      </c>
      <c r="V82" s="2206">
        <f>+((R82*R$6)+(T82*T$6))/V$6</f>
        <v>0.67225497855045968</v>
      </c>
      <c r="W82" s="3221">
        <v>0.55000000000000004</v>
      </c>
      <c r="X82" s="3221">
        <v>0.57478961611599855</v>
      </c>
      <c r="Y82" s="2258">
        <f>+((O82*O$6)+(S82*S$6)+(W82*W$6))/Y$6</f>
        <v>0.58388278388278392</v>
      </c>
      <c r="Z82" s="377">
        <f>+((P82*P$6)+(T82*T$6)+(X82*X$6))/Z$6</f>
        <v>0.60831841201600978</v>
      </c>
      <c r="AA82" s="2257">
        <f>+((M82*M$6)+(Y82*Y$6))/AA$6</f>
        <v>0.58770505385252692</v>
      </c>
      <c r="AB82" s="493">
        <f>+((N82*N$6)+(Z82*Z$6))/AB$6</f>
        <v>0.65502697937435483</v>
      </c>
      <c r="AC82" s="3221">
        <v>0.55000000000000004</v>
      </c>
      <c r="AD82" s="3221">
        <v>0.69457018105619173</v>
      </c>
      <c r="AE82" s="2206">
        <f>+((AA82*AA$6)+(AC82*AC$6))/AE$6</f>
        <v>0.5812354152367879</v>
      </c>
      <c r="AF82" s="2206">
        <f>+((AB82*AB$6)+(AD82*AD$6))/AF$6</f>
        <v>0.66080403955592948</v>
      </c>
      <c r="AG82" s="3221">
        <v>0.55000000000000004</v>
      </c>
      <c r="AH82" s="3221">
        <v>1.1329131100865317</v>
      </c>
      <c r="AI82" s="2206">
        <f>+((AE82*AE$6)+(AG82*AG$6))/AI$6</f>
        <v>0.5767863449087699</v>
      </c>
      <c r="AJ82" s="2206">
        <f>+((AF82*AF$6)+(AH82*AH$6))/AJ$6</f>
        <v>0.66318298077508764</v>
      </c>
      <c r="AK82" s="3221">
        <v>0.55000000000000004</v>
      </c>
      <c r="AL82" s="3221">
        <v>0.71038422835618731</v>
      </c>
      <c r="AM82" s="2258">
        <f>+((AC82*AC$6)+(AG82*AG$6)+(AK82*AK$6))/AM$6</f>
        <v>0.55000000000000004</v>
      </c>
      <c r="AN82" s="2258">
        <f>+((AD82*AD$6)+(AH82*AH$6)+(AL82*AL$6))/AN$6</f>
        <v>0.70983288209054329</v>
      </c>
      <c r="AO82" s="2206">
        <f>+((AK82*AK$6)+(AI82*AI$6))/AO$6</f>
        <v>0.57335043612108771</v>
      </c>
      <c r="AP82" s="2206">
        <f>+((AL82*AL$6)+(AJ82*AJ$6))/AP$6</f>
        <v>0.66959559716643524</v>
      </c>
      <c r="AQ82" s="3221">
        <v>0.55000000000000004</v>
      </c>
      <c r="AR82" s="3221">
        <v>0.61304458497751468</v>
      </c>
      <c r="AS82" s="2206">
        <f>+((AO82*AO$6)+(AQ82*AQ$6))/AS$6</f>
        <v>0.5706957708049113</v>
      </c>
      <c r="AT82" s="2206">
        <f>+((AP82*AP$6)+(AR82*AR$6))/AT$6</f>
        <v>0.66272648646942778</v>
      </c>
      <c r="AU82" s="3221">
        <v>0.55000000000000004</v>
      </c>
      <c r="AV82" s="3221">
        <v>0.65020290632462296</v>
      </c>
      <c r="AW82" s="2206">
        <f>+((AS82*AS$6)+(AU82*AU$6))/AW$6</f>
        <v>0.56877475247524756</v>
      </c>
      <c r="AX82" s="2206">
        <f>+((AT82*AT$6)+(AV82*AV$6))/AX$6</f>
        <v>0.66147364043768442</v>
      </c>
      <c r="AY82" s="3221">
        <v>0.55000000000000004</v>
      </c>
      <c r="AZ82" s="3221">
        <v>0.62914752668756546</v>
      </c>
      <c r="BA82" s="2258">
        <f>+((AQ82*AQ$6)+(AU82*AU$6)+(AY82*AY$6))/BA$6</f>
        <v>0.55000000000000004</v>
      </c>
      <c r="BB82" s="2258">
        <f>+((AR82*AR$6)+(AV82*AV$6)+(AZ82*AZ$6))/BB$6</f>
        <v>0.63023062315530776</v>
      </c>
      <c r="BC82" s="2257">
        <f>+((AM82*AM$6)+(BA82*BA$6))/BC$6</f>
        <v>0.55000000000000004</v>
      </c>
      <c r="BD82" s="2257">
        <f>+((AN82*AN$6)+(BB82*BB$6))/BD$6</f>
        <v>0.66181644650914628</v>
      </c>
      <c r="BE82" s="2206">
        <f>+((AW82*AW$6)+(AY82*AY$6))/BE$6</f>
        <v>0.56701944652206437</v>
      </c>
      <c r="BF82" s="2206">
        <f>+((AX82*AX$6)+(AZ82*AZ$6))/BF$6</f>
        <v>0.65826635932595301</v>
      </c>
      <c r="BG82" s="26"/>
      <c r="BH82" s="26"/>
      <c r="BI82" s="26"/>
      <c r="BJ82" s="26"/>
    </row>
    <row r="83" spans="1:62" ht="15.75" customHeight="1" x14ac:dyDescent="0.25">
      <c r="A83" s="147" t="s">
        <v>470</v>
      </c>
      <c r="B83" s="4742" t="s">
        <v>254</v>
      </c>
      <c r="C83" s="4685" t="s">
        <v>49</v>
      </c>
      <c r="D83" s="3225">
        <v>0.05</v>
      </c>
      <c r="E83" s="3225">
        <v>0.05</v>
      </c>
      <c r="F83" s="3225">
        <v>4.139445683669999E-2</v>
      </c>
      <c r="G83" s="3225">
        <v>0.05</v>
      </c>
      <c r="H83" s="3225">
        <v>4.23272247596422E-2</v>
      </c>
      <c r="I83" s="3768">
        <f>+((E83*E$6)+(G83*G$6))/I$6</f>
        <v>0.05</v>
      </c>
      <c r="J83" s="3768">
        <f>+((F83*F$6)+(H83*H$6))/J$6</f>
        <v>4.1889495464227357E-2</v>
      </c>
      <c r="K83" s="3225">
        <f>+$D$83</f>
        <v>0.05</v>
      </c>
      <c r="L83" s="3225">
        <v>3.9794952500900045E-2</v>
      </c>
      <c r="M83" s="4044">
        <f>+((E83*E$6)+(G83*G$6)+(K83*K$6))/M$6</f>
        <v>0.05</v>
      </c>
      <c r="N83" s="4044">
        <f>+((F83*F$6)+(H83*H$6)+(L83*L$6))/N$6</f>
        <v>4.1349568496711134E-2</v>
      </c>
      <c r="O83" s="3225">
        <f>+$D$83</f>
        <v>0.05</v>
      </c>
      <c r="P83" s="3225">
        <v>4.019024741254866E-2</v>
      </c>
      <c r="Q83" s="2206">
        <f>+((M83*M$6)+(O83*O$6))/Q$6</f>
        <v>0.05</v>
      </c>
      <c r="R83" s="375">
        <f>+((N83*N$6)+(P83*P$6))/R$6</f>
        <v>4.1027219762373758E-2</v>
      </c>
      <c r="S83" s="3225">
        <f>+$D$83</f>
        <v>0.05</v>
      </c>
      <c r="T83" s="3225">
        <v>3.9597716219994701E-2</v>
      </c>
      <c r="U83" s="2206">
        <f>+((Q83*Q$6)+(S83*S$6))/U$6</f>
        <v>0.05</v>
      </c>
      <c r="V83" s="2206">
        <f>+((R83*R$6)+(T83*T$6))/V$6</f>
        <v>4.0720746328451442E-2</v>
      </c>
      <c r="W83" s="3225">
        <f>+$D$83</f>
        <v>0.05</v>
      </c>
      <c r="X83" s="3225">
        <v>4.0452516375094477E-2</v>
      </c>
      <c r="Y83" s="2258">
        <f>+((O83*O$6)+(S83*S$6)+(W83*W$6))/Y$6</f>
        <v>0.05</v>
      </c>
      <c r="Z83" s="377">
        <f>+((P83*P$6)+(T83*T$6)+(X83*X$6))/Z$6</f>
        <v>4.0081032775054849E-2</v>
      </c>
      <c r="AA83" s="2257">
        <f>+((M83*M$6)+(Y83*Y$6))/AA$6</f>
        <v>0.05</v>
      </c>
      <c r="AB83" s="493">
        <f>+((N83*N$6)+(Z83*Z$6))/AB$6</f>
        <v>4.0673333942142939E-2</v>
      </c>
      <c r="AC83" s="3225">
        <f>+$D$83</f>
        <v>0.05</v>
      </c>
      <c r="AD83" s="3225">
        <v>3.9479461045411814E-2</v>
      </c>
      <c r="AE83" s="2206">
        <f>+((AA83*AA$6)+(AC83*AC$6))/AE$6</f>
        <v>0.05</v>
      </c>
      <c r="AF83" s="2206">
        <f>+((AB83*AB$6)+(AD83*AD$6))/AF$6</f>
        <v>4.0498915198080174E-2</v>
      </c>
      <c r="AG83" s="3225">
        <f>+$D$83</f>
        <v>0.05</v>
      </c>
      <c r="AH83" s="3225">
        <v>6.1084637900644292E-2</v>
      </c>
      <c r="AI83" s="2206">
        <f>+((AE83*AE$6)+(AG83*AG$6))/AI$6</f>
        <v>0.05</v>
      </c>
      <c r="AJ83" s="381">
        <f>+((AF83*AF$6)+(AH83*AH$6))/AJ$6</f>
        <v>4.0602645940233148E-2</v>
      </c>
      <c r="AK83" s="3225">
        <f>+$D$83</f>
        <v>0.05</v>
      </c>
      <c r="AL83" s="3225">
        <v>4.2552820200797807E-2</v>
      </c>
      <c r="AM83" s="2258">
        <f>+((AC83*AC$6)+(AG83*AG$6)+(AK83*AK$6))/AM$6</f>
        <v>0.05</v>
      </c>
      <c r="AN83" s="2258">
        <f>+((AD83*AD$6)+(AH83*AH$6)+(AL83*AL$6))/AN$6</f>
        <v>4.1404111064966269E-2</v>
      </c>
      <c r="AO83" s="381">
        <f>+((AK83*AK$6)+(AI83*AI$6))/AO$6</f>
        <v>0.05</v>
      </c>
      <c r="AP83" s="381">
        <f>+((AL83*AL$6)+(AJ83*AJ$6))/AP$6</f>
        <v>4.0867590620091335E-2</v>
      </c>
      <c r="AQ83" s="3225">
        <f>+$D$83</f>
        <v>0.05</v>
      </c>
      <c r="AR83" s="3225">
        <v>3.94219934940113E-2</v>
      </c>
      <c r="AS83" s="381">
        <f>+((AO83*AO$6)+(AQ83*AQ$6))/AS$6</f>
        <v>0.05</v>
      </c>
      <c r="AT83" s="381">
        <f>+((AP83*AP$6)+(AR83*AR$6))/AT$6</f>
        <v>4.0691997535229361E-2</v>
      </c>
      <c r="AU83" s="3225">
        <f>+$D$83</f>
        <v>0.05</v>
      </c>
      <c r="AV83" s="3225">
        <v>4.0352792104928564E-2</v>
      </c>
      <c r="AW83" s="381">
        <f>+((AS83*AS$6)+(AU83*AU$6))/AW$6</f>
        <v>0.05</v>
      </c>
      <c r="AX83" s="381">
        <f>+((AT83*AT$6)+(AV83*AV$6))/AX$6</f>
        <v>4.065806377408563E-2</v>
      </c>
      <c r="AY83" s="3225">
        <f>+$D$83</f>
        <v>0.05</v>
      </c>
      <c r="AZ83" s="3225">
        <v>3.8488350930182491E-2</v>
      </c>
      <c r="BA83" s="2258">
        <f>+((AQ83*AQ$6)+(AU83*AU$6)+(AY83*AY$6))/BA$6</f>
        <v>0.05</v>
      </c>
      <c r="BB83" s="2258">
        <f>+((AR83*AR$6)+(AV83*AV$6)+(AZ83*AZ$6))/BB$6</f>
        <v>3.9391572417929809E-2</v>
      </c>
      <c r="BC83" s="2257">
        <f>+((AM83*AM$6)+(BA83*BA$6))/BC$6</f>
        <v>0.05</v>
      </c>
      <c r="BD83" s="2257">
        <f>+((AN83*AN$6)+(BB83*BB$6))/BD$6</f>
        <v>4.0190138828586387E-2</v>
      </c>
      <c r="BE83" s="381">
        <f>+((AW83*AW$6)+(AY83*AY$6))/BE$6</f>
        <v>0.05</v>
      </c>
      <c r="BF83" s="381">
        <f>+((AX83*AX$6)+(AZ83*AZ$6))/BF$6</f>
        <v>4.044279264449907E-2</v>
      </c>
      <c r="BG83" s="26"/>
      <c r="BH83" s="26"/>
      <c r="BI83" s="26"/>
      <c r="BJ83" s="26"/>
    </row>
    <row r="84" spans="1:62" x14ac:dyDescent="0.25">
      <c r="A84" s="147"/>
      <c r="B84" s="4743" t="s">
        <v>260</v>
      </c>
      <c r="C84" s="4685" t="s">
        <v>210</v>
      </c>
      <c r="D84" s="4681">
        <f>+(D85*D6)/1000000</f>
        <v>4513.5</v>
      </c>
      <c r="E84" s="4681">
        <f>+(E85*E6)/1000000</f>
        <v>388.08</v>
      </c>
      <c r="F84" s="4681">
        <v>338.28068159999998</v>
      </c>
      <c r="G84" s="7194">
        <f>+(G85*G6)/1000000</f>
        <v>401.7</v>
      </c>
      <c r="H84" s="7194">
        <v>383.98136640000001</v>
      </c>
      <c r="I84" s="4680">
        <f>+E84+G84</f>
        <v>789.78</v>
      </c>
      <c r="J84" s="4680">
        <f>+F84+H84</f>
        <v>722.26204800000005</v>
      </c>
      <c r="K84" s="4681">
        <f>+(K85*K6)/1000000</f>
        <v>260.75000000000006</v>
      </c>
      <c r="L84" s="4681">
        <v>286.7</v>
      </c>
      <c r="M84" s="4683">
        <f>E84+G84+K84</f>
        <v>1050.53</v>
      </c>
      <c r="N84" s="4683">
        <f>F84+H84+L84</f>
        <v>1008.9620480000001</v>
      </c>
      <c r="O84" s="4790">
        <f>+(O85*O6)/1000000</f>
        <v>129.5</v>
      </c>
      <c r="P84" s="4790">
        <v>371.2</v>
      </c>
      <c r="Q84" s="266">
        <f>+M84+O84</f>
        <v>1180.03</v>
      </c>
      <c r="R84" s="266">
        <f>+N84+P84</f>
        <v>1380.1620480000001</v>
      </c>
      <c r="S84" s="4929">
        <f>+(S85*S6)/1000000</f>
        <v>372.00000000000006</v>
      </c>
      <c r="T84" s="4929">
        <v>369.46212900000006</v>
      </c>
      <c r="U84" s="266">
        <f>+Q84+S84</f>
        <v>1552.03</v>
      </c>
      <c r="V84" s="266">
        <f>+R84+T84</f>
        <v>1749.6241770000001</v>
      </c>
      <c r="W84" s="5050">
        <f>+(W85*W6)/1000000</f>
        <v>359.60000000000008</v>
      </c>
      <c r="X84" s="5050">
        <v>369.20237580000003</v>
      </c>
      <c r="Y84" s="782">
        <f>+W84+S84+O84</f>
        <v>861.10000000000014</v>
      </c>
      <c r="Z84" s="782">
        <f>+X84+T84+P84</f>
        <v>1109.8645048000001</v>
      </c>
      <c r="AA84" s="466">
        <f>M84+Y84</f>
        <v>1911.63</v>
      </c>
      <c r="AB84" s="5174">
        <f>N84+Z84</f>
        <v>2118.8265528000002</v>
      </c>
      <c r="AC84" s="5365">
        <f>+(AC85*AC6)/1000000</f>
        <v>387.5</v>
      </c>
      <c r="AD84" s="5365">
        <v>371.21193720000002</v>
      </c>
      <c r="AE84" s="266">
        <f>+AA84+AC84</f>
        <v>2299.13</v>
      </c>
      <c r="AF84" s="266">
        <f>+AB84+AD84</f>
        <v>2490.0384900000004</v>
      </c>
      <c r="AG84" s="5552">
        <f>+(AG85*AG6)/1000000</f>
        <v>375.1</v>
      </c>
      <c r="AH84" s="5552">
        <f>20046.2454/1000</f>
        <v>20.0462454</v>
      </c>
      <c r="AI84" s="266">
        <f>+AE84+AG84</f>
        <v>2674.23</v>
      </c>
      <c r="AJ84" s="266">
        <f>+AF84+AH84</f>
        <v>2510.0847354000002</v>
      </c>
      <c r="AK84" s="5948">
        <f>+(AK85*AK6)/1000000</f>
        <v>387.5</v>
      </c>
      <c r="AL84" s="5948">
        <v>376.8365652</v>
      </c>
      <c r="AM84" s="2736">
        <f>+AK84+AG84+AC84</f>
        <v>1150.0999999999999</v>
      </c>
      <c r="AN84" s="2736">
        <f>+AL84+AH84+AD84</f>
        <v>768.09474780000005</v>
      </c>
      <c r="AO84" s="266">
        <f>+AK84+AI84</f>
        <v>3061.73</v>
      </c>
      <c r="AP84" s="266">
        <f>+AL84+AJ84</f>
        <v>2886.9213006</v>
      </c>
      <c r="AQ84" s="6098">
        <f>+(AQ85*AQ6)/1000000</f>
        <v>387.5</v>
      </c>
      <c r="AR84" s="6098">
        <v>378.9</v>
      </c>
      <c r="AS84" s="6354">
        <f>+AO84+AQ84</f>
        <v>3449.23</v>
      </c>
      <c r="AT84" s="6354">
        <f>+AP84+AR84</f>
        <v>3265.8213006000001</v>
      </c>
      <c r="AU84" s="6357">
        <f>+(AU85*AU6)/1000000</f>
        <v>348.74999999999994</v>
      </c>
      <c r="AV84" s="6357">
        <v>346.3402992</v>
      </c>
      <c r="AW84" s="6354">
        <f>+AS84+AU84</f>
        <v>3797.98</v>
      </c>
      <c r="AX84" s="6354">
        <f>+AT84+AV84</f>
        <v>3612.1615998000002</v>
      </c>
      <c r="AY84" s="6433">
        <f>+(AY85*AY6)/1000000</f>
        <v>387.5</v>
      </c>
      <c r="AZ84" s="6433">
        <v>390.10697759999999</v>
      </c>
      <c r="BA84" s="3012">
        <f>+AY84+AU84+AQ84</f>
        <v>1123.75</v>
      </c>
      <c r="BB84" s="3012">
        <f>+AZ84+AV84+AR84</f>
        <v>1115.3472768000001</v>
      </c>
      <c r="BC84" s="466">
        <f>AM84+BA84</f>
        <v>2273.85</v>
      </c>
      <c r="BD84" s="466">
        <f>AN84+BB84</f>
        <v>1883.4420246000002</v>
      </c>
      <c r="BE84" s="266">
        <f>+AW84+AY84</f>
        <v>4185.4799999999996</v>
      </c>
      <c r="BF84" s="266">
        <f>+AX84+AZ84</f>
        <v>4002.2685774000001</v>
      </c>
      <c r="BG84" s="26"/>
      <c r="BH84" s="26"/>
      <c r="BI84" s="26"/>
      <c r="BJ84" s="26"/>
    </row>
    <row r="85" spans="1:62" x14ac:dyDescent="0.25">
      <c r="A85" s="147"/>
      <c r="B85" s="4743" t="s">
        <v>261</v>
      </c>
      <c r="C85" s="4685" t="s">
        <v>255</v>
      </c>
      <c r="D85" s="4681">
        <v>1530</v>
      </c>
      <c r="E85" s="4681">
        <v>1540</v>
      </c>
      <c r="F85" s="4681">
        <f t="shared" ref="F85:R85" si="412">+(F84*1000000)/F6</f>
        <v>1495.9857778155151</v>
      </c>
      <c r="G85" s="7194">
        <v>1545</v>
      </c>
      <c r="H85" s="7194">
        <f t="shared" ref="H85" si="413">+(H84*1000000)/H6</f>
        <v>1501.5055529073725</v>
      </c>
      <c r="I85" s="4680">
        <f t="shared" si="412"/>
        <v>1542.5390625</v>
      </c>
      <c r="J85" s="4680">
        <f t="shared" si="412"/>
        <v>1498.9152330621253</v>
      </c>
      <c r="K85" s="4681">
        <v>1750.0000000000002</v>
      </c>
      <c r="L85" s="4681">
        <f t="shared" ref="L85" si="414">+(L84*1000000)/L6</f>
        <v>1713.1606230000925</v>
      </c>
      <c r="M85" s="4683">
        <f t="shared" si="412"/>
        <v>1589.304084720121</v>
      </c>
      <c r="N85" s="4026">
        <f t="shared" si="412"/>
        <v>1554.1429680472208</v>
      </c>
      <c r="O85" s="4790">
        <v>1750</v>
      </c>
      <c r="P85" s="4790">
        <f t="shared" ref="P85" si="415">+(P84*1000000)/P6</f>
        <v>1484.5992821770496</v>
      </c>
      <c r="Q85" s="783">
        <f t="shared" si="412"/>
        <v>1605.4829931972788</v>
      </c>
      <c r="R85" s="783">
        <f t="shared" si="412"/>
        <v>1534.8063757712332</v>
      </c>
      <c r="S85" s="4929">
        <v>1550.0000000000002</v>
      </c>
      <c r="T85" s="4929">
        <f t="shared" ref="T85:V85" si="416">+(T84*1000000)/T6</f>
        <v>1505.538991344403</v>
      </c>
      <c r="U85" s="4914">
        <f t="shared" si="416"/>
        <v>1591.8256410256411</v>
      </c>
      <c r="V85" s="4914">
        <f t="shared" si="416"/>
        <v>1528.5316968066136</v>
      </c>
      <c r="W85" s="5050">
        <v>1550.0000000000002</v>
      </c>
      <c r="X85" s="5050">
        <f t="shared" ref="X85" si="417">+(X84*1000000)/X6</f>
        <v>1502.228409674419</v>
      </c>
      <c r="Y85" s="353">
        <f>+(Y84*1000000)/Y6</f>
        <v>1577.1062271062274</v>
      </c>
      <c r="Z85" s="353">
        <f>+(Z84*1000000)/Z6</f>
        <v>1497.3775893460049</v>
      </c>
      <c r="AA85" s="466">
        <f>+(AA84*1000000)/AA6</f>
        <v>1583.7862468931235</v>
      </c>
      <c r="AB85" s="5174">
        <f>+(AB84*1000000)/AB6</f>
        <v>1523.8823219135891</v>
      </c>
      <c r="AC85" s="5365">
        <v>1550</v>
      </c>
      <c r="AD85" s="5365">
        <f t="shared" ref="AD85" si="418">+(AD84*1000000)/AD6</f>
        <v>1560.4595018712723</v>
      </c>
      <c r="AE85" s="2399">
        <f t="shared" ref="AE85:AF85" si="419">+(AE84*1000000)/AE6</f>
        <v>1577.9890185312286</v>
      </c>
      <c r="AF85" s="2399">
        <f t="shared" si="419"/>
        <v>1529.2260614415111</v>
      </c>
      <c r="AG85" s="5552">
        <v>1550</v>
      </c>
      <c r="AH85" s="5552">
        <f t="shared" ref="AH85:AJ85" si="420">+(AH84*1000000)/AH6</f>
        <v>2430.8792093615471</v>
      </c>
      <c r="AI85" s="5535">
        <f t="shared" si="420"/>
        <v>1574.0023543260741</v>
      </c>
      <c r="AJ85" s="5535">
        <f t="shared" si="420"/>
        <v>1533.7694603568502</v>
      </c>
      <c r="AK85" s="5948">
        <v>1550</v>
      </c>
      <c r="AL85" s="5948">
        <f t="shared" ref="AL85" si="421">+(AL84*1000000)/AL6</f>
        <v>1464.6323099651017</v>
      </c>
      <c r="AM85" s="353">
        <f>+(AM84*1000000)/AM6</f>
        <v>1550</v>
      </c>
      <c r="AN85" s="353">
        <f>+(AN84*1000000)/AN6</f>
        <v>1525.7421289462536</v>
      </c>
      <c r="AO85" s="2399">
        <f t="shared" ref="AO85:AP85" si="422">+(AO84*1000000)/AO6</f>
        <v>1570.9235505387378</v>
      </c>
      <c r="AP85" s="2399">
        <f t="shared" si="422"/>
        <v>1524.3766996445102</v>
      </c>
      <c r="AQ85" s="6098">
        <v>1550</v>
      </c>
      <c r="AR85" s="6098">
        <f t="shared" ref="AR85" si="423">+(AR84*1000000)/AR6</f>
        <v>1447.0370684380935</v>
      </c>
      <c r="AS85" s="2399">
        <f t="shared" ref="AS85:AT85" si="424">+(AS84*1000000)/AS6</f>
        <v>1568.5447930877672</v>
      </c>
      <c r="AT85" s="2399">
        <f t="shared" si="424"/>
        <v>1514.9824471376257</v>
      </c>
      <c r="AU85" s="6242">
        <v>1549.9999999999998</v>
      </c>
      <c r="AV85" s="6242">
        <f t="shared" ref="AV85:AX85" si="425">+(AV84*1000000)/AV6</f>
        <v>1445.3489600373919</v>
      </c>
      <c r="AW85" s="6234">
        <f t="shared" si="425"/>
        <v>1566.8234323432343</v>
      </c>
      <c r="AX85" s="6234">
        <f t="shared" si="425"/>
        <v>1508.0163849588191</v>
      </c>
      <c r="AY85" s="6433">
        <v>1550</v>
      </c>
      <c r="AZ85" s="6433">
        <f t="shared" ref="AZ85" si="426">+(AZ84*1000000)/AZ6</f>
        <v>1478.6300936208918</v>
      </c>
      <c r="BA85" s="353">
        <f>+(BA84*1000000)/BA6</f>
        <v>1550</v>
      </c>
      <c r="BB85" s="353">
        <f>+(BB84*1000000)/BB6</f>
        <v>1457.3999101528107</v>
      </c>
      <c r="BC85" s="466">
        <f>+(BC84*1000000)/BC6</f>
        <v>1550</v>
      </c>
      <c r="BD85" s="466">
        <f>+(BD84*1000000)/BD6</f>
        <v>1484.5177995103895</v>
      </c>
      <c r="BE85" s="2399">
        <f t="shared" ref="BE85:BF85" si="427">+(BE84*1000000)/BE6</f>
        <v>1565.250560957367</v>
      </c>
      <c r="BF85" s="2399">
        <f t="shared" si="427"/>
        <v>1505.1007824870674</v>
      </c>
      <c r="BG85" s="26"/>
      <c r="BH85" s="26"/>
      <c r="BI85" s="26"/>
      <c r="BJ85" s="26"/>
    </row>
    <row r="86" spans="1:62" x14ac:dyDescent="0.25">
      <c r="A86" s="147"/>
      <c r="B86" s="1786" t="s">
        <v>259</v>
      </c>
      <c r="C86" s="551" t="s">
        <v>212</v>
      </c>
      <c r="D86" s="205">
        <v>880</v>
      </c>
      <c r="E86" s="205">
        <f>+$D$86</f>
        <v>880</v>
      </c>
      <c r="F86" s="1137">
        <v>919.02170003961578</v>
      </c>
      <c r="G86" s="205">
        <f>+$D$86</f>
        <v>880</v>
      </c>
      <c r="H86" s="7188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4599">
        <v>911</v>
      </c>
      <c r="M86" s="790">
        <f>+$D$86</f>
        <v>880</v>
      </c>
      <c r="N86" s="69">
        <f>+((F86*F84)+(H86*H84)+(L84*L86))/N84</f>
        <v>915.60348384117901</v>
      </c>
      <c r="O86" s="205">
        <f>+$D$86</f>
        <v>880</v>
      </c>
      <c r="P86" s="4778">
        <v>919</v>
      </c>
      <c r="Q86" s="61">
        <v>880</v>
      </c>
      <c r="R86" s="39">
        <f>+((N86*N84)+(P84*P86))/R84</f>
        <v>916.51699019355351</v>
      </c>
      <c r="S86" s="205">
        <f>+$D$86</f>
        <v>880</v>
      </c>
      <c r="T86" s="4919">
        <v>919.77894579887402</v>
      </c>
      <c r="U86" s="4907">
        <v>880</v>
      </c>
      <c r="V86" s="39">
        <f>+((R86*R84)+(T84*T86))/V84</f>
        <v>917.20580615671179</v>
      </c>
      <c r="W86" s="205">
        <f>+$D$86</f>
        <v>880</v>
      </c>
      <c r="X86" s="5043">
        <v>908.12589373637263</v>
      </c>
      <c r="Y86" s="790">
        <v>880</v>
      </c>
      <c r="Z86" s="69">
        <f>+((P86*P84)+(T86*T84)+(X84*X86))/Z84</f>
        <v>915.64197307158963</v>
      </c>
      <c r="AA86" s="838">
        <v>880</v>
      </c>
      <c r="AB86" s="454">
        <f>+((N86*N84)+(Z84*Z86))/AB84</f>
        <v>915.62364492071299</v>
      </c>
      <c r="AC86" s="205">
        <f>+$D$86</f>
        <v>880</v>
      </c>
      <c r="AD86" s="5358">
        <v>905</v>
      </c>
      <c r="AE86" s="2621">
        <v>880</v>
      </c>
      <c r="AF86" s="39">
        <f>+((AB86*AB84)+(AD84*AD86))/AF84</f>
        <v>914.03988473910113</v>
      </c>
      <c r="AG86" s="205">
        <f>+$D$86</f>
        <v>880</v>
      </c>
      <c r="AH86" s="5543">
        <v>905.28388852218131</v>
      </c>
      <c r="AI86" s="5528">
        <v>880</v>
      </c>
      <c r="AJ86" s="39">
        <f>+((AF86*AF84)+(AH84*AH86))/AJ84</f>
        <v>913.96995688112463</v>
      </c>
      <c r="AK86" s="205">
        <f>+$D$86</f>
        <v>880</v>
      </c>
      <c r="AL86" s="5945">
        <v>920.88453219942392</v>
      </c>
      <c r="AM86" s="790">
        <v>880</v>
      </c>
      <c r="AN86" s="69">
        <f>+((AD86*AD84)+(AH86*AH84)+(AL84*AL86))/AN84</f>
        <v>912.80055256201513</v>
      </c>
      <c r="AO86" s="2735">
        <v>880</v>
      </c>
      <c r="AP86" s="39">
        <f>+((AL86*AL84)+(AJ84*AJ86))/AP84</f>
        <v>914.87253251151105</v>
      </c>
      <c r="AQ86" s="205">
        <f>+$D$86</f>
        <v>880</v>
      </c>
      <c r="AR86" s="6090">
        <v>920</v>
      </c>
      <c r="AS86" s="2798">
        <v>880</v>
      </c>
      <c r="AT86" s="39">
        <f>+((AP86*AP84)+(AR84*AR86))/AT84</f>
        <v>915.46742036744843</v>
      </c>
      <c r="AU86" s="205">
        <f>+$D$86</f>
        <v>880</v>
      </c>
      <c r="AV86" s="6239">
        <v>919</v>
      </c>
      <c r="AW86" s="6228">
        <v>880</v>
      </c>
      <c r="AX86" s="39">
        <f>+((AT86*AT84)+(AV84*AV86))/AX84</f>
        <v>915.80613021004058</v>
      </c>
      <c r="AY86" s="205">
        <f>+$D$86</f>
        <v>880</v>
      </c>
      <c r="AZ86" s="6423">
        <v>918.08041967436793</v>
      </c>
      <c r="BA86" s="790">
        <v>880</v>
      </c>
      <c r="BB86" s="69">
        <f>+((AR86*AR84)+(AV86*AV84)+(AZ84*AZ86))/BB84</f>
        <v>919.01807983838455</v>
      </c>
      <c r="BC86" s="838">
        <v>880</v>
      </c>
      <c r="BD86" s="454">
        <f>+((AN86*AN84)+(BB84*BB86))/BD84</f>
        <v>916.48248278633469</v>
      </c>
      <c r="BE86" s="3013">
        <v>880</v>
      </c>
      <c r="BF86" s="39">
        <f>+((AX86*AX84)+(AZ84*AZ86))/BF84</f>
        <v>916.02780853371098</v>
      </c>
      <c r="BG86" s="26"/>
      <c r="BH86" s="26"/>
      <c r="BI86" s="26"/>
      <c r="BJ86" s="26"/>
    </row>
    <row r="87" spans="1:62" x14ac:dyDescent="0.25">
      <c r="A87" s="147"/>
      <c r="B87" s="1772" t="s">
        <v>256</v>
      </c>
      <c r="C87" s="551" t="s">
        <v>301</v>
      </c>
      <c r="D87" s="1139">
        <v>5.916666666666667</v>
      </c>
      <c r="E87" s="1139">
        <f>+(EMD!D25/E2/24)</f>
        <v>6</v>
      </c>
      <c r="F87" s="1139">
        <f>+(EMD!E25/F2/24)</f>
        <v>6.8097944877542558</v>
      </c>
      <c r="G87" s="1139">
        <f>+(EMD!F25/G2/24)</f>
        <v>6</v>
      </c>
      <c r="H87" s="1139">
        <f>+(EMD!G25/H2/24)</f>
        <v>7.8944878481926963</v>
      </c>
      <c r="I87" s="83">
        <f>+((E87*E2)+(G87*G2))/I2</f>
        <v>6</v>
      </c>
      <c r="J87" s="3482">
        <f>+((F87*F$2)+(H87*H$2))/J$2</f>
        <v>7.3610320971573984</v>
      </c>
      <c r="K87" s="1139">
        <f>+(EMD!J25/K2/24)</f>
        <v>8</v>
      </c>
      <c r="L87" s="1139">
        <f>+(EMD!K25/L2/24)</f>
        <v>6.8595277777777817</v>
      </c>
      <c r="M87" s="383">
        <f>+((E87*E2)+(G87*G2)+(K87*K2))/M2</f>
        <v>6.6593406593406597</v>
      </c>
      <c r="N87" s="353">
        <f>+((F87*F$2)+(H87*H$2)+(L87*L$2))/N$2</f>
        <v>7.1957010028564259</v>
      </c>
      <c r="O87" s="1139">
        <f>+(EMD!N25/O2/24)</f>
        <v>10</v>
      </c>
      <c r="P87" s="1139">
        <f>+(EMD!O25/P2/24)</f>
        <v>7.0212231182795692</v>
      </c>
      <c r="Q87" s="83">
        <f>+((M87*M2)+(O87*O2))/Q2</f>
        <v>7.5081967213114753</v>
      </c>
      <c r="R87" s="107">
        <f>+((N87*N$2)+(P87*P$2))/R$2</f>
        <v>7.151366458414766</v>
      </c>
      <c r="S87" s="1139">
        <f>+(EMD!R25/S2/24)</f>
        <v>8</v>
      </c>
      <c r="T87" s="1139">
        <f>+(EMD!S25/T2/24)</f>
        <v>6.4336021505376344</v>
      </c>
      <c r="U87" s="83">
        <f>+((Q87*Q2)+(S87*S2))/U2</f>
        <v>7.6078431372549016</v>
      </c>
      <c r="V87" s="107">
        <f>+((R87*R$2)+(T87*T$2))/V$2</f>
        <v>7.0059370888448891</v>
      </c>
      <c r="W87" s="1139">
        <f>+(EMD!V25/W2/24)</f>
        <v>8</v>
      </c>
      <c r="X87" s="1139">
        <f>+(EMD!W25/X2/24)</f>
        <v>7.7103756412438047</v>
      </c>
      <c r="Y87" s="658">
        <f>+(EMD!X25/Y2/24)</f>
        <v>8.6739130434782599</v>
      </c>
      <c r="Z87" s="658">
        <f>+(EMD!Y25/Z2/24)</f>
        <v>7.0479440496809511</v>
      </c>
      <c r="AA87" s="654">
        <f>+(EMD!Z25/AA2/24)</f>
        <v>7.6721311475409841</v>
      </c>
      <c r="AB87" s="654">
        <f>+(EMD!AA25/AB2/24)</f>
        <v>7.1214188187463501</v>
      </c>
      <c r="AC87" s="1139">
        <f>+(EMD!AB25/AC2/24)</f>
        <v>8</v>
      </c>
      <c r="AD87" s="1139">
        <f>+(EMD!AC25/AD2/24)</f>
        <v>7.5797664476595097</v>
      </c>
      <c r="AE87" s="83">
        <f>+(EMD!AD25/AE2/24)</f>
        <v>7.7196261682242993</v>
      </c>
      <c r="AF87" s="107">
        <f>+(EMD!AE25/AF2/24)</f>
        <v>7.1878149705982572</v>
      </c>
      <c r="AG87" s="1139">
        <f>+(EMD!AF25/AG2/24)</f>
        <v>8</v>
      </c>
      <c r="AH87" s="1139">
        <f>+(EMD!AG25/AH2/24)</f>
        <v>5.0918055555555561</v>
      </c>
      <c r="AI87" s="83">
        <f>+(EMD!AH25/AI2/24)</f>
        <v>7.7540983606557381</v>
      </c>
      <c r="AJ87" s="107">
        <f>+(EMD!AI25/AJ2/24)</f>
        <v>6.930108894978253</v>
      </c>
      <c r="AK87" s="1139">
        <f>+(EMD!AJ25/AK2/24)</f>
        <v>8</v>
      </c>
      <c r="AL87" s="1139">
        <f>+(EMD!AK25/AL2/24)</f>
        <v>7.5239048788161869</v>
      </c>
      <c r="AM87" s="657">
        <f>(AC87*AC2+AG87*AG2+AK87*AK2)/AM2</f>
        <v>8</v>
      </c>
      <c r="AN87" s="657">
        <f>(AD87*AD2+AH87*AH2+AL87*AL2)/AN2</f>
        <v>6.7496519324718829</v>
      </c>
      <c r="AO87" s="53">
        <f>+((AK87*AK2)+(AI87*AI2))/AO2</f>
        <v>7.7818181818181822</v>
      </c>
      <c r="AP87" s="107">
        <f>+((AL87*AL$2)+(AJ87*AJ$2))/AP$2</f>
        <v>6.9970458967927112</v>
      </c>
      <c r="AQ87" s="1139">
        <f>+(EMD!AP25/AQ2/24)</f>
        <v>8</v>
      </c>
      <c r="AR87" s="1139">
        <f>+(EMD!AQ25/AR2/24)</f>
        <v>7.9931854838709677</v>
      </c>
      <c r="AS87" s="83">
        <f>+((AO87*AO2)+(AQ87*AQ2))/AS2</f>
        <v>7.8039215686274508</v>
      </c>
      <c r="AT87" s="107">
        <f>+((AP87*AP$2)+(AR87*AR$2))/AT$2</f>
        <v>7.0979619987516189</v>
      </c>
      <c r="AU87" s="1139">
        <f>+(EMD!AT25/AU2/24)</f>
        <v>8</v>
      </c>
      <c r="AV87" s="191">
        <f>+(EMD!AU25/AV2/24)</f>
        <v>7.5484475950610319</v>
      </c>
      <c r="AW87" s="83">
        <f>+((AS87*AS2)+(AU87*AU2))/AW2</f>
        <v>7.8203592814371259</v>
      </c>
      <c r="AX87" s="107">
        <f>+((AT87*AT$2)+(AV87*AV$2))/AX$2</f>
        <v>7.1357272583224685</v>
      </c>
      <c r="AY87" s="1139">
        <f>+(EMD!AX25/AY2/24)</f>
        <v>8</v>
      </c>
      <c r="AZ87" s="191">
        <f>+(EMD!AY25/AZ2/24)</f>
        <v>7.0834358360223169</v>
      </c>
      <c r="BA87" s="657">
        <f>+(EMD!AZ25/BA2/24)</f>
        <v>8</v>
      </c>
      <c r="BB87" s="657">
        <f>+(EMD!BA25/BB2/24)</f>
        <v>7.5414643730933415</v>
      </c>
      <c r="BC87" s="653">
        <f>+(EMD!BB25/BC2/24)</f>
        <v>8</v>
      </c>
      <c r="BD87" s="653">
        <f>+(EMD!BC25/BD2/24)</f>
        <v>7.1412075349770001</v>
      </c>
      <c r="BE87" s="83">
        <f>+(EMD!BD25/BE2/24)</f>
        <v>7.8356164383561646</v>
      </c>
      <c r="BF87" s="107">
        <f>+(EMD!BE25/BF2/24)</f>
        <v>7.1312860690312236</v>
      </c>
      <c r="BG87" s="26"/>
      <c r="BH87" s="26"/>
      <c r="BI87" s="26"/>
      <c r="BJ87" s="26"/>
    </row>
    <row r="88" spans="1:62" x14ac:dyDescent="0.25">
      <c r="A88" s="147"/>
      <c r="B88" s="1772" t="s">
        <v>447</v>
      </c>
      <c r="C88" s="551" t="s">
        <v>301</v>
      </c>
      <c r="D88" s="191">
        <v>231.24770076193968</v>
      </c>
      <c r="E88" s="1139">
        <f>+(EMD!D59/E2/24)</f>
        <v>240.52556818181822</v>
      </c>
      <c r="F88" s="191">
        <f>+(EMD!E59/F2/24)</f>
        <v>196.99791666666673</v>
      </c>
      <c r="G88" s="1139">
        <f>+(EMD!F59/G2/24)</f>
        <v>240.1090542521994</v>
      </c>
      <c r="H88" s="191">
        <f>+(EMD!G59/H2/24)</f>
        <v>219.10752688172045</v>
      </c>
      <c r="I88" s="83">
        <f>+(EMD!H59/I2/24)</f>
        <v>240.31389716840536</v>
      </c>
      <c r="J88" s="107">
        <f>+(EMD!I59/J2/24)</f>
        <v>208.23394808743174</v>
      </c>
      <c r="K88" s="1139">
        <f>+(EMD!J59/K2/24)</f>
        <v>162.96875000000003</v>
      </c>
      <c r="L88" s="191">
        <f>+(EMD!K59/L2/24)</f>
        <v>160.8472222222222</v>
      </c>
      <c r="M88" s="383">
        <f>+((E88*E2)+(G88*G2)+(K88*K2))/M2</f>
        <v>214.81549700299701</v>
      </c>
      <c r="N88" s="383">
        <f>+((F88*F2)+(H88*H2)+(L88*L2))/N2</f>
        <v>192.61195054945054</v>
      </c>
      <c r="O88" s="1139">
        <f>+(EMD!N59/O2/24)</f>
        <v>78.326612903225779</v>
      </c>
      <c r="P88" s="191">
        <f>+(EMD!O59/P2/24)</f>
        <v>198.91532258064504</v>
      </c>
      <c r="Q88" s="83">
        <f>+(EMD!P59/Q2/24)</f>
        <v>180.13389530551419</v>
      </c>
      <c r="R88" s="107">
        <f>+(EMD!Q59/R2/24)</f>
        <v>194.2136270491803</v>
      </c>
      <c r="S88" s="1139">
        <f>+(EMD!R59/S2/24)</f>
        <v>220.02199413489737</v>
      </c>
      <c r="T88" s="191">
        <f>+(EMD!S59/T2/24)</f>
        <v>203.57258064516131</v>
      </c>
      <c r="U88" s="83">
        <f>+(EMD!T59/U2/24)</f>
        <v>188.21579768270945</v>
      </c>
      <c r="V88" s="107">
        <f>+(EMD!U59/V2/24)</f>
        <v>196.10988562091498</v>
      </c>
      <c r="W88" s="1139">
        <f>+(EMD!V59/W2/24)</f>
        <v>219.7348484848485</v>
      </c>
      <c r="X88" s="191">
        <f>+(EMD!W59/X2/24)</f>
        <v>210.40000000000009</v>
      </c>
      <c r="Y88" s="658">
        <f>+(EMD!X59/Y2/24)</f>
        <v>172.18317687747037</v>
      </c>
      <c r="Z88" s="658">
        <f>+(EMD!Y59/Z2/24)</f>
        <v>204.22961956521738</v>
      </c>
      <c r="AA88" s="654">
        <f>+(EMD!Z59/AA2/24)</f>
        <v>193.38285519125688</v>
      </c>
      <c r="AB88" s="654">
        <f>+(EMD!AA59/AB2/24)</f>
        <v>198.45252732240439</v>
      </c>
      <c r="AC88" s="1139">
        <f>+(EMD!AB59/AC2/24)</f>
        <v>230.78995601173025</v>
      </c>
      <c r="AD88" s="1139">
        <f>+(EMD!AC59/AD2/24)</f>
        <v>204.48924731182797</v>
      </c>
      <c r="AE88" s="83">
        <f>+(EMD!AD59/AE2/24)</f>
        <v>198.80164082412918</v>
      </c>
      <c r="AF88" s="107">
        <f>+(EMD!AE59/AF2/24)</f>
        <v>199.3270054517134</v>
      </c>
      <c r="AG88" s="1139">
        <f>+(EMD!AF59/AG2/24)</f>
        <v>230.86174242424249</v>
      </c>
      <c r="AH88" s="1139">
        <f>+(EMD!AG59/AH2/24)</f>
        <v>11.440277777777787</v>
      </c>
      <c r="AI88" s="83">
        <f>+(EMD!AH59/AI2/24)</f>
        <v>202.74345659463492</v>
      </c>
      <c r="AJ88" s="107">
        <f>+(EMD!AI59/AJ2/24)</f>
        <v>176.22617827868851</v>
      </c>
      <c r="AK88" s="1139">
        <f>+(EMD!AJ59/AK2/24)</f>
        <v>230.78995601173025</v>
      </c>
      <c r="AL88" s="1139">
        <f>+(EMD!AK59/AL2/24)</f>
        <v>208.33064516129033</v>
      </c>
      <c r="AM88" s="657">
        <f>+(EMD!AL59/AM2/24)</f>
        <v>230.81336462450597</v>
      </c>
      <c r="AN88" s="657">
        <f>+(EMD!AM59/AN2/24)</f>
        <v>142.8328804347826</v>
      </c>
      <c r="AO88" s="53">
        <f>+(EMD!AN59/AO2/24)</f>
        <v>205.90506198347111</v>
      </c>
      <c r="AP88" s="107">
        <f>+(EMD!AO59/AP2/24)</f>
        <v>179.84522727272727</v>
      </c>
      <c r="AQ88" s="1139">
        <f>+(EMD!AP59/AQ2/24)</f>
        <v>230.78995601173025</v>
      </c>
      <c r="AR88" s="1139">
        <f>+(EMD!AQ59/AR2/24)</f>
        <v>213.45967741935485</v>
      </c>
      <c r="AS88" s="83">
        <f>+(EMD!AR59/AS2/24)</f>
        <v>208.42608065953661</v>
      </c>
      <c r="AT88" s="107">
        <f>+(EMD!AS59/AT2/24)</f>
        <v>183.25061274509804</v>
      </c>
      <c r="AU88" s="1139">
        <f>+(EMD!AT59/AU2/24)</f>
        <v>229.82853084415581</v>
      </c>
      <c r="AV88" s="191">
        <f>+(EMD!AU59/AV2/24)</f>
        <v>217.69047619047618</v>
      </c>
      <c r="AW88" s="83">
        <f>+(EMD!AV59/AW2/24)</f>
        <v>210.2202980402831</v>
      </c>
      <c r="AX88" s="107">
        <f>+(EMD!AW59/AX2/24)</f>
        <v>186.1377869261477</v>
      </c>
      <c r="AY88" s="1139">
        <f>+(EMD!AX59/AY2/24)</f>
        <v>230.78995601173025</v>
      </c>
      <c r="AZ88" s="191">
        <f>+(EMD!AY59/AZ2/24)</f>
        <v>218.90188172043008</v>
      </c>
      <c r="BA88" s="356">
        <f>+(EMD!AZ59/BA2/24)</f>
        <v>230.49084595959596</v>
      </c>
      <c r="BB88" s="356">
        <f>+(EMD!BA59/BB2/24)</f>
        <v>216.65046296296296</v>
      </c>
      <c r="BC88" s="485">
        <f>+(EMD!BB59/BC2/24)</f>
        <v>230.65387737262742</v>
      </c>
      <c r="BD88" s="485">
        <f>+(EMD!BC59/BD2/24)</f>
        <v>179.33608058608058</v>
      </c>
      <c r="BE88" s="53">
        <f>+(EMD!BD59/BE2/24)</f>
        <v>211.96731008717313</v>
      </c>
      <c r="BF88" s="107">
        <f>+(EMD!BE59/BF2/24)</f>
        <v>188.9204908675799</v>
      </c>
      <c r="BG88" s="26"/>
      <c r="BH88" s="26"/>
      <c r="BI88" s="26"/>
      <c r="BJ88" s="26"/>
    </row>
    <row r="89" spans="1:62" x14ac:dyDescent="0.25">
      <c r="A89" s="147"/>
      <c r="B89" s="1786" t="s">
        <v>258</v>
      </c>
      <c r="C89" s="551" t="s">
        <v>1093</v>
      </c>
      <c r="D89" s="264">
        <v>0.6835652542372882</v>
      </c>
      <c r="E89" s="264">
        <v>0.68174999999999997</v>
      </c>
      <c r="F89" s="264">
        <v>0.67300000000000004</v>
      </c>
      <c r="G89" s="264">
        <v>0.68174999999999997</v>
      </c>
      <c r="H89" s="264">
        <v>0.68600000000000005</v>
      </c>
      <c r="I89" s="379">
        <f>+((E89*E6)+(G89*G6))/I6</f>
        <v>0.68174999999999997</v>
      </c>
      <c r="J89" s="193">
        <f>+((F89*F6)+(H89*H6))/J6</f>
        <v>0.67989936049425503</v>
      </c>
      <c r="K89" s="264">
        <v>0.86292000000000002</v>
      </c>
      <c r="L89" s="264">
        <v>0.76200000000000001</v>
      </c>
      <c r="M89" s="380">
        <f>+((E89*E6)+(G89*G6)+(K89*K6))/M6</f>
        <v>0.72258862329803331</v>
      </c>
      <c r="N89" s="196">
        <f>+((F89*F6)+(H89*H6)+(L89*L6))/N6</f>
        <v>0.70106309410851375</v>
      </c>
      <c r="O89" s="264">
        <v>1.1303243967828418</v>
      </c>
      <c r="P89" s="264">
        <v>0.63900000000000001</v>
      </c>
      <c r="Q89" s="379">
        <f>+((M89*M6)+(O89*O6))/Q6</f>
        <v>0.76363957192099363</v>
      </c>
      <c r="R89" s="193">
        <f>+((N89*N6)+(P89*P6))/R6</f>
        <v>0.68380647719000598</v>
      </c>
      <c r="S89" s="264">
        <v>0.70995999999999992</v>
      </c>
      <c r="T89" s="264">
        <v>0.65500000000000003</v>
      </c>
      <c r="U89" s="379">
        <f>+((Q89*Q6)+(S89*S6))/U6</f>
        <v>0.75042613883274911</v>
      </c>
      <c r="V89" s="193">
        <f>+((R89*R6)+(T89*T6))/V6</f>
        <v>0.67763061282738035</v>
      </c>
      <c r="W89" s="264">
        <v>0.71000869565217395</v>
      </c>
      <c r="X89" s="264">
        <v>0.66100000000000003</v>
      </c>
      <c r="Y89" s="382">
        <f>+((O89*O6)+(S89*S6)+(W89*W6))/Y6</f>
        <v>0.7669531552257044</v>
      </c>
      <c r="Z89" s="382">
        <f>+((P89*P6)+(T89*T6)+(X89*X6))/Z6</f>
        <v>0.65159214347438066</v>
      </c>
      <c r="AA89" s="663">
        <f>(M89*M6+Y89*Y6)/AA6</f>
        <v>0.74265741735976365</v>
      </c>
      <c r="AB89" s="663">
        <f>(N89*N6+Z89*Z6)/AB6</f>
        <v>0.67469098199923982</v>
      </c>
      <c r="AC89" s="264">
        <v>0.70976159999999999</v>
      </c>
      <c r="AD89" s="264">
        <v>0.6845</v>
      </c>
      <c r="AE89" s="379">
        <f>+((AA89*AA6)+(AC89*AC6))/AE6</f>
        <v>0.73701297374964625</v>
      </c>
      <c r="AF89" s="193">
        <f>+((AB89*AB6)+(AD89*AD6))/AF6</f>
        <v>0.67612402952453832</v>
      </c>
      <c r="AG89" s="264">
        <v>0.70972131147540973</v>
      </c>
      <c r="AH89" s="264">
        <v>2.794</v>
      </c>
      <c r="AI89" s="379">
        <f>+((AE89*AE6)+(AG89*AG6))/AI6</f>
        <v>0.73312563868763025</v>
      </c>
      <c r="AJ89" s="193">
        <f>+((AF89*AF6)+(AH89*AH6))/AJ6</f>
        <v>0.68679593302676478</v>
      </c>
      <c r="AK89" s="264">
        <v>0.70970513833992088</v>
      </c>
      <c r="AL89" s="264">
        <v>0.65200000000000002</v>
      </c>
      <c r="AM89" s="382">
        <f>+((AC89*AC6)+(AG89*AG6)+(AK89*AK6))/AM6</f>
        <v>0.70972943660650856</v>
      </c>
      <c r="AN89" s="382">
        <f>+((AD89*AD6)+(AH89*AH6)+(AL89*AL6))/AN6</f>
        <v>0.70244519705766728</v>
      </c>
      <c r="AO89" s="379">
        <f>+((AK89*AK6)+(AI89*AI6))/AO6</f>
        <v>0.73012146983851411</v>
      </c>
      <c r="AP89" s="193">
        <f>+((AL89*AL6)+(AJ89*AJ6))/AP6</f>
        <v>0.68206866453462833</v>
      </c>
      <c r="AQ89" s="264">
        <v>0.70970513833992088</v>
      </c>
      <c r="AR89" s="264">
        <v>0.65900000000000003</v>
      </c>
      <c r="AS89" s="379">
        <f>+((AO89*AO6)+(AQ89*AQ6))/AS6</f>
        <v>0.72780037712607748</v>
      </c>
      <c r="AT89" s="193">
        <f>+((AP89*AP6)+(AR89*AR6))/AT6</f>
        <v>0.67926657127074253</v>
      </c>
      <c r="AU89" s="264">
        <v>0.70969519650655022</v>
      </c>
      <c r="AV89" s="264">
        <v>0.65600000000000003</v>
      </c>
      <c r="AW89" s="379">
        <f>+((AS89*AS6)+(AU89*AU6))/AW6</f>
        <v>0.72611982199431435</v>
      </c>
      <c r="AX89" s="193">
        <f>+((AT89*AT6)+(AV89*AV6))/AX6</f>
        <v>0.67693900749490676</v>
      </c>
      <c r="AY89" s="264">
        <v>0.70967924528301884</v>
      </c>
      <c r="AZ89" s="264">
        <v>0.65600000000000003</v>
      </c>
      <c r="BA89" s="382">
        <f>+((AQ89*AQ6)+(AU89*AU6)+(AY89*AY6))/BA6</f>
        <v>0.70969312430304654</v>
      </c>
      <c r="BB89" s="382">
        <f>+((AR89*AR6)+(AV89*AV6)+(AZ89*AZ6))/BB6</f>
        <v>0.65702644298427515</v>
      </c>
      <c r="BC89" s="663">
        <f>(AM89*AM6+BA89*BA6)/BC6</f>
        <v>0.7097114908532639</v>
      </c>
      <c r="BD89" s="663">
        <f>(AN89*AN6+BB89*BB6)/BD6</f>
        <v>0.67504840319373072</v>
      </c>
      <c r="BE89" s="379">
        <f>+((AW89*AW6)+(AY89*AY6))/BE6</f>
        <v>0.72458274488966812</v>
      </c>
      <c r="BF89" s="193">
        <f>+((AX89*AX6)+(AZ89*AZ6))/BF6</f>
        <v>0.67486151424112617</v>
      </c>
      <c r="BG89" s="26"/>
      <c r="BH89" s="26"/>
      <c r="BI89" s="26"/>
      <c r="BJ89" s="26"/>
    </row>
    <row r="90" spans="1:62" x14ac:dyDescent="0.25">
      <c r="A90" s="147"/>
      <c r="B90" s="1786" t="s">
        <v>231</v>
      </c>
      <c r="C90" s="551" t="s">
        <v>213</v>
      </c>
      <c r="D90" s="6526">
        <f>16.0411314841598*D2*24*1000</f>
        <v>140520311.80123985</v>
      </c>
      <c r="E90" s="1137">
        <f>+'POWER DISTRIBUTION'!I23</f>
        <v>11845370.205535013</v>
      </c>
      <c r="F90" s="1137">
        <f>+'POWER DISTRIBUTION'!J23</f>
        <v>10229684.000000009</v>
      </c>
      <c r="G90" s="7188">
        <f>+'POWER DISTRIBUTION'!K23</f>
        <v>12221413.704123424</v>
      </c>
      <c r="H90" s="7188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4599">
        <f>+'POWER DISTRIBUTION'!O23</f>
        <v>8427619.9999999981</v>
      </c>
      <c r="L90" s="4599">
        <f>+'POWER DISTRIBUTION'!P23</f>
        <v>10436364.000000011</v>
      </c>
      <c r="M90" s="2374">
        <f>E90+G90+K90</f>
        <v>32494403.909658439</v>
      </c>
      <c r="N90" s="2374">
        <f>F90+H90+L90</f>
        <v>32828136.000000011</v>
      </c>
      <c r="O90" s="4778">
        <f>+'POWER DISTRIBUTION'!S23</f>
        <v>5961320</v>
      </c>
      <c r="P90" s="4778">
        <f>+'POWER DISTRIBUTION'!T23</f>
        <v>11167696.999999996</v>
      </c>
      <c r="Q90" s="61">
        <f>+'POWER DISTRIBUTION'!U23</f>
        <v>38455723.909658439</v>
      </c>
      <c r="R90" s="89">
        <f>+'POWER DISTRIBUTION'!V23</f>
        <v>43995833.000000007</v>
      </c>
      <c r="S90" s="4919">
        <f>+'POWER DISTRIBUTION'!W23</f>
        <v>11371200</v>
      </c>
      <c r="T90" s="4919">
        <f>+'POWER DISTRIBUTION'!X23</f>
        <v>12183166.999999994</v>
      </c>
      <c r="U90" s="4907">
        <f>+'POWER DISTRIBUTION'!Y23</f>
        <v>49826923.909658439</v>
      </c>
      <c r="V90" s="89">
        <f>+'POWER DISTRIBUTION'!Z23</f>
        <v>56179000</v>
      </c>
      <c r="W90" s="5043">
        <f>+'POWER DISTRIBUTION'!AA23</f>
        <v>10992160</v>
      </c>
      <c r="X90" s="5043">
        <f>+'POWER DISTRIBUTION'!AB23</f>
        <v>11775126</v>
      </c>
      <c r="Y90" s="782">
        <f>O90+S90+W90</f>
        <v>28324680</v>
      </c>
      <c r="Z90" s="529">
        <f>P90+T90+X90</f>
        <v>35125989.999999993</v>
      </c>
      <c r="AA90" s="465">
        <f>M90+Y90</f>
        <v>60819083.909658439</v>
      </c>
      <c r="AB90" s="655">
        <f>N90+Z90</f>
        <v>67954126</v>
      </c>
      <c r="AC90" s="5358">
        <f>+'POWER DISTRIBUTION'!AG23</f>
        <v>11845000</v>
      </c>
      <c r="AD90" s="5358">
        <f>+'POWER DISTRIBUTION'!AH23</f>
        <v>11330722.00000002</v>
      </c>
      <c r="AE90" s="2621">
        <f>+'POWER DISTRIBUTION'!AI23</f>
        <v>72664083.909658432</v>
      </c>
      <c r="AF90" s="89">
        <f>+'POWER DISTRIBUTION'!AJ23</f>
        <v>79284848.000000015</v>
      </c>
      <c r="AG90" s="5543">
        <f>+'POWER DISTRIBUTION'!AK23</f>
        <v>11465960</v>
      </c>
      <c r="AH90" s="5543">
        <f>+'POWER DISTRIBUTION'!AL23</f>
        <v>3019420.0000000009</v>
      </c>
      <c r="AI90" s="5528">
        <f>+'POWER DISTRIBUTION'!AM23</f>
        <v>84130043.909658432</v>
      </c>
      <c r="AJ90" s="89">
        <f>+'POWER DISTRIBUTION'!AN23</f>
        <v>82304268.000000015</v>
      </c>
      <c r="AK90" s="5945">
        <f>+'POWER DISTRIBUTION'!AO23</f>
        <v>11845000</v>
      </c>
      <c r="AL90" s="5945">
        <f>+'POWER DISTRIBUTION'!AP23</f>
        <v>11944031.999999981</v>
      </c>
      <c r="AM90" s="790">
        <f>+'POWER DISTRIBUTION'!AQ23</f>
        <v>35155960</v>
      </c>
      <c r="AN90" s="69">
        <f>+'POWER DISTRIBUTION'!AR23</f>
        <v>26294174.000000004</v>
      </c>
      <c r="AO90" s="2774">
        <f>+'POWER DISTRIBUTION'!AS23</f>
        <v>95975043.909658432</v>
      </c>
      <c r="AP90" s="39">
        <f>+'POWER DISTRIBUTION'!AT23</f>
        <v>94248300</v>
      </c>
      <c r="AQ90" s="6090">
        <f>+'POWER DISTRIBUTION'!AU23</f>
        <v>11845000</v>
      </c>
      <c r="AR90" s="6090">
        <f>+'POWER DISTRIBUTION'!AV23</f>
        <v>11102732.000000043</v>
      </c>
      <c r="AS90" s="2798">
        <f>+'POWER DISTRIBUTION'!AW23</f>
        <v>107820043.90965843</v>
      </c>
      <c r="AT90" s="89">
        <f>+'POWER DISTRIBUTION'!AX23</f>
        <v>105351032.00000004</v>
      </c>
      <c r="AU90" s="6239">
        <f>+'POWER DISTRIBUTION'!AY23</f>
        <v>10660500</v>
      </c>
      <c r="AV90" s="6239">
        <f>+'POWER DISTRIBUTION'!AZ23</f>
        <v>11384975.999999972</v>
      </c>
      <c r="AW90" s="6228">
        <f>+'POWER DISTRIBUTION'!BA23</f>
        <v>118480543.90965843</v>
      </c>
      <c r="AX90" s="89">
        <f>+'POWER DISTRIBUTION'!BB23</f>
        <v>116736008.00000001</v>
      </c>
      <c r="AY90" s="6423">
        <f>+'POWER DISTRIBUTION'!BC23</f>
        <v>11845000</v>
      </c>
      <c r="AZ90" s="6423">
        <f>+'POWER DISTRIBUTION'!BD23</f>
        <v>12297594.000000011</v>
      </c>
      <c r="BA90" s="790">
        <f>+'POWER DISTRIBUTION'!BE23</f>
        <v>34350500</v>
      </c>
      <c r="BB90" s="69">
        <f>+'POWER DISTRIBUTION'!BF23</f>
        <v>34785302.00000003</v>
      </c>
      <c r="BC90" s="838">
        <f>+'POWER DISTRIBUTION'!BG23</f>
        <v>69506460</v>
      </c>
      <c r="BD90" s="454">
        <f>+'POWER DISTRIBUTION'!BH23</f>
        <v>61079476.00000003</v>
      </c>
      <c r="BE90" s="3044">
        <f>+'POWER DISTRIBUTION'!BI23</f>
        <v>130325543.90965843</v>
      </c>
      <c r="BF90" s="39">
        <f>+'POWER DISTRIBUTION'!BJ23</f>
        <v>129033602.00000003</v>
      </c>
      <c r="BG90" s="26"/>
      <c r="BH90" s="26"/>
      <c r="BI90" s="26"/>
      <c r="BJ90" s="26"/>
    </row>
    <row r="91" spans="1:62" x14ac:dyDescent="0.25">
      <c r="A91" s="147"/>
      <c r="B91" s="1787" t="s">
        <v>232</v>
      </c>
      <c r="C91" s="551" t="s">
        <v>257</v>
      </c>
      <c r="D91" s="102">
        <f t="shared" ref="D91:AD91" si="428">+D90/D6</f>
        <v>47.63400400042029</v>
      </c>
      <c r="E91" s="102">
        <f t="shared" si="428"/>
        <v>47.005437323551639</v>
      </c>
      <c r="F91" s="191">
        <f t="shared" si="428"/>
        <v>45.238946850776792</v>
      </c>
      <c r="G91" s="102">
        <f t="shared" ref="G91:H91" si="429">+G90/G6</f>
        <v>47.005437323551632</v>
      </c>
      <c r="H91" s="191">
        <f t="shared" si="429"/>
        <v>47.558148037644223</v>
      </c>
      <c r="I91" s="266">
        <f t="shared" si="428"/>
        <v>47.005437323551639</v>
      </c>
      <c r="J91" s="266">
        <f t="shared" si="428"/>
        <v>46.469793392846213</v>
      </c>
      <c r="K91" s="102">
        <f t="shared" si="428"/>
        <v>56.56120805369126</v>
      </c>
      <c r="L91" s="191">
        <f t="shared" si="428"/>
        <v>62.361938793497586</v>
      </c>
      <c r="M91" s="353">
        <f t="shared" si="428"/>
        <v>49.159461285413677</v>
      </c>
      <c r="N91" s="353">
        <f t="shared" si="428"/>
        <v>50.56643787507241</v>
      </c>
      <c r="O91" s="102">
        <f t="shared" ref="O91:P91" si="430">+O90/O6</f>
        <v>80.558378378378379</v>
      </c>
      <c r="P91" s="191">
        <f t="shared" si="430"/>
        <v>44.66474932589113</v>
      </c>
      <c r="Q91" s="266">
        <f t="shared" si="428"/>
        <v>52.320712802256381</v>
      </c>
      <c r="R91" s="266">
        <f t="shared" si="428"/>
        <v>48.925475884239376</v>
      </c>
      <c r="S91" s="102">
        <f t="shared" si="428"/>
        <v>47.38</v>
      </c>
      <c r="T91" s="191">
        <f t="shared" si="428"/>
        <v>49.645772913738625</v>
      </c>
      <c r="U91" s="266">
        <f t="shared" ref="U91:X91" si="431">+U90/U6</f>
        <v>51.104537343239429</v>
      </c>
      <c r="V91" s="266">
        <f t="shared" si="431"/>
        <v>49.079901457545262</v>
      </c>
      <c r="W91" s="102">
        <f t="shared" si="431"/>
        <v>47.38</v>
      </c>
      <c r="X91" s="191">
        <f t="shared" si="431"/>
        <v>47.911199830084904</v>
      </c>
      <c r="Y91" s="353">
        <f t="shared" si="428"/>
        <v>51.876703296703297</v>
      </c>
      <c r="Z91" s="356">
        <f t="shared" si="428"/>
        <v>47.390352608014908</v>
      </c>
      <c r="AA91" s="466">
        <f t="shared" si="428"/>
        <v>50.388636213470122</v>
      </c>
      <c r="AB91" s="485">
        <f t="shared" si="428"/>
        <v>48.873321497525737</v>
      </c>
      <c r="AC91" s="102">
        <f t="shared" si="428"/>
        <v>47.38</v>
      </c>
      <c r="AD91" s="191">
        <f t="shared" si="428"/>
        <v>47.630830358873212</v>
      </c>
      <c r="AE91" s="266">
        <f t="shared" ref="AE91:AH91" si="432">+AE90/AE6</f>
        <v>49.872398016237774</v>
      </c>
      <c r="AF91" s="266">
        <f t="shared" si="432"/>
        <v>48.691799876165319</v>
      </c>
      <c r="AG91" s="102">
        <f t="shared" si="432"/>
        <v>47.38</v>
      </c>
      <c r="AH91" s="191">
        <f t="shared" si="432"/>
        <v>366.14563754320028</v>
      </c>
      <c r="AI91" s="266">
        <f t="shared" ref="AI91:AL91" si="433">+AI90/AI6</f>
        <v>49.517388999210375</v>
      </c>
      <c r="AJ91" s="266">
        <f t="shared" si="433"/>
        <v>50.291438745118306</v>
      </c>
      <c r="AK91" s="102">
        <f t="shared" si="433"/>
        <v>47.38</v>
      </c>
      <c r="AL91" s="191">
        <f t="shared" si="433"/>
        <v>46.422286991106105</v>
      </c>
      <c r="AM91" s="353">
        <f t="shared" ref="AM91:AT91" si="434">+AM90/AM6</f>
        <v>47.38</v>
      </c>
      <c r="AN91" s="356">
        <f t="shared" si="434"/>
        <v>52.230703480984317</v>
      </c>
      <c r="AO91" s="266">
        <f t="shared" si="434"/>
        <v>49.243224171194683</v>
      </c>
      <c r="AP91" s="266">
        <f t="shared" si="434"/>
        <v>49.765787682278074</v>
      </c>
      <c r="AQ91" s="102">
        <f t="shared" si="434"/>
        <v>47.38</v>
      </c>
      <c r="AR91" s="191">
        <f t="shared" si="434"/>
        <v>42.401860028856881</v>
      </c>
      <c r="AS91" s="266">
        <f t="shared" si="434"/>
        <v>49.031397867057038</v>
      </c>
      <c r="AT91" s="266">
        <f t="shared" si="434"/>
        <v>48.871309718787003</v>
      </c>
      <c r="AU91" s="102">
        <f t="shared" ref="AU91:AX91" si="435">+AU90/AU6</f>
        <v>47.38</v>
      </c>
      <c r="AV91" s="191">
        <f t="shared" si="435"/>
        <v>47.511835208493189</v>
      </c>
      <c r="AW91" s="266">
        <f t="shared" si="435"/>
        <v>48.8781121739515</v>
      </c>
      <c r="AX91" s="266">
        <f t="shared" si="435"/>
        <v>48.735309291929482</v>
      </c>
      <c r="AY91" s="102">
        <f t="shared" ref="AY91:AZ91" si="436">+AY90/AY6</f>
        <v>47.38</v>
      </c>
      <c r="AZ91" s="191">
        <f t="shared" si="436"/>
        <v>46.611810635636616</v>
      </c>
      <c r="BA91" s="353">
        <f t="shared" ref="BA91:BD91" si="437">+BA90/BA6</f>
        <v>47.38</v>
      </c>
      <c r="BB91" s="356">
        <f t="shared" si="437"/>
        <v>45.453193874188358</v>
      </c>
      <c r="BC91" s="466">
        <f t="shared" si="437"/>
        <v>47.38</v>
      </c>
      <c r="BD91" s="485">
        <f t="shared" si="437"/>
        <v>48.142479631686399</v>
      </c>
      <c r="BE91" s="266">
        <f t="shared" ref="BE91:BF91" si="438">+BE90/BE6</f>
        <v>48.738049330463141</v>
      </c>
      <c r="BF91" s="266">
        <f t="shared" si="438"/>
        <v>48.524623368351975</v>
      </c>
      <c r="BG91" s="26"/>
      <c r="BH91" s="26"/>
      <c r="BI91" s="26"/>
      <c r="BJ91" s="26"/>
    </row>
    <row r="92" spans="1:62" x14ac:dyDescent="0.25">
      <c r="A92" s="147"/>
      <c r="B92" s="1788" t="s">
        <v>801</v>
      </c>
      <c r="C92" s="1138" t="s">
        <v>49</v>
      </c>
      <c r="D92" s="365">
        <v>4.5999999999999996</v>
      </c>
      <c r="E92" s="365">
        <v>4.5999999999999996</v>
      </c>
      <c r="F92" s="1153">
        <v>4.1894733919807612</v>
      </c>
      <c r="G92" s="365">
        <v>4.5999999999999996</v>
      </c>
      <c r="H92" s="1153">
        <v>4.5061623758404199</v>
      </c>
      <c r="I92" s="660">
        <v>4.5999999999999996</v>
      </c>
      <c r="J92" s="7279">
        <f>AVERAGE(F92,H92)</f>
        <v>4.3478178839105901</v>
      </c>
      <c r="K92" s="365">
        <v>4.8</v>
      </c>
      <c r="L92" s="1153">
        <v>3.1478637360096289</v>
      </c>
      <c r="M92" s="659">
        <v>4.5999999999999996</v>
      </c>
      <c r="N92" s="1699">
        <f>AVERAGE(F92,H92,L92)</f>
        <v>3.9478331679436032</v>
      </c>
      <c r="O92" s="365">
        <v>4.8</v>
      </c>
      <c r="P92" s="1153">
        <v>4.7633187692767507</v>
      </c>
      <c r="Q92" s="660">
        <v>4.5999999999999996</v>
      </c>
      <c r="R92" s="1694">
        <f>AVERAGE(F92,H92,L92,P92)</f>
        <v>4.1517045682768901</v>
      </c>
      <c r="S92" s="365">
        <v>4.8</v>
      </c>
      <c r="T92" s="1153">
        <v>4.6819891754860095</v>
      </c>
      <c r="U92" s="660">
        <v>4.5999999999999996</v>
      </c>
      <c r="V92" s="1694">
        <f>AVERAGE(F92,H92,L92,P92,T92)</f>
        <v>4.2577614897187139</v>
      </c>
      <c r="W92" s="365">
        <v>4.5999999999999996</v>
      </c>
      <c r="X92" s="1153">
        <v>4.2280356417121938</v>
      </c>
      <c r="Y92" s="659">
        <v>4.5999999999999996</v>
      </c>
      <c r="Z92" s="1699">
        <f>AVERAGE(P92,T92,X92)</f>
        <v>4.5577811954916507</v>
      </c>
      <c r="AA92" s="656">
        <v>4.5999999999999996</v>
      </c>
      <c r="AB92" s="2248">
        <f>AVERAGE(F92,H92,L92,P92,T92,X92)</f>
        <v>4.2528071817176274</v>
      </c>
      <c r="AC92" s="365">
        <v>4.8</v>
      </c>
      <c r="AD92" s="1153">
        <v>3.626556570739639</v>
      </c>
      <c r="AE92" s="660">
        <v>4.5999999999999996</v>
      </c>
      <c r="AF92" s="1694">
        <f>AVERAGE(F92,H92,L92,P92,T92,X92,AD92)</f>
        <v>4.1633428087207713</v>
      </c>
      <c r="AG92" s="365">
        <v>4.8</v>
      </c>
      <c r="AH92" s="1153">
        <v>0.1137141846887707</v>
      </c>
      <c r="AI92" s="660">
        <v>4.5999999999999996</v>
      </c>
      <c r="AJ92" s="1694">
        <f>AVERAGE(F92,H92,L92,P92,T92,X92,AD92)</f>
        <v>4.1633428087207713</v>
      </c>
      <c r="AK92" s="365">
        <v>4.8</v>
      </c>
      <c r="AL92" s="1153">
        <v>4.5333965409430546</v>
      </c>
      <c r="AM92" s="659">
        <v>4.5999999999999996</v>
      </c>
      <c r="AN92" s="1699">
        <f>AVERAGE(AD92,AL92)</f>
        <v>4.0799765558413466</v>
      </c>
      <c r="AO92" s="660">
        <v>4.5999999999999996</v>
      </c>
      <c r="AP92" s="1694">
        <f>AVERAGE(F92,H92,L92,P92,T92,X92,AD92,AL92)</f>
        <v>4.2095995252485565</v>
      </c>
      <c r="AQ92" s="365">
        <v>4.8</v>
      </c>
      <c r="AR92" s="1153">
        <v>4.3361162560405315</v>
      </c>
      <c r="AS92" s="660">
        <v>4.5999999999999996</v>
      </c>
      <c r="AT92" s="1694">
        <f>AVERAGE(F92,H92,L92,P92,T92,X92,AD92,AL92,AR92)</f>
        <v>4.223656939780998</v>
      </c>
      <c r="AU92" s="365">
        <v>4.8</v>
      </c>
      <c r="AV92" s="1153">
        <v>4.3600000000000003</v>
      </c>
      <c r="AW92" s="660">
        <v>4.5999999999999996</v>
      </c>
      <c r="AX92" s="1694">
        <f>AVERAGE(F92,H92,L92,P92,T92,X92,AD92,AL92,AR92,AV92)</f>
        <v>4.2372912458028988</v>
      </c>
      <c r="AY92" s="365">
        <v>4.8</v>
      </c>
      <c r="AZ92" s="1153">
        <v>4.1814920065460699</v>
      </c>
      <c r="BA92" s="659">
        <v>4.5999999999999996</v>
      </c>
      <c r="BB92" s="1699">
        <f>AVERAGE(AR92,AV92,AZ92)</f>
        <v>4.292536087528867</v>
      </c>
      <c r="BC92" s="656">
        <v>4.5999999999999996</v>
      </c>
      <c r="BD92" s="2248">
        <f>AVERAGE(AD92,AL92,AR92,AV92,AZ92)</f>
        <v>4.2075122748538591</v>
      </c>
      <c r="BE92" s="660">
        <v>4.5999999999999996</v>
      </c>
      <c r="BF92" s="1694">
        <f>AVERAGE(F92,H92,L92,P92,T92,X92,AD92,AL92,AR92,AV92,AZ92)</f>
        <v>4.2322185876886413</v>
      </c>
      <c r="BG92" s="26"/>
      <c r="BH92" s="26"/>
      <c r="BI92" s="26"/>
      <c r="BJ92" s="26"/>
    </row>
    <row r="93" spans="1:62" hidden="1" x14ac:dyDescent="0.25">
      <c r="A93" s="147"/>
      <c r="B93" s="840" t="s">
        <v>819</v>
      </c>
      <c r="C93" s="1681"/>
      <c r="D93" s="840"/>
      <c r="E93" s="840"/>
      <c r="F93" s="397">
        <f>+SMS!F68</f>
        <v>0</v>
      </c>
      <c r="G93" s="840"/>
      <c r="H93" s="397">
        <f>+SMS!H68</f>
        <v>0</v>
      </c>
      <c r="I93" s="646"/>
      <c r="J93" s="783">
        <f>+F93+H93</f>
        <v>0</v>
      </c>
      <c r="K93" s="840"/>
      <c r="L93" s="397">
        <f>+SMS!L68</f>
        <v>0</v>
      </c>
      <c r="M93" s="645"/>
      <c r="N93" s="782">
        <f>+L93+H93+F93</f>
        <v>0</v>
      </c>
      <c r="O93" s="840"/>
      <c r="P93" s="397">
        <f>+SMS!P68</f>
        <v>0</v>
      </c>
      <c r="Q93" s="646"/>
      <c r="R93" s="783">
        <f>+N93+P93</f>
        <v>0</v>
      </c>
      <c r="S93" s="840"/>
      <c r="T93" s="397">
        <f>+SMS!T68</f>
        <v>0</v>
      </c>
      <c r="U93" s="646"/>
      <c r="V93" s="4914">
        <f>+R93+T93</f>
        <v>0</v>
      </c>
      <c r="W93" s="840"/>
      <c r="X93" s="397">
        <f>+SMS!X68</f>
        <v>600</v>
      </c>
      <c r="Y93" s="645"/>
      <c r="Z93" s="69">
        <f>+X93+T93+P93</f>
        <v>600</v>
      </c>
      <c r="AA93" s="841"/>
      <c r="AB93" s="477">
        <f>+N93+Z93</f>
        <v>600</v>
      </c>
      <c r="AC93" s="840"/>
      <c r="AD93" s="397">
        <f>+SMS!AD68</f>
        <v>400</v>
      </c>
      <c r="AE93" s="646"/>
      <c r="AF93" s="2399">
        <f>+AB93+AD93</f>
        <v>1000</v>
      </c>
      <c r="AG93" s="840"/>
      <c r="AH93" s="397">
        <f>+SMS!AH68</f>
        <v>0</v>
      </c>
      <c r="AI93" s="646"/>
      <c r="AJ93" s="2399">
        <f>+AF93+AH93</f>
        <v>1000</v>
      </c>
      <c r="AK93" s="840"/>
      <c r="AL93" s="397">
        <f>+SMS!AL68</f>
        <v>0</v>
      </c>
      <c r="AM93" s="645"/>
      <c r="AN93" s="69">
        <f>+AL93+AH93+AD93</f>
        <v>400</v>
      </c>
      <c r="AO93" s="646"/>
      <c r="AP93" s="2399">
        <f>+AL93+AJ93</f>
        <v>1000</v>
      </c>
      <c r="AQ93" s="840"/>
      <c r="AR93" s="397">
        <f>+SMS!AR68</f>
        <v>0</v>
      </c>
      <c r="AS93" s="646"/>
      <c r="AT93" s="2399">
        <f>+AP93+AR93</f>
        <v>1000</v>
      </c>
      <c r="AU93" s="840"/>
      <c r="AV93" s="397">
        <f>+SMS!AV68</f>
        <v>0</v>
      </c>
      <c r="AW93" s="646"/>
      <c r="AX93" s="6234">
        <f>+AT93+AV93</f>
        <v>1000</v>
      </c>
      <c r="AY93" s="840"/>
      <c r="AZ93" s="397">
        <f>+SMS!AZ68</f>
        <v>0</v>
      </c>
      <c r="BA93" s="645"/>
      <c r="BB93" s="69">
        <f>+AZ93+AV93+AR93</f>
        <v>0</v>
      </c>
      <c r="BC93" s="841"/>
      <c r="BD93" s="477">
        <f>+AN93+BB93</f>
        <v>400</v>
      </c>
      <c r="BE93" s="646"/>
      <c r="BF93" s="2399">
        <f>+AX93+AZ93</f>
        <v>1000</v>
      </c>
      <c r="BG93" s="26"/>
      <c r="BH93" s="26"/>
      <c r="BI93" s="26"/>
      <c r="BJ93" s="26"/>
    </row>
    <row r="94" spans="1:62" x14ac:dyDescent="0.25">
      <c r="A94" s="147"/>
      <c r="B94" s="93"/>
      <c r="C94" s="347"/>
      <c r="D94" s="900"/>
      <c r="E94" s="900"/>
      <c r="F94" s="184"/>
      <c r="G94" s="900"/>
      <c r="H94" s="184"/>
      <c r="I94" s="347"/>
      <c r="J94" s="347"/>
      <c r="K94" s="900"/>
      <c r="L94" s="184"/>
      <c r="M94" s="347"/>
      <c r="N94" s="347"/>
      <c r="O94" s="900"/>
      <c r="P94" s="184"/>
      <c r="Q94" s="347"/>
      <c r="R94" s="347"/>
      <c r="S94" s="900"/>
      <c r="T94" s="184"/>
      <c r="U94" s="347"/>
      <c r="V94" s="347"/>
      <c r="W94" s="900"/>
      <c r="X94" s="184"/>
      <c r="Y94" s="347"/>
      <c r="Z94" s="347"/>
      <c r="AC94" s="900"/>
      <c r="AD94" s="184"/>
      <c r="AE94" s="347"/>
      <c r="AF94" s="347"/>
      <c r="AG94" s="900"/>
      <c r="AH94" s="184"/>
      <c r="AI94" s="347"/>
      <c r="AJ94" s="347"/>
      <c r="AK94" s="900"/>
      <c r="AL94" s="184"/>
      <c r="AM94" s="347"/>
      <c r="AN94" s="347"/>
      <c r="AO94" s="347"/>
      <c r="AP94" s="347"/>
      <c r="AQ94" s="900"/>
      <c r="AR94" s="184"/>
      <c r="AS94" s="347"/>
      <c r="AT94" s="347"/>
      <c r="AU94" s="900"/>
      <c r="AV94" s="184"/>
      <c r="AW94" s="347"/>
      <c r="AX94" s="347"/>
      <c r="AY94" s="900"/>
      <c r="AZ94" s="184"/>
      <c r="BA94" s="347"/>
      <c r="BB94" s="347"/>
      <c r="BE94" s="347"/>
      <c r="BF94" s="347"/>
      <c r="BG94" s="26"/>
      <c r="BH94" s="26"/>
      <c r="BI94" s="26"/>
      <c r="BJ94" s="26"/>
    </row>
    <row r="95" spans="1:62" ht="15" customHeight="1" x14ac:dyDescent="0.25">
      <c r="A95" s="147"/>
      <c r="B95" s="842" t="s">
        <v>927</v>
      </c>
      <c r="C95" s="900"/>
      <c r="D95" s="900"/>
      <c r="E95" s="900"/>
      <c r="F95" s="184"/>
      <c r="G95" s="900"/>
      <c r="H95" s="184"/>
      <c r="I95" s="347"/>
      <c r="J95" s="347"/>
      <c r="K95" s="900"/>
      <c r="L95" s="184"/>
      <c r="M95" s="347"/>
      <c r="N95" s="347"/>
      <c r="O95" s="900"/>
      <c r="P95" s="184"/>
      <c r="Q95" s="347"/>
      <c r="R95" s="347"/>
      <c r="S95" s="900"/>
      <c r="T95" s="184"/>
      <c r="U95" s="347"/>
      <c r="V95" s="347"/>
      <c r="W95" s="900"/>
      <c r="X95" s="184"/>
      <c r="Y95" s="347"/>
      <c r="Z95" s="347"/>
      <c r="AC95" s="900"/>
      <c r="AD95" s="184"/>
      <c r="AE95" s="347"/>
      <c r="AF95" s="347"/>
      <c r="AG95" s="900"/>
      <c r="AH95" s="184"/>
      <c r="AI95" s="347"/>
      <c r="AJ95" s="347"/>
      <c r="AK95" s="900"/>
      <c r="AL95" s="184"/>
      <c r="AM95" s="347"/>
      <c r="AN95" s="347"/>
      <c r="AO95" s="347"/>
      <c r="AP95" s="347"/>
      <c r="AQ95" s="900"/>
      <c r="AR95" s="184"/>
      <c r="AS95" s="347"/>
      <c r="AT95" s="347"/>
      <c r="AU95" s="900"/>
      <c r="AV95" s="184"/>
      <c r="AW95" s="347"/>
      <c r="AX95" s="347"/>
      <c r="AY95" s="900"/>
      <c r="AZ95" s="184"/>
      <c r="BA95" s="347"/>
      <c r="BB95" s="347"/>
      <c r="BE95" s="347"/>
      <c r="BF95" s="347"/>
      <c r="BG95" s="26"/>
      <c r="BH95" s="26"/>
      <c r="BI95" s="26"/>
      <c r="BJ95" s="26"/>
    </row>
    <row r="96" spans="1:62" ht="19.5" thickBot="1" x14ac:dyDescent="0.35">
      <c r="A96" s="147"/>
      <c r="B96" s="3801" t="s">
        <v>924</v>
      </c>
      <c r="C96" s="347"/>
      <c r="D96" s="3802"/>
      <c r="E96" s="3802"/>
      <c r="F96" s="3354"/>
      <c r="G96" s="3802"/>
      <c r="H96" s="3354"/>
      <c r="I96" s="347"/>
      <c r="J96" s="347"/>
      <c r="K96" s="3802"/>
      <c r="L96" s="3354"/>
      <c r="M96" s="347"/>
      <c r="N96" s="347"/>
      <c r="O96" s="3802"/>
      <c r="P96" s="3354"/>
      <c r="Q96" s="347"/>
      <c r="R96" s="347"/>
      <c r="S96" s="3802"/>
      <c r="T96" s="3354"/>
      <c r="U96" s="347"/>
      <c r="V96" s="347"/>
      <c r="W96" s="3802"/>
      <c r="X96" s="3354"/>
      <c r="Y96" s="347"/>
      <c r="Z96" s="347"/>
      <c r="AC96" s="3802"/>
      <c r="AD96" s="3354"/>
      <c r="AE96" s="347"/>
      <c r="AF96" s="347"/>
      <c r="AG96" s="3802"/>
      <c r="AH96" s="3354"/>
      <c r="AI96" s="347"/>
      <c r="AJ96" s="347"/>
      <c r="AK96" s="3802"/>
      <c r="AL96" s="3354"/>
      <c r="AM96" s="347"/>
      <c r="AN96" s="347"/>
      <c r="AO96" s="347"/>
      <c r="AP96" s="347"/>
      <c r="AQ96" s="3802"/>
      <c r="AR96" s="3354"/>
      <c r="AS96" s="347"/>
      <c r="AT96" s="347"/>
      <c r="AU96" s="3802"/>
      <c r="AV96" s="3354"/>
      <c r="AW96" s="347"/>
      <c r="AX96" s="347"/>
      <c r="AY96" s="3802"/>
      <c r="AZ96" s="3354"/>
      <c r="BA96" s="347"/>
      <c r="BB96" s="347"/>
      <c r="BE96" s="347"/>
      <c r="BF96" s="347"/>
      <c r="BG96" s="26"/>
      <c r="BH96" s="26"/>
      <c r="BI96" s="26"/>
      <c r="BJ96" s="26"/>
    </row>
    <row r="97" spans="1:62" ht="18.75" x14ac:dyDescent="0.3">
      <c r="A97" s="647"/>
      <c r="B97" s="912" t="s">
        <v>240</v>
      </c>
      <c r="C97" s="3803" t="s">
        <v>50</v>
      </c>
      <c r="D97" s="3704"/>
      <c r="E97" s="3704"/>
      <c r="F97" s="2966">
        <v>53203</v>
      </c>
      <c r="G97" s="7186"/>
      <c r="H97" s="2966">
        <v>64050.099999999984</v>
      </c>
      <c r="I97" s="2965"/>
      <c r="J97" s="6052">
        <f>+F97+H97</f>
        <v>117253.09999999998</v>
      </c>
      <c r="K97" s="6054"/>
      <c r="L97" s="2966">
        <v>34540</v>
      </c>
      <c r="M97" s="650"/>
      <c r="N97" s="650">
        <f>+F97+H97+L97</f>
        <v>151793.09999999998</v>
      </c>
      <c r="O97" s="4769"/>
      <c r="P97" s="2966">
        <v>41000.100000000006</v>
      </c>
      <c r="Q97" s="649"/>
      <c r="R97" s="649">
        <f>+N97+P97</f>
        <v>192793.19999999998</v>
      </c>
      <c r="S97" s="4910"/>
      <c r="T97" s="2966">
        <v>45511.000000000007</v>
      </c>
      <c r="U97" s="3705"/>
      <c r="V97" s="3705">
        <f>+R97+T97</f>
        <v>238304.19999999998</v>
      </c>
      <c r="W97" s="5039"/>
      <c r="X97" s="2966">
        <v>56299.5</v>
      </c>
      <c r="Y97" s="650"/>
      <c r="Z97" s="650">
        <f>+P97+T97+X97</f>
        <v>142810.6</v>
      </c>
      <c r="AA97" s="651"/>
      <c r="AB97" s="651">
        <f>+N97+Z97</f>
        <v>294603.69999999995</v>
      </c>
      <c r="AC97" s="5353"/>
      <c r="AD97" s="2966">
        <v>42046.499999999993</v>
      </c>
      <c r="AE97" s="2623"/>
      <c r="AF97" s="2623">
        <f>+AB97+AD97</f>
        <v>336650.19999999995</v>
      </c>
      <c r="AG97" s="5531"/>
      <c r="AH97" s="2966">
        <v>488</v>
      </c>
      <c r="AI97" s="3705"/>
      <c r="AJ97" s="3705">
        <f>+AF97+AH97</f>
        <v>337138.19999999995</v>
      </c>
      <c r="AK97" s="5940"/>
      <c r="AL97" s="2966">
        <v>50191.451000000001</v>
      </c>
      <c r="AM97" s="2743"/>
      <c r="AN97" s="2743">
        <f>+AD97+AH97+AL97</f>
        <v>92725.951000000001</v>
      </c>
      <c r="AO97" s="2742"/>
      <c r="AP97" s="2742">
        <f>+AL97+AJ97</f>
        <v>387329.65099999995</v>
      </c>
      <c r="AQ97" s="6084"/>
      <c r="AR97" s="2966">
        <v>66494.785999999993</v>
      </c>
      <c r="AS97" s="2800"/>
      <c r="AT97" s="2800">
        <f>+AP97+AR97</f>
        <v>453824.43699999992</v>
      </c>
      <c r="AU97" s="6231"/>
      <c r="AV97" s="2966">
        <v>66187.100000000006</v>
      </c>
      <c r="AW97" s="3705"/>
      <c r="AX97" s="3705">
        <f>+AT97+AV97</f>
        <v>520011.53699999989</v>
      </c>
      <c r="AY97" s="6418"/>
      <c r="AZ97" s="2966">
        <v>86211.3</v>
      </c>
      <c r="BA97" s="3021"/>
      <c r="BB97" s="3021">
        <f>+AR97+AV97+AZ97</f>
        <v>218893.18599999999</v>
      </c>
      <c r="BC97" s="651"/>
      <c r="BD97" s="651">
        <f t="shared" ref="BD97:BD106" si="439">+AN97+BB97</f>
        <v>311619.13699999999</v>
      </c>
      <c r="BE97" s="3020"/>
      <c r="BF97" s="3020">
        <f>+AX97+AZ97</f>
        <v>606222.83699999994</v>
      </c>
      <c r="BG97" s="26"/>
      <c r="BH97" s="26"/>
      <c r="BI97" s="26"/>
      <c r="BJ97" s="26"/>
    </row>
    <row r="98" spans="1:62" ht="18.75" x14ac:dyDescent="0.3">
      <c r="A98" s="647"/>
      <c r="B98" s="914" t="s">
        <v>25</v>
      </c>
      <c r="C98" s="3805" t="s">
        <v>50</v>
      </c>
      <c r="D98" s="3806"/>
      <c r="E98" s="3806"/>
      <c r="F98" s="3144">
        <v>81202.082043343646</v>
      </c>
      <c r="G98" s="3806"/>
      <c r="H98" s="3144">
        <v>91305.727863777094</v>
      </c>
      <c r="I98" s="3378"/>
      <c r="J98" s="6052">
        <f t="shared" ref="J98:J106" si="440">+F98+H98</f>
        <v>172507.80990712074</v>
      </c>
      <c r="K98" s="6055"/>
      <c r="L98" s="3144">
        <v>70416.675128998977</v>
      </c>
      <c r="M98" s="650"/>
      <c r="N98" s="3068">
        <f t="shared" ref="N98:N106" si="441">+F98+H98+L98</f>
        <v>242924.4850361197</v>
      </c>
      <c r="O98" s="3806"/>
      <c r="P98" s="3144">
        <v>95672.591351909185</v>
      </c>
      <c r="Q98" s="1133"/>
      <c r="R98" s="3705">
        <f t="shared" ref="R98:R106" si="442">+N98+P98</f>
        <v>338597.07638802892</v>
      </c>
      <c r="S98" s="3806"/>
      <c r="T98" s="3144">
        <v>95570.153777089785</v>
      </c>
      <c r="U98" s="1133"/>
      <c r="V98" s="3705">
        <f t="shared" ref="V98:V106" si="443">+R98+T98</f>
        <v>434167.2301651187</v>
      </c>
      <c r="W98" s="3806"/>
      <c r="X98" s="3144">
        <v>96440.059029927739</v>
      </c>
      <c r="Y98" s="650"/>
      <c r="Z98" s="3068">
        <f t="shared" ref="Z98:Z106" si="444">+P98+T98+X98</f>
        <v>287682.80415892671</v>
      </c>
      <c r="AA98" s="1135"/>
      <c r="AB98" s="651">
        <f t="shared" ref="AB98:AB106" si="445">+N98+Z98</f>
        <v>530607.28919504641</v>
      </c>
      <c r="AC98" s="3806"/>
      <c r="AD98" s="3144">
        <v>93425.369122807009</v>
      </c>
      <c r="AE98" s="1133"/>
      <c r="AF98" s="3705">
        <f t="shared" ref="AF98:AF106" si="446">+AB98+AD98</f>
        <v>624032.65831785346</v>
      </c>
      <c r="AG98" s="3806"/>
      <c r="AH98" s="3144">
        <v>5308.4579979360169</v>
      </c>
      <c r="AI98" s="1133"/>
      <c r="AJ98" s="3705">
        <f t="shared" ref="AJ98:AJ106" si="447">+AF98+AH98</f>
        <v>629341.11631578952</v>
      </c>
      <c r="AK98" s="3806"/>
      <c r="AL98" s="3144">
        <v>97272.490196078448</v>
      </c>
      <c r="AM98" s="2743"/>
      <c r="AN98" s="3068">
        <f t="shared" ref="AN98:AN106" si="448">+AD98+AH98+AL98</f>
        <v>196006.31731682149</v>
      </c>
      <c r="AO98" s="1133"/>
      <c r="AP98" s="3705">
        <f t="shared" ref="AP98:AP106" si="449">+AL98+AJ98</f>
        <v>726613.60651186795</v>
      </c>
      <c r="AQ98" s="3806"/>
      <c r="AR98" s="3144">
        <v>94042.542930856551</v>
      </c>
      <c r="AS98" s="1133"/>
      <c r="AT98" s="3705">
        <f t="shared" ref="AT98:AT106" si="450">+AP98+AR98</f>
        <v>820656.14944272453</v>
      </c>
      <c r="AU98" s="3806"/>
      <c r="AV98" s="3144">
        <v>84633.001960784299</v>
      </c>
      <c r="AW98" s="1133"/>
      <c r="AX98" s="3705">
        <f t="shared" ref="AX98:AX102" si="451">+AT98+AV98</f>
        <v>905289.15140350885</v>
      </c>
      <c r="AY98" s="3806"/>
      <c r="AZ98" s="3144">
        <v>92379.472445820429</v>
      </c>
      <c r="BA98" s="3021"/>
      <c r="BB98" s="3068">
        <f t="shared" ref="BB98:BB106" si="452">+AR98+AV98+AZ98</f>
        <v>271055.01733746124</v>
      </c>
      <c r="BC98" s="1135"/>
      <c r="BD98" s="651">
        <f t="shared" si="439"/>
        <v>467061.33465428272</v>
      </c>
      <c r="BE98" s="1133"/>
      <c r="BF98" s="3705">
        <f t="shared" ref="BF98:BF106" si="453">+AX98+AZ98</f>
        <v>997668.62384932931</v>
      </c>
      <c r="BG98" s="26"/>
      <c r="BH98" s="26"/>
      <c r="BI98" s="26"/>
      <c r="BJ98" s="26"/>
    </row>
    <row r="99" spans="1:62" ht="18.75" x14ac:dyDescent="0.3">
      <c r="A99" s="647"/>
      <c r="B99" s="914" t="s">
        <v>925</v>
      </c>
      <c r="C99" s="3805" t="s">
        <v>50</v>
      </c>
      <c r="D99" s="3806"/>
      <c r="E99" s="3806"/>
      <c r="F99" s="3807">
        <v>5897.9760577915376</v>
      </c>
      <c r="G99" s="3806"/>
      <c r="H99" s="3807">
        <v>6914.1857585139314</v>
      </c>
      <c r="I99" s="3378"/>
      <c r="J99" s="6052">
        <f t="shared" si="440"/>
        <v>12812.16181630547</v>
      </c>
      <c r="K99" s="6055"/>
      <c r="L99" s="3807">
        <v>7839.8952528379768</v>
      </c>
      <c r="M99" s="650"/>
      <c r="N99" s="3068">
        <f t="shared" si="441"/>
        <v>20652.057069143448</v>
      </c>
      <c r="O99" s="3806"/>
      <c r="P99" s="3807">
        <v>13158.967182662536</v>
      </c>
      <c r="Q99" s="1133"/>
      <c r="R99" s="3705">
        <f t="shared" si="442"/>
        <v>33811.024251805982</v>
      </c>
      <c r="S99" s="3806"/>
      <c r="T99" s="3807">
        <v>12921.150505675952</v>
      </c>
      <c r="U99" s="1133"/>
      <c r="V99" s="3705">
        <f t="shared" si="443"/>
        <v>46732.174757481931</v>
      </c>
      <c r="W99" s="3806"/>
      <c r="X99" s="3807">
        <v>12116.331269349846</v>
      </c>
      <c r="Y99" s="650"/>
      <c r="Z99" s="3068">
        <f t="shared" si="444"/>
        <v>38196.448957688335</v>
      </c>
      <c r="AA99" s="1135"/>
      <c r="AB99" s="651">
        <f t="shared" si="445"/>
        <v>58848.506026831783</v>
      </c>
      <c r="AC99" s="3806"/>
      <c r="AD99" s="3807">
        <v>9762.8535397316828</v>
      </c>
      <c r="AE99" s="1133"/>
      <c r="AF99" s="3705">
        <f t="shared" si="446"/>
        <v>68611.359566563464</v>
      </c>
      <c r="AG99" s="3806"/>
      <c r="AH99" s="3807">
        <v>119.82063983488132</v>
      </c>
      <c r="AI99" s="1133"/>
      <c r="AJ99" s="3705">
        <f t="shared" si="447"/>
        <v>68731.180206398349</v>
      </c>
      <c r="AK99" s="3806"/>
      <c r="AL99" s="3807">
        <v>8814.4788441692472</v>
      </c>
      <c r="AM99" s="2743"/>
      <c r="AN99" s="3068">
        <f t="shared" si="448"/>
        <v>18697.153023735809</v>
      </c>
      <c r="AO99" s="1133"/>
      <c r="AP99" s="3705">
        <f t="shared" si="449"/>
        <v>77545.659050567599</v>
      </c>
      <c r="AQ99" s="3806"/>
      <c r="AR99" s="3807">
        <v>8218.4113519091843</v>
      </c>
      <c r="AS99" s="1133"/>
      <c r="AT99" s="3705">
        <f t="shared" si="450"/>
        <v>85764.070402476791</v>
      </c>
      <c r="AU99" s="3806"/>
      <c r="AV99" s="3807">
        <v>7214.6531475748188</v>
      </c>
      <c r="AW99" s="1133"/>
      <c r="AX99" s="3705">
        <f t="shared" si="451"/>
        <v>92978.723550051611</v>
      </c>
      <c r="AY99" s="3806"/>
      <c r="AZ99" s="3807">
        <v>7660.6038183694536</v>
      </c>
      <c r="BA99" s="3021"/>
      <c r="BB99" s="3068">
        <f t="shared" si="452"/>
        <v>23093.668317853459</v>
      </c>
      <c r="BC99" s="1135"/>
      <c r="BD99" s="651">
        <f t="shared" si="439"/>
        <v>41790.821341589268</v>
      </c>
      <c r="BE99" s="1133"/>
      <c r="BF99" s="3705">
        <f t="shared" si="453"/>
        <v>100639.32736842106</v>
      </c>
      <c r="BG99" s="26"/>
      <c r="BH99" s="26"/>
      <c r="BI99" s="26"/>
      <c r="BJ99" s="26"/>
    </row>
    <row r="100" spans="1:62" s="5172" customFormat="1" ht="18.75" x14ac:dyDescent="0.3">
      <c r="A100" s="647"/>
      <c r="B100" s="914" t="s">
        <v>2132</v>
      </c>
      <c r="C100" s="6047" t="s">
        <v>50</v>
      </c>
      <c r="D100" s="6048"/>
      <c r="E100" s="6048"/>
      <c r="F100" s="6049">
        <v>0</v>
      </c>
      <c r="G100" s="6048"/>
      <c r="H100" s="6049"/>
      <c r="I100" s="6050"/>
      <c r="J100" s="6052">
        <f t="shared" si="440"/>
        <v>0</v>
      </c>
      <c r="K100" s="6055"/>
      <c r="L100" s="6049">
        <v>2579</v>
      </c>
      <c r="M100" s="6051"/>
      <c r="N100" s="3068">
        <f t="shared" si="441"/>
        <v>2579</v>
      </c>
      <c r="O100" s="6048"/>
      <c r="P100" s="6049">
        <v>56</v>
      </c>
      <c r="Q100" s="6050"/>
      <c r="R100" s="3705">
        <f t="shared" si="442"/>
        <v>2635</v>
      </c>
      <c r="S100" s="6048"/>
      <c r="T100" s="6049">
        <v>0</v>
      </c>
      <c r="U100" s="6050"/>
      <c r="V100" s="3705">
        <f t="shared" si="443"/>
        <v>2635</v>
      </c>
      <c r="W100" s="6048"/>
      <c r="X100" s="6049">
        <v>1500</v>
      </c>
      <c r="Y100" s="6051"/>
      <c r="Z100" s="3068">
        <f t="shared" si="444"/>
        <v>1556</v>
      </c>
      <c r="AA100" s="6053"/>
      <c r="AB100" s="651">
        <f t="shared" si="445"/>
        <v>4135</v>
      </c>
      <c r="AC100" s="6048"/>
      <c r="AD100" s="6049">
        <v>1743.5897435897436</v>
      </c>
      <c r="AE100" s="6050"/>
      <c r="AF100" s="3705">
        <f t="shared" si="446"/>
        <v>5878.5897435897441</v>
      </c>
      <c r="AG100" s="6048"/>
      <c r="AH100" s="6049">
        <v>3076.9230769230771</v>
      </c>
      <c r="AI100" s="6050"/>
      <c r="AJ100" s="3705">
        <f t="shared" si="447"/>
        <v>8955.5128205128203</v>
      </c>
      <c r="AK100" s="6048"/>
      <c r="AL100" s="6049">
        <v>3322.0512820512822</v>
      </c>
      <c r="AM100" s="6051"/>
      <c r="AN100" s="3068">
        <f t="shared" si="448"/>
        <v>8142.5641025641025</v>
      </c>
      <c r="AO100" s="6050"/>
      <c r="AP100" s="3705">
        <f t="shared" si="449"/>
        <v>12277.564102564102</v>
      </c>
      <c r="AQ100" s="6048"/>
      <c r="AR100" s="6049">
        <v>0</v>
      </c>
      <c r="AS100" s="6050"/>
      <c r="AT100" s="3705">
        <f t="shared" si="450"/>
        <v>12277.564102564102</v>
      </c>
      <c r="AU100" s="6048"/>
      <c r="AV100" s="6049"/>
      <c r="AW100" s="6050"/>
      <c r="AX100" s="3705">
        <f t="shared" si="451"/>
        <v>12277.564102564102</v>
      </c>
      <c r="AY100" s="6048"/>
      <c r="AZ100" s="6049">
        <v>0</v>
      </c>
      <c r="BA100" s="6051"/>
      <c r="BB100" s="3068">
        <f t="shared" si="452"/>
        <v>0</v>
      </c>
      <c r="BC100" s="6053"/>
      <c r="BD100" s="651">
        <f t="shared" si="439"/>
        <v>8142.5641025641025</v>
      </c>
      <c r="BE100" s="6050"/>
      <c r="BF100" s="3705">
        <f t="shared" si="453"/>
        <v>12277.564102564102</v>
      </c>
      <c r="BG100" s="26"/>
      <c r="BH100" s="26"/>
      <c r="BI100" s="26"/>
      <c r="BJ100" s="26"/>
    </row>
    <row r="101" spans="1:62" ht="19.5" thickBot="1" x14ac:dyDescent="0.35">
      <c r="A101" s="647"/>
      <c r="B101" s="914" t="s">
        <v>124</v>
      </c>
      <c r="C101" s="3805" t="s">
        <v>50</v>
      </c>
      <c r="D101" s="3806"/>
      <c r="E101" s="3806"/>
      <c r="F101" s="3144">
        <v>37497.146483516481</v>
      </c>
      <c r="G101" s="3806"/>
      <c r="H101" s="3144">
        <v>43820.499780219783</v>
      </c>
      <c r="I101" s="3552"/>
      <c r="J101" s="6052">
        <f t="shared" si="440"/>
        <v>81317.646263736271</v>
      </c>
      <c r="K101" s="6055"/>
      <c r="L101" s="3144">
        <v>21880.394725274724</v>
      </c>
      <c r="M101" s="650"/>
      <c r="N101" s="3068">
        <f t="shared" si="441"/>
        <v>103198.040989011</v>
      </c>
      <c r="O101" s="3806"/>
      <c r="P101" s="3144">
        <v>35494.888461538467</v>
      </c>
      <c r="Q101" s="649"/>
      <c r="R101" s="3705">
        <f t="shared" si="442"/>
        <v>138692.92945054948</v>
      </c>
      <c r="S101" s="3806"/>
      <c r="T101" s="3144">
        <v>35193.788879120882</v>
      </c>
      <c r="U101" s="3705"/>
      <c r="V101" s="3705">
        <f t="shared" si="443"/>
        <v>173886.71832967037</v>
      </c>
      <c r="W101" s="3806"/>
      <c r="X101" s="3144">
        <v>33030.989890109893</v>
      </c>
      <c r="Y101" s="650"/>
      <c r="Z101" s="3068">
        <f t="shared" si="444"/>
        <v>103719.66723076924</v>
      </c>
      <c r="AA101" s="651"/>
      <c r="AB101" s="651">
        <f t="shared" si="445"/>
        <v>206917.70821978024</v>
      </c>
      <c r="AC101" s="3806"/>
      <c r="AD101" s="3144">
        <v>32957.071098901099</v>
      </c>
      <c r="AE101" s="2623"/>
      <c r="AF101" s="3705">
        <f t="shared" si="446"/>
        <v>239874.77931868134</v>
      </c>
      <c r="AG101" s="3806"/>
      <c r="AH101" s="3144">
        <v>0</v>
      </c>
      <c r="AI101" s="3705"/>
      <c r="AJ101" s="3705">
        <f t="shared" si="447"/>
        <v>239874.77931868134</v>
      </c>
      <c r="AK101" s="6058"/>
      <c r="AL101" s="3144">
        <v>39289.769230769234</v>
      </c>
      <c r="AM101" s="2743"/>
      <c r="AN101" s="3068">
        <f t="shared" si="448"/>
        <v>72246.840329670333</v>
      </c>
      <c r="AO101" s="2742"/>
      <c r="AP101" s="3705">
        <f t="shared" si="449"/>
        <v>279164.54854945058</v>
      </c>
      <c r="AQ101" s="6058"/>
      <c r="AR101" s="3144">
        <v>44202.49538461538</v>
      </c>
      <c r="AS101" s="2800"/>
      <c r="AT101" s="3705">
        <f t="shared" si="450"/>
        <v>323367.04393406597</v>
      </c>
      <c r="AU101" s="6058"/>
      <c r="AV101" s="3144">
        <v>41164.667032967045</v>
      </c>
      <c r="AW101" s="3705"/>
      <c r="AX101" s="3705">
        <f t="shared" si="451"/>
        <v>364531.710967033</v>
      </c>
      <c r="AY101" s="6058"/>
      <c r="AZ101" s="3144">
        <v>45963.252857142848</v>
      </c>
      <c r="BA101" s="3021"/>
      <c r="BB101" s="3068">
        <f t="shared" si="452"/>
        <v>131330.41527472527</v>
      </c>
      <c r="BC101" s="651"/>
      <c r="BD101" s="651">
        <f t="shared" si="439"/>
        <v>203577.25560439558</v>
      </c>
      <c r="BE101" s="3020"/>
      <c r="BF101" s="3705">
        <f t="shared" si="453"/>
        <v>410494.96382417582</v>
      </c>
      <c r="BG101" s="26"/>
      <c r="BH101" s="26"/>
      <c r="BI101" s="26"/>
      <c r="BJ101" s="26"/>
    </row>
    <row r="102" spans="1:62" ht="18.75" x14ac:dyDescent="0.3">
      <c r="A102" s="647"/>
      <c r="B102" s="914" t="s">
        <v>19</v>
      </c>
      <c r="C102" s="3805" t="s">
        <v>50</v>
      </c>
      <c r="D102" s="3806"/>
      <c r="E102" s="3806"/>
      <c r="F102" s="3807">
        <v>252189.2</v>
      </c>
      <c r="G102" s="3806"/>
      <c r="H102" s="3807">
        <v>288586</v>
      </c>
      <c r="I102" s="3378"/>
      <c r="J102" s="6052">
        <f t="shared" si="440"/>
        <v>540775.19999999995</v>
      </c>
      <c r="K102" s="6055"/>
      <c r="L102" s="3807">
        <v>216088.9</v>
      </c>
      <c r="M102" s="650"/>
      <c r="N102" s="3068">
        <f t="shared" si="441"/>
        <v>756864.1</v>
      </c>
      <c r="O102" s="3806"/>
      <c r="P102" s="3807">
        <v>316260.80000000005</v>
      </c>
      <c r="Q102" s="1133"/>
      <c r="R102" s="3705">
        <f t="shared" si="442"/>
        <v>1073124.8999999999</v>
      </c>
      <c r="S102" s="3806"/>
      <c r="T102" s="3807">
        <v>298330.8</v>
      </c>
      <c r="U102" s="1133"/>
      <c r="V102" s="3705">
        <f t="shared" si="443"/>
        <v>1371455.7</v>
      </c>
      <c r="W102" s="3806"/>
      <c r="X102" s="3807">
        <v>290589.19</v>
      </c>
      <c r="Y102" s="650"/>
      <c r="Z102" s="3068">
        <f t="shared" si="444"/>
        <v>905180.79</v>
      </c>
      <c r="AA102" s="1135"/>
      <c r="AB102" s="651">
        <f t="shared" si="445"/>
        <v>1662044.8900000001</v>
      </c>
      <c r="AC102" s="3806"/>
      <c r="AD102" s="3807">
        <v>292845.7</v>
      </c>
      <c r="AE102" s="1133"/>
      <c r="AF102" s="3705">
        <f t="shared" si="446"/>
        <v>1954890.59</v>
      </c>
      <c r="AG102" s="3806"/>
      <c r="AH102" s="3807">
        <v>8034</v>
      </c>
      <c r="AI102" s="1133"/>
      <c r="AJ102" s="3705">
        <f t="shared" si="447"/>
        <v>1962924.59</v>
      </c>
      <c r="AK102" s="3806"/>
      <c r="AL102" s="3807">
        <v>290514</v>
      </c>
      <c r="AM102" s="2743"/>
      <c r="AN102" s="3068">
        <f t="shared" si="448"/>
        <v>591393.69999999995</v>
      </c>
      <c r="AO102" s="1133"/>
      <c r="AP102" s="3705">
        <f t="shared" si="449"/>
        <v>2253438.59</v>
      </c>
      <c r="AQ102" s="3806"/>
      <c r="AR102" s="3807">
        <v>290281.8</v>
      </c>
      <c r="AS102" s="1133"/>
      <c r="AT102" s="3705">
        <f t="shared" si="450"/>
        <v>2543720.3899999997</v>
      </c>
      <c r="AU102" s="3806"/>
      <c r="AV102" s="3807">
        <v>273999.96000000002</v>
      </c>
      <c r="AW102" s="1133"/>
      <c r="AX102" s="3705">
        <f t="shared" si="451"/>
        <v>2817720.3499999996</v>
      </c>
      <c r="AY102" s="3806"/>
      <c r="AZ102" s="3807">
        <v>317225.2</v>
      </c>
      <c r="BA102" s="3021"/>
      <c r="BB102" s="3068">
        <f t="shared" si="452"/>
        <v>881506.96</v>
      </c>
      <c r="BC102" s="1135"/>
      <c r="BD102" s="651">
        <f t="shared" si="439"/>
        <v>1472900.66</v>
      </c>
      <c r="BE102" s="1133"/>
      <c r="BF102" s="3705">
        <f t="shared" si="453"/>
        <v>3134945.55</v>
      </c>
      <c r="BG102" s="26"/>
      <c r="BH102" s="26"/>
      <c r="BI102" s="26"/>
      <c r="BJ102" s="26"/>
    </row>
    <row r="103" spans="1:62" s="4712" customFormat="1" ht="18.75" customHeight="1" x14ac:dyDescent="0.25">
      <c r="A103" s="147"/>
      <c r="B103" s="914" t="s">
        <v>1929</v>
      </c>
      <c r="C103" s="3805" t="s">
        <v>50</v>
      </c>
      <c r="D103" s="5065"/>
      <c r="E103" s="5065"/>
      <c r="F103" s="3807">
        <v>0</v>
      </c>
      <c r="G103" s="6463"/>
      <c r="H103" s="3807"/>
      <c r="I103" s="3804"/>
      <c r="J103" s="6052">
        <f>+F103+H103</f>
        <v>0</v>
      </c>
      <c r="K103" s="6056"/>
      <c r="L103" s="3807">
        <v>1760</v>
      </c>
      <c r="M103" s="5066"/>
      <c r="N103" s="3068">
        <f>+F103+H103+L103</f>
        <v>1760</v>
      </c>
      <c r="O103" s="5065"/>
      <c r="P103" s="3807">
        <v>3175</v>
      </c>
      <c r="Q103" s="3804"/>
      <c r="R103" s="3705">
        <f>+N103+P103</f>
        <v>4935</v>
      </c>
      <c r="S103" s="5065"/>
      <c r="T103" s="3807">
        <v>3681</v>
      </c>
      <c r="U103" s="3804"/>
      <c r="V103" s="3705">
        <f>+R103+T103</f>
        <v>8616</v>
      </c>
      <c r="W103" s="5065"/>
      <c r="X103" s="3807">
        <v>4205</v>
      </c>
      <c r="Y103" s="5066"/>
      <c r="Z103" s="3068">
        <f>+P103+T103+X103</f>
        <v>11061</v>
      </c>
      <c r="AA103" s="1135"/>
      <c r="AB103" s="651">
        <f>+N103+Z103</f>
        <v>12821</v>
      </c>
      <c r="AC103" s="5369"/>
      <c r="AD103" s="3807">
        <v>3246</v>
      </c>
      <c r="AE103" s="3804"/>
      <c r="AF103" s="3705">
        <f>+AB103+AD103</f>
        <v>16067</v>
      </c>
      <c r="AG103" s="5561"/>
      <c r="AH103" s="3807">
        <v>0</v>
      </c>
      <c r="AI103" s="3804"/>
      <c r="AJ103" s="3705">
        <f>+AF103+AH103</f>
        <v>16067</v>
      </c>
      <c r="AK103" s="5954"/>
      <c r="AL103" s="3807">
        <v>3740</v>
      </c>
      <c r="AM103" s="5066"/>
      <c r="AN103" s="3068">
        <f>+AD103+AH103+AL103</f>
        <v>6986</v>
      </c>
      <c r="AO103" s="3804"/>
      <c r="AP103" s="3705">
        <f>+AL103+AJ103</f>
        <v>19807</v>
      </c>
      <c r="AQ103" s="6107"/>
      <c r="AR103" s="6594">
        <v>765.12000000000012</v>
      </c>
      <c r="AS103" s="5291"/>
      <c r="AT103" s="621">
        <f>+AP103+AR103</f>
        <v>20572.12</v>
      </c>
      <c r="AU103" s="5291"/>
      <c r="AV103" s="6594"/>
      <c r="AW103" s="3804"/>
      <c r="AX103" s="3705">
        <f>+AT103+AV103</f>
        <v>20572.12</v>
      </c>
      <c r="AY103" s="6444"/>
      <c r="AZ103" s="3807"/>
      <c r="BA103" s="5066"/>
      <c r="BB103" s="3068">
        <f t="shared" si="452"/>
        <v>765.12000000000012</v>
      </c>
      <c r="BC103" s="5067"/>
      <c r="BD103" s="651">
        <f>+AN103+BB103</f>
        <v>7751.12</v>
      </c>
      <c r="BE103" s="3804"/>
      <c r="BF103" s="3705">
        <f t="shared" si="453"/>
        <v>20572.12</v>
      </c>
      <c r="BG103" s="26"/>
      <c r="BH103" s="26"/>
      <c r="BI103" s="26"/>
      <c r="BJ103" s="26"/>
    </row>
    <row r="104" spans="1:62" ht="18.75" x14ac:dyDescent="0.3">
      <c r="A104" s="647"/>
      <c r="B104" s="914" t="s">
        <v>926</v>
      </c>
      <c r="C104" s="3805" t="s">
        <v>50</v>
      </c>
      <c r="D104" s="3806"/>
      <c r="E104" s="3806"/>
      <c r="F104" s="3807">
        <v>0</v>
      </c>
      <c r="G104" s="3806"/>
      <c r="H104" s="3807"/>
      <c r="I104" s="3378"/>
      <c r="J104" s="6052">
        <f t="shared" si="440"/>
        <v>0</v>
      </c>
      <c r="K104" s="6055"/>
      <c r="L104" s="3807">
        <v>3899.6000000000008</v>
      </c>
      <c r="M104" s="650"/>
      <c r="N104" s="3068">
        <f t="shared" si="441"/>
        <v>3899.6000000000008</v>
      </c>
      <c r="O104" s="3806"/>
      <c r="P104" s="3807">
        <v>0</v>
      </c>
      <c r="Q104" s="1133"/>
      <c r="R104" s="3705">
        <f t="shared" si="442"/>
        <v>3899.6000000000008</v>
      </c>
      <c r="S104" s="3806"/>
      <c r="T104" s="3807">
        <v>0</v>
      </c>
      <c r="U104" s="1133"/>
      <c r="V104" s="3705">
        <f t="shared" si="443"/>
        <v>3899.6000000000008</v>
      </c>
      <c r="W104" s="3806"/>
      <c r="X104" s="3807">
        <v>0</v>
      </c>
      <c r="Y104" s="650"/>
      <c r="Z104" s="3068">
        <f t="shared" si="444"/>
        <v>0</v>
      </c>
      <c r="AA104" s="1135"/>
      <c r="AB104" s="651">
        <f t="shared" si="445"/>
        <v>3899.6000000000008</v>
      </c>
      <c r="AC104" s="3806"/>
      <c r="AD104" s="3807">
        <v>0</v>
      </c>
      <c r="AE104" s="1133"/>
      <c r="AF104" s="3705">
        <f t="shared" si="446"/>
        <v>3899.6000000000008</v>
      </c>
      <c r="AG104" s="3806"/>
      <c r="AH104" s="3807">
        <v>82</v>
      </c>
      <c r="AI104" s="1133"/>
      <c r="AJ104" s="3705">
        <f t="shared" si="447"/>
        <v>3981.6000000000008</v>
      </c>
      <c r="AK104" s="3806"/>
      <c r="AL104" s="3807">
        <v>55.199999999999996</v>
      </c>
      <c r="AM104" s="2743"/>
      <c r="AN104" s="3068">
        <f t="shared" si="448"/>
        <v>137.19999999999999</v>
      </c>
      <c r="AO104" s="1133"/>
      <c r="AP104" s="3705">
        <f t="shared" si="449"/>
        <v>4036.8000000000006</v>
      </c>
      <c r="AQ104" s="3806"/>
      <c r="AR104" s="3807">
        <v>0</v>
      </c>
      <c r="AS104" s="1133"/>
      <c r="AT104" s="3705">
        <f t="shared" si="450"/>
        <v>4036.8000000000006</v>
      </c>
      <c r="AU104" s="3806"/>
      <c r="AV104" s="3807"/>
      <c r="AW104" s="1133"/>
      <c r="AX104" s="3705">
        <f t="shared" ref="AX104:AX106" si="454">+AT104+AV104</f>
        <v>4036.8000000000006</v>
      </c>
      <c r="AY104" s="3806"/>
      <c r="AZ104" s="3807"/>
      <c r="BA104" s="3021"/>
      <c r="BB104" s="3068">
        <f t="shared" si="452"/>
        <v>0</v>
      </c>
      <c r="BC104" s="1135"/>
      <c r="BD104" s="651">
        <f t="shared" si="439"/>
        <v>137.19999999999999</v>
      </c>
      <c r="BE104" s="1133"/>
      <c r="BF104" s="3705">
        <f t="shared" si="453"/>
        <v>4036.8000000000006</v>
      </c>
      <c r="BG104" s="26"/>
      <c r="BH104" s="26"/>
      <c r="BI104" s="26"/>
      <c r="BJ104" s="26"/>
    </row>
    <row r="105" spans="1:62" ht="18.75" x14ac:dyDescent="0.3">
      <c r="A105" s="647"/>
      <c r="B105" s="914" t="s">
        <v>6</v>
      </c>
      <c r="C105" s="3805" t="s">
        <v>50</v>
      </c>
      <c r="D105" s="3806"/>
      <c r="E105" s="3806"/>
      <c r="F105" s="3144">
        <v>329.9</v>
      </c>
      <c r="G105" s="3806"/>
      <c r="H105" s="3144">
        <v>822.79999999999984</v>
      </c>
      <c r="I105" s="3552"/>
      <c r="J105" s="6052">
        <f t="shared" si="440"/>
        <v>1152.6999999999998</v>
      </c>
      <c r="K105" s="6055"/>
      <c r="L105" s="3144">
        <v>5305.3</v>
      </c>
      <c r="M105" s="650"/>
      <c r="N105" s="3068">
        <f t="shared" si="441"/>
        <v>6458</v>
      </c>
      <c r="O105" s="3806"/>
      <c r="P105" s="3144">
        <v>6685.1500000000005</v>
      </c>
      <c r="Q105" s="649"/>
      <c r="R105" s="3705">
        <f t="shared" si="442"/>
        <v>13143.150000000001</v>
      </c>
      <c r="S105" s="3806"/>
      <c r="T105" s="3144">
        <v>4285.6000000000004</v>
      </c>
      <c r="U105" s="3705"/>
      <c r="V105" s="3705">
        <f t="shared" si="443"/>
        <v>17428.75</v>
      </c>
      <c r="W105" s="3806"/>
      <c r="X105" s="3144">
        <v>2588.1</v>
      </c>
      <c r="Y105" s="650"/>
      <c r="Z105" s="3068">
        <f t="shared" si="444"/>
        <v>13558.85</v>
      </c>
      <c r="AA105" s="651"/>
      <c r="AB105" s="651">
        <f t="shared" si="445"/>
        <v>20016.849999999999</v>
      </c>
      <c r="AC105" s="3806"/>
      <c r="AD105" s="3144">
        <v>1794.2</v>
      </c>
      <c r="AE105" s="2623"/>
      <c r="AF105" s="3705">
        <f t="shared" si="446"/>
        <v>21811.05</v>
      </c>
      <c r="AG105" s="3806"/>
      <c r="AH105" s="3144">
        <v>292.2</v>
      </c>
      <c r="AI105" s="3705"/>
      <c r="AJ105" s="3705">
        <f t="shared" si="447"/>
        <v>22103.25</v>
      </c>
      <c r="AK105" s="3806"/>
      <c r="AL105" s="3144">
        <v>1714.3000000000002</v>
      </c>
      <c r="AM105" s="2743"/>
      <c r="AN105" s="3068">
        <f t="shared" si="448"/>
        <v>3800.7000000000003</v>
      </c>
      <c r="AO105" s="2742"/>
      <c r="AP105" s="3705">
        <f t="shared" si="449"/>
        <v>23817.55</v>
      </c>
      <c r="AQ105" s="3806"/>
      <c r="AR105" s="3144">
        <v>393.2</v>
      </c>
      <c r="AS105" s="2800"/>
      <c r="AT105" s="3705">
        <f t="shared" si="450"/>
        <v>24210.75</v>
      </c>
      <c r="AU105" s="3806"/>
      <c r="AV105" s="3144">
        <v>345.4</v>
      </c>
      <c r="AW105" s="3705"/>
      <c r="AX105" s="3705">
        <f t="shared" si="454"/>
        <v>24556.15</v>
      </c>
      <c r="AY105" s="3806"/>
      <c r="AZ105" s="3144">
        <v>1046.5</v>
      </c>
      <c r="BA105" s="3021"/>
      <c r="BB105" s="3068">
        <f t="shared" si="452"/>
        <v>1785.1</v>
      </c>
      <c r="BC105" s="651"/>
      <c r="BD105" s="651">
        <f t="shared" si="439"/>
        <v>5585.8</v>
      </c>
      <c r="BE105" s="3020"/>
      <c r="BF105" s="3705">
        <f t="shared" si="453"/>
        <v>25602.65</v>
      </c>
      <c r="BG105" s="26"/>
      <c r="BH105" s="26"/>
      <c r="BI105" s="26"/>
      <c r="BJ105" s="26"/>
    </row>
    <row r="106" spans="1:62" ht="19.5" thickBot="1" x14ac:dyDescent="0.3">
      <c r="A106" s="147"/>
      <c r="B106" s="928" t="s">
        <v>1309</v>
      </c>
      <c r="C106" s="3808" t="s">
        <v>50</v>
      </c>
      <c r="D106" s="3809"/>
      <c r="E106" s="3809"/>
      <c r="F106" s="2587">
        <v>66962.899999999994</v>
      </c>
      <c r="G106" s="3809"/>
      <c r="H106" s="2587">
        <v>67337.200000000012</v>
      </c>
      <c r="I106" s="2588"/>
      <c r="J106" s="6052">
        <f t="shared" si="440"/>
        <v>134300.1</v>
      </c>
      <c r="K106" s="6057"/>
      <c r="L106" s="2587">
        <v>17994.712562814071</v>
      </c>
      <c r="M106" s="650"/>
      <c r="N106" s="3068">
        <f t="shared" si="441"/>
        <v>152294.81256281407</v>
      </c>
      <c r="O106" s="3809"/>
      <c r="P106" s="2587">
        <v>56403.212562814071</v>
      </c>
      <c r="Q106" s="649"/>
      <c r="R106" s="3705">
        <f t="shared" si="442"/>
        <v>208698.02512562813</v>
      </c>
      <c r="S106" s="3809"/>
      <c r="T106" s="2587">
        <v>57628.81256281407</v>
      </c>
      <c r="U106" s="3705"/>
      <c r="V106" s="3705">
        <f t="shared" si="443"/>
        <v>266326.8376884422</v>
      </c>
      <c r="W106" s="3809"/>
      <c r="X106" s="2587">
        <v>56611.412562814068</v>
      </c>
      <c r="Y106" s="650"/>
      <c r="Z106" s="3068">
        <f t="shared" si="444"/>
        <v>170643.43768844221</v>
      </c>
      <c r="AA106" s="651"/>
      <c r="AB106" s="651">
        <f t="shared" si="445"/>
        <v>322938.25025125628</v>
      </c>
      <c r="AC106" s="3809"/>
      <c r="AD106" s="2587">
        <v>55954.612562814073</v>
      </c>
      <c r="AE106" s="2623"/>
      <c r="AF106" s="3705">
        <f t="shared" si="446"/>
        <v>378892.86281407037</v>
      </c>
      <c r="AG106" s="3809"/>
      <c r="AH106" s="2587">
        <v>3826.5125628140704</v>
      </c>
      <c r="AI106" s="3705"/>
      <c r="AJ106" s="3705">
        <f t="shared" si="447"/>
        <v>382719.37537688442</v>
      </c>
      <c r="AK106" s="3809"/>
      <c r="AL106" s="2587">
        <v>84637.486999999994</v>
      </c>
      <c r="AM106" s="2743"/>
      <c r="AN106" s="3068">
        <f t="shared" si="448"/>
        <v>144418.61212562813</v>
      </c>
      <c r="AO106" s="2742"/>
      <c r="AP106" s="3705">
        <f t="shared" si="449"/>
        <v>467356.86237688444</v>
      </c>
      <c r="AQ106" s="3809"/>
      <c r="AR106" s="2587">
        <v>71609.3</v>
      </c>
      <c r="AS106" s="2800"/>
      <c r="AT106" s="3705">
        <f t="shared" si="450"/>
        <v>538966.16237688449</v>
      </c>
      <c r="AU106" s="3809"/>
      <c r="AV106" s="2587">
        <v>52850.1</v>
      </c>
      <c r="AW106" s="3705"/>
      <c r="AX106" s="3705">
        <f t="shared" si="454"/>
        <v>591816.26237688446</v>
      </c>
      <c r="AY106" s="3809"/>
      <c r="AZ106" s="2587">
        <v>37606.199999999997</v>
      </c>
      <c r="BA106" s="3021"/>
      <c r="BB106" s="3068">
        <f t="shared" si="452"/>
        <v>162065.59999999998</v>
      </c>
      <c r="BC106" s="651"/>
      <c r="BD106" s="651">
        <f t="shared" si="439"/>
        <v>306484.21212562814</v>
      </c>
      <c r="BE106" s="3020"/>
      <c r="BF106" s="3705">
        <f t="shared" si="453"/>
        <v>629422.46237688442</v>
      </c>
      <c r="BG106" s="26"/>
      <c r="BH106" s="26"/>
      <c r="BI106" s="26"/>
      <c r="BJ106" s="26"/>
    </row>
    <row r="107" spans="1:62" x14ac:dyDescent="0.25">
      <c r="A107" s="147"/>
      <c r="B107" s="93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7"/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/>
      <c r="AX107" s="347"/>
      <c r="AY107" s="347"/>
      <c r="AZ107" s="347"/>
      <c r="BA107" s="347"/>
      <c r="BB107" s="347"/>
      <c r="BC107" s="347"/>
      <c r="BD107" s="347"/>
      <c r="BE107" s="347"/>
      <c r="BF107" s="347"/>
      <c r="BG107" s="26"/>
      <c r="BH107" s="26"/>
      <c r="BI107" s="26"/>
      <c r="BJ107" s="26"/>
    </row>
    <row r="108" spans="1:62" x14ac:dyDescent="0.25">
      <c r="A108" s="147"/>
      <c r="B108" s="233" t="s">
        <v>1341</v>
      </c>
      <c r="C108" s="347" t="s">
        <v>1342</v>
      </c>
      <c r="D108" s="1349">
        <f t="shared" ref="D108:AI108" si="455">+D27+D28+D30</f>
        <v>4829654.6994228186</v>
      </c>
      <c r="E108" s="1349">
        <f t="shared" si="455"/>
        <v>412567.1133066272</v>
      </c>
      <c r="F108" s="1349">
        <f t="shared" si="455"/>
        <v>372355.1</v>
      </c>
      <c r="G108" s="1349">
        <f t="shared" ref="G108:H108" si="456">+G27+G28+G30</f>
        <v>425664.48198302806</v>
      </c>
      <c r="H108" s="1349">
        <f t="shared" si="456"/>
        <v>419973.3</v>
      </c>
      <c r="I108" s="1349">
        <f t="shared" si="455"/>
        <v>838231.59528965526</v>
      </c>
      <c r="J108" s="1349">
        <f t="shared" si="455"/>
        <v>792328.39999999991</v>
      </c>
      <c r="K108" s="1349">
        <f t="shared" si="455"/>
        <v>243938.49159796606</v>
      </c>
      <c r="L108" s="1349">
        <f t="shared" si="455"/>
        <v>266506.141</v>
      </c>
      <c r="M108" s="1349">
        <f t="shared" si="455"/>
        <v>1082170.0868876213</v>
      </c>
      <c r="N108" s="1349">
        <f t="shared" si="455"/>
        <v>1058834.541</v>
      </c>
      <c r="O108" s="1349">
        <f t="shared" si="455"/>
        <v>121150.66025670798</v>
      </c>
      <c r="P108" s="1349">
        <f t="shared" si="455"/>
        <v>410975.3906300001</v>
      </c>
      <c r="Q108" s="1349">
        <f t="shared" si="455"/>
        <v>1203320.7471443294</v>
      </c>
      <c r="R108" s="1349">
        <f t="shared" si="455"/>
        <v>1469809.9316300002</v>
      </c>
      <c r="S108" s="1349">
        <f t="shared" si="455"/>
        <v>392921.06029202585</v>
      </c>
      <c r="T108" s="1349">
        <f t="shared" si="455"/>
        <v>398510.97279999999</v>
      </c>
      <c r="U108" s="1349">
        <f t="shared" si="455"/>
        <v>1596241.8074363549</v>
      </c>
      <c r="V108" s="1349">
        <f t="shared" si="455"/>
        <v>1868320.9044300001</v>
      </c>
      <c r="W108" s="1349">
        <f t="shared" si="455"/>
        <v>379823.69161562499</v>
      </c>
      <c r="X108" s="1349">
        <f t="shared" si="455"/>
        <v>399912.26484999998</v>
      </c>
      <c r="Y108" s="1349">
        <f t="shared" si="455"/>
        <v>893895.41216435889</v>
      </c>
      <c r="Z108" s="1349">
        <f t="shared" si="455"/>
        <v>1209398.6282800001</v>
      </c>
      <c r="AA108" s="1349">
        <f t="shared" si="455"/>
        <v>1976065.4990519802</v>
      </c>
      <c r="AB108" s="1349">
        <f t="shared" si="455"/>
        <v>2268233.16928</v>
      </c>
      <c r="AC108" s="1349">
        <f t="shared" si="455"/>
        <v>409292.77113752696</v>
      </c>
      <c r="AD108" s="1349">
        <f t="shared" si="455"/>
        <v>388098.90995</v>
      </c>
      <c r="AE108" s="1349">
        <f t="shared" si="455"/>
        <v>2385358.2701895069</v>
      </c>
      <c r="AF108" s="1349">
        <f t="shared" si="455"/>
        <v>2656332.0792300003</v>
      </c>
      <c r="AG108" s="1349">
        <f t="shared" si="455"/>
        <v>396195.4024611261</v>
      </c>
      <c r="AH108" s="1349">
        <f t="shared" si="455"/>
        <v>12300.734400000001</v>
      </c>
      <c r="AI108" s="1349">
        <f t="shared" si="455"/>
        <v>2781553.6726506334</v>
      </c>
      <c r="AJ108" s="1349">
        <f t="shared" ref="AJ108:BF108" si="457">+AJ27+AJ28+AJ30</f>
        <v>2668632.8136300002</v>
      </c>
      <c r="AK108" s="1349">
        <f t="shared" si="457"/>
        <v>409292.77113752696</v>
      </c>
      <c r="AL108" s="1349">
        <f t="shared" si="457"/>
        <v>425342.93799999997</v>
      </c>
      <c r="AM108" s="1349">
        <f t="shared" si="457"/>
        <v>1214780.9447361801</v>
      </c>
      <c r="AN108" s="1349">
        <f t="shared" si="457"/>
        <v>825742.58234999992</v>
      </c>
      <c r="AO108" s="1349">
        <f t="shared" si="457"/>
        <v>3190846.4437881601</v>
      </c>
      <c r="AP108" s="1349">
        <f t="shared" si="457"/>
        <v>3093975.7516299998</v>
      </c>
      <c r="AQ108" s="1349">
        <f t="shared" ref="AQ108:AR108" si="458">+AQ27+AQ28+AQ30</f>
        <v>409292.77113752696</v>
      </c>
      <c r="AR108" s="1349">
        <f t="shared" si="458"/>
        <v>428385.886</v>
      </c>
      <c r="AS108" s="1349">
        <f t="shared" si="457"/>
        <v>3600139.2149256873</v>
      </c>
      <c r="AT108" s="1349">
        <f t="shared" si="457"/>
        <v>3522361.6376299998</v>
      </c>
      <c r="AU108" s="1349">
        <f t="shared" si="457"/>
        <v>368363.49402377428</v>
      </c>
      <c r="AV108" s="1349">
        <f t="shared" si="457"/>
        <v>393037.16000000003</v>
      </c>
      <c r="AW108" s="1349">
        <f t="shared" ref="AW108:AZ108" si="459">+AW27+AW28+AW30</f>
        <v>3968502.7089494616</v>
      </c>
      <c r="AX108" s="1349">
        <f t="shared" si="459"/>
        <v>3915398.7976299999</v>
      </c>
      <c r="AY108" s="1349">
        <f t="shared" si="459"/>
        <v>409292.77113752696</v>
      </c>
      <c r="AZ108" s="1349">
        <f t="shared" si="459"/>
        <v>441042.7</v>
      </c>
      <c r="BA108" s="1349">
        <f t="shared" si="457"/>
        <v>1186949.0362988282</v>
      </c>
      <c r="BB108" s="1349">
        <f t="shared" si="457"/>
        <v>1262465.7459999998</v>
      </c>
      <c r="BC108" s="1349">
        <f t="shared" si="457"/>
        <v>2401729.9810350081</v>
      </c>
      <c r="BD108" s="1349">
        <f t="shared" si="457"/>
        <v>2088208.3283499999</v>
      </c>
      <c r="BE108" s="1349">
        <f t="shared" si="457"/>
        <v>4377795.4800869888</v>
      </c>
      <c r="BF108" s="1349">
        <f t="shared" si="457"/>
        <v>4356441.4976300001</v>
      </c>
      <c r="BG108" s="26"/>
      <c r="BH108" s="26"/>
      <c r="BI108" s="26"/>
      <c r="BJ108" s="26"/>
    </row>
    <row r="109" spans="1:62" x14ac:dyDescent="0.25">
      <c r="A109" s="147"/>
      <c r="B109" s="93"/>
      <c r="C109" s="347" t="s">
        <v>1343</v>
      </c>
      <c r="D109" s="1659">
        <f t="shared" ref="D109:AI109" si="460">+D27*100/D108</f>
        <v>70.000000000000014</v>
      </c>
      <c r="E109" s="1659">
        <f t="shared" si="460"/>
        <v>70</v>
      </c>
      <c r="F109" s="1659">
        <f t="shared" si="460"/>
        <v>67.728144451358403</v>
      </c>
      <c r="G109" s="1659">
        <f t="shared" ref="G109:H109" si="461">+G27*100/G108</f>
        <v>70</v>
      </c>
      <c r="H109" s="1659">
        <f t="shared" si="461"/>
        <v>68.71532071205479</v>
      </c>
      <c r="I109" s="1659">
        <f t="shared" si="460"/>
        <v>70</v>
      </c>
      <c r="J109" s="1659">
        <f t="shared" si="460"/>
        <v>68.251396769319385</v>
      </c>
      <c r="K109" s="1659">
        <f t="shared" si="460"/>
        <v>70.000000000000014</v>
      </c>
      <c r="L109" s="1659">
        <f t="shared" si="460"/>
        <v>81.082146621154223</v>
      </c>
      <c r="M109" s="1659">
        <f t="shared" si="460"/>
        <v>70.000000000000014</v>
      </c>
      <c r="N109" s="1659">
        <f t="shared" si="460"/>
        <v>71.480866055350958</v>
      </c>
      <c r="O109" s="1659">
        <f t="shared" si="460"/>
        <v>70</v>
      </c>
      <c r="P109" s="1659">
        <f t="shared" si="460"/>
        <v>76.953707499417817</v>
      </c>
      <c r="Q109" s="1659">
        <f t="shared" si="460"/>
        <v>70.000000000000014</v>
      </c>
      <c r="R109" s="1659">
        <f t="shared" si="460"/>
        <v>73.011134086563047</v>
      </c>
      <c r="S109" s="1659">
        <f t="shared" si="460"/>
        <v>70</v>
      </c>
      <c r="T109" s="1659">
        <f t="shared" si="460"/>
        <v>74.861376564836206</v>
      </c>
      <c r="U109" s="1659">
        <f t="shared" si="460"/>
        <v>70.000000000000014</v>
      </c>
      <c r="V109" s="1659">
        <f t="shared" si="460"/>
        <v>73.405788949217651</v>
      </c>
      <c r="W109" s="1659">
        <f t="shared" si="460"/>
        <v>70.000000000000014</v>
      </c>
      <c r="X109" s="1659">
        <f t="shared" si="460"/>
        <v>72.663235299621249</v>
      </c>
      <c r="Y109" s="1659">
        <f t="shared" si="460"/>
        <v>70</v>
      </c>
      <c r="Z109" s="1659">
        <f t="shared" si="460"/>
        <v>74.845528085916797</v>
      </c>
      <c r="AA109" s="1659">
        <f t="shared" si="460"/>
        <v>70.000000000000014</v>
      </c>
      <c r="AB109" s="1659">
        <f t="shared" si="460"/>
        <v>73.274869290778383</v>
      </c>
      <c r="AC109" s="1659">
        <f t="shared" si="460"/>
        <v>70</v>
      </c>
      <c r="AD109" s="1659">
        <f t="shared" si="460"/>
        <v>75.456460322892482</v>
      </c>
      <c r="AE109" s="1659">
        <f t="shared" si="460"/>
        <v>70.000000000000014</v>
      </c>
      <c r="AF109" s="1659">
        <f t="shared" si="460"/>
        <v>73.593606962224044</v>
      </c>
      <c r="AG109" s="1659">
        <f t="shared" si="460"/>
        <v>70</v>
      </c>
      <c r="AH109" s="1659">
        <f t="shared" si="460"/>
        <v>65.313173496372698</v>
      </c>
      <c r="AI109" s="1659">
        <f t="shared" si="460"/>
        <v>70</v>
      </c>
      <c r="AJ109" s="1659">
        <f t="shared" ref="AJ109:BF109" si="462">+AJ27*100/AJ108</f>
        <v>73.555439323626445</v>
      </c>
      <c r="AK109" s="1659">
        <f t="shared" si="462"/>
        <v>70</v>
      </c>
      <c r="AL109" s="1659">
        <f t="shared" si="462"/>
        <v>68.301122234689601</v>
      </c>
      <c r="AM109" s="1659">
        <f t="shared" si="462"/>
        <v>70</v>
      </c>
      <c r="AN109" s="1659">
        <f t="shared" si="462"/>
        <v>71.619620041507233</v>
      </c>
      <c r="AO109" s="1659">
        <f t="shared" si="462"/>
        <v>70.000000000000014</v>
      </c>
      <c r="AP109" s="1659">
        <f t="shared" si="462"/>
        <v>72.833104422774497</v>
      </c>
      <c r="AQ109" s="1659">
        <f t="shared" ref="AQ109:AR109" si="463">+AQ27*100/AQ108</f>
        <v>70</v>
      </c>
      <c r="AR109" s="1659">
        <f t="shared" si="463"/>
        <v>67.761756277843389</v>
      </c>
      <c r="AS109" s="1659">
        <f t="shared" si="462"/>
        <v>70</v>
      </c>
      <c r="AT109" s="1659">
        <f t="shared" si="462"/>
        <v>72.216332440854288</v>
      </c>
      <c r="AU109" s="1659">
        <f t="shared" si="462"/>
        <v>70</v>
      </c>
      <c r="AV109" s="1659">
        <f t="shared" si="462"/>
        <v>69.713499863473473</v>
      </c>
      <c r="AW109" s="1659">
        <f t="shared" ref="AW109:AZ109" si="464">+AW27*100/AW108</f>
        <v>70.000000000000014</v>
      </c>
      <c r="AX109" s="1659">
        <f t="shared" si="464"/>
        <v>71.965092079651555</v>
      </c>
      <c r="AY109" s="1659">
        <f t="shared" si="464"/>
        <v>70</v>
      </c>
      <c r="AZ109" s="1659">
        <f t="shared" si="464"/>
        <v>71.926187645776693</v>
      </c>
      <c r="BA109" s="1659">
        <f t="shared" si="462"/>
        <v>70</v>
      </c>
      <c r="BB109" s="1659">
        <f t="shared" si="462"/>
        <v>69.824227928002742</v>
      </c>
      <c r="BC109" s="1659">
        <f t="shared" si="462"/>
        <v>70.000000000000014</v>
      </c>
      <c r="BD109" s="1659">
        <f t="shared" si="462"/>
        <v>70.534181863157983</v>
      </c>
      <c r="BE109" s="1659">
        <f t="shared" si="462"/>
        <v>70</v>
      </c>
      <c r="BF109" s="1659">
        <f t="shared" si="462"/>
        <v>71.961153425461561</v>
      </c>
      <c r="BG109" s="26"/>
      <c r="BH109" s="26"/>
      <c r="BI109" s="26"/>
      <c r="BJ109" s="26"/>
    </row>
    <row r="110" spans="1:62" x14ac:dyDescent="0.25">
      <c r="A110" s="147"/>
      <c r="B110" s="93"/>
      <c r="C110" s="347" t="s">
        <v>1344</v>
      </c>
      <c r="D110" s="1349">
        <f t="shared" ref="D110:AI110" si="465">+D28*100/D108</f>
        <v>12.999999999999995</v>
      </c>
      <c r="E110" s="1349">
        <f t="shared" si="465"/>
        <v>12.999999999999995</v>
      </c>
      <c r="F110" s="1349">
        <f t="shared" si="465"/>
        <v>14.288242594233301</v>
      </c>
      <c r="G110" s="1349">
        <f t="shared" ref="G110:H110" si="466">+G28*100/G108</f>
        <v>12.999999999999996</v>
      </c>
      <c r="H110" s="1349">
        <f t="shared" si="466"/>
        <v>15.25099333695737</v>
      </c>
      <c r="I110" s="1349">
        <f t="shared" si="465"/>
        <v>12.999999999999996</v>
      </c>
      <c r="J110" s="1349">
        <f t="shared" si="465"/>
        <v>14.798548177750538</v>
      </c>
      <c r="K110" s="1349">
        <f t="shared" si="465"/>
        <v>12.999999999999998</v>
      </c>
      <c r="L110" s="1349">
        <f t="shared" si="465"/>
        <v>12.199532017538013</v>
      </c>
      <c r="M110" s="1349">
        <f t="shared" si="465"/>
        <v>12.999999999999996</v>
      </c>
      <c r="N110" s="1349">
        <f t="shared" si="465"/>
        <v>14.144381978562597</v>
      </c>
      <c r="O110" s="1349">
        <f t="shared" si="465"/>
        <v>12.999999999999996</v>
      </c>
      <c r="P110" s="1349">
        <f t="shared" si="465"/>
        <v>9.390682510414722</v>
      </c>
      <c r="Q110" s="1349">
        <f t="shared" si="465"/>
        <v>12.999999999999995</v>
      </c>
      <c r="R110" s="1349">
        <f t="shared" si="465"/>
        <v>12.815194133374257</v>
      </c>
      <c r="S110" s="1349">
        <f t="shared" si="465"/>
        <v>12.999999999999998</v>
      </c>
      <c r="T110" s="1349">
        <f t="shared" si="465"/>
        <v>10.749893283741473</v>
      </c>
      <c r="U110" s="1349">
        <f t="shared" si="465"/>
        <v>12.999999999999998</v>
      </c>
      <c r="V110" s="1349">
        <f t="shared" si="465"/>
        <v>12.374667536064184</v>
      </c>
      <c r="W110" s="1349">
        <f t="shared" si="465"/>
        <v>12.999999999999998</v>
      </c>
      <c r="X110" s="1349">
        <f t="shared" si="465"/>
        <v>13.251586412304054</v>
      </c>
      <c r="Y110" s="1349">
        <f t="shared" si="465"/>
        <v>12.999999999999998</v>
      </c>
      <c r="Z110" s="1349">
        <f t="shared" si="465"/>
        <v>11.115244770136892</v>
      </c>
      <c r="AA110" s="1349">
        <f t="shared" si="465"/>
        <v>12.999999999999995</v>
      </c>
      <c r="AB110" s="1349">
        <f t="shared" si="465"/>
        <v>12.529277132042417</v>
      </c>
      <c r="AC110" s="1349">
        <f t="shared" si="465"/>
        <v>12.999999999999998</v>
      </c>
      <c r="AD110" s="1349">
        <f t="shared" si="465"/>
        <v>10.198011237676241</v>
      </c>
      <c r="AE110" s="1349">
        <f t="shared" si="465"/>
        <v>12.999999999999998</v>
      </c>
      <c r="AF110" s="1349">
        <f t="shared" si="465"/>
        <v>12.188671467757628</v>
      </c>
      <c r="AG110" s="1349">
        <f t="shared" si="465"/>
        <v>12.999999999999995</v>
      </c>
      <c r="AH110" s="1349">
        <f t="shared" si="465"/>
        <v>3.7343656489323109</v>
      </c>
      <c r="AI110" s="1349">
        <f t="shared" si="465"/>
        <v>12.999999999999995</v>
      </c>
      <c r="AJ110" s="1349">
        <f t="shared" ref="AJ110:BF110" si="467">+AJ28*100/AJ108</f>
        <v>12.149702385955667</v>
      </c>
      <c r="AK110" s="1349">
        <f t="shared" si="467"/>
        <v>12.999999999999998</v>
      </c>
      <c r="AL110" s="1349">
        <f t="shared" si="467"/>
        <v>11.800231417031309</v>
      </c>
      <c r="AM110" s="1349">
        <f t="shared" si="467"/>
        <v>12.999999999999995</v>
      </c>
      <c r="AN110" s="1349">
        <f t="shared" si="467"/>
        <v>10.927034378342789</v>
      </c>
      <c r="AO110" s="1349">
        <f t="shared" si="467"/>
        <v>12.999999999999996</v>
      </c>
      <c r="AP110" s="1659">
        <f t="shared" si="467"/>
        <v>12.101659020202177</v>
      </c>
      <c r="AQ110" s="1349">
        <f t="shared" ref="AQ110:AR110" si="468">+AQ28*100/AQ108</f>
        <v>12.999999999999998</v>
      </c>
      <c r="AR110" s="1349">
        <f t="shared" si="468"/>
        <v>15.522170121169678</v>
      </c>
      <c r="AS110" s="1349">
        <f t="shared" si="467"/>
        <v>12.999999999999995</v>
      </c>
      <c r="AT110" s="1659">
        <f t="shared" si="467"/>
        <v>12.51765795197192</v>
      </c>
      <c r="AU110" s="1349">
        <f t="shared" si="467"/>
        <v>12.999999999999996</v>
      </c>
      <c r="AV110" s="1349">
        <f t="shared" si="467"/>
        <v>16.839908979598775</v>
      </c>
      <c r="AW110" s="1349">
        <f t="shared" ref="AW110:AZ110" si="469">+AW28*100/AW108</f>
        <v>12.999999999999996</v>
      </c>
      <c r="AX110" s="1659">
        <f t="shared" si="469"/>
        <v>12.951535918562149</v>
      </c>
      <c r="AY110" s="1349">
        <f t="shared" si="469"/>
        <v>12.999999999999998</v>
      </c>
      <c r="AZ110" s="1349">
        <f t="shared" si="469"/>
        <v>19.547154958012001</v>
      </c>
      <c r="BA110" s="1349">
        <f t="shared" si="467"/>
        <v>12.999999999999996</v>
      </c>
      <c r="BB110" s="1349">
        <f t="shared" si="467"/>
        <v>17.338544565945003</v>
      </c>
      <c r="BC110" s="1349">
        <f t="shared" si="467"/>
        <v>12.999999999999996</v>
      </c>
      <c r="BD110" s="1349">
        <f t="shared" si="467"/>
        <v>14.803233837030684</v>
      </c>
      <c r="BE110" s="1349">
        <f t="shared" si="467"/>
        <v>12.999999999999996</v>
      </c>
      <c r="BF110" s="1659">
        <f t="shared" si="467"/>
        <v>13.619271186191224</v>
      </c>
      <c r="BG110" s="26"/>
      <c r="BH110" s="26"/>
      <c r="BI110" s="26"/>
      <c r="BJ110" s="26"/>
    </row>
    <row r="111" spans="1:62" x14ac:dyDescent="0.25">
      <c r="A111" s="147"/>
      <c r="B111" s="93"/>
      <c r="C111" s="347" t="s">
        <v>1345</v>
      </c>
      <c r="D111" s="1659">
        <f t="shared" ref="D111" si="470">100-D109-D110</f>
        <v>16.999999999999993</v>
      </c>
      <c r="E111" s="1659">
        <f t="shared" ref="E111" si="471">100-E109-E110</f>
        <v>17.000000000000007</v>
      </c>
      <c r="F111" s="1659">
        <f>100-F109-F110</f>
        <v>17.983612954408294</v>
      </c>
      <c r="G111" s="1659">
        <f t="shared" ref="G111" si="472">100-G109-G110</f>
        <v>17.000000000000004</v>
      </c>
      <c r="H111" s="1659">
        <f>100-H109-H110</f>
        <v>16.033685950987838</v>
      </c>
      <c r="I111" s="1659">
        <f t="shared" ref="I111:S111" si="473">100-I109-I110</f>
        <v>17.000000000000004</v>
      </c>
      <c r="J111" s="1659">
        <f t="shared" si="473"/>
        <v>16.950055052930075</v>
      </c>
      <c r="K111" s="1659">
        <f t="shared" si="473"/>
        <v>16.999999999999986</v>
      </c>
      <c r="L111" s="1659">
        <f>100-L109-L110</f>
        <v>6.7183213613077637</v>
      </c>
      <c r="M111" s="1659">
        <f t="shared" si="473"/>
        <v>16.999999999999989</v>
      </c>
      <c r="N111" s="1659">
        <f t="shared" si="473"/>
        <v>14.374751966086444</v>
      </c>
      <c r="O111" s="1659">
        <f t="shared" ref="O111" si="474">100-O109-O110</f>
        <v>17.000000000000004</v>
      </c>
      <c r="P111" s="1659">
        <f>100-P109-P110</f>
        <v>13.655609990167461</v>
      </c>
      <c r="Q111" s="1659">
        <f t="shared" si="473"/>
        <v>16.999999999999993</v>
      </c>
      <c r="R111" s="1659">
        <f t="shared" si="473"/>
        <v>14.173671780062696</v>
      </c>
      <c r="S111" s="1659">
        <f t="shared" si="473"/>
        <v>17</v>
      </c>
      <c r="T111" s="1659">
        <f>100-T109-T110</f>
        <v>14.388730151422321</v>
      </c>
      <c r="U111" s="1659">
        <f t="shared" ref="U111:W111" si="475">100-U109-U110</f>
        <v>16.999999999999986</v>
      </c>
      <c r="V111" s="1659">
        <f t="shared" si="475"/>
        <v>14.219543514718165</v>
      </c>
      <c r="W111" s="1659">
        <f t="shared" si="475"/>
        <v>16.999999999999986</v>
      </c>
      <c r="X111" s="1659">
        <f>100-X109-X110</f>
        <v>14.085178288074697</v>
      </c>
      <c r="Y111" s="1659">
        <f t="shared" ref="Y111:Z111" si="476">100-Y109-Y110</f>
        <v>17</v>
      </c>
      <c r="Z111" s="1659">
        <f t="shared" si="476"/>
        <v>14.039227143946311</v>
      </c>
      <c r="AA111" s="1659">
        <f t="shared" ref="AA111:AF111" si="477">100-AA109-AA110</f>
        <v>16.999999999999993</v>
      </c>
      <c r="AB111" s="1659">
        <f t="shared" si="477"/>
        <v>14.1958535771792</v>
      </c>
      <c r="AC111" s="1659">
        <f t="shared" si="477"/>
        <v>17</v>
      </c>
      <c r="AD111" s="1659">
        <f>100-AD109-AD110</f>
        <v>14.345528439431277</v>
      </c>
      <c r="AE111" s="1659">
        <f t="shared" si="477"/>
        <v>16.999999999999986</v>
      </c>
      <c r="AF111" s="1659">
        <f t="shared" si="477"/>
        <v>14.217721570018329</v>
      </c>
      <c r="AG111" s="1659">
        <f t="shared" ref="AG111" si="478">100-AG109-AG110</f>
        <v>17.000000000000007</v>
      </c>
      <c r="AH111" s="1659">
        <f>100-AH109-AH110</f>
        <v>30.952460854694991</v>
      </c>
      <c r="AI111" s="1659">
        <f t="shared" ref="AI111:AK111" si="479">100-AI109-AI110</f>
        <v>17.000000000000007</v>
      </c>
      <c r="AJ111" s="1659">
        <f t="shared" si="479"/>
        <v>14.294858290417888</v>
      </c>
      <c r="AK111" s="1659">
        <f t="shared" si="479"/>
        <v>17</v>
      </c>
      <c r="AL111" s="1659">
        <f>100-AL109-AL110</f>
        <v>19.89864634827909</v>
      </c>
      <c r="AM111" s="1659">
        <f t="shared" ref="AM111:AT111" si="480">100-AM109-AM110</f>
        <v>17.000000000000007</v>
      </c>
      <c r="AN111" s="1659">
        <f t="shared" si="480"/>
        <v>17.453345580149978</v>
      </c>
      <c r="AO111" s="1659">
        <f t="shared" si="480"/>
        <v>16.999999999999989</v>
      </c>
      <c r="AP111" s="1659">
        <f t="shared" si="480"/>
        <v>15.065236557023326</v>
      </c>
      <c r="AQ111" s="1659">
        <f t="shared" si="480"/>
        <v>17</v>
      </c>
      <c r="AR111" s="1659">
        <f>100-AR109-AR110</f>
        <v>16.716073600986931</v>
      </c>
      <c r="AS111" s="1659">
        <f t="shared" si="480"/>
        <v>17.000000000000007</v>
      </c>
      <c r="AT111" s="1659">
        <f t="shared" si="480"/>
        <v>15.266009607173793</v>
      </c>
      <c r="AU111" s="1659">
        <f t="shared" ref="AU111" si="481">100-AU109-AU110</f>
        <v>17.000000000000004</v>
      </c>
      <c r="AV111" s="1659">
        <f>100-AV109-AV110</f>
        <v>13.446591156927752</v>
      </c>
      <c r="AW111" s="1659">
        <f t="shared" ref="AW111:AY111" si="482">100-AW109-AW110</f>
        <v>16.999999999999989</v>
      </c>
      <c r="AX111" s="1659">
        <f t="shared" si="482"/>
        <v>15.083372001786296</v>
      </c>
      <c r="AY111" s="1659">
        <f t="shared" si="482"/>
        <v>17</v>
      </c>
      <c r="AZ111" s="1659">
        <f>100-AZ109-AZ110</f>
        <v>8.5266573962113057</v>
      </c>
      <c r="BA111" s="1659">
        <f t="shared" ref="BA111:BD111" si="483">100-BA109-BA110</f>
        <v>17.000000000000004</v>
      </c>
      <c r="BB111" s="1659">
        <f t="shared" si="483"/>
        <v>12.837227506052255</v>
      </c>
      <c r="BC111" s="1659">
        <f t="shared" si="483"/>
        <v>16.999999999999989</v>
      </c>
      <c r="BD111" s="1659">
        <f t="shared" si="483"/>
        <v>14.662584299811334</v>
      </c>
      <c r="BE111" s="1659">
        <f t="shared" ref="BE111:BF111" si="484">100-BE109-BE110</f>
        <v>17.000000000000004</v>
      </c>
      <c r="BF111" s="1659">
        <f t="shared" si="484"/>
        <v>14.419575388347216</v>
      </c>
      <c r="BG111" s="26"/>
      <c r="BH111" s="26"/>
      <c r="BI111" s="26"/>
      <c r="BJ111" s="26"/>
    </row>
    <row r="113" spans="6:38" x14ac:dyDescent="0.25">
      <c r="AD113" s="26"/>
      <c r="AH113" s="26"/>
      <c r="AL113" s="26"/>
    </row>
    <row r="115" spans="6:38" x14ac:dyDescent="0.25">
      <c r="F115" s="3427"/>
      <c r="H115" s="3427"/>
      <c r="L115" s="3427"/>
      <c r="N115" s="3427"/>
    </row>
    <row r="116" spans="6:38" x14ac:dyDescent="0.25">
      <c r="N116" s="4670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8"/>
  <sheetViews>
    <sheetView zoomScale="96" zoomScaleNormal="96" workbookViewId="0">
      <pane xSplit="4" topLeftCell="E1" activePane="topRight" state="frozen"/>
      <selection pane="topRight" activeCell="J70" sqref="J70"/>
    </sheetView>
  </sheetViews>
  <sheetFormatPr defaultRowHeight="21" customHeight="1" x14ac:dyDescent="0.25"/>
  <cols>
    <col min="1" max="1" width="2.7109375" style="4" customWidth="1"/>
    <col min="2" max="2" width="40.85546875" style="4" customWidth="1"/>
    <col min="3" max="3" width="12.7109375" style="4" bestFit="1" customWidth="1"/>
    <col min="4" max="4" width="13.7109375" style="3951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customWidth="1"/>
    <col min="10" max="10" width="23.85546875" style="45" customWidth="1"/>
    <col min="11" max="11" width="9.42578125" style="3952" hidden="1" customWidth="1"/>
    <col min="12" max="12" width="23.85546875" style="4" hidden="1" customWidth="1"/>
    <col min="13" max="13" width="9.42578125" style="112" hidden="1" customWidth="1"/>
    <col min="14" max="14" width="20.42578125" style="4" hidden="1" customWidth="1"/>
    <col min="15" max="15" width="8.28515625" style="3952" hidden="1" customWidth="1"/>
    <col min="16" max="16" width="20.7109375" style="4" hidden="1" customWidth="1"/>
    <col min="17" max="17" width="9.42578125" style="112" hidden="1" customWidth="1"/>
    <col min="18" max="18" width="17.28515625" style="4" hidden="1" customWidth="1"/>
    <col min="19" max="19" width="14.85546875" style="4" hidden="1" customWidth="1"/>
    <col min="20" max="20" width="18" style="1802" hidden="1" customWidth="1"/>
    <col min="21" max="21" width="9.42578125" style="4" hidden="1" customWidth="1"/>
    <col min="22" max="22" width="17.7109375" style="4" hidden="1" customWidth="1"/>
    <col min="23" max="23" width="9.42578125" style="45" hidden="1" customWidth="1"/>
    <col min="24" max="24" width="18.140625" style="4" hidden="1" customWidth="1"/>
    <col min="25" max="25" width="12.140625" style="4" hidden="1" customWidth="1"/>
    <col min="26" max="26" width="18.140625" style="4" hidden="1" customWidth="1"/>
    <col min="27" max="27" width="10.42578125" style="4" hidden="1" customWidth="1"/>
    <col min="28" max="28" width="18.140625" style="4" hidden="1" customWidth="1"/>
    <col min="29" max="29" width="9.42578125" style="4" hidden="1" customWidth="1"/>
    <col min="30" max="30" width="18.140625" style="4" hidden="1" customWidth="1"/>
    <col min="31" max="31" width="10.42578125" style="4" hidden="1" customWidth="1"/>
    <col min="32" max="32" width="14.7109375" style="4" hidden="1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18.140625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4364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953" t="s">
        <v>263</v>
      </c>
      <c r="C1" s="3954" t="s">
        <v>582</v>
      </c>
      <c r="D1" s="3954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1825"/>
      <c r="U1" s="45"/>
      <c r="V1" s="45"/>
      <c r="X1" s="45">
        <f>7853+X9</f>
        <v>8292</v>
      </c>
      <c r="Y1" s="45"/>
      <c r="Z1" s="45"/>
      <c r="AA1" s="45"/>
      <c r="AB1" s="45"/>
    </row>
    <row r="2" spans="1:66" ht="15.75" thickBot="1" x14ac:dyDescent="0.3">
      <c r="B2" s="45"/>
      <c r="C2" s="45" t="s">
        <v>1893</v>
      </c>
      <c r="D2" s="3955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956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440" t="s">
        <v>171</v>
      </c>
      <c r="C3" s="7695" t="s">
        <v>172</v>
      </c>
      <c r="D3" s="7294" t="s">
        <v>2255</v>
      </c>
      <c r="E3" s="7318" t="s">
        <v>2254</v>
      </c>
      <c r="F3" s="7318"/>
      <c r="G3" s="7318" t="s">
        <v>2306</v>
      </c>
      <c r="H3" s="7318"/>
      <c r="I3" s="7656" t="s">
        <v>14</v>
      </c>
      <c r="J3" s="7656"/>
      <c r="K3" s="7318" t="s">
        <v>1903</v>
      </c>
      <c r="L3" s="7318"/>
      <c r="M3" s="7305" t="s">
        <v>637</v>
      </c>
      <c r="N3" s="7305"/>
      <c r="O3" s="7660" t="s">
        <v>1938</v>
      </c>
      <c r="P3" s="7660"/>
      <c r="Q3" s="7656" t="s">
        <v>17</v>
      </c>
      <c r="R3" s="7656"/>
      <c r="S3" s="7660" t="s">
        <v>1961</v>
      </c>
      <c r="T3" s="7660"/>
      <c r="U3" s="7656" t="s">
        <v>18</v>
      </c>
      <c r="V3" s="7656"/>
      <c r="W3" s="7660" t="s">
        <v>1983</v>
      </c>
      <c r="X3" s="7660"/>
      <c r="Y3" s="7305" t="s">
        <v>660</v>
      </c>
      <c r="Z3" s="7305"/>
      <c r="AA3" s="7300" t="s">
        <v>657</v>
      </c>
      <c r="AB3" s="7300"/>
      <c r="AC3" s="7660" t="s">
        <v>2002</v>
      </c>
      <c r="AD3" s="7660"/>
      <c r="AE3" s="7656" t="s">
        <v>24</v>
      </c>
      <c r="AF3" s="7656"/>
      <c r="AG3" s="7660" t="s">
        <v>2018</v>
      </c>
      <c r="AH3" s="7660"/>
      <c r="AI3" s="7656" t="s">
        <v>27</v>
      </c>
      <c r="AJ3" s="7656"/>
      <c r="AK3" s="7660" t="s">
        <v>2033</v>
      </c>
      <c r="AL3" s="7660"/>
      <c r="AM3" s="7305" t="s">
        <v>662</v>
      </c>
      <c r="AN3" s="7305"/>
      <c r="AO3" s="7656" t="s">
        <v>1683</v>
      </c>
      <c r="AP3" s="7656"/>
      <c r="AQ3" s="7660" t="s">
        <v>2137</v>
      </c>
      <c r="AR3" s="7660"/>
      <c r="AS3" s="7656" t="s">
        <v>28</v>
      </c>
      <c r="AT3" s="7656"/>
      <c r="AU3" s="7660" t="s">
        <v>2151</v>
      </c>
      <c r="AV3" s="7660"/>
      <c r="AW3" s="7656" t="s">
        <v>30</v>
      </c>
      <c r="AX3" s="7656"/>
      <c r="AY3" s="7660" t="s">
        <v>2163</v>
      </c>
      <c r="AZ3" s="7660"/>
      <c r="BA3" s="7305" t="s">
        <v>663</v>
      </c>
      <c r="BB3" s="7305"/>
      <c r="BC3" s="7300" t="s">
        <v>671</v>
      </c>
      <c r="BD3" s="7300"/>
      <c r="BE3" s="7656" t="s">
        <v>1765</v>
      </c>
      <c r="BF3" s="7297"/>
    </row>
    <row r="4" spans="1:66" ht="15.75" thickBot="1" x14ac:dyDescent="0.3">
      <c r="B4" s="7694"/>
      <c r="C4" s="7696"/>
      <c r="D4" s="7698"/>
      <c r="E4" s="3944" t="s">
        <v>173</v>
      </c>
      <c r="F4" s="3944" t="s">
        <v>174</v>
      </c>
      <c r="G4" s="3944" t="s">
        <v>173</v>
      </c>
      <c r="H4" s="3944" t="s">
        <v>174</v>
      </c>
      <c r="I4" s="3812" t="s">
        <v>173</v>
      </c>
      <c r="J4" s="3812" t="s">
        <v>174</v>
      </c>
      <c r="K4" s="3814" t="s">
        <v>173</v>
      </c>
      <c r="L4" s="3944" t="s">
        <v>174</v>
      </c>
      <c r="M4" s="3957" t="s">
        <v>173</v>
      </c>
      <c r="N4" s="3957" t="s">
        <v>174</v>
      </c>
      <c r="O4" s="3814" t="s">
        <v>173</v>
      </c>
      <c r="P4" s="3944" t="s">
        <v>174</v>
      </c>
      <c r="Q4" s="3812" t="s">
        <v>173</v>
      </c>
      <c r="R4" s="3812" t="s">
        <v>174</v>
      </c>
      <c r="S4" s="3814" t="s">
        <v>173</v>
      </c>
      <c r="T4" s="3958" t="s">
        <v>174</v>
      </c>
      <c r="U4" s="3812" t="s">
        <v>173</v>
      </c>
      <c r="V4" s="3812" t="s">
        <v>174</v>
      </c>
      <c r="W4" s="3814" t="s">
        <v>173</v>
      </c>
      <c r="X4" s="3944" t="s">
        <v>174</v>
      </c>
      <c r="Y4" s="3957" t="s">
        <v>173</v>
      </c>
      <c r="Z4" s="3957" t="s">
        <v>174</v>
      </c>
      <c r="AA4" s="3959" t="s">
        <v>173</v>
      </c>
      <c r="AB4" s="3959" t="s">
        <v>174</v>
      </c>
      <c r="AC4" s="3814" t="s">
        <v>173</v>
      </c>
      <c r="AD4" s="3944" t="s">
        <v>174</v>
      </c>
      <c r="AE4" s="3812" t="s">
        <v>173</v>
      </c>
      <c r="AF4" s="3812" t="s">
        <v>174</v>
      </c>
      <c r="AG4" s="3814" t="s">
        <v>173</v>
      </c>
      <c r="AH4" s="3944" t="s">
        <v>174</v>
      </c>
      <c r="AI4" s="3812" t="s">
        <v>173</v>
      </c>
      <c r="AJ4" s="3812" t="s">
        <v>174</v>
      </c>
      <c r="AK4" s="3814" t="s">
        <v>173</v>
      </c>
      <c r="AL4" s="3944" t="s">
        <v>174</v>
      </c>
      <c r="AM4" s="3957" t="s">
        <v>173</v>
      </c>
      <c r="AN4" s="3957" t="s">
        <v>174</v>
      </c>
      <c r="AO4" s="3812" t="s">
        <v>173</v>
      </c>
      <c r="AP4" s="3812" t="s">
        <v>174</v>
      </c>
      <c r="AQ4" s="3814" t="s">
        <v>173</v>
      </c>
      <c r="AR4" s="3944" t="s">
        <v>174</v>
      </c>
      <c r="AS4" s="3812" t="s">
        <v>173</v>
      </c>
      <c r="AT4" s="3812" t="s">
        <v>174</v>
      </c>
      <c r="AU4" s="3814" t="s">
        <v>173</v>
      </c>
      <c r="AV4" s="3944" t="s">
        <v>174</v>
      </c>
      <c r="AW4" s="3812" t="s">
        <v>173</v>
      </c>
      <c r="AX4" s="3812" t="s">
        <v>174</v>
      </c>
      <c r="AY4" s="3814" t="s">
        <v>173</v>
      </c>
      <c r="AZ4" s="3944" t="s">
        <v>174</v>
      </c>
      <c r="BA4" s="3957" t="s">
        <v>173</v>
      </c>
      <c r="BB4" s="3957" t="s">
        <v>174</v>
      </c>
      <c r="BC4" s="3959" t="s">
        <v>173</v>
      </c>
      <c r="BD4" s="3959" t="s">
        <v>174</v>
      </c>
      <c r="BE4" s="3812" t="s">
        <v>173</v>
      </c>
      <c r="BF4" s="915" t="s">
        <v>174</v>
      </c>
    </row>
    <row r="5" spans="1:66" ht="15.75" thickBot="1" x14ac:dyDescent="0.3">
      <c r="A5" s="1277"/>
      <c r="B5" s="3960" t="s">
        <v>269</v>
      </c>
      <c r="C5" s="3961" t="s">
        <v>50</v>
      </c>
      <c r="D5" s="3962">
        <v>2770018.8857412655</v>
      </c>
      <c r="E5" s="3963">
        <f>+'Maj Production Summ'!E18</f>
        <v>237110.48158640199</v>
      </c>
      <c r="F5" s="3963">
        <f>+'Maj Production Summ'!F18</f>
        <v>207020</v>
      </c>
      <c r="G5" s="3963">
        <f>+'Maj Production Summ'!G18</f>
        <v>244664.77809253999</v>
      </c>
      <c r="H5" s="3963">
        <f>+'Maj Production Summ'!H18</f>
        <v>236638</v>
      </c>
      <c r="I5" s="3963">
        <f>+'Maj Production Summ'!I18</f>
        <v>481775.25967894198</v>
      </c>
      <c r="J5" s="3963">
        <f>+'Maj Production Summ'!J18</f>
        <v>443658</v>
      </c>
      <c r="K5" s="3963">
        <f>+'Maj Production Summ'!K18</f>
        <v>139811.32075471699</v>
      </c>
      <c r="L5" s="3963">
        <f>+'Maj Production Summ'!L18</f>
        <v>144189</v>
      </c>
      <c r="M5" s="3963">
        <f>+'Maj Production Summ'!M18</f>
        <v>621586.58043365902</v>
      </c>
      <c r="N5" s="3963">
        <f>+'Maj Production Summ'!N18</f>
        <v>587847</v>
      </c>
      <c r="O5" s="3963">
        <f>+'Maj Production Summ'!O18</f>
        <v>63679.245283018899</v>
      </c>
      <c r="P5" s="3963">
        <f>+'Maj Production Summ'!P18</f>
        <v>234513</v>
      </c>
      <c r="Q5" s="3963">
        <f>+'Maj Production Summ'!Q18</f>
        <v>685265.82571667794</v>
      </c>
      <c r="R5" s="3963">
        <f>+'Maj Production Summ'!R18</f>
        <v>822360</v>
      </c>
      <c r="S5" s="3963">
        <f>+'Maj Production Summ'!S18</f>
        <v>226056.603773585</v>
      </c>
      <c r="T5" s="3963">
        <f>+'Maj Production Summ'!T18</f>
        <v>231517</v>
      </c>
      <c r="U5" s="3963">
        <f>+'Maj Production Summ'!U18</f>
        <v>911322.42949026288</v>
      </c>
      <c r="V5" s="3963">
        <f>+'Maj Production Summ'!V18</f>
        <v>1053877</v>
      </c>
      <c r="W5" s="3963">
        <f>+'Maj Production Summ'!W18</f>
        <v>218509.43396226401</v>
      </c>
      <c r="X5" s="3963">
        <f>+'Maj Production Summ'!X18</f>
        <v>231269</v>
      </c>
      <c r="Y5" s="3963">
        <f>+'Maj Production Summ'!Y18</f>
        <v>508245.28301886795</v>
      </c>
      <c r="Z5" s="3963">
        <f>+'Maj Production Summ'!Z18</f>
        <v>697299</v>
      </c>
      <c r="AA5" s="3963">
        <f>+'Maj Production Summ'!AA18</f>
        <v>1129831.863452527</v>
      </c>
      <c r="AB5" s="3963">
        <f>+'Maj Production Summ'!AB18</f>
        <v>1285146</v>
      </c>
      <c r="AC5" s="3963">
        <f>+'Maj Production Summ'!AC18</f>
        <v>235490.56603773599</v>
      </c>
      <c r="AD5" s="3963">
        <f>+'Maj Production Summ'!AD18</f>
        <v>222138</v>
      </c>
      <c r="AE5" s="3963">
        <f>+'Maj Production Summ'!AE18</f>
        <v>1365322.4294902629</v>
      </c>
      <c r="AF5" s="3963">
        <f>+'Maj Production Summ'!AF18</f>
        <v>1507284</v>
      </c>
      <c r="AG5" s="3963">
        <f>+'Maj Production Summ'!AG18</f>
        <v>227943.396226415</v>
      </c>
      <c r="AH5" s="3963">
        <f>+'Maj Production Summ'!AH18</f>
        <v>7935</v>
      </c>
      <c r="AI5" s="3963">
        <f>+'Maj Production Summ'!AI18</f>
        <v>1593265.8257166778</v>
      </c>
      <c r="AJ5" s="3963">
        <f>+'Maj Production Summ'!AJ18</f>
        <v>1515219</v>
      </c>
      <c r="AK5" s="3963">
        <f>+'Maj Production Summ'!AK18</f>
        <v>235490.56603773599</v>
      </c>
      <c r="AL5" s="3963">
        <f>+'Maj Production Summ'!AL18</f>
        <v>234930</v>
      </c>
      <c r="AM5" s="3963">
        <f>+'Maj Production Summ'!AM18</f>
        <v>698924.52830188698</v>
      </c>
      <c r="AN5" s="3963">
        <f>+'Maj Production Summ'!AN18</f>
        <v>465003</v>
      </c>
      <c r="AO5" s="3963">
        <f>+'Maj Production Summ'!AO18</f>
        <v>1828756.3917544137</v>
      </c>
      <c r="AP5" s="3963">
        <f>+'Maj Production Summ'!AP18</f>
        <v>1750149</v>
      </c>
      <c r="AQ5" s="3963">
        <f>+'Maj Production Summ'!AQ18</f>
        <v>235490.56603773599</v>
      </c>
      <c r="AR5" s="3963">
        <f>+'Maj Production Summ'!AR18</f>
        <v>246040</v>
      </c>
      <c r="AS5" s="3963">
        <f>+'Maj Production Summ'!AS18</f>
        <v>2064246.9577921496</v>
      </c>
      <c r="AT5" s="3963">
        <f>+'Maj Production Summ'!AT18</f>
        <v>1996189</v>
      </c>
      <c r="AU5" s="3963">
        <f>+'Maj Production Summ'!AU18</f>
        <v>211905.660377358</v>
      </c>
      <c r="AV5" s="3963">
        <f>+'Maj Production Summ'!AV18</f>
        <v>222895</v>
      </c>
      <c r="AW5" s="3963">
        <f>+'Maj Production Summ'!AW18</f>
        <v>2276152.6181695075</v>
      </c>
      <c r="AX5" s="3963">
        <f>+'Maj Production Summ'!AX18</f>
        <v>2219084</v>
      </c>
      <c r="AY5" s="3963">
        <f>+'Maj Production Summ'!AY18</f>
        <v>235490.56603773599</v>
      </c>
      <c r="AZ5" s="3963">
        <f>+'Maj Production Summ'!AZ18</f>
        <v>243552</v>
      </c>
      <c r="BA5" s="3963">
        <f>+'Maj Production Summ'!BA18</f>
        <v>682886.79245283001</v>
      </c>
      <c r="BB5" s="3963">
        <f>+'Maj Production Summ'!BB18</f>
        <v>712487</v>
      </c>
      <c r="BC5" s="3963">
        <f>+'Maj Production Summ'!BC18</f>
        <v>1381811.3207547171</v>
      </c>
      <c r="BD5" s="3963">
        <f>+'Maj Production Summ'!BD18</f>
        <v>1177490</v>
      </c>
      <c r="BE5" s="3963">
        <f>+'Maj Production Summ'!BE18</f>
        <v>2511643.1842072434</v>
      </c>
      <c r="BF5" s="3964">
        <f>+'Maj Production Summ'!BF18</f>
        <v>2462636</v>
      </c>
      <c r="BG5" s="3948"/>
      <c r="BH5" s="3948"/>
      <c r="BI5" s="4364"/>
      <c r="BJ5" s="4364"/>
      <c r="BK5" s="3948"/>
      <c r="BL5" s="3948"/>
      <c r="BM5" s="4364"/>
      <c r="BN5" s="4364"/>
    </row>
    <row r="6" spans="1:66" ht="15" x14ac:dyDescent="0.25">
      <c r="A6" s="1277"/>
      <c r="B6" s="3965" t="s">
        <v>497</v>
      </c>
      <c r="C6" s="892"/>
      <c r="D6" s="891"/>
      <c r="E6" s="3966"/>
      <c r="F6" s="3966"/>
      <c r="G6" s="3966"/>
      <c r="H6" s="3966"/>
      <c r="I6" s="3966"/>
      <c r="J6" s="3966"/>
      <c r="K6" s="3966"/>
      <c r="L6" s="3966"/>
      <c r="M6" s="3966"/>
      <c r="N6" s="3966"/>
      <c r="O6" s="3966"/>
      <c r="P6" s="3966"/>
      <c r="Q6" s="3966"/>
      <c r="R6" s="3966"/>
      <c r="S6" s="3966"/>
      <c r="T6" s="3966"/>
      <c r="U6" s="3966"/>
      <c r="V6" s="3966"/>
      <c r="W6" s="3966"/>
      <c r="X6" s="3966"/>
      <c r="Y6" s="3966"/>
      <c r="Z6" s="3966"/>
      <c r="AA6" s="3966"/>
      <c r="AB6" s="3966"/>
      <c r="AC6" s="3966"/>
      <c r="AD6" s="3966"/>
      <c r="AE6" s="3966"/>
      <c r="AF6" s="3966"/>
      <c r="AG6" s="3966"/>
      <c r="AH6" s="3966"/>
      <c r="AI6" s="3966"/>
      <c r="AJ6" s="3966"/>
      <c r="AK6" s="3966"/>
      <c r="AL6" s="3966"/>
      <c r="AM6" s="3966"/>
      <c r="AN6" s="3966"/>
      <c r="AO6" s="3966"/>
      <c r="AP6" s="3966"/>
      <c r="AQ6" s="3966"/>
      <c r="AR6" s="3966"/>
      <c r="AS6" s="3966"/>
      <c r="AT6" s="3966"/>
      <c r="AU6" s="3966"/>
      <c r="AV6" s="3966"/>
      <c r="AW6" s="3966"/>
      <c r="AX6" s="3966"/>
      <c r="AY6" s="3966"/>
      <c r="AZ6" s="3966"/>
      <c r="BA6" s="3966"/>
      <c r="BB6" s="3966"/>
      <c r="BC6" s="3966"/>
      <c r="BD6" s="3966"/>
      <c r="BE6" s="3966"/>
      <c r="BF6" s="2918"/>
      <c r="BG6" s="3948"/>
      <c r="BH6" s="3948"/>
      <c r="BI6" s="4364"/>
      <c r="BJ6" s="4364"/>
      <c r="BK6" s="3948"/>
      <c r="BL6" s="3948"/>
      <c r="BM6" s="4364"/>
      <c r="BN6" s="4364"/>
    </row>
    <row r="7" spans="1:66" ht="15" x14ac:dyDescent="0.25">
      <c r="A7" s="7701" t="s">
        <v>470</v>
      </c>
      <c r="B7" s="8" t="s">
        <v>264</v>
      </c>
      <c r="C7" s="3479" t="s">
        <v>175</v>
      </c>
      <c r="D7" s="7699">
        <f>+(D5/D52)</f>
        <v>18466.792571608436</v>
      </c>
      <c r="E7" s="7668">
        <f>+(E5/E52)</f>
        <v>1580.7365439093467</v>
      </c>
      <c r="F7" s="3538">
        <v>552</v>
      </c>
      <c r="G7" s="7668">
        <f>+(G5/G52)</f>
        <v>1631.0985206169332</v>
      </c>
      <c r="H7" s="3538">
        <v>584</v>
      </c>
      <c r="I7" s="7664">
        <f>+(I5/I52)</f>
        <v>3211.8350645262799</v>
      </c>
      <c r="J7" s="3558">
        <f>+F7+H7</f>
        <v>1136</v>
      </c>
      <c r="K7" s="7668">
        <f>+(K5/K52)</f>
        <v>932.07547169811323</v>
      </c>
      <c r="L7" s="3538">
        <v>388</v>
      </c>
      <c r="M7" s="7674">
        <f>+(M5/M52)</f>
        <v>4143.9105362243936</v>
      </c>
      <c r="N7" s="3967">
        <f>+L7+H7+F7</f>
        <v>1524</v>
      </c>
      <c r="O7" s="7668">
        <f>+(O5/O52)</f>
        <v>424.52830188679269</v>
      </c>
      <c r="P7" s="3538">
        <v>577</v>
      </c>
      <c r="Q7" s="7664">
        <f>+(Q5/Q52)</f>
        <v>4568.4388381111867</v>
      </c>
      <c r="R7" s="3558">
        <f>+N7+P7</f>
        <v>2101</v>
      </c>
      <c r="S7" s="7668">
        <f>+(S5/S52)</f>
        <v>1507.0440251572334</v>
      </c>
      <c r="T7" s="3538">
        <v>524</v>
      </c>
      <c r="U7" s="7664">
        <f>+(U5/U52)</f>
        <v>6075.4828632684194</v>
      </c>
      <c r="V7" s="3558">
        <f>+R7+T7</f>
        <v>2625</v>
      </c>
      <c r="W7" s="7668">
        <f>+(W5/W52)</f>
        <v>1456.7295597484267</v>
      </c>
      <c r="X7" s="3538">
        <v>551</v>
      </c>
      <c r="Y7" s="7674">
        <f>+(Y5/Y52)</f>
        <v>3388.3018867924525</v>
      </c>
      <c r="Z7" s="3967">
        <f>+P7+T7+X7</f>
        <v>1652</v>
      </c>
      <c r="AA7" s="7671">
        <f>+(AA5/AA52)</f>
        <v>7532.2124230168465</v>
      </c>
      <c r="AB7" s="3968">
        <f>+Z7+N7</f>
        <v>3176</v>
      </c>
      <c r="AC7" s="7668">
        <f>+(AC5/AC52)</f>
        <v>1569.93710691824</v>
      </c>
      <c r="AD7" s="3538">
        <v>519</v>
      </c>
      <c r="AE7" s="7664">
        <f>+(AE5/AE52)</f>
        <v>9102.1495299350863</v>
      </c>
      <c r="AF7" s="3558">
        <f>+AB7+AD7</f>
        <v>3695</v>
      </c>
      <c r="AG7" s="7668">
        <f>+(AG5/AG52)</f>
        <v>1519.6226415094334</v>
      </c>
      <c r="AH7" s="3538">
        <v>19</v>
      </c>
      <c r="AI7" s="7664">
        <f>+(AI5/AI52)</f>
        <v>10621.77217144452</v>
      </c>
      <c r="AJ7" s="5540">
        <f>+AF7+AH7</f>
        <v>3714</v>
      </c>
      <c r="AK7" s="7668">
        <f>+(AK5/AK52)</f>
        <v>1569.93710691824</v>
      </c>
      <c r="AL7" s="3538">
        <v>528</v>
      </c>
      <c r="AM7" s="7674">
        <f>+(AM5/AM52)</f>
        <v>4659.4968553459121</v>
      </c>
      <c r="AN7" s="3967">
        <f>+AD7+AH7+AL7</f>
        <v>1066</v>
      </c>
      <c r="AO7" s="7664">
        <f>+(AO5/AO52)</f>
        <v>12191.709278362758</v>
      </c>
      <c r="AP7" s="3558">
        <f>+AL7+AJ7</f>
        <v>4242</v>
      </c>
      <c r="AQ7" s="7668">
        <f>+(AQ5/AQ52)</f>
        <v>1569.93710691824</v>
      </c>
      <c r="AR7" s="3538">
        <v>539</v>
      </c>
      <c r="AS7" s="7664">
        <f>+(AS5/AS52)</f>
        <v>13761.646385280997</v>
      </c>
      <c r="AT7" s="3558">
        <f>+AP7+AR7</f>
        <v>4781</v>
      </c>
      <c r="AU7" s="7668">
        <f>+(AU5/AU52)</f>
        <v>1412.7044025157199</v>
      </c>
      <c r="AV7" s="3538">
        <v>519</v>
      </c>
      <c r="AW7" s="7664">
        <f>+(AW5/AW52)</f>
        <v>15174.350787796717</v>
      </c>
      <c r="AX7" s="6250">
        <f>+AT7+AV7</f>
        <v>5300</v>
      </c>
      <c r="AY7" s="7668">
        <f>+(AY5/AY52)</f>
        <v>1569.93710691824</v>
      </c>
      <c r="AZ7" s="3538">
        <v>708</v>
      </c>
      <c r="BA7" s="7674">
        <f>+(BA5/BA52)</f>
        <v>4552.5786163521998</v>
      </c>
      <c r="BB7" s="3967">
        <f>+AR7+AV7+AZ7</f>
        <v>1766</v>
      </c>
      <c r="BC7" s="7671">
        <f>+(BC5/BC52)</f>
        <v>9212.0754716981137</v>
      </c>
      <c r="BD7" s="3968">
        <f>+BB7+AN7</f>
        <v>2832</v>
      </c>
      <c r="BE7" s="7664">
        <f>+(BE5/BE52)</f>
        <v>16744.287894714951</v>
      </c>
      <c r="BF7" s="3769">
        <f>+AX7+AZ7</f>
        <v>6008</v>
      </c>
      <c r="BG7" s="3948"/>
      <c r="BH7" s="3948"/>
      <c r="BI7" s="4364"/>
      <c r="BJ7" s="4364"/>
      <c r="BK7" s="3948"/>
      <c r="BL7" s="3948"/>
      <c r="BM7" s="4364"/>
      <c r="BN7" s="4364"/>
    </row>
    <row r="8" spans="1:66" ht="15" x14ac:dyDescent="0.25">
      <c r="A8" s="7701"/>
      <c r="B8" s="8" t="s">
        <v>265</v>
      </c>
      <c r="C8" s="3479" t="s">
        <v>175</v>
      </c>
      <c r="D8" s="7699"/>
      <c r="E8" s="7668"/>
      <c r="F8" s="3538">
        <v>207</v>
      </c>
      <c r="G8" s="7668"/>
      <c r="H8" s="3538">
        <v>413</v>
      </c>
      <c r="I8" s="7664"/>
      <c r="J8" s="3558">
        <f>+F8+H8</f>
        <v>620</v>
      </c>
      <c r="K8" s="7668"/>
      <c r="L8" s="3538">
        <v>298</v>
      </c>
      <c r="M8" s="7674"/>
      <c r="N8" s="3967">
        <f>+L8+H8+F8</f>
        <v>918</v>
      </c>
      <c r="O8" s="7668"/>
      <c r="P8" s="3538">
        <v>492</v>
      </c>
      <c r="Q8" s="7664"/>
      <c r="R8" s="3558">
        <f>+N8+P8</f>
        <v>1410</v>
      </c>
      <c r="S8" s="7668"/>
      <c r="T8" s="3538">
        <v>531</v>
      </c>
      <c r="U8" s="7664"/>
      <c r="V8" s="3558">
        <f>+R8+T8</f>
        <v>1941</v>
      </c>
      <c r="W8" s="7668"/>
      <c r="X8" s="3538">
        <v>525</v>
      </c>
      <c r="Y8" s="7674"/>
      <c r="Z8" s="3967">
        <f>+P8+T8+X8</f>
        <v>1548</v>
      </c>
      <c r="AA8" s="7671"/>
      <c r="AB8" s="3968">
        <f>+Z8+N8</f>
        <v>2466</v>
      </c>
      <c r="AC8" s="7668"/>
      <c r="AD8" s="3538">
        <v>529</v>
      </c>
      <c r="AE8" s="7664"/>
      <c r="AF8" s="3558">
        <f>+AB8+AD8</f>
        <v>2995</v>
      </c>
      <c r="AG8" s="7668"/>
      <c r="AH8" s="3538">
        <v>22</v>
      </c>
      <c r="AI8" s="7664"/>
      <c r="AJ8" s="5540">
        <f>+AF8+AH8</f>
        <v>3017</v>
      </c>
      <c r="AK8" s="7668"/>
      <c r="AL8" s="3538">
        <v>512</v>
      </c>
      <c r="AM8" s="7674"/>
      <c r="AN8" s="3967">
        <f>+AD8+AH8+AL8</f>
        <v>1063</v>
      </c>
      <c r="AO8" s="7664"/>
      <c r="AP8" s="3558">
        <f t="shared" ref="AP8:AP14" si="0">+AL8+AJ8</f>
        <v>3529</v>
      </c>
      <c r="AQ8" s="7668"/>
      <c r="AR8" s="3538">
        <v>526</v>
      </c>
      <c r="AS8" s="7664"/>
      <c r="AT8" s="3558">
        <f>+AP8+AR8</f>
        <v>4055</v>
      </c>
      <c r="AU8" s="7668"/>
      <c r="AV8" s="3538">
        <v>449</v>
      </c>
      <c r="AW8" s="7664"/>
      <c r="AX8" s="6250">
        <f>+AT8+AV8</f>
        <v>4504</v>
      </c>
      <c r="AY8" s="7668"/>
      <c r="AZ8" s="3538">
        <v>167</v>
      </c>
      <c r="BA8" s="7674"/>
      <c r="BB8" s="3967">
        <f>+AR8+AV8+AZ8</f>
        <v>1142</v>
      </c>
      <c r="BC8" s="7671"/>
      <c r="BD8" s="3968">
        <f t="shared" ref="BD8:BD9" si="1">+BB8+AN8</f>
        <v>2205</v>
      </c>
      <c r="BE8" s="7664"/>
      <c r="BF8" s="3769">
        <f>+AX8+AZ8</f>
        <v>4671</v>
      </c>
      <c r="BG8" s="3948"/>
      <c r="BH8" s="3948"/>
      <c r="BI8" s="4364"/>
      <c r="BJ8" s="4364"/>
      <c r="BK8" s="3948"/>
      <c r="BL8" s="3948"/>
      <c r="BM8" s="4364"/>
      <c r="BN8" s="4364"/>
    </row>
    <row r="9" spans="1:66" ht="15.75" thickBot="1" x14ac:dyDescent="0.3">
      <c r="A9" s="7701"/>
      <c r="B9" s="3748" t="s">
        <v>266</v>
      </c>
      <c r="C9" s="162" t="s">
        <v>175</v>
      </c>
      <c r="D9" s="7699"/>
      <c r="E9" s="7668"/>
      <c r="F9" s="3538">
        <v>574</v>
      </c>
      <c r="G9" s="7668"/>
      <c r="H9" s="3538">
        <v>519</v>
      </c>
      <c r="I9" s="7664"/>
      <c r="J9" s="3558">
        <f>+F9+H9</f>
        <v>1093</v>
      </c>
      <c r="K9" s="7668"/>
      <c r="L9" s="3538">
        <v>271</v>
      </c>
      <c r="M9" s="7674"/>
      <c r="N9" s="3967">
        <f>+L9+H9+F9</f>
        <v>1364</v>
      </c>
      <c r="O9" s="7668"/>
      <c r="P9" s="3538">
        <v>481</v>
      </c>
      <c r="Q9" s="7664"/>
      <c r="R9" s="3558">
        <f>+N9+P9</f>
        <v>1845</v>
      </c>
      <c r="S9" s="7668"/>
      <c r="T9" s="3538">
        <v>471</v>
      </c>
      <c r="U9" s="7664"/>
      <c r="V9" s="3558">
        <f>+R9+T9</f>
        <v>2316</v>
      </c>
      <c r="W9" s="7668"/>
      <c r="X9" s="3538">
        <v>439</v>
      </c>
      <c r="Y9" s="7674"/>
      <c r="Z9" s="3967">
        <f t="shared" ref="Z9:Z14" si="2">+P9+T9+X9</f>
        <v>1391</v>
      </c>
      <c r="AA9" s="7671"/>
      <c r="AB9" s="3968">
        <f>+Z9+N9</f>
        <v>2755</v>
      </c>
      <c r="AC9" s="7668"/>
      <c r="AD9" s="3538">
        <v>407</v>
      </c>
      <c r="AE9" s="7664"/>
      <c r="AF9" s="3558">
        <f>+AB9+AD9</f>
        <v>3162</v>
      </c>
      <c r="AG9" s="7668"/>
      <c r="AH9" s="3538">
        <v>7</v>
      </c>
      <c r="AI9" s="7664"/>
      <c r="AJ9" s="5540">
        <f>+AF9+AH9</f>
        <v>3169</v>
      </c>
      <c r="AK9" s="7668"/>
      <c r="AL9" s="3538">
        <v>498</v>
      </c>
      <c r="AM9" s="7674"/>
      <c r="AN9" s="3967">
        <f t="shared" ref="AN9" si="3">+AD9+AH9+AL9</f>
        <v>912</v>
      </c>
      <c r="AO9" s="7664"/>
      <c r="AP9" s="3558">
        <f t="shared" si="0"/>
        <v>3667</v>
      </c>
      <c r="AQ9" s="7668"/>
      <c r="AR9" s="3538">
        <v>534</v>
      </c>
      <c r="AS9" s="7664"/>
      <c r="AT9" s="3558">
        <f>+AP9+AR9</f>
        <v>4201</v>
      </c>
      <c r="AU9" s="7668"/>
      <c r="AV9" s="3538">
        <v>483</v>
      </c>
      <c r="AW9" s="7664"/>
      <c r="AX9" s="6250">
        <f>+AT9+AV9</f>
        <v>4684</v>
      </c>
      <c r="AY9" s="7668"/>
      <c r="AZ9" s="3538">
        <v>700</v>
      </c>
      <c r="BA9" s="7674"/>
      <c r="BB9" s="3967">
        <f t="shared" ref="BB9" si="4">+AR9+AV9+AZ9</f>
        <v>1717</v>
      </c>
      <c r="BC9" s="7671"/>
      <c r="BD9" s="3968">
        <f t="shared" si="1"/>
        <v>2629</v>
      </c>
      <c r="BE9" s="7664"/>
      <c r="BF9" s="3769">
        <f>+AX9+AZ9</f>
        <v>5384</v>
      </c>
      <c r="BG9" s="3948"/>
      <c r="BH9" s="3948"/>
      <c r="BI9" s="4364"/>
      <c r="BJ9" s="4364"/>
      <c r="BK9" s="3948"/>
      <c r="BL9" s="3948"/>
      <c r="BM9" s="4364"/>
      <c r="BN9" s="4364"/>
    </row>
    <row r="10" spans="1:66" ht="15.75" thickBot="1" x14ac:dyDescent="0.3">
      <c r="A10" s="7701"/>
      <c r="B10" s="3969" t="s">
        <v>267</v>
      </c>
      <c r="C10" s="3970" t="s">
        <v>175</v>
      </c>
      <c r="D10" s="7700"/>
      <c r="E10" s="7669"/>
      <c r="F10" s="3971">
        <f>SUM(F7:F9)</f>
        <v>1333</v>
      </c>
      <c r="G10" s="7669"/>
      <c r="H10" s="3971">
        <f>SUM(H7:H9)</f>
        <v>1516</v>
      </c>
      <c r="I10" s="7665"/>
      <c r="J10" s="3972">
        <f>SUM(J7:J9)</f>
        <v>2849</v>
      </c>
      <c r="K10" s="7669"/>
      <c r="L10" s="3971">
        <f>SUM(L7:L9)</f>
        <v>957</v>
      </c>
      <c r="M10" s="7675"/>
      <c r="N10" s="3973">
        <f>SUM(N7:N9)</f>
        <v>3806</v>
      </c>
      <c r="O10" s="7669"/>
      <c r="P10" s="3971">
        <f>SUM(P7:P9)</f>
        <v>1550</v>
      </c>
      <c r="Q10" s="7665"/>
      <c r="R10" s="3972">
        <f>SUM(R7:R9)</f>
        <v>5356</v>
      </c>
      <c r="S10" s="7669"/>
      <c r="T10" s="3971">
        <f>SUM(T7:T9)</f>
        <v>1526</v>
      </c>
      <c r="U10" s="7665"/>
      <c r="V10" s="3972">
        <f>SUM(V7:V9)</f>
        <v>6882</v>
      </c>
      <c r="W10" s="7669"/>
      <c r="X10" s="3971">
        <f>SUM(X7:X9)</f>
        <v>1515</v>
      </c>
      <c r="Y10" s="7675"/>
      <c r="Z10" s="3973">
        <f>SUM(Z7:Z9)</f>
        <v>4591</v>
      </c>
      <c r="AA10" s="7672"/>
      <c r="AB10" s="3974">
        <f>SUM(AB7:AB9)</f>
        <v>8397</v>
      </c>
      <c r="AC10" s="7669"/>
      <c r="AD10" s="3971">
        <f>SUM(AD7:AD9)</f>
        <v>1455</v>
      </c>
      <c r="AE10" s="7665"/>
      <c r="AF10" s="3972">
        <f>SUM(AF7:AF9)</f>
        <v>9852</v>
      </c>
      <c r="AG10" s="7669"/>
      <c r="AH10" s="3971">
        <f>SUM(AH7:AH9)</f>
        <v>48</v>
      </c>
      <c r="AI10" s="7665"/>
      <c r="AJ10" s="3972">
        <f>SUM(AJ7:AJ9)</f>
        <v>9900</v>
      </c>
      <c r="AK10" s="7669"/>
      <c r="AL10" s="3971">
        <f>SUM(AL7:AL9)</f>
        <v>1538</v>
      </c>
      <c r="AM10" s="7675"/>
      <c r="AN10" s="3973">
        <f>SUM(AN7:AN9)</f>
        <v>3041</v>
      </c>
      <c r="AO10" s="7665"/>
      <c r="AP10" s="3972">
        <f>SUM(AP7:AP9)</f>
        <v>11438</v>
      </c>
      <c r="AQ10" s="7669"/>
      <c r="AR10" s="3971">
        <f>SUM(AR7:AR9)</f>
        <v>1599</v>
      </c>
      <c r="AS10" s="7665"/>
      <c r="AT10" s="3972">
        <f>SUM(AT7:AT9)</f>
        <v>13037</v>
      </c>
      <c r="AU10" s="7669"/>
      <c r="AV10" s="3971">
        <f>SUM(AV7:AV9)</f>
        <v>1451</v>
      </c>
      <c r="AW10" s="7665"/>
      <c r="AX10" s="3972">
        <f>SUM(AX7:AX9)</f>
        <v>14488</v>
      </c>
      <c r="AY10" s="7669"/>
      <c r="AZ10" s="3971">
        <f>SUM(AZ7:AZ9)</f>
        <v>1575</v>
      </c>
      <c r="BA10" s="7675"/>
      <c r="BB10" s="3973">
        <f>SUM(BB7:BB9)</f>
        <v>4625</v>
      </c>
      <c r="BC10" s="7672"/>
      <c r="BD10" s="3974">
        <f>SUM(BD7:BD9)</f>
        <v>7666</v>
      </c>
      <c r="BE10" s="7665"/>
      <c r="BF10" s="6602">
        <f>SUM(BF7:BF9)</f>
        <v>16063</v>
      </c>
      <c r="BG10" s="3948"/>
      <c r="BH10" s="3948"/>
      <c r="BI10" s="4364"/>
      <c r="BJ10" s="4364"/>
      <c r="BK10" s="3948"/>
      <c r="BL10" s="3948"/>
      <c r="BM10" s="4364"/>
      <c r="BN10" s="4364"/>
    </row>
    <row r="11" spans="1:66" ht="15" x14ac:dyDescent="0.25">
      <c r="B11" s="3975" t="s">
        <v>613</v>
      </c>
      <c r="C11" s="759" t="s">
        <v>175</v>
      </c>
      <c r="D11" s="3976" t="s">
        <v>32</v>
      </c>
      <c r="E11" s="2215" t="s">
        <v>32</v>
      </c>
      <c r="F11" s="204">
        <v>9</v>
      </c>
      <c r="G11" s="2215" t="s">
        <v>32</v>
      </c>
      <c r="H11" s="204">
        <v>2</v>
      </c>
      <c r="I11" s="3977" t="s">
        <v>32</v>
      </c>
      <c r="J11" s="3978">
        <f t="shared" ref="J11:J20" si="5">+F11+H11</f>
        <v>11</v>
      </c>
      <c r="K11" s="2215" t="s">
        <v>32</v>
      </c>
      <c r="L11" s="204">
        <v>4</v>
      </c>
      <c r="M11" s="3979" t="s">
        <v>32</v>
      </c>
      <c r="N11" s="3980">
        <f t="shared" ref="N11:N20" si="6">+L11+H11+F11</f>
        <v>15</v>
      </c>
      <c r="O11" s="2215" t="s">
        <v>32</v>
      </c>
      <c r="P11" s="204">
        <v>6</v>
      </c>
      <c r="Q11" s="3977" t="s">
        <v>32</v>
      </c>
      <c r="R11" s="3978">
        <f t="shared" ref="R11:R20" si="7">+N11+P11</f>
        <v>21</v>
      </c>
      <c r="S11" s="2215" t="s">
        <v>32</v>
      </c>
      <c r="T11" s="204">
        <v>7</v>
      </c>
      <c r="U11" s="3977" t="s">
        <v>32</v>
      </c>
      <c r="V11" s="3978">
        <f t="shared" ref="V11:V20" si="8">+R11+T11</f>
        <v>28</v>
      </c>
      <c r="W11" s="2215" t="s">
        <v>32</v>
      </c>
      <c r="X11" s="204">
        <v>6</v>
      </c>
      <c r="Y11" s="3979" t="s">
        <v>32</v>
      </c>
      <c r="Z11" s="3980">
        <f t="shared" si="2"/>
        <v>19</v>
      </c>
      <c r="AA11" s="3981" t="s">
        <v>32</v>
      </c>
      <c r="AB11" s="3982">
        <f>+Z11+N11</f>
        <v>34</v>
      </c>
      <c r="AC11" s="2215" t="s">
        <v>32</v>
      </c>
      <c r="AD11" s="204">
        <v>4</v>
      </c>
      <c r="AE11" s="3977" t="s">
        <v>32</v>
      </c>
      <c r="AF11" s="3978">
        <f t="shared" ref="AF11:AF20" si="9">+AB11+AD11</f>
        <v>38</v>
      </c>
      <c r="AG11" s="2215" t="s">
        <v>32</v>
      </c>
      <c r="AH11" s="204">
        <v>0</v>
      </c>
      <c r="AI11" s="3977" t="s">
        <v>32</v>
      </c>
      <c r="AJ11" s="3978">
        <f t="shared" ref="AJ11:AJ20" si="10">+AF11+AH11</f>
        <v>38</v>
      </c>
      <c r="AK11" s="2215" t="s">
        <v>32</v>
      </c>
      <c r="AL11" s="204">
        <v>3</v>
      </c>
      <c r="AM11" s="3979" t="s">
        <v>32</v>
      </c>
      <c r="AN11" s="3980">
        <f t="shared" ref="AN11:AN14" si="11">+AD11+AH11+AL11</f>
        <v>7</v>
      </c>
      <c r="AO11" s="3977" t="s">
        <v>32</v>
      </c>
      <c r="AP11" s="3978">
        <f t="shared" si="0"/>
        <v>41</v>
      </c>
      <c r="AQ11" s="2215" t="s">
        <v>32</v>
      </c>
      <c r="AR11" s="204">
        <v>4</v>
      </c>
      <c r="AS11" s="3977" t="s">
        <v>32</v>
      </c>
      <c r="AT11" s="3978">
        <f t="shared" ref="AT11:AT20" si="12">+AP11+AR11</f>
        <v>45</v>
      </c>
      <c r="AU11" s="2215" t="s">
        <v>32</v>
      </c>
      <c r="AV11" s="204">
        <v>5</v>
      </c>
      <c r="AW11" s="3977" t="s">
        <v>32</v>
      </c>
      <c r="AX11" s="3978">
        <f t="shared" ref="AX11:AX20" si="13">+AT11+AV11</f>
        <v>50</v>
      </c>
      <c r="AY11" s="2215" t="s">
        <v>32</v>
      </c>
      <c r="AZ11" s="204">
        <v>2</v>
      </c>
      <c r="BA11" s="3979" t="s">
        <v>32</v>
      </c>
      <c r="BB11" s="3980">
        <f t="shared" ref="BB11:BB14" si="14">+AR11+AV11+AZ11</f>
        <v>11</v>
      </c>
      <c r="BC11" s="3981" t="s">
        <v>32</v>
      </c>
      <c r="BD11" s="3982">
        <f t="shared" ref="BD11:BD13" si="15">+BB11+AN11</f>
        <v>18</v>
      </c>
      <c r="BE11" s="3977" t="s">
        <v>32</v>
      </c>
      <c r="BF11" s="3723">
        <f t="shared" ref="BF11:BF20" si="16">+AX11+AZ11</f>
        <v>52</v>
      </c>
      <c r="BG11" s="3948"/>
      <c r="BH11" s="3948"/>
      <c r="BI11" s="4364"/>
      <c r="BJ11" s="4364"/>
      <c r="BK11" s="3948"/>
      <c r="BL11" s="3948"/>
      <c r="BM11" s="4364"/>
      <c r="BN11" s="4364"/>
    </row>
    <row r="12" spans="1:66" ht="15" x14ac:dyDescent="0.25">
      <c r="B12" s="1995" t="s">
        <v>96</v>
      </c>
      <c r="C12" s="3479" t="s">
        <v>175</v>
      </c>
      <c r="D12" s="2093" t="s">
        <v>32</v>
      </c>
      <c r="E12" s="3142" t="s">
        <v>32</v>
      </c>
      <c r="F12" s="3538">
        <v>2</v>
      </c>
      <c r="G12" s="7187" t="s">
        <v>32</v>
      </c>
      <c r="H12" s="3538">
        <v>6</v>
      </c>
      <c r="I12" s="3558" t="s">
        <v>32</v>
      </c>
      <c r="J12" s="3558">
        <f t="shared" si="5"/>
        <v>8</v>
      </c>
      <c r="K12" s="4604" t="s">
        <v>32</v>
      </c>
      <c r="L12" s="3538">
        <v>2</v>
      </c>
      <c r="M12" s="3967" t="s">
        <v>32</v>
      </c>
      <c r="N12" s="3967">
        <f t="shared" si="6"/>
        <v>10</v>
      </c>
      <c r="O12" s="4797" t="s">
        <v>32</v>
      </c>
      <c r="P12" s="3538">
        <v>8</v>
      </c>
      <c r="Q12" s="3558" t="s">
        <v>32</v>
      </c>
      <c r="R12" s="3558">
        <f t="shared" si="7"/>
        <v>18</v>
      </c>
      <c r="S12" s="4797" t="s">
        <v>32</v>
      </c>
      <c r="T12" s="3538">
        <v>4</v>
      </c>
      <c r="U12" s="3558" t="s">
        <v>32</v>
      </c>
      <c r="V12" s="3558">
        <f t="shared" si="8"/>
        <v>22</v>
      </c>
      <c r="W12" s="5458" t="s">
        <v>32</v>
      </c>
      <c r="X12" s="3538">
        <v>7</v>
      </c>
      <c r="Y12" s="3967" t="s">
        <v>32</v>
      </c>
      <c r="Z12" s="3967">
        <f t="shared" si="2"/>
        <v>19</v>
      </c>
      <c r="AA12" s="3968" t="s">
        <v>32</v>
      </c>
      <c r="AB12" s="3968">
        <f>+Z12+N12</f>
        <v>29</v>
      </c>
      <c r="AC12" s="5357" t="s">
        <v>32</v>
      </c>
      <c r="AD12" s="3538">
        <v>4</v>
      </c>
      <c r="AE12" s="3558" t="s">
        <v>32</v>
      </c>
      <c r="AF12" s="3558">
        <f t="shared" si="9"/>
        <v>33</v>
      </c>
      <c r="AG12" s="5544" t="s">
        <v>32</v>
      </c>
      <c r="AH12" s="3538">
        <v>0</v>
      </c>
      <c r="AI12" s="5540" t="s">
        <v>32</v>
      </c>
      <c r="AJ12" s="5540">
        <f t="shared" si="10"/>
        <v>33</v>
      </c>
      <c r="AK12" s="5944" t="s">
        <v>32</v>
      </c>
      <c r="AL12" s="3538">
        <v>5</v>
      </c>
      <c r="AM12" s="3967" t="s">
        <v>32</v>
      </c>
      <c r="AN12" s="3967">
        <f t="shared" si="11"/>
        <v>9</v>
      </c>
      <c r="AO12" s="3558" t="s">
        <v>32</v>
      </c>
      <c r="AP12" s="3558">
        <f t="shared" si="0"/>
        <v>38</v>
      </c>
      <c r="AQ12" s="6085" t="s">
        <v>32</v>
      </c>
      <c r="AR12" s="3538">
        <v>0</v>
      </c>
      <c r="AS12" s="3558" t="s">
        <v>32</v>
      </c>
      <c r="AT12" s="3558">
        <f t="shared" si="12"/>
        <v>38</v>
      </c>
      <c r="AU12" s="6248" t="s">
        <v>32</v>
      </c>
      <c r="AV12" s="3538">
        <v>3</v>
      </c>
      <c r="AW12" s="6250" t="s">
        <v>32</v>
      </c>
      <c r="AX12" s="6250">
        <f t="shared" si="13"/>
        <v>41</v>
      </c>
      <c r="AY12" s="6420" t="s">
        <v>32</v>
      </c>
      <c r="AZ12" s="3538">
        <v>0</v>
      </c>
      <c r="BA12" s="3967" t="s">
        <v>32</v>
      </c>
      <c r="BB12" s="3967">
        <f t="shared" si="14"/>
        <v>3</v>
      </c>
      <c r="BC12" s="3968" t="s">
        <v>32</v>
      </c>
      <c r="BD12" s="3968">
        <f t="shared" si="15"/>
        <v>12</v>
      </c>
      <c r="BE12" s="3558" t="s">
        <v>32</v>
      </c>
      <c r="BF12" s="3769">
        <f t="shared" si="16"/>
        <v>41</v>
      </c>
      <c r="BG12" s="3948"/>
      <c r="BH12" s="3948"/>
      <c r="BI12" s="4364"/>
      <c r="BJ12" s="4364"/>
      <c r="BK12" s="3948"/>
      <c r="BL12" s="3948"/>
      <c r="BM12" s="4364"/>
      <c r="BN12" s="4364"/>
    </row>
    <row r="13" spans="1:66" ht="15" customHeight="1" x14ac:dyDescent="0.25">
      <c r="B13" s="1995" t="s">
        <v>151</v>
      </c>
      <c r="C13" s="3479" t="s">
        <v>175</v>
      </c>
      <c r="D13" s="2093" t="s">
        <v>32</v>
      </c>
      <c r="E13" s="3142" t="s">
        <v>32</v>
      </c>
      <c r="F13" s="3538">
        <v>0</v>
      </c>
      <c r="G13" s="7187" t="s">
        <v>32</v>
      </c>
      <c r="H13" s="3538">
        <v>0</v>
      </c>
      <c r="I13" s="3558" t="s">
        <v>32</v>
      </c>
      <c r="J13" s="3558">
        <f t="shared" si="5"/>
        <v>0</v>
      </c>
      <c r="K13" s="4604" t="s">
        <v>32</v>
      </c>
      <c r="L13" s="3538">
        <v>0</v>
      </c>
      <c r="M13" s="3967" t="s">
        <v>32</v>
      </c>
      <c r="N13" s="3967">
        <f t="shared" si="6"/>
        <v>0</v>
      </c>
      <c r="O13" s="4797" t="s">
        <v>32</v>
      </c>
      <c r="P13" s="3538">
        <v>0</v>
      </c>
      <c r="Q13" s="3558" t="s">
        <v>32</v>
      </c>
      <c r="R13" s="3558">
        <f t="shared" si="7"/>
        <v>0</v>
      </c>
      <c r="S13" s="4797" t="s">
        <v>32</v>
      </c>
      <c r="T13" s="3538">
        <v>0</v>
      </c>
      <c r="U13" s="3558" t="s">
        <v>32</v>
      </c>
      <c r="V13" s="3558">
        <f t="shared" si="8"/>
        <v>0</v>
      </c>
      <c r="W13" s="5458" t="s">
        <v>32</v>
      </c>
      <c r="X13" s="3538">
        <v>0</v>
      </c>
      <c r="Y13" s="3967" t="s">
        <v>32</v>
      </c>
      <c r="Z13" s="3967">
        <f t="shared" si="2"/>
        <v>0</v>
      </c>
      <c r="AA13" s="3968" t="s">
        <v>32</v>
      </c>
      <c r="AB13" s="3968">
        <f>+Z13+N13</f>
        <v>0</v>
      </c>
      <c r="AC13" s="5357" t="s">
        <v>32</v>
      </c>
      <c r="AD13" s="3538">
        <v>0</v>
      </c>
      <c r="AE13" s="3558" t="s">
        <v>32</v>
      </c>
      <c r="AF13" s="3558">
        <f t="shared" si="9"/>
        <v>0</v>
      </c>
      <c r="AG13" s="5544" t="s">
        <v>32</v>
      </c>
      <c r="AH13" s="3538">
        <v>0</v>
      </c>
      <c r="AI13" s="5540" t="s">
        <v>32</v>
      </c>
      <c r="AJ13" s="5540">
        <f t="shared" si="10"/>
        <v>0</v>
      </c>
      <c r="AK13" s="5944" t="s">
        <v>32</v>
      </c>
      <c r="AL13" s="3538">
        <v>0</v>
      </c>
      <c r="AM13" s="3967" t="s">
        <v>32</v>
      </c>
      <c r="AN13" s="3967">
        <f t="shared" si="11"/>
        <v>0</v>
      </c>
      <c r="AO13" s="3558" t="s">
        <v>32</v>
      </c>
      <c r="AP13" s="3558">
        <f t="shared" si="0"/>
        <v>0</v>
      </c>
      <c r="AQ13" s="6085" t="s">
        <v>32</v>
      </c>
      <c r="AR13" s="3538">
        <v>0</v>
      </c>
      <c r="AS13" s="3558" t="s">
        <v>32</v>
      </c>
      <c r="AT13" s="3558">
        <f t="shared" si="12"/>
        <v>0</v>
      </c>
      <c r="AU13" s="6248" t="s">
        <v>32</v>
      </c>
      <c r="AV13" s="3538">
        <v>0</v>
      </c>
      <c r="AW13" s="6250" t="s">
        <v>32</v>
      </c>
      <c r="AX13" s="6250">
        <f t="shared" si="13"/>
        <v>0</v>
      </c>
      <c r="AY13" s="6420" t="s">
        <v>32</v>
      </c>
      <c r="AZ13" s="3538">
        <v>0</v>
      </c>
      <c r="BA13" s="3967" t="s">
        <v>32</v>
      </c>
      <c r="BB13" s="3967">
        <f t="shared" si="14"/>
        <v>0</v>
      </c>
      <c r="BC13" s="3968" t="s">
        <v>32</v>
      </c>
      <c r="BD13" s="3968">
        <f t="shared" si="15"/>
        <v>0</v>
      </c>
      <c r="BE13" s="3558" t="s">
        <v>32</v>
      </c>
      <c r="BF13" s="3769">
        <f t="shared" si="16"/>
        <v>0</v>
      </c>
      <c r="BG13" s="3948"/>
      <c r="BH13" s="3948"/>
      <c r="BI13" s="4364"/>
      <c r="BJ13" s="4364"/>
      <c r="BK13" s="3948"/>
      <c r="BL13" s="3948"/>
      <c r="BM13" s="4364"/>
      <c r="BN13" s="4364"/>
    </row>
    <row r="14" spans="1:66" ht="15.75" thickBot="1" x14ac:dyDescent="0.3">
      <c r="B14" s="3983" t="s">
        <v>119</v>
      </c>
      <c r="C14" s="750" t="s">
        <v>175</v>
      </c>
      <c r="D14" s="3984" t="s">
        <v>32</v>
      </c>
      <c r="E14" s="894" t="s">
        <v>32</v>
      </c>
      <c r="F14" s="2484">
        <f>+F10+F13-F11-F25</f>
        <v>1</v>
      </c>
      <c r="G14" s="894" t="s">
        <v>32</v>
      </c>
      <c r="H14" s="2484">
        <f>+H10+H13-H11-H25</f>
        <v>-2</v>
      </c>
      <c r="I14" s="3985" t="s">
        <v>32</v>
      </c>
      <c r="J14" s="3985">
        <f t="shared" si="5"/>
        <v>-1</v>
      </c>
      <c r="K14" s="894" t="s">
        <v>32</v>
      </c>
      <c r="L14" s="2484">
        <f>+L10+L13-L11-L25</f>
        <v>5</v>
      </c>
      <c r="M14" s="3986" t="s">
        <v>32</v>
      </c>
      <c r="N14" s="3986">
        <f t="shared" si="6"/>
        <v>4</v>
      </c>
      <c r="O14" s="894" t="s">
        <v>32</v>
      </c>
      <c r="P14" s="2484">
        <f>+P10+P13-P11-P25</f>
        <v>0</v>
      </c>
      <c r="Q14" s="3985" t="s">
        <v>32</v>
      </c>
      <c r="R14" s="3985">
        <f t="shared" si="7"/>
        <v>4</v>
      </c>
      <c r="S14" s="894" t="s">
        <v>32</v>
      </c>
      <c r="T14" s="2484">
        <f>+T10+T13-T11-T25</f>
        <v>0</v>
      </c>
      <c r="U14" s="3985" t="s">
        <v>32</v>
      </c>
      <c r="V14" s="3985">
        <f t="shared" si="8"/>
        <v>4</v>
      </c>
      <c r="W14" s="894" t="s">
        <v>32</v>
      </c>
      <c r="X14" s="2484">
        <f>+X10+X13-X11-X25</f>
        <v>-1</v>
      </c>
      <c r="Y14" s="3986" t="s">
        <v>32</v>
      </c>
      <c r="Z14" s="3986">
        <f t="shared" si="2"/>
        <v>-1</v>
      </c>
      <c r="AA14" s="3987" t="s">
        <v>32</v>
      </c>
      <c r="AB14" s="3987">
        <f>+Z14+N14</f>
        <v>3</v>
      </c>
      <c r="AC14" s="894" t="s">
        <v>32</v>
      </c>
      <c r="AD14" s="2484">
        <f>+AD10+AD13-AD11-AD25</f>
        <v>0</v>
      </c>
      <c r="AE14" s="3985" t="s">
        <v>32</v>
      </c>
      <c r="AF14" s="3985">
        <f t="shared" si="9"/>
        <v>3</v>
      </c>
      <c r="AG14" s="894" t="s">
        <v>32</v>
      </c>
      <c r="AH14" s="2484">
        <f>+AH10+AH13-AH11-AH25</f>
        <v>-4</v>
      </c>
      <c r="AI14" s="3985" t="s">
        <v>32</v>
      </c>
      <c r="AJ14" s="3985">
        <f t="shared" si="10"/>
        <v>-1</v>
      </c>
      <c r="AK14" s="894" t="s">
        <v>32</v>
      </c>
      <c r="AL14" s="2484">
        <f>+AL10+AL13-AL11-AL25</f>
        <v>4</v>
      </c>
      <c r="AM14" s="3986" t="s">
        <v>32</v>
      </c>
      <c r="AN14" s="3986">
        <f t="shared" si="11"/>
        <v>0</v>
      </c>
      <c r="AO14" s="3985" t="s">
        <v>32</v>
      </c>
      <c r="AP14" s="3985">
        <f t="shared" si="0"/>
        <v>3</v>
      </c>
      <c r="AQ14" s="894" t="s">
        <v>32</v>
      </c>
      <c r="AR14" s="2484">
        <f>+AR10+AR13-AR11-AR25</f>
        <v>-4</v>
      </c>
      <c r="AS14" s="3985" t="s">
        <v>32</v>
      </c>
      <c r="AT14" s="3985">
        <f t="shared" si="12"/>
        <v>-1</v>
      </c>
      <c r="AU14" s="894" t="s">
        <v>32</v>
      </c>
      <c r="AV14" s="2484">
        <f>+AV10+AV13-AV11-AV25</f>
        <v>3</v>
      </c>
      <c r="AW14" s="3985" t="s">
        <v>32</v>
      </c>
      <c r="AX14" s="3985">
        <f t="shared" si="13"/>
        <v>2</v>
      </c>
      <c r="AY14" s="894" t="s">
        <v>32</v>
      </c>
      <c r="AZ14" s="2484">
        <f>+AZ10+AZ13-AZ11-AZ25</f>
        <v>1</v>
      </c>
      <c r="BA14" s="3986" t="s">
        <v>32</v>
      </c>
      <c r="BB14" s="3986">
        <f t="shared" si="14"/>
        <v>0</v>
      </c>
      <c r="BC14" s="3987" t="s">
        <v>32</v>
      </c>
      <c r="BD14" s="3987">
        <f>+BB14+AN14</f>
        <v>0</v>
      </c>
      <c r="BE14" s="3985" t="s">
        <v>32</v>
      </c>
      <c r="BF14" s="3772">
        <f t="shared" si="16"/>
        <v>3</v>
      </c>
      <c r="BG14" s="3948"/>
      <c r="BH14" s="3948"/>
      <c r="BI14" s="4364"/>
      <c r="BJ14" s="4364"/>
      <c r="BK14" s="3948"/>
      <c r="BL14" s="3948"/>
      <c r="BM14" s="4364"/>
      <c r="BN14" s="4364"/>
    </row>
    <row r="15" spans="1:66" ht="15" x14ac:dyDescent="0.25">
      <c r="B15" s="3988" t="s">
        <v>820</v>
      </c>
      <c r="C15" s="759" t="s">
        <v>50</v>
      </c>
      <c r="D15" s="1128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148200</v>
      </c>
      <c r="L15" s="275">
        <v>153381.25</v>
      </c>
      <c r="M15" s="618">
        <f>+K15+G15+E15</f>
        <v>658400</v>
      </c>
      <c r="N15" s="618">
        <f t="shared" si="6"/>
        <v>625461.71500000008</v>
      </c>
      <c r="O15" s="158">
        <v>67500</v>
      </c>
      <c r="P15" s="275">
        <v>248296.54</v>
      </c>
      <c r="Q15" s="373">
        <f>+M15+O15</f>
        <v>725900</v>
      </c>
      <c r="R15" s="373">
        <f t="shared" si="7"/>
        <v>873758.25500000012</v>
      </c>
      <c r="S15" s="158">
        <v>239620</v>
      </c>
      <c r="T15" s="275">
        <v>243694.68</v>
      </c>
      <c r="U15" s="373">
        <f>+Q15+S15</f>
        <v>965520</v>
      </c>
      <c r="V15" s="373">
        <f t="shared" si="8"/>
        <v>1117452.9350000001</v>
      </c>
      <c r="W15" s="158">
        <v>231620</v>
      </c>
      <c r="X15" s="275">
        <v>244527.55</v>
      </c>
      <c r="Y15" s="618">
        <f>+W15+S15+O15</f>
        <v>538740</v>
      </c>
      <c r="Z15" s="618">
        <f>+X15+T15+P15</f>
        <v>736518.77</v>
      </c>
      <c r="AA15" s="1052">
        <f>+Y15+M15</f>
        <v>1197140</v>
      </c>
      <c r="AB15" s="1052">
        <f t="shared" ref="AB15:AB24" si="17">+Z15+N15</f>
        <v>1361980.4850000001</v>
      </c>
      <c r="AC15" s="158">
        <v>249620</v>
      </c>
      <c r="AD15" s="275">
        <v>235736.8</v>
      </c>
      <c r="AE15" s="373">
        <f>+AA15+AC15</f>
        <v>1446760</v>
      </c>
      <c r="AF15" s="373">
        <f t="shared" si="9"/>
        <v>1597717.2850000001</v>
      </c>
      <c r="AG15" s="158">
        <v>241620</v>
      </c>
      <c r="AH15" s="275">
        <v>8398.2000000000007</v>
      </c>
      <c r="AI15" s="373">
        <f>+AE15+AG15</f>
        <v>1688380</v>
      </c>
      <c r="AJ15" s="373">
        <f t="shared" si="10"/>
        <v>1606115.4850000001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1938000</v>
      </c>
      <c r="AP15" s="373">
        <f>+AL15+AJ15</f>
        <v>1855507.2350000001</v>
      </c>
      <c r="AQ15" s="158">
        <v>249620</v>
      </c>
      <c r="AR15" s="275">
        <v>261382.3</v>
      </c>
      <c r="AS15" s="373">
        <f>+AO15+AQ15</f>
        <v>2187620</v>
      </c>
      <c r="AT15" s="373">
        <f t="shared" si="12"/>
        <v>2116889.5350000001</v>
      </c>
      <c r="AU15" s="158">
        <v>224620</v>
      </c>
      <c r="AV15" s="275">
        <v>236601.12</v>
      </c>
      <c r="AW15" s="373">
        <f>+AS15+AU15</f>
        <v>2412240</v>
      </c>
      <c r="AX15" s="373">
        <f t="shared" si="13"/>
        <v>2353490.6550000003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52">
        <f>+BA15+AM15</f>
        <v>1464720</v>
      </c>
      <c r="BD15" s="1052">
        <f>+BB15+AN15</f>
        <v>1248966.345</v>
      </c>
      <c r="BE15" s="373">
        <f>+AW15+AY15</f>
        <v>2661860</v>
      </c>
      <c r="BF15" s="43">
        <f t="shared" si="16"/>
        <v>2610946.83</v>
      </c>
      <c r="BG15" s="3948"/>
      <c r="BH15" s="3948"/>
      <c r="BI15" s="4364"/>
      <c r="BJ15" s="4364"/>
      <c r="BK15" s="3948"/>
      <c r="BL15" s="3948"/>
      <c r="BM15" s="4364"/>
      <c r="BN15" s="4364"/>
    </row>
    <row r="16" spans="1:66" ht="15" x14ac:dyDescent="0.25">
      <c r="B16" s="1772" t="s">
        <v>808</v>
      </c>
      <c r="C16" s="3479" t="s">
        <v>50</v>
      </c>
      <c r="D16" s="2093"/>
      <c r="E16" s="3132"/>
      <c r="F16" s="3202">
        <v>3370</v>
      </c>
      <c r="G16" s="7199"/>
      <c r="H16" s="7194">
        <v>2255</v>
      </c>
      <c r="I16" s="3133"/>
      <c r="J16" s="3558">
        <f t="shared" si="5"/>
        <v>5625</v>
      </c>
      <c r="K16" s="4603"/>
      <c r="L16" s="4602">
        <v>1898</v>
      </c>
      <c r="M16" s="3134"/>
      <c r="N16" s="3134">
        <f t="shared" si="6"/>
        <v>7523</v>
      </c>
      <c r="O16" s="4791"/>
      <c r="P16" s="4790">
        <v>4454</v>
      </c>
      <c r="Q16" s="3133"/>
      <c r="R16" s="3558">
        <f t="shared" si="7"/>
        <v>11977</v>
      </c>
      <c r="S16" s="4932"/>
      <c r="T16" s="4929">
        <v>5305</v>
      </c>
      <c r="U16" s="4930"/>
      <c r="V16" s="3558">
        <f t="shared" si="8"/>
        <v>17282</v>
      </c>
      <c r="W16" s="5462"/>
      <c r="X16" s="5050">
        <v>4940</v>
      </c>
      <c r="Y16" s="3134"/>
      <c r="Z16" s="3134">
        <f t="shared" ref="Y16:Z24" si="18">+X16+T16+P16</f>
        <v>14699</v>
      </c>
      <c r="AA16" s="3179"/>
      <c r="AB16" s="3179">
        <f t="shared" si="17"/>
        <v>22222</v>
      </c>
      <c r="AC16" s="5368"/>
      <c r="AD16" s="5365">
        <v>4131</v>
      </c>
      <c r="AE16" s="3133"/>
      <c r="AF16" s="3133">
        <f t="shared" si="9"/>
        <v>26353</v>
      </c>
      <c r="AG16" s="5555"/>
      <c r="AH16" s="5552">
        <v>114</v>
      </c>
      <c r="AI16" s="5553"/>
      <c r="AJ16" s="5553">
        <f t="shared" si="10"/>
        <v>26467</v>
      </c>
      <c r="AK16" s="5949"/>
      <c r="AL16" s="5948">
        <v>2807</v>
      </c>
      <c r="AM16" s="3134"/>
      <c r="AN16" s="3134">
        <f t="shared" ref="AN16:AN20" si="19">+AL16+AH16+AD16</f>
        <v>7052</v>
      </c>
      <c r="AO16" s="3133"/>
      <c r="AP16" s="3133">
        <f t="shared" ref="AO16:AP24" si="20">+AL16+AJ16</f>
        <v>29274</v>
      </c>
      <c r="AQ16" s="6102"/>
      <c r="AR16" s="6098">
        <v>3957</v>
      </c>
      <c r="AS16" s="3133"/>
      <c r="AT16" s="3133">
        <f t="shared" si="12"/>
        <v>33231</v>
      </c>
      <c r="AU16" s="6264"/>
      <c r="AV16" s="6258">
        <v>3482</v>
      </c>
      <c r="AW16" s="6256"/>
      <c r="AX16" s="6256">
        <f t="shared" si="13"/>
        <v>36713</v>
      </c>
      <c r="AY16" s="6436"/>
      <c r="AZ16" s="6433">
        <v>7435</v>
      </c>
      <c r="BA16" s="3134"/>
      <c r="BB16" s="3134">
        <f t="shared" ref="BB16:BB20" si="21">+AZ16+AV16+AR16</f>
        <v>14874</v>
      </c>
      <c r="BC16" s="3179"/>
      <c r="BD16" s="3179">
        <f>+BB16+AN16</f>
        <v>21926</v>
      </c>
      <c r="BE16" s="3133"/>
      <c r="BF16" s="39">
        <f t="shared" si="16"/>
        <v>44148</v>
      </c>
      <c r="BG16" s="3948"/>
      <c r="BH16" s="3948"/>
      <c r="BI16" s="4364"/>
      <c r="BJ16" s="4364"/>
      <c r="BK16" s="3948"/>
      <c r="BL16" s="3948"/>
      <c r="BM16" s="4364"/>
      <c r="BN16" s="4364"/>
    </row>
    <row r="17" spans="1:66" ht="15" x14ac:dyDescent="0.25">
      <c r="B17" s="1772" t="s">
        <v>809</v>
      </c>
      <c r="C17" s="3479" t="s">
        <v>50</v>
      </c>
      <c r="D17" s="2093"/>
      <c r="E17" s="3132"/>
      <c r="F17" s="3202">
        <v>3462.8999999999996</v>
      </c>
      <c r="G17" s="7199"/>
      <c r="H17" s="7194">
        <v>3789.7999999999997</v>
      </c>
      <c r="I17" s="3133"/>
      <c r="J17" s="3558">
        <f t="shared" si="5"/>
        <v>7252.6999999999989</v>
      </c>
      <c r="K17" s="4603"/>
      <c r="L17" s="4602">
        <v>2573.8999999999996</v>
      </c>
      <c r="M17" s="3134"/>
      <c r="N17" s="3134">
        <f t="shared" si="6"/>
        <v>9826.5999999999985</v>
      </c>
      <c r="O17" s="4791"/>
      <c r="P17" s="4790">
        <v>3943.1</v>
      </c>
      <c r="Q17" s="3133"/>
      <c r="R17" s="3558">
        <f t="shared" si="7"/>
        <v>13769.699999999999</v>
      </c>
      <c r="S17" s="4932"/>
      <c r="T17" s="4929">
        <v>4138.3999999999996</v>
      </c>
      <c r="U17" s="4930"/>
      <c r="V17" s="4944">
        <f t="shared" si="8"/>
        <v>17908.099999999999</v>
      </c>
      <c r="W17" s="5462"/>
      <c r="X17" s="5050">
        <v>3057.6</v>
      </c>
      <c r="Y17" s="3134"/>
      <c r="Z17" s="3134">
        <f t="shared" si="18"/>
        <v>11139.1</v>
      </c>
      <c r="AA17" s="3179"/>
      <c r="AB17" s="3179">
        <f t="shared" si="17"/>
        <v>20965.699999999997</v>
      </c>
      <c r="AC17" s="5368"/>
      <c r="AD17" s="5365">
        <v>2691.5</v>
      </c>
      <c r="AE17" s="3133"/>
      <c r="AF17" s="3133">
        <f t="shared" si="9"/>
        <v>23657.199999999997</v>
      </c>
      <c r="AG17" s="5555"/>
      <c r="AH17" s="5552">
        <v>137.19999999999999</v>
      </c>
      <c r="AI17" s="5553"/>
      <c r="AJ17" s="5553">
        <f t="shared" si="10"/>
        <v>23794.399999999998</v>
      </c>
      <c r="AK17" s="5949"/>
      <c r="AL17" s="5948">
        <v>4830.7</v>
      </c>
      <c r="AM17" s="3134"/>
      <c r="AN17" s="3134">
        <f t="shared" si="19"/>
        <v>7659.4</v>
      </c>
      <c r="AO17" s="3133"/>
      <c r="AP17" s="3133">
        <f t="shared" si="20"/>
        <v>28625.1</v>
      </c>
      <c r="AQ17" s="6102"/>
      <c r="AR17" s="6098">
        <v>4721.5</v>
      </c>
      <c r="AS17" s="3133"/>
      <c r="AT17" s="3133">
        <f t="shared" si="12"/>
        <v>33346.6</v>
      </c>
      <c r="AU17" s="6264"/>
      <c r="AV17" s="6258">
        <v>3861.2</v>
      </c>
      <c r="AW17" s="6256"/>
      <c r="AX17" s="6256">
        <f t="shared" si="13"/>
        <v>37207.799999999996</v>
      </c>
      <c r="AY17" s="6436"/>
      <c r="AZ17" s="6433">
        <v>1838.1999999999998</v>
      </c>
      <c r="BA17" s="3134"/>
      <c r="BB17" s="3134">
        <f t="shared" si="21"/>
        <v>10420.9</v>
      </c>
      <c r="BC17" s="3179"/>
      <c r="BD17" s="3179">
        <f>+BB17+AN17</f>
        <v>18080.3</v>
      </c>
      <c r="BE17" s="3133"/>
      <c r="BF17" s="39">
        <f t="shared" si="16"/>
        <v>39045.999999999993</v>
      </c>
      <c r="BG17" s="3948"/>
      <c r="BH17" s="3948"/>
      <c r="BI17" s="4364"/>
      <c r="BJ17" s="4364"/>
      <c r="BK17" s="3948"/>
      <c r="BL17" s="3948"/>
      <c r="BM17" s="4364"/>
      <c r="BN17" s="4364"/>
    </row>
    <row r="18" spans="1:66" ht="15" x14ac:dyDescent="0.25">
      <c r="B18" s="1772" t="s">
        <v>1027</v>
      </c>
      <c r="C18" s="3479" t="s">
        <v>50</v>
      </c>
      <c r="D18" s="2093"/>
      <c r="E18" s="3132"/>
      <c r="F18" s="3202">
        <v>863</v>
      </c>
      <c r="G18" s="7199"/>
      <c r="H18" s="7194">
        <v>626</v>
      </c>
      <c r="I18" s="3133"/>
      <c r="J18" s="3991">
        <f t="shared" si="5"/>
        <v>1489</v>
      </c>
      <c r="K18" s="4603"/>
      <c r="L18" s="4602">
        <v>724.5</v>
      </c>
      <c r="M18" s="3134"/>
      <c r="N18" s="3134">
        <f t="shared" si="6"/>
        <v>2213.5</v>
      </c>
      <c r="O18" s="4791"/>
      <c r="P18" s="4790">
        <v>596.5</v>
      </c>
      <c r="Q18" s="3133"/>
      <c r="R18" s="3558">
        <f t="shared" si="7"/>
        <v>2810</v>
      </c>
      <c r="S18" s="4932"/>
      <c r="T18" s="4929">
        <v>773</v>
      </c>
      <c r="U18" s="4930"/>
      <c r="V18" s="4944">
        <f t="shared" si="8"/>
        <v>3583</v>
      </c>
      <c r="W18" s="5462"/>
      <c r="X18" s="5050">
        <v>510</v>
      </c>
      <c r="Y18" s="3134"/>
      <c r="Z18" s="3134">
        <f t="shared" si="18"/>
        <v>1879.5</v>
      </c>
      <c r="AA18" s="3179"/>
      <c r="AB18" s="3179">
        <f t="shared" si="17"/>
        <v>4093</v>
      </c>
      <c r="AC18" s="5368"/>
      <c r="AD18" s="5365">
        <v>732</v>
      </c>
      <c r="AE18" s="3133"/>
      <c r="AF18" s="3133">
        <f t="shared" si="9"/>
        <v>4825</v>
      </c>
      <c r="AG18" s="5555"/>
      <c r="AH18" s="5552">
        <v>75</v>
      </c>
      <c r="AI18" s="5553"/>
      <c r="AJ18" s="5553">
        <f t="shared" si="10"/>
        <v>4900</v>
      </c>
      <c r="AK18" s="5949"/>
      <c r="AL18" s="5948">
        <v>1208.5</v>
      </c>
      <c r="AM18" s="3134"/>
      <c r="AN18" s="3134">
        <f t="shared" si="19"/>
        <v>2015.5</v>
      </c>
      <c r="AO18" s="3133"/>
      <c r="AP18" s="3133">
        <f t="shared" si="20"/>
        <v>6108.5</v>
      </c>
      <c r="AQ18" s="6102"/>
      <c r="AR18" s="6098">
        <v>554</v>
      </c>
      <c r="AS18" s="3133"/>
      <c r="AT18" s="3133">
        <f t="shared" si="12"/>
        <v>6662.5</v>
      </c>
      <c r="AU18" s="6264"/>
      <c r="AV18" s="6258">
        <v>615</v>
      </c>
      <c r="AW18" s="6256"/>
      <c r="AX18" s="6256">
        <f t="shared" si="13"/>
        <v>7277.5</v>
      </c>
      <c r="AY18" s="6436"/>
      <c r="AZ18" s="6433">
        <v>70</v>
      </c>
      <c r="BA18" s="3134"/>
      <c r="BB18" s="3134">
        <f t="shared" si="21"/>
        <v>1239</v>
      </c>
      <c r="BC18" s="3179"/>
      <c r="BD18" s="3179">
        <f>+BB18+AN18</f>
        <v>3254.5</v>
      </c>
      <c r="BE18" s="3133"/>
      <c r="BF18" s="39">
        <f t="shared" si="16"/>
        <v>7347.5</v>
      </c>
      <c r="BG18" s="3948"/>
      <c r="BH18" s="3948"/>
      <c r="BI18" s="4364"/>
      <c r="BJ18" s="4364"/>
      <c r="BK18" s="3948"/>
      <c r="BL18" s="3948"/>
      <c r="BM18" s="4364"/>
      <c r="BN18" s="4364"/>
    </row>
    <row r="19" spans="1:66" ht="15" x14ac:dyDescent="0.25">
      <c r="A19" s="4" t="s">
        <v>470</v>
      </c>
      <c r="B19" s="3989" t="s">
        <v>281</v>
      </c>
      <c r="C19" s="3479" t="s">
        <v>50</v>
      </c>
      <c r="D19" s="3938">
        <f>+D5*D90/1000</f>
        <v>105260.7176581681</v>
      </c>
      <c r="E19" s="3202">
        <f>+E5*E90/1000</f>
        <v>9010.1983002832749</v>
      </c>
      <c r="F19" s="3202">
        <f>SUM(F16:F18)</f>
        <v>7695.9</v>
      </c>
      <c r="G19" s="7194">
        <f>+G5*G90/1000</f>
        <v>9297.261567516518</v>
      </c>
      <c r="H19" s="7194">
        <f>SUM(H16:H18)</f>
        <v>6670.7999999999993</v>
      </c>
      <c r="I19" s="3133">
        <f>+E19+G19</f>
        <v>18307.459867799793</v>
      </c>
      <c r="J19" s="3991">
        <f t="shared" si="5"/>
        <v>14366.699999999999</v>
      </c>
      <c r="K19" s="4602">
        <f>+K5*K90/1000</f>
        <v>5312.8301886792451</v>
      </c>
      <c r="L19" s="4602">
        <f>SUM(L16:L18)</f>
        <v>5196.3999999999996</v>
      </c>
      <c r="M19" s="3134">
        <f>+K19+G19+E19</f>
        <v>23620.29005647904</v>
      </c>
      <c r="N19" s="3134">
        <f t="shared" si="6"/>
        <v>19563.099999999999</v>
      </c>
      <c r="O19" s="4790">
        <f>+O5*O90/1000</f>
        <v>2419.8113207547181</v>
      </c>
      <c r="P19" s="4790">
        <f>SUM(P16:P18)</f>
        <v>8993.6</v>
      </c>
      <c r="Q19" s="3133">
        <f>+M19+O19</f>
        <v>26040.101377233757</v>
      </c>
      <c r="R19" s="3558">
        <f t="shared" si="7"/>
        <v>28556.699999999997</v>
      </c>
      <c r="S19" s="4929">
        <f>+S5*S90/1000</f>
        <v>8590.1509433962292</v>
      </c>
      <c r="T19" s="4929">
        <f>SUM(T16:T18)</f>
        <v>10216.4</v>
      </c>
      <c r="U19" s="4930">
        <f>+Q19+S19</f>
        <v>34630.252320629988</v>
      </c>
      <c r="V19" s="4944">
        <f t="shared" si="8"/>
        <v>38773.1</v>
      </c>
      <c r="W19" s="5461">
        <f>+W5*W90/1000</f>
        <v>8303.3584905660318</v>
      </c>
      <c r="X19" s="5050">
        <f>SUM(X16:X18)</f>
        <v>8507.6</v>
      </c>
      <c r="Y19" s="3134">
        <f t="shared" si="18"/>
        <v>19313.320754716977</v>
      </c>
      <c r="Z19" s="3134">
        <f t="shared" si="18"/>
        <v>27717.599999999999</v>
      </c>
      <c r="AA19" s="3179">
        <f>+Y19+M19</f>
        <v>42933.61081119602</v>
      </c>
      <c r="AB19" s="3179">
        <f t="shared" si="17"/>
        <v>47280.7</v>
      </c>
      <c r="AC19" s="5365">
        <f>+AC5*AC90/1000</f>
        <v>8948.6415094339682</v>
      </c>
      <c r="AD19" s="5365">
        <f>SUM(AD16:AD18)</f>
        <v>7554.5</v>
      </c>
      <c r="AE19" s="3133">
        <f>+AA19+AC19</f>
        <v>51882.252320629988</v>
      </c>
      <c r="AF19" s="3133">
        <f t="shared" si="9"/>
        <v>54835.199999999997</v>
      </c>
      <c r="AG19" s="5552">
        <f>+AG5*AG90/1000</f>
        <v>8661.8490566037708</v>
      </c>
      <c r="AH19" s="5552">
        <f>SUM(AH16:AH18)</f>
        <v>326.2</v>
      </c>
      <c r="AI19" s="5553">
        <f>+AE19+AG19</f>
        <v>60544.101377233761</v>
      </c>
      <c r="AJ19" s="5553">
        <f t="shared" si="10"/>
        <v>55161.399999999994</v>
      </c>
      <c r="AK19" s="5948">
        <f>+AK5*AK90/1000</f>
        <v>8948.6415094339682</v>
      </c>
      <c r="AL19" s="5948">
        <f>SUM(AL16:AL18)</f>
        <v>8846.2000000000007</v>
      </c>
      <c r="AM19" s="3134">
        <f t="shared" ref="AM19:AM20" si="22">+AK19+AG19+AC19</f>
        <v>26559.132075471709</v>
      </c>
      <c r="AN19" s="3134">
        <f t="shared" si="19"/>
        <v>16726.900000000001</v>
      </c>
      <c r="AO19" s="3133">
        <f>+AK19+AI19</f>
        <v>69492.742886667722</v>
      </c>
      <c r="AP19" s="3133">
        <f t="shared" si="20"/>
        <v>64007.599999999991</v>
      </c>
      <c r="AQ19" s="6098">
        <f>+AQ5*AQ90/1000</f>
        <v>8948.6415094339682</v>
      </c>
      <c r="AR19" s="6098">
        <f>SUM(AR16:AR18)</f>
        <v>9232.5</v>
      </c>
      <c r="AS19" s="3133">
        <f>+AO19+AQ19</f>
        <v>78441.384396101697</v>
      </c>
      <c r="AT19" s="3133">
        <f t="shared" si="12"/>
        <v>73240.099999999991</v>
      </c>
      <c r="AU19" s="6258">
        <f>+AU5*AU90/1000</f>
        <v>8052.4150943396035</v>
      </c>
      <c r="AV19" s="6258">
        <f>SUM(AV16:AV18)</f>
        <v>7958.2</v>
      </c>
      <c r="AW19" s="6256">
        <f>+AS19+AU19</f>
        <v>86493.799490441306</v>
      </c>
      <c r="AX19" s="6256">
        <f t="shared" si="13"/>
        <v>81198.299999999988</v>
      </c>
      <c r="AY19" s="6433">
        <f>+AY5*AY90/1000</f>
        <v>8948.6415094339682</v>
      </c>
      <c r="AZ19" s="6433">
        <f>SUM(AZ16:AZ18)</f>
        <v>9343.2000000000007</v>
      </c>
      <c r="BA19" s="3134">
        <f t="shared" ref="BA19:BA20" si="23">+AY19+AU19+AQ19</f>
        <v>25949.698113207538</v>
      </c>
      <c r="BB19" s="3134">
        <f t="shared" si="21"/>
        <v>26533.9</v>
      </c>
      <c r="BC19" s="3179">
        <f t="shared" ref="BC19:BC20" si="24">+BA19+AM19</f>
        <v>52508.830188679247</v>
      </c>
      <c r="BD19" s="3179">
        <f t="shared" ref="BD19:BD20" si="25">+BB19+AN19</f>
        <v>43260.800000000003</v>
      </c>
      <c r="BE19" s="3133">
        <f>+AW19+AY19</f>
        <v>95442.440999875282</v>
      </c>
      <c r="BF19" s="39">
        <f t="shared" si="16"/>
        <v>90541.499999999985</v>
      </c>
      <c r="BG19" s="3948"/>
      <c r="BH19" s="3948"/>
      <c r="BI19" s="4364"/>
      <c r="BJ19" s="4364"/>
      <c r="BK19" s="3948"/>
      <c r="BL19" s="3948"/>
      <c r="BM19" s="4364"/>
      <c r="BN19" s="4364"/>
    </row>
    <row r="20" spans="1:66" ht="15.75" thickBot="1" x14ac:dyDescent="0.3">
      <c r="A20" s="4" t="s">
        <v>470</v>
      </c>
      <c r="B20" s="1449" t="s">
        <v>282</v>
      </c>
      <c r="C20" s="750" t="s">
        <v>50</v>
      </c>
      <c r="D20" s="3990">
        <v>2841045.0110166827</v>
      </c>
      <c r="E20" s="109">
        <v>243190.23752451516</v>
      </c>
      <c r="F20" s="2484">
        <v>210019</v>
      </c>
      <c r="G20" s="109">
        <v>250938.23394106681</v>
      </c>
      <c r="H20" s="2484">
        <v>239902</v>
      </c>
      <c r="I20" s="589">
        <f>+E20+G20</f>
        <v>494128.47146558197</v>
      </c>
      <c r="J20" s="589">
        <f t="shared" si="5"/>
        <v>449921</v>
      </c>
      <c r="K20" s="109">
        <v>144135.38222135772</v>
      </c>
      <c r="L20" s="234">
        <v>146000.78</v>
      </c>
      <c r="M20" s="488">
        <f>+K20+G20+E20</f>
        <v>638263.85368693969</v>
      </c>
      <c r="N20" s="488">
        <f t="shared" si="6"/>
        <v>595921.78</v>
      </c>
      <c r="O20" s="109">
        <v>65648.70647733903</v>
      </c>
      <c r="P20" s="234">
        <v>237567.06</v>
      </c>
      <c r="Q20" s="589">
        <f>+M20+O20</f>
        <v>703912.56016427872</v>
      </c>
      <c r="R20" s="3985">
        <f t="shared" si="7"/>
        <v>833488.84000000008</v>
      </c>
      <c r="S20" s="109">
        <v>233048.04512740712</v>
      </c>
      <c r="T20" s="234">
        <v>234173</v>
      </c>
      <c r="U20" s="589">
        <f>+Q20+S20</f>
        <v>936960.60529168579</v>
      </c>
      <c r="V20" s="589">
        <f t="shared" si="8"/>
        <v>1067661.8400000001</v>
      </c>
      <c r="W20" s="109">
        <v>225267.45769305583</v>
      </c>
      <c r="X20" s="234">
        <v>233896.56</v>
      </c>
      <c r="Y20" s="488">
        <f t="shared" si="18"/>
        <v>523964.20929780195</v>
      </c>
      <c r="Z20" s="488">
        <f t="shared" si="18"/>
        <v>705636.62</v>
      </c>
      <c r="AA20" s="1146">
        <f>+Y20+M20</f>
        <v>1162228.0629847418</v>
      </c>
      <c r="AB20" s="1146">
        <f t="shared" si="17"/>
        <v>1301558.3999999999</v>
      </c>
      <c r="AC20" s="109">
        <v>242773.77942034623</v>
      </c>
      <c r="AD20" s="234">
        <v>224848.03</v>
      </c>
      <c r="AE20" s="589">
        <f>+AA20+AC20</f>
        <v>1405001.842405088</v>
      </c>
      <c r="AF20" s="589">
        <f t="shared" si="9"/>
        <v>1526406.43</v>
      </c>
      <c r="AG20" s="109">
        <v>234993.19198599496</v>
      </c>
      <c r="AH20" s="234">
        <v>8072.66</v>
      </c>
      <c r="AI20" s="589">
        <f>+AE20+AG20</f>
        <v>1639995.0343910831</v>
      </c>
      <c r="AJ20" s="589">
        <f t="shared" si="10"/>
        <v>1534479.0899999999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1882768.8138114293</v>
      </c>
      <c r="AP20" s="589">
        <f t="shared" si="20"/>
        <v>1772328.7999999998</v>
      </c>
      <c r="AQ20" s="109">
        <v>242773.77942034623</v>
      </c>
      <c r="AR20" s="234">
        <v>249242</v>
      </c>
      <c r="AS20" s="589">
        <f>+AO20+AQ20</f>
        <v>2125542.5932317753</v>
      </c>
      <c r="AT20" s="589">
        <f t="shared" si="12"/>
        <v>2021570.7999999998</v>
      </c>
      <c r="AU20" s="109">
        <v>218459.44368799846</v>
      </c>
      <c r="AV20" s="234">
        <v>225851</v>
      </c>
      <c r="AW20" s="589">
        <f>+AS20+AU20</f>
        <v>2344002.0369197736</v>
      </c>
      <c r="AX20" s="589">
        <f t="shared" si="13"/>
        <v>2247421.7999999998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6">
        <f t="shared" si="24"/>
        <v>1424547.7533553783</v>
      </c>
      <c r="BD20" s="1146">
        <f t="shared" si="25"/>
        <v>1192695.3999999999</v>
      </c>
      <c r="BE20" s="589">
        <f>+AW20+AY20</f>
        <v>2586775.8163401196</v>
      </c>
      <c r="BF20" s="44">
        <f t="shared" si="16"/>
        <v>2494253.7999999998</v>
      </c>
      <c r="BG20" s="3948"/>
      <c r="BH20" s="3948"/>
      <c r="BI20" s="4364"/>
      <c r="BJ20" s="4364"/>
      <c r="BK20" s="3948"/>
      <c r="BL20" s="3948"/>
      <c r="BM20" s="4364"/>
      <c r="BN20" s="4364"/>
    </row>
    <row r="21" spans="1:66" ht="15" x14ac:dyDescent="0.25">
      <c r="A21" s="1277" t="s">
        <v>470</v>
      </c>
      <c r="B21" s="3965" t="s">
        <v>298</v>
      </c>
      <c r="C21" s="892"/>
      <c r="D21" s="891"/>
      <c r="E21" s="3966"/>
      <c r="F21" s="3966"/>
      <c r="G21" s="3966"/>
      <c r="H21" s="3966"/>
      <c r="I21" s="3966"/>
      <c r="J21" s="3966"/>
      <c r="K21" s="3966"/>
      <c r="L21" s="3966"/>
      <c r="M21" s="3966"/>
      <c r="N21" s="3966"/>
      <c r="O21" s="3966"/>
      <c r="P21" s="3966"/>
      <c r="Q21" s="3966"/>
      <c r="R21" s="3966"/>
      <c r="S21" s="3966"/>
      <c r="T21" s="3966"/>
      <c r="U21" s="3966"/>
      <c r="V21" s="3966"/>
      <c r="W21" s="3966"/>
      <c r="X21" s="3966"/>
      <c r="Y21" s="3966"/>
      <c r="Z21" s="3966"/>
      <c r="AA21" s="3966"/>
      <c r="AB21" s="3966"/>
      <c r="AC21" s="3966"/>
      <c r="AD21" s="3966"/>
      <c r="AE21" s="3966"/>
      <c r="AF21" s="3966"/>
      <c r="AG21" s="3966"/>
      <c r="AH21" s="3966"/>
      <c r="AI21" s="3966"/>
      <c r="AJ21" s="3966"/>
      <c r="AK21" s="3966"/>
      <c r="AL21" s="3966"/>
      <c r="AM21" s="3966"/>
      <c r="AN21" s="3966"/>
      <c r="AO21" s="3966"/>
      <c r="AP21" s="3966"/>
      <c r="AQ21" s="3966"/>
      <c r="AR21" s="3966"/>
      <c r="AS21" s="3966"/>
      <c r="AT21" s="3966"/>
      <c r="AU21" s="3966"/>
      <c r="AV21" s="3966"/>
      <c r="AW21" s="3966"/>
      <c r="AX21" s="3966"/>
      <c r="AY21" s="3966"/>
      <c r="AZ21" s="3966"/>
      <c r="BA21" s="3966"/>
      <c r="BB21" s="3966"/>
      <c r="BC21" s="3966"/>
      <c r="BD21" s="3966"/>
      <c r="BE21" s="3966"/>
      <c r="BF21" s="2918"/>
      <c r="BG21" s="3948"/>
      <c r="BH21" s="3948"/>
      <c r="BI21" s="4364"/>
      <c r="BJ21" s="4364"/>
      <c r="BK21" s="3948"/>
      <c r="BL21" s="3948"/>
      <c r="BM21" s="4364"/>
      <c r="BN21" s="4364"/>
    </row>
    <row r="22" spans="1:66" ht="15" x14ac:dyDescent="0.25">
      <c r="A22" s="4" t="s">
        <v>470</v>
      </c>
      <c r="B22" s="1782" t="s">
        <v>283</v>
      </c>
      <c r="C22" s="60" t="s">
        <v>175</v>
      </c>
      <c r="D22" s="7299">
        <f>+D29/150</f>
        <v>13189.747716727199</v>
      </c>
      <c r="E22" s="7670">
        <f>+E29/150</f>
        <v>1144.5008359058334</v>
      </c>
      <c r="F22" s="3202">
        <v>401</v>
      </c>
      <c r="G22" s="7670">
        <f>+G29/150</f>
        <v>1173.7546331938931</v>
      </c>
      <c r="H22" s="7194">
        <v>524</v>
      </c>
      <c r="I22" s="7666">
        <f>+E22+G22</f>
        <v>2318.2554690997267</v>
      </c>
      <c r="J22" s="3558">
        <f>+F22+H22</f>
        <v>925</v>
      </c>
      <c r="K22" s="7670">
        <f>+K29/150</f>
        <v>706.8</v>
      </c>
      <c r="L22" s="4602">
        <v>368</v>
      </c>
      <c r="M22" s="7676">
        <f>+K22+G22+E22</f>
        <v>3025.0554690997265</v>
      </c>
      <c r="N22" s="3134">
        <f>+L22+H22+F22</f>
        <v>1293</v>
      </c>
      <c r="O22" s="7670">
        <f>+O29/150</f>
        <v>333.9</v>
      </c>
      <c r="P22" s="4790">
        <v>555</v>
      </c>
      <c r="Q22" s="7666">
        <f>+M22+O22</f>
        <v>3358.9554690997265</v>
      </c>
      <c r="R22" s="3558">
        <f>+N22+P22</f>
        <v>1848</v>
      </c>
      <c r="S22" s="7670">
        <f>+S29/150</f>
        <v>1125</v>
      </c>
      <c r="T22" s="4929">
        <v>481</v>
      </c>
      <c r="U22" s="7666">
        <f>+Q22+S22</f>
        <v>4483.9554690997265</v>
      </c>
      <c r="V22" s="3558">
        <f>+R22+T22</f>
        <v>2329</v>
      </c>
      <c r="W22" s="7670">
        <f>+W29/150</f>
        <v>1087.5</v>
      </c>
      <c r="X22" s="5050">
        <v>531</v>
      </c>
      <c r="Y22" s="7676">
        <f>+W22+S22+O22</f>
        <v>2546.4</v>
      </c>
      <c r="Z22" s="3134">
        <f t="shared" si="18"/>
        <v>1567</v>
      </c>
      <c r="AA22" s="7673">
        <f>+Y22+M22</f>
        <v>5571.4554690997265</v>
      </c>
      <c r="AB22" s="3968">
        <f t="shared" si="17"/>
        <v>2860</v>
      </c>
      <c r="AC22" s="7670">
        <f>+AC29/150</f>
        <v>1185</v>
      </c>
      <c r="AD22" s="5365">
        <v>486</v>
      </c>
      <c r="AE22" s="7666">
        <f>+AA22+AC22</f>
        <v>6756.4554690997265</v>
      </c>
      <c r="AF22" s="3558">
        <f>+AB22+AD22</f>
        <v>3346</v>
      </c>
      <c r="AG22" s="7670">
        <f>+AG29/150</f>
        <v>1145.5</v>
      </c>
      <c r="AH22" s="5552">
        <v>26</v>
      </c>
      <c r="AI22" s="7666">
        <f>+AE22+AG22</f>
        <v>7901.9554690997265</v>
      </c>
      <c r="AJ22" s="5540">
        <f>+AF22+AH22</f>
        <v>3372</v>
      </c>
      <c r="AK22" s="7670">
        <f>+AK29/150</f>
        <v>1185.6030000000001</v>
      </c>
      <c r="AL22" s="5948">
        <v>500</v>
      </c>
      <c r="AM22" s="7676">
        <f>+AK22+AG22+AC22</f>
        <v>3516.1030000000001</v>
      </c>
      <c r="AN22" s="3134">
        <f t="shared" ref="AN22:AN24" si="26">+AL22+AH22+AD22</f>
        <v>1012</v>
      </c>
      <c r="AO22" s="7666">
        <f>+AK22+AI22</f>
        <v>9087.5584690997275</v>
      </c>
      <c r="AP22" s="3133">
        <f t="shared" si="20"/>
        <v>3872</v>
      </c>
      <c r="AQ22" s="7670">
        <f>+AQ29/150</f>
        <v>1185</v>
      </c>
      <c r="AR22" s="6098">
        <v>585</v>
      </c>
      <c r="AS22" s="7666">
        <f>+AO22+AQ22</f>
        <v>10272.558469099728</v>
      </c>
      <c r="AT22" s="3558">
        <f>+AP22+AR22</f>
        <v>4457</v>
      </c>
      <c r="AU22" s="7670">
        <f>+AU29/150</f>
        <v>1066.5</v>
      </c>
      <c r="AV22" s="6258">
        <v>510</v>
      </c>
      <c r="AW22" s="7666">
        <f>+AS22+AU22</f>
        <v>11339.058469099728</v>
      </c>
      <c r="AX22" s="6250">
        <f>+AT22+AV22</f>
        <v>4967</v>
      </c>
      <c r="AY22" s="7670">
        <f>+AY29/150</f>
        <v>1185</v>
      </c>
      <c r="AZ22" s="6433">
        <v>509</v>
      </c>
      <c r="BA22" s="7676">
        <f>+AY22+AU22+AQ22</f>
        <v>3436.5</v>
      </c>
      <c r="BB22" s="3134">
        <f t="shared" ref="BB22:BB24" si="27">+AZ22+AV22+AR22</f>
        <v>1604</v>
      </c>
      <c r="BC22" s="7673">
        <f>+BA22+AM22</f>
        <v>6952.6030000000001</v>
      </c>
      <c r="BD22" s="3179">
        <f t="shared" ref="BD22:BD24" si="28">+BB22+AN22</f>
        <v>2616</v>
      </c>
      <c r="BE22" s="7666">
        <f>+AW22+AY22</f>
        <v>12524.058469099728</v>
      </c>
      <c r="BF22" s="3769">
        <f>+AX22+AZ22</f>
        <v>5476</v>
      </c>
      <c r="BG22" s="3948"/>
      <c r="BH22" s="3948"/>
      <c r="BI22" s="4364"/>
      <c r="BJ22" s="4364"/>
      <c r="BK22" s="3948"/>
      <c r="BL22" s="3948"/>
      <c r="BM22" s="4364"/>
      <c r="BN22" s="4364"/>
    </row>
    <row r="23" spans="1:66" ht="15" x14ac:dyDescent="0.25">
      <c r="A23" s="4" t="s">
        <v>470</v>
      </c>
      <c r="B23" s="1772" t="s">
        <v>284</v>
      </c>
      <c r="C23" s="3479" t="s">
        <v>175</v>
      </c>
      <c r="D23" s="7299"/>
      <c r="E23" s="7670"/>
      <c r="F23" s="3202">
        <v>553</v>
      </c>
      <c r="G23" s="7670"/>
      <c r="H23" s="7194">
        <v>599</v>
      </c>
      <c r="I23" s="7666"/>
      <c r="J23" s="3558">
        <f>+F23+H23</f>
        <v>1152</v>
      </c>
      <c r="K23" s="7670"/>
      <c r="L23" s="4602">
        <v>377</v>
      </c>
      <c r="M23" s="7676"/>
      <c r="N23" s="3134">
        <f>+L23+H23+F23</f>
        <v>1529</v>
      </c>
      <c r="O23" s="7670"/>
      <c r="P23" s="4790">
        <v>598</v>
      </c>
      <c r="Q23" s="7666"/>
      <c r="R23" s="3558">
        <f>+N23+P23</f>
        <v>2127</v>
      </c>
      <c r="S23" s="7670"/>
      <c r="T23" s="4929">
        <v>657</v>
      </c>
      <c r="U23" s="7666"/>
      <c r="V23" s="3558">
        <f>+R23+T23</f>
        <v>2784</v>
      </c>
      <c r="W23" s="7670"/>
      <c r="X23" s="5050">
        <v>605</v>
      </c>
      <c r="Y23" s="7676"/>
      <c r="Z23" s="3134">
        <f t="shared" si="18"/>
        <v>1860</v>
      </c>
      <c r="AA23" s="7673"/>
      <c r="AB23" s="3968">
        <f t="shared" si="17"/>
        <v>3389</v>
      </c>
      <c r="AC23" s="7670"/>
      <c r="AD23" s="5365">
        <v>606</v>
      </c>
      <c r="AE23" s="7666"/>
      <c r="AF23" s="3558">
        <f>+AB23+AD23</f>
        <v>3995</v>
      </c>
      <c r="AG23" s="7670"/>
      <c r="AH23" s="5552">
        <v>26</v>
      </c>
      <c r="AI23" s="7666"/>
      <c r="AJ23" s="5540">
        <f>+AF23+AH23</f>
        <v>4021</v>
      </c>
      <c r="AK23" s="7670"/>
      <c r="AL23" s="5948">
        <v>644</v>
      </c>
      <c r="AM23" s="7676"/>
      <c r="AN23" s="3134">
        <f t="shared" si="26"/>
        <v>1276</v>
      </c>
      <c r="AO23" s="7666"/>
      <c r="AP23" s="3133">
        <f t="shared" si="20"/>
        <v>4665</v>
      </c>
      <c r="AQ23" s="7670"/>
      <c r="AR23" s="6098">
        <v>604</v>
      </c>
      <c r="AS23" s="7666"/>
      <c r="AT23" s="3558">
        <f>+AP23+AR23</f>
        <v>5269</v>
      </c>
      <c r="AU23" s="7670"/>
      <c r="AV23" s="6258">
        <v>553</v>
      </c>
      <c r="AW23" s="7666"/>
      <c r="AX23" s="6250">
        <f>+AT23+AV23</f>
        <v>5822</v>
      </c>
      <c r="AY23" s="7670"/>
      <c r="AZ23" s="6433">
        <v>599</v>
      </c>
      <c r="BA23" s="7676"/>
      <c r="BB23" s="3134">
        <f t="shared" si="27"/>
        <v>1756</v>
      </c>
      <c r="BC23" s="7673"/>
      <c r="BD23" s="3179">
        <f t="shared" si="28"/>
        <v>3032</v>
      </c>
      <c r="BE23" s="7666"/>
      <c r="BF23" s="3769">
        <f>+AX23+AZ23</f>
        <v>6421</v>
      </c>
      <c r="BG23" s="3948"/>
      <c r="BH23" s="3948"/>
      <c r="BI23" s="4364"/>
      <c r="BJ23" s="4364"/>
      <c r="BK23" s="3948"/>
      <c r="BL23" s="3948"/>
      <c r="BM23" s="4364"/>
      <c r="BN23" s="4364"/>
    </row>
    <row r="24" spans="1:66" ht="15.75" thickBot="1" x14ac:dyDescent="0.3">
      <c r="A24" s="4" t="s">
        <v>470</v>
      </c>
      <c r="B24" s="1773" t="s">
        <v>285</v>
      </c>
      <c r="C24" s="750" t="s">
        <v>175</v>
      </c>
      <c r="D24" s="3938">
        <f>+D38/150</f>
        <v>5277.0448548812665</v>
      </c>
      <c r="E24" s="3202">
        <f>+E38/150</f>
        <v>436.23570800351797</v>
      </c>
      <c r="F24" s="3202">
        <v>369</v>
      </c>
      <c r="G24" s="7194">
        <f>+G38/150</f>
        <v>457.34388742304327</v>
      </c>
      <c r="H24" s="7194">
        <v>393</v>
      </c>
      <c r="I24" s="3133">
        <f>+E24+G24</f>
        <v>893.57959542656124</v>
      </c>
      <c r="J24" s="3558">
        <f>+F24+H24</f>
        <v>762</v>
      </c>
      <c r="K24" s="4602">
        <f>+K38/150</f>
        <v>225.27546666666666</v>
      </c>
      <c r="L24" s="4602">
        <v>203</v>
      </c>
      <c r="M24" s="3134">
        <f>+K24+G24+E24</f>
        <v>1118.8550620932278</v>
      </c>
      <c r="N24" s="3134">
        <f>+L24+H24+F24</f>
        <v>965</v>
      </c>
      <c r="O24" s="4790">
        <f>+O38/150</f>
        <v>90.628301866666661</v>
      </c>
      <c r="P24" s="4790">
        <v>391</v>
      </c>
      <c r="Q24" s="3133">
        <f>+M24+O24</f>
        <v>1209.4833639598944</v>
      </c>
      <c r="R24" s="3558">
        <f>+N24+P24</f>
        <v>1356</v>
      </c>
      <c r="S24" s="4929">
        <f>+S38/150</f>
        <v>382.04399999999998</v>
      </c>
      <c r="T24" s="4929">
        <v>381</v>
      </c>
      <c r="U24" s="4930">
        <f>+Q24+S24</f>
        <v>1591.5273639598945</v>
      </c>
      <c r="V24" s="3558">
        <f>+R24+T24</f>
        <v>1737</v>
      </c>
      <c r="W24" s="5461">
        <f>+W38/150</f>
        <v>369.22953333333334</v>
      </c>
      <c r="X24" s="5050">
        <v>374</v>
      </c>
      <c r="Y24" s="3134">
        <f t="shared" si="18"/>
        <v>841.90183519999994</v>
      </c>
      <c r="Z24" s="3134">
        <f t="shared" si="18"/>
        <v>1146</v>
      </c>
      <c r="AA24" s="3179">
        <f>+Y24+M24</f>
        <v>1960.7568972932277</v>
      </c>
      <c r="AB24" s="3968">
        <f t="shared" si="17"/>
        <v>2111</v>
      </c>
      <c r="AC24" s="5365">
        <f>+AC38/150</f>
        <v>384.93710691823895</v>
      </c>
      <c r="AD24" s="5365">
        <v>359</v>
      </c>
      <c r="AE24" s="3133">
        <f>+AA24+AC24</f>
        <v>2345.6940042114666</v>
      </c>
      <c r="AF24" s="3558">
        <f>+AB24+AD24</f>
        <v>2470</v>
      </c>
      <c r="AG24" s="5552">
        <f>+AG38/150</f>
        <v>374.122641509434</v>
      </c>
      <c r="AH24" s="5552">
        <v>0</v>
      </c>
      <c r="AI24" s="5553">
        <f>+AE24+AG24</f>
        <v>2719.8166457209004</v>
      </c>
      <c r="AJ24" s="5540">
        <f>+AF24+AH24</f>
        <v>2470</v>
      </c>
      <c r="AK24" s="5948">
        <f>+AK38/150</f>
        <v>384.33410691823866</v>
      </c>
      <c r="AL24" s="5948">
        <v>387</v>
      </c>
      <c r="AM24" s="3134">
        <f t="shared" ref="AM24" si="29">+AK24+AG24+AC24</f>
        <v>1143.3938553459116</v>
      </c>
      <c r="AN24" s="3134">
        <f t="shared" si="26"/>
        <v>746</v>
      </c>
      <c r="AO24" s="3133">
        <f t="shared" si="20"/>
        <v>3104.1507526391392</v>
      </c>
      <c r="AP24" s="3133">
        <f t="shared" si="20"/>
        <v>2857</v>
      </c>
      <c r="AQ24" s="6098">
        <f>+AQ38/150</f>
        <v>384.93710691823867</v>
      </c>
      <c r="AR24" s="6098">
        <v>410</v>
      </c>
      <c r="AS24" s="3133">
        <f>+AO24+AQ24</f>
        <v>3489.0878595573777</v>
      </c>
      <c r="AT24" s="3558">
        <f>+AP24+AR24</f>
        <v>3267</v>
      </c>
      <c r="AU24" s="6258">
        <f>+AU38/150</f>
        <v>346.20440251572336</v>
      </c>
      <c r="AV24" s="6258">
        <v>380</v>
      </c>
      <c r="AW24" s="6256">
        <f>+AS24+AU24</f>
        <v>3835.292262073101</v>
      </c>
      <c r="AX24" s="6250">
        <f>+AT24+AV24</f>
        <v>3647</v>
      </c>
      <c r="AY24" s="6433">
        <f>+AY38/150</f>
        <v>384.93710691823867</v>
      </c>
      <c r="AZ24" s="6433">
        <v>464</v>
      </c>
      <c r="BA24" s="3134">
        <f t="shared" ref="BA24" si="30">+AY24+AU24+AQ24</f>
        <v>1116.0786163522007</v>
      </c>
      <c r="BB24" s="3134">
        <f t="shared" si="27"/>
        <v>1254</v>
      </c>
      <c r="BC24" s="3179">
        <f>+BA24+AM24</f>
        <v>2259.4724716981123</v>
      </c>
      <c r="BD24" s="3179">
        <f t="shared" si="28"/>
        <v>2000</v>
      </c>
      <c r="BE24" s="3133">
        <f>+AW24+AY24</f>
        <v>4220.2293689913395</v>
      </c>
      <c r="BF24" s="3769">
        <f>+AX24+AZ24</f>
        <v>4111</v>
      </c>
      <c r="BG24" s="3948"/>
      <c r="BH24" s="3948"/>
      <c r="BI24" s="4364"/>
      <c r="BJ24" s="4364"/>
      <c r="BK24" s="3948"/>
      <c r="BL24" s="3948"/>
      <c r="BM24" s="4364"/>
      <c r="BN24" s="4364"/>
    </row>
    <row r="25" spans="1:66" ht="15.75" thickBot="1" x14ac:dyDescent="0.3">
      <c r="B25" s="2496" t="s">
        <v>286</v>
      </c>
      <c r="C25" s="3970" t="s">
        <v>175</v>
      </c>
      <c r="D25" s="3992">
        <f t="shared" ref="D25:L25" si="31">SUM(D22:D24)</f>
        <v>18466.792571608465</v>
      </c>
      <c r="E25" s="3993">
        <f t="shared" si="31"/>
        <v>1580.7365439093514</v>
      </c>
      <c r="F25" s="3814">
        <f t="shared" si="31"/>
        <v>1323</v>
      </c>
      <c r="G25" s="7196">
        <f t="shared" ref="G25:H25" si="32">SUM(G22:G24)</f>
        <v>1631.0985206169364</v>
      </c>
      <c r="H25" s="3814">
        <f t="shared" si="32"/>
        <v>1516</v>
      </c>
      <c r="I25" s="3994">
        <f t="shared" si="31"/>
        <v>3211.8350645262881</v>
      </c>
      <c r="J25" s="3812">
        <f t="shared" si="31"/>
        <v>2839</v>
      </c>
      <c r="K25" s="4605">
        <f t="shared" si="31"/>
        <v>932.07546666666667</v>
      </c>
      <c r="L25" s="3814">
        <f t="shared" si="31"/>
        <v>948</v>
      </c>
      <c r="M25" s="3995">
        <f t="shared" ref="M25:R25" si="33">SUM(M22:M24)</f>
        <v>4143.9105311929543</v>
      </c>
      <c r="N25" s="3957">
        <f t="shared" si="33"/>
        <v>3787</v>
      </c>
      <c r="O25" s="4792">
        <f>SUM(O22:O24)</f>
        <v>424.52830186666665</v>
      </c>
      <c r="P25" s="3814">
        <f>SUM(P22:P24)</f>
        <v>1544</v>
      </c>
      <c r="Q25" s="3994">
        <f t="shared" si="33"/>
        <v>4568.4388330596212</v>
      </c>
      <c r="R25" s="3812">
        <f t="shared" si="33"/>
        <v>5331</v>
      </c>
      <c r="S25" s="4933">
        <f>SUM(S22:S24)</f>
        <v>1507.0439999999999</v>
      </c>
      <c r="T25" s="3814">
        <f>SUM(T22:T24)</f>
        <v>1519</v>
      </c>
      <c r="U25" s="4927">
        <f t="shared" ref="U25:V25" si="34">SUM(U22:U24)</f>
        <v>6075.482833059621</v>
      </c>
      <c r="V25" s="3812">
        <f t="shared" si="34"/>
        <v>6850</v>
      </c>
      <c r="W25" s="5463">
        <f>SUM(W22:W24)</f>
        <v>1456.7295333333334</v>
      </c>
      <c r="X25" s="3814">
        <f>SUM(X22:X24)</f>
        <v>1510</v>
      </c>
      <c r="Y25" s="3995">
        <f t="shared" ref="Y25:AF25" si="35">SUM(Y22:Y24)</f>
        <v>3388.3018351999999</v>
      </c>
      <c r="Z25" s="3957">
        <f t="shared" si="35"/>
        <v>4573</v>
      </c>
      <c r="AA25" s="3166">
        <f t="shared" si="35"/>
        <v>7532.2123663929542</v>
      </c>
      <c r="AB25" s="3959">
        <f t="shared" si="35"/>
        <v>8360</v>
      </c>
      <c r="AC25" s="5366">
        <f>SUM(AC22:AC24)</f>
        <v>1569.9371069182389</v>
      </c>
      <c r="AD25" s="3814">
        <f>SUM(AD22:AD24)</f>
        <v>1451</v>
      </c>
      <c r="AE25" s="3994">
        <f t="shared" si="35"/>
        <v>9102.149473311194</v>
      </c>
      <c r="AF25" s="3812">
        <f t="shared" si="35"/>
        <v>9811</v>
      </c>
      <c r="AG25" s="5556">
        <f>SUM(AG22:AG24)</f>
        <v>1519.6226415094341</v>
      </c>
      <c r="AH25" s="3814">
        <f>SUM(AH22:AH24)</f>
        <v>52</v>
      </c>
      <c r="AI25" s="5550">
        <f t="shared" ref="AI25:AJ25" si="36">SUM(AI22:AI24)</f>
        <v>10621.772114820627</v>
      </c>
      <c r="AJ25" s="3812">
        <f t="shared" si="36"/>
        <v>9863</v>
      </c>
      <c r="AK25" s="5950">
        <f>SUM(AK22:AK24)</f>
        <v>1569.9371069182387</v>
      </c>
      <c r="AL25" s="3814">
        <f>SUM(AL22:AL24)</f>
        <v>1531</v>
      </c>
      <c r="AM25" s="3995">
        <f t="shared" ref="AM25:AT25" si="37">SUM(AM22:AM24)</f>
        <v>4659.4968553459112</v>
      </c>
      <c r="AN25" s="3957">
        <f t="shared" si="37"/>
        <v>3034</v>
      </c>
      <c r="AO25" s="3994">
        <f t="shared" si="37"/>
        <v>12191.709221738867</v>
      </c>
      <c r="AP25" s="3812">
        <f t="shared" si="37"/>
        <v>11394</v>
      </c>
      <c r="AQ25" s="6099">
        <f>SUM(AQ22:AQ24)</f>
        <v>1569.9371069182387</v>
      </c>
      <c r="AR25" s="3814">
        <f>SUM(AR22:AR24)</f>
        <v>1599</v>
      </c>
      <c r="AS25" s="3994">
        <f t="shared" si="37"/>
        <v>13761.646328657105</v>
      </c>
      <c r="AT25" s="3812">
        <f t="shared" si="37"/>
        <v>12993</v>
      </c>
      <c r="AU25" s="6259">
        <f>SUM(AU22:AU24)</f>
        <v>1412.7044025157234</v>
      </c>
      <c r="AV25" s="3814">
        <f>SUM(AV22:AV24)</f>
        <v>1443</v>
      </c>
      <c r="AW25" s="6254">
        <f t="shared" ref="AW25:AX25" si="38">SUM(AW22:AW24)</f>
        <v>15174.350731172828</v>
      </c>
      <c r="AX25" s="3812">
        <f t="shared" si="38"/>
        <v>14436</v>
      </c>
      <c r="AY25" s="6434">
        <f>SUM(AY22:AY24)</f>
        <v>1569.9371069182387</v>
      </c>
      <c r="AZ25" s="3814">
        <f>SUM(AZ22:AZ24)</f>
        <v>1572</v>
      </c>
      <c r="BA25" s="3995">
        <f t="shared" ref="BA25:BD25" si="39">SUM(BA22:BA24)</f>
        <v>4552.5786163522007</v>
      </c>
      <c r="BB25" s="3957">
        <f t="shared" si="39"/>
        <v>4614</v>
      </c>
      <c r="BC25" s="3166">
        <f t="shared" si="39"/>
        <v>9212.0754716981119</v>
      </c>
      <c r="BD25" s="3959">
        <f t="shared" si="39"/>
        <v>7648</v>
      </c>
      <c r="BE25" s="3994">
        <f t="shared" ref="BE25:BF25" si="40">SUM(BE22:BE24)</f>
        <v>16744.287838091066</v>
      </c>
      <c r="BF25" s="915">
        <f t="shared" si="40"/>
        <v>16008</v>
      </c>
      <c r="BG25" s="3948"/>
      <c r="BH25" s="3948"/>
      <c r="BI25" s="4364"/>
      <c r="BJ25" s="4364"/>
      <c r="BK25" s="3948"/>
      <c r="BL25" s="3948"/>
      <c r="BM25" s="4364"/>
      <c r="BN25" s="4364"/>
    </row>
    <row r="26" spans="1:66" ht="15.75" thickBot="1" x14ac:dyDescent="0.3">
      <c r="B26" s="3997" t="s">
        <v>557</v>
      </c>
      <c r="C26" s="3940" t="s">
        <v>353</v>
      </c>
      <c r="D26" s="7140">
        <f>+'Maj Production Summ'!D21</f>
        <v>54.152138305122264</v>
      </c>
      <c r="E26" s="3998">
        <f>+'Maj Production Summ'!E21</f>
        <v>54.508156686529361</v>
      </c>
      <c r="F26" s="3998">
        <f>+'Maj Production Summ'!F21</f>
        <v>49.612499999999997</v>
      </c>
      <c r="G26" s="7197">
        <f>+'Maj Production Summ'!G21</f>
        <v>54.369950687231139</v>
      </c>
      <c r="H26" s="7197">
        <f>+'Maj Production Summ'!H21</f>
        <v>50.886713286713288</v>
      </c>
      <c r="I26" s="2437">
        <f>+'Maj Production Summ'!I21</f>
        <v>54.437882449598057</v>
      </c>
      <c r="J26" s="2437">
        <f>+'Maj Production Summ'!J21</f>
        <v>50.284870848708486</v>
      </c>
      <c r="K26" s="4606">
        <f>+'Maj Production Summ'!K21</f>
        <v>32.140533506831488</v>
      </c>
      <c r="L26" s="4606">
        <f>+'Maj Production Summ'!L21</f>
        <v>37.794019933554821</v>
      </c>
      <c r="M26" s="2438">
        <f>+'Maj Production Summ'!M21</f>
        <v>47.089892457095445</v>
      </c>
      <c r="N26" s="2438">
        <f>+'Maj Production Summ'!N21</f>
        <v>46.442514052120593</v>
      </c>
      <c r="O26" s="4793">
        <f>+'Maj Production Summ'!O21</f>
        <v>14.150943396226413</v>
      </c>
      <c r="P26" s="4793">
        <f>+'Maj Production Summ'!P21</f>
        <v>51.041322314049587</v>
      </c>
      <c r="Q26" s="3998">
        <f>+'Maj Production Summ'!Q21</f>
        <v>38.715583373823655</v>
      </c>
      <c r="R26" s="3998">
        <f>+'Maj Production Summ'!R21</f>
        <v>47.686917629519193</v>
      </c>
      <c r="S26" s="4934">
        <f>+'Maj Production Summ'!S21</f>
        <v>50.234800838574422</v>
      </c>
      <c r="T26" s="4934">
        <f>+'Maj Production Summ'!T21</f>
        <v>51.346478873239441</v>
      </c>
      <c r="U26" s="4934">
        <f>+'Maj Production Summ'!U21</f>
        <v>41.050559886948811</v>
      </c>
      <c r="V26" s="4934">
        <f>+'Maj Production Summ'!V21</f>
        <v>48.452696728558799</v>
      </c>
      <c r="W26" s="5464">
        <f>+'Maj Production Summ'!W21</f>
        <v>85.60503488152554</v>
      </c>
      <c r="X26" s="5052">
        <f>+'Maj Production Summ'!X21</f>
        <v>50.473537604456823</v>
      </c>
      <c r="Y26" s="3998">
        <f>+'Maj Production Summ'!Y21</f>
        <v>43.994282962787182</v>
      </c>
      <c r="Z26" s="3998">
        <f>+'Maj Production Summ'!Z21</f>
        <v>50.952646239554319</v>
      </c>
      <c r="AA26" s="3998">
        <f>+'Maj Production Summ'!AA21</f>
        <v>45.645105934256144</v>
      </c>
      <c r="AB26" s="3998">
        <f>+'Maj Production Summ'!AB21</f>
        <v>48.805643395767454</v>
      </c>
      <c r="AC26" s="5367">
        <f>+'Maj Production Summ'!AC21</f>
        <v>52.331236897274628</v>
      </c>
      <c r="AD26" s="5367">
        <f>+'Maj Production Summ'!AD21</f>
        <v>48.422487033663806</v>
      </c>
      <c r="AE26" s="3998">
        <f>+'Maj Production Summ'!AE21</f>
        <v>46.67365249790933</v>
      </c>
      <c r="AF26" s="3998">
        <f>+'Maj Production Summ'!AF21</f>
        <v>48.748594769956341</v>
      </c>
      <c r="AG26" s="5557">
        <f>+'Maj Production Summ'!AG21</f>
        <v>52.400780741704615</v>
      </c>
      <c r="AH26" s="5557">
        <f>+'Maj Production Summ'!AH21</f>
        <v>52</v>
      </c>
      <c r="AI26" s="5557">
        <f>+'Maj Production Summ'!AI21</f>
        <v>47.415055236666916</v>
      </c>
      <c r="AJ26" s="5557">
        <f>+'Maj Production Summ'!AJ21</f>
        <v>48.764670376192015</v>
      </c>
      <c r="AK26" s="5951">
        <f>+'Maj Production Summ'!AK21</f>
        <v>52.331236897274628</v>
      </c>
      <c r="AL26" s="5951">
        <f>+'Maj Production Summ'!AL21</f>
        <v>49.788617886178862</v>
      </c>
      <c r="AM26" s="3998">
        <f>+'Maj Production Summ'!AM21</f>
        <v>52.353897251077655</v>
      </c>
      <c r="AN26" s="3998">
        <f>+'Maj Production Summ'!AN21</f>
        <v>49.161136128871092</v>
      </c>
      <c r="AO26" s="3998">
        <f>+'Maj Production Summ'!AO21</f>
        <v>47.99566805693847</v>
      </c>
      <c r="AP26" s="3998">
        <f>+'Maj Production Summ'!AP21</f>
        <v>48.899800971715813</v>
      </c>
      <c r="AQ26" s="6100">
        <f>+'Maj Production Summ'!AQ21</f>
        <v>52.331236897274628</v>
      </c>
      <c r="AR26" s="6100">
        <f>+'Maj Production Summ'!AR21</f>
        <v>53.523012552301253</v>
      </c>
      <c r="AS26" s="3998">
        <f>+'Maj Production Summ'!AS21</f>
        <v>48.453623481800257</v>
      </c>
      <c r="AT26" s="3998">
        <f>+'Maj Production Summ'!AT21</f>
        <v>49.425201730180049</v>
      </c>
      <c r="AU26" s="6260">
        <f>+'Maj Production Summ'!AU21</f>
        <v>52.322385278360123</v>
      </c>
      <c r="AV26" s="6260">
        <f>+'Maj Production Summ'!AV21</f>
        <v>53.07586206896552</v>
      </c>
      <c r="AW26" s="6260">
        <f>+'Maj Production Summ'!AW21</f>
        <v>48.789478476922774</v>
      </c>
      <c r="AX26" s="6260">
        <f>+'Maj Production Summ'!AX21</f>
        <v>49.767369036452465</v>
      </c>
      <c r="AY26" s="6435">
        <f>+'Maj Production Summ'!AY21</f>
        <v>52.331236897274628</v>
      </c>
      <c r="AZ26" s="6435">
        <f>+'Maj Production Summ'!AZ21</f>
        <v>52.002756719503786</v>
      </c>
      <c r="BA26" s="3998">
        <f>+'Maj Production Summ'!BA21</f>
        <v>52.328489843128743</v>
      </c>
      <c r="BB26" s="3998">
        <f>+'Maj Production Summ'!BB21</f>
        <v>52.857279236276845</v>
      </c>
      <c r="BC26" s="3998">
        <f>+'Maj Production Summ'!BC21</f>
        <v>52.341337907375639</v>
      </c>
      <c r="BD26" s="3998">
        <f>+'Maj Production Summ'!BD21</f>
        <v>51.326419046074427</v>
      </c>
      <c r="BE26" s="3998">
        <f>+'Maj Production Summ'!BE21</f>
        <v>49.101054714775408</v>
      </c>
      <c r="BF26" s="2934">
        <f>+'Maj Production Summ'!BF21</f>
        <v>49.978340533642424</v>
      </c>
      <c r="BG26" s="3948"/>
      <c r="BH26" s="3948"/>
      <c r="BI26" s="4364"/>
      <c r="BJ26" s="4364"/>
      <c r="BK26" s="3948"/>
      <c r="BL26" s="3948"/>
      <c r="BM26" s="4364"/>
      <c r="BN26" s="4364"/>
    </row>
    <row r="27" spans="1:66" ht="15.75" thickBot="1" x14ac:dyDescent="0.3">
      <c r="B27" s="1785" t="s">
        <v>448</v>
      </c>
      <c r="C27" s="837" t="s">
        <v>50</v>
      </c>
      <c r="D27" s="3941">
        <f>+D20-D5</f>
        <v>71026.125275417231</v>
      </c>
      <c r="E27" s="3999">
        <f>+E20-E5</f>
        <v>6079.7559381131723</v>
      </c>
      <c r="F27" s="4000">
        <v>2999</v>
      </c>
      <c r="G27" s="6252">
        <f>+G20-G5</f>
        <v>6273.4558485268208</v>
      </c>
      <c r="H27" s="4000">
        <v>3264</v>
      </c>
      <c r="I27" s="4001">
        <f>+E27+G27</f>
        <v>12353.211786639993</v>
      </c>
      <c r="J27" s="4001">
        <f>+F27+H27</f>
        <v>6263</v>
      </c>
      <c r="K27" s="4596">
        <f>+K20-K5</f>
        <v>4324.0614666407346</v>
      </c>
      <c r="L27" s="4000">
        <v>1811.78</v>
      </c>
      <c r="M27" s="4002">
        <f>+K27+G27+E27</f>
        <v>16677.273253280728</v>
      </c>
      <c r="N27" s="4002">
        <f>+L27+H27+F27</f>
        <v>8074.78</v>
      </c>
      <c r="O27" s="4770">
        <f>+O20-O5</f>
        <v>1969.4611943201307</v>
      </c>
      <c r="P27" s="4000">
        <v>3054.06</v>
      </c>
      <c r="Q27" s="4001">
        <f>+M27+O27</f>
        <v>18646.734447600858</v>
      </c>
      <c r="R27" s="4001">
        <f>+N27+P27</f>
        <v>11128.84</v>
      </c>
      <c r="S27" s="4911">
        <f>+S20-S5</f>
        <v>6991.441353822127</v>
      </c>
      <c r="T27" s="4000">
        <v>2656</v>
      </c>
      <c r="U27" s="4912">
        <f>+Q27+S27</f>
        <v>25638.175801422985</v>
      </c>
      <c r="V27" s="4912">
        <f>+R27+T27</f>
        <v>13784.84</v>
      </c>
      <c r="W27" s="5455">
        <f>+W20-W5</f>
        <v>6758.0237307918142</v>
      </c>
      <c r="X27" s="4000">
        <v>2627.56</v>
      </c>
      <c r="Y27" s="4003">
        <f>+W27+S27+O27</f>
        <v>15718.926278934072</v>
      </c>
      <c r="Z27" s="4003">
        <f>+X27+T27+P27</f>
        <v>8337.619999999999</v>
      </c>
      <c r="AA27" s="3939">
        <f>+Y27+M27</f>
        <v>32396.1995322148</v>
      </c>
      <c r="AB27" s="3939">
        <f t="shared" ref="AB27:AB33" si="41">+Z27+N27</f>
        <v>16412.399999999998</v>
      </c>
      <c r="AC27" s="5354">
        <f>+AC20-AC5</f>
        <v>7283.2133826102363</v>
      </c>
      <c r="AD27" s="4000">
        <v>2710.03</v>
      </c>
      <c r="AE27" s="4001">
        <f>+AA27+AC27</f>
        <v>39679.412914825036</v>
      </c>
      <c r="AF27" s="4001">
        <f>+AB27+AD27</f>
        <v>19122.429999999997</v>
      </c>
      <c r="AG27" s="5532">
        <f>+AG20-AG5</f>
        <v>7049.7957595799526</v>
      </c>
      <c r="AH27" s="4000">
        <v>137.66</v>
      </c>
      <c r="AI27" s="5533">
        <f>+AE27+AG27</f>
        <v>46729.208674404988</v>
      </c>
      <c r="AJ27" s="5533">
        <f>+AF27+AH27</f>
        <v>19260.089999999997</v>
      </c>
      <c r="AK27" s="5941">
        <f>+AK20-AK5</f>
        <v>7283.2133826102363</v>
      </c>
      <c r="AL27" s="4000">
        <v>2919.71</v>
      </c>
      <c r="AM27" s="4003">
        <f>+AK27+AG27+AC27</f>
        <v>21616.222524800425</v>
      </c>
      <c r="AN27" s="4003">
        <f>+AL27+AH27+AD27</f>
        <v>5767.4</v>
      </c>
      <c r="AO27" s="4001">
        <f>+AK27+AI27</f>
        <v>54012.422057015225</v>
      </c>
      <c r="AP27" s="4001">
        <f>+AL27+AJ27</f>
        <v>22179.799999999996</v>
      </c>
      <c r="AQ27" s="6086">
        <f>+AQ20-AQ5</f>
        <v>7283.2133826102363</v>
      </c>
      <c r="AR27" s="4000">
        <v>3202</v>
      </c>
      <c r="AS27" s="4001">
        <f>+AO27+AQ27</f>
        <v>61295.635439625461</v>
      </c>
      <c r="AT27" s="4001">
        <f>+AP27+AR27</f>
        <v>25381.799999999996</v>
      </c>
      <c r="AU27" s="6252">
        <f>+AU20-AU5</f>
        <v>6553.7833106404578</v>
      </c>
      <c r="AV27" s="4000">
        <v>2956</v>
      </c>
      <c r="AW27" s="6249">
        <f>+AS27+AU27</f>
        <v>67849.418750265919</v>
      </c>
      <c r="AX27" s="6249">
        <f>+AT27+AV27</f>
        <v>28337.799999999996</v>
      </c>
      <c r="AY27" s="6252">
        <f>+AY20-AY5</f>
        <v>7283.2133826102363</v>
      </c>
      <c r="AZ27" s="4000">
        <v>3280</v>
      </c>
      <c r="BA27" s="4003">
        <f>+AY27+AU27+AQ27</f>
        <v>21120.21007586093</v>
      </c>
      <c r="BB27" s="4003">
        <f>+AZ27+AV27+AR27</f>
        <v>9438</v>
      </c>
      <c r="BC27" s="3939">
        <f t="shared" ref="BC27:BD33" si="42">+BA27+AM27</f>
        <v>42736.432600661356</v>
      </c>
      <c r="BD27" s="3939">
        <f t="shared" si="42"/>
        <v>15205.4</v>
      </c>
      <c r="BE27" s="4001">
        <f>+AW27+AY27</f>
        <v>75132.632132876155</v>
      </c>
      <c r="BF27" s="4004">
        <f>+AX27+AZ27</f>
        <v>31617.799999999996</v>
      </c>
      <c r="BG27" s="3948"/>
      <c r="BH27" s="3948"/>
      <c r="BI27" s="4364"/>
      <c r="BJ27" s="4364"/>
      <c r="BK27" s="3948"/>
      <c r="BL27" s="3948"/>
      <c r="BM27" s="4364"/>
      <c r="BN27" s="4364"/>
    </row>
    <row r="28" spans="1:66" ht="15.75" thickBot="1" x14ac:dyDescent="0.3">
      <c r="A28" s="1277"/>
      <c r="B28" s="1319" t="s">
        <v>270</v>
      </c>
      <c r="C28" s="490"/>
      <c r="D28" s="891"/>
      <c r="E28" s="3966"/>
      <c r="F28" s="1711"/>
      <c r="G28" s="3966"/>
      <c r="H28" s="1711"/>
      <c r="I28" s="3966"/>
      <c r="J28" s="4005"/>
      <c r="K28" s="3966"/>
      <c r="L28" s="1711"/>
      <c r="M28" s="3966"/>
      <c r="N28" s="1711"/>
      <c r="O28" s="3966"/>
      <c r="P28" s="1711"/>
      <c r="Q28" s="3966"/>
      <c r="R28" s="1711"/>
      <c r="S28" s="3966"/>
      <c r="T28" s="1711"/>
      <c r="U28" s="3966"/>
      <c r="V28" s="1711"/>
      <c r="W28" s="3966"/>
      <c r="X28" s="1711"/>
      <c r="Y28" s="3966"/>
      <c r="Z28" s="1711"/>
      <c r="AA28" s="3966"/>
      <c r="AB28" s="1711"/>
      <c r="AC28" s="3966"/>
      <c r="AD28" s="1711"/>
      <c r="AE28" s="3966"/>
      <c r="AF28" s="1711"/>
      <c r="AG28" s="3966"/>
      <c r="AH28" s="1711"/>
      <c r="AI28" s="3966"/>
      <c r="AJ28" s="1711"/>
      <c r="AK28" s="3966"/>
      <c r="AL28" s="1711"/>
      <c r="AM28" s="3966"/>
      <c r="AN28" s="1711"/>
      <c r="AO28" s="3966"/>
      <c r="AP28" s="1711"/>
      <c r="AQ28" s="3966"/>
      <c r="AR28" s="1711"/>
      <c r="AS28" s="3966"/>
      <c r="AT28" s="1711"/>
      <c r="AU28" s="3966"/>
      <c r="AV28" s="1711"/>
      <c r="AW28" s="3966"/>
      <c r="AX28" s="1711"/>
      <c r="AY28" s="3966"/>
      <c r="AZ28" s="1711"/>
      <c r="BA28" s="3966"/>
      <c r="BB28" s="1711"/>
      <c r="BC28" s="3966"/>
      <c r="BD28" s="1711"/>
      <c r="BE28" s="3966"/>
      <c r="BF28" s="4005"/>
      <c r="BG28" s="3948"/>
      <c r="BH28" s="3948"/>
      <c r="BI28" s="4364"/>
      <c r="BJ28" s="4364"/>
      <c r="BK28" s="3948"/>
      <c r="BL28" s="3948"/>
      <c r="BM28" s="4364"/>
      <c r="BN28" s="4364"/>
    </row>
    <row r="29" spans="1:66" ht="15" x14ac:dyDescent="0.25">
      <c r="B29" s="3975" t="s">
        <v>160</v>
      </c>
      <c r="C29" s="759" t="s">
        <v>50</v>
      </c>
      <c r="D29" s="7702">
        <v>1978462.1575090799</v>
      </c>
      <c r="E29" s="7692">
        <v>171675.125385875</v>
      </c>
      <c r="F29" s="7194">
        <v>62420</v>
      </c>
      <c r="G29" s="7692">
        <v>176063.19497908399</v>
      </c>
      <c r="H29" s="7194">
        <v>81452.42</v>
      </c>
      <c r="I29" s="7667">
        <f>+E29+G29</f>
        <v>347738.32036495896</v>
      </c>
      <c r="J29" s="39">
        <f>+F29+H29</f>
        <v>143872.41999999998</v>
      </c>
      <c r="K29" s="7677">
        <v>106020</v>
      </c>
      <c r="L29" s="4602">
        <v>55835</v>
      </c>
      <c r="M29" s="7683">
        <f>E29+G29+K29</f>
        <v>453758.32036495896</v>
      </c>
      <c r="N29" s="3134">
        <f>+L29+H29+F29</f>
        <v>199707.41999999998</v>
      </c>
      <c r="O29" s="7677">
        <v>50085</v>
      </c>
      <c r="P29" s="4790">
        <v>84515.59</v>
      </c>
      <c r="Q29" s="7667">
        <f>+M29+O29</f>
        <v>503843.32036495896</v>
      </c>
      <c r="R29" s="3133">
        <f>+N29+P29</f>
        <v>284223.01</v>
      </c>
      <c r="S29" s="7677">
        <v>168750</v>
      </c>
      <c r="T29" s="4974">
        <v>73939</v>
      </c>
      <c r="U29" s="7667">
        <f>+Q29+S29</f>
        <v>672593.32036495896</v>
      </c>
      <c r="V29" s="4930">
        <f>+R29+T29</f>
        <v>358162.01</v>
      </c>
      <c r="W29" s="7677">
        <v>163125</v>
      </c>
      <c r="X29" s="5050">
        <v>81522</v>
      </c>
      <c r="Y29" s="7683">
        <f>+W29+S29+O29</f>
        <v>381960</v>
      </c>
      <c r="Z29" s="3134">
        <f>+X29+T29+P29</f>
        <v>239976.59</v>
      </c>
      <c r="AA29" s="7690">
        <f>+Y29+M29</f>
        <v>835718.32036495896</v>
      </c>
      <c r="AB29" s="3968">
        <f t="shared" si="41"/>
        <v>439684.01</v>
      </c>
      <c r="AC29" s="7677">
        <v>177750</v>
      </c>
      <c r="AD29" s="5365">
        <v>74688</v>
      </c>
      <c r="AE29" s="7667">
        <f>AA29+AC29</f>
        <v>1013468.320364959</v>
      </c>
      <c r="AF29" s="3133">
        <f>+AB29+AD29</f>
        <v>514372.01</v>
      </c>
      <c r="AG29" s="7677">
        <v>171825</v>
      </c>
      <c r="AH29" s="5552">
        <v>3947</v>
      </c>
      <c r="AI29" s="7667">
        <f>AE29+AG29</f>
        <v>1185293.3203649591</v>
      </c>
      <c r="AJ29" s="5553">
        <f>+AF29+AH29</f>
        <v>518319.01</v>
      </c>
      <c r="AK29" s="7692">
        <v>177840.45</v>
      </c>
      <c r="AL29" s="5948">
        <v>76819</v>
      </c>
      <c r="AM29" s="7683">
        <f>+AK29+AG29+AC29</f>
        <v>527415.44999999995</v>
      </c>
      <c r="AN29" s="3134">
        <f>+AL29+AH29+AD29</f>
        <v>155454</v>
      </c>
      <c r="AO29" s="7667">
        <f>AK29+AI29</f>
        <v>1363133.770364959</v>
      </c>
      <c r="AP29" s="3133">
        <f t="shared" ref="AP29:AP33" si="43">+AL29+AJ29</f>
        <v>595138.01</v>
      </c>
      <c r="AQ29" s="7692">
        <v>177750</v>
      </c>
      <c r="AR29" s="6098">
        <v>90255</v>
      </c>
      <c r="AS29" s="7667">
        <f>AO29+AQ29</f>
        <v>1540883.770364959</v>
      </c>
      <c r="AT29" s="3133">
        <f>+AP29+AR29</f>
        <v>685393.01</v>
      </c>
      <c r="AU29" s="7692">
        <v>159975</v>
      </c>
      <c r="AV29" s="6258">
        <v>78506</v>
      </c>
      <c r="AW29" s="7667">
        <f>AS29+AU29</f>
        <v>1700858.770364959</v>
      </c>
      <c r="AX29" s="6256">
        <f>+AT29+AV29</f>
        <v>763899.01</v>
      </c>
      <c r="AY29" s="7692">
        <v>177750</v>
      </c>
      <c r="AZ29" s="6433">
        <v>78732</v>
      </c>
      <c r="BA29" s="7683">
        <f>+AY29+AU29+AQ29</f>
        <v>515475</v>
      </c>
      <c r="BB29" s="3134">
        <f>+AZ29+AV29+AR29</f>
        <v>247493</v>
      </c>
      <c r="BC29" s="7690">
        <f>+BA29+AM29</f>
        <v>1042890.45</v>
      </c>
      <c r="BD29" s="3179">
        <f t="shared" si="42"/>
        <v>402947</v>
      </c>
      <c r="BE29" s="7667">
        <f>AW29+AY29</f>
        <v>1878608.770364959</v>
      </c>
      <c r="BF29" s="39">
        <f t="shared" ref="BF29:BF49" si="44">+AX29+AZ29</f>
        <v>842631.01</v>
      </c>
      <c r="BG29" s="3948"/>
      <c r="BH29" s="3948"/>
      <c r="BI29" s="4364"/>
      <c r="BJ29" s="4364"/>
      <c r="BK29" s="3948"/>
      <c r="BL29" s="3948"/>
      <c r="BM29" s="4364"/>
      <c r="BN29" s="4364"/>
    </row>
    <row r="30" spans="1:66" ht="15.75" thickBot="1" x14ac:dyDescent="0.3">
      <c r="B30" s="4007" t="s">
        <v>1742</v>
      </c>
      <c r="C30" s="3584" t="s">
        <v>50</v>
      </c>
      <c r="D30" s="7703"/>
      <c r="E30" s="7662"/>
      <c r="F30" s="7194">
        <v>72</v>
      </c>
      <c r="G30" s="7662"/>
      <c r="H30" s="7194">
        <v>78</v>
      </c>
      <c r="I30" s="7667"/>
      <c r="J30" s="39">
        <f t="shared" ref="J30:J49" si="45">+F30+H30</f>
        <v>150</v>
      </c>
      <c r="K30" s="7678"/>
      <c r="L30" s="4602">
        <v>194.5</v>
      </c>
      <c r="M30" s="7683"/>
      <c r="N30" s="3134">
        <f>+L30+H30+F30</f>
        <v>344.5</v>
      </c>
      <c r="O30" s="7678"/>
      <c r="P30" s="4790">
        <v>56.5</v>
      </c>
      <c r="Q30" s="7667"/>
      <c r="R30" s="3133">
        <f t="shared" ref="R30:R49" si="46">+N30+P30</f>
        <v>401</v>
      </c>
      <c r="S30" s="7678"/>
      <c r="T30" s="4929">
        <v>59</v>
      </c>
      <c r="U30" s="7667"/>
      <c r="V30" s="4930">
        <f t="shared" ref="V30:V49" si="47">+R30+T30</f>
        <v>460</v>
      </c>
      <c r="W30" s="7678"/>
      <c r="X30" s="5050">
        <v>56.5</v>
      </c>
      <c r="Y30" s="7683"/>
      <c r="Z30" s="3134">
        <f>+X30+T30+P30</f>
        <v>172</v>
      </c>
      <c r="AA30" s="7690"/>
      <c r="AB30" s="3968">
        <f t="shared" si="41"/>
        <v>516.5</v>
      </c>
      <c r="AC30" s="7678"/>
      <c r="AD30" s="5365">
        <v>123</v>
      </c>
      <c r="AE30" s="7667"/>
      <c r="AF30" s="3133">
        <f t="shared" ref="AF30:AF49" si="48">+AB30+AD30</f>
        <v>639.5</v>
      </c>
      <c r="AG30" s="7678"/>
      <c r="AH30" s="5552">
        <v>9</v>
      </c>
      <c r="AI30" s="7667"/>
      <c r="AJ30" s="5553">
        <f t="shared" ref="AJ30:AJ49" si="49">+AF30+AH30</f>
        <v>648.5</v>
      </c>
      <c r="AK30" s="7662"/>
      <c r="AL30" s="5948">
        <v>227.5</v>
      </c>
      <c r="AM30" s="7683"/>
      <c r="AN30" s="3134">
        <f>+AL30+AH30+AD30</f>
        <v>359.5</v>
      </c>
      <c r="AO30" s="7667"/>
      <c r="AP30" s="3133">
        <f t="shared" si="43"/>
        <v>876</v>
      </c>
      <c r="AQ30" s="7662"/>
      <c r="AR30" s="6098">
        <v>247</v>
      </c>
      <c r="AS30" s="7667"/>
      <c r="AT30" s="3133">
        <f t="shared" ref="AT30:AT49" si="50">+AP30+AR30</f>
        <v>1123</v>
      </c>
      <c r="AU30" s="7662"/>
      <c r="AV30" s="6258">
        <v>77</v>
      </c>
      <c r="AW30" s="7667"/>
      <c r="AX30" s="6256">
        <f t="shared" ref="AX30:AX49" si="51">+AT30+AV30</f>
        <v>1200</v>
      </c>
      <c r="AY30" s="7662"/>
      <c r="AZ30" s="6433">
        <v>0</v>
      </c>
      <c r="BA30" s="7683"/>
      <c r="BB30" s="3134">
        <f>+AZ30+AV30+AR30</f>
        <v>324</v>
      </c>
      <c r="BC30" s="7690"/>
      <c r="BD30" s="3179">
        <f t="shared" si="42"/>
        <v>683.5</v>
      </c>
      <c r="BE30" s="7667"/>
      <c r="BF30" s="39">
        <f t="shared" si="44"/>
        <v>1200</v>
      </c>
      <c r="BG30" s="3948"/>
      <c r="BH30" s="3948"/>
      <c r="BI30" s="4364"/>
      <c r="BJ30" s="4364"/>
      <c r="BK30" s="3948"/>
      <c r="BL30" s="3948"/>
      <c r="BM30" s="4364"/>
      <c r="BN30" s="4364"/>
    </row>
    <row r="31" spans="1:66" ht="15.75" thickBot="1" x14ac:dyDescent="0.3">
      <c r="B31" s="4008" t="s">
        <v>161</v>
      </c>
      <c r="C31" s="3970" t="s">
        <v>50</v>
      </c>
      <c r="D31" s="7703"/>
      <c r="E31" s="7662"/>
      <c r="F31" s="7193">
        <f>SUM(F29:F30)</f>
        <v>62492</v>
      </c>
      <c r="G31" s="7662"/>
      <c r="H31" s="7193">
        <f>SUM(H29:H30)</f>
        <v>81530.42</v>
      </c>
      <c r="I31" s="7667"/>
      <c r="J31" s="2115">
        <f t="shared" si="45"/>
        <v>144022.41999999998</v>
      </c>
      <c r="K31" s="7678"/>
      <c r="L31" s="4601">
        <f>SUM(L29:L30)</f>
        <v>56029.5</v>
      </c>
      <c r="M31" s="7683"/>
      <c r="N31" s="3995">
        <f>SUM(N29:N30)</f>
        <v>200051.91999999998</v>
      </c>
      <c r="O31" s="7678"/>
      <c r="P31" s="4788">
        <f>SUM(P29:P30)</f>
        <v>84572.09</v>
      </c>
      <c r="Q31" s="7667"/>
      <c r="R31" s="3994">
        <f t="shared" si="46"/>
        <v>284624.01</v>
      </c>
      <c r="S31" s="7678"/>
      <c r="T31" s="4926">
        <f>SUM(T29:T30)</f>
        <v>73998</v>
      </c>
      <c r="U31" s="7667"/>
      <c r="V31" s="4927">
        <f t="shared" si="47"/>
        <v>358622.01</v>
      </c>
      <c r="W31" s="7678"/>
      <c r="X31" s="5049">
        <f>SUM(X29:X30)</f>
        <v>81578.5</v>
      </c>
      <c r="Y31" s="7683"/>
      <c r="Z31" s="3995">
        <f>SUM(Z29:Z30)</f>
        <v>240148.59</v>
      </c>
      <c r="AA31" s="7690"/>
      <c r="AB31" s="3166">
        <f>SUM(AB29:AB30)</f>
        <v>440200.51</v>
      </c>
      <c r="AC31" s="7678"/>
      <c r="AD31" s="5364">
        <f>SUM(AD29:AD30)</f>
        <v>74811</v>
      </c>
      <c r="AE31" s="7667"/>
      <c r="AF31" s="3994">
        <f t="shared" si="48"/>
        <v>515011.51</v>
      </c>
      <c r="AG31" s="7678"/>
      <c r="AH31" s="5549">
        <f>SUM(AH29:AH30)</f>
        <v>3956</v>
      </c>
      <c r="AI31" s="7667"/>
      <c r="AJ31" s="5550">
        <f t="shared" si="49"/>
        <v>518967.51</v>
      </c>
      <c r="AK31" s="7662"/>
      <c r="AL31" s="5947">
        <f>SUM(AL29:AL30)</f>
        <v>77046.5</v>
      </c>
      <c r="AM31" s="7683"/>
      <c r="AN31" s="3995">
        <f>SUM(AN29:AN30)</f>
        <v>155813.5</v>
      </c>
      <c r="AO31" s="7667"/>
      <c r="AP31" s="3994">
        <f>+AL31+AJ31</f>
        <v>596014.01</v>
      </c>
      <c r="AQ31" s="7662"/>
      <c r="AR31" s="6097">
        <f>SUM(AR29:AR30)</f>
        <v>90502</v>
      </c>
      <c r="AS31" s="7667"/>
      <c r="AT31" s="3994">
        <f t="shared" si="50"/>
        <v>686516.01</v>
      </c>
      <c r="AU31" s="7662"/>
      <c r="AV31" s="6257">
        <f>SUM(AV29:AV30)</f>
        <v>78583</v>
      </c>
      <c r="AW31" s="7667"/>
      <c r="AX31" s="6254">
        <f t="shared" si="51"/>
        <v>765099.01</v>
      </c>
      <c r="AY31" s="7662"/>
      <c r="AZ31" s="6432">
        <f>SUM(AZ29:AZ30)</f>
        <v>78732</v>
      </c>
      <c r="BA31" s="7683"/>
      <c r="BB31" s="3995">
        <f>SUM(BB29:BB30)</f>
        <v>247817</v>
      </c>
      <c r="BC31" s="7690"/>
      <c r="BD31" s="3166">
        <f>SUM(BD29:BD30)</f>
        <v>403630.5</v>
      </c>
      <c r="BE31" s="7667"/>
      <c r="BF31" s="2115">
        <f t="shared" si="44"/>
        <v>843831.01</v>
      </c>
      <c r="BG31" s="3948"/>
      <c r="BH31" s="3948"/>
      <c r="BI31" s="4364"/>
      <c r="BJ31" s="4364"/>
      <c r="BK31" s="3948"/>
      <c r="BL31" s="3948"/>
      <c r="BM31" s="4364"/>
      <c r="BN31" s="4364"/>
    </row>
    <row r="32" spans="1:66" ht="15" x14ac:dyDescent="0.25">
      <c r="B32" s="1778" t="s">
        <v>162</v>
      </c>
      <c r="C32" s="60" t="s">
        <v>50</v>
      </c>
      <c r="D32" s="7703"/>
      <c r="E32" s="7662"/>
      <c r="F32" s="7194">
        <v>86697</v>
      </c>
      <c r="G32" s="7662"/>
      <c r="H32" s="7194">
        <v>93593.12</v>
      </c>
      <c r="I32" s="7667"/>
      <c r="J32" s="39">
        <f t="shared" si="45"/>
        <v>180290.12</v>
      </c>
      <c r="K32" s="7678"/>
      <c r="L32" s="4602">
        <v>57313</v>
      </c>
      <c r="M32" s="7683"/>
      <c r="N32" s="3134">
        <f>+L32+H32+F32</f>
        <v>237603.12</v>
      </c>
      <c r="O32" s="7678"/>
      <c r="P32" s="4790">
        <v>91064.77</v>
      </c>
      <c r="Q32" s="7667"/>
      <c r="R32" s="3133">
        <f t="shared" si="46"/>
        <v>328667.89</v>
      </c>
      <c r="S32" s="7678"/>
      <c r="T32" s="4929">
        <v>99935</v>
      </c>
      <c r="U32" s="7667"/>
      <c r="V32" s="4930">
        <f t="shared" si="47"/>
        <v>428602.89</v>
      </c>
      <c r="W32" s="7678"/>
      <c r="X32" s="5050">
        <v>93082</v>
      </c>
      <c r="Y32" s="7683"/>
      <c r="Z32" s="3134">
        <f>+X32+T32+P32</f>
        <v>284081.77</v>
      </c>
      <c r="AA32" s="7690"/>
      <c r="AB32" s="3968">
        <f t="shared" si="41"/>
        <v>521684.89</v>
      </c>
      <c r="AC32" s="7678"/>
      <c r="AD32" s="5365">
        <v>93206</v>
      </c>
      <c r="AE32" s="7667"/>
      <c r="AF32" s="3133">
        <f t="shared" si="48"/>
        <v>614890.89</v>
      </c>
      <c r="AG32" s="7678"/>
      <c r="AH32" s="5552">
        <v>3970</v>
      </c>
      <c r="AI32" s="7667"/>
      <c r="AJ32" s="5553">
        <f t="shared" si="49"/>
        <v>618860.89</v>
      </c>
      <c r="AK32" s="7662"/>
      <c r="AL32" s="5948">
        <v>98941.37</v>
      </c>
      <c r="AM32" s="7683"/>
      <c r="AN32" s="3134">
        <f>+AL32+AH32+AD32</f>
        <v>196117.37</v>
      </c>
      <c r="AO32" s="7667"/>
      <c r="AP32" s="3133">
        <f t="shared" si="43"/>
        <v>717802.26</v>
      </c>
      <c r="AQ32" s="7662"/>
      <c r="AR32" s="6098">
        <v>92777</v>
      </c>
      <c r="AS32" s="7667"/>
      <c r="AT32" s="3133">
        <f t="shared" si="50"/>
        <v>810579.26</v>
      </c>
      <c r="AU32" s="7662"/>
      <c r="AV32" s="6258">
        <v>85264</v>
      </c>
      <c r="AW32" s="7667"/>
      <c r="AX32" s="6256">
        <f t="shared" si="51"/>
        <v>895843.26</v>
      </c>
      <c r="AY32" s="7662"/>
      <c r="AZ32" s="6433">
        <v>93134</v>
      </c>
      <c r="BA32" s="7683"/>
      <c r="BB32" s="3134">
        <f>+AZ32+AV32+AR32</f>
        <v>271175</v>
      </c>
      <c r="BC32" s="7690"/>
      <c r="BD32" s="3179">
        <f t="shared" si="42"/>
        <v>467292.37</v>
      </c>
      <c r="BE32" s="7667"/>
      <c r="BF32" s="39">
        <f t="shared" si="44"/>
        <v>988977.26</v>
      </c>
      <c r="BG32" s="3948"/>
      <c r="BH32" s="3948"/>
      <c r="BI32" s="4364"/>
      <c r="BJ32" s="4364"/>
      <c r="BK32" s="3948"/>
      <c r="BL32" s="3948"/>
      <c r="BM32" s="4364"/>
      <c r="BN32" s="4364"/>
    </row>
    <row r="33" spans="1:66" ht="15.75" thickBot="1" x14ac:dyDescent="0.3">
      <c r="B33" s="4007" t="s">
        <v>1743</v>
      </c>
      <c r="C33" s="3584" t="s">
        <v>50</v>
      </c>
      <c r="D33" s="7703"/>
      <c r="E33" s="7662"/>
      <c r="F33" s="7194">
        <v>72</v>
      </c>
      <c r="G33" s="7662"/>
      <c r="H33" s="7194">
        <v>76</v>
      </c>
      <c r="I33" s="7667"/>
      <c r="J33" s="39">
        <f t="shared" si="45"/>
        <v>148</v>
      </c>
      <c r="K33" s="7678"/>
      <c r="L33" s="4602">
        <v>194.5</v>
      </c>
      <c r="M33" s="7683"/>
      <c r="N33" s="3134">
        <f>+L33+H33+F33</f>
        <v>342.5</v>
      </c>
      <c r="O33" s="7678"/>
      <c r="P33" s="4790">
        <v>56.5</v>
      </c>
      <c r="Q33" s="7667"/>
      <c r="R33" s="3133">
        <f t="shared" si="46"/>
        <v>399</v>
      </c>
      <c r="S33" s="7678"/>
      <c r="T33" s="4929">
        <v>59</v>
      </c>
      <c r="U33" s="7667"/>
      <c r="V33" s="4930">
        <f t="shared" si="47"/>
        <v>458</v>
      </c>
      <c r="W33" s="7678"/>
      <c r="X33" s="5050">
        <v>56.5</v>
      </c>
      <c r="Y33" s="7683"/>
      <c r="Z33" s="3134">
        <f>+X33+T33+P33</f>
        <v>172</v>
      </c>
      <c r="AA33" s="7690"/>
      <c r="AB33" s="3968">
        <f t="shared" si="41"/>
        <v>514.5</v>
      </c>
      <c r="AC33" s="7678"/>
      <c r="AD33" s="5365">
        <v>123</v>
      </c>
      <c r="AE33" s="7667"/>
      <c r="AF33" s="3133">
        <f t="shared" si="48"/>
        <v>637.5</v>
      </c>
      <c r="AG33" s="7678"/>
      <c r="AH33" s="5552">
        <v>9</v>
      </c>
      <c r="AI33" s="7667"/>
      <c r="AJ33" s="5553">
        <f t="shared" si="49"/>
        <v>646.5</v>
      </c>
      <c r="AK33" s="7662"/>
      <c r="AL33" s="5948">
        <v>227.5</v>
      </c>
      <c r="AM33" s="7683"/>
      <c r="AN33" s="3134">
        <f>+AL33+AH33+AD33</f>
        <v>359.5</v>
      </c>
      <c r="AO33" s="7667"/>
      <c r="AP33" s="3133">
        <f t="shared" si="43"/>
        <v>874</v>
      </c>
      <c r="AQ33" s="7662"/>
      <c r="AR33" s="6098">
        <v>247</v>
      </c>
      <c r="AS33" s="7667"/>
      <c r="AT33" s="3133">
        <f t="shared" si="50"/>
        <v>1121</v>
      </c>
      <c r="AU33" s="7662"/>
      <c r="AV33" s="6258">
        <v>77</v>
      </c>
      <c r="AW33" s="7667"/>
      <c r="AX33" s="6256">
        <f t="shared" si="51"/>
        <v>1198</v>
      </c>
      <c r="AY33" s="7662"/>
      <c r="AZ33" s="6433">
        <v>0</v>
      </c>
      <c r="BA33" s="7683"/>
      <c r="BB33" s="3134">
        <f>+AZ33+AV33+AR33</f>
        <v>324</v>
      </c>
      <c r="BC33" s="7690"/>
      <c r="BD33" s="3179">
        <f t="shared" si="42"/>
        <v>683.5</v>
      </c>
      <c r="BE33" s="7667"/>
      <c r="BF33" s="39">
        <f t="shared" si="44"/>
        <v>1198</v>
      </c>
      <c r="BG33" s="3948"/>
      <c r="BH33" s="3948"/>
      <c r="BI33" s="4364"/>
      <c r="BJ33" s="4364"/>
      <c r="BK33" s="3948"/>
      <c r="BL33" s="3948"/>
      <c r="BM33" s="4364"/>
      <c r="BN33" s="4364"/>
    </row>
    <row r="34" spans="1:66" ht="15.75" thickBot="1" x14ac:dyDescent="0.3">
      <c r="B34" s="4008" t="s">
        <v>163</v>
      </c>
      <c r="C34" s="3970" t="s">
        <v>50</v>
      </c>
      <c r="D34" s="7703"/>
      <c r="E34" s="7662"/>
      <c r="F34" s="7193">
        <f>SUM(F32:F33)</f>
        <v>86769</v>
      </c>
      <c r="G34" s="7662"/>
      <c r="H34" s="7193">
        <f>SUM(H32:H33)</f>
        <v>93669.119999999995</v>
      </c>
      <c r="I34" s="7667"/>
      <c r="J34" s="2115">
        <f t="shared" si="45"/>
        <v>180438.12</v>
      </c>
      <c r="K34" s="7678"/>
      <c r="L34" s="4601">
        <f>SUM(L32:L33)</f>
        <v>57507.5</v>
      </c>
      <c r="M34" s="7683"/>
      <c r="N34" s="3995">
        <f>SUM(N32:N33)</f>
        <v>237945.62</v>
      </c>
      <c r="O34" s="7678"/>
      <c r="P34" s="4788">
        <f>SUM(P32:P33)</f>
        <v>91121.27</v>
      </c>
      <c r="Q34" s="7667"/>
      <c r="R34" s="3994">
        <f t="shared" si="46"/>
        <v>329066.89</v>
      </c>
      <c r="S34" s="7678"/>
      <c r="T34" s="4926">
        <f>SUM(T32:T33)</f>
        <v>99994</v>
      </c>
      <c r="U34" s="7667"/>
      <c r="V34" s="4927">
        <f t="shared" si="47"/>
        <v>429060.89</v>
      </c>
      <c r="W34" s="7678"/>
      <c r="X34" s="5049">
        <f>SUM(X32:X33)</f>
        <v>93138.5</v>
      </c>
      <c r="Y34" s="7683"/>
      <c r="Z34" s="3995">
        <f>SUM(Z32:Z33)</f>
        <v>284253.77</v>
      </c>
      <c r="AA34" s="7690"/>
      <c r="AB34" s="3166">
        <f>SUM(AB32:AB33)</f>
        <v>522199.39</v>
      </c>
      <c r="AC34" s="7678"/>
      <c r="AD34" s="5364">
        <f>SUM(AD32:AD33)</f>
        <v>93329</v>
      </c>
      <c r="AE34" s="7667"/>
      <c r="AF34" s="3994">
        <f t="shared" si="48"/>
        <v>615528.39</v>
      </c>
      <c r="AG34" s="7678"/>
      <c r="AH34" s="5549">
        <f>SUM(AH32:AH33)</f>
        <v>3979</v>
      </c>
      <c r="AI34" s="7667"/>
      <c r="AJ34" s="5550">
        <f t="shared" si="49"/>
        <v>619507.39</v>
      </c>
      <c r="AK34" s="7662"/>
      <c r="AL34" s="5947">
        <f>SUM(AL32:AL33)</f>
        <v>99168.87</v>
      </c>
      <c r="AM34" s="7683"/>
      <c r="AN34" s="3995">
        <f>SUM(AN32:AN33)</f>
        <v>196476.87</v>
      </c>
      <c r="AO34" s="7667"/>
      <c r="AP34" s="3994">
        <f>+AL34+AJ34</f>
        <v>718676.26</v>
      </c>
      <c r="AQ34" s="7662"/>
      <c r="AR34" s="6097">
        <f>SUM(AR32:AR33)</f>
        <v>93024</v>
      </c>
      <c r="AS34" s="7667"/>
      <c r="AT34" s="3994">
        <f t="shared" si="50"/>
        <v>811700.26</v>
      </c>
      <c r="AU34" s="7662"/>
      <c r="AV34" s="6257">
        <f>SUM(AV32:AV33)</f>
        <v>85341</v>
      </c>
      <c r="AW34" s="7667"/>
      <c r="AX34" s="6254">
        <f t="shared" si="51"/>
        <v>897041.26</v>
      </c>
      <c r="AY34" s="7662"/>
      <c r="AZ34" s="6432">
        <f>SUM(AZ32:AZ33)</f>
        <v>93134</v>
      </c>
      <c r="BA34" s="7683"/>
      <c r="BB34" s="3995">
        <f>SUM(BB32:BB33)</f>
        <v>271499</v>
      </c>
      <c r="BC34" s="7690"/>
      <c r="BD34" s="3166">
        <f>SUM(BD32:BD33)</f>
        <v>467975.87</v>
      </c>
      <c r="BE34" s="7667"/>
      <c r="BF34" s="2115">
        <f t="shared" si="44"/>
        <v>990175.26</v>
      </c>
      <c r="BG34" s="3948"/>
      <c r="BH34" s="3948"/>
      <c r="BI34" s="4364"/>
      <c r="BJ34" s="4364"/>
      <c r="BK34" s="3948"/>
      <c r="BL34" s="3948"/>
      <c r="BM34" s="4364"/>
      <c r="BN34" s="4364"/>
    </row>
    <row r="35" spans="1:66" ht="15" x14ac:dyDescent="0.25">
      <c r="B35" s="4010" t="s">
        <v>450</v>
      </c>
      <c r="C35" s="2426" t="s">
        <v>50</v>
      </c>
      <c r="D35" s="7703"/>
      <c r="E35" s="7662"/>
      <c r="F35" s="7193">
        <f>+F29+F32</f>
        <v>149117</v>
      </c>
      <c r="G35" s="7662"/>
      <c r="H35" s="7193">
        <f>+H29+H32</f>
        <v>175045.53999999998</v>
      </c>
      <c r="I35" s="7667"/>
      <c r="J35" s="2115">
        <f t="shared" si="45"/>
        <v>324162.53999999998</v>
      </c>
      <c r="K35" s="7678"/>
      <c r="L35" s="4601">
        <f>+L29+L32</f>
        <v>113148</v>
      </c>
      <c r="M35" s="7683"/>
      <c r="N35" s="3995">
        <f>+N29+N32</f>
        <v>437310.54</v>
      </c>
      <c r="O35" s="7678"/>
      <c r="P35" s="4788">
        <f>+P29+P32</f>
        <v>175580.36</v>
      </c>
      <c r="Q35" s="7667"/>
      <c r="R35" s="3994">
        <f t="shared" si="46"/>
        <v>612890.89999999991</v>
      </c>
      <c r="S35" s="7678"/>
      <c r="T35" s="4926">
        <f>+T29+T32</f>
        <v>173874</v>
      </c>
      <c r="U35" s="7667"/>
      <c r="V35" s="4927">
        <f t="shared" si="47"/>
        <v>786764.89999999991</v>
      </c>
      <c r="W35" s="7678"/>
      <c r="X35" s="5049">
        <f>+X29+X32</f>
        <v>174604</v>
      </c>
      <c r="Y35" s="7683"/>
      <c r="Z35" s="3995">
        <f>+Z29+Z32</f>
        <v>524058.36</v>
      </c>
      <c r="AA35" s="7690"/>
      <c r="AB35" s="3166">
        <f>+AB29+AB32</f>
        <v>961368.9</v>
      </c>
      <c r="AC35" s="7678"/>
      <c r="AD35" s="5364">
        <f>+AD29+AD32</f>
        <v>167894</v>
      </c>
      <c r="AE35" s="7667"/>
      <c r="AF35" s="3994">
        <f t="shared" si="48"/>
        <v>1129262.8999999999</v>
      </c>
      <c r="AG35" s="7678"/>
      <c r="AH35" s="5549">
        <f>+AH29+AH32</f>
        <v>7917</v>
      </c>
      <c r="AI35" s="7667"/>
      <c r="AJ35" s="5550">
        <f t="shared" si="49"/>
        <v>1137179.8999999999</v>
      </c>
      <c r="AK35" s="7662"/>
      <c r="AL35" s="5947">
        <f>+AL29+AL32</f>
        <v>175760.37</v>
      </c>
      <c r="AM35" s="7683"/>
      <c r="AN35" s="3995">
        <f>+AN29+AN32</f>
        <v>351571.37</v>
      </c>
      <c r="AO35" s="7667"/>
      <c r="AP35" s="3994">
        <f t="shared" ref="AP35:AP49" si="52">+AL35+AJ35</f>
        <v>1312940.27</v>
      </c>
      <c r="AQ35" s="7662"/>
      <c r="AR35" s="6097">
        <f>+AR29+AR32</f>
        <v>183032</v>
      </c>
      <c r="AS35" s="7667"/>
      <c r="AT35" s="3994">
        <f t="shared" si="50"/>
        <v>1495972.27</v>
      </c>
      <c r="AU35" s="7662"/>
      <c r="AV35" s="6257">
        <f>+AV29+AV32</f>
        <v>163770</v>
      </c>
      <c r="AW35" s="7667"/>
      <c r="AX35" s="6254">
        <f t="shared" si="51"/>
        <v>1659742.27</v>
      </c>
      <c r="AY35" s="7662"/>
      <c r="AZ35" s="6432">
        <f>+AZ29+AZ32</f>
        <v>171866</v>
      </c>
      <c r="BA35" s="7683"/>
      <c r="BB35" s="3995">
        <f>+BB29+BB32</f>
        <v>518668</v>
      </c>
      <c r="BC35" s="7690"/>
      <c r="BD35" s="3166">
        <f>+BD29+BD32</f>
        <v>870239.37</v>
      </c>
      <c r="BE35" s="7667"/>
      <c r="BF35" s="2115">
        <f t="shared" si="44"/>
        <v>1831608.27</v>
      </c>
      <c r="BG35" s="3948"/>
      <c r="BH35" s="3948"/>
      <c r="BI35" s="4364"/>
      <c r="BJ35" s="4364"/>
      <c r="BK35" s="3948"/>
      <c r="BL35" s="3948"/>
      <c r="BM35" s="4364"/>
      <c r="BN35" s="4364"/>
    </row>
    <row r="36" spans="1:66" ht="15.75" thickBot="1" x14ac:dyDescent="0.3">
      <c r="B36" s="4011" t="s">
        <v>1744</v>
      </c>
      <c r="C36" s="4012" t="s">
        <v>50</v>
      </c>
      <c r="D36" s="7703"/>
      <c r="E36" s="7662"/>
      <c r="F36" s="4013">
        <f>+F30+F33</f>
        <v>144</v>
      </c>
      <c r="G36" s="7662"/>
      <c r="H36" s="4013">
        <f>+H30+H33</f>
        <v>154</v>
      </c>
      <c r="I36" s="7667"/>
      <c r="J36" s="2115">
        <f t="shared" si="45"/>
        <v>298</v>
      </c>
      <c r="K36" s="7678"/>
      <c r="L36" s="4601">
        <f>+L30+L33</f>
        <v>389</v>
      </c>
      <c r="M36" s="7683"/>
      <c r="N36" s="3995">
        <f>+N30+N33</f>
        <v>687</v>
      </c>
      <c r="O36" s="7678"/>
      <c r="P36" s="4788">
        <f>+P30+P33</f>
        <v>113</v>
      </c>
      <c r="Q36" s="7667"/>
      <c r="R36" s="3994">
        <f t="shared" si="46"/>
        <v>800</v>
      </c>
      <c r="S36" s="7678"/>
      <c r="T36" s="4926">
        <f>+T30+T33</f>
        <v>118</v>
      </c>
      <c r="U36" s="7667"/>
      <c r="V36" s="4927">
        <f t="shared" si="47"/>
        <v>918</v>
      </c>
      <c r="W36" s="7678"/>
      <c r="X36" s="5049">
        <f>+X30+X33</f>
        <v>113</v>
      </c>
      <c r="Y36" s="7683"/>
      <c r="Z36" s="3995">
        <f>+Z30+Z33</f>
        <v>344</v>
      </c>
      <c r="AA36" s="7690"/>
      <c r="AB36" s="3166">
        <f>+AB30+AB33</f>
        <v>1031</v>
      </c>
      <c r="AC36" s="7678"/>
      <c r="AD36" s="5364">
        <f>+AD30+AD33</f>
        <v>246</v>
      </c>
      <c r="AE36" s="7667"/>
      <c r="AF36" s="3994">
        <f t="shared" si="48"/>
        <v>1277</v>
      </c>
      <c r="AG36" s="7678"/>
      <c r="AH36" s="5549">
        <f>+AH30+AH33</f>
        <v>18</v>
      </c>
      <c r="AI36" s="7667"/>
      <c r="AJ36" s="5550">
        <f t="shared" si="49"/>
        <v>1295</v>
      </c>
      <c r="AK36" s="7662"/>
      <c r="AL36" s="5947">
        <f>+AL30+AL33</f>
        <v>455</v>
      </c>
      <c r="AM36" s="7683"/>
      <c r="AN36" s="3995">
        <f>+AN30+AN33</f>
        <v>719</v>
      </c>
      <c r="AO36" s="7667"/>
      <c r="AP36" s="3994">
        <f t="shared" si="52"/>
        <v>1750</v>
      </c>
      <c r="AQ36" s="7662"/>
      <c r="AR36" s="6097">
        <f>+AR30+AR33</f>
        <v>494</v>
      </c>
      <c r="AS36" s="7667"/>
      <c r="AT36" s="3994">
        <f t="shared" si="50"/>
        <v>2244</v>
      </c>
      <c r="AU36" s="7662"/>
      <c r="AV36" s="6257">
        <f>+AV30+AV33</f>
        <v>154</v>
      </c>
      <c r="AW36" s="7667"/>
      <c r="AX36" s="6254">
        <f t="shared" si="51"/>
        <v>2398</v>
      </c>
      <c r="AY36" s="7662"/>
      <c r="AZ36" s="6432">
        <f>+AZ30+AZ33</f>
        <v>0</v>
      </c>
      <c r="BA36" s="7683"/>
      <c r="BB36" s="3995">
        <f>+BB30+BB33</f>
        <v>648</v>
      </c>
      <c r="BC36" s="7690"/>
      <c r="BD36" s="3166">
        <f>+BD30+BD33</f>
        <v>1367</v>
      </c>
      <c r="BE36" s="7667"/>
      <c r="BF36" s="2115">
        <f t="shared" si="44"/>
        <v>2398</v>
      </c>
      <c r="BG36" s="3948"/>
      <c r="BH36" s="3948"/>
      <c r="BI36" s="4364"/>
      <c r="BJ36" s="4364"/>
      <c r="BK36" s="3948"/>
      <c r="BL36" s="3948"/>
      <c r="BM36" s="4364"/>
      <c r="BN36" s="4364"/>
    </row>
    <row r="37" spans="1:66" ht="15" x14ac:dyDescent="0.25">
      <c r="B37" s="4014" t="s">
        <v>449</v>
      </c>
      <c r="C37" s="4015" t="s">
        <v>50</v>
      </c>
      <c r="D37" s="7704"/>
      <c r="E37" s="7663"/>
      <c r="F37" s="7193">
        <f>+F31+F34</f>
        <v>149261</v>
      </c>
      <c r="G37" s="7663"/>
      <c r="H37" s="7193">
        <f>+H31+H34</f>
        <v>175199.53999999998</v>
      </c>
      <c r="I37" s="7667"/>
      <c r="J37" s="2115">
        <f t="shared" si="45"/>
        <v>324460.53999999998</v>
      </c>
      <c r="K37" s="7679"/>
      <c r="L37" s="4601">
        <f>+L31+L34</f>
        <v>113537</v>
      </c>
      <c r="M37" s="7683"/>
      <c r="N37" s="3995">
        <f>+N31+N34</f>
        <v>437997.54</v>
      </c>
      <c r="O37" s="7679"/>
      <c r="P37" s="4788">
        <f>+P31+P34</f>
        <v>175693.36</v>
      </c>
      <c r="Q37" s="7667"/>
      <c r="R37" s="3994">
        <f t="shared" si="46"/>
        <v>613690.89999999991</v>
      </c>
      <c r="S37" s="7679"/>
      <c r="T37" s="4926">
        <f>+T31+T34</f>
        <v>173992</v>
      </c>
      <c r="U37" s="7667"/>
      <c r="V37" s="4927">
        <f t="shared" si="47"/>
        <v>787682.89999999991</v>
      </c>
      <c r="W37" s="7679"/>
      <c r="X37" s="5049">
        <f>+X31+X34</f>
        <v>174717</v>
      </c>
      <c r="Y37" s="7683"/>
      <c r="Z37" s="3995">
        <f>+Z31+Z34</f>
        <v>524402.36</v>
      </c>
      <c r="AA37" s="7690"/>
      <c r="AB37" s="3166">
        <f>+AB31+AB34</f>
        <v>962399.9</v>
      </c>
      <c r="AC37" s="7679"/>
      <c r="AD37" s="5364">
        <f>+AD31+AD34</f>
        <v>168140</v>
      </c>
      <c r="AE37" s="7667"/>
      <c r="AF37" s="3994">
        <f t="shared" si="48"/>
        <v>1130539.8999999999</v>
      </c>
      <c r="AG37" s="7679"/>
      <c r="AH37" s="5549">
        <f>+AH31+AH34</f>
        <v>7935</v>
      </c>
      <c r="AI37" s="7667"/>
      <c r="AJ37" s="5550">
        <f t="shared" si="49"/>
        <v>1138474.8999999999</v>
      </c>
      <c r="AK37" s="7663"/>
      <c r="AL37" s="5947">
        <f>+AL31+AL34</f>
        <v>176215.37</v>
      </c>
      <c r="AM37" s="7683"/>
      <c r="AN37" s="3995">
        <f>+AN31+AN34</f>
        <v>352290.37</v>
      </c>
      <c r="AO37" s="7667"/>
      <c r="AP37" s="3994">
        <f t="shared" si="52"/>
        <v>1314690.27</v>
      </c>
      <c r="AQ37" s="7663"/>
      <c r="AR37" s="6097">
        <f>+AR31+AR34</f>
        <v>183526</v>
      </c>
      <c r="AS37" s="7667"/>
      <c r="AT37" s="3994">
        <f t="shared" si="50"/>
        <v>1498216.27</v>
      </c>
      <c r="AU37" s="7663"/>
      <c r="AV37" s="6257">
        <f>+AV31+AV34</f>
        <v>163924</v>
      </c>
      <c r="AW37" s="7667"/>
      <c r="AX37" s="6254">
        <f t="shared" si="51"/>
        <v>1662140.27</v>
      </c>
      <c r="AY37" s="7663"/>
      <c r="AZ37" s="6432">
        <f>+AZ31+AZ34</f>
        <v>171866</v>
      </c>
      <c r="BA37" s="7683"/>
      <c r="BB37" s="3995">
        <f>+BB31+BB34</f>
        <v>519316</v>
      </c>
      <c r="BC37" s="7690"/>
      <c r="BD37" s="3166">
        <f>+BD31+BD34</f>
        <v>871606.37</v>
      </c>
      <c r="BE37" s="7667"/>
      <c r="BF37" s="2115">
        <f t="shared" si="44"/>
        <v>1834006.27</v>
      </c>
      <c r="BG37" s="3948"/>
      <c r="BH37" s="3948"/>
      <c r="BI37" s="4364"/>
      <c r="BJ37" s="4364"/>
      <c r="BK37" s="3948"/>
      <c r="BL37" s="3948"/>
      <c r="BM37" s="4364"/>
      <c r="BN37" s="4364"/>
    </row>
    <row r="38" spans="1:66" ht="15" x14ac:dyDescent="0.25">
      <c r="B38" s="1995" t="s">
        <v>515</v>
      </c>
      <c r="C38" s="3479" t="s">
        <v>50</v>
      </c>
      <c r="D38" s="7298">
        <v>791556.72823219001</v>
      </c>
      <c r="E38" s="7697">
        <v>65435.356200527698</v>
      </c>
      <c r="F38" s="3202">
        <v>0</v>
      </c>
      <c r="G38" s="7697">
        <v>68601.583113456494</v>
      </c>
      <c r="H38" s="7194">
        <v>4718.04</v>
      </c>
      <c r="I38" s="7667">
        <f>+E38+G38</f>
        <v>134036.93931398418</v>
      </c>
      <c r="J38" s="39">
        <f t="shared" si="45"/>
        <v>4718.04</v>
      </c>
      <c r="K38" s="7697">
        <v>33791.32</v>
      </c>
      <c r="L38" s="4602">
        <v>4387.7299999999996</v>
      </c>
      <c r="M38" s="7683">
        <f>+K38+G38+E38</f>
        <v>167828.25931398419</v>
      </c>
      <c r="N38" s="3134">
        <f>+L38+H38+F38</f>
        <v>9105.77</v>
      </c>
      <c r="O38" s="7697">
        <v>13594.245279999999</v>
      </c>
      <c r="P38" s="4790">
        <v>5431.04</v>
      </c>
      <c r="Q38" s="7667">
        <f>+M38+O38</f>
        <v>181422.50459398419</v>
      </c>
      <c r="R38" s="3133">
        <f t="shared" si="46"/>
        <v>14536.810000000001</v>
      </c>
      <c r="S38" s="7697">
        <v>57306.6</v>
      </c>
      <c r="T38" s="4929">
        <v>7649.71</v>
      </c>
      <c r="U38" s="7707">
        <f>+Q38+S38</f>
        <v>238729.1045939842</v>
      </c>
      <c r="V38" s="4930">
        <f t="shared" si="47"/>
        <v>22186.52</v>
      </c>
      <c r="W38" s="7697">
        <v>55384.43</v>
      </c>
      <c r="X38" s="5050">
        <v>7119.75</v>
      </c>
      <c r="Y38" s="7683">
        <f>+W38+S38+O38</f>
        <v>126285.27528</v>
      </c>
      <c r="Z38" s="3134">
        <f t="shared" ref="Z38:Z45" si="53">+X38+T38+P38</f>
        <v>20200.5</v>
      </c>
      <c r="AA38" s="7690">
        <f>+Y38+M38</f>
        <v>294113.53459398419</v>
      </c>
      <c r="AB38" s="3179">
        <f t="shared" ref="AB38:AB45" si="54">+Z38+N38</f>
        <v>29306.27</v>
      </c>
      <c r="AC38" s="7661">
        <v>57740.566037735844</v>
      </c>
      <c r="AD38" s="5365">
        <v>6870</v>
      </c>
      <c r="AE38" s="7667">
        <f>+AA38+AC38</f>
        <v>351854.10063172004</v>
      </c>
      <c r="AF38" s="3133">
        <f t="shared" si="48"/>
        <v>36176.270000000004</v>
      </c>
      <c r="AG38" s="7661">
        <v>56118.396226415098</v>
      </c>
      <c r="AH38" s="5552">
        <v>0</v>
      </c>
      <c r="AI38" s="7667">
        <f>+AE38+AG38</f>
        <v>407972.49685813516</v>
      </c>
      <c r="AJ38" s="5553">
        <f t="shared" si="49"/>
        <v>36176.270000000004</v>
      </c>
      <c r="AK38" s="7661">
        <v>57650.116037735803</v>
      </c>
      <c r="AL38" s="5948">
        <v>12542.63</v>
      </c>
      <c r="AM38" s="7683">
        <f>+AK38+AG38+AC38</f>
        <v>171509.07830188674</v>
      </c>
      <c r="AN38" s="3134">
        <f t="shared" ref="AN38:AN45" si="55">+AL38+AH38+AD38</f>
        <v>19412.629999999997</v>
      </c>
      <c r="AO38" s="7667">
        <f>+AK38+AI38</f>
        <v>465622.61289587093</v>
      </c>
      <c r="AP38" s="3133">
        <f t="shared" si="52"/>
        <v>48718.9</v>
      </c>
      <c r="AQ38" s="7661">
        <v>57740.5660377358</v>
      </c>
      <c r="AR38" s="6098">
        <v>10907.68</v>
      </c>
      <c r="AS38" s="7667">
        <f>+AO38+AQ38</f>
        <v>523363.17893360672</v>
      </c>
      <c r="AT38" s="3133">
        <f t="shared" si="50"/>
        <v>59626.58</v>
      </c>
      <c r="AU38" s="7661">
        <v>51930.660377358501</v>
      </c>
      <c r="AV38" s="6258">
        <v>0</v>
      </c>
      <c r="AW38" s="7667">
        <f>+AS38+AU38</f>
        <v>575293.83931096527</v>
      </c>
      <c r="AX38" s="6256">
        <f t="shared" si="51"/>
        <v>59626.58</v>
      </c>
      <c r="AY38" s="7661">
        <v>57740.5660377358</v>
      </c>
      <c r="AZ38" s="6433">
        <v>0</v>
      </c>
      <c r="BA38" s="7683">
        <f>+AY38+AU38+AQ38</f>
        <v>167411.79245283012</v>
      </c>
      <c r="BB38" s="3134">
        <f t="shared" ref="BB38:BB45" si="56">+AZ38+AV38+AR38</f>
        <v>10907.68</v>
      </c>
      <c r="BC38" s="7690">
        <f>+BA38+AM38</f>
        <v>338920.87075471686</v>
      </c>
      <c r="BD38" s="3179">
        <f t="shared" ref="BD38:BD45" si="57">+BB38+AN38</f>
        <v>30320.309999999998</v>
      </c>
      <c r="BE38" s="7667">
        <f>+AW38+AY38</f>
        <v>633034.40534870105</v>
      </c>
      <c r="BF38" s="39">
        <f t="shared" si="44"/>
        <v>59626.58</v>
      </c>
      <c r="BG38" s="3948"/>
      <c r="BH38" s="3948"/>
      <c r="BI38" s="4364"/>
      <c r="BJ38" s="4364"/>
      <c r="BK38" s="3948"/>
      <c r="BL38" s="3948"/>
      <c r="BM38" s="4364"/>
      <c r="BN38" s="4364"/>
    </row>
    <row r="39" spans="1:66" ht="15" x14ac:dyDescent="0.25">
      <c r="B39" s="1995" t="s">
        <v>1200</v>
      </c>
      <c r="C39" s="3479" t="s">
        <v>50</v>
      </c>
      <c r="D39" s="7298"/>
      <c r="E39" s="7697"/>
      <c r="F39" s="3202">
        <v>1877.01</v>
      </c>
      <c r="G39" s="7697"/>
      <c r="H39" s="7194">
        <v>4240.2</v>
      </c>
      <c r="I39" s="7667"/>
      <c r="J39" s="39">
        <f t="shared" si="45"/>
        <v>6117.21</v>
      </c>
      <c r="K39" s="7697"/>
      <c r="L39" s="4602">
        <v>0</v>
      </c>
      <c r="M39" s="7683"/>
      <c r="N39" s="3134">
        <f t="shared" ref="N39:N45" si="58">+L39+H39+F39</f>
        <v>6117.21</v>
      </c>
      <c r="O39" s="7697"/>
      <c r="P39" s="4790">
        <v>7269.1</v>
      </c>
      <c r="Q39" s="7667"/>
      <c r="R39" s="3133">
        <f t="shared" si="46"/>
        <v>13386.310000000001</v>
      </c>
      <c r="S39" s="7697"/>
      <c r="T39" s="4929">
        <v>5960.11</v>
      </c>
      <c r="U39" s="7708"/>
      <c r="V39" s="4930">
        <f t="shared" si="47"/>
        <v>19346.420000000002</v>
      </c>
      <c r="W39" s="7697"/>
      <c r="X39" s="5050">
        <v>7608.14</v>
      </c>
      <c r="Y39" s="7683"/>
      <c r="Z39" s="3134">
        <f t="shared" si="53"/>
        <v>20837.349999999999</v>
      </c>
      <c r="AA39" s="7690"/>
      <c r="AB39" s="3179">
        <f t="shared" si="54"/>
        <v>26954.559999999998</v>
      </c>
      <c r="AC39" s="7662"/>
      <c r="AD39" s="5365">
        <v>1201.28</v>
      </c>
      <c r="AE39" s="7667"/>
      <c r="AF39" s="3133">
        <f t="shared" si="48"/>
        <v>28155.839999999997</v>
      </c>
      <c r="AG39" s="7662"/>
      <c r="AH39" s="5552">
        <v>0</v>
      </c>
      <c r="AI39" s="7667"/>
      <c r="AJ39" s="5553">
        <f t="shared" si="49"/>
        <v>28155.839999999997</v>
      </c>
      <c r="AK39" s="7662"/>
      <c r="AL39" s="5948">
        <v>3426.03</v>
      </c>
      <c r="AM39" s="7683"/>
      <c r="AN39" s="3134">
        <f t="shared" si="55"/>
        <v>4627.3100000000004</v>
      </c>
      <c r="AO39" s="7667"/>
      <c r="AP39" s="3133">
        <f t="shared" si="52"/>
        <v>31581.869999999995</v>
      </c>
      <c r="AQ39" s="7662"/>
      <c r="AR39" s="6098">
        <v>3614.57</v>
      </c>
      <c r="AS39" s="7667"/>
      <c r="AT39" s="3133">
        <f t="shared" si="50"/>
        <v>35196.439999999995</v>
      </c>
      <c r="AU39" s="7662"/>
      <c r="AV39" s="6258">
        <v>3235.6</v>
      </c>
      <c r="AW39" s="7667"/>
      <c r="AX39" s="6256">
        <f t="shared" si="51"/>
        <v>38432.039999999994</v>
      </c>
      <c r="AY39" s="7662"/>
      <c r="AZ39" s="6433">
        <v>5098.3</v>
      </c>
      <c r="BA39" s="7683"/>
      <c r="BB39" s="3134">
        <f t="shared" si="56"/>
        <v>11948.47</v>
      </c>
      <c r="BC39" s="7690"/>
      <c r="BD39" s="3179">
        <f t="shared" si="57"/>
        <v>16575.78</v>
      </c>
      <c r="BE39" s="7667"/>
      <c r="BF39" s="39">
        <f t="shared" si="44"/>
        <v>43530.34</v>
      </c>
      <c r="BG39" s="3948"/>
      <c r="BH39" s="3948"/>
      <c r="BI39" s="4364"/>
      <c r="BJ39" s="4364"/>
      <c r="BK39" s="3948"/>
      <c r="BL39" s="3948"/>
      <c r="BM39" s="4364"/>
      <c r="BN39" s="4364"/>
    </row>
    <row r="40" spans="1:66" ht="15" x14ac:dyDescent="0.25">
      <c r="B40" s="1995" t="s">
        <v>1201</v>
      </c>
      <c r="C40" s="3479" t="s">
        <v>50</v>
      </c>
      <c r="D40" s="7298"/>
      <c r="E40" s="7697"/>
      <c r="F40" s="3202">
        <v>39956.639999999999</v>
      </c>
      <c r="G40" s="7697"/>
      <c r="H40" s="7194">
        <v>40263.629999999997</v>
      </c>
      <c r="I40" s="7667"/>
      <c r="J40" s="39">
        <f t="shared" si="45"/>
        <v>80220.26999999999</v>
      </c>
      <c r="K40" s="7697"/>
      <c r="L40" s="4602">
        <v>18388.13</v>
      </c>
      <c r="M40" s="7683"/>
      <c r="N40" s="3134">
        <f t="shared" si="58"/>
        <v>98608.4</v>
      </c>
      <c r="O40" s="7697"/>
      <c r="P40" s="4790">
        <v>36928.050000000003</v>
      </c>
      <c r="Q40" s="7667"/>
      <c r="R40" s="3133">
        <f t="shared" si="46"/>
        <v>135536.45000000001</v>
      </c>
      <c r="S40" s="7697"/>
      <c r="T40" s="4929">
        <v>33776.93</v>
      </c>
      <c r="U40" s="7708"/>
      <c r="V40" s="4930">
        <f t="shared" si="47"/>
        <v>169313.38</v>
      </c>
      <c r="W40" s="7697"/>
      <c r="X40" s="5050">
        <v>41728.910000000003</v>
      </c>
      <c r="Y40" s="7683"/>
      <c r="Z40" s="3134">
        <f t="shared" si="53"/>
        <v>112433.89</v>
      </c>
      <c r="AA40" s="7690"/>
      <c r="AB40" s="3179">
        <f t="shared" si="54"/>
        <v>211042.28999999998</v>
      </c>
      <c r="AC40" s="7662"/>
      <c r="AD40" s="5365">
        <v>38862.85</v>
      </c>
      <c r="AE40" s="7667"/>
      <c r="AF40" s="3133">
        <f t="shared" si="48"/>
        <v>249905.13999999998</v>
      </c>
      <c r="AG40" s="7662"/>
      <c r="AH40" s="5552">
        <v>0</v>
      </c>
      <c r="AI40" s="7667"/>
      <c r="AJ40" s="5553">
        <f t="shared" si="49"/>
        <v>249905.13999999998</v>
      </c>
      <c r="AK40" s="7662"/>
      <c r="AL40" s="5948">
        <v>32597.78</v>
      </c>
      <c r="AM40" s="7683"/>
      <c r="AN40" s="3134">
        <f t="shared" si="55"/>
        <v>71460.63</v>
      </c>
      <c r="AO40" s="7667"/>
      <c r="AP40" s="3133">
        <f t="shared" si="52"/>
        <v>282502.92</v>
      </c>
      <c r="AQ40" s="7662"/>
      <c r="AR40" s="6098">
        <v>47811.86</v>
      </c>
      <c r="AS40" s="7667"/>
      <c r="AT40" s="3133">
        <f t="shared" si="50"/>
        <v>330314.77999999997</v>
      </c>
      <c r="AU40" s="7662"/>
      <c r="AV40" s="6258">
        <v>46767.55</v>
      </c>
      <c r="AW40" s="7667"/>
      <c r="AX40" s="6256">
        <f t="shared" si="51"/>
        <v>377082.32999999996</v>
      </c>
      <c r="AY40" s="7662"/>
      <c r="AZ40" s="6433">
        <v>54368.98</v>
      </c>
      <c r="BA40" s="7683"/>
      <c r="BB40" s="3134">
        <f t="shared" si="56"/>
        <v>148948.39000000001</v>
      </c>
      <c r="BC40" s="7690"/>
      <c r="BD40" s="3179">
        <f t="shared" si="57"/>
        <v>220409.02000000002</v>
      </c>
      <c r="BE40" s="7667"/>
      <c r="BF40" s="39">
        <f t="shared" si="44"/>
        <v>431451.30999999994</v>
      </c>
      <c r="BG40" s="3948"/>
      <c r="BH40" s="3948"/>
      <c r="BI40" s="4364"/>
      <c r="BJ40" s="4364"/>
      <c r="BK40" s="3948"/>
      <c r="BL40" s="3948"/>
      <c r="BM40" s="4364"/>
      <c r="BN40" s="4364"/>
    </row>
    <row r="41" spans="1:66" ht="15" x14ac:dyDescent="0.25">
      <c r="A41" s="3948">
        <f>+J38+J39+J40+J41</f>
        <v>119023.12999999999</v>
      </c>
      <c r="B41" s="1995" t="s">
        <v>1202</v>
      </c>
      <c r="C41" s="3479" t="s">
        <v>50</v>
      </c>
      <c r="D41" s="7298"/>
      <c r="E41" s="7697"/>
      <c r="F41" s="3202">
        <v>15818.92</v>
      </c>
      <c r="G41" s="7697"/>
      <c r="H41" s="7194">
        <v>12148.69</v>
      </c>
      <c r="I41" s="7667"/>
      <c r="J41" s="39">
        <f t="shared" si="45"/>
        <v>27967.61</v>
      </c>
      <c r="K41" s="7697"/>
      <c r="L41" s="4602">
        <v>7782.1</v>
      </c>
      <c r="M41" s="7683"/>
      <c r="N41" s="3134">
        <f t="shared" si="58"/>
        <v>35749.71</v>
      </c>
      <c r="O41" s="7697"/>
      <c r="P41" s="4790">
        <v>9102.7199999999993</v>
      </c>
      <c r="Q41" s="7667"/>
      <c r="R41" s="3133">
        <f t="shared" si="46"/>
        <v>44852.43</v>
      </c>
      <c r="S41" s="7697"/>
      <c r="T41" s="4929">
        <v>10070.1</v>
      </c>
      <c r="U41" s="7708"/>
      <c r="V41" s="4930">
        <f t="shared" si="47"/>
        <v>54922.53</v>
      </c>
      <c r="W41" s="7697"/>
      <c r="X41" s="5050">
        <v>0</v>
      </c>
      <c r="Y41" s="7683"/>
      <c r="Z41" s="3134">
        <f t="shared" si="53"/>
        <v>19172.82</v>
      </c>
      <c r="AA41" s="7690"/>
      <c r="AB41" s="3179">
        <f t="shared" si="54"/>
        <v>54922.53</v>
      </c>
      <c r="AC41" s="7662"/>
      <c r="AD41" s="5365">
        <v>6976.83</v>
      </c>
      <c r="AE41" s="7667"/>
      <c r="AF41" s="3133">
        <f t="shared" si="48"/>
        <v>61899.360000000001</v>
      </c>
      <c r="AG41" s="7662"/>
      <c r="AH41" s="5552">
        <v>0</v>
      </c>
      <c r="AI41" s="7667"/>
      <c r="AJ41" s="5553">
        <f t="shared" si="49"/>
        <v>61899.360000000001</v>
      </c>
      <c r="AK41" s="7662"/>
      <c r="AL41" s="5948">
        <v>9962.92</v>
      </c>
      <c r="AM41" s="7683"/>
      <c r="AN41" s="3134">
        <f t="shared" si="55"/>
        <v>16939.75</v>
      </c>
      <c r="AO41" s="7667"/>
      <c r="AP41" s="3133">
        <f t="shared" si="52"/>
        <v>71862.28</v>
      </c>
      <c r="AQ41" s="7662"/>
      <c r="AR41" s="6098">
        <v>0</v>
      </c>
      <c r="AS41" s="7667"/>
      <c r="AT41" s="3133">
        <f t="shared" si="50"/>
        <v>71862.28</v>
      </c>
      <c r="AU41" s="7662"/>
      <c r="AV41" s="6258">
        <v>8902.66</v>
      </c>
      <c r="AW41" s="7667"/>
      <c r="AX41" s="6256">
        <f t="shared" si="51"/>
        <v>80764.94</v>
      </c>
      <c r="AY41" s="7662"/>
      <c r="AZ41" s="6433">
        <v>12218.42</v>
      </c>
      <c r="BA41" s="7683"/>
      <c r="BB41" s="3134">
        <f t="shared" si="56"/>
        <v>21121.08</v>
      </c>
      <c r="BC41" s="7690"/>
      <c r="BD41" s="3179">
        <f t="shared" si="57"/>
        <v>38060.83</v>
      </c>
      <c r="BE41" s="7667"/>
      <c r="BF41" s="39">
        <f t="shared" si="44"/>
        <v>92983.360000000001</v>
      </c>
      <c r="BG41" s="3948"/>
      <c r="BH41" s="3948"/>
      <c r="BI41" s="4364"/>
      <c r="BJ41" s="4364"/>
      <c r="BK41" s="3948"/>
      <c r="BL41" s="3948"/>
      <c r="BM41" s="4364"/>
      <c r="BN41" s="4364"/>
    </row>
    <row r="42" spans="1:66" ht="15" x14ac:dyDescent="0.25">
      <c r="B42" s="1995" t="s">
        <v>1745</v>
      </c>
      <c r="C42" s="3479" t="s">
        <v>50</v>
      </c>
      <c r="D42" s="7298"/>
      <c r="E42" s="7697"/>
      <c r="F42" s="3202">
        <v>0</v>
      </c>
      <c r="G42" s="7697"/>
      <c r="H42" s="7194">
        <v>0</v>
      </c>
      <c r="I42" s="7667"/>
      <c r="J42" s="39">
        <f t="shared" si="45"/>
        <v>0</v>
      </c>
      <c r="K42" s="7697"/>
      <c r="L42" s="4602">
        <v>10</v>
      </c>
      <c r="M42" s="7683"/>
      <c r="N42" s="3134">
        <f t="shared" si="58"/>
        <v>10</v>
      </c>
      <c r="O42" s="7697"/>
      <c r="P42" s="4790">
        <v>13</v>
      </c>
      <c r="Q42" s="7667"/>
      <c r="R42" s="3133">
        <f t="shared" si="46"/>
        <v>23</v>
      </c>
      <c r="S42" s="7697"/>
      <c r="T42" s="4929">
        <v>0</v>
      </c>
      <c r="U42" s="7708"/>
      <c r="V42" s="4930">
        <f t="shared" si="47"/>
        <v>23</v>
      </c>
      <c r="W42" s="7697"/>
      <c r="X42" s="5050">
        <v>9</v>
      </c>
      <c r="Y42" s="7683"/>
      <c r="Z42" s="3134">
        <f t="shared" si="53"/>
        <v>22</v>
      </c>
      <c r="AA42" s="7690"/>
      <c r="AB42" s="3179">
        <f t="shared" si="54"/>
        <v>32</v>
      </c>
      <c r="AC42" s="7662"/>
      <c r="AD42" s="5365">
        <v>13</v>
      </c>
      <c r="AE42" s="7667"/>
      <c r="AF42" s="3133">
        <f t="shared" si="48"/>
        <v>45</v>
      </c>
      <c r="AG42" s="7662"/>
      <c r="AH42" s="5552">
        <v>0</v>
      </c>
      <c r="AI42" s="7667"/>
      <c r="AJ42" s="5553">
        <f t="shared" si="49"/>
        <v>45</v>
      </c>
      <c r="AK42" s="7662"/>
      <c r="AL42" s="5948">
        <v>22</v>
      </c>
      <c r="AM42" s="7683"/>
      <c r="AN42" s="3134">
        <f t="shared" si="55"/>
        <v>35</v>
      </c>
      <c r="AO42" s="7667"/>
      <c r="AP42" s="3133">
        <f t="shared" si="52"/>
        <v>67</v>
      </c>
      <c r="AQ42" s="7662"/>
      <c r="AR42" s="6098">
        <v>12</v>
      </c>
      <c r="AS42" s="7667"/>
      <c r="AT42" s="3133">
        <f t="shared" si="50"/>
        <v>79</v>
      </c>
      <c r="AU42" s="7662"/>
      <c r="AV42" s="6258">
        <v>0</v>
      </c>
      <c r="AW42" s="7667"/>
      <c r="AX42" s="6256">
        <f t="shared" si="51"/>
        <v>79</v>
      </c>
      <c r="AY42" s="7662"/>
      <c r="AZ42" s="6433">
        <v>0</v>
      </c>
      <c r="BA42" s="7683"/>
      <c r="BB42" s="3134">
        <f t="shared" si="56"/>
        <v>12</v>
      </c>
      <c r="BC42" s="7690"/>
      <c r="BD42" s="3179">
        <f t="shared" si="57"/>
        <v>47</v>
      </c>
      <c r="BE42" s="7667"/>
      <c r="BF42" s="39">
        <f t="shared" si="44"/>
        <v>79</v>
      </c>
      <c r="BG42" s="3948"/>
      <c r="BH42" s="3948"/>
      <c r="BI42" s="4364"/>
      <c r="BJ42" s="4364"/>
      <c r="BK42" s="3948"/>
      <c r="BL42" s="3948"/>
      <c r="BM42" s="4364"/>
      <c r="BN42" s="4364"/>
    </row>
    <row r="43" spans="1:66" ht="30" x14ac:dyDescent="0.25">
      <c r="B43" s="1995" t="s">
        <v>1746</v>
      </c>
      <c r="C43" s="3479" t="s">
        <v>50</v>
      </c>
      <c r="D43" s="7298"/>
      <c r="E43" s="7697"/>
      <c r="F43" s="3202">
        <v>0</v>
      </c>
      <c r="G43" s="7697"/>
      <c r="H43" s="7194">
        <v>0</v>
      </c>
      <c r="I43" s="7667"/>
      <c r="J43" s="39">
        <f t="shared" si="45"/>
        <v>0</v>
      </c>
      <c r="K43" s="7697"/>
      <c r="L43" s="4602">
        <v>0</v>
      </c>
      <c r="M43" s="7683"/>
      <c r="N43" s="3134">
        <f t="shared" si="58"/>
        <v>0</v>
      </c>
      <c r="O43" s="7697"/>
      <c r="P43" s="4790">
        <v>0</v>
      </c>
      <c r="Q43" s="7667"/>
      <c r="R43" s="3133">
        <f t="shared" si="46"/>
        <v>0</v>
      </c>
      <c r="S43" s="7697"/>
      <c r="T43" s="4929">
        <v>0</v>
      </c>
      <c r="U43" s="7708"/>
      <c r="V43" s="4930">
        <f t="shared" si="47"/>
        <v>0</v>
      </c>
      <c r="W43" s="7697"/>
      <c r="X43" s="5050">
        <v>0</v>
      </c>
      <c r="Y43" s="7683"/>
      <c r="Z43" s="3134">
        <f t="shared" si="53"/>
        <v>0</v>
      </c>
      <c r="AA43" s="7690"/>
      <c r="AB43" s="3179">
        <f t="shared" si="54"/>
        <v>0</v>
      </c>
      <c r="AC43" s="7662"/>
      <c r="AD43" s="5365">
        <v>0</v>
      </c>
      <c r="AE43" s="7667"/>
      <c r="AF43" s="3133">
        <f t="shared" si="48"/>
        <v>0</v>
      </c>
      <c r="AG43" s="7662"/>
      <c r="AH43" s="5552">
        <v>0</v>
      </c>
      <c r="AI43" s="7667"/>
      <c r="AJ43" s="5553">
        <f t="shared" si="49"/>
        <v>0</v>
      </c>
      <c r="AK43" s="7662"/>
      <c r="AL43" s="5948">
        <v>28</v>
      </c>
      <c r="AM43" s="7683"/>
      <c r="AN43" s="3134">
        <f t="shared" si="55"/>
        <v>28</v>
      </c>
      <c r="AO43" s="7667"/>
      <c r="AP43" s="3133">
        <f t="shared" si="52"/>
        <v>28</v>
      </c>
      <c r="AQ43" s="7662"/>
      <c r="AR43" s="6098">
        <v>8</v>
      </c>
      <c r="AS43" s="7667"/>
      <c r="AT43" s="3133">
        <f t="shared" si="50"/>
        <v>36</v>
      </c>
      <c r="AU43" s="7662"/>
      <c r="AV43" s="6258">
        <v>6</v>
      </c>
      <c r="AW43" s="7667"/>
      <c r="AX43" s="6256">
        <f t="shared" si="51"/>
        <v>42</v>
      </c>
      <c r="AY43" s="7662"/>
      <c r="AZ43" s="6433">
        <v>0</v>
      </c>
      <c r="BA43" s="7683"/>
      <c r="BB43" s="3134">
        <f t="shared" si="56"/>
        <v>14</v>
      </c>
      <c r="BC43" s="7690"/>
      <c r="BD43" s="3179">
        <f t="shared" si="57"/>
        <v>42</v>
      </c>
      <c r="BE43" s="7667"/>
      <c r="BF43" s="39">
        <f t="shared" si="44"/>
        <v>42</v>
      </c>
      <c r="BG43" s="3948"/>
      <c r="BH43" s="3948"/>
      <c r="BI43" s="4364"/>
      <c r="BJ43" s="4364"/>
      <c r="BK43" s="3948"/>
      <c r="BL43" s="3948"/>
      <c r="BM43" s="4364"/>
      <c r="BN43" s="4364"/>
    </row>
    <row r="44" spans="1:66" ht="30" x14ac:dyDescent="0.25">
      <c r="B44" s="1995" t="s">
        <v>1747</v>
      </c>
      <c r="C44" s="3479" t="s">
        <v>50</v>
      </c>
      <c r="D44" s="7298"/>
      <c r="E44" s="7697"/>
      <c r="F44" s="3202">
        <v>60</v>
      </c>
      <c r="G44" s="7697"/>
      <c r="H44" s="7194">
        <v>68</v>
      </c>
      <c r="I44" s="7667"/>
      <c r="J44" s="39">
        <f t="shared" si="45"/>
        <v>128</v>
      </c>
      <c r="K44" s="7697"/>
      <c r="L44" s="4602">
        <v>38</v>
      </c>
      <c r="M44" s="7683"/>
      <c r="N44" s="3134">
        <f t="shared" si="58"/>
        <v>166</v>
      </c>
      <c r="O44" s="7697"/>
      <c r="P44" s="4790">
        <v>31</v>
      </c>
      <c r="Q44" s="7667"/>
      <c r="R44" s="3133">
        <f t="shared" si="46"/>
        <v>197</v>
      </c>
      <c r="S44" s="7697"/>
      <c r="T44" s="4929">
        <v>44</v>
      </c>
      <c r="U44" s="7708"/>
      <c r="V44" s="4930">
        <f t="shared" si="47"/>
        <v>241</v>
      </c>
      <c r="W44" s="7697"/>
      <c r="X44" s="5050">
        <v>86</v>
      </c>
      <c r="Y44" s="7683"/>
      <c r="Z44" s="3134">
        <f t="shared" si="53"/>
        <v>161</v>
      </c>
      <c r="AA44" s="7690"/>
      <c r="AB44" s="3179">
        <f t="shared" si="54"/>
        <v>327</v>
      </c>
      <c r="AC44" s="7662"/>
      <c r="AD44" s="5365">
        <v>41</v>
      </c>
      <c r="AE44" s="7667"/>
      <c r="AF44" s="3133">
        <f t="shared" si="48"/>
        <v>368</v>
      </c>
      <c r="AG44" s="7662"/>
      <c r="AH44" s="5552">
        <v>0</v>
      </c>
      <c r="AI44" s="7667"/>
      <c r="AJ44" s="5553">
        <f t="shared" si="49"/>
        <v>368</v>
      </c>
      <c r="AK44" s="7662"/>
      <c r="AL44" s="5948">
        <v>103</v>
      </c>
      <c r="AM44" s="7683"/>
      <c r="AN44" s="3134">
        <f t="shared" si="55"/>
        <v>144</v>
      </c>
      <c r="AO44" s="7667"/>
      <c r="AP44" s="3133">
        <f t="shared" si="52"/>
        <v>471</v>
      </c>
      <c r="AQ44" s="7662"/>
      <c r="AR44" s="6098">
        <v>160</v>
      </c>
      <c r="AS44" s="7667"/>
      <c r="AT44" s="3133">
        <f t="shared" si="50"/>
        <v>631</v>
      </c>
      <c r="AU44" s="7662"/>
      <c r="AV44" s="6258">
        <v>45</v>
      </c>
      <c r="AW44" s="7667"/>
      <c r="AX44" s="6256">
        <f t="shared" si="51"/>
        <v>676</v>
      </c>
      <c r="AY44" s="7662"/>
      <c r="AZ44" s="6433">
        <v>0</v>
      </c>
      <c r="BA44" s="7683"/>
      <c r="BB44" s="3134">
        <f t="shared" si="56"/>
        <v>205</v>
      </c>
      <c r="BC44" s="7690"/>
      <c r="BD44" s="3179">
        <f t="shared" si="57"/>
        <v>349</v>
      </c>
      <c r="BE44" s="7667"/>
      <c r="BF44" s="39">
        <f t="shared" si="44"/>
        <v>676</v>
      </c>
      <c r="BG44" s="3948"/>
      <c r="BH44" s="3948"/>
      <c r="BI44" s="4364"/>
      <c r="BJ44" s="4364"/>
      <c r="BK44" s="3948"/>
      <c r="BL44" s="3948"/>
      <c r="BM44" s="4364"/>
      <c r="BN44" s="4364"/>
    </row>
    <row r="45" spans="1:66" ht="30" x14ac:dyDescent="0.25">
      <c r="A45" s="3948"/>
      <c r="B45" s="1995" t="s">
        <v>1748</v>
      </c>
      <c r="C45" s="3479" t="s">
        <v>50</v>
      </c>
      <c r="D45" s="7298"/>
      <c r="E45" s="7697"/>
      <c r="F45" s="3202">
        <v>46</v>
      </c>
      <c r="G45" s="7697"/>
      <c r="H45" s="7194">
        <v>0</v>
      </c>
      <c r="I45" s="7667"/>
      <c r="J45" s="39">
        <f t="shared" si="45"/>
        <v>46</v>
      </c>
      <c r="K45" s="7697"/>
      <c r="L45" s="4602">
        <v>46</v>
      </c>
      <c r="M45" s="7683"/>
      <c r="N45" s="3134">
        <f t="shared" si="58"/>
        <v>92</v>
      </c>
      <c r="O45" s="7697"/>
      <c r="P45" s="4790">
        <v>45</v>
      </c>
      <c r="Q45" s="7667"/>
      <c r="R45" s="3133">
        <f t="shared" si="46"/>
        <v>137</v>
      </c>
      <c r="S45" s="7697"/>
      <c r="T45" s="4929">
        <v>24</v>
      </c>
      <c r="U45" s="7708"/>
      <c r="V45" s="4930">
        <f t="shared" si="47"/>
        <v>161</v>
      </c>
      <c r="W45" s="7697"/>
      <c r="X45" s="5050">
        <v>0</v>
      </c>
      <c r="Y45" s="7683"/>
      <c r="Z45" s="3134">
        <f t="shared" si="53"/>
        <v>69</v>
      </c>
      <c r="AA45" s="7690"/>
      <c r="AB45" s="3179">
        <f t="shared" si="54"/>
        <v>161</v>
      </c>
      <c r="AC45" s="7662"/>
      <c r="AD45" s="5365">
        <v>33</v>
      </c>
      <c r="AE45" s="7667"/>
      <c r="AF45" s="3133">
        <f t="shared" si="48"/>
        <v>194</v>
      </c>
      <c r="AG45" s="7662"/>
      <c r="AH45" s="5552">
        <v>0</v>
      </c>
      <c r="AI45" s="7667"/>
      <c r="AJ45" s="5553">
        <f t="shared" si="49"/>
        <v>194</v>
      </c>
      <c r="AK45" s="7662"/>
      <c r="AL45" s="5948">
        <v>32</v>
      </c>
      <c r="AM45" s="7683"/>
      <c r="AN45" s="3134">
        <f t="shared" si="55"/>
        <v>65</v>
      </c>
      <c r="AO45" s="7667"/>
      <c r="AP45" s="3133">
        <f t="shared" si="52"/>
        <v>226</v>
      </c>
      <c r="AQ45" s="7662"/>
      <c r="AR45" s="6098">
        <v>0</v>
      </c>
      <c r="AS45" s="7667"/>
      <c r="AT45" s="3133">
        <f t="shared" si="50"/>
        <v>226</v>
      </c>
      <c r="AU45" s="7662"/>
      <c r="AV45" s="6258">
        <v>15</v>
      </c>
      <c r="AW45" s="7667"/>
      <c r="AX45" s="6256">
        <f t="shared" si="51"/>
        <v>241</v>
      </c>
      <c r="AY45" s="7662"/>
      <c r="AZ45" s="6433">
        <v>0</v>
      </c>
      <c r="BA45" s="7683"/>
      <c r="BB45" s="3134">
        <f t="shared" si="56"/>
        <v>15</v>
      </c>
      <c r="BC45" s="7690"/>
      <c r="BD45" s="3179">
        <f t="shared" si="57"/>
        <v>80</v>
      </c>
      <c r="BE45" s="7667"/>
      <c r="BF45" s="39">
        <f t="shared" si="44"/>
        <v>241</v>
      </c>
      <c r="BG45" s="3948"/>
      <c r="BH45" s="3948"/>
      <c r="BI45" s="4364"/>
      <c r="BJ45" s="4364"/>
      <c r="BK45" s="3948"/>
      <c r="BL45" s="3948"/>
      <c r="BM45" s="4364"/>
      <c r="BN45" s="4364"/>
    </row>
    <row r="46" spans="1:66" ht="16.5" customHeight="1" thickBot="1" x14ac:dyDescent="0.3">
      <c r="A46" s="3948"/>
      <c r="B46" s="4017" t="s">
        <v>164</v>
      </c>
      <c r="C46" s="4018" t="s">
        <v>50</v>
      </c>
      <c r="D46" s="7298"/>
      <c r="E46" s="7697"/>
      <c r="F46" s="3996">
        <f>SUM(F38:F45)</f>
        <v>57758.57</v>
      </c>
      <c r="G46" s="7697"/>
      <c r="H46" s="7193">
        <f>SUM(H38:H45)</f>
        <v>61438.559999999998</v>
      </c>
      <c r="I46" s="7667"/>
      <c r="J46" s="2115">
        <f t="shared" si="45"/>
        <v>119197.13</v>
      </c>
      <c r="K46" s="7697"/>
      <c r="L46" s="4601">
        <f>SUM(L38:L45)</f>
        <v>30651.96</v>
      </c>
      <c r="M46" s="7683"/>
      <c r="N46" s="3995">
        <f>SUM(N38:N45)</f>
        <v>149849.09</v>
      </c>
      <c r="O46" s="7697"/>
      <c r="P46" s="4788">
        <f>SUM(P38:P45)</f>
        <v>58819.91</v>
      </c>
      <c r="Q46" s="7667"/>
      <c r="R46" s="3994">
        <f t="shared" si="46"/>
        <v>208669</v>
      </c>
      <c r="S46" s="7697"/>
      <c r="T46" s="4926">
        <f>SUM(T38:T45)</f>
        <v>57524.85</v>
      </c>
      <c r="U46" s="7709"/>
      <c r="V46" s="4927">
        <f t="shared" si="47"/>
        <v>266193.84999999998</v>
      </c>
      <c r="W46" s="7697"/>
      <c r="X46" s="5049">
        <f>SUM(X38:X45)</f>
        <v>56551.8</v>
      </c>
      <c r="Y46" s="7683"/>
      <c r="Z46" s="3995">
        <f>SUM(Z38:Z45)</f>
        <v>172896.56</v>
      </c>
      <c r="AA46" s="7690"/>
      <c r="AB46" s="3166">
        <f>SUM(AB38:AB45)</f>
        <v>322745.65000000002</v>
      </c>
      <c r="AC46" s="7663"/>
      <c r="AD46" s="5364">
        <f>SUM(AD38:AD45)</f>
        <v>53997.96</v>
      </c>
      <c r="AE46" s="7667"/>
      <c r="AF46" s="3994">
        <f t="shared" si="48"/>
        <v>376743.61000000004</v>
      </c>
      <c r="AG46" s="7663"/>
      <c r="AH46" s="5549">
        <f>SUM(AH38:AH45)</f>
        <v>0</v>
      </c>
      <c r="AI46" s="7667"/>
      <c r="AJ46" s="5550">
        <f t="shared" si="49"/>
        <v>376743.61000000004</v>
      </c>
      <c r="AK46" s="7663"/>
      <c r="AL46" s="5947">
        <f>SUM(AL38:AL45)</f>
        <v>58714.36</v>
      </c>
      <c r="AM46" s="7683"/>
      <c r="AN46" s="3995">
        <f>SUM(AN38:AN45)</f>
        <v>112712.32000000001</v>
      </c>
      <c r="AO46" s="7667"/>
      <c r="AP46" s="3994">
        <f t="shared" si="52"/>
        <v>435457.97000000003</v>
      </c>
      <c r="AQ46" s="7663"/>
      <c r="AR46" s="6097">
        <f>SUM(AR38:AR45)</f>
        <v>62514.11</v>
      </c>
      <c r="AS46" s="7667"/>
      <c r="AT46" s="3994">
        <f t="shared" si="50"/>
        <v>497972.08</v>
      </c>
      <c r="AU46" s="7663"/>
      <c r="AV46" s="6257">
        <f>SUM(AV38:AV45)</f>
        <v>58971.81</v>
      </c>
      <c r="AW46" s="7667"/>
      <c r="AX46" s="6254">
        <f t="shared" si="51"/>
        <v>556943.89</v>
      </c>
      <c r="AY46" s="7663"/>
      <c r="AZ46" s="6432">
        <f>SUM(AZ38:AZ45)</f>
        <v>71685.700000000012</v>
      </c>
      <c r="BA46" s="7683"/>
      <c r="BB46" s="3995">
        <f>SUM(BB38:BB45)</f>
        <v>193171.62</v>
      </c>
      <c r="BC46" s="7690"/>
      <c r="BD46" s="3166">
        <f>SUM(BD38:BD45)</f>
        <v>305883.94</v>
      </c>
      <c r="BE46" s="7667"/>
      <c r="BF46" s="2115">
        <f t="shared" si="44"/>
        <v>628629.59000000008</v>
      </c>
      <c r="BG46" s="3948"/>
      <c r="BH46" s="3948"/>
      <c r="BI46" s="4364"/>
      <c r="BJ46" s="4364"/>
      <c r="BK46" s="3948"/>
      <c r="BL46" s="3948"/>
      <c r="BM46" s="4364"/>
      <c r="BN46" s="4364"/>
    </row>
    <row r="47" spans="1:66" ht="15" x14ac:dyDescent="0.25">
      <c r="A47" s="7701"/>
      <c r="B47" s="1778" t="s">
        <v>165</v>
      </c>
      <c r="C47" s="60" t="s">
        <v>50</v>
      </c>
      <c r="D47" s="7687">
        <f>+D29+D38</f>
        <v>2770018.8857412701</v>
      </c>
      <c r="E47" s="7685">
        <f>+E29+E38</f>
        <v>237110.48158640269</v>
      </c>
      <c r="F47" s="3202">
        <f>+F35+F38+F39+F40+F41</f>
        <v>206769.57000000004</v>
      </c>
      <c r="G47" s="7685">
        <f>+G29+G38</f>
        <v>244664.77809254048</v>
      </c>
      <c r="H47" s="7194">
        <f>+H35+H38+H39+H40+H41</f>
        <v>236416.1</v>
      </c>
      <c r="I47" s="7705">
        <f>+E47+G47</f>
        <v>481775.2596789432</v>
      </c>
      <c r="J47" s="39">
        <f t="shared" si="45"/>
        <v>443185.67000000004</v>
      </c>
      <c r="K47" s="7685">
        <f>+K29+K38</f>
        <v>139811.32</v>
      </c>
      <c r="L47" s="4602">
        <f>+L35+L38+L39+L40+L41</f>
        <v>143705.96</v>
      </c>
      <c r="M47" s="7674">
        <f>+K47+G47+E47</f>
        <v>621586.57967894315</v>
      </c>
      <c r="N47" s="3134">
        <f>+L47+H47+F47</f>
        <v>586891.63</v>
      </c>
      <c r="O47" s="7685">
        <f>+O29+O38</f>
        <v>63679.245280000003</v>
      </c>
      <c r="P47" s="4790">
        <f>+P35+P38+P39+P40+P41</f>
        <v>234311.27</v>
      </c>
      <c r="Q47" s="7664">
        <f>+M47+O47</f>
        <v>685265.82495894318</v>
      </c>
      <c r="R47" s="3133">
        <f t="shared" si="46"/>
        <v>821202.9</v>
      </c>
      <c r="S47" s="7685">
        <f>+S29+S38</f>
        <v>226056.6</v>
      </c>
      <c r="T47" s="4929">
        <f>+T35+T38+T39+T40+T41</f>
        <v>231330.84999999998</v>
      </c>
      <c r="U47" s="7664">
        <f>+Q47+S47</f>
        <v>911322.42495894316</v>
      </c>
      <c r="V47" s="4930">
        <f t="shared" si="47"/>
        <v>1052533.75</v>
      </c>
      <c r="W47" s="7685">
        <f>+W29+W38</f>
        <v>218509.43</v>
      </c>
      <c r="X47" s="5050">
        <f>+X35+X38+X39+X40+X41</f>
        <v>231060.80000000002</v>
      </c>
      <c r="Y47" s="7683">
        <f>+W47+S47+O47</f>
        <v>508245.27528000006</v>
      </c>
      <c r="Z47" s="3134">
        <f>+X47+T47+P47</f>
        <v>696702.92</v>
      </c>
      <c r="AA47" s="7690">
        <f>+Y47+M47</f>
        <v>1129831.8549589431</v>
      </c>
      <c r="AB47" s="3179">
        <f>+Z47+N47</f>
        <v>1283594.55</v>
      </c>
      <c r="AC47" s="7685">
        <f>+AC29+AC38</f>
        <v>235490.56603773584</v>
      </c>
      <c r="AD47" s="5365">
        <f>+AD35+AD38+AD39+AD40+AD41</f>
        <v>221804.96</v>
      </c>
      <c r="AE47" s="7664">
        <f>+AA47+AC47</f>
        <v>1365322.420996679</v>
      </c>
      <c r="AF47" s="3133">
        <f t="shared" si="48"/>
        <v>1505399.51</v>
      </c>
      <c r="AG47" s="7685">
        <f>+AG29+AG38</f>
        <v>227943.39622641509</v>
      </c>
      <c r="AH47" s="5552">
        <f>+AH35+AH38+AH39+AH40+AH41</f>
        <v>7917</v>
      </c>
      <c r="AI47" s="7664">
        <f>+AE47+AG47</f>
        <v>1593265.8172230942</v>
      </c>
      <c r="AJ47" s="5553">
        <f t="shared" si="49"/>
        <v>1513316.51</v>
      </c>
      <c r="AK47" s="7685">
        <f>+AK29+AK38</f>
        <v>235490.56603773581</v>
      </c>
      <c r="AL47" s="5948">
        <f>+AL35+AL38+AL39+AL40+AL41</f>
        <v>234289.73</v>
      </c>
      <c r="AM47" s="7683">
        <f>+AK47+AG47+AC47</f>
        <v>698924.52830188675</v>
      </c>
      <c r="AN47" s="3134">
        <f>+AL47+AH47+AD47</f>
        <v>464011.69</v>
      </c>
      <c r="AO47" s="7664">
        <f>+AK47+AI47</f>
        <v>1828756.3832608301</v>
      </c>
      <c r="AP47" s="3133">
        <f t="shared" si="52"/>
        <v>1747606.24</v>
      </c>
      <c r="AQ47" s="7685">
        <f>+AQ29+AQ38</f>
        <v>235490.56603773579</v>
      </c>
      <c r="AR47" s="6098">
        <f>+AR35+AR38+AR39+AR40+AR41</f>
        <v>245366.11</v>
      </c>
      <c r="AS47" s="7664">
        <f>+AO47+AQ47</f>
        <v>2064246.9492985657</v>
      </c>
      <c r="AT47" s="3133">
        <f t="shared" si="50"/>
        <v>1992972.35</v>
      </c>
      <c r="AU47" s="7685">
        <f>+AU29+AU38</f>
        <v>211905.66037735849</v>
      </c>
      <c r="AV47" s="6258">
        <f>+AV35+AV38+AV39+AV40+AV41</f>
        <v>222675.81000000003</v>
      </c>
      <c r="AW47" s="7664">
        <f>+AS47+AU47</f>
        <v>2276152.6096759243</v>
      </c>
      <c r="AX47" s="6256">
        <f t="shared" si="51"/>
        <v>2215648.16</v>
      </c>
      <c r="AY47" s="7685">
        <f>+AY29+AY38</f>
        <v>235490.56603773579</v>
      </c>
      <c r="AZ47" s="6433">
        <f>+AZ35+AZ38+AZ39+AZ40+AZ41</f>
        <v>243551.7</v>
      </c>
      <c r="BA47" s="7683">
        <f>+AY47+AU47+AQ47</f>
        <v>682886.79245283012</v>
      </c>
      <c r="BB47" s="3134">
        <f>+AZ47+AV47+AR47</f>
        <v>711593.62</v>
      </c>
      <c r="BC47" s="7690">
        <f>+BA47+AM47</f>
        <v>1381811.3207547169</v>
      </c>
      <c r="BD47" s="3179">
        <f t="shared" ref="BD47:BD48" si="59">+BB47+AN47</f>
        <v>1175605.31</v>
      </c>
      <c r="BE47" s="7664">
        <f>+AW47+AY47</f>
        <v>2511643.1757136602</v>
      </c>
      <c r="BF47" s="39">
        <f t="shared" si="44"/>
        <v>2459199.8600000003</v>
      </c>
      <c r="BG47" s="3948"/>
      <c r="BH47" s="3948"/>
      <c r="BI47" s="4364"/>
      <c r="BJ47" s="4364"/>
      <c r="BK47" s="3948"/>
      <c r="BL47" s="3948"/>
      <c r="BM47" s="4364"/>
      <c r="BN47" s="4364"/>
    </row>
    <row r="48" spans="1:66" ht="30.75" thickBot="1" x14ac:dyDescent="0.3">
      <c r="A48" s="7701"/>
      <c r="B48" s="4007" t="s">
        <v>1749</v>
      </c>
      <c r="C48" s="3584" t="s">
        <v>50</v>
      </c>
      <c r="D48" s="7687"/>
      <c r="E48" s="7685"/>
      <c r="F48" s="3202">
        <f>+F36+F42+F43+F44+F45</f>
        <v>250</v>
      </c>
      <c r="G48" s="7685"/>
      <c r="H48" s="7194">
        <f>+H36+H42+H43+H44+H45</f>
        <v>222</v>
      </c>
      <c r="I48" s="7482"/>
      <c r="J48" s="39">
        <f t="shared" si="45"/>
        <v>472</v>
      </c>
      <c r="K48" s="7685"/>
      <c r="L48" s="4602">
        <f>+L36+L42+L43+L44+L45</f>
        <v>483</v>
      </c>
      <c r="M48" s="7674"/>
      <c r="N48" s="3134">
        <f>+L48+H48+F48</f>
        <v>955</v>
      </c>
      <c r="O48" s="7685"/>
      <c r="P48" s="4790">
        <f>+P36+P42+P43+P44+P45</f>
        <v>202</v>
      </c>
      <c r="Q48" s="7664"/>
      <c r="R48" s="3133">
        <f t="shared" si="46"/>
        <v>1157</v>
      </c>
      <c r="S48" s="7685"/>
      <c r="T48" s="4929">
        <f>+T36+T42+T43+T44+T45</f>
        <v>186</v>
      </c>
      <c r="U48" s="7664"/>
      <c r="V48" s="4930">
        <f t="shared" si="47"/>
        <v>1343</v>
      </c>
      <c r="W48" s="7685"/>
      <c r="X48" s="5050">
        <f>+X36+X42+X43+X44+X45</f>
        <v>208</v>
      </c>
      <c r="Y48" s="7683"/>
      <c r="Z48" s="3134">
        <f>+X48+T48+P48</f>
        <v>596</v>
      </c>
      <c r="AA48" s="7690"/>
      <c r="AB48" s="3179">
        <f>+Z48+N48</f>
        <v>1551</v>
      </c>
      <c r="AC48" s="7685"/>
      <c r="AD48" s="5365">
        <f>+AD36+AD42+AD43+AD44+AD45</f>
        <v>333</v>
      </c>
      <c r="AE48" s="7664"/>
      <c r="AF48" s="3133">
        <f t="shared" si="48"/>
        <v>1884</v>
      </c>
      <c r="AG48" s="7685"/>
      <c r="AH48" s="5552">
        <f>+AH36+AH42+AH43+AH44+AH45</f>
        <v>18</v>
      </c>
      <c r="AI48" s="7664"/>
      <c r="AJ48" s="5553">
        <f t="shared" si="49"/>
        <v>1902</v>
      </c>
      <c r="AK48" s="7685"/>
      <c r="AL48" s="5948">
        <f>+AL36+AL42+AL43+AL44+AL45</f>
        <v>640</v>
      </c>
      <c r="AM48" s="7683"/>
      <c r="AN48" s="3134">
        <f>+AL48+AH48+AD48</f>
        <v>991</v>
      </c>
      <c r="AO48" s="7664"/>
      <c r="AP48" s="3133">
        <f t="shared" si="52"/>
        <v>2542</v>
      </c>
      <c r="AQ48" s="7685"/>
      <c r="AR48" s="6098">
        <f>+AR36+AR42+AR43+AR44+AR45</f>
        <v>674</v>
      </c>
      <c r="AS48" s="7664"/>
      <c r="AT48" s="3133">
        <f t="shared" si="50"/>
        <v>3216</v>
      </c>
      <c r="AU48" s="7685"/>
      <c r="AV48" s="6258">
        <f>+AV36+AV42+AV43+AV44+AV45</f>
        <v>220</v>
      </c>
      <c r="AW48" s="7664"/>
      <c r="AX48" s="6256">
        <f t="shared" si="51"/>
        <v>3436</v>
      </c>
      <c r="AY48" s="7685"/>
      <c r="AZ48" s="6433">
        <f>+AZ36+AZ42+AZ43+AZ44+AZ45</f>
        <v>0</v>
      </c>
      <c r="BA48" s="7683"/>
      <c r="BB48" s="3134">
        <f>+AZ48+AV48+AR48</f>
        <v>894</v>
      </c>
      <c r="BC48" s="7690"/>
      <c r="BD48" s="3179">
        <f t="shared" si="59"/>
        <v>1885</v>
      </c>
      <c r="BE48" s="7664"/>
      <c r="BF48" s="39">
        <f t="shared" si="44"/>
        <v>3436</v>
      </c>
      <c r="BG48" s="3948"/>
      <c r="BH48" s="3948"/>
      <c r="BI48" s="4364"/>
      <c r="BJ48" s="4364"/>
      <c r="BK48" s="3948"/>
      <c r="BL48" s="3948"/>
      <c r="BM48" s="4364"/>
      <c r="BN48" s="4364"/>
    </row>
    <row r="49" spans="1:66" ht="15.75" thickBot="1" x14ac:dyDescent="0.3">
      <c r="A49" s="7701"/>
      <c r="B49" s="4008" t="s">
        <v>297</v>
      </c>
      <c r="C49" s="3970" t="s">
        <v>50</v>
      </c>
      <c r="D49" s="7688"/>
      <c r="E49" s="7686"/>
      <c r="F49" s="3998">
        <f>SUM(F47:F48)</f>
        <v>207019.57000000004</v>
      </c>
      <c r="G49" s="7686"/>
      <c r="H49" s="7197">
        <f>SUM(H47:H48)</f>
        <v>236638.1</v>
      </c>
      <c r="I49" s="7706"/>
      <c r="J49" s="2031">
        <f t="shared" si="45"/>
        <v>443657.67000000004</v>
      </c>
      <c r="K49" s="7686"/>
      <c r="L49" s="4606">
        <f>SUM(L47:L48)</f>
        <v>144188.96</v>
      </c>
      <c r="M49" s="7675"/>
      <c r="N49" s="2438">
        <f>SUM(N47:N48)</f>
        <v>587846.63</v>
      </c>
      <c r="O49" s="7686"/>
      <c r="P49" s="4793">
        <f>SUM(P47:P48)</f>
        <v>234513.27</v>
      </c>
      <c r="Q49" s="7665"/>
      <c r="R49" s="2437">
        <f t="shared" si="46"/>
        <v>822359.9</v>
      </c>
      <c r="S49" s="7686"/>
      <c r="T49" s="4934">
        <f>SUM(T47:T48)</f>
        <v>231516.84999999998</v>
      </c>
      <c r="U49" s="7665"/>
      <c r="V49" s="4928">
        <f t="shared" si="47"/>
        <v>1053876.75</v>
      </c>
      <c r="W49" s="7686"/>
      <c r="X49" s="5052">
        <f>SUM(X47:X48)</f>
        <v>231268.80000000002</v>
      </c>
      <c r="Y49" s="7684"/>
      <c r="Z49" s="2438">
        <f>SUM(Z47:Z48)</f>
        <v>697298.92</v>
      </c>
      <c r="AA49" s="7691"/>
      <c r="AB49" s="2439">
        <f>SUM(AB47:AB48)</f>
        <v>1285145.55</v>
      </c>
      <c r="AC49" s="7686"/>
      <c r="AD49" s="5367">
        <f>SUM(AD47:AD48)</f>
        <v>222137.96</v>
      </c>
      <c r="AE49" s="7665"/>
      <c r="AF49" s="2437">
        <f t="shared" si="48"/>
        <v>1507283.51</v>
      </c>
      <c r="AG49" s="7686"/>
      <c r="AH49" s="5557">
        <f>SUM(AH47:AH48)</f>
        <v>7935</v>
      </c>
      <c r="AI49" s="7665"/>
      <c r="AJ49" s="5551">
        <f t="shared" si="49"/>
        <v>1515218.51</v>
      </c>
      <c r="AK49" s="7686"/>
      <c r="AL49" s="5951">
        <f>SUM(AL47:AL48)</f>
        <v>234929.73</v>
      </c>
      <c r="AM49" s="7684"/>
      <c r="AN49" s="2438">
        <f>SUM(AN47:AN48)</f>
        <v>465002.69</v>
      </c>
      <c r="AO49" s="7665"/>
      <c r="AP49" s="2437">
        <f t="shared" si="52"/>
        <v>1750148.24</v>
      </c>
      <c r="AQ49" s="7686"/>
      <c r="AR49" s="6100">
        <f>SUM(AR47:AR48)</f>
        <v>246040.11</v>
      </c>
      <c r="AS49" s="7665"/>
      <c r="AT49" s="2437">
        <f t="shared" si="50"/>
        <v>1996188.35</v>
      </c>
      <c r="AU49" s="7686"/>
      <c r="AV49" s="6260">
        <f>SUM(AV47:AV48)</f>
        <v>222895.81000000003</v>
      </c>
      <c r="AW49" s="7665"/>
      <c r="AX49" s="6255">
        <f t="shared" si="51"/>
        <v>2219084.16</v>
      </c>
      <c r="AY49" s="7686"/>
      <c r="AZ49" s="6435">
        <f>SUM(AZ47:AZ48)</f>
        <v>243551.7</v>
      </c>
      <c r="BA49" s="7684"/>
      <c r="BB49" s="2438">
        <f>SUM(BB47:BB48)</f>
        <v>712487.62</v>
      </c>
      <c r="BC49" s="7691"/>
      <c r="BD49" s="2439">
        <f>SUM(BD47:BD48)</f>
        <v>1177490.31</v>
      </c>
      <c r="BE49" s="7665"/>
      <c r="BF49" s="2031">
        <f t="shared" si="44"/>
        <v>2462635.8600000003</v>
      </c>
      <c r="BG49" s="3948"/>
      <c r="BH49" s="3948"/>
      <c r="BI49" s="4364"/>
      <c r="BJ49" s="4364"/>
      <c r="BK49" s="3948"/>
      <c r="BL49" s="3948"/>
      <c r="BM49" s="4364"/>
      <c r="BN49" s="4364"/>
    </row>
    <row r="50" spans="1:66" ht="15" x14ac:dyDescent="0.25">
      <c r="A50" s="3197"/>
      <c r="B50" s="4019" t="s">
        <v>268</v>
      </c>
      <c r="C50" s="4020"/>
      <c r="D50" s="4021"/>
      <c r="E50" s="4022"/>
      <c r="F50" s="4859"/>
      <c r="G50" s="4022"/>
      <c r="H50" s="4859"/>
      <c r="I50" s="4022"/>
      <c r="J50" s="4023"/>
      <c r="K50" s="4022"/>
      <c r="L50" s="4859"/>
      <c r="M50" s="4024"/>
      <c r="N50" s="4024"/>
      <c r="O50" s="4022"/>
      <c r="P50" s="4859"/>
      <c r="Q50" s="4024"/>
      <c r="R50" s="4024"/>
      <c r="S50" s="4022"/>
      <c r="T50" s="4859"/>
      <c r="U50" s="4024"/>
      <c r="V50" s="4024"/>
      <c r="W50" s="4022"/>
      <c r="X50" s="4859"/>
      <c r="Y50" s="4024"/>
      <c r="Z50" s="4024"/>
      <c r="AA50" s="4024"/>
      <c r="AB50" s="4024"/>
      <c r="AC50" s="4022"/>
      <c r="AD50" s="4859"/>
      <c r="AE50" s="4024"/>
      <c r="AF50" s="4024"/>
      <c r="AG50" s="4022"/>
      <c r="AH50" s="4859"/>
      <c r="AI50" s="4024"/>
      <c r="AJ50" s="4024"/>
      <c r="AK50" s="4022"/>
      <c r="AL50" s="4859"/>
      <c r="AM50" s="4024"/>
      <c r="AN50" s="4024"/>
      <c r="AO50" s="4024"/>
      <c r="AP50" s="4024"/>
      <c r="AQ50" s="4022"/>
      <c r="AR50" s="4859"/>
      <c r="AS50" s="4024"/>
      <c r="AT50" s="4024"/>
      <c r="AU50" s="4022"/>
      <c r="AV50" s="4859"/>
      <c r="AW50" s="4024"/>
      <c r="AX50" s="4024"/>
      <c r="AY50" s="4022"/>
      <c r="AZ50" s="4859"/>
      <c r="BA50" s="4024"/>
      <c r="BB50" s="4024"/>
      <c r="BC50" s="4024"/>
      <c r="BD50" s="4024"/>
      <c r="BE50" s="4024"/>
      <c r="BF50" s="4025"/>
      <c r="BG50" s="3948"/>
      <c r="BH50" s="3948"/>
      <c r="BI50" s="4364"/>
      <c r="BJ50" s="4364"/>
      <c r="BK50" s="3948"/>
      <c r="BL50" s="3948"/>
      <c r="BM50" s="4364"/>
      <c r="BN50" s="4364"/>
    </row>
    <row r="51" spans="1:66" ht="15" x14ac:dyDescent="0.25">
      <c r="A51" s="3949"/>
      <c r="B51" s="3989" t="s">
        <v>275</v>
      </c>
      <c r="C51" s="3479" t="s">
        <v>49</v>
      </c>
      <c r="D51" s="1356">
        <v>91</v>
      </c>
      <c r="E51" s="3221">
        <v>91</v>
      </c>
      <c r="F51" s="3221">
        <v>91.5368481043987</v>
      </c>
      <c r="G51" s="3221">
        <v>91</v>
      </c>
      <c r="H51" s="3221">
        <v>91.702888177306576</v>
      </c>
      <c r="I51" s="3755">
        <f>+((E51*E15)+(G15*G51))/I15</f>
        <v>91</v>
      </c>
      <c r="J51" s="107">
        <f>+((F51*F15)+(H15*H51))/J15</f>
        <v>91.625723104339372</v>
      </c>
      <c r="K51" s="3221">
        <f>+$D$51</f>
        <v>91</v>
      </c>
      <c r="L51" s="3221">
        <v>91.019951030281121</v>
      </c>
      <c r="M51" s="3134">
        <f>+$D$51</f>
        <v>91</v>
      </c>
      <c r="N51" s="4026">
        <f>+((F51*F15)+(H51*H15)+(L15*L51))/N15</f>
        <v>91.477170322121268</v>
      </c>
      <c r="O51" s="3221">
        <f>+$D$51</f>
        <v>91</v>
      </c>
      <c r="P51" s="3221">
        <v>91.521005711841298</v>
      </c>
      <c r="Q51" s="3755">
        <f>+((M51*M15)+(O15*O51))/Q15</f>
        <v>91</v>
      </c>
      <c r="R51" s="3755">
        <f>+((N51*N15)+(P15*P51))/R15</f>
        <v>91.489627057762661</v>
      </c>
      <c r="S51" s="3221">
        <f>+$D$51</f>
        <v>91</v>
      </c>
      <c r="T51" s="3473">
        <v>91.310581925251768</v>
      </c>
      <c r="U51" s="3755">
        <f>+((Q51*Q15)+(S15*S51))/U15</f>
        <v>91</v>
      </c>
      <c r="V51" s="3755">
        <f>+((R51*R15)+(T15*T51))/V15</f>
        <v>91.450580808112079</v>
      </c>
      <c r="W51" s="3221">
        <f>+$D$51</f>
        <v>91</v>
      </c>
      <c r="X51" s="5068">
        <v>91.776129654622011</v>
      </c>
      <c r="Y51" s="4026">
        <f>+((O51*O15)+(S51*S15)+(W15*W51))/Y15</f>
        <v>91</v>
      </c>
      <c r="Z51" s="4026">
        <f>+((P51*P15)+(T51*T15)+(X15*X51))/Z15</f>
        <v>91.536084316473691</v>
      </c>
      <c r="AA51" s="4027">
        <f>+((Y51*Y15)+(M15*M51))/AA15</f>
        <v>91</v>
      </c>
      <c r="AB51" s="4027">
        <f>+((Z51*Z15)+(N15*N51))/AB15</f>
        <v>91.509029268071018</v>
      </c>
      <c r="AC51" s="3221">
        <f>+$D$51</f>
        <v>91</v>
      </c>
      <c r="AD51" s="3221">
        <v>91.708526255339009</v>
      </c>
      <c r="AE51" s="3755">
        <f>+((AA51*AA15)+(AC15*AC51))/AE15</f>
        <v>91</v>
      </c>
      <c r="AF51" s="3755">
        <f>+((AB51*AB15)+(AD15*AD51))/AF15</f>
        <v>91.538464251237144</v>
      </c>
      <c r="AG51" s="3221">
        <f>+$D$51</f>
        <v>91</v>
      </c>
      <c r="AH51" s="3221">
        <v>91.132058431735558</v>
      </c>
      <c r="AI51" s="3755">
        <f>+((AE51*AE15)+(AG15*AG51))/AI15</f>
        <v>91</v>
      </c>
      <c r="AJ51" s="3755">
        <f>+((AF51*AF15)+(AH15*AH51))/AJ15</f>
        <v>91.53633920021484</v>
      </c>
      <c r="AK51" s="3221">
        <f>+$D$51</f>
        <v>91</v>
      </c>
      <c r="AL51" s="3221">
        <v>90.950086371140657</v>
      </c>
      <c r="AM51" s="4026">
        <f>+((AC51*AC15)+(AG51*AG15)+(AK15*AK51))/AM15</f>
        <v>91</v>
      </c>
      <c r="AN51" s="4026">
        <f>+((AD51*AD15)+(AH51*AH15)+(AL15*AL51))/AN15</f>
        <v>91.315457506651697</v>
      </c>
      <c r="AO51" s="3755">
        <f>+((AK51*AK15)+(AI15*AI51))/AO15</f>
        <v>91</v>
      </c>
      <c r="AP51" s="3755">
        <f>+((AL51*AL15)+(AJ15*AJ51))/AP15</f>
        <v>91.457543162006303</v>
      </c>
      <c r="AQ51" s="3221">
        <f>+$D$51</f>
        <v>91</v>
      </c>
      <c r="AR51" s="3221">
        <v>91.233171652348915</v>
      </c>
      <c r="AS51" s="3755">
        <f>+((AO51*AO15)+(AQ15*AQ51))/AS15</f>
        <v>91</v>
      </c>
      <c r="AT51" s="3755">
        <f>+((AP51*AP15)+(AR15*AR51))/AT15</f>
        <v>91.429838957191137</v>
      </c>
      <c r="AU51" s="6357">
        <f>+$D$51</f>
        <v>91</v>
      </c>
      <c r="AV51" s="3473">
        <v>91.500954182391453</v>
      </c>
      <c r="AW51" s="3755">
        <f>+((AS51*AS15)+(AU15*AU51))/AW15</f>
        <v>91</v>
      </c>
      <c r="AX51" s="3755">
        <f>+((AT51*AT15)+(AV15*AV51))/AX15</f>
        <v>91.43698831293456</v>
      </c>
      <c r="AY51" s="6433">
        <f>+$D$51</f>
        <v>91</v>
      </c>
      <c r="AZ51" s="3473">
        <v>92.219459463397541</v>
      </c>
      <c r="BA51" s="4026">
        <f>+((AQ51*AQ15)+(AU51*AU15)+(AY15*AY51))/BA15</f>
        <v>91</v>
      </c>
      <c r="BB51" s="4026">
        <f>+((AR51*AR15)+(AV51*AV15)+(AZ15*AZ51))/BB15</f>
        <v>91.653170201413857</v>
      </c>
      <c r="BC51" s="4027">
        <f>+((BA51*BA15)+(AM15*AM51))/BC15</f>
        <v>91</v>
      </c>
      <c r="BD51" s="4027">
        <f>+((BB51*BB15)+(AN15*AN51))/BD15</f>
        <v>91.519723652315918</v>
      </c>
      <c r="BE51" s="3755">
        <f>+((AW51*AW15)+(AY15*AY51))/BE15</f>
        <v>91</v>
      </c>
      <c r="BF51" s="107">
        <f>+((AX51*AX15)+(AZ15*AZ51))/BF15</f>
        <v>91.514145008402807</v>
      </c>
      <c r="BG51" s="3948"/>
      <c r="BH51" s="3948"/>
      <c r="BI51" s="4364"/>
      <c r="BJ51" s="4364"/>
      <c r="BK51" s="3948"/>
      <c r="BL51" s="3948"/>
      <c r="BM51" s="4364"/>
      <c r="BN51" s="4364"/>
    </row>
    <row r="52" spans="1:66" ht="15" x14ac:dyDescent="0.25">
      <c r="B52" s="3989" t="s">
        <v>537</v>
      </c>
      <c r="C52" s="3479" t="s">
        <v>538</v>
      </c>
      <c r="D52" s="770">
        <v>150</v>
      </c>
      <c r="E52" s="3470">
        <f>+$D$52</f>
        <v>150</v>
      </c>
      <c r="F52" s="3473">
        <f>+F49/F25</f>
        <v>156.4773771730915</v>
      </c>
      <c r="G52" s="3470">
        <f>+$D$52</f>
        <v>150</v>
      </c>
      <c r="H52" s="3473">
        <f>+H49/H25</f>
        <v>156.09373350923482</v>
      </c>
      <c r="I52" s="3133">
        <f>+I47/I25</f>
        <v>150</v>
      </c>
      <c r="J52" s="107">
        <f>+J49/J25</f>
        <v>156.27251497005989</v>
      </c>
      <c r="K52" s="3470">
        <f>+$D$52</f>
        <v>150</v>
      </c>
      <c r="L52" s="3473">
        <f>+L49/L25</f>
        <v>152.09805907172995</v>
      </c>
      <c r="M52" s="3967">
        <f>+$D$52</f>
        <v>150</v>
      </c>
      <c r="N52" s="4026">
        <f>+N49/N25</f>
        <v>155.22752310536043</v>
      </c>
      <c r="O52" s="3470">
        <f>+$D$52</f>
        <v>150</v>
      </c>
      <c r="P52" s="3473">
        <f>+P49/P25</f>
        <v>151.88683290155438</v>
      </c>
      <c r="Q52" s="3133">
        <f>+Q47/Q25</f>
        <v>150</v>
      </c>
      <c r="R52" s="3755">
        <f>+R49/R25</f>
        <v>154.25996998686927</v>
      </c>
      <c r="S52" s="3470">
        <f>+$D$52</f>
        <v>150</v>
      </c>
      <c r="T52" s="3473">
        <f>+T49/T25</f>
        <v>152.41398946675443</v>
      </c>
      <c r="U52" s="4930">
        <f>+U47/U25</f>
        <v>150</v>
      </c>
      <c r="V52" s="3755">
        <f>+V49/V25</f>
        <v>153.8506204379562</v>
      </c>
      <c r="W52" s="3470">
        <f>+$D$52</f>
        <v>150</v>
      </c>
      <c r="X52" s="3473">
        <f>+X49/X25</f>
        <v>153.15814569536425</v>
      </c>
      <c r="Y52" s="3134">
        <f>+Y47/Y25</f>
        <v>150.00000000000003</v>
      </c>
      <c r="Z52" s="4026">
        <f>+Z49/Z25</f>
        <v>152.48172315766456</v>
      </c>
      <c r="AA52" s="3179">
        <f>+AA47/AA25</f>
        <v>150</v>
      </c>
      <c r="AB52" s="4027">
        <f>+AB49/AB25</f>
        <v>153.72554425837322</v>
      </c>
      <c r="AC52" s="3470">
        <f>+$D$52</f>
        <v>150</v>
      </c>
      <c r="AD52" s="3470">
        <f>+AD49/AD25</f>
        <v>153.09301171605787</v>
      </c>
      <c r="AE52" s="3133">
        <f>+AE47/AE25</f>
        <v>150</v>
      </c>
      <c r="AF52" s="3755">
        <f>+AF49/AF25</f>
        <v>153.63199571909081</v>
      </c>
      <c r="AG52" s="3470">
        <f>+$D$52</f>
        <v>150</v>
      </c>
      <c r="AH52" s="3470">
        <f>+AH49/AH25</f>
        <v>152.59615384615384</v>
      </c>
      <c r="AI52" s="5553">
        <f>+AI47/AI25</f>
        <v>150</v>
      </c>
      <c r="AJ52" s="3755">
        <f>+AJ49/AJ25</f>
        <v>153.62653452296462</v>
      </c>
      <c r="AK52" s="3470">
        <f>+$D$52</f>
        <v>150</v>
      </c>
      <c r="AL52" s="3470">
        <f>+AL49/AL25</f>
        <v>153.44854996734162</v>
      </c>
      <c r="AM52" s="3134">
        <f>+AM47/AM25</f>
        <v>150.00000000000003</v>
      </c>
      <c r="AN52" s="4026">
        <f>+AN49/AN25</f>
        <v>153.26390573500331</v>
      </c>
      <c r="AO52" s="3133">
        <f>+AO47/AO25</f>
        <v>150</v>
      </c>
      <c r="AP52" s="3755">
        <f>+AP49/AP25</f>
        <v>153.60261892223977</v>
      </c>
      <c r="AQ52" s="3470">
        <f>+$D$52</f>
        <v>150</v>
      </c>
      <c r="AR52" s="3470">
        <f>+AR49/AR25</f>
        <v>153.87123827392119</v>
      </c>
      <c r="AS52" s="3133">
        <f>+AS47/AS25</f>
        <v>150</v>
      </c>
      <c r="AT52" s="3755">
        <f>+AT49/AT25</f>
        <v>153.63567690294775</v>
      </c>
      <c r="AU52" s="6359">
        <f>+$D$52</f>
        <v>150</v>
      </c>
      <c r="AV52" s="3470">
        <f>+AV49/AV25</f>
        <v>154.46695079695081</v>
      </c>
      <c r="AW52" s="6256">
        <f>+AW47/AW25</f>
        <v>150</v>
      </c>
      <c r="AX52" s="3755">
        <f>+AX49/AX25</f>
        <v>153.71876974231091</v>
      </c>
      <c r="AY52" s="6436">
        <f>+$D$52</f>
        <v>150</v>
      </c>
      <c r="AZ52" s="3470">
        <f>+AZ49/AZ25</f>
        <v>154.931106870229</v>
      </c>
      <c r="BA52" s="3134">
        <f>+BA47/BA25</f>
        <v>150</v>
      </c>
      <c r="BB52" s="4026">
        <f>+BB49/BB25</f>
        <v>154.41864325964457</v>
      </c>
      <c r="BC52" s="3179">
        <f>+BC47/BC25</f>
        <v>150</v>
      </c>
      <c r="BD52" s="4027">
        <f>+BD49/BD25</f>
        <v>153.96055308577405</v>
      </c>
      <c r="BE52" s="3133">
        <f>+BE47/BE25</f>
        <v>150.00000000000003</v>
      </c>
      <c r="BF52" s="107">
        <f>+BF49/BF25</f>
        <v>153.83782233883062</v>
      </c>
      <c r="BG52" s="3948"/>
      <c r="BH52" s="3948"/>
      <c r="BI52" s="4364"/>
      <c r="BJ52" s="4364"/>
      <c r="BK52" s="3948"/>
      <c r="BL52" s="3948"/>
      <c r="BM52" s="4364"/>
      <c r="BN52" s="4364"/>
    </row>
    <row r="53" spans="1:66" ht="15" x14ac:dyDescent="0.25">
      <c r="B53" s="3989" t="s">
        <v>276</v>
      </c>
      <c r="C53" s="3479" t="s">
        <v>49</v>
      </c>
      <c r="D53" s="1356">
        <v>97.5</v>
      </c>
      <c r="E53" s="3471">
        <f>+$D$53</f>
        <v>97.5</v>
      </c>
      <c r="F53" s="3221">
        <f>+F49/F20*100</f>
        <v>98.571829215451956</v>
      </c>
      <c r="G53" s="3471">
        <f>+$D$53</f>
        <v>97.5</v>
      </c>
      <c r="H53" s="3221">
        <f>+H49/H20*100</f>
        <v>98.639486123500433</v>
      </c>
      <c r="I53" s="3133">
        <f>+I47/I20*100</f>
        <v>97.500000000000156</v>
      </c>
      <c r="J53" s="107">
        <f>+J49/J20*100</f>
        <v>98.607904498789793</v>
      </c>
      <c r="K53" s="3471">
        <f>+$D$53</f>
        <v>97.5</v>
      </c>
      <c r="L53" s="3221">
        <f>+L49/L20*100</f>
        <v>98.759034027078485</v>
      </c>
      <c r="M53" s="3134">
        <f>+$D$53</f>
        <v>97.5</v>
      </c>
      <c r="N53" s="4026">
        <f>+N49/N20*100</f>
        <v>98.644931218993207</v>
      </c>
      <c r="O53" s="3471">
        <f>+$D$53</f>
        <v>97.5</v>
      </c>
      <c r="P53" s="3221">
        <f>+P49/P20*100</f>
        <v>98.714556639291658</v>
      </c>
      <c r="Q53" s="3133">
        <f>+Q47/Q20*100</f>
        <v>97.350987003132346</v>
      </c>
      <c r="R53" s="3755">
        <f>+R49/R20*100</f>
        <v>98.664776363412372</v>
      </c>
      <c r="S53" s="3471">
        <f>+$D$53</f>
        <v>97.5</v>
      </c>
      <c r="T53" s="3473">
        <f>+T49/T20*100</f>
        <v>98.865731745333576</v>
      </c>
      <c r="U53" s="4930">
        <f>+U47/U20*100</f>
        <v>97.263686414567957</v>
      </c>
      <c r="V53" s="3755">
        <f>+V49/V20*100</f>
        <v>98.708852420912592</v>
      </c>
      <c r="W53" s="3471">
        <f>+$D$53</f>
        <v>97.5</v>
      </c>
      <c r="X53" s="3473">
        <f>+X49/X20*100</f>
        <v>98.876529009233835</v>
      </c>
      <c r="Y53" s="3134">
        <f>+Y47/Y20*100</f>
        <v>96.999998523015947</v>
      </c>
      <c r="Z53" s="4026">
        <f>+Z49/Z20*100</f>
        <v>98.818414497819006</v>
      </c>
      <c r="AA53" s="3179">
        <f>+AA47/AA20*100</f>
        <v>97.212577371208781</v>
      </c>
      <c r="AB53" s="4027">
        <f>+AB49/AB20*100</f>
        <v>98.738984743212455</v>
      </c>
      <c r="AC53" s="3471">
        <f>+$D$53</f>
        <v>97.5</v>
      </c>
      <c r="AD53" s="3471">
        <f>+AD49/AD20*100</f>
        <v>98.794710365040771</v>
      </c>
      <c r="AE53" s="3133">
        <f>+AE47/AE20*100</f>
        <v>97.175845596011058</v>
      </c>
      <c r="AF53" s="3755">
        <f>+AF49/AF20*100</f>
        <v>98.747193432616768</v>
      </c>
      <c r="AG53" s="3471">
        <f>+$D$53</f>
        <v>97.5</v>
      </c>
      <c r="AH53" s="3471">
        <f>+AH49/AH20*100</f>
        <v>98.29473804173594</v>
      </c>
      <c r="AI53" s="5553">
        <f>+AI47/AI20*100</f>
        <v>97.150648862462006</v>
      </c>
      <c r="AJ53" s="3755">
        <f>+AJ49/AJ20*100</f>
        <v>98.744813133947645</v>
      </c>
      <c r="AK53" s="3471">
        <f>+$D$53</f>
        <v>97.5</v>
      </c>
      <c r="AL53" s="3471">
        <f>+AL49/AL20*100</f>
        <v>98.772342417402996</v>
      </c>
      <c r="AM53" s="3134">
        <f>+AM47/AM20*100</f>
        <v>96.999999999999986</v>
      </c>
      <c r="AN53" s="4026">
        <f>+AN49/AN20*100</f>
        <v>98.774835886028512</v>
      </c>
      <c r="AO53" s="3133">
        <f>+AO47/AO20*100</f>
        <v>97.131223432511732</v>
      </c>
      <c r="AP53" s="3755">
        <f>+AP49/AP20*100</f>
        <v>98.748507613260031</v>
      </c>
      <c r="AQ53" s="3471">
        <f>+$D$53</f>
        <v>97.5</v>
      </c>
      <c r="AR53" s="3471">
        <f>+AR49/AR20*100</f>
        <v>98.715348937979954</v>
      </c>
      <c r="AS53" s="3133">
        <f>+AS47/AS20*100</f>
        <v>97.116235443674981</v>
      </c>
      <c r="AT53" s="3755">
        <f>+AT49/AT20*100</f>
        <v>98.744419438587073</v>
      </c>
      <c r="AU53" s="6359">
        <f>+$D$53</f>
        <v>97.5</v>
      </c>
      <c r="AV53" s="3470">
        <f>+AV49/AV20*100</f>
        <v>98.691531142213236</v>
      </c>
      <c r="AW53" s="6256">
        <f>+AW47/AW20*100</f>
        <v>97.105402376995826</v>
      </c>
      <c r="AX53" s="3755">
        <f>+AX49/AX20*100</f>
        <v>98.739104515227197</v>
      </c>
      <c r="AY53" s="6436">
        <f>+$D$53</f>
        <v>97.5</v>
      </c>
      <c r="AZ53" s="3470">
        <f>+AZ49/AZ20*100</f>
        <v>98.671039411421532</v>
      </c>
      <c r="BA53" s="3134">
        <f>+BA47/BA20*100</f>
        <v>96.999999999999986</v>
      </c>
      <c r="BB53" s="4026">
        <f>+BB49/BB20*100</f>
        <v>98.692747861619978</v>
      </c>
      <c r="BC53" s="3179">
        <f>+BC47/BC20*100</f>
        <v>97</v>
      </c>
      <c r="BD53" s="4027">
        <f>+BD49/BD20*100</f>
        <v>98.725148935763499</v>
      </c>
      <c r="BE53" s="3133">
        <f>+BE47/BE20*100</f>
        <v>97.095510165517155</v>
      </c>
      <c r="BF53" s="107">
        <f>+BF49/BF20*100</f>
        <v>98.732368774981936</v>
      </c>
      <c r="BG53" s="3948"/>
      <c r="BH53" s="3948"/>
      <c r="BI53" s="4364"/>
      <c r="BJ53" s="4364"/>
      <c r="BK53" s="3948"/>
      <c r="BL53" s="3948"/>
      <c r="BM53" s="4364"/>
      <c r="BN53" s="4364"/>
    </row>
    <row r="54" spans="1:66" ht="15" x14ac:dyDescent="0.25">
      <c r="A54" s="1277"/>
      <c r="B54" s="1002" t="s">
        <v>277</v>
      </c>
      <c r="C54" s="414"/>
      <c r="D54" s="4028"/>
      <c r="E54" s="4029"/>
      <c r="F54" s="4029"/>
      <c r="G54" s="4029"/>
      <c r="H54" s="4029"/>
      <c r="I54" s="4029"/>
      <c r="J54" s="4030"/>
      <c r="K54" s="4029"/>
      <c r="L54" s="4029"/>
      <c r="M54" s="4029"/>
      <c r="N54" s="4029"/>
      <c r="O54" s="4029"/>
      <c r="P54" s="4029"/>
      <c r="Q54" s="4029"/>
      <c r="R54" s="4029"/>
      <c r="S54" s="4029"/>
      <c r="T54" s="4029"/>
      <c r="U54" s="4029"/>
      <c r="V54" s="4029"/>
      <c r="W54" s="4029"/>
      <c r="X54" s="4029"/>
      <c r="Y54" s="4029"/>
      <c r="Z54" s="4029"/>
      <c r="AA54" s="4029"/>
      <c r="AB54" s="4029"/>
      <c r="AC54" s="4029"/>
      <c r="AD54" s="4029"/>
      <c r="AE54" s="4029"/>
      <c r="AF54" s="4029"/>
      <c r="AG54" s="4029"/>
      <c r="AH54" s="4029"/>
      <c r="AI54" s="4029"/>
      <c r="AJ54" s="4029"/>
      <c r="AK54" s="4029"/>
      <c r="AL54" s="4029"/>
      <c r="AM54" s="4029"/>
      <c r="AN54" s="4029"/>
      <c r="AO54" s="4029"/>
      <c r="AP54" s="4029"/>
      <c r="AQ54" s="4029"/>
      <c r="AR54" s="4029"/>
      <c r="AS54" s="4029"/>
      <c r="AT54" s="4029"/>
      <c r="AU54" s="4029"/>
      <c r="AV54" s="4029"/>
      <c r="AW54" s="4029"/>
      <c r="AX54" s="4029"/>
      <c r="AY54" s="4029"/>
      <c r="AZ54" s="4029"/>
      <c r="BA54" s="4029"/>
      <c r="BB54" s="4029"/>
      <c r="BC54" s="4029"/>
      <c r="BD54" s="4029"/>
      <c r="BE54" s="4029"/>
      <c r="BF54" s="4030"/>
      <c r="BG54" s="3948"/>
      <c r="BH54" s="3948"/>
      <c r="BI54" s="4364"/>
      <c r="BJ54" s="4364"/>
      <c r="BK54" s="3948"/>
      <c r="BL54" s="3948"/>
      <c r="BM54" s="4364"/>
      <c r="BN54" s="4364"/>
    </row>
    <row r="55" spans="1:66" ht="15" x14ac:dyDescent="0.25">
      <c r="B55" s="742" t="s">
        <v>83</v>
      </c>
      <c r="C55" s="3479" t="s">
        <v>50</v>
      </c>
      <c r="D55" s="3938">
        <f>+(D72*D$5/1000)</f>
        <v>4535.1641842747895</v>
      </c>
      <c r="E55" s="3202">
        <f>+E72*E$5/1000</f>
        <v>394.50038410815114</v>
      </c>
      <c r="F55" s="3202">
        <v>365</v>
      </c>
      <c r="G55" s="7194">
        <f>+G72*G$5/1000</f>
        <v>400.57305907569491</v>
      </c>
      <c r="H55" s="7194">
        <v>297</v>
      </c>
      <c r="I55" s="3133">
        <f t="shared" ref="I55:I70" si="60">+E55+G55</f>
        <v>795.07344318384605</v>
      </c>
      <c r="J55" s="39">
        <f t="shared" ref="J55:J70" si="61">+F55+H55</f>
        <v>662</v>
      </c>
      <c r="K55" s="4602">
        <f>+K72*K$5/1000</f>
        <v>230.68867924528303</v>
      </c>
      <c r="L55" s="4602">
        <v>92</v>
      </c>
      <c r="M55" s="3134">
        <f t="shared" ref="M55:M70" si="62">+K55+G55+E55</f>
        <v>1025.762122429129</v>
      </c>
      <c r="N55" s="3134">
        <f t="shared" ref="N55:N70" si="63">+L55+H55+F55</f>
        <v>754</v>
      </c>
      <c r="O55" s="4790">
        <f>+O72*O$5/1000</f>
        <v>105.07075471698117</v>
      </c>
      <c r="P55" s="4790">
        <v>248</v>
      </c>
      <c r="Q55" s="3133">
        <f>+M55+O55</f>
        <v>1130.8328771461101</v>
      </c>
      <c r="R55" s="3133">
        <f>+N55+P55</f>
        <v>1002</v>
      </c>
      <c r="S55" s="4929">
        <f>+S72*S$5/1000</f>
        <v>372.99339622641526</v>
      </c>
      <c r="T55" s="4929">
        <v>276</v>
      </c>
      <c r="U55" s="4930">
        <f>+Q55+S55</f>
        <v>1503.8262733725255</v>
      </c>
      <c r="V55" s="4930">
        <f>+R55+T55</f>
        <v>1278</v>
      </c>
      <c r="W55" s="5461">
        <f>+W72*W$5/1000</f>
        <v>360.54056603773563</v>
      </c>
      <c r="X55" s="5050">
        <v>314</v>
      </c>
      <c r="Y55" s="3134">
        <f t="shared" ref="Y55:Y70" si="64">+W55+S55+O55</f>
        <v>838.60471698113201</v>
      </c>
      <c r="Z55" s="3134">
        <f t="shared" ref="Z55:Z70" si="65">+X55+T55+P55</f>
        <v>838</v>
      </c>
      <c r="AA55" s="3179">
        <f>+Y55+M55</f>
        <v>1864.366839410261</v>
      </c>
      <c r="AB55" s="3179">
        <f>+Z55+N55</f>
        <v>1592</v>
      </c>
      <c r="AC55" s="5365">
        <f>+AC72*AC$5/1000</f>
        <v>388.55943396226439</v>
      </c>
      <c r="AD55" s="5365">
        <v>291</v>
      </c>
      <c r="AE55" s="3133">
        <f>+AA55+AC55</f>
        <v>2252.9262733725254</v>
      </c>
      <c r="AF55" s="3133">
        <f>+AB55+AD55</f>
        <v>1883</v>
      </c>
      <c r="AG55" s="5552">
        <f>+AG72*AG$5/1000</f>
        <v>376.10660377358477</v>
      </c>
      <c r="AH55" s="5552">
        <v>2</v>
      </c>
      <c r="AI55" s="5553">
        <f>+AE55+AG55</f>
        <v>2629.03287714611</v>
      </c>
      <c r="AJ55" s="5553">
        <f>+AF55+AH55</f>
        <v>1885</v>
      </c>
      <c r="AK55" s="5948">
        <f>+AK72*AK$5/1000</f>
        <v>388.55943396226439</v>
      </c>
      <c r="AL55" s="5948">
        <v>421</v>
      </c>
      <c r="AM55" s="3134">
        <f t="shared" ref="AM55:AM70" si="66">+AK55+AG55+AC55</f>
        <v>1153.2254716981136</v>
      </c>
      <c r="AN55" s="3134">
        <f t="shared" ref="AN55:AN70" si="67">+AL55+AH55+AD55</f>
        <v>714</v>
      </c>
      <c r="AO55" s="3133">
        <f t="shared" ref="AO55" si="68">+AK55+AI55</f>
        <v>3017.5923111083744</v>
      </c>
      <c r="AP55" s="3133">
        <f t="shared" ref="AP55" si="69">+AL55+AJ55</f>
        <v>2306</v>
      </c>
      <c r="AQ55" s="6098">
        <f>+AQ72*AQ$5/1000</f>
        <v>388.55943396226439</v>
      </c>
      <c r="AR55" s="6098">
        <v>443</v>
      </c>
      <c r="AS55" s="3133">
        <f>+AO55+AQ55</f>
        <v>3406.1517450706388</v>
      </c>
      <c r="AT55" s="3133">
        <f>+AP55+AR55</f>
        <v>2749</v>
      </c>
      <c r="AU55" s="6258">
        <f>+AU72*AU$5/1000</f>
        <v>349.6443396226407</v>
      </c>
      <c r="AV55" s="6258">
        <v>330</v>
      </c>
      <c r="AW55" s="6256">
        <f>+AS55+AU55</f>
        <v>3755.7960846932792</v>
      </c>
      <c r="AX55" s="6256">
        <f>+AT55+AV55</f>
        <v>3079</v>
      </c>
      <c r="AY55" s="6433">
        <f>+AY72*AY$5/1000</f>
        <v>388.55943396226439</v>
      </c>
      <c r="AZ55" s="6433">
        <v>328</v>
      </c>
      <c r="BA55" s="3134">
        <f t="shared" ref="BA55:BA70" si="70">+AY55+AU55+AQ55</f>
        <v>1126.7632075471695</v>
      </c>
      <c r="BB55" s="3134">
        <f t="shared" ref="BB55:BB70" si="71">+AZ55+AV55+AR55</f>
        <v>1101</v>
      </c>
      <c r="BC55" s="3179">
        <f t="shared" ref="BC55:BD56" si="72">+BA55+AM55</f>
        <v>2279.988679245283</v>
      </c>
      <c r="BD55" s="3179">
        <f t="shared" si="72"/>
        <v>1815</v>
      </c>
      <c r="BE55" s="3133">
        <f t="shared" ref="BE55:BE70" si="73">+AW55+AY55</f>
        <v>4144.3555186555441</v>
      </c>
      <c r="BF55" s="39">
        <f t="shared" ref="BF55:BF70" si="74">+AX55+AZ55</f>
        <v>3407</v>
      </c>
      <c r="BG55" s="3948"/>
      <c r="BH55" s="3948"/>
      <c r="BI55" s="4364"/>
      <c r="BJ55" s="4364"/>
      <c r="BK55" s="3948"/>
      <c r="BL55" s="3948"/>
      <c r="BM55" s="4364"/>
      <c r="BN55" s="4364"/>
    </row>
    <row r="56" spans="1:66" ht="15" x14ac:dyDescent="0.25">
      <c r="B56" s="742" t="s">
        <v>838</v>
      </c>
      <c r="C56" s="3479" t="s">
        <v>50</v>
      </c>
      <c r="D56" s="3938">
        <f>+D73*D$5/1000</f>
        <v>2327.1642288886505</v>
      </c>
      <c r="E56" s="3202">
        <f>+E73*E$5/1000</f>
        <v>191.46683458737897</v>
      </c>
      <c r="F56" s="3202">
        <v>105</v>
      </c>
      <c r="G56" s="7194">
        <f>+G73*G$5/1000</f>
        <v>205.54918328420422</v>
      </c>
      <c r="H56" s="7194">
        <v>178</v>
      </c>
      <c r="I56" s="3133">
        <f t="shared" si="60"/>
        <v>397.01601787158319</v>
      </c>
      <c r="J56" s="39">
        <f t="shared" si="61"/>
        <v>283</v>
      </c>
      <c r="K56" s="4602">
        <f>+K73*K$5/1000</f>
        <v>118.83962264150944</v>
      </c>
      <c r="L56" s="4602">
        <v>64</v>
      </c>
      <c r="M56" s="3134">
        <f t="shared" si="62"/>
        <v>515.85564051309257</v>
      </c>
      <c r="N56" s="3134">
        <f t="shared" si="63"/>
        <v>347</v>
      </c>
      <c r="O56" s="4790">
        <f>+O73*O$5/1000</f>
        <v>54.12735849056606</v>
      </c>
      <c r="P56" s="4790">
        <v>205</v>
      </c>
      <c r="Q56" s="3133">
        <f t="shared" ref="Q56:Q62" si="75">+M56+O56</f>
        <v>569.98299900365862</v>
      </c>
      <c r="R56" s="3133">
        <f t="shared" ref="R56:R62" si="76">+N56+P56</f>
        <v>552</v>
      </c>
      <c r="S56" s="4929">
        <f>+S73*S$5/1000</f>
        <v>192.14811320754725</v>
      </c>
      <c r="T56" s="4929">
        <v>120</v>
      </c>
      <c r="U56" s="4930">
        <f t="shared" ref="U56:U70" si="77">+Q56+S56</f>
        <v>762.13111221120585</v>
      </c>
      <c r="V56" s="4930">
        <f t="shared" ref="V56:V70" si="78">+R56+T56</f>
        <v>672</v>
      </c>
      <c r="W56" s="5461">
        <f>+W73*W$5/1000</f>
        <v>185.73301886792441</v>
      </c>
      <c r="X56" s="5050">
        <v>191</v>
      </c>
      <c r="Y56" s="3134">
        <f t="shared" si="64"/>
        <v>432.00849056603772</v>
      </c>
      <c r="Z56" s="3134">
        <f t="shared" si="65"/>
        <v>516</v>
      </c>
      <c r="AA56" s="3179">
        <f>+Y56+M56</f>
        <v>947.86413107913029</v>
      </c>
      <c r="AB56" s="3179">
        <f>+Z56+N56</f>
        <v>863</v>
      </c>
      <c r="AC56" s="5365">
        <f>+AC73*AC$5/1000</f>
        <v>200.16698113207559</v>
      </c>
      <c r="AD56" s="5365">
        <v>155</v>
      </c>
      <c r="AE56" s="3133">
        <f t="shared" ref="AE56:AE70" si="79">+AA56+AC56</f>
        <v>1148.0311122112059</v>
      </c>
      <c r="AF56" s="3133">
        <f t="shared" ref="AF56:AF70" si="80">+AB56+AD56</f>
        <v>1018</v>
      </c>
      <c r="AG56" s="5552">
        <f>+AG73*AG$5/1000</f>
        <v>193.75188679245275</v>
      </c>
      <c r="AH56" s="5552">
        <v>9</v>
      </c>
      <c r="AI56" s="5553">
        <f t="shared" ref="AI56:AI70" si="81">+AE56+AG56</f>
        <v>1341.7829990036587</v>
      </c>
      <c r="AJ56" s="5553">
        <f t="shared" ref="AJ56:AJ70" si="82">+AF56+AH56</f>
        <v>1027</v>
      </c>
      <c r="AK56" s="5948">
        <f>+AK73*AK$5/1000</f>
        <v>200.16698113207559</v>
      </c>
      <c r="AL56" s="5948">
        <v>123</v>
      </c>
      <c r="AM56" s="3134">
        <f t="shared" si="66"/>
        <v>594.08584905660393</v>
      </c>
      <c r="AN56" s="3134">
        <f t="shared" si="67"/>
        <v>287</v>
      </c>
      <c r="AO56" s="3133">
        <f t="shared" ref="AO56:AO70" si="83">+AK56+AI56</f>
        <v>1541.9499801357342</v>
      </c>
      <c r="AP56" s="3133">
        <f t="shared" ref="AP56:AP70" si="84">+AL56+AJ56</f>
        <v>1150</v>
      </c>
      <c r="AQ56" s="6098">
        <f>+AQ73*AQ$5/1000</f>
        <v>200.16698113207559</v>
      </c>
      <c r="AR56" s="6098">
        <v>116</v>
      </c>
      <c r="AS56" s="3133">
        <f t="shared" ref="AS56:AS70" si="85">+AO56+AQ56</f>
        <v>1742.1169612678098</v>
      </c>
      <c r="AT56" s="3133">
        <f t="shared" ref="AT56:AT70" si="86">+AP56+AR56</f>
        <v>1266</v>
      </c>
      <c r="AU56" s="6258">
        <f>+AU73*AU$5/1000</f>
        <v>180.11981132075428</v>
      </c>
      <c r="AV56" s="6258">
        <v>149</v>
      </c>
      <c r="AW56" s="6256">
        <f t="shared" ref="AW56:AW70" si="87">+AS56+AU56</f>
        <v>1922.236772588564</v>
      </c>
      <c r="AX56" s="6256">
        <f t="shared" ref="AX56:AX70" si="88">+AT56+AV56</f>
        <v>1415</v>
      </c>
      <c r="AY56" s="6433">
        <f>+AY73*AY$5/1000</f>
        <v>200.16698113207559</v>
      </c>
      <c r="AZ56" s="6433">
        <v>78</v>
      </c>
      <c r="BA56" s="3134">
        <f t="shared" si="70"/>
        <v>580.45377358490555</v>
      </c>
      <c r="BB56" s="3134">
        <f t="shared" si="71"/>
        <v>343</v>
      </c>
      <c r="BC56" s="3179">
        <f t="shared" si="72"/>
        <v>1174.5396226415096</v>
      </c>
      <c r="BD56" s="3179">
        <f t="shared" si="72"/>
        <v>630</v>
      </c>
      <c r="BE56" s="3133">
        <f t="shared" si="73"/>
        <v>2122.4037537206395</v>
      </c>
      <c r="BF56" s="39">
        <f t="shared" si="74"/>
        <v>1493</v>
      </c>
      <c r="BG56" s="3948"/>
      <c r="BH56" s="3948"/>
      <c r="BI56" s="4364"/>
      <c r="BJ56" s="4364"/>
      <c r="BK56" s="3948"/>
      <c r="BL56" s="3948"/>
      <c r="BM56" s="4364"/>
      <c r="BN56" s="4364"/>
    </row>
    <row r="57" spans="1:66" ht="15" x14ac:dyDescent="0.25">
      <c r="B57" s="744" t="s">
        <v>880</v>
      </c>
      <c r="C57" s="4031" t="s">
        <v>50</v>
      </c>
      <c r="D57" s="1342">
        <f>SUM(D55:D56)</f>
        <v>6862.32841316344</v>
      </c>
      <c r="E57" s="3996">
        <f>SUM(E55:E56)</f>
        <v>585.96721869553016</v>
      </c>
      <c r="F57" s="3996">
        <f>SUM(F55:F56)</f>
        <v>470</v>
      </c>
      <c r="G57" s="7193">
        <f>SUM(G55:G56)</f>
        <v>606.12224235989913</v>
      </c>
      <c r="H57" s="7193">
        <f>SUM(H55:H56)</f>
        <v>475</v>
      </c>
      <c r="I57" s="3133">
        <f t="shared" si="60"/>
        <v>1192.0894610554292</v>
      </c>
      <c r="J57" s="39">
        <f t="shared" si="61"/>
        <v>945</v>
      </c>
      <c r="K57" s="4601">
        <f>SUM(K55:K56)</f>
        <v>349.52830188679246</v>
      </c>
      <c r="L57" s="4601">
        <f>SUM(L55:L56)</f>
        <v>156</v>
      </c>
      <c r="M57" s="3134">
        <f t="shared" si="62"/>
        <v>1541.6177629422218</v>
      </c>
      <c r="N57" s="3134">
        <f t="shared" si="63"/>
        <v>1101</v>
      </c>
      <c r="O57" s="4788">
        <f>SUM(O55:O56)</f>
        <v>159.19811320754724</v>
      </c>
      <c r="P57" s="4788">
        <f>SUM(P55:P56)</f>
        <v>453</v>
      </c>
      <c r="Q57" s="3133">
        <f t="shared" si="75"/>
        <v>1700.8158761497691</v>
      </c>
      <c r="R57" s="3133">
        <f t="shared" si="76"/>
        <v>1554</v>
      </c>
      <c r="S57" s="4926">
        <f>SUM(S55:S56)</f>
        <v>565.14150943396248</v>
      </c>
      <c r="T57" s="4926">
        <f>SUM(T55:T56)</f>
        <v>396</v>
      </c>
      <c r="U57" s="4930">
        <f t="shared" si="77"/>
        <v>2265.9573855837316</v>
      </c>
      <c r="V57" s="4930">
        <f t="shared" si="78"/>
        <v>1950</v>
      </c>
      <c r="W57" s="5460">
        <f>SUM(W55:W56)</f>
        <v>546.27358490566007</v>
      </c>
      <c r="X57" s="5049">
        <f>SUM(X55:X56)</f>
        <v>505</v>
      </c>
      <c r="Y57" s="3995">
        <f t="shared" si="64"/>
        <v>1270.6132075471698</v>
      </c>
      <c r="Z57" s="3995">
        <f t="shared" si="65"/>
        <v>1354</v>
      </c>
      <c r="AA57" s="4032">
        <f t="shared" ref="AA57:AB57" si="89">SUM(AA55:AA56)</f>
        <v>2812.2309704893914</v>
      </c>
      <c r="AB57" s="4032">
        <f t="shared" si="89"/>
        <v>2455</v>
      </c>
      <c r="AC57" s="5364">
        <f>SUM(AC55:AC56)</f>
        <v>588.72641509433993</v>
      </c>
      <c r="AD57" s="5364">
        <f>SUM(AD55:AD56)</f>
        <v>446</v>
      </c>
      <c r="AE57" s="3133">
        <f t="shared" si="79"/>
        <v>3400.9573855837316</v>
      </c>
      <c r="AF57" s="3133">
        <f t="shared" si="80"/>
        <v>2901</v>
      </c>
      <c r="AG57" s="5549">
        <f>SUM(AG55:AG56)</f>
        <v>569.85849056603752</v>
      </c>
      <c r="AH57" s="5549">
        <f>SUM(AH55:AH56)</f>
        <v>11</v>
      </c>
      <c r="AI57" s="5553">
        <f t="shared" si="81"/>
        <v>3970.8158761497689</v>
      </c>
      <c r="AJ57" s="5553">
        <f t="shared" si="82"/>
        <v>2912</v>
      </c>
      <c r="AK57" s="5947">
        <f>SUM(AK55:AK56)</f>
        <v>588.72641509433993</v>
      </c>
      <c r="AL57" s="5947">
        <f>SUM(AL55:AL56)</f>
        <v>544</v>
      </c>
      <c r="AM57" s="3995">
        <f t="shared" si="66"/>
        <v>1747.3113207547174</v>
      </c>
      <c r="AN57" s="3995">
        <f t="shared" si="67"/>
        <v>1001</v>
      </c>
      <c r="AO57" s="3133">
        <f t="shared" si="83"/>
        <v>4559.542291244109</v>
      </c>
      <c r="AP57" s="3133">
        <f t="shared" si="84"/>
        <v>3456</v>
      </c>
      <c r="AQ57" s="6097">
        <f>SUM(AQ55:AQ56)</f>
        <v>588.72641509433993</v>
      </c>
      <c r="AR57" s="6097">
        <f>SUM(AR55:AR56)</f>
        <v>559</v>
      </c>
      <c r="AS57" s="3133">
        <f t="shared" si="85"/>
        <v>5148.2687063384492</v>
      </c>
      <c r="AT57" s="3133">
        <f t="shared" si="86"/>
        <v>4015</v>
      </c>
      <c r="AU57" s="6257">
        <f>SUM(AU55:AU56)</f>
        <v>529.76415094339495</v>
      </c>
      <c r="AV57" s="6257">
        <f>SUM(AV55:AV56)</f>
        <v>479</v>
      </c>
      <c r="AW57" s="6256">
        <f t="shared" si="87"/>
        <v>5678.0328572818444</v>
      </c>
      <c r="AX57" s="6256">
        <f t="shared" si="88"/>
        <v>4494</v>
      </c>
      <c r="AY57" s="6432">
        <f>SUM(AY55:AY56)</f>
        <v>588.72641509433993</v>
      </c>
      <c r="AZ57" s="6432">
        <f>SUM(AZ55:AZ56)</f>
        <v>406</v>
      </c>
      <c r="BA57" s="3995">
        <f t="shared" si="70"/>
        <v>1707.2169811320748</v>
      </c>
      <c r="BB57" s="3995">
        <f t="shared" si="71"/>
        <v>1444</v>
      </c>
      <c r="BC57" s="4032">
        <f t="shared" ref="BC57:BD57" si="90">SUM(BC55:BC56)</f>
        <v>3454.5283018867926</v>
      </c>
      <c r="BD57" s="4032">
        <f t="shared" si="90"/>
        <v>2445</v>
      </c>
      <c r="BE57" s="3133">
        <f t="shared" si="73"/>
        <v>6266.7592723761845</v>
      </c>
      <c r="BF57" s="39">
        <f t="shared" si="74"/>
        <v>4900</v>
      </c>
      <c r="BG57" s="3948"/>
      <c r="BH57" s="3948"/>
      <c r="BI57" s="4364"/>
      <c r="BJ57" s="4364"/>
      <c r="BK57" s="3948"/>
      <c r="BL57" s="3948"/>
      <c r="BM57" s="4364"/>
      <c r="BN57" s="4364"/>
    </row>
    <row r="58" spans="1:66" ht="15" x14ac:dyDescent="0.25">
      <c r="B58" s="742" t="s">
        <v>84</v>
      </c>
      <c r="C58" s="3479" t="s">
        <v>50</v>
      </c>
      <c r="D58" s="3938">
        <f>+D75*D$5/1000</f>
        <v>48123.44947497479</v>
      </c>
      <c r="E58" s="3202">
        <f>+E75*E$5/1000</f>
        <v>4119.9845127353037</v>
      </c>
      <c r="F58" s="3202">
        <v>3332</v>
      </c>
      <c r="G58" s="7194">
        <f>+G75*G$5/1000</f>
        <v>4250.5533617296896</v>
      </c>
      <c r="H58" s="7194">
        <v>3570</v>
      </c>
      <c r="I58" s="3133">
        <f t="shared" si="60"/>
        <v>8370.5378744649934</v>
      </c>
      <c r="J58" s="39">
        <f t="shared" si="61"/>
        <v>6902</v>
      </c>
      <c r="K58" s="4602">
        <f>+K75*K$5/1000</f>
        <v>2565.5377358490568</v>
      </c>
      <c r="L58" s="4602">
        <v>2088</v>
      </c>
      <c r="M58" s="3134">
        <f t="shared" si="62"/>
        <v>10936.07561031405</v>
      </c>
      <c r="N58" s="3134">
        <f t="shared" si="63"/>
        <v>8990</v>
      </c>
      <c r="O58" s="4790">
        <f>+O75*O$5/1000</f>
        <v>1168.5141509433968</v>
      </c>
      <c r="P58" s="4790">
        <v>3644.44</v>
      </c>
      <c r="Q58" s="3133">
        <f t="shared" si="75"/>
        <v>12104.589761257446</v>
      </c>
      <c r="R58" s="3133">
        <f t="shared" si="76"/>
        <v>12634.44</v>
      </c>
      <c r="S58" s="4929">
        <f>+S75*S$5/1000</f>
        <v>4148.1386792452849</v>
      </c>
      <c r="T58" s="4929">
        <v>3948</v>
      </c>
      <c r="U58" s="4930">
        <f t="shared" si="77"/>
        <v>16252.728440502731</v>
      </c>
      <c r="V58" s="4930">
        <f t="shared" si="78"/>
        <v>16582.440000000002</v>
      </c>
      <c r="W58" s="5461">
        <f>+W75*W$5/1000</f>
        <v>4009.6481132075451</v>
      </c>
      <c r="X58" s="5050">
        <v>3673</v>
      </c>
      <c r="Y58" s="3134">
        <f t="shared" si="64"/>
        <v>9326.300943396227</v>
      </c>
      <c r="Z58" s="3134">
        <f t="shared" si="65"/>
        <v>11265.44</v>
      </c>
      <c r="AA58" s="3179">
        <f t="shared" ref="AA58:AB70" si="91">+Y58+M58</f>
        <v>20262.376553710277</v>
      </c>
      <c r="AB58" s="3179">
        <f t="shared" si="91"/>
        <v>20255.440000000002</v>
      </c>
      <c r="AC58" s="5365">
        <f>+AC75*AC$5/1000</f>
        <v>4321.2518867924555</v>
      </c>
      <c r="AD58" s="5365">
        <v>3276</v>
      </c>
      <c r="AE58" s="3133">
        <f t="shared" si="79"/>
        <v>24583.628440502733</v>
      </c>
      <c r="AF58" s="3133">
        <f t="shared" si="80"/>
        <v>23531.440000000002</v>
      </c>
      <c r="AG58" s="5552">
        <f>+AG75*AG$5/1000</f>
        <v>4182.7613207547156</v>
      </c>
      <c r="AH58" s="5552">
        <v>110</v>
      </c>
      <c r="AI58" s="5553">
        <f t="shared" si="81"/>
        <v>28766.389761257447</v>
      </c>
      <c r="AJ58" s="5553">
        <f t="shared" si="82"/>
        <v>23641.440000000002</v>
      </c>
      <c r="AK58" s="5948">
        <f>+AK75*AK$5/1000</f>
        <v>4321.2518867924555</v>
      </c>
      <c r="AL58" s="5948">
        <v>3928</v>
      </c>
      <c r="AM58" s="3134">
        <f t="shared" si="66"/>
        <v>12825.265094339626</v>
      </c>
      <c r="AN58" s="3134">
        <f t="shared" si="67"/>
        <v>7314</v>
      </c>
      <c r="AO58" s="3133">
        <f t="shared" si="83"/>
        <v>33087.641648049903</v>
      </c>
      <c r="AP58" s="3133">
        <f t="shared" si="84"/>
        <v>27569.440000000002</v>
      </c>
      <c r="AQ58" s="6098">
        <f>+AQ75*AQ$5/1000</f>
        <v>4321.2518867924555</v>
      </c>
      <c r="AR58" s="6098">
        <v>4040</v>
      </c>
      <c r="AS58" s="3133">
        <f t="shared" si="85"/>
        <v>37408.893534842355</v>
      </c>
      <c r="AT58" s="3133">
        <f t="shared" si="86"/>
        <v>31609.440000000002</v>
      </c>
      <c r="AU58" s="6258">
        <f>+AU75*AU$5/1000</f>
        <v>3888.4688679245196</v>
      </c>
      <c r="AV58" s="6258">
        <v>3626</v>
      </c>
      <c r="AW58" s="6256">
        <f t="shared" si="87"/>
        <v>41297.362402766877</v>
      </c>
      <c r="AX58" s="6256">
        <f t="shared" si="88"/>
        <v>35235.440000000002</v>
      </c>
      <c r="AY58" s="6433">
        <f>+AY75*AY$5/1000</f>
        <v>4321.2518867924555</v>
      </c>
      <c r="AZ58" s="6433">
        <v>4060</v>
      </c>
      <c r="BA58" s="3134">
        <f t="shared" si="70"/>
        <v>12530.97264150943</v>
      </c>
      <c r="BB58" s="3134">
        <f t="shared" si="71"/>
        <v>11726</v>
      </c>
      <c r="BC58" s="3179">
        <f t="shared" ref="BC58:BD59" si="92">+BA58+AM58</f>
        <v>25356.237735849056</v>
      </c>
      <c r="BD58" s="3179">
        <f t="shared" si="92"/>
        <v>19040</v>
      </c>
      <c r="BE58" s="3133">
        <f t="shared" si="73"/>
        <v>45618.614289559337</v>
      </c>
      <c r="BF58" s="39">
        <f t="shared" si="74"/>
        <v>39295.440000000002</v>
      </c>
      <c r="BG58" s="3948"/>
      <c r="BH58" s="3948"/>
      <c r="BI58" s="4364"/>
      <c r="BJ58" s="4364"/>
      <c r="BK58" s="3948"/>
      <c r="BL58" s="3948"/>
      <c r="BM58" s="4364"/>
      <c r="BN58" s="4364"/>
    </row>
    <row r="59" spans="1:66" ht="15" x14ac:dyDescent="0.25">
      <c r="B59" s="742" t="s">
        <v>1587</v>
      </c>
      <c r="C59" s="3479" t="s">
        <v>50</v>
      </c>
      <c r="D59" s="3938">
        <f>+D76*D$5/1000</f>
        <v>0</v>
      </c>
      <c r="E59" s="3202">
        <f>+E76*E$5/1000</f>
        <v>0</v>
      </c>
      <c r="F59" s="3202">
        <v>0</v>
      </c>
      <c r="G59" s="7194">
        <f>+G76*G$5/1000</f>
        <v>0</v>
      </c>
      <c r="H59" s="7194"/>
      <c r="I59" s="3133">
        <f t="shared" si="60"/>
        <v>0</v>
      </c>
      <c r="J59" s="39">
        <f t="shared" si="61"/>
        <v>0</v>
      </c>
      <c r="K59" s="4602">
        <f>+K76*K$5/1000</f>
        <v>0</v>
      </c>
      <c r="L59" s="4602">
        <v>0</v>
      </c>
      <c r="M59" s="3134">
        <f t="shared" si="62"/>
        <v>0</v>
      </c>
      <c r="N59" s="3134">
        <f t="shared" si="63"/>
        <v>0</v>
      </c>
      <c r="O59" s="4790">
        <f>+O76*O$5/1000</f>
        <v>0</v>
      </c>
      <c r="P59" s="4790">
        <v>0</v>
      </c>
      <c r="Q59" s="3133">
        <f t="shared" si="75"/>
        <v>0</v>
      </c>
      <c r="R59" s="3133">
        <f t="shared" si="76"/>
        <v>0</v>
      </c>
      <c r="S59" s="4929">
        <f>+S76*S$5/1000</f>
        <v>0</v>
      </c>
      <c r="T59" s="4929">
        <v>0</v>
      </c>
      <c r="U59" s="4930">
        <f t="shared" si="77"/>
        <v>0</v>
      </c>
      <c r="V59" s="4930">
        <f t="shared" si="78"/>
        <v>0</v>
      </c>
      <c r="W59" s="5461">
        <f>+W76*W$5/1000</f>
        <v>0</v>
      </c>
      <c r="X59" s="5050">
        <v>0</v>
      </c>
      <c r="Y59" s="3134">
        <f t="shared" si="64"/>
        <v>0</v>
      </c>
      <c r="Z59" s="3134">
        <f t="shared" si="65"/>
        <v>0</v>
      </c>
      <c r="AA59" s="3179">
        <f t="shared" si="91"/>
        <v>0</v>
      </c>
      <c r="AB59" s="3179">
        <f t="shared" si="91"/>
        <v>0</v>
      </c>
      <c r="AC59" s="5365">
        <f>+AC76*AC$5/1000</f>
        <v>0</v>
      </c>
      <c r="AD59" s="5365">
        <v>0</v>
      </c>
      <c r="AE59" s="3133">
        <f t="shared" si="79"/>
        <v>0</v>
      </c>
      <c r="AF59" s="3133">
        <f t="shared" si="80"/>
        <v>0</v>
      </c>
      <c r="AG59" s="5552">
        <f>+AG76*AG$5/1000</f>
        <v>0</v>
      </c>
      <c r="AH59" s="5552">
        <v>0</v>
      </c>
      <c r="AI59" s="5553">
        <f t="shared" si="81"/>
        <v>0</v>
      </c>
      <c r="AJ59" s="5553">
        <f t="shared" si="82"/>
        <v>0</v>
      </c>
      <c r="AK59" s="5948">
        <f>+AK76*AK$5/1000</f>
        <v>0</v>
      </c>
      <c r="AL59" s="5948">
        <v>0</v>
      </c>
      <c r="AM59" s="3134">
        <f t="shared" si="66"/>
        <v>0</v>
      </c>
      <c r="AN59" s="3134">
        <f t="shared" si="67"/>
        <v>0</v>
      </c>
      <c r="AO59" s="3133">
        <f t="shared" si="83"/>
        <v>0</v>
      </c>
      <c r="AP59" s="3133">
        <f t="shared" si="84"/>
        <v>0</v>
      </c>
      <c r="AQ59" s="6098">
        <f>+AQ76*AQ$5/1000</f>
        <v>0</v>
      </c>
      <c r="AR59" s="6098">
        <v>0</v>
      </c>
      <c r="AS59" s="3133">
        <f t="shared" si="85"/>
        <v>0</v>
      </c>
      <c r="AT59" s="3133">
        <f t="shared" si="86"/>
        <v>0</v>
      </c>
      <c r="AU59" s="6258">
        <f>+AU76*AU$5/1000</f>
        <v>0</v>
      </c>
      <c r="AV59" s="6258">
        <v>0</v>
      </c>
      <c r="AW59" s="6256">
        <f t="shared" si="87"/>
        <v>0</v>
      </c>
      <c r="AX59" s="6256">
        <f t="shared" si="88"/>
        <v>0</v>
      </c>
      <c r="AY59" s="6433">
        <f>+AY76*AY$5/1000</f>
        <v>0</v>
      </c>
      <c r="AZ59" s="6433">
        <v>0</v>
      </c>
      <c r="BA59" s="3134">
        <f t="shared" si="70"/>
        <v>0</v>
      </c>
      <c r="BB59" s="3134">
        <f t="shared" si="71"/>
        <v>0</v>
      </c>
      <c r="BC59" s="3179">
        <f t="shared" si="92"/>
        <v>0</v>
      </c>
      <c r="BD59" s="3179">
        <f t="shared" si="92"/>
        <v>0</v>
      </c>
      <c r="BE59" s="3133">
        <f t="shared" si="73"/>
        <v>0</v>
      </c>
      <c r="BF59" s="39">
        <f t="shared" si="74"/>
        <v>0</v>
      </c>
      <c r="BG59" s="3948"/>
      <c r="BH59" s="3948"/>
      <c r="BI59" s="4364"/>
      <c r="BJ59" s="4364"/>
      <c r="BK59" s="3948"/>
      <c r="BL59" s="3948"/>
      <c r="BM59" s="4364"/>
      <c r="BN59" s="4364"/>
    </row>
    <row r="60" spans="1:66" ht="15" x14ac:dyDescent="0.25">
      <c r="A60" s="3950"/>
      <c r="B60" s="744" t="s">
        <v>1588</v>
      </c>
      <c r="C60" s="4033" t="s">
        <v>50</v>
      </c>
      <c r="D60" s="1342">
        <f>SUM(D58:D59)</f>
        <v>48123.44947497479</v>
      </c>
      <c r="E60" s="3996">
        <f>SUM(E58:E59)</f>
        <v>4119.9845127353037</v>
      </c>
      <c r="F60" s="3996">
        <f>+F58+F59</f>
        <v>3332</v>
      </c>
      <c r="G60" s="7193">
        <f>SUM(G58:G59)</f>
        <v>4250.5533617296896</v>
      </c>
      <c r="H60" s="7193">
        <f>+H58+H59</f>
        <v>3570</v>
      </c>
      <c r="I60" s="3133">
        <f t="shared" si="60"/>
        <v>8370.5378744649934</v>
      </c>
      <c r="J60" s="39">
        <f t="shared" si="61"/>
        <v>6902</v>
      </c>
      <c r="K60" s="4601">
        <f>SUM(K58:K59)</f>
        <v>2565.5377358490568</v>
      </c>
      <c r="L60" s="4601">
        <f t="shared" ref="L60" si="93">+L58+L59</f>
        <v>2088</v>
      </c>
      <c r="M60" s="3995">
        <f t="shared" si="62"/>
        <v>10936.07561031405</v>
      </c>
      <c r="N60" s="3995">
        <f t="shared" si="63"/>
        <v>8990</v>
      </c>
      <c r="O60" s="4788">
        <f>SUM(O58:O59)</f>
        <v>1168.5141509433968</v>
      </c>
      <c r="P60" s="4788">
        <f t="shared" ref="P60" si="94">+P58+P59</f>
        <v>3644.44</v>
      </c>
      <c r="Q60" s="3133">
        <f t="shared" si="75"/>
        <v>12104.589761257446</v>
      </c>
      <c r="R60" s="3133">
        <f t="shared" si="76"/>
        <v>12634.44</v>
      </c>
      <c r="S60" s="4926">
        <f>SUM(S58:S59)</f>
        <v>4148.1386792452849</v>
      </c>
      <c r="T60" s="4926">
        <f t="shared" ref="T60" si="95">+T58+T59</f>
        <v>3948</v>
      </c>
      <c r="U60" s="4930">
        <f t="shared" si="77"/>
        <v>16252.728440502731</v>
      </c>
      <c r="V60" s="4930">
        <f t="shared" si="78"/>
        <v>16582.440000000002</v>
      </c>
      <c r="W60" s="5460">
        <f>SUM(W58:W59)</f>
        <v>4009.6481132075451</v>
      </c>
      <c r="X60" s="5049">
        <f t="shared" ref="X60" si="96">+X58+X59</f>
        <v>3673</v>
      </c>
      <c r="Y60" s="3995">
        <f t="shared" si="64"/>
        <v>9326.300943396227</v>
      </c>
      <c r="Z60" s="3995">
        <f t="shared" si="65"/>
        <v>11265.44</v>
      </c>
      <c r="AA60" s="3166">
        <f t="shared" si="91"/>
        <v>20262.376553710277</v>
      </c>
      <c r="AB60" s="3166">
        <f t="shared" si="91"/>
        <v>20255.440000000002</v>
      </c>
      <c r="AC60" s="5364">
        <f>SUM(AC58:AC59)</f>
        <v>4321.2518867924555</v>
      </c>
      <c r="AD60" s="5364">
        <f t="shared" ref="AD60" si="97">+AD58+AD59</f>
        <v>3276</v>
      </c>
      <c r="AE60" s="3133">
        <f t="shared" si="79"/>
        <v>24583.628440502733</v>
      </c>
      <c r="AF60" s="3133">
        <f t="shared" si="80"/>
        <v>23531.440000000002</v>
      </c>
      <c r="AG60" s="5549">
        <f>SUM(AG58:AG59)</f>
        <v>4182.7613207547156</v>
      </c>
      <c r="AH60" s="5549">
        <f t="shared" ref="AH60" si="98">+AH58+AH59</f>
        <v>110</v>
      </c>
      <c r="AI60" s="5553">
        <f t="shared" si="81"/>
        <v>28766.389761257447</v>
      </c>
      <c r="AJ60" s="5553">
        <f t="shared" si="82"/>
        <v>23641.440000000002</v>
      </c>
      <c r="AK60" s="5947">
        <f>SUM(AK58:AK59)</f>
        <v>4321.2518867924555</v>
      </c>
      <c r="AL60" s="5947">
        <f t="shared" ref="AL60" si="99">+AL58+AL59</f>
        <v>3928</v>
      </c>
      <c r="AM60" s="3995">
        <f t="shared" si="66"/>
        <v>12825.265094339626</v>
      </c>
      <c r="AN60" s="3995">
        <f t="shared" si="67"/>
        <v>7314</v>
      </c>
      <c r="AO60" s="3133">
        <f t="shared" si="83"/>
        <v>33087.641648049903</v>
      </c>
      <c r="AP60" s="3133">
        <f t="shared" si="84"/>
        <v>27569.440000000002</v>
      </c>
      <c r="AQ60" s="6097">
        <f>SUM(AQ58:AQ59)</f>
        <v>4321.2518867924555</v>
      </c>
      <c r="AR60" s="6097">
        <f t="shared" ref="AR60" si="100">+AR58+AR59</f>
        <v>4040</v>
      </c>
      <c r="AS60" s="3133">
        <f t="shared" si="85"/>
        <v>37408.893534842355</v>
      </c>
      <c r="AT60" s="3133">
        <f t="shared" si="86"/>
        <v>31609.440000000002</v>
      </c>
      <c r="AU60" s="6257">
        <f>SUM(AU58:AU59)</f>
        <v>3888.4688679245196</v>
      </c>
      <c r="AV60" s="6257">
        <f t="shared" ref="AV60" si="101">+AV58+AV59</f>
        <v>3626</v>
      </c>
      <c r="AW60" s="6256">
        <f t="shared" si="87"/>
        <v>41297.362402766877</v>
      </c>
      <c r="AX60" s="6256">
        <f t="shared" si="88"/>
        <v>35235.440000000002</v>
      </c>
      <c r="AY60" s="6432">
        <f>SUM(AY58:AY59)</f>
        <v>4321.2518867924555</v>
      </c>
      <c r="AZ60" s="6432">
        <f t="shared" ref="AZ60" si="102">+AZ58+AZ59</f>
        <v>4060</v>
      </c>
      <c r="BA60" s="3995">
        <f t="shared" si="70"/>
        <v>12530.97264150943</v>
      </c>
      <c r="BB60" s="3995">
        <f t="shared" si="71"/>
        <v>11726</v>
      </c>
      <c r="BC60" s="3166">
        <f>+BA60+AM60</f>
        <v>25356.237735849056</v>
      </c>
      <c r="BD60" s="3166">
        <f>+BB60+AN60</f>
        <v>19040</v>
      </c>
      <c r="BE60" s="3133">
        <f t="shared" si="73"/>
        <v>45618.614289559337</v>
      </c>
      <c r="BF60" s="39">
        <f t="shared" si="74"/>
        <v>39295.440000000002</v>
      </c>
      <c r="BG60" s="3948"/>
      <c r="BH60" s="3948"/>
      <c r="BI60" s="4364"/>
      <c r="BJ60" s="4364"/>
      <c r="BK60" s="3948"/>
      <c r="BL60" s="3948"/>
      <c r="BM60" s="4364"/>
      <c r="BN60" s="4364"/>
    </row>
    <row r="61" spans="1:66" ht="15" x14ac:dyDescent="0.25">
      <c r="A61" s="3950"/>
      <c r="B61" s="744" t="s">
        <v>85</v>
      </c>
      <c r="C61" s="4033" t="s">
        <v>50</v>
      </c>
      <c r="D61" s="1342">
        <f>+D78*D$5/1000</f>
        <v>6002.5358622615822</v>
      </c>
      <c r="E61" s="3996">
        <f>+E78*E$5/1000</f>
        <v>515.71146989808574</v>
      </c>
      <c r="F61" s="3996">
        <v>467</v>
      </c>
      <c r="G61" s="7193">
        <f>+G78*G$5/1000</f>
        <v>530.18017757656514</v>
      </c>
      <c r="H61" s="7193">
        <v>551</v>
      </c>
      <c r="I61" s="3133">
        <f t="shared" si="60"/>
        <v>1045.8916474746509</v>
      </c>
      <c r="J61" s="39">
        <f t="shared" si="61"/>
        <v>1018</v>
      </c>
      <c r="K61" s="4601">
        <f>+K78*K$5/1000</f>
        <v>300.59433962264148</v>
      </c>
      <c r="L61" s="4601">
        <v>293</v>
      </c>
      <c r="M61" s="3995">
        <f t="shared" si="62"/>
        <v>1346.4859870972923</v>
      </c>
      <c r="N61" s="3995">
        <f t="shared" si="63"/>
        <v>1311</v>
      </c>
      <c r="O61" s="4788">
        <f>+O78*O$5/1000</f>
        <v>136.91037735849062</v>
      </c>
      <c r="P61" s="4788">
        <v>513</v>
      </c>
      <c r="Q61" s="3133">
        <f t="shared" si="75"/>
        <v>1483.396364455783</v>
      </c>
      <c r="R61" s="3133">
        <f t="shared" si="76"/>
        <v>1824</v>
      </c>
      <c r="S61" s="4926">
        <f>+S78*S$5/1000</f>
        <v>486.02169811320772</v>
      </c>
      <c r="T61" s="4926">
        <v>562</v>
      </c>
      <c r="U61" s="4930">
        <f t="shared" si="77"/>
        <v>1969.4180625689908</v>
      </c>
      <c r="V61" s="4930">
        <f t="shared" si="78"/>
        <v>2386</v>
      </c>
      <c r="W61" s="5460">
        <f>+W78*W$5/1000</f>
        <v>469.79528301886762</v>
      </c>
      <c r="X61" s="5049">
        <v>581.40700000000004</v>
      </c>
      <c r="Y61" s="3995">
        <f t="shared" si="64"/>
        <v>1092.7273584905661</v>
      </c>
      <c r="Z61" s="3995">
        <f t="shared" si="65"/>
        <v>1656.4070000000002</v>
      </c>
      <c r="AA61" s="3166">
        <f t="shared" si="91"/>
        <v>2439.2133455878584</v>
      </c>
      <c r="AB61" s="3166">
        <f t="shared" si="91"/>
        <v>2967.4070000000002</v>
      </c>
      <c r="AC61" s="5364">
        <f>+AC78*AC$5/1000</f>
        <v>506.30471698113234</v>
      </c>
      <c r="AD61" s="5364">
        <v>614</v>
      </c>
      <c r="AE61" s="3133">
        <f t="shared" si="79"/>
        <v>2945.5180625689909</v>
      </c>
      <c r="AF61" s="3133">
        <f t="shared" si="80"/>
        <v>3581.4070000000002</v>
      </c>
      <c r="AG61" s="5549">
        <f>+AG78*AG$5/1000</f>
        <v>490.07830188679225</v>
      </c>
      <c r="AH61" s="5549">
        <v>19</v>
      </c>
      <c r="AI61" s="5553">
        <f t="shared" si="81"/>
        <v>3435.5963644557833</v>
      </c>
      <c r="AJ61" s="5553">
        <f t="shared" si="82"/>
        <v>3600.4070000000002</v>
      </c>
      <c r="AK61" s="5947">
        <f>+AK78*AK$5/1000</f>
        <v>506.30471698113234</v>
      </c>
      <c r="AL61" s="5947">
        <v>538</v>
      </c>
      <c r="AM61" s="3995">
        <f t="shared" si="66"/>
        <v>1502.6877358490569</v>
      </c>
      <c r="AN61" s="3995">
        <f t="shared" si="67"/>
        <v>1171</v>
      </c>
      <c r="AO61" s="3133">
        <f t="shared" si="83"/>
        <v>3941.9010814369158</v>
      </c>
      <c r="AP61" s="3133">
        <f t="shared" si="84"/>
        <v>4138.4070000000002</v>
      </c>
      <c r="AQ61" s="6097">
        <f>+AQ78*AQ$5/1000</f>
        <v>506.30471698113234</v>
      </c>
      <c r="AR61" s="6097">
        <v>540</v>
      </c>
      <c r="AS61" s="3133">
        <f t="shared" si="85"/>
        <v>4448.2057984180483</v>
      </c>
      <c r="AT61" s="3133">
        <f t="shared" si="86"/>
        <v>4678.4070000000002</v>
      </c>
      <c r="AU61" s="6257">
        <f>+AU78*AU$5/1000</f>
        <v>455.5971698113197</v>
      </c>
      <c r="AV61" s="6257">
        <v>495</v>
      </c>
      <c r="AW61" s="6256">
        <f t="shared" si="87"/>
        <v>4903.8029682293682</v>
      </c>
      <c r="AX61" s="6256">
        <f t="shared" si="88"/>
        <v>5173.4070000000002</v>
      </c>
      <c r="AY61" s="6432">
        <f>+AY78*AY$5/1000</f>
        <v>506.30471698113234</v>
      </c>
      <c r="AZ61" s="6432">
        <v>510</v>
      </c>
      <c r="BA61" s="3995">
        <f t="shared" si="70"/>
        <v>1468.2066037735844</v>
      </c>
      <c r="BB61" s="3995">
        <f t="shared" si="71"/>
        <v>1545</v>
      </c>
      <c r="BC61" s="3166">
        <f t="shared" ref="BC61:BC70" si="103">+BA61+AM61</f>
        <v>2970.8943396226414</v>
      </c>
      <c r="BD61" s="3166">
        <f t="shared" ref="BD61:BD70" si="104">+BB61+AN61</f>
        <v>2716</v>
      </c>
      <c r="BE61" s="3133">
        <f t="shared" si="73"/>
        <v>5410.1076852105007</v>
      </c>
      <c r="BF61" s="39">
        <f t="shared" si="74"/>
        <v>5683.4070000000002</v>
      </c>
      <c r="BG61" s="3948"/>
      <c r="BH61" s="3948"/>
      <c r="BI61" s="4364"/>
      <c r="BJ61" s="4364"/>
      <c r="BK61" s="3948"/>
      <c r="BL61" s="3948"/>
      <c r="BM61" s="4364"/>
      <c r="BN61" s="4364"/>
    </row>
    <row r="62" spans="1:66" ht="15" x14ac:dyDescent="0.25">
      <c r="A62" s="3950"/>
      <c r="B62" s="4034" t="str">
        <f>+'Maj Techno Summ'!B19</f>
        <v>Ferro Alloys (FeMn+LCFeMn+SiMn+FeSi)</v>
      </c>
      <c r="C62" s="4033" t="s">
        <v>50</v>
      </c>
      <c r="D62" s="1342">
        <f>+D57+D60+D61</f>
        <v>60988.313750399815</v>
      </c>
      <c r="E62" s="3996">
        <f>+E57+E60+E61</f>
        <v>5221.66320132892</v>
      </c>
      <c r="F62" s="3996">
        <f>+F57+F60+F61</f>
        <v>4269</v>
      </c>
      <c r="G62" s="7193">
        <f>+G57+G60+G61</f>
        <v>5386.8557816661541</v>
      </c>
      <c r="H62" s="7193">
        <f>+H57+H60+H61</f>
        <v>4596</v>
      </c>
      <c r="I62" s="3133">
        <f t="shared" si="60"/>
        <v>10608.518982995074</v>
      </c>
      <c r="J62" s="39">
        <f t="shared" si="61"/>
        <v>8865</v>
      </c>
      <c r="K62" s="4601">
        <f>+K57+K60+K61</f>
        <v>3215.6603773584911</v>
      </c>
      <c r="L62" s="4601">
        <f>+L57+L60+L61</f>
        <v>2537</v>
      </c>
      <c r="M62" s="3995">
        <f t="shared" si="62"/>
        <v>13824.179360353566</v>
      </c>
      <c r="N62" s="3995">
        <f t="shared" si="63"/>
        <v>11402</v>
      </c>
      <c r="O62" s="4788">
        <f>+O57+O60+O61</f>
        <v>1464.6226415094347</v>
      </c>
      <c r="P62" s="4788">
        <f>+P57+P60+P61</f>
        <v>4610.4400000000005</v>
      </c>
      <c r="Q62" s="3133">
        <f t="shared" si="75"/>
        <v>15288.802001863001</v>
      </c>
      <c r="R62" s="3133">
        <f t="shared" si="76"/>
        <v>16012.44</v>
      </c>
      <c r="S62" s="4926">
        <f>+S57+S60+S61</f>
        <v>5199.3018867924557</v>
      </c>
      <c r="T62" s="4926">
        <f>+T57+T60+T61</f>
        <v>4906</v>
      </c>
      <c r="U62" s="4930">
        <f t="shared" si="77"/>
        <v>20488.103888655456</v>
      </c>
      <c r="V62" s="4930">
        <f t="shared" si="78"/>
        <v>20918.440000000002</v>
      </c>
      <c r="W62" s="5460">
        <f>+W57+W60+W61</f>
        <v>5025.7169811320728</v>
      </c>
      <c r="X62" s="5049">
        <f>+X57+X60+X61</f>
        <v>4759.4070000000002</v>
      </c>
      <c r="Y62" s="3995">
        <f t="shared" si="64"/>
        <v>11689.641509433965</v>
      </c>
      <c r="Z62" s="3995">
        <f t="shared" si="65"/>
        <v>14275.847</v>
      </c>
      <c r="AA62" s="3166">
        <f t="shared" si="91"/>
        <v>25513.820869787531</v>
      </c>
      <c r="AB62" s="3166">
        <f t="shared" si="91"/>
        <v>25677.847000000002</v>
      </c>
      <c r="AC62" s="5364">
        <f>+AC57+AC60+AC61</f>
        <v>5416.2830188679281</v>
      </c>
      <c r="AD62" s="5364">
        <f>+AD57+AD60+AD61</f>
        <v>4336</v>
      </c>
      <c r="AE62" s="3133">
        <f t="shared" si="79"/>
        <v>30930.10388865546</v>
      </c>
      <c r="AF62" s="3133">
        <f t="shared" si="80"/>
        <v>30013.847000000002</v>
      </c>
      <c r="AG62" s="5549">
        <f>+AG57+AG60+AG61</f>
        <v>5242.6981132075452</v>
      </c>
      <c r="AH62" s="5549">
        <f>+AH57+AH60+AH61</f>
        <v>140</v>
      </c>
      <c r="AI62" s="5553">
        <f t="shared" si="81"/>
        <v>36172.802001863005</v>
      </c>
      <c r="AJ62" s="5553">
        <f t="shared" si="82"/>
        <v>30153.847000000002</v>
      </c>
      <c r="AK62" s="5947">
        <f>+AK57+AK60+AK61</f>
        <v>5416.2830188679281</v>
      </c>
      <c r="AL62" s="5947">
        <f>+AL57+AL60+AL61</f>
        <v>5010</v>
      </c>
      <c r="AM62" s="3995">
        <f t="shared" si="66"/>
        <v>16075.264150943403</v>
      </c>
      <c r="AN62" s="3995">
        <f t="shared" si="67"/>
        <v>9486</v>
      </c>
      <c r="AO62" s="3133">
        <f t="shared" si="83"/>
        <v>41589.085020730934</v>
      </c>
      <c r="AP62" s="3133">
        <f t="shared" si="84"/>
        <v>35163.847000000002</v>
      </c>
      <c r="AQ62" s="6097">
        <f>+AQ57+AQ60+AQ61</f>
        <v>5416.2830188679281</v>
      </c>
      <c r="AR62" s="6097">
        <f>+AR57+AR60+AR61</f>
        <v>5139</v>
      </c>
      <c r="AS62" s="3133">
        <f t="shared" si="85"/>
        <v>47005.368039598863</v>
      </c>
      <c r="AT62" s="3133">
        <f t="shared" si="86"/>
        <v>40302.847000000002</v>
      </c>
      <c r="AU62" s="6257">
        <f>+AU57+AU60+AU61</f>
        <v>4873.8301886792342</v>
      </c>
      <c r="AV62" s="6257">
        <f>+AV57+AV60+AV61</f>
        <v>4600</v>
      </c>
      <c r="AW62" s="6256">
        <f t="shared" si="87"/>
        <v>51879.198228278095</v>
      </c>
      <c r="AX62" s="6256">
        <f t="shared" si="88"/>
        <v>44902.847000000002</v>
      </c>
      <c r="AY62" s="6432">
        <f>+AY57+AY60+AY61</f>
        <v>5416.2830188679281</v>
      </c>
      <c r="AZ62" s="6432">
        <f>+AZ57+AZ60+AZ61</f>
        <v>4976</v>
      </c>
      <c r="BA62" s="3995">
        <f t="shared" si="70"/>
        <v>15706.39622641509</v>
      </c>
      <c r="BB62" s="3995">
        <f t="shared" si="71"/>
        <v>14715</v>
      </c>
      <c r="BC62" s="3166">
        <f t="shared" si="103"/>
        <v>31781.660377358494</v>
      </c>
      <c r="BD62" s="3166">
        <f t="shared" si="104"/>
        <v>24201</v>
      </c>
      <c r="BE62" s="3133">
        <f t="shared" si="73"/>
        <v>57295.481247146025</v>
      </c>
      <c r="BF62" s="39">
        <f t="shared" si="74"/>
        <v>49878.847000000002</v>
      </c>
      <c r="BG62" s="3948"/>
      <c r="BH62" s="3948"/>
      <c r="BI62" s="4364"/>
      <c r="BJ62" s="4364"/>
      <c r="BK62" s="3948"/>
      <c r="BL62" s="3948"/>
      <c r="BM62" s="4364"/>
      <c r="BN62" s="4364"/>
    </row>
    <row r="63" spans="1:66" ht="15" x14ac:dyDescent="0.25">
      <c r="B63" s="742" t="s">
        <v>86</v>
      </c>
      <c r="C63" s="3479" t="s">
        <v>50</v>
      </c>
      <c r="D63" s="3938">
        <f t="shared" ref="D63:E70" si="105">+D80*D$5/1000</f>
        <v>5526.7416808309736</v>
      </c>
      <c r="E63" s="3202">
        <f t="shared" si="105"/>
        <v>473.08283286118927</v>
      </c>
      <c r="F63" s="7025">
        <v>212</v>
      </c>
      <c r="G63" s="7194">
        <f t="shared" ref="G63" si="106">+G80*G$5/1000</f>
        <v>488.15516525023583</v>
      </c>
      <c r="H63" s="7194">
        <v>280</v>
      </c>
      <c r="I63" s="3133">
        <f t="shared" si="60"/>
        <v>961.2379981114251</v>
      </c>
      <c r="J63" s="107">
        <f t="shared" si="61"/>
        <v>492</v>
      </c>
      <c r="K63" s="4602">
        <f t="shared" ref="K63:K70" si="107">+K80*K$5/1000</f>
        <v>298.7876812986201</v>
      </c>
      <c r="L63" s="4619">
        <v>248.5</v>
      </c>
      <c r="M63" s="3134">
        <f t="shared" si="62"/>
        <v>1260.0256794100451</v>
      </c>
      <c r="N63" s="3134">
        <f t="shared" si="63"/>
        <v>740.5</v>
      </c>
      <c r="O63" s="4790">
        <f t="shared" ref="O63:O70" si="108">+O80*O$5/1000</f>
        <v>136.08750666435134</v>
      </c>
      <c r="P63" s="4790">
        <v>368</v>
      </c>
      <c r="Q63" s="3133">
        <f t="shared" ref="Q63:Q70" si="109">+M63+O63</f>
        <v>1396.1131860743965</v>
      </c>
      <c r="R63" s="3133">
        <f t="shared" ref="R63:R70" si="110">+N63+P63</f>
        <v>1108.5</v>
      </c>
      <c r="S63" s="4929">
        <f t="shared" ref="S63:S70" si="111">+S80*S$5/1000</f>
        <v>483.10056810239797</v>
      </c>
      <c r="T63" s="4929">
        <v>452</v>
      </c>
      <c r="U63" s="4930">
        <f t="shared" si="77"/>
        <v>1879.2137541767945</v>
      </c>
      <c r="V63" s="4930">
        <f t="shared" si="78"/>
        <v>1560.5</v>
      </c>
      <c r="W63" s="5461">
        <f t="shared" ref="W63:W70" si="112">+W80*W$5/1000</f>
        <v>466.97167842365951</v>
      </c>
      <c r="X63" s="5050">
        <v>403.5</v>
      </c>
      <c r="Y63" s="3134">
        <f t="shared" si="64"/>
        <v>1086.1597531904088</v>
      </c>
      <c r="Z63" s="3134">
        <f t="shared" si="65"/>
        <v>1223.5</v>
      </c>
      <c r="AA63" s="3179">
        <f t="shared" si="91"/>
        <v>2346.1854326004541</v>
      </c>
      <c r="AB63" s="3179">
        <f t="shared" si="91"/>
        <v>1964</v>
      </c>
      <c r="AC63" s="5365">
        <f t="shared" ref="AC63:AC70" si="113">+AC80*AC$5/1000</f>
        <v>503.26168020082048</v>
      </c>
      <c r="AD63" s="5365">
        <v>456.6</v>
      </c>
      <c r="AE63" s="3133">
        <f t="shared" si="79"/>
        <v>2849.4471128012747</v>
      </c>
      <c r="AF63" s="3133">
        <f t="shared" si="80"/>
        <v>2420.6</v>
      </c>
      <c r="AG63" s="5552">
        <f t="shared" ref="AG63:AG70" si="114">+AG80*AG$5/1000</f>
        <v>487.13279052208208</v>
      </c>
      <c r="AH63" s="5552">
        <v>8</v>
      </c>
      <c r="AI63" s="5553">
        <f t="shared" si="81"/>
        <v>3336.5799033233566</v>
      </c>
      <c r="AJ63" s="5553">
        <f t="shared" si="82"/>
        <v>2428.6</v>
      </c>
      <c r="AK63" s="5948">
        <f t="shared" ref="AK63:AK70" si="115">+AK80*AK$5/1000</f>
        <v>503.26168020082048</v>
      </c>
      <c r="AL63" s="5948">
        <v>371</v>
      </c>
      <c r="AM63" s="3134">
        <f t="shared" si="66"/>
        <v>1493.6561509237231</v>
      </c>
      <c r="AN63" s="3134">
        <f t="shared" si="67"/>
        <v>835.6</v>
      </c>
      <c r="AO63" s="3133">
        <f t="shared" si="83"/>
        <v>3839.8415835241772</v>
      </c>
      <c r="AP63" s="3133">
        <f t="shared" si="84"/>
        <v>2799.6</v>
      </c>
      <c r="AQ63" s="6098">
        <f t="shared" ref="AQ63:AQ70" si="116">+AQ80*AQ$5/1000</f>
        <v>503.26168020082048</v>
      </c>
      <c r="AR63" s="6098">
        <v>449</v>
      </c>
      <c r="AS63" s="3133">
        <f t="shared" si="85"/>
        <v>4343.1032637249973</v>
      </c>
      <c r="AT63" s="3133">
        <f t="shared" si="86"/>
        <v>3248.6</v>
      </c>
      <c r="AU63" s="6258">
        <f t="shared" ref="AU63:AU70" si="117">+AU80*AU$5/1000</f>
        <v>452.8588999547631</v>
      </c>
      <c r="AV63" s="6258">
        <v>294</v>
      </c>
      <c r="AW63" s="6256">
        <f t="shared" si="87"/>
        <v>4795.9621636797601</v>
      </c>
      <c r="AX63" s="6256">
        <f t="shared" si="88"/>
        <v>3542.6</v>
      </c>
      <c r="AY63" s="6433">
        <f t="shared" ref="AY63:AY70" si="118">+AY80*AY$5/1000</f>
        <v>503.26168020082048</v>
      </c>
      <c r="AZ63" s="6433">
        <v>241</v>
      </c>
      <c r="BA63" s="3134">
        <f t="shared" si="70"/>
        <v>1459.382260356404</v>
      </c>
      <c r="BB63" s="3134">
        <f t="shared" si="71"/>
        <v>984</v>
      </c>
      <c r="BC63" s="3179">
        <f t="shared" si="103"/>
        <v>2953.0384112801271</v>
      </c>
      <c r="BD63" s="3179">
        <f t="shared" si="104"/>
        <v>1819.6</v>
      </c>
      <c r="BE63" s="3133">
        <f t="shared" si="73"/>
        <v>5299.2238438805807</v>
      </c>
      <c r="BF63" s="39">
        <f t="shared" si="74"/>
        <v>3783.6</v>
      </c>
      <c r="BG63" s="3948"/>
      <c r="BH63" s="3948"/>
      <c r="BI63" s="4364"/>
      <c r="BJ63" s="4364"/>
      <c r="BK63" s="3948"/>
      <c r="BL63" s="3948"/>
      <c r="BM63" s="4364"/>
      <c r="BN63" s="4364"/>
    </row>
    <row r="64" spans="1:66" ht="15" x14ac:dyDescent="0.25">
      <c r="B64" s="742" t="s">
        <v>848</v>
      </c>
      <c r="C64" s="3479" t="s">
        <v>50</v>
      </c>
      <c r="D64" s="3937">
        <f t="shared" si="105"/>
        <v>1862.4048565201583</v>
      </c>
      <c r="E64" s="3202">
        <f t="shared" si="105"/>
        <v>156.8892028100299</v>
      </c>
      <c r="F64" s="3202">
        <v>138.047</v>
      </c>
      <c r="G64" s="7194">
        <f t="shared" ref="G64" si="119">+G81*G$5/1000</f>
        <v>164.49883186158709</v>
      </c>
      <c r="H64" s="7194">
        <v>160.51899999999998</v>
      </c>
      <c r="I64" s="3133">
        <f t="shared" si="60"/>
        <v>321.38803467161699</v>
      </c>
      <c r="J64" s="39">
        <f t="shared" si="61"/>
        <v>298.56599999999997</v>
      </c>
      <c r="K64" s="4602">
        <f t="shared" si="107"/>
        <v>98.89982029800845</v>
      </c>
      <c r="L64" s="4619">
        <v>105.35000000000001</v>
      </c>
      <c r="M64" s="3134">
        <f t="shared" si="62"/>
        <v>420.28785496962541</v>
      </c>
      <c r="N64" s="3134">
        <f t="shared" si="63"/>
        <v>403.91599999999994</v>
      </c>
      <c r="O64" s="4790">
        <f t="shared" si="108"/>
        <v>45.045464710631393</v>
      </c>
      <c r="P64" s="4790">
        <v>141.17400000000001</v>
      </c>
      <c r="Q64" s="3133">
        <f t="shared" si="109"/>
        <v>465.33331968025681</v>
      </c>
      <c r="R64" s="3133">
        <f t="shared" si="110"/>
        <v>545.08999999999992</v>
      </c>
      <c r="S64" s="4929">
        <f t="shared" si="111"/>
        <v>159.90806302165177</v>
      </c>
      <c r="T64" s="4929">
        <v>124.081</v>
      </c>
      <c r="U64" s="4930">
        <f t="shared" si="77"/>
        <v>625.24138270190861</v>
      </c>
      <c r="V64" s="4930">
        <f t="shared" si="78"/>
        <v>669.17099999999994</v>
      </c>
      <c r="W64" s="5461">
        <f t="shared" si="112"/>
        <v>154.56934127816936</v>
      </c>
      <c r="X64" s="5050">
        <v>147.21700000000001</v>
      </c>
      <c r="Y64" s="3134">
        <f t="shared" si="64"/>
        <v>359.52286901045255</v>
      </c>
      <c r="Z64" s="3134">
        <f t="shared" si="65"/>
        <v>412.47199999999998</v>
      </c>
      <c r="AA64" s="3179">
        <f t="shared" si="91"/>
        <v>779.81072398007791</v>
      </c>
      <c r="AB64" s="3179">
        <f t="shared" si="91"/>
        <v>816.38799999999992</v>
      </c>
      <c r="AC64" s="5365">
        <f t="shared" si="113"/>
        <v>166.58146520100459</v>
      </c>
      <c r="AD64" s="5365">
        <v>136.37</v>
      </c>
      <c r="AE64" s="3133">
        <f t="shared" si="79"/>
        <v>946.39218918108247</v>
      </c>
      <c r="AF64" s="3133">
        <f t="shared" si="80"/>
        <v>952.75799999999992</v>
      </c>
      <c r="AG64" s="5552">
        <f t="shared" si="114"/>
        <v>161.24274345752218</v>
      </c>
      <c r="AH64" s="5552">
        <v>5.4</v>
      </c>
      <c r="AI64" s="5553">
        <f t="shared" si="81"/>
        <v>1107.6349326386046</v>
      </c>
      <c r="AJ64" s="5553">
        <f t="shared" si="82"/>
        <v>958.1579999999999</v>
      </c>
      <c r="AK64" s="5948">
        <f t="shared" si="115"/>
        <v>166.58146520100459</v>
      </c>
      <c r="AL64" s="5948">
        <v>132.04900000000001</v>
      </c>
      <c r="AM64" s="3134">
        <f t="shared" si="66"/>
        <v>494.40567385953136</v>
      </c>
      <c r="AN64" s="3134">
        <f t="shared" si="67"/>
        <v>273.81900000000002</v>
      </c>
      <c r="AO64" s="3133">
        <f t="shared" si="83"/>
        <v>1274.2163978396093</v>
      </c>
      <c r="AP64" s="3133">
        <f t="shared" si="84"/>
        <v>1090.2069999999999</v>
      </c>
      <c r="AQ64" s="6098">
        <f t="shared" si="116"/>
        <v>166.58146520100459</v>
      </c>
      <c r="AR64" s="6098">
        <v>134.53800000000001</v>
      </c>
      <c r="AS64" s="3133">
        <f t="shared" si="85"/>
        <v>1440.7978630406139</v>
      </c>
      <c r="AT64" s="3133">
        <f t="shared" si="86"/>
        <v>1224.7449999999999</v>
      </c>
      <c r="AU64" s="6258">
        <f t="shared" si="117"/>
        <v>149.89795975262214</v>
      </c>
      <c r="AV64" s="6258">
        <v>125.142</v>
      </c>
      <c r="AW64" s="6256">
        <f t="shared" si="87"/>
        <v>1590.6958227932362</v>
      </c>
      <c r="AX64" s="6256">
        <f t="shared" si="88"/>
        <v>1349.8869999999999</v>
      </c>
      <c r="AY64" s="6433">
        <f t="shared" si="118"/>
        <v>166.58146520100459</v>
      </c>
      <c r="AZ64" s="6433">
        <v>114.828</v>
      </c>
      <c r="BA64" s="3134">
        <f t="shared" si="70"/>
        <v>483.06089015463135</v>
      </c>
      <c r="BB64" s="3134">
        <f t="shared" si="71"/>
        <v>374.50800000000004</v>
      </c>
      <c r="BC64" s="3179">
        <f t="shared" si="103"/>
        <v>977.46656401416271</v>
      </c>
      <c r="BD64" s="3179">
        <f t="shared" si="104"/>
        <v>648.327</v>
      </c>
      <c r="BE64" s="3133">
        <f t="shared" si="73"/>
        <v>1757.2772879942409</v>
      </c>
      <c r="BF64" s="39">
        <f t="shared" si="74"/>
        <v>1464.7149999999999</v>
      </c>
      <c r="BG64" s="3948"/>
      <c r="BH64" s="3948"/>
      <c r="BI64" s="4364"/>
      <c r="BJ64" s="4364"/>
      <c r="BK64" s="3948"/>
      <c r="BL64" s="3948"/>
      <c r="BM64" s="4364"/>
      <c r="BN64" s="4364"/>
    </row>
    <row r="65" spans="1:66" ht="15" x14ac:dyDescent="0.25">
      <c r="B65" s="742" t="s">
        <v>129</v>
      </c>
      <c r="C65" s="3479" t="s">
        <v>50</v>
      </c>
      <c r="D65" s="3937">
        <f t="shared" si="105"/>
        <v>66480.453257790374</v>
      </c>
      <c r="E65" s="3202">
        <f t="shared" si="105"/>
        <v>5690.6515580736477</v>
      </c>
      <c r="F65" s="7025">
        <v>5058.3090000000002</v>
      </c>
      <c r="G65" s="7194">
        <f t="shared" ref="G65" si="120">+G82*G$5/1000</f>
        <v>5871.9546742209595</v>
      </c>
      <c r="H65" s="7194">
        <v>5465.9269999999997</v>
      </c>
      <c r="I65" s="3133">
        <f t="shared" si="60"/>
        <v>11562.606232294607</v>
      </c>
      <c r="J65" s="3482">
        <f t="shared" si="61"/>
        <v>10524.236000000001</v>
      </c>
      <c r="K65" s="4602">
        <f t="shared" si="107"/>
        <v>2796.2264150943397</v>
      </c>
      <c r="L65" s="4619">
        <v>3512.172</v>
      </c>
      <c r="M65" s="3134">
        <f t="shared" si="62"/>
        <v>14358.832647388946</v>
      </c>
      <c r="N65" s="3134">
        <f t="shared" si="63"/>
        <v>14036.407999999999</v>
      </c>
      <c r="O65" s="4790">
        <f t="shared" si="108"/>
        <v>1273.5849056603781</v>
      </c>
      <c r="P65" s="4790">
        <v>6242</v>
      </c>
      <c r="Q65" s="3133">
        <f t="shared" si="109"/>
        <v>15632.417553049325</v>
      </c>
      <c r="R65" s="3133">
        <f t="shared" si="110"/>
        <v>20278.407999999999</v>
      </c>
      <c r="S65" s="4929">
        <f t="shared" si="111"/>
        <v>4521.1320754716999</v>
      </c>
      <c r="T65" s="4929">
        <v>5747.2</v>
      </c>
      <c r="U65" s="4930">
        <f t="shared" si="77"/>
        <v>20153.549628521025</v>
      </c>
      <c r="V65" s="4930">
        <f t="shared" si="78"/>
        <v>26025.608</v>
      </c>
      <c r="W65" s="5461">
        <f t="shared" si="112"/>
        <v>4370.1886792452797</v>
      </c>
      <c r="X65" s="5050">
        <v>5180.1000000000004</v>
      </c>
      <c r="Y65" s="3134">
        <f t="shared" si="64"/>
        <v>10164.905660377359</v>
      </c>
      <c r="Z65" s="3134">
        <f t="shared" si="65"/>
        <v>17169.3</v>
      </c>
      <c r="AA65" s="3179">
        <f t="shared" si="91"/>
        <v>24523.738307766303</v>
      </c>
      <c r="AB65" s="3179">
        <f t="shared" si="91"/>
        <v>31205.707999999999</v>
      </c>
      <c r="AC65" s="5365">
        <f t="shared" si="113"/>
        <v>4709.8113207547203</v>
      </c>
      <c r="AD65" s="5365">
        <v>5055.3999999999996</v>
      </c>
      <c r="AE65" s="3133">
        <f t="shared" si="79"/>
        <v>29233.549628521025</v>
      </c>
      <c r="AF65" s="3133">
        <f t="shared" si="80"/>
        <v>36261.108</v>
      </c>
      <c r="AG65" s="5552">
        <f t="shared" si="114"/>
        <v>4558.8679245283001</v>
      </c>
      <c r="AH65" s="5552">
        <v>178</v>
      </c>
      <c r="AI65" s="5553">
        <f t="shared" si="81"/>
        <v>33792.417553049323</v>
      </c>
      <c r="AJ65" s="5553">
        <f t="shared" si="82"/>
        <v>36439.108</v>
      </c>
      <c r="AK65" s="5948">
        <f t="shared" si="115"/>
        <v>4709.8113207547203</v>
      </c>
      <c r="AL65" s="5948">
        <v>4035.5</v>
      </c>
      <c r="AM65" s="3134">
        <f t="shared" si="66"/>
        <v>13978.490566037741</v>
      </c>
      <c r="AN65" s="3134">
        <f t="shared" si="67"/>
        <v>9268.9</v>
      </c>
      <c r="AO65" s="3133">
        <f t="shared" si="83"/>
        <v>38502.228873804044</v>
      </c>
      <c r="AP65" s="3133">
        <f t="shared" si="84"/>
        <v>40474.608</v>
      </c>
      <c r="AQ65" s="6098">
        <f t="shared" si="116"/>
        <v>4709.8113207547203</v>
      </c>
      <c r="AR65" s="6098">
        <v>6031.09</v>
      </c>
      <c r="AS65" s="3133">
        <f t="shared" si="85"/>
        <v>43212.040194558766</v>
      </c>
      <c r="AT65" s="3133">
        <f t="shared" si="86"/>
        <v>46505.698000000004</v>
      </c>
      <c r="AU65" s="6258">
        <f t="shared" si="117"/>
        <v>4238.1132075471596</v>
      </c>
      <c r="AV65" s="6258">
        <v>5637.9830000000002</v>
      </c>
      <c r="AW65" s="6256">
        <f t="shared" si="87"/>
        <v>47450.153402105927</v>
      </c>
      <c r="AX65" s="6256">
        <f t="shared" si="88"/>
        <v>52143.681000000004</v>
      </c>
      <c r="AY65" s="6433">
        <f t="shared" si="118"/>
        <v>4709.8113207547203</v>
      </c>
      <c r="AZ65" s="6433">
        <v>6487.634</v>
      </c>
      <c r="BA65" s="3134">
        <f t="shared" si="70"/>
        <v>13657.7358490566</v>
      </c>
      <c r="BB65" s="3134">
        <f t="shared" si="71"/>
        <v>18156.707000000002</v>
      </c>
      <c r="BC65" s="3179">
        <f t="shared" si="103"/>
        <v>27636.226415094341</v>
      </c>
      <c r="BD65" s="3179">
        <f t="shared" si="104"/>
        <v>27425.607000000004</v>
      </c>
      <c r="BE65" s="3133">
        <f t="shared" si="73"/>
        <v>52159.964722860648</v>
      </c>
      <c r="BF65" s="39">
        <f t="shared" si="74"/>
        <v>58631.315000000002</v>
      </c>
      <c r="BG65" s="3948"/>
      <c r="BH65" s="3948"/>
      <c r="BI65" s="4364"/>
      <c r="BJ65" s="4364"/>
      <c r="BK65" s="3948"/>
      <c r="BL65" s="3948"/>
      <c r="BM65" s="4364"/>
      <c r="BN65" s="4364"/>
    </row>
    <row r="66" spans="1:66" ht="15" x14ac:dyDescent="0.25">
      <c r="B66" s="742" t="s">
        <v>544</v>
      </c>
      <c r="C66" s="3479" t="s">
        <v>50</v>
      </c>
      <c r="D66" s="3937">
        <f t="shared" si="105"/>
        <v>0</v>
      </c>
      <c r="E66" s="3202">
        <f t="shared" si="105"/>
        <v>0</v>
      </c>
      <c r="F66" s="3202">
        <v>0</v>
      </c>
      <c r="G66" s="7194">
        <f t="shared" ref="G66" si="121">+G83*G$5/1000</f>
        <v>0</v>
      </c>
      <c r="H66" s="7194">
        <v>0</v>
      </c>
      <c r="I66" s="3133">
        <f t="shared" si="60"/>
        <v>0</v>
      </c>
      <c r="J66" s="39">
        <f t="shared" si="61"/>
        <v>0</v>
      </c>
      <c r="K66" s="4602">
        <f t="shared" si="107"/>
        <v>0</v>
      </c>
      <c r="L66" s="4619">
        <v>0</v>
      </c>
      <c r="M66" s="3134">
        <f t="shared" si="62"/>
        <v>0</v>
      </c>
      <c r="N66" s="3134">
        <f t="shared" si="63"/>
        <v>0</v>
      </c>
      <c r="O66" s="4790">
        <f t="shared" si="108"/>
        <v>0</v>
      </c>
      <c r="P66" s="4790">
        <v>0</v>
      </c>
      <c r="Q66" s="3133">
        <f t="shared" si="109"/>
        <v>0</v>
      </c>
      <c r="R66" s="3133">
        <f t="shared" si="110"/>
        <v>0</v>
      </c>
      <c r="S66" s="4929">
        <f t="shared" si="111"/>
        <v>0</v>
      </c>
      <c r="T66" s="4929">
        <v>0</v>
      </c>
      <c r="U66" s="4930">
        <f t="shared" si="77"/>
        <v>0</v>
      </c>
      <c r="V66" s="4930">
        <f t="shared" si="78"/>
        <v>0</v>
      </c>
      <c r="W66" s="5461">
        <f t="shared" si="112"/>
        <v>0</v>
      </c>
      <c r="X66" s="5050">
        <v>0</v>
      </c>
      <c r="Y66" s="3134">
        <f t="shared" si="64"/>
        <v>0</v>
      </c>
      <c r="Z66" s="3134">
        <f t="shared" si="65"/>
        <v>0</v>
      </c>
      <c r="AA66" s="3179">
        <f t="shared" si="91"/>
        <v>0</v>
      </c>
      <c r="AB66" s="3179">
        <f t="shared" si="91"/>
        <v>0</v>
      </c>
      <c r="AC66" s="5365">
        <f t="shared" si="113"/>
        <v>0</v>
      </c>
      <c r="AD66" s="5365">
        <v>0</v>
      </c>
      <c r="AE66" s="3133">
        <f t="shared" si="79"/>
        <v>0</v>
      </c>
      <c r="AF66" s="3133">
        <f t="shared" si="80"/>
        <v>0</v>
      </c>
      <c r="AG66" s="5552">
        <f t="shared" si="114"/>
        <v>0</v>
      </c>
      <c r="AH66" s="5552">
        <v>0</v>
      </c>
      <c r="AI66" s="5553">
        <f t="shared" si="81"/>
        <v>0</v>
      </c>
      <c r="AJ66" s="5553">
        <f t="shared" si="82"/>
        <v>0</v>
      </c>
      <c r="AK66" s="5948">
        <f t="shared" si="115"/>
        <v>0</v>
      </c>
      <c r="AL66" s="5948">
        <v>0</v>
      </c>
      <c r="AM66" s="3134">
        <f t="shared" si="66"/>
        <v>0</v>
      </c>
      <c r="AN66" s="3134">
        <f t="shared" si="67"/>
        <v>0</v>
      </c>
      <c r="AO66" s="3133">
        <f t="shared" si="83"/>
        <v>0</v>
      </c>
      <c r="AP66" s="3133">
        <f t="shared" si="84"/>
        <v>0</v>
      </c>
      <c r="AQ66" s="6098">
        <f t="shared" si="116"/>
        <v>0</v>
      </c>
      <c r="AR66" s="6098">
        <v>0</v>
      </c>
      <c r="AS66" s="3133">
        <f t="shared" si="85"/>
        <v>0</v>
      </c>
      <c r="AT66" s="3133">
        <f t="shared" si="86"/>
        <v>0</v>
      </c>
      <c r="AU66" s="6258">
        <f t="shared" si="117"/>
        <v>0</v>
      </c>
      <c r="AV66" s="6258">
        <v>0</v>
      </c>
      <c r="AW66" s="6256">
        <f t="shared" si="87"/>
        <v>0</v>
      </c>
      <c r="AX66" s="6256">
        <f t="shared" si="88"/>
        <v>0</v>
      </c>
      <c r="AY66" s="6433">
        <f t="shared" si="118"/>
        <v>0</v>
      </c>
      <c r="AZ66" s="6433">
        <v>0</v>
      </c>
      <c r="BA66" s="3134">
        <f t="shared" si="70"/>
        <v>0</v>
      </c>
      <c r="BB66" s="3134">
        <f t="shared" si="71"/>
        <v>0</v>
      </c>
      <c r="BC66" s="3179">
        <f t="shared" si="103"/>
        <v>0</v>
      </c>
      <c r="BD66" s="3179">
        <f t="shared" si="104"/>
        <v>0</v>
      </c>
      <c r="BE66" s="3133">
        <f t="shared" si="73"/>
        <v>0</v>
      </c>
      <c r="BF66" s="39">
        <f t="shared" si="74"/>
        <v>0</v>
      </c>
      <c r="BG66" s="3948"/>
      <c r="BH66" s="3948"/>
      <c r="BI66" s="4364"/>
      <c r="BJ66" s="4364"/>
      <c r="BK66" s="3948"/>
      <c r="BL66" s="3948"/>
      <c r="BM66" s="4364"/>
      <c r="BN66" s="4364"/>
    </row>
    <row r="67" spans="1:66" ht="15" x14ac:dyDescent="0.25">
      <c r="B67" s="742" t="s">
        <v>130</v>
      </c>
      <c r="C67" s="3479" t="s">
        <v>50</v>
      </c>
      <c r="D67" s="3937">
        <f t="shared" si="105"/>
        <v>16620.113314447593</v>
      </c>
      <c r="E67" s="3202">
        <f t="shared" si="105"/>
        <v>1422.6628895184119</v>
      </c>
      <c r="F67" s="3202">
        <v>0</v>
      </c>
      <c r="G67" s="7194">
        <f t="shared" ref="G67" si="122">+G84*G$5/1000</f>
        <v>1467.9886685552399</v>
      </c>
      <c r="H67" s="7194">
        <v>0</v>
      </c>
      <c r="I67" s="3133">
        <f t="shared" si="60"/>
        <v>2890.6515580736518</v>
      </c>
      <c r="J67" s="39">
        <f t="shared" si="61"/>
        <v>0</v>
      </c>
      <c r="K67" s="4602">
        <f t="shared" si="107"/>
        <v>1398.1132075471698</v>
      </c>
      <c r="L67" s="4619"/>
      <c r="M67" s="3134">
        <f t="shared" si="62"/>
        <v>4288.7647656208219</v>
      </c>
      <c r="N67" s="3134">
        <f t="shared" si="63"/>
        <v>0</v>
      </c>
      <c r="O67" s="4790">
        <f t="shared" si="108"/>
        <v>636.79245283018906</v>
      </c>
      <c r="P67" s="4790">
        <v>0</v>
      </c>
      <c r="Q67" s="3133">
        <f t="shared" si="109"/>
        <v>4925.5572184510111</v>
      </c>
      <c r="R67" s="3133">
        <f t="shared" si="110"/>
        <v>0</v>
      </c>
      <c r="S67" s="4929">
        <f t="shared" si="111"/>
        <v>2260.5660377358499</v>
      </c>
      <c r="T67" s="4929">
        <v>0</v>
      </c>
      <c r="U67" s="4930">
        <f t="shared" si="77"/>
        <v>7186.123256186861</v>
      </c>
      <c r="V67" s="4930">
        <f t="shared" si="78"/>
        <v>0</v>
      </c>
      <c r="W67" s="5461">
        <f t="shared" si="112"/>
        <v>2185.0943396226398</v>
      </c>
      <c r="X67" s="5050">
        <v>0</v>
      </c>
      <c r="Y67" s="3134">
        <f t="shared" si="64"/>
        <v>5082.4528301886794</v>
      </c>
      <c r="Z67" s="3134">
        <f t="shared" si="65"/>
        <v>0</v>
      </c>
      <c r="AA67" s="3179">
        <f t="shared" si="91"/>
        <v>9371.2175958095013</v>
      </c>
      <c r="AB67" s="3179">
        <f t="shared" si="91"/>
        <v>0</v>
      </c>
      <c r="AC67" s="5365">
        <f t="shared" si="113"/>
        <v>2354.9056603773602</v>
      </c>
      <c r="AD67" s="5365">
        <v>0</v>
      </c>
      <c r="AE67" s="3133">
        <f t="shared" si="79"/>
        <v>11726.123256186862</v>
      </c>
      <c r="AF67" s="3133">
        <f t="shared" si="80"/>
        <v>0</v>
      </c>
      <c r="AG67" s="5552">
        <f t="shared" si="114"/>
        <v>2279.4339622641501</v>
      </c>
      <c r="AH67" s="5552">
        <v>0</v>
      </c>
      <c r="AI67" s="5553">
        <f t="shared" si="81"/>
        <v>14005.557218451013</v>
      </c>
      <c r="AJ67" s="5553">
        <f t="shared" si="82"/>
        <v>0</v>
      </c>
      <c r="AK67" s="5948">
        <f t="shared" si="115"/>
        <v>2354.9056603773602</v>
      </c>
      <c r="AL67" s="5948">
        <v>1532</v>
      </c>
      <c r="AM67" s="3134">
        <f t="shared" si="66"/>
        <v>6989.2452830188704</v>
      </c>
      <c r="AN67" s="3134">
        <f t="shared" si="67"/>
        <v>1532</v>
      </c>
      <c r="AO67" s="3133">
        <f t="shared" si="83"/>
        <v>16360.462878828374</v>
      </c>
      <c r="AP67" s="3133">
        <f t="shared" si="84"/>
        <v>1532</v>
      </c>
      <c r="AQ67" s="6098">
        <f t="shared" si="116"/>
        <v>2354.9056603773602</v>
      </c>
      <c r="AR67" s="6098">
        <v>0</v>
      </c>
      <c r="AS67" s="3133">
        <f t="shared" si="85"/>
        <v>18715.368539205734</v>
      </c>
      <c r="AT67" s="3133">
        <f t="shared" si="86"/>
        <v>1532</v>
      </c>
      <c r="AU67" s="6258">
        <f t="shared" si="117"/>
        <v>2119.0566037735798</v>
      </c>
      <c r="AV67" s="6258">
        <v>0</v>
      </c>
      <c r="AW67" s="6256">
        <f t="shared" si="87"/>
        <v>20834.425142979315</v>
      </c>
      <c r="AX67" s="6256">
        <f t="shared" si="88"/>
        <v>1532</v>
      </c>
      <c r="AY67" s="6433">
        <f t="shared" si="118"/>
        <v>2354.9056603773602</v>
      </c>
      <c r="AZ67" s="6433">
        <v>0</v>
      </c>
      <c r="BA67" s="3134">
        <f t="shared" si="70"/>
        <v>6828.8679245283001</v>
      </c>
      <c r="BB67" s="3134">
        <f t="shared" si="71"/>
        <v>0</v>
      </c>
      <c r="BC67" s="3179">
        <f t="shared" si="103"/>
        <v>13818.113207547171</v>
      </c>
      <c r="BD67" s="3179">
        <f t="shared" si="104"/>
        <v>1532</v>
      </c>
      <c r="BE67" s="3133">
        <f t="shared" si="73"/>
        <v>23189.330803356675</v>
      </c>
      <c r="BF67" s="39">
        <f t="shared" si="74"/>
        <v>1532</v>
      </c>
      <c r="BG67" s="3948"/>
      <c r="BH67" s="3948"/>
      <c r="BI67" s="4364"/>
      <c r="BJ67" s="4364"/>
      <c r="BK67" s="3948"/>
      <c r="BL67" s="3948"/>
      <c r="BM67" s="4364"/>
      <c r="BN67" s="4364"/>
    </row>
    <row r="68" spans="1:66" ht="15" x14ac:dyDescent="0.25">
      <c r="B68" s="742" t="s">
        <v>1203</v>
      </c>
      <c r="C68" s="3479" t="s">
        <v>50</v>
      </c>
      <c r="D68" s="3937">
        <f t="shared" si="105"/>
        <v>0</v>
      </c>
      <c r="E68" s="3202">
        <f t="shared" si="105"/>
        <v>0</v>
      </c>
      <c r="F68" s="3202">
        <v>0</v>
      </c>
      <c r="G68" s="7194">
        <f t="shared" ref="G68" si="123">+G85*G$5/1000</f>
        <v>0</v>
      </c>
      <c r="H68" s="7194">
        <v>0</v>
      </c>
      <c r="I68" s="3133">
        <f t="shared" si="60"/>
        <v>0</v>
      </c>
      <c r="J68" s="39">
        <f t="shared" si="61"/>
        <v>0</v>
      </c>
      <c r="K68" s="4602">
        <f t="shared" si="107"/>
        <v>0</v>
      </c>
      <c r="L68" s="4619"/>
      <c r="M68" s="3134">
        <f t="shared" si="62"/>
        <v>0</v>
      </c>
      <c r="N68" s="3134">
        <f t="shared" si="63"/>
        <v>0</v>
      </c>
      <c r="O68" s="4790">
        <f t="shared" si="108"/>
        <v>0</v>
      </c>
      <c r="P68" s="4790">
        <v>0</v>
      </c>
      <c r="Q68" s="3133">
        <f t="shared" si="109"/>
        <v>0</v>
      </c>
      <c r="R68" s="3133">
        <f t="shared" si="110"/>
        <v>0</v>
      </c>
      <c r="S68" s="4929">
        <f t="shared" si="111"/>
        <v>0</v>
      </c>
      <c r="T68" s="4929"/>
      <c r="U68" s="4930">
        <f t="shared" si="77"/>
        <v>0</v>
      </c>
      <c r="V68" s="4930">
        <f t="shared" si="78"/>
        <v>0</v>
      </c>
      <c r="W68" s="5461">
        <f t="shared" si="112"/>
        <v>0</v>
      </c>
      <c r="X68" s="5213">
        <v>600</v>
      </c>
      <c r="Y68" s="3134">
        <f t="shared" si="64"/>
        <v>0</v>
      </c>
      <c r="Z68" s="3134">
        <f t="shared" si="65"/>
        <v>600</v>
      </c>
      <c r="AA68" s="3179">
        <f t="shared" si="91"/>
        <v>0</v>
      </c>
      <c r="AB68" s="3179">
        <f t="shared" si="91"/>
        <v>600</v>
      </c>
      <c r="AC68" s="5365">
        <f t="shared" si="113"/>
        <v>0</v>
      </c>
      <c r="AD68" s="5365">
        <v>400</v>
      </c>
      <c r="AE68" s="3133">
        <f t="shared" si="79"/>
        <v>0</v>
      </c>
      <c r="AF68" s="3133">
        <f t="shared" si="80"/>
        <v>1000</v>
      </c>
      <c r="AG68" s="5552">
        <f t="shared" si="114"/>
        <v>0</v>
      </c>
      <c r="AH68" s="5552">
        <v>0</v>
      </c>
      <c r="AI68" s="5553">
        <f t="shared" si="81"/>
        <v>0</v>
      </c>
      <c r="AJ68" s="5553">
        <f t="shared" si="82"/>
        <v>1000</v>
      </c>
      <c r="AK68" s="5948">
        <f t="shared" si="115"/>
        <v>0</v>
      </c>
      <c r="AL68" s="5948">
        <v>0</v>
      </c>
      <c r="AM68" s="3134">
        <f t="shared" si="66"/>
        <v>0</v>
      </c>
      <c r="AN68" s="3134">
        <f t="shared" si="67"/>
        <v>400</v>
      </c>
      <c r="AO68" s="3133">
        <f t="shared" si="83"/>
        <v>0</v>
      </c>
      <c r="AP68" s="3133">
        <f t="shared" si="84"/>
        <v>1000</v>
      </c>
      <c r="AQ68" s="6098">
        <f t="shared" si="116"/>
        <v>0</v>
      </c>
      <c r="AR68" s="6098">
        <v>0</v>
      </c>
      <c r="AS68" s="3133">
        <f t="shared" si="85"/>
        <v>0</v>
      </c>
      <c r="AT68" s="3133">
        <f t="shared" si="86"/>
        <v>1000</v>
      </c>
      <c r="AU68" s="6258">
        <f t="shared" si="117"/>
        <v>0</v>
      </c>
      <c r="AV68" s="6258">
        <v>0</v>
      </c>
      <c r="AW68" s="6256">
        <f t="shared" si="87"/>
        <v>0</v>
      </c>
      <c r="AX68" s="6256">
        <f t="shared" si="88"/>
        <v>1000</v>
      </c>
      <c r="AY68" s="6433">
        <f t="shared" si="118"/>
        <v>0</v>
      </c>
      <c r="AZ68" s="6433">
        <v>0</v>
      </c>
      <c r="BA68" s="3134">
        <f t="shared" si="70"/>
        <v>0</v>
      </c>
      <c r="BB68" s="3134">
        <f t="shared" si="71"/>
        <v>0</v>
      </c>
      <c r="BC68" s="3179">
        <f t="shared" si="103"/>
        <v>0</v>
      </c>
      <c r="BD68" s="3179">
        <f t="shared" si="104"/>
        <v>400</v>
      </c>
      <c r="BE68" s="3133">
        <f t="shared" si="73"/>
        <v>0</v>
      </c>
      <c r="BF68" s="39">
        <f t="shared" si="74"/>
        <v>1000</v>
      </c>
      <c r="BG68" s="3948"/>
      <c r="BH68" s="3948"/>
      <c r="BI68" s="4364"/>
      <c r="BJ68" s="4364"/>
      <c r="BK68" s="3948"/>
      <c r="BL68" s="3948"/>
      <c r="BM68" s="4364"/>
      <c r="BN68" s="4364"/>
    </row>
    <row r="69" spans="1:66" ht="15" x14ac:dyDescent="0.25">
      <c r="B69" s="742" t="s">
        <v>131</v>
      </c>
      <c r="C69" s="3479" t="s">
        <v>50</v>
      </c>
      <c r="D69" s="3937">
        <f t="shared" si="105"/>
        <v>41550.283286118967</v>
      </c>
      <c r="E69" s="3202">
        <f t="shared" si="105"/>
        <v>3556.6572237960286</v>
      </c>
      <c r="F69" s="3202">
        <v>4545.46</v>
      </c>
      <c r="G69" s="7194">
        <f t="shared" ref="G69" si="124">+G86*G$5/1000</f>
        <v>3669.9716713880985</v>
      </c>
      <c r="H69" s="7194">
        <v>4272.8</v>
      </c>
      <c r="I69" s="3133">
        <f t="shared" si="60"/>
        <v>7226.628895184127</v>
      </c>
      <c r="J69" s="39">
        <f t="shared" si="61"/>
        <v>8818.26</v>
      </c>
      <c r="K69" s="4602">
        <f t="shared" si="107"/>
        <v>2097.1698113207549</v>
      </c>
      <c r="L69" s="4619">
        <v>2504.4</v>
      </c>
      <c r="M69" s="3134">
        <f t="shared" si="62"/>
        <v>9323.7987065048819</v>
      </c>
      <c r="N69" s="3134">
        <f t="shared" si="63"/>
        <v>11322.66</v>
      </c>
      <c r="O69" s="4790">
        <f t="shared" si="108"/>
        <v>955.18867924528342</v>
      </c>
      <c r="P69" s="4790">
        <v>4034.7</v>
      </c>
      <c r="Q69" s="3133">
        <f t="shared" si="109"/>
        <v>10278.987385750166</v>
      </c>
      <c r="R69" s="3133">
        <f t="shared" si="110"/>
        <v>15357.36</v>
      </c>
      <c r="S69" s="4929">
        <f t="shared" si="111"/>
        <v>3390.8490566037749</v>
      </c>
      <c r="T69" s="4929">
        <v>3237.5</v>
      </c>
      <c r="U69" s="4930">
        <f t="shared" si="77"/>
        <v>13669.836442353941</v>
      </c>
      <c r="V69" s="4930">
        <f t="shared" si="78"/>
        <v>18594.86</v>
      </c>
      <c r="W69" s="5461">
        <f t="shared" si="112"/>
        <v>3277.64150943396</v>
      </c>
      <c r="X69" s="5050">
        <v>2675.7</v>
      </c>
      <c r="Y69" s="3134">
        <f t="shared" si="64"/>
        <v>7623.6792452830186</v>
      </c>
      <c r="Z69" s="3134">
        <f t="shared" si="65"/>
        <v>9947.9</v>
      </c>
      <c r="AA69" s="3179">
        <f t="shared" si="91"/>
        <v>16947.4779517879</v>
      </c>
      <c r="AB69" s="3179">
        <f t="shared" si="91"/>
        <v>21270.559999999998</v>
      </c>
      <c r="AC69" s="5365">
        <f t="shared" si="113"/>
        <v>3532.35849056604</v>
      </c>
      <c r="AD69" s="5365">
        <v>3044</v>
      </c>
      <c r="AE69" s="3133">
        <f t="shared" si="79"/>
        <v>20479.836442353939</v>
      </c>
      <c r="AF69" s="3133">
        <f t="shared" si="80"/>
        <v>24314.559999999998</v>
      </c>
      <c r="AG69" s="5552">
        <f t="shared" si="114"/>
        <v>3419.1509433962251</v>
      </c>
      <c r="AH69" s="5552">
        <v>98.9</v>
      </c>
      <c r="AI69" s="5553">
        <f t="shared" si="81"/>
        <v>23898.987385750163</v>
      </c>
      <c r="AJ69" s="5553">
        <f t="shared" si="82"/>
        <v>24413.46</v>
      </c>
      <c r="AK69" s="5948">
        <f t="shared" si="115"/>
        <v>3532.35849056604</v>
      </c>
      <c r="AL69" s="5948">
        <v>4152.55</v>
      </c>
      <c r="AM69" s="3134">
        <f t="shared" si="66"/>
        <v>10483.867924528306</v>
      </c>
      <c r="AN69" s="3134">
        <f t="shared" si="67"/>
        <v>7295.45</v>
      </c>
      <c r="AO69" s="3133">
        <f t="shared" si="83"/>
        <v>27431.345876316202</v>
      </c>
      <c r="AP69" s="3133">
        <f t="shared" si="84"/>
        <v>28566.01</v>
      </c>
      <c r="AQ69" s="6098">
        <f t="shared" si="116"/>
        <v>3532.35849056604</v>
      </c>
      <c r="AR69" s="6098">
        <v>4314.7</v>
      </c>
      <c r="AS69" s="3133">
        <f t="shared" si="85"/>
        <v>30963.704366882241</v>
      </c>
      <c r="AT69" s="3133">
        <f t="shared" si="86"/>
        <v>32880.71</v>
      </c>
      <c r="AU69" s="6258">
        <f t="shared" si="117"/>
        <v>3178.5849056603697</v>
      </c>
      <c r="AV69" s="6258">
        <v>2599.9</v>
      </c>
      <c r="AW69" s="6256">
        <f t="shared" si="87"/>
        <v>34142.289272542614</v>
      </c>
      <c r="AX69" s="6256">
        <f t="shared" si="88"/>
        <v>35480.61</v>
      </c>
      <c r="AY69" s="6433">
        <f t="shared" si="118"/>
        <v>3532.35849056604</v>
      </c>
      <c r="AZ69" s="6433">
        <v>5923.9</v>
      </c>
      <c r="BA69" s="3134">
        <f t="shared" si="70"/>
        <v>10243.301886792451</v>
      </c>
      <c r="BB69" s="3134">
        <f t="shared" si="71"/>
        <v>12838.5</v>
      </c>
      <c r="BC69" s="3179">
        <f t="shared" si="103"/>
        <v>20727.169811320757</v>
      </c>
      <c r="BD69" s="3179">
        <f t="shared" si="104"/>
        <v>20133.95</v>
      </c>
      <c r="BE69" s="3133">
        <f t="shared" si="73"/>
        <v>37674.647763108653</v>
      </c>
      <c r="BF69" s="39">
        <f t="shared" si="74"/>
        <v>41404.51</v>
      </c>
      <c r="BG69" s="3948"/>
      <c r="BH69" s="3948"/>
      <c r="BI69" s="4364"/>
      <c r="BJ69" s="4364"/>
      <c r="BK69" s="3948"/>
      <c r="BL69" s="3948"/>
      <c r="BM69" s="4364"/>
      <c r="BN69" s="4364"/>
    </row>
    <row r="70" spans="1:66" ht="15" x14ac:dyDescent="0.25">
      <c r="B70" s="742" t="s">
        <v>1895</v>
      </c>
      <c r="C70" s="3479" t="s">
        <v>50</v>
      </c>
      <c r="D70" s="3937">
        <f t="shared" si="105"/>
        <v>185591.26534466477</v>
      </c>
      <c r="E70" s="3202">
        <f t="shared" si="105"/>
        <v>15886.402266288935</v>
      </c>
      <c r="F70" s="7025">
        <v>13904.931</v>
      </c>
      <c r="G70" s="7194">
        <f t="shared" ref="G70" si="125">+G87*G$5/1000</f>
        <v>16392.540132200178</v>
      </c>
      <c r="H70" s="7194">
        <v>15703.071</v>
      </c>
      <c r="I70" s="3133">
        <f t="shared" si="60"/>
        <v>32278.942398489111</v>
      </c>
      <c r="J70" s="39">
        <f t="shared" si="61"/>
        <v>29608.002</v>
      </c>
      <c r="K70" s="4602">
        <f t="shared" si="107"/>
        <v>9786.7924528301901</v>
      </c>
      <c r="L70" s="4619">
        <v>10066.870000000001</v>
      </c>
      <c r="M70" s="3134">
        <f t="shared" si="62"/>
        <v>42065.734851319299</v>
      </c>
      <c r="N70" s="3134">
        <f t="shared" si="63"/>
        <v>39674.872000000003</v>
      </c>
      <c r="O70" s="4790">
        <f t="shared" si="108"/>
        <v>4457.5471698113233</v>
      </c>
      <c r="P70" s="4790">
        <v>14857.55</v>
      </c>
      <c r="Q70" s="3133">
        <f t="shared" si="109"/>
        <v>46523.282021130624</v>
      </c>
      <c r="R70" s="3133">
        <f t="shared" si="110"/>
        <v>54532.422000000006</v>
      </c>
      <c r="S70" s="4929">
        <f t="shared" si="111"/>
        <v>15823.962264150949</v>
      </c>
      <c r="T70" s="4929">
        <v>15796.29</v>
      </c>
      <c r="U70" s="4930">
        <f t="shared" si="77"/>
        <v>62347.244285281573</v>
      </c>
      <c r="V70" s="4930">
        <f t="shared" si="78"/>
        <v>70328.712</v>
      </c>
      <c r="W70" s="5461">
        <f t="shared" si="112"/>
        <v>15295.660377358481</v>
      </c>
      <c r="X70" s="5050">
        <v>15246.243</v>
      </c>
      <c r="Y70" s="3134">
        <f t="shared" si="64"/>
        <v>35577.169811320753</v>
      </c>
      <c r="Z70" s="3134">
        <f t="shared" si="65"/>
        <v>45900.082999999999</v>
      </c>
      <c r="AA70" s="3179">
        <f t="shared" si="91"/>
        <v>77642.904662640052</v>
      </c>
      <c r="AB70" s="3179">
        <f t="shared" si="91"/>
        <v>85574.955000000002</v>
      </c>
      <c r="AC70" s="5365">
        <f t="shared" si="113"/>
        <v>16484.339622641517</v>
      </c>
      <c r="AD70" s="5365">
        <v>15137.236999999999</v>
      </c>
      <c r="AE70" s="3133">
        <f t="shared" si="79"/>
        <v>94127.244285281573</v>
      </c>
      <c r="AF70" s="3133">
        <f t="shared" si="80"/>
        <v>100712.192</v>
      </c>
      <c r="AG70" s="5552">
        <f t="shared" si="114"/>
        <v>15956.037735849051</v>
      </c>
      <c r="AH70" s="5552">
        <v>632.63900000000001</v>
      </c>
      <c r="AI70" s="5553">
        <f t="shared" si="81"/>
        <v>110083.28202113062</v>
      </c>
      <c r="AJ70" s="5553">
        <f t="shared" si="82"/>
        <v>101344.83099999999</v>
      </c>
      <c r="AK70" s="5948">
        <f t="shared" si="115"/>
        <v>16484.339622641517</v>
      </c>
      <c r="AL70" s="5948">
        <v>15548.223</v>
      </c>
      <c r="AM70" s="3134">
        <f t="shared" si="66"/>
        <v>48924.716981132085</v>
      </c>
      <c r="AN70" s="3134">
        <f t="shared" si="67"/>
        <v>31318.098999999998</v>
      </c>
      <c r="AO70" s="3133">
        <f t="shared" si="83"/>
        <v>126567.62164377215</v>
      </c>
      <c r="AP70" s="3133">
        <f t="shared" si="84"/>
        <v>116893.05399999999</v>
      </c>
      <c r="AQ70" s="6098">
        <f t="shared" si="116"/>
        <v>16484.339622641517</v>
      </c>
      <c r="AR70" s="6098">
        <v>16241.035</v>
      </c>
      <c r="AS70" s="3133">
        <f t="shared" si="85"/>
        <v>143051.96126641365</v>
      </c>
      <c r="AT70" s="3133">
        <f t="shared" si="86"/>
        <v>133134.08899999998</v>
      </c>
      <c r="AU70" s="6258">
        <f t="shared" si="117"/>
        <v>14833.39622641506</v>
      </c>
      <c r="AV70" s="6258">
        <v>15058.151</v>
      </c>
      <c r="AW70" s="6256">
        <f t="shared" si="87"/>
        <v>157885.35749282871</v>
      </c>
      <c r="AX70" s="6256">
        <f t="shared" si="88"/>
        <v>148192.24</v>
      </c>
      <c r="AY70" s="6433">
        <f t="shared" si="118"/>
        <v>16484.339622641517</v>
      </c>
      <c r="AZ70" s="6433">
        <v>16163.255999999999</v>
      </c>
      <c r="BA70" s="3134">
        <f t="shared" si="70"/>
        <v>47802.075471698088</v>
      </c>
      <c r="BB70" s="3134">
        <f t="shared" si="71"/>
        <v>47462.441999999995</v>
      </c>
      <c r="BC70" s="3179">
        <f t="shared" si="103"/>
        <v>96726.792452830181</v>
      </c>
      <c r="BD70" s="3179">
        <f t="shared" si="104"/>
        <v>78780.540999999997</v>
      </c>
      <c r="BE70" s="3133">
        <f t="shared" si="73"/>
        <v>174369.69711547022</v>
      </c>
      <c r="BF70" s="39">
        <f t="shared" si="74"/>
        <v>164355.49599999998</v>
      </c>
      <c r="BG70" s="3948"/>
      <c r="BH70" s="3948"/>
      <c r="BI70" s="4364"/>
      <c r="BJ70" s="4364"/>
      <c r="BK70" s="3948"/>
      <c r="BL70" s="3948"/>
      <c r="BM70" s="4364"/>
      <c r="BN70" s="4364"/>
    </row>
    <row r="71" spans="1:66" ht="15" x14ac:dyDescent="0.25">
      <c r="A71" s="1277"/>
      <c r="B71" s="1002" t="s">
        <v>287</v>
      </c>
      <c r="C71" s="414"/>
      <c r="D71" s="4028"/>
      <c r="E71" s="4029"/>
      <c r="F71" s="4029"/>
      <c r="G71" s="4029"/>
      <c r="H71" s="4029"/>
      <c r="I71" s="4029"/>
      <c r="J71" s="4030"/>
      <c r="K71" s="4029"/>
      <c r="L71" s="4029"/>
      <c r="M71" s="4029"/>
      <c r="N71" s="4029"/>
      <c r="O71" s="4029"/>
      <c r="P71" s="4029"/>
      <c r="Q71" s="4029"/>
      <c r="R71" s="4029"/>
      <c r="S71" s="4029"/>
      <c r="T71" s="4029"/>
      <c r="U71" s="4029"/>
      <c r="V71" s="4029"/>
      <c r="W71" s="4029"/>
      <c r="X71" s="4029"/>
      <c r="Y71" s="4029"/>
      <c r="Z71" s="4029"/>
      <c r="AA71" s="4029"/>
      <c r="AB71" s="4029"/>
      <c r="AC71" s="4029"/>
      <c r="AD71" s="4029"/>
      <c r="AE71" s="4029"/>
      <c r="AF71" s="4029"/>
      <c r="AG71" s="4029"/>
      <c r="AH71" s="4029"/>
      <c r="AI71" s="4029"/>
      <c r="AJ71" s="4029"/>
      <c r="AK71" s="4029"/>
      <c r="AL71" s="4029"/>
      <c r="AM71" s="4029"/>
      <c r="AN71" s="4029"/>
      <c r="AO71" s="4029"/>
      <c r="AP71" s="4029"/>
      <c r="AQ71" s="4029"/>
      <c r="AR71" s="4029"/>
      <c r="AS71" s="4029"/>
      <c r="AT71" s="4029"/>
      <c r="AU71" s="4029"/>
      <c r="AV71" s="4029"/>
      <c r="AW71" s="4029"/>
      <c r="AX71" s="4029"/>
      <c r="AY71" s="4029"/>
      <c r="AZ71" s="4029"/>
      <c r="BA71" s="4029"/>
      <c r="BB71" s="4029"/>
      <c r="BC71" s="4029"/>
      <c r="BD71" s="4029"/>
      <c r="BE71" s="4029"/>
      <c r="BF71" s="4030"/>
      <c r="BG71" s="3948"/>
      <c r="BH71" s="3948"/>
      <c r="BI71" s="4364"/>
      <c r="BJ71" s="4364"/>
      <c r="BK71" s="3948"/>
      <c r="BL71" s="3948"/>
      <c r="BM71" s="4364"/>
      <c r="BN71" s="4364"/>
    </row>
    <row r="72" spans="1:66" ht="15" x14ac:dyDescent="0.25">
      <c r="B72" s="742" t="s">
        <v>83</v>
      </c>
      <c r="C72" s="3479" t="s">
        <v>271</v>
      </c>
      <c r="D72" s="1356">
        <v>1.6372322252457012</v>
      </c>
      <c r="E72" s="3471">
        <v>1.6637829819614995</v>
      </c>
      <c r="F72" s="3471">
        <f>+F55/F$49*1000</f>
        <v>1.7631183370731567</v>
      </c>
      <c r="G72" s="3471">
        <v>1.6372322252457012</v>
      </c>
      <c r="H72" s="3471">
        <f>+H55/H$49*1000</f>
        <v>1.2550810710532241</v>
      </c>
      <c r="I72" s="3755">
        <f t="shared" ref="I72:J72" si="126">+I55/I$5*1000</f>
        <v>1.6502994440056717</v>
      </c>
      <c r="J72" s="3482">
        <f t="shared" si="126"/>
        <v>1.4921403423357631</v>
      </c>
      <c r="K72" s="3471">
        <v>1.65</v>
      </c>
      <c r="L72" s="3471">
        <f>+L55/L$49*1000</f>
        <v>0.63805162336977816</v>
      </c>
      <c r="M72" s="4026">
        <f>+M55/M$5*1000</f>
        <v>1.6502320911006332</v>
      </c>
      <c r="N72" s="4044">
        <f>+N55/N$5*1000</f>
        <v>1.2826466750702139</v>
      </c>
      <c r="O72" s="3471">
        <v>1.65</v>
      </c>
      <c r="P72" s="3471">
        <f>+P55/P$49*1000</f>
        <v>1.0575094535162126</v>
      </c>
      <c r="Q72" s="3755">
        <f t="shared" ref="Q72:R72" si="127">+Q55/Q$5*1000</f>
        <v>1.6502105237240463</v>
      </c>
      <c r="R72" s="3755">
        <f t="shared" si="127"/>
        <v>1.2184444768714431</v>
      </c>
      <c r="S72" s="3471">
        <v>1.65</v>
      </c>
      <c r="T72" s="3471">
        <f>+T55/T$49*1000</f>
        <v>1.1921378508734894</v>
      </c>
      <c r="U72" s="3755">
        <f t="shared" ref="U72:V72" si="128">+U55/U$5*1000</f>
        <v>1.6501583026039122</v>
      </c>
      <c r="V72" s="3755">
        <f t="shared" si="128"/>
        <v>1.2126652351270595</v>
      </c>
      <c r="W72" s="3471">
        <v>1.65</v>
      </c>
      <c r="X72" s="3471">
        <f>+X55/X$49*1000</f>
        <v>1.3577274582650145</v>
      </c>
      <c r="Y72" s="4026">
        <f>+Y55/Y$5*1000</f>
        <v>1.6499999999999997</v>
      </c>
      <c r="Z72" s="4026">
        <f>+Z55/Z$5*1000</f>
        <v>1.2017800111573371</v>
      </c>
      <c r="AA72" s="4027">
        <f>+AA55/AA$47*1000</f>
        <v>1.6501276992920422</v>
      </c>
      <c r="AB72" s="4027">
        <f>+AB55/AB$49*1000</f>
        <v>1.2387701922167491</v>
      </c>
      <c r="AC72" s="3471">
        <v>1.65</v>
      </c>
      <c r="AD72" s="3471">
        <f>+AD55/AD$49*1000</f>
        <v>1.309996724558018</v>
      </c>
      <c r="AE72" s="3755">
        <f t="shared" ref="AE72:AF72" si="129">+AE55/AE$5*1000</f>
        <v>1.6501056634758762</v>
      </c>
      <c r="AF72" s="3755">
        <f t="shared" si="129"/>
        <v>1.249266893299471</v>
      </c>
      <c r="AG72" s="3471">
        <v>1.65</v>
      </c>
      <c r="AH72" s="3471">
        <f>+AH55/AH$49*1000</f>
        <v>0.25204788909892878</v>
      </c>
      <c r="AI72" s="3755">
        <f t="shared" ref="AI72:AJ72" si="130">+AI55/AI$5*1000</f>
        <v>1.6500905465436231</v>
      </c>
      <c r="AJ72" s="3755">
        <f t="shared" si="130"/>
        <v>1.2440445902539501</v>
      </c>
      <c r="AK72" s="3471">
        <v>1.65</v>
      </c>
      <c r="AL72" s="3471">
        <f>+AL55/AL$49*1000</f>
        <v>1.7920252153697194</v>
      </c>
      <c r="AM72" s="4026">
        <f>+AM55/AM$5*1000</f>
        <v>1.65</v>
      </c>
      <c r="AN72" s="4026">
        <f>+AN55/AN$5*1000</f>
        <v>1.5354739646840987</v>
      </c>
      <c r="AO72" s="3755">
        <f t="shared" ref="AO72:AP72" si="131">+AO55/AO$5*1000</f>
        <v>1.6500788867857099</v>
      </c>
      <c r="AP72" s="3755">
        <f t="shared" si="131"/>
        <v>1.3176021013068029</v>
      </c>
      <c r="AQ72" s="3470">
        <v>1.65</v>
      </c>
      <c r="AR72" s="3470">
        <f>+AR55/AR$49*1000</f>
        <v>1.800519435631857</v>
      </c>
      <c r="AS72" s="3755">
        <f t="shared" ref="AS72:AT72" si="132">+AS55/AS$5*1000</f>
        <v>1.6500698873325439</v>
      </c>
      <c r="AT72" s="3755">
        <f t="shared" si="132"/>
        <v>1.377124109991589</v>
      </c>
      <c r="AU72" s="3470">
        <v>1.65</v>
      </c>
      <c r="AV72" s="3470">
        <f>+AV55/AV$49*1000</f>
        <v>1.4805123523856278</v>
      </c>
      <c r="AW72" s="3755">
        <f t="shared" ref="AW72:AX72" si="133">+AW55/AW$5*1000</f>
        <v>1.6500633809492562</v>
      </c>
      <c r="AX72" s="3755">
        <f t="shared" si="133"/>
        <v>1.3875094408323434</v>
      </c>
      <c r="AY72" s="3470">
        <v>1.65</v>
      </c>
      <c r="AZ72" s="3470">
        <f>+AZ55/AZ$49*1000</f>
        <v>1.3467366477014941</v>
      </c>
      <c r="BA72" s="4026">
        <f>+BA55/BA$5*1000</f>
        <v>1.65</v>
      </c>
      <c r="BB72" s="4026">
        <f>+BB55/BB$5*1000</f>
        <v>1.5452913526843297</v>
      </c>
      <c r="BC72" s="4027">
        <f>+BC55/BC$47*1000</f>
        <v>1.6500000000000001</v>
      </c>
      <c r="BD72" s="4027">
        <f>+BD55/BD$49*1000</f>
        <v>1.5414139586422584</v>
      </c>
      <c r="BE72" s="3755">
        <f t="shared" ref="BE72:BF72" si="134">+BE55/BE$5*1000</f>
        <v>1.6500574383791853</v>
      </c>
      <c r="BF72" s="107">
        <f t="shared" si="134"/>
        <v>1.3834768922406722</v>
      </c>
      <c r="BG72" s="3948"/>
      <c r="BH72" s="3948"/>
      <c r="BI72" s="4364"/>
      <c r="BJ72" s="4364"/>
      <c r="BK72" s="3948"/>
      <c r="BL72" s="3948"/>
      <c r="BM72" s="4364"/>
      <c r="BN72" s="4364"/>
    </row>
    <row r="73" spans="1:66" ht="15" x14ac:dyDescent="0.25">
      <c r="B73" s="742" t="s">
        <v>838</v>
      </c>
      <c r="C73" s="3479" t="s">
        <v>271</v>
      </c>
      <c r="D73" s="1356">
        <v>0.84012576263208183</v>
      </c>
      <c r="E73" s="3471">
        <v>0.80750050907222048</v>
      </c>
      <c r="F73" s="3471">
        <f>+F56/F$49*1000</f>
        <v>0.50719842573337381</v>
      </c>
      <c r="G73" s="3471">
        <v>0.84012576263208183</v>
      </c>
      <c r="H73" s="3471">
        <f>+H56/H$49*1000</f>
        <v>0.75220347019351486</v>
      </c>
      <c r="I73" s="3755">
        <f t="shared" ref="I73:J73" si="135">+I56/I$5*1000</f>
        <v>0.8240689198863328</v>
      </c>
      <c r="J73" s="3482">
        <f t="shared" si="135"/>
        <v>0.63787872640637611</v>
      </c>
      <c r="K73" s="3471">
        <v>0.85</v>
      </c>
      <c r="L73" s="3471">
        <f>+L56/L$49*1000</f>
        <v>0.44386199886593258</v>
      </c>
      <c r="M73" s="4026">
        <f t="shared" ref="M73:N79" si="136">+M56/M$5*1000</f>
        <v>0.82990150809433216</v>
      </c>
      <c r="N73" s="4044">
        <f t="shared" si="136"/>
        <v>0.59028965019809576</v>
      </c>
      <c r="O73" s="3471">
        <v>0.85</v>
      </c>
      <c r="P73" s="3471">
        <f>+P56/P$49*1000</f>
        <v>0.87415095955977251</v>
      </c>
      <c r="Q73" s="3755">
        <f t="shared" ref="Q73:R73" si="137">+Q56/Q$5*1000</f>
        <v>0.83176918739169292</v>
      </c>
      <c r="R73" s="3755">
        <f t="shared" si="137"/>
        <v>0.67123887348606448</v>
      </c>
      <c r="S73" s="3471">
        <v>0.85</v>
      </c>
      <c r="T73" s="3470">
        <f>+T56/T$49*1000</f>
        <v>0.51832080472760411</v>
      </c>
      <c r="U73" s="3755">
        <f t="shared" ref="U73:V73" si="138">+U56/U$5*1000</f>
        <v>0.83629140197667973</v>
      </c>
      <c r="V73" s="3755">
        <f t="shared" si="138"/>
        <v>0.63764556964427532</v>
      </c>
      <c r="W73" s="3471">
        <v>0.85</v>
      </c>
      <c r="X73" s="3470">
        <f>+X56/X$49*1000</f>
        <v>0.82587880423126681</v>
      </c>
      <c r="Y73" s="4026">
        <f t="shared" ref="Y73:Z73" si="139">+Y56/Y$5*1000</f>
        <v>0.85</v>
      </c>
      <c r="Z73" s="4026">
        <f t="shared" si="139"/>
        <v>0.73999819302766812</v>
      </c>
      <c r="AA73" s="4027">
        <f>+AA56/AA$47*1000</f>
        <v>0.83894265055358586</v>
      </c>
      <c r="AB73" s="4027">
        <f>+AB56/AB$49*1000</f>
        <v>0.67151926877076284</v>
      </c>
      <c r="AC73" s="3471">
        <v>0.85</v>
      </c>
      <c r="AD73" s="3470">
        <f>+AD56/AD$49*1000</f>
        <v>0.69776457837282746</v>
      </c>
      <c r="AE73" s="3755">
        <f t="shared" ref="AE73:AF73" si="140">+AE56/AE$5*1000</f>
        <v>0.84084981496994693</v>
      </c>
      <c r="AF73" s="3755">
        <f t="shared" si="140"/>
        <v>0.67538698745558245</v>
      </c>
      <c r="AG73" s="3471">
        <v>0.85</v>
      </c>
      <c r="AH73" s="3470">
        <f>+AH56/AH$49*1000</f>
        <v>1.1342155009451795</v>
      </c>
      <c r="AI73" s="3755">
        <f t="shared" ref="AI73:AJ73" si="141">+AI56/AI$5*1000</f>
        <v>0.8421589023916346</v>
      </c>
      <c r="AJ73" s="3755">
        <f t="shared" si="141"/>
        <v>0.67778981124180726</v>
      </c>
      <c r="AK73" s="3471">
        <v>0.85</v>
      </c>
      <c r="AL73" s="3470">
        <f>+AL56/AL$49*1000</f>
        <v>0.52356081114127184</v>
      </c>
      <c r="AM73" s="4026">
        <f t="shared" ref="AM73:AP73" si="142">+AM56/AM$5*1000</f>
        <v>0.85</v>
      </c>
      <c r="AN73" s="4026">
        <f t="shared" si="142"/>
        <v>0.61720031913772599</v>
      </c>
      <c r="AO73" s="3755">
        <f t="shared" si="142"/>
        <v>0.84316860741439026</v>
      </c>
      <c r="AP73" s="3755">
        <f t="shared" si="142"/>
        <v>0.65708691088587312</v>
      </c>
      <c r="AQ73" s="3470">
        <v>0.85</v>
      </c>
      <c r="AR73" s="3470">
        <f>+AR56/AR$49*1000</f>
        <v>0.47146784319028312</v>
      </c>
      <c r="AS73" s="3755">
        <f t="shared" ref="AS73:AT73" si="143">+AS56/AS$5*1000</f>
        <v>0.84394793689371383</v>
      </c>
      <c r="AT73" s="3755">
        <f t="shared" si="143"/>
        <v>0.63420848426677034</v>
      </c>
      <c r="AU73" s="3470">
        <v>0.85</v>
      </c>
      <c r="AV73" s="3470">
        <f>+AV56/AV$49*1000</f>
        <v>0.66847375910745011</v>
      </c>
      <c r="AW73" s="3755">
        <f t="shared" ref="AW73:AX73" si="144">+AW56/AW$5*1000</f>
        <v>0.84451137293879519</v>
      </c>
      <c r="AX73" s="3755">
        <f t="shared" si="144"/>
        <v>0.63765049002200913</v>
      </c>
      <c r="AY73" s="3470">
        <v>0.85</v>
      </c>
      <c r="AZ73" s="3470">
        <f>+AZ56/AZ$49*1000</f>
        <v>0.32026054427047729</v>
      </c>
      <c r="BA73" s="4026">
        <f t="shared" ref="BA73:BB73" si="145">+BA56/BA$5*1000</f>
        <v>0.85000000000000009</v>
      </c>
      <c r="BB73" s="4026">
        <f t="shared" si="145"/>
        <v>0.48141229243480937</v>
      </c>
      <c r="BC73" s="4027">
        <f>+BC56/BC$47*1000</f>
        <v>0.8500000000000002</v>
      </c>
      <c r="BD73" s="4027">
        <f>+BD56/BD$49*1000</f>
        <v>0.53503625010723022</v>
      </c>
      <c r="BE73" s="3755">
        <f t="shared" ref="BE73:BF73" si="146">+BE56/BE$5*1000</f>
        <v>0.84502598421062713</v>
      </c>
      <c r="BF73" s="107">
        <f t="shared" si="146"/>
        <v>0.60626093340631748</v>
      </c>
      <c r="BG73" s="3948"/>
      <c r="BH73" s="3948"/>
      <c r="BI73" s="4364"/>
      <c r="BJ73" s="4364"/>
      <c r="BK73" s="3948"/>
      <c r="BL73" s="3948"/>
      <c r="BM73" s="4364"/>
      <c r="BN73" s="4364"/>
    </row>
    <row r="74" spans="1:66" ht="15" x14ac:dyDescent="0.25">
      <c r="B74" s="744" t="s">
        <v>880</v>
      </c>
      <c r="C74" s="4033" t="s">
        <v>271</v>
      </c>
      <c r="D74" s="4035">
        <f>SUM(D72:D73)</f>
        <v>2.4773579878777832</v>
      </c>
      <c r="E74" s="4036">
        <f>SUM(E72:E73)</f>
        <v>2.47128349103372</v>
      </c>
      <c r="F74" s="4036">
        <f>SUM(F72:F73)</f>
        <v>2.2703167628065306</v>
      </c>
      <c r="G74" s="4036">
        <f>SUM(G72:G73)</f>
        <v>2.4773579878777832</v>
      </c>
      <c r="H74" s="4036">
        <f>SUM(H72:H73)</f>
        <v>2.0072845412467388</v>
      </c>
      <c r="I74" s="4037">
        <f t="shared" ref="I74:J74" si="147">+I57/I$5*1000</f>
        <v>2.4743683638920047</v>
      </c>
      <c r="J74" s="4038">
        <f t="shared" si="147"/>
        <v>2.130019068742139</v>
      </c>
      <c r="K74" s="4036">
        <f t="shared" ref="K74" si="148">SUM(K72:K73)</f>
        <v>2.5</v>
      </c>
      <c r="L74" s="4036">
        <f>SUM(L72:L73)</f>
        <v>1.0819136222357106</v>
      </c>
      <c r="M74" s="4040">
        <f t="shared" si="136"/>
        <v>2.4801335991949656</v>
      </c>
      <c r="N74" s="4040">
        <f t="shared" si="136"/>
        <v>1.8729363252683096</v>
      </c>
      <c r="O74" s="4036">
        <f t="shared" ref="O74" si="149">SUM(O72:O73)</f>
        <v>2.5</v>
      </c>
      <c r="P74" s="4036">
        <f>SUM(P72:P73)</f>
        <v>1.9316604130759851</v>
      </c>
      <c r="Q74" s="4041">
        <f t="shared" ref="Q74:R74" si="150">+Q57/Q$5*1000</f>
        <v>2.4819797111157396</v>
      </c>
      <c r="R74" s="4041">
        <f t="shared" si="150"/>
        <v>1.8896833503575077</v>
      </c>
      <c r="S74" s="4036">
        <f t="shared" ref="S74" si="151">SUM(S72:S73)</f>
        <v>2.5</v>
      </c>
      <c r="T74" s="4036">
        <f>SUM(T72:T73)</f>
        <v>1.7104586556010934</v>
      </c>
      <c r="U74" s="4931">
        <f t="shared" ref="U74:V74" si="152">+U57/U$5*1000</f>
        <v>2.486449704580592</v>
      </c>
      <c r="V74" s="4931">
        <f t="shared" si="152"/>
        <v>1.8503108047713348</v>
      </c>
      <c r="W74" s="4036">
        <f t="shared" ref="W74" si="153">SUM(W72:W73)</f>
        <v>2.5</v>
      </c>
      <c r="X74" s="4036">
        <f>SUM(X72:X73)</f>
        <v>2.1836062624962813</v>
      </c>
      <c r="Y74" s="4040">
        <f t="shared" ref="Y74:Z74" si="154">+Y57/Y$5*1000</f>
        <v>2.5</v>
      </c>
      <c r="Z74" s="4040">
        <f t="shared" si="154"/>
        <v>1.9417782041850051</v>
      </c>
      <c r="AA74" s="4042">
        <f>+AA57/AA$47*1000</f>
        <v>2.4890703498456279</v>
      </c>
      <c r="AB74" s="4042">
        <f>+AB57/AB$49*1000</f>
        <v>1.9102894609875123</v>
      </c>
      <c r="AC74" s="4036">
        <f t="shared" ref="AC74" si="155">SUM(AC72:AC73)</f>
        <v>2.5</v>
      </c>
      <c r="AD74" s="4036">
        <f>SUM(AD72:AD73)</f>
        <v>2.0077613029308452</v>
      </c>
      <c r="AE74" s="4041">
        <f t="shared" ref="AE74:AF74" si="156">+AE57/AE$5*1000</f>
        <v>2.4909554784458234</v>
      </c>
      <c r="AF74" s="4041">
        <f t="shared" si="156"/>
        <v>1.9246538807550535</v>
      </c>
      <c r="AG74" s="4036">
        <f t="shared" ref="AG74" si="157">SUM(AG72:AG73)</f>
        <v>2.5</v>
      </c>
      <c r="AH74" s="4036">
        <f>SUM(AH72:AH73)</f>
        <v>1.3862633900441084</v>
      </c>
      <c r="AI74" s="5554">
        <f t="shared" ref="AI74:AJ74" si="158">+AI57/AI$5*1000</f>
        <v>2.4922494489352576</v>
      </c>
      <c r="AJ74" s="5554">
        <f t="shared" si="158"/>
        <v>1.9218344014957573</v>
      </c>
      <c r="AK74" s="4036">
        <f t="shared" ref="AK74" si="159">SUM(AK72:AK73)</f>
        <v>2.5</v>
      </c>
      <c r="AL74" s="4036">
        <f>SUM(AL72:AL73)</f>
        <v>2.3155860265109913</v>
      </c>
      <c r="AM74" s="4040">
        <f t="shared" ref="AM74:AP74" si="160">+AM57/AM$5*1000</f>
        <v>2.5</v>
      </c>
      <c r="AN74" s="4040">
        <f t="shared" si="160"/>
        <v>2.1526742838218249</v>
      </c>
      <c r="AO74" s="4041">
        <f t="shared" si="160"/>
        <v>2.4932474942001002</v>
      </c>
      <c r="AP74" s="4041">
        <f t="shared" si="160"/>
        <v>1.9746890121926761</v>
      </c>
      <c r="AQ74" s="4039">
        <f t="shared" ref="AQ74" si="161">SUM(AQ72:AQ73)</f>
        <v>2.5</v>
      </c>
      <c r="AR74" s="4039">
        <f>SUM(AR72:AR73)</f>
        <v>2.2719872788221402</v>
      </c>
      <c r="AS74" s="4041">
        <f t="shared" ref="AS74:AT74" si="162">+AS57/AS$5*1000</f>
        <v>2.4940178242262578</v>
      </c>
      <c r="AT74" s="4041">
        <f t="shared" si="162"/>
        <v>2.0113325942583593</v>
      </c>
      <c r="AU74" s="4039">
        <f t="shared" ref="AU74" si="163">SUM(AU72:AU73)</f>
        <v>2.5</v>
      </c>
      <c r="AV74" s="4039">
        <f>SUM(AV72:AV73)</f>
        <v>2.1489861114930777</v>
      </c>
      <c r="AW74" s="6263">
        <f t="shared" ref="AW74:AX74" si="164">+AW57/AW$5*1000</f>
        <v>2.4945747538880521</v>
      </c>
      <c r="AX74" s="6263">
        <f t="shared" si="164"/>
        <v>2.0251599308543526</v>
      </c>
      <c r="AY74" s="4039">
        <f t="shared" ref="AY74" si="165">SUM(AY72:AY73)</f>
        <v>2.5</v>
      </c>
      <c r="AZ74" s="4039">
        <f>SUM(AZ72:AZ73)</f>
        <v>1.6669971919719715</v>
      </c>
      <c r="BA74" s="4040">
        <f t="shared" ref="BA74:BB74" si="166">+BA57/BA$5*1000</f>
        <v>2.4999999999999996</v>
      </c>
      <c r="BB74" s="4040">
        <f t="shared" si="166"/>
        <v>2.0267036451191389</v>
      </c>
      <c r="BC74" s="4042">
        <f>+BC57/BC$47*1000</f>
        <v>2.5000000000000004</v>
      </c>
      <c r="BD74" s="4042">
        <f>+BD57/BD$49*1000</f>
        <v>2.0764502087494883</v>
      </c>
      <c r="BE74" s="4041">
        <f t="shared" ref="BE74:BF74" si="167">+BE57/BE$5*1000</f>
        <v>2.4950834225898131</v>
      </c>
      <c r="BF74" s="4043">
        <f t="shared" si="167"/>
        <v>1.9897378256469898</v>
      </c>
      <c r="BG74" s="3948"/>
      <c r="BH74" s="3948"/>
      <c r="BI74" s="4364"/>
      <c r="BJ74" s="4364"/>
      <c r="BK74" s="3948"/>
      <c r="BL74" s="3948"/>
      <c r="BM74" s="4364"/>
      <c r="BN74" s="4364"/>
    </row>
    <row r="75" spans="1:66" ht="15" x14ac:dyDescent="0.25">
      <c r="B75" s="742" t="s">
        <v>84</v>
      </c>
      <c r="C75" s="3479" t="s">
        <v>271</v>
      </c>
      <c r="D75" s="1356">
        <f>'Maj Techno Summ'!D51</f>
        <v>17.372968004908316</v>
      </c>
      <c r="E75" s="3471">
        <v>17.375800872109483</v>
      </c>
      <c r="F75" s="3471">
        <f>+F58/F$49*1000</f>
        <v>16.095096709939064</v>
      </c>
      <c r="G75" s="3471">
        <v>17.372968004908316</v>
      </c>
      <c r="H75" s="3471">
        <f>+H58/H$49*1000</f>
        <v>15.086328025791282</v>
      </c>
      <c r="I75" s="3755">
        <f t="shared" ref="I75:J75" si="168">+I58/I$5*1000</f>
        <v>17.374362228652362</v>
      </c>
      <c r="J75" s="3482">
        <f t="shared" si="168"/>
        <v>15.557028161331477</v>
      </c>
      <c r="K75" s="3471">
        <v>18.350000000000001</v>
      </c>
      <c r="L75" s="3471">
        <f>+L58/L$49*1000</f>
        <v>14.480997713001051</v>
      </c>
      <c r="M75" s="4026">
        <f t="shared" si="136"/>
        <v>17.593809059848649</v>
      </c>
      <c r="N75" s="4026">
        <f t="shared" si="136"/>
        <v>15.293094971991012</v>
      </c>
      <c r="O75" s="3471">
        <v>18.350000000000001</v>
      </c>
      <c r="P75" s="3471">
        <f>+P58/P$49*1000</f>
        <v>15.540442551502524</v>
      </c>
      <c r="Q75" s="3755">
        <f t="shared" ref="Q75:R75" si="169">+Q58/Q$5*1000</f>
        <v>17.664079116447972</v>
      </c>
      <c r="R75" s="3755">
        <f t="shared" si="169"/>
        <v>15.363636363636363</v>
      </c>
      <c r="S75" s="3471">
        <v>18.350000000000001</v>
      </c>
      <c r="T75" s="3471">
        <f>+T58/T$49*1000</f>
        <v>17.052754475538176</v>
      </c>
      <c r="U75" s="3755">
        <f t="shared" ref="U75:V75" si="170">+U58/U$5*1000</f>
        <v>17.834224106163497</v>
      </c>
      <c r="V75" s="3755">
        <f t="shared" si="170"/>
        <v>15.734701487934554</v>
      </c>
      <c r="W75" s="3470">
        <v>18.350000000000001</v>
      </c>
      <c r="X75" s="3471">
        <f>+X58/X$49*1000</f>
        <v>15.88195208346305</v>
      </c>
      <c r="Y75" s="4044">
        <f t="shared" ref="Y75:Z75" si="171">+Y58/Y$5*1000</f>
        <v>18.350000000000001</v>
      </c>
      <c r="Z75" s="4026">
        <f t="shared" si="171"/>
        <v>16.155824115623286</v>
      </c>
      <c r="AA75" s="4045">
        <f>+AA58/AA$47*1000</f>
        <v>17.933975276742917</v>
      </c>
      <c r="AB75" s="4027">
        <f>+AB58/AB$49*1000</f>
        <v>15.761203079293237</v>
      </c>
      <c r="AC75" s="3470">
        <v>18.350000000000001</v>
      </c>
      <c r="AD75" s="3471">
        <f>+AD58/AD$49*1000</f>
        <v>14.747591991931502</v>
      </c>
      <c r="AE75" s="3755">
        <f t="shared" ref="AE75:AF75" si="172">+AE58/AE$5*1000</f>
        <v>18.005731034302954</v>
      </c>
      <c r="AF75" s="3755">
        <f t="shared" si="172"/>
        <v>15.611815689677593</v>
      </c>
      <c r="AG75" s="3470">
        <v>18.350000000000001</v>
      </c>
      <c r="AH75" s="3471">
        <f>+AH58/AH$49*1000</f>
        <v>13.862633900441084</v>
      </c>
      <c r="AI75" s="3755">
        <f t="shared" ref="AI75:AJ75" si="173">+AI58/AI$5*1000</f>
        <v>18.054984483407118</v>
      </c>
      <c r="AJ75" s="3755">
        <f t="shared" si="173"/>
        <v>15.602655457725914</v>
      </c>
      <c r="AK75" s="3470">
        <v>18.350000000000001</v>
      </c>
      <c r="AL75" s="3471">
        <f>+AL58/AL$49*1000</f>
        <v>16.719893220836717</v>
      </c>
      <c r="AM75" s="4026">
        <f t="shared" ref="AM75:AP75" si="174">+AM58/AM$5*1000</f>
        <v>18.349999999999998</v>
      </c>
      <c r="AN75" s="4026">
        <f t="shared" si="174"/>
        <v>15.728930781091735</v>
      </c>
      <c r="AO75" s="3755">
        <f t="shared" si="174"/>
        <v>18.092973890473917</v>
      </c>
      <c r="AP75" s="3755">
        <f t="shared" si="174"/>
        <v>15.752624490829069</v>
      </c>
      <c r="AQ75" s="3470">
        <v>18.350000000000001</v>
      </c>
      <c r="AR75" s="3470">
        <f>+AR58/AR$49*1000</f>
        <v>16.420086952489171</v>
      </c>
      <c r="AS75" s="3755">
        <f t="shared" ref="AS75:AT75" si="175">+AS58/AS$5*1000</f>
        <v>18.122295587565581</v>
      </c>
      <c r="AT75" s="3755">
        <f t="shared" si="175"/>
        <v>15.834893389353413</v>
      </c>
      <c r="AU75" s="3470">
        <v>18.350000000000001</v>
      </c>
      <c r="AV75" s="3470">
        <f>+AV58/AV$49*1000</f>
        <v>16.267690271970565</v>
      </c>
      <c r="AW75" s="3755">
        <f t="shared" ref="AW75:AX75" si="176">+AW58/AW$5*1000</f>
        <v>18.143494453363328</v>
      </c>
      <c r="AX75" s="3755">
        <f t="shared" si="176"/>
        <v>15.878371436142121</v>
      </c>
      <c r="AY75" s="3471">
        <v>18.350000000000001</v>
      </c>
      <c r="AZ75" s="3470">
        <f>+AZ58/AZ$49*1000</f>
        <v>16.669971919719714</v>
      </c>
      <c r="BA75" s="4026">
        <f t="shared" ref="BA75:BB75" si="177">+BA58/BA$5*1000</f>
        <v>18.349999999999998</v>
      </c>
      <c r="BB75" s="4026">
        <f t="shared" si="177"/>
        <v>16.457844143121207</v>
      </c>
      <c r="BC75" s="4027">
        <f>+BC58/BC$47*1000</f>
        <v>18.350000000000001</v>
      </c>
      <c r="BD75" s="4027">
        <f>+BD58/BD$49*1000</f>
        <v>16.169984447685177</v>
      </c>
      <c r="BE75" s="3755">
        <f t="shared" ref="BE75:BF75" si="178">+BE58/BE$5*1000</f>
        <v>18.162856323064084</v>
      </c>
      <c r="BF75" s="107">
        <f t="shared" si="178"/>
        <v>15.956657825192195</v>
      </c>
      <c r="BG75" s="3948"/>
      <c r="BH75" s="3948"/>
      <c r="BI75" s="4364"/>
      <c r="BJ75" s="4364"/>
      <c r="BK75" s="3948"/>
      <c r="BL75" s="3948"/>
      <c r="BM75" s="4364"/>
      <c r="BN75" s="4364"/>
    </row>
    <row r="76" spans="1:66" ht="15" x14ac:dyDescent="0.25">
      <c r="B76" s="742" t="s">
        <v>1587</v>
      </c>
      <c r="C76" s="3479" t="s">
        <v>271</v>
      </c>
      <c r="D76" s="3937">
        <v>0</v>
      </c>
      <c r="E76" s="3132">
        <f>+$D$76</f>
        <v>0</v>
      </c>
      <c r="F76" s="3132">
        <f>+F59/F$49*1000</f>
        <v>0</v>
      </c>
      <c r="G76" s="7199">
        <f>+$D$76</f>
        <v>0</v>
      </c>
      <c r="H76" s="7199">
        <f>+H59/H$49*1000</f>
        <v>0</v>
      </c>
      <c r="I76" s="3133">
        <f t="shared" ref="I76:J76" si="179">+I59/I$5*1000</f>
        <v>0</v>
      </c>
      <c r="J76" s="39">
        <f t="shared" si="179"/>
        <v>0</v>
      </c>
      <c r="K76" s="4603">
        <f>+$D$76</f>
        <v>0</v>
      </c>
      <c r="L76" s="4603">
        <f>+L59/L$49*1000</f>
        <v>0</v>
      </c>
      <c r="M76" s="4026">
        <f t="shared" si="136"/>
        <v>0</v>
      </c>
      <c r="N76" s="4026">
        <f t="shared" si="136"/>
        <v>0</v>
      </c>
      <c r="O76" s="4791">
        <f>+$D$76</f>
        <v>0</v>
      </c>
      <c r="P76" s="4791">
        <f>+P59/P$49*1000</f>
        <v>0</v>
      </c>
      <c r="Q76" s="3755">
        <f t="shared" ref="Q76:R76" si="180">+Q59/Q$5*1000</f>
        <v>0</v>
      </c>
      <c r="R76" s="3755">
        <f t="shared" si="180"/>
        <v>0</v>
      </c>
      <c r="S76" s="4932">
        <f>+$D$76</f>
        <v>0</v>
      </c>
      <c r="T76" s="4932">
        <f>+T59/T$49*1000</f>
        <v>0</v>
      </c>
      <c r="U76" s="3755">
        <f t="shared" ref="U76:V76" si="181">+U59/U$5*1000</f>
        <v>0</v>
      </c>
      <c r="V76" s="3755">
        <f t="shared" si="181"/>
        <v>0</v>
      </c>
      <c r="W76" s="5462">
        <f>+$D$76</f>
        <v>0</v>
      </c>
      <c r="X76" s="5053">
        <f>+X59/X$49*1000</f>
        <v>0</v>
      </c>
      <c r="Y76" s="4026">
        <f t="shared" ref="Y76:Z76" si="182">+Y59/Y$5*1000</f>
        <v>0</v>
      </c>
      <c r="Z76" s="4026">
        <f t="shared" si="182"/>
        <v>0</v>
      </c>
      <c r="AA76" s="4027">
        <f t="shared" ref="AA76" si="183">+AA59/AA$5*1000</f>
        <v>0</v>
      </c>
      <c r="AB76" s="4027">
        <f t="shared" ref="AB76" si="184">+AB59/AB$5*1000</f>
        <v>0</v>
      </c>
      <c r="AC76" s="5368">
        <f>+$D$76</f>
        <v>0</v>
      </c>
      <c r="AD76" s="5368">
        <f>+AD59/AD$49*1000</f>
        <v>0</v>
      </c>
      <c r="AE76" s="3755">
        <f t="shared" ref="AE76:AF76" si="185">+AE59/AE$5*1000</f>
        <v>0</v>
      </c>
      <c r="AF76" s="3755">
        <f t="shared" si="185"/>
        <v>0</v>
      </c>
      <c r="AG76" s="5555">
        <f>+$D$76</f>
        <v>0</v>
      </c>
      <c r="AH76" s="5555">
        <f>+AH59/AH$49*1000</f>
        <v>0</v>
      </c>
      <c r="AI76" s="3755">
        <f t="shared" ref="AI76:AJ76" si="186">+AI59/AI$5*1000</f>
        <v>0</v>
      </c>
      <c r="AJ76" s="3755">
        <f t="shared" si="186"/>
        <v>0</v>
      </c>
      <c r="AK76" s="5949">
        <f>+$D$76</f>
        <v>0</v>
      </c>
      <c r="AL76" s="5949">
        <f>+AL59/AL$49*1000</f>
        <v>0</v>
      </c>
      <c r="AM76" s="4026">
        <f t="shared" ref="AM76:AP76" si="187">+AM59/AM$5*1000</f>
        <v>0</v>
      </c>
      <c r="AN76" s="4026">
        <f t="shared" si="187"/>
        <v>0</v>
      </c>
      <c r="AO76" s="3755">
        <f t="shared" si="187"/>
        <v>0</v>
      </c>
      <c r="AP76" s="3755">
        <f t="shared" si="187"/>
        <v>0</v>
      </c>
      <c r="AQ76" s="3470">
        <f>+$D$76</f>
        <v>0</v>
      </c>
      <c r="AR76" s="3470">
        <f>+AR59/AR$49*1000</f>
        <v>0</v>
      </c>
      <c r="AS76" s="3755">
        <f t="shared" ref="AS76:AT76" si="188">+AS59/AS$5*1000</f>
        <v>0</v>
      </c>
      <c r="AT76" s="3755">
        <f t="shared" si="188"/>
        <v>0</v>
      </c>
      <c r="AU76" s="3470">
        <f>+$D$76</f>
        <v>0</v>
      </c>
      <c r="AV76" s="3470">
        <f>+AV59/AV$49*1000</f>
        <v>0</v>
      </c>
      <c r="AW76" s="3755">
        <f t="shared" ref="AW76:AX76" si="189">+AW59/AW$5*1000</f>
        <v>0</v>
      </c>
      <c r="AX76" s="3755">
        <f t="shared" si="189"/>
        <v>0</v>
      </c>
      <c r="AY76" s="3470">
        <f>+$D$76</f>
        <v>0</v>
      </c>
      <c r="AZ76" s="3470">
        <f>+AZ59/AZ$49*1000</f>
        <v>0</v>
      </c>
      <c r="BA76" s="4026">
        <f t="shared" ref="BA76:BD79" si="190">+BA59/BA$5*1000</f>
        <v>0</v>
      </c>
      <c r="BB76" s="4026">
        <f t="shared" si="190"/>
        <v>0</v>
      </c>
      <c r="BC76" s="4027">
        <f t="shared" si="190"/>
        <v>0</v>
      </c>
      <c r="BD76" s="4027">
        <f t="shared" si="190"/>
        <v>0</v>
      </c>
      <c r="BE76" s="3755">
        <f t="shared" ref="BE76:BF76" si="191">+BE59/BE$5*1000</f>
        <v>0</v>
      </c>
      <c r="BF76" s="107">
        <f t="shared" si="191"/>
        <v>0</v>
      </c>
      <c r="BG76" s="3948"/>
      <c r="BH76" s="3948"/>
      <c r="BI76" s="4364"/>
      <c r="BJ76" s="4364"/>
      <c r="BK76" s="3948"/>
      <c r="BL76" s="3948"/>
      <c r="BM76" s="4364"/>
      <c r="BN76" s="4364"/>
    </row>
    <row r="77" spans="1:66" ht="15" x14ac:dyDescent="0.25">
      <c r="B77" s="744" t="s">
        <v>1588</v>
      </c>
      <c r="C77" s="4033" t="s">
        <v>271</v>
      </c>
      <c r="D77" s="4035">
        <f>SUM(D75:D76)</f>
        <v>17.372968004908316</v>
      </c>
      <c r="E77" s="4036">
        <f>SUM(E75:E76)</f>
        <v>17.375800872109483</v>
      </c>
      <c r="F77" s="4036">
        <f>SUM(F75:F76)</f>
        <v>16.095096709939064</v>
      </c>
      <c r="G77" s="4036">
        <f>SUM(G75:G76)</f>
        <v>17.372968004908316</v>
      </c>
      <c r="H77" s="4036">
        <f>SUM(H75:H76)</f>
        <v>15.086328025791282</v>
      </c>
      <c r="I77" s="4037">
        <f t="shared" ref="I77:J77" si="192">+I60/I$5*1000</f>
        <v>17.374362228652362</v>
      </c>
      <c r="J77" s="4038">
        <f t="shared" si="192"/>
        <v>15.557028161331477</v>
      </c>
      <c r="K77" s="4036">
        <f t="shared" ref="K77:L77" si="193">SUM(K75:K76)</f>
        <v>18.350000000000001</v>
      </c>
      <c r="L77" s="4036">
        <f t="shared" si="193"/>
        <v>14.480997713001051</v>
      </c>
      <c r="M77" s="4040">
        <f t="shared" si="136"/>
        <v>17.593809059848649</v>
      </c>
      <c r="N77" s="4040">
        <f t="shared" si="136"/>
        <v>15.293094971991012</v>
      </c>
      <c r="O77" s="4036">
        <f t="shared" ref="O77:P77" si="194">SUM(O75:O76)</f>
        <v>18.350000000000001</v>
      </c>
      <c r="P77" s="4036">
        <f t="shared" si="194"/>
        <v>15.540442551502524</v>
      </c>
      <c r="Q77" s="4041">
        <f t="shared" ref="Q77:R77" si="195">+Q60/Q$5*1000</f>
        <v>17.664079116447972</v>
      </c>
      <c r="R77" s="4041">
        <f t="shared" si="195"/>
        <v>15.363636363636363</v>
      </c>
      <c r="S77" s="4036">
        <f t="shared" ref="S77:T77" si="196">SUM(S75:S76)</f>
        <v>18.350000000000001</v>
      </c>
      <c r="T77" s="4036">
        <f t="shared" si="196"/>
        <v>17.052754475538176</v>
      </c>
      <c r="U77" s="4931">
        <f t="shared" ref="U77:V77" si="197">+U60/U$5*1000</f>
        <v>17.834224106163497</v>
      </c>
      <c r="V77" s="4931">
        <f t="shared" si="197"/>
        <v>15.734701487934554</v>
      </c>
      <c r="W77" s="4036">
        <f t="shared" ref="W77:X77" si="198">SUM(W75:W76)</f>
        <v>18.350000000000001</v>
      </c>
      <c r="X77" s="4036">
        <f t="shared" si="198"/>
        <v>15.88195208346305</v>
      </c>
      <c r="Y77" s="4040">
        <f t="shared" ref="Y77:Z77" si="199">+Y60/Y$5*1000</f>
        <v>18.350000000000001</v>
      </c>
      <c r="Z77" s="4040">
        <f t="shared" si="199"/>
        <v>16.155824115623286</v>
      </c>
      <c r="AA77" s="4042">
        <f t="shared" ref="AA77" si="200">+AA60/AA$5*1000</f>
        <v>17.933975141923103</v>
      </c>
      <c r="AB77" s="4042">
        <f t="shared" ref="AB77" si="201">+AB60/AB$5*1000</f>
        <v>15.761197560432823</v>
      </c>
      <c r="AC77" s="4036">
        <f t="shared" ref="AC77:AD77" si="202">SUM(AC75:AC76)</f>
        <v>18.350000000000001</v>
      </c>
      <c r="AD77" s="4036">
        <f t="shared" si="202"/>
        <v>14.747591991931502</v>
      </c>
      <c r="AE77" s="4041">
        <f t="shared" ref="AE77:AF77" si="203">+AE60/AE$5*1000</f>
        <v>18.005731034302954</v>
      </c>
      <c r="AF77" s="4041">
        <f t="shared" si="203"/>
        <v>15.611815689677593</v>
      </c>
      <c r="AG77" s="4036">
        <f t="shared" ref="AG77:AH77" si="204">SUM(AG75:AG76)</f>
        <v>18.350000000000001</v>
      </c>
      <c r="AH77" s="4036">
        <f t="shared" si="204"/>
        <v>13.862633900441084</v>
      </c>
      <c r="AI77" s="5554">
        <f t="shared" ref="AI77:AJ77" si="205">+AI60/AI$5*1000</f>
        <v>18.054984483407118</v>
      </c>
      <c r="AJ77" s="5554">
        <f t="shared" si="205"/>
        <v>15.602655457725914</v>
      </c>
      <c r="AK77" s="4036">
        <f t="shared" ref="AK77:AL77" si="206">SUM(AK75:AK76)</f>
        <v>18.350000000000001</v>
      </c>
      <c r="AL77" s="4036">
        <f t="shared" si="206"/>
        <v>16.719893220836717</v>
      </c>
      <c r="AM77" s="4040">
        <f t="shared" ref="AM77:AP77" si="207">+AM60/AM$5*1000</f>
        <v>18.349999999999998</v>
      </c>
      <c r="AN77" s="4040">
        <f t="shared" si="207"/>
        <v>15.728930781091735</v>
      </c>
      <c r="AO77" s="4041">
        <f t="shared" si="207"/>
        <v>18.092973890473917</v>
      </c>
      <c r="AP77" s="4041">
        <f t="shared" si="207"/>
        <v>15.752624490829069</v>
      </c>
      <c r="AQ77" s="4039">
        <f t="shared" ref="AQ77:AR77" si="208">SUM(AQ75:AQ76)</f>
        <v>18.350000000000001</v>
      </c>
      <c r="AR77" s="4039">
        <f t="shared" si="208"/>
        <v>16.420086952489171</v>
      </c>
      <c r="AS77" s="4041">
        <f t="shared" ref="AS77:AT77" si="209">+AS60/AS$5*1000</f>
        <v>18.122295587565581</v>
      </c>
      <c r="AT77" s="4041">
        <f t="shared" si="209"/>
        <v>15.834893389353413</v>
      </c>
      <c r="AU77" s="4039">
        <f t="shared" ref="AU77:AV77" si="210">SUM(AU75:AU76)</f>
        <v>18.350000000000001</v>
      </c>
      <c r="AV77" s="4039">
        <f t="shared" si="210"/>
        <v>16.267690271970565</v>
      </c>
      <c r="AW77" s="6263">
        <f t="shared" ref="AW77:AX77" si="211">+AW60/AW$5*1000</f>
        <v>18.143494453363328</v>
      </c>
      <c r="AX77" s="6263">
        <f t="shared" si="211"/>
        <v>15.878371436142121</v>
      </c>
      <c r="AY77" s="4036">
        <f t="shared" ref="AY77:AZ77" si="212">SUM(AY75:AY76)</f>
        <v>18.350000000000001</v>
      </c>
      <c r="AZ77" s="4039">
        <f t="shared" si="212"/>
        <v>16.669971919719714</v>
      </c>
      <c r="BA77" s="4040">
        <f t="shared" ref="BA77:BB77" si="213">+BA60/BA$5*1000</f>
        <v>18.349999999999998</v>
      </c>
      <c r="BB77" s="4040">
        <f t="shared" si="213"/>
        <v>16.457844143121207</v>
      </c>
      <c r="BC77" s="4042">
        <f t="shared" si="190"/>
        <v>18.349999999999998</v>
      </c>
      <c r="BD77" s="4042">
        <f t="shared" si="190"/>
        <v>16.169988704787301</v>
      </c>
      <c r="BE77" s="4041">
        <f t="shared" ref="BE77:BF77" si="214">+BE60/BE$5*1000</f>
        <v>18.162856323064084</v>
      </c>
      <c r="BF77" s="4043">
        <f t="shared" si="214"/>
        <v>15.956657825192195</v>
      </c>
      <c r="BG77" s="3948"/>
      <c r="BH77" s="3948"/>
      <c r="BI77" s="4364"/>
      <c r="BJ77" s="4364"/>
      <c r="BK77" s="3948"/>
      <c r="BL77" s="3948"/>
      <c r="BM77" s="4364"/>
      <c r="BN77" s="4364"/>
    </row>
    <row r="78" spans="1:66" ht="15" x14ac:dyDescent="0.25">
      <c r="A78" s="3950"/>
      <c r="B78" s="744" t="s">
        <v>85</v>
      </c>
      <c r="C78" s="4033" t="s">
        <v>271</v>
      </c>
      <c r="D78" s="4035">
        <f>'Maj Techno Summ'!D54</f>
        <v>2.1669656814109719</v>
      </c>
      <c r="E78" s="4036">
        <v>2.1749838575152265</v>
      </c>
      <c r="F78" s="3471">
        <f>+F61/F$49*1000</f>
        <v>2.2558253792141483</v>
      </c>
      <c r="G78" s="4036">
        <v>2.1669656814109719</v>
      </c>
      <c r="H78" s="3471">
        <f>+H61/H$49*1000</f>
        <v>2.3284500678462177</v>
      </c>
      <c r="I78" s="3755">
        <f t="shared" ref="I78:J78" si="215">+I61/I$5*1000</f>
        <v>2.1709119064595379</v>
      </c>
      <c r="J78" s="107">
        <f t="shared" si="215"/>
        <v>2.2945602243169287</v>
      </c>
      <c r="K78" s="4036">
        <v>2.15</v>
      </c>
      <c r="L78" s="3471">
        <f>+L61/L$49*1000</f>
        <v>2.0320557135580977</v>
      </c>
      <c r="M78" s="4026">
        <f t="shared" si="136"/>
        <v>2.1662082636306219</v>
      </c>
      <c r="N78" s="4026">
        <f t="shared" si="136"/>
        <v>2.2301721366273877</v>
      </c>
      <c r="O78" s="4036">
        <v>2.15</v>
      </c>
      <c r="P78" s="3471">
        <f>+P61/P$49*1000</f>
        <v>2.1875094744105525</v>
      </c>
      <c r="Q78" s="3755">
        <f t="shared" ref="Q78:R78" si="216">+Q61/Q$5*1000</f>
        <v>2.1647020890096029</v>
      </c>
      <c r="R78" s="3755">
        <f t="shared" si="216"/>
        <v>2.218006712388735</v>
      </c>
      <c r="S78" s="4036">
        <v>2.15</v>
      </c>
      <c r="T78" s="3471">
        <f>+T61/T$49*1000</f>
        <v>2.4274691021409462</v>
      </c>
      <c r="U78" s="3755">
        <f t="shared" ref="U78:V78" si="217">+U61/U$5*1000</f>
        <v>2.1610551862204916</v>
      </c>
      <c r="V78" s="3755">
        <f t="shared" si="217"/>
        <v>2.2640213231714896</v>
      </c>
      <c r="W78" s="4036">
        <v>2.15</v>
      </c>
      <c r="X78" s="3471">
        <f>+X61/X$49*1000</f>
        <v>2.5139880519983673</v>
      </c>
      <c r="Y78" s="4040">
        <f t="shared" ref="Y78:Z78" si="218">+Y61/Y$5*1000</f>
        <v>2.15</v>
      </c>
      <c r="Z78" s="4040">
        <f t="shared" si="218"/>
        <v>2.3754616025550015</v>
      </c>
      <c r="AA78" s="4042">
        <f t="shared" ref="AA78" si="219">+AA61/AA$5*1000</f>
        <v>2.1589171136793208</v>
      </c>
      <c r="AB78" s="4042">
        <f t="shared" ref="AB78" si="220">+AB61/AB$5*1000</f>
        <v>2.3090038019026631</v>
      </c>
      <c r="AC78" s="4036">
        <v>2.15</v>
      </c>
      <c r="AD78" s="3471">
        <f>+AD61/AD$49*1000</f>
        <v>2.7640480717478453</v>
      </c>
      <c r="AE78" s="3755">
        <f t="shared" ref="AE78:AF78" si="221">+AE61/AE$5*1000</f>
        <v>2.1573790915224964</v>
      </c>
      <c r="AF78" s="3755">
        <f t="shared" si="221"/>
        <v>2.3760664878019009</v>
      </c>
      <c r="AG78" s="4036">
        <v>2.15</v>
      </c>
      <c r="AH78" s="3471">
        <f>+AH61/AH$49*1000</f>
        <v>2.3944549464398235</v>
      </c>
      <c r="AI78" s="3755">
        <f t="shared" ref="AI78:AJ78" si="222">+AI61/AI$5*1000</f>
        <v>2.1563233887291808</v>
      </c>
      <c r="AJ78" s="3755">
        <f t="shared" si="222"/>
        <v>2.3761627857095244</v>
      </c>
      <c r="AK78" s="4036">
        <v>2.15</v>
      </c>
      <c r="AL78" s="3471">
        <f>+AL61/AL$49*1000</f>
        <v>2.290046474748002</v>
      </c>
      <c r="AM78" s="4040">
        <f t="shared" ref="AM78:AP78" si="223">+AM61/AM$5*1000</f>
        <v>2.15</v>
      </c>
      <c r="AN78" s="4040">
        <f t="shared" si="223"/>
        <v>2.5182633230323246</v>
      </c>
      <c r="AO78" s="3755">
        <f t="shared" si="223"/>
        <v>2.1555091204111996</v>
      </c>
      <c r="AP78" s="3755">
        <f t="shared" si="223"/>
        <v>2.364602670972586</v>
      </c>
      <c r="AQ78" s="4039">
        <v>2.15</v>
      </c>
      <c r="AR78" s="3470">
        <f>+AR61/AR$49*1000</f>
        <v>2.1947640976099385</v>
      </c>
      <c r="AS78" s="3755">
        <f t="shared" ref="AS78:AT78" si="224">+AS61/AS$5*1000</f>
        <v>2.1548806365570243</v>
      </c>
      <c r="AT78" s="3755">
        <f t="shared" si="224"/>
        <v>2.3436693619692326</v>
      </c>
      <c r="AU78" s="4039">
        <v>2.15</v>
      </c>
      <c r="AV78" s="3470">
        <f>+AV61/AV$49*1000</f>
        <v>2.220768528578442</v>
      </c>
      <c r="AW78" s="3755">
        <f t="shared" ref="AW78:AX78" si="225">+AW61/AW$5*1000</f>
        <v>2.1544262581887099</v>
      </c>
      <c r="AX78" s="3755">
        <f t="shared" si="225"/>
        <v>2.3313254477973793</v>
      </c>
      <c r="AY78" s="4039">
        <v>2.15</v>
      </c>
      <c r="AZ78" s="3470">
        <f>+AZ61/AZ$49*1000</f>
        <v>2.0940112509992743</v>
      </c>
      <c r="BA78" s="4040">
        <f t="shared" ref="BA78:BB78" si="226">+BA61/BA$5*1000</f>
        <v>2.15</v>
      </c>
      <c r="BB78" s="4040">
        <f t="shared" si="226"/>
        <v>2.1684606175270567</v>
      </c>
      <c r="BC78" s="4042">
        <f t="shared" si="190"/>
        <v>2.1499999999999995</v>
      </c>
      <c r="BD78" s="4042">
        <f t="shared" si="190"/>
        <v>2.3066013299476</v>
      </c>
      <c r="BE78" s="3755">
        <f t="shared" ref="BE78:BF78" si="227">+BE61/BE$5*1000</f>
        <v>2.154011254157548</v>
      </c>
      <c r="BF78" s="107">
        <f t="shared" si="227"/>
        <v>2.30785507886671</v>
      </c>
      <c r="BG78" s="3948"/>
      <c r="BH78" s="3948"/>
      <c r="BI78" s="4364"/>
      <c r="BJ78" s="4364"/>
      <c r="BK78" s="3948"/>
      <c r="BL78" s="3948"/>
      <c r="BM78" s="4364"/>
      <c r="BN78" s="4364"/>
    </row>
    <row r="79" spans="1:66" ht="15" x14ac:dyDescent="0.25">
      <c r="A79" s="3950"/>
      <c r="B79" s="4034" t="str">
        <f>+'Maj Techno Summ'!B19</f>
        <v>Ferro Alloys (FeMn+LCFeMn+SiMn+FeSi)</v>
      </c>
      <c r="C79" s="4033" t="s">
        <v>271</v>
      </c>
      <c r="D79" s="4035">
        <f>+D74+D77+D78</f>
        <v>22.017291674197072</v>
      </c>
      <c r="E79" s="4036">
        <f>+$D$79</f>
        <v>22.017291674197072</v>
      </c>
      <c r="F79" s="4036">
        <f>+F74+F77+F78</f>
        <v>20.621238851959742</v>
      </c>
      <c r="G79" s="4036">
        <f>+$D$79</f>
        <v>22.017291674197072</v>
      </c>
      <c r="H79" s="4036">
        <f>+H74+H77+H78</f>
        <v>19.422062634884242</v>
      </c>
      <c r="I79" s="4037">
        <f t="shared" ref="I79:J79" si="228">+I62/I$5*1000</f>
        <v>22.019642499003908</v>
      </c>
      <c r="J79" s="4038">
        <f t="shared" si="228"/>
        <v>19.981607454390545</v>
      </c>
      <c r="K79" s="4036">
        <f>+$D$79</f>
        <v>22.017291674197072</v>
      </c>
      <c r="L79" s="4036">
        <f>+L74+L77+L78</f>
        <v>17.594967048794857</v>
      </c>
      <c r="M79" s="4040">
        <f t="shared" si="136"/>
        <v>22.240150922674239</v>
      </c>
      <c r="N79" s="4040">
        <f t="shared" si="136"/>
        <v>19.396203433886708</v>
      </c>
      <c r="O79" s="4036">
        <f>+$D$79</f>
        <v>22.017291674197072</v>
      </c>
      <c r="P79" s="4036">
        <f>+P74+P77+P78</f>
        <v>19.659612438989065</v>
      </c>
      <c r="Q79" s="3755">
        <f t="shared" ref="Q79:R79" si="229">+Q62/Q$5*1000</f>
        <v>22.310760916573319</v>
      </c>
      <c r="R79" s="3755">
        <f t="shared" si="229"/>
        <v>19.471326426382607</v>
      </c>
      <c r="S79" s="4036">
        <f>+$D$79</f>
        <v>22.017291674197072</v>
      </c>
      <c r="T79" s="4036">
        <f>+T74+T77+T78</f>
        <v>21.190682233280217</v>
      </c>
      <c r="U79" s="3755">
        <f t="shared" ref="U79:V79" si="230">+U62/U$5*1000</f>
        <v>22.481728996964584</v>
      </c>
      <c r="V79" s="3755">
        <f t="shared" si="230"/>
        <v>19.849033615877374</v>
      </c>
      <c r="W79" s="4036">
        <f>+$D$79</f>
        <v>22.017291674197072</v>
      </c>
      <c r="X79" s="4036">
        <f>+X74+X77+X78</f>
        <v>20.579546397957699</v>
      </c>
      <c r="Y79" s="4040">
        <f t="shared" ref="Y79:Z79" si="231">+Y62/Y$5*1000</f>
        <v>23.000000000000004</v>
      </c>
      <c r="Z79" s="4040">
        <f t="shared" si="231"/>
        <v>20.473063922363291</v>
      </c>
      <c r="AA79" s="4042">
        <f t="shared" ref="AA79" si="232">+AA62/AA$5*1000</f>
        <v>22.58196258673631</v>
      </c>
      <c r="AB79" s="4042">
        <f t="shared" ref="AB79" si="233">+AB62/AB$5*1000</f>
        <v>19.980490154426036</v>
      </c>
      <c r="AC79" s="4036">
        <f>+$D$79</f>
        <v>22.017291674197072</v>
      </c>
      <c r="AD79" s="4036">
        <f>+AD74+AD77+AD78</f>
        <v>19.51940136661019</v>
      </c>
      <c r="AE79" s="3755">
        <f t="shared" ref="AE79:AF79" si="234">+AE62/AE$5*1000</f>
        <v>22.654065604271278</v>
      </c>
      <c r="AF79" s="3755">
        <f t="shared" si="234"/>
        <v>19.912536058234547</v>
      </c>
      <c r="AG79" s="4036">
        <f>+$D$79</f>
        <v>22.017291674197072</v>
      </c>
      <c r="AH79" s="4036">
        <f>+AH74+AH77+AH78</f>
        <v>17.643352236925015</v>
      </c>
      <c r="AI79" s="3755">
        <f t="shared" ref="AI79:AJ79" si="235">+AI62/AI$5*1000</f>
        <v>22.70355732107156</v>
      </c>
      <c r="AJ79" s="3755">
        <f t="shared" si="235"/>
        <v>19.900652644931196</v>
      </c>
      <c r="AK79" s="4036">
        <f>+$D$79</f>
        <v>22.017291674197072</v>
      </c>
      <c r="AL79" s="4036">
        <f>+AL74+AL77+AL78</f>
        <v>21.325525722095712</v>
      </c>
      <c r="AM79" s="4040">
        <f t="shared" ref="AM79:AP79" si="236">+AM62/AM$5*1000</f>
        <v>23.000000000000004</v>
      </c>
      <c r="AN79" s="4040">
        <f t="shared" si="236"/>
        <v>20.399868387945887</v>
      </c>
      <c r="AO79" s="3755">
        <f t="shared" si="236"/>
        <v>22.741730505085222</v>
      </c>
      <c r="AP79" s="3755">
        <f t="shared" si="236"/>
        <v>20.091916173994331</v>
      </c>
      <c r="AQ79" s="4039">
        <f>+$D$79</f>
        <v>22.017291674197072</v>
      </c>
      <c r="AR79" s="4039">
        <f>+AR74+AR77+AR78</f>
        <v>20.88683832892125</v>
      </c>
      <c r="AS79" s="3755">
        <f t="shared" ref="AS79:AT79" si="237">+AS62/AS$5*1000</f>
        <v>22.771194048348871</v>
      </c>
      <c r="AT79" s="3755">
        <f t="shared" si="237"/>
        <v>20.189895345581004</v>
      </c>
      <c r="AU79" s="4039">
        <f>+$D$79</f>
        <v>22.017291674197072</v>
      </c>
      <c r="AV79" s="4039">
        <f>+AV74+AV77+AV78</f>
        <v>20.637444912042085</v>
      </c>
      <c r="AW79" s="3755">
        <f t="shared" ref="AW79:AX79" si="238">+AW62/AW$5*1000</f>
        <v>22.792495465440091</v>
      </c>
      <c r="AX79" s="3755">
        <f t="shared" si="238"/>
        <v>20.234856814793854</v>
      </c>
      <c r="AY79" s="4039">
        <f>+$D$79</f>
        <v>22.017291674197072</v>
      </c>
      <c r="AZ79" s="4039">
        <f>+AZ74+AZ77+AZ78</f>
        <v>20.43098036269096</v>
      </c>
      <c r="BA79" s="4040">
        <f t="shared" ref="BA79:BB79" si="239">+BA62/BA$5*1000</f>
        <v>23</v>
      </c>
      <c r="BB79" s="4040">
        <f t="shared" si="239"/>
        <v>20.653008405767402</v>
      </c>
      <c r="BC79" s="4042">
        <f t="shared" si="190"/>
        <v>23</v>
      </c>
      <c r="BD79" s="4042">
        <f t="shared" si="190"/>
        <v>20.553040790155332</v>
      </c>
      <c r="BE79" s="3755">
        <f t="shared" ref="BE79:BF79" si="240">+BE62/BE$5*1000</f>
        <v>22.811950999811444</v>
      </c>
      <c r="BF79" s="107">
        <f t="shared" si="240"/>
        <v>20.254250729705895</v>
      </c>
      <c r="BG79" s="3948"/>
      <c r="BH79" s="3948"/>
      <c r="BI79" s="4364"/>
      <c r="BJ79" s="4364"/>
      <c r="BK79" s="3948"/>
      <c r="BL79" s="3948"/>
      <c r="BM79" s="4364"/>
      <c r="BN79" s="4364"/>
    </row>
    <row r="80" spans="1:66" ht="15" x14ac:dyDescent="0.25">
      <c r="B80" s="8" t="s">
        <v>86</v>
      </c>
      <c r="C80" s="3479" t="s">
        <v>271</v>
      </c>
      <c r="D80" s="1356">
        <v>1.9952000000000001</v>
      </c>
      <c r="E80" s="3471">
        <v>1.9952000000000001</v>
      </c>
      <c r="F80" s="3471">
        <f t="shared" ref="F80:H87" si="241">+F63/F$49*1000</f>
        <v>1.024057773861669</v>
      </c>
      <c r="G80" s="3471">
        <v>1.9952000000000001</v>
      </c>
      <c r="H80" s="3471">
        <f t="shared" si="241"/>
        <v>1.1832414137875515</v>
      </c>
      <c r="I80" s="3755">
        <f t="shared" ref="I80:I87" si="242">+I63/I$47*1000</f>
        <v>1.9951999999999952</v>
      </c>
      <c r="J80" s="3482">
        <f t="shared" ref="J80:J87" si="243">+J63/J$49*1000</f>
        <v>1.108963133670156</v>
      </c>
      <c r="K80" s="3471">
        <v>2.1370778824327754</v>
      </c>
      <c r="L80" s="3471">
        <f t="shared" ref="L80:L87" si="244">+L63/L$49*1000</f>
        <v>1.723432917471629</v>
      </c>
      <c r="M80" s="4026">
        <f t="shared" ref="M80:M87" si="245">+M63/M$47*1000</f>
        <v>2.0271121040947562</v>
      </c>
      <c r="N80" s="4026">
        <f t="shared" ref="N80:N87" si="246">+N63/N$49*1000</f>
        <v>1.2596823086321001</v>
      </c>
      <c r="O80" s="3471">
        <v>2.1370778824327754</v>
      </c>
      <c r="P80" s="3471">
        <f t="shared" ref="P80:P87" si="247">+P63/P$49*1000</f>
        <v>1.5692075761853477</v>
      </c>
      <c r="Q80" s="3755">
        <f t="shared" ref="Q80:Q87" si="248">+Q63/Q$47*1000</f>
        <v>2.0373308214488048</v>
      </c>
      <c r="R80" s="3755">
        <f t="shared" ref="R80:R87" si="249">+R63/R$49*1000</f>
        <v>1.3479499669183772</v>
      </c>
      <c r="S80" s="3471">
        <v>2.1370778824327754</v>
      </c>
      <c r="T80" s="3471">
        <f t="shared" ref="T80:T87" si="250">+T63/T$49*1000</f>
        <v>1.9523416978073089</v>
      </c>
      <c r="U80" s="3755">
        <f t="shared" ref="U80:U87" si="251">+U63/U$47*1000</f>
        <v>2.0620734250684731</v>
      </c>
      <c r="V80" s="3755">
        <f t="shared" ref="V80:V87" si="252">+V63/V$49*1000</f>
        <v>1.4807234337411848</v>
      </c>
      <c r="W80" s="3471">
        <v>2.1370778824327754</v>
      </c>
      <c r="X80" s="3471">
        <f t="shared" ref="X80:X87" si="253">+X63/X$49*1000</f>
        <v>1.7447230235985138</v>
      </c>
      <c r="Y80" s="4026">
        <f t="shared" ref="Y80:Y87" si="254">+Y63/Y$47*1000</f>
        <v>2.137077914973291</v>
      </c>
      <c r="Z80" s="4026">
        <f t="shared" ref="Z80:Z87" si="255">+Z63/Z$49*1000</f>
        <v>1.7546276996958492</v>
      </c>
      <c r="AA80" s="4027">
        <f t="shared" ref="AA80:AA87" si="256">+AA63/AA$47*1000</f>
        <v>2.0765792912483532</v>
      </c>
      <c r="AB80" s="4027">
        <f t="shared" ref="AB80:AB87" si="257">+AB63/AB$49*1000</f>
        <v>1.5282315687900099</v>
      </c>
      <c r="AC80" s="3471">
        <v>2.1370778824327754</v>
      </c>
      <c r="AD80" s="3471">
        <f t="shared" ref="AD80:AD87" si="258">+AD63/AD$49*1000</f>
        <v>2.0554793966776326</v>
      </c>
      <c r="AE80" s="3755">
        <f t="shared" ref="AE80:AE87" si="259">+AE63/AE$47*1000</f>
        <v>2.0870140773936692</v>
      </c>
      <c r="AF80" s="3755">
        <f t="shared" ref="AF80:AF87" si="260">+AF63/AF$49*1000</f>
        <v>1.6059354354642941</v>
      </c>
      <c r="AG80" s="3471">
        <v>2.1370778824327754</v>
      </c>
      <c r="AH80" s="3471">
        <f t="shared" ref="AH80:AH87" si="261">+AH63/AH$49*1000</f>
        <v>1.0081915563957151</v>
      </c>
      <c r="AI80" s="3755">
        <f t="shared" ref="AI80:AI87" si="262">+AI63/AI$47*1000</f>
        <v>2.0941765443375213</v>
      </c>
      <c r="AJ80" s="3755">
        <f t="shared" ref="AJ80:AJ87" si="263">+AJ63/AJ$49*1000</f>
        <v>1.6028051294067152</v>
      </c>
      <c r="AK80" s="3471">
        <v>2.1370778824327754</v>
      </c>
      <c r="AL80" s="3471">
        <f t="shared" ref="AL80:AL87" si="264">+AL63/AL$49*1000</f>
        <v>1.5791956173448121</v>
      </c>
      <c r="AM80" s="4026">
        <f t="shared" ref="AM80:AM87" si="265">+AM63/AM$47*1000</f>
        <v>2.1370778824327763</v>
      </c>
      <c r="AN80" s="4026">
        <f t="shared" ref="AN80:AN87" si="266">+AN63/AN$49*1000</f>
        <v>1.7969788518857817</v>
      </c>
      <c r="AO80" s="3755">
        <f t="shared" ref="AO80:AO87" si="267">+AO63/AO$47*1000</f>
        <v>2.0997009873329375</v>
      </c>
      <c r="AP80" s="3755">
        <f t="shared" ref="AP80:AP87" si="268">+AP63/AP$49*1000</f>
        <v>1.5996359256973569</v>
      </c>
      <c r="AQ80" s="3470">
        <v>2.1370778824327754</v>
      </c>
      <c r="AR80" s="3470">
        <f t="shared" ref="AR80:AR87" si="269">+AR63/AR$49*1000</f>
        <v>1.8249057033830784</v>
      </c>
      <c r="AS80" s="3755">
        <f t="shared" ref="AS80:AS87" si="270">+AS63/AS$47*1000</f>
        <v>2.1039649665951017</v>
      </c>
      <c r="AT80" s="3755">
        <f t="shared" ref="AT80:AT87" si="271">+AT63/AT$49*1000</f>
        <v>1.6274015425448203</v>
      </c>
      <c r="AU80" s="3470">
        <v>2.1370778824327754</v>
      </c>
      <c r="AV80" s="3470">
        <f t="shared" ref="AV80:AV87" si="272">+AV63/AV$49*1000</f>
        <v>1.3190019139435596</v>
      </c>
      <c r="AW80" s="3755">
        <f t="shared" ref="AW80:AW87" si="273">+AW63/AW$47*1000</f>
        <v>2.1070477187215504</v>
      </c>
      <c r="AX80" s="3755">
        <f t="shared" ref="AX80:AX87" si="274">+AX63/AX$49*1000</f>
        <v>1.596424355532329</v>
      </c>
      <c r="AY80" s="3470">
        <v>2.1370778824327754</v>
      </c>
      <c r="AZ80" s="3470">
        <f t="shared" ref="AZ80:AZ87" si="275">+AZ63/AZ$49*1000</f>
        <v>0.98952296370750015</v>
      </c>
      <c r="BA80" s="4026">
        <f t="shared" ref="BA80:BA87" si="276">+BA63/BA$47*1000</f>
        <v>2.1370778824327745</v>
      </c>
      <c r="BB80" s="4026">
        <f t="shared" ref="BB80:BB87" si="277">+BB63/BB$49*1000</f>
        <v>1.3810766283911011</v>
      </c>
      <c r="BC80" s="4027">
        <f t="shared" ref="BC80:BC87" si="278">+BC63/BC$47*1000</f>
        <v>2.1370778824327754</v>
      </c>
      <c r="BD80" s="4027">
        <f t="shared" ref="BD80:BD87" si="279">+BD63/BD$49*1000</f>
        <v>1.5453205725319301</v>
      </c>
      <c r="BE80" s="3755">
        <f t="shared" ref="BE80:BE87" si="280">+BE63/BE$47*1000</f>
        <v>2.1098633337416075</v>
      </c>
      <c r="BF80" s="107">
        <f t="shared" ref="BF80:BF87" si="281">+BF63/BF$49*1000</f>
        <v>1.5364025438986337</v>
      </c>
      <c r="BG80" s="3948"/>
      <c r="BH80" s="3948"/>
      <c r="BI80" s="4364"/>
      <c r="BJ80" s="4364"/>
      <c r="BK80" s="3948"/>
      <c r="BL80" s="3948"/>
      <c r="BM80" s="4364"/>
      <c r="BN80" s="4364"/>
    </row>
    <row r="81" spans="1:66" ht="15" x14ac:dyDescent="0.25">
      <c r="B81" s="742" t="s">
        <v>848</v>
      </c>
      <c r="C81" s="3479" t="s">
        <v>271</v>
      </c>
      <c r="D81" s="1356">
        <v>0.67234373964268945</v>
      </c>
      <c r="E81" s="3471">
        <v>0.66167130934218188</v>
      </c>
      <c r="F81" s="3471">
        <f t="shared" si="241"/>
        <v>0.66683067692585773</v>
      </c>
      <c r="G81" s="3471">
        <v>0.67234373964268945</v>
      </c>
      <c r="H81" s="3471">
        <f t="shared" si="241"/>
        <v>0.67833117321344272</v>
      </c>
      <c r="I81" s="3549">
        <f t="shared" si="242"/>
        <v>0.66709119701537012</v>
      </c>
      <c r="J81" s="3482">
        <f t="shared" si="243"/>
        <v>0.67296481090927585</v>
      </c>
      <c r="K81" s="3471">
        <v>0.70738063101139637</v>
      </c>
      <c r="L81" s="3471">
        <f t="shared" si="244"/>
        <v>0.73063846219571882</v>
      </c>
      <c r="M81" s="4044">
        <f t="shared" si="245"/>
        <v>0.67615336094725387</v>
      </c>
      <c r="N81" s="4044">
        <f t="shared" si="246"/>
        <v>0.68711119429229339</v>
      </c>
      <c r="O81" s="3471">
        <v>0.70738063101139637</v>
      </c>
      <c r="P81" s="3471">
        <f t="shared" si="247"/>
        <v>0.601987256414104</v>
      </c>
      <c r="Q81" s="3549">
        <f t="shared" si="248"/>
        <v>0.6790551968765357</v>
      </c>
      <c r="R81" s="3549">
        <f t="shared" si="249"/>
        <v>0.66283630804468929</v>
      </c>
      <c r="S81" s="3471">
        <v>0.70738063101139637</v>
      </c>
      <c r="T81" s="3471">
        <f t="shared" si="250"/>
        <v>0.5359480314283821</v>
      </c>
      <c r="U81" s="3549">
        <f t="shared" si="251"/>
        <v>0.68608141924092003</v>
      </c>
      <c r="V81" s="3549">
        <f t="shared" si="252"/>
        <v>0.63496134628646084</v>
      </c>
      <c r="W81" s="3471">
        <v>0.70738063101139637</v>
      </c>
      <c r="X81" s="3471">
        <f t="shared" si="253"/>
        <v>0.63656230325923768</v>
      </c>
      <c r="Y81" s="4044">
        <f t="shared" si="254"/>
        <v>0.70738064178242666</v>
      </c>
      <c r="Z81" s="4044">
        <f t="shared" si="255"/>
        <v>0.59152823583894254</v>
      </c>
      <c r="AA81" s="4045">
        <f t="shared" si="256"/>
        <v>0.69020068832137449</v>
      </c>
      <c r="AB81" s="4045">
        <f t="shared" si="257"/>
        <v>0.63524944703734132</v>
      </c>
      <c r="AC81" s="3471">
        <v>0.70738063101139637</v>
      </c>
      <c r="AD81" s="3471">
        <f t="shared" si="258"/>
        <v>0.61389777775937082</v>
      </c>
      <c r="AE81" s="3549">
        <f t="shared" si="259"/>
        <v>0.69316388175198984</v>
      </c>
      <c r="AF81" s="3549">
        <f t="shared" si="260"/>
        <v>0.63210271569945053</v>
      </c>
      <c r="AG81" s="3471">
        <v>0.70738063101139637</v>
      </c>
      <c r="AH81" s="3471">
        <f t="shared" si="261"/>
        <v>0.68052930056710781</v>
      </c>
      <c r="AI81" s="3549">
        <f t="shared" si="262"/>
        <v>0.69519782616632264</v>
      </c>
      <c r="AJ81" s="3549">
        <f t="shared" si="263"/>
        <v>0.63235631935356962</v>
      </c>
      <c r="AK81" s="3471">
        <v>0.70738063101139637</v>
      </c>
      <c r="AL81" s="3471">
        <f t="shared" si="264"/>
        <v>0.56207871179181967</v>
      </c>
      <c r="AM81" s="4044">
        <f t="shared" si="265"/>
        <v>0.70738063101139659</v>
      </c>
      <c r="AN81" s="4044">
        <f t="shared" si="266"/>
        <v>0.58885465802359127</v>
      </c>
      <c r="AO81" s="3549">
        <f t="shared" si="267"/>
        <v>0.69676661664883532</v>
      </c>
      <c r="AP81" s="3549">
        <f t="shared" si="268"/>
        <v>0.62292266168264687</v>
      </c>
      <c r="AQ81" s="3470">
        <v>0.70738063101139637</v>
      </c>
      <c r="AR81" s="3470">
        <f t="shared" si="269"/>
        <v>0.5468132817856407</v>
      </c>
      <c r="AS81" s="3549">
        <f t="shared" si="270"/>
        <v>0.69797746995832999</v>
      </c>
      <c r="AT81" s="3755">
        <f t="shared" si="271"/>
        <v>0.61354180330728803</v>
      </c>
      <c r="AU81" s="3470">
        <v>0.70738063101139637</v>
      </c>
      <c r="AV81" s="3470">
        <f t="shared" si="272"/>
        <v>0.56143720243103712</v>
      </c>
      <c r="AW81" s="3549">
        <f t="shared" si="273"/>
        <v>0.69885288711802029</v>
      </c>
      <c r="AX81" s="3755">
        <f t="shared" si="274"/>
        <v>0.60830815898392954</v>
      </c>
      <c r="AY81" s="3470">
        <v>0.70738063101139637</v>
      </c>
      <c r="AZ81" s="3470">
        <f t="shared" si="275"/>
        <v>0.47147279201910719</v>
      </c>
      <c r="BA81" s="4044">
        <f t="shared" si="276"/>
        <v>0.70738063101139625</v>
      </c>
      <c r="BB81" s="4044">
        <f t="shared" si="277"/>
        <v>0.52563439628607167</v>
      </c>
      <c r="BC81" s="4045">
        <f t="shared" si="278"/>
        <v>0.70738063101139637</v>
      </c>
      <c r="BD81" s="4045">
        <f t="shared" si="279"/>
        <v>0.55060070940201622</v>
      </c>
      <c r="BE81" s="3549">
        <f t="shared" si="280"/>
        <v>0.69965244465704279</v>
      </c>
      <c r="BF81" s="107">
        <f t="shared" si="281"/>
        <v>0.59477530713777549</v>
      </c>
      <c r="BG81" s="3948"/>
      <c r="BH81" s="3948"/>
      <c r="BI81" s="4364"/>
      <c r="BJ81" s="4364"/>
      <c r="BK81" s="3948"/>
      <c r="BL81" s="3948"/>
      <c r="BM81" s="4364"/>
      <c r="BN81" s="4364"/>
    </row>
    <row r="82" spans="1:66" ht="15" x14ac:dyDescent="0.25">
      <c r="B82" s="8" t="s">
        <v>129</v>
      </c>
      <c r="C82" s="3479" t="s">
        <v>271</v>
      </c>
      <c r="D82" s="1356">
        <v>24</v>
      </c>
      <c r="E82" s="3471">
        <v>24</v>
      </c>
      <c r="F82" s="3471">
        <f t="shared" si="241"/>
        <v>24.433965349266252</v>
      </c>
      <c r="G82" s="3471">
        <v>24</v>
      </c>
      <c r="H82" s="3471">
        <f t="shared" si="241"/>
        <v>23.098254254069818</v>
      </c>
      <c r="I82" s="3755">
        <f t="shared" si="242"/>
        <v>23.99999999999994</v>
      </c>
      <c r="J82" s="107">
        <f t="shared" si="243"/>
        <v>23.721523849683475</v>
      </c>
      <c r="K82" s="3471">
        <v>20</v>
      </c>
      <c r="L82" s="3471">
        <f t="shared" si="244"/>
        <v>24.358120066890006</v>
      </c>
      <c r="M82" s="3134">
        <f t="shared" si="245"/>
        <v>23.100293855773806</v>
      </c>
      <c r="N82" s="4026">
        <f t="shared" si="246"/>
        <v>23.877670269199296</v>
      </c>
      <c r="O82" s="3471">
        <v>20</v>
      </c>
      <c r="P82" s="3471">
        <f t="shared" si="247"/>
        <v>26.616830680839509</v>
      </c>
      <c r="Q82" s="3755">
        <f t="shared" si="248"/>
        <v>22.812194893836889</v>
      </c>
      <c r="R82" s="3755">
        <f t="shared" si="249"/>
        <v>24.658799632618273</v>
      </c>
      <c r="S82" s="3471">
        <v>20</v>
      </c>
      <c r="T82" s="3471">
        <f t="shared" si="250"/>
        <v>24.824111074420721</v>
      </c>
      <c r="U82" s="3755">
        <f t="shared" si="251"/>
        <v>22.114620552027983</v>
      </c>
      <c r="V82" s="3755">
        <f t="shared" si="252"/>
        <v>24.695115439257961</v>
      </c>
      <c r="W82" s="3471">
        <v>20</v>
      </c>
      <c r="X82" s="3471">
        <f t="shared" si="253"/>
        <v>22.398611485855422</v>
      </c>
      <c r="Y82" s="4026">
        <f t="shared" si="254"/>
        <v>20.000000304532801</v>
      </c>
      <c r="Z82" s="4026">
        <f t="shared" si="255"/>
        <v>24.622582234890022</v>
      </c>
      <c r="AA82" s="4027">
        <f t="shared" si="256"/>
        <v>21.705653102387942</v>
      </c>
      <c r="AB82" s="4027">
        <f t="shared" si="257"/>
        <v>24.281847297374213</v>
      </c>
      <c r="AC82" s="3471">
        <v>20</v>
      </c>
      <c r="AD82" s="3471">
        <f t="shared" si="258"/>
        <v>22.757929351651558</v>
      </c>
      <c r="AE82" s="3755">
        <f t="shared" si="259"/>
        <v>21.411462361528255</v>
      </c>
      <c r="AF82" s="3755">
        <f t="shared" si="260"/>
        <v>24.057257814755765</v>
      </c>
      <c r="AG82" s="3471">
        <v>20</v>
      </c>
      <c r="AH82" s="3471">
        <f t="shared" si="261"/>
        <v>22.432262129804663</v>
      </c>
      <c r="AI82" s="3755">
        <f t="shared" si="262"/>
        <v>21.209528998711708</v>
      </c>
      <c r="AJ82" s="3755">
        <f t="shared" si="263"/>
        <v>24.048747926132449</v>
      </c>
      <c r="AK82" s="3471">
        <v>20</v>
      </c>
      <c r="AL82" s="3471">
        <f t="shared" si="264"/>
        <v>17.177476856590264</v>
      </c>
      <c r="AM82" s="4026">
        <f t="shared" si="265"/>
        <v>20.000000000000007</v>
      </c>
      <c r="AN82" s="4026">
        <f t="shared" si="266"/>
        <v>19.933002968219387</v>
      </c>
      <c r="AO82" s="3755">
        <f t="shared" si="267"/>
        <v>21.053776886974557</v>
      </c>
      <c r="AP82" s="3755">
        <f t="shared" si="268"/>
        <v>23.126388425245626</v>
      </c>
      <c r="AQ82" s="3470">
        <v>20</v>
      </c>
      <c r="AR82" s="3470">
        <f t="shared" si="269"/>
        <v>24.512629261952455</v>
      </c>
      <c r="AS82" s="3755">
        <f t="shared" si="270"/>
        <v>20.93356136931305</v>
      </c>
      <c r="AT82" s="3755">
        <f t="shared" si="271"/>
        <v>23.297249480491157</v>
      </c>
      <c r="AU82" s="3470">
        <v>20</v>
      </c>
      <c r="AV82" s="3470">
        <f t="shared" si="272"/>
        <v>25.294252951636906</v>
      </c>
      <c r="AW82" s="3755">
        <f t="shared" si="273"/>
        <v>20.84664850695658</v>
      </c>
      <c r="AX82" s="3755">
        <f t="shared" si="274"/>
        <v>23.497838405551956</v>
      </c>
      <c r="AY82" s="3470">
        <v>20</v>
      </c>
      <c r="AZ82" s="3470">
        <f t="shared" si="275"/>
        <v>26.637605075226325</v>
      </c>
      <c r="BA82" s="4026">
        <f t="shared" si="276"/>
        <v>19.999999999999996</v>
      </c>
      <c r="BB82" s="4026">
        <f t="shared" si="277"/>
        <v>25.483540331549904</v>
      </c>
      <c r="BC82" s="4027">
        <f t="shared" si="278"/>
        <v>20.000000000000004</v>
      </c>
      <c r="BD82" s="4027">
        <f t="shared" si="279"/>
        <v>23.291577660626356</v>
      </c>
      <c r="BE82" s="3755">
        <f t="shared" si="280"/>
        <v>20.767267113108083</v>
      </c>
      <c r="BF82" s="107">
        <f t="shared" si="281"/>
        <v>23.80835752144046</v>
      </c>
      <c r="BG82" s="3948"/>
      <c r="BH82" s="3948"/>
      <c r="BI82" s="4364"/>
      <c r="BJ82" s="4364"/>
      <c r="BK82" s="3948"/>
      <c r="BL82" s="3948"/>
      <c r="BM82" s="4364"/>
      <c r="BN82" s="4364"/>
    </row>
    <row r="83" spans="1:66" ht="15" x14ac:dyDescent="0.25">
      <c r="B83" s="8" t="s">
        <v>544</v>
      </c>
      <c r="C83" s="3479" t="s">
        <v>271</v>
      </c>
      <c r="D83" s="3937">
        <v>0</v>
      </c>
      <c r="E83" s="3132">
        <v>0</v>
      </c>
      <c r="F83" s="3132">
        <f t="shared" si="241"/>
        <v>0</v>
      </c>
      <c r="G83" s="7199">
        <v>0</v>
      </c>
      <c r="H83" s="7199">
        <f t="shared" si="241"/>
        <v>0</v>
      </c>
      <c r="I83" s="3133">
        <f t="shared" si="242"/>
        <v>0</v>
      </c>
      <c r="J83" s="39">
        <f t="shared" si="243"/>
        <v>0</v>
      </c>
      <c r="K83" s="4603">
        <v>0</v>
      </c>
      <c r="L83" s="4603">
        <f t="shared" si="244"/>
        <v>0</v>
      </c>
      <c r="M83" s="4026">
        <f t="shared" si="245"/>
        <v>0</v>
      </c>
      <c r="N83" s="4026">
        <f t="shared" si="246"/>
        <v>0</v>
      </c>
      <c r="O83" s="4791">
        <v>0</v>
      </c>
      <c r="P83" s="4791">
        <f t="shared" si="247"/>
        <v>0</v>
      </c>
      <c r="Q83" s="3755">
        <f t="shared" si="248"/>
        <v>0</v>
      </c>
      <c r="R83" s="3755">
        <f t="shared" si="249"/>
        <v>0</v>
      </c>
      <c r="S83" s="4932">
        <v>0</v>
      </c>
      <c r="T83" s="4932">
        <f t="shared" si="250"/>
        <v>0</v>
      </c>
      <c r="U83" s="3755">
        <f t="shared" si="251"/>
        <v>0</v>
      </c>
      <c r="V83" s="3755">
        <f t="shared" si="252"/>
        <v>0</v>
      </c>
      <c r="W83" s="5462">
        <v>0</v>
      </c>
      <c r="X83" s="5053">
        <f t="shared" si="253"/>
        <v>0</v>
      </c>
      <c r="Y83" s="4026">
        <f t="shared" si="254"/>
        <v>0</v>
      </c>
      <c r="Z83" s="4026">
        <f t="shared" si="255"/>
        <v>0</v>
      </c>
      <c r="AA83" s="4027">
        <f t="shared" si="256"/>
        <v>0</v>
      </c>
      <c r="AB83" s="4027">
        <f t="shared" si="257"/>
        <v>0</v>
      </c>
      <c r="AC83" s="5368">
        <v>0</v>
      </c>
      <c r="AD83" s="5368">
        <f t="shared" si="258"/>
        <v>0</v>
      </c>
      <c r="AE83" s="3755">
        <f t="shared" si="259"/>
        <v>0</v>
      </c>
      <c r="AF83" s="3755">
        <f t="shared" si="260"/>
        <v>0</v>
      </c>
      <c r="AG83" s="5555">
        <v>0</v>
      </c>
      <c r="AH83" s="5555">
        <f t="shared" si="261"/>
        <v>0</v>
      </c>
      <c r="AI83" s="3755">
        <f t="shared" si="262"/>
        <v>0</v>
      </c>
      <c r="AJ83" s="3755">
        <f t="shared" si="263"/>
        <v>0</v>
      </c>
      <c r="AK83" s="5949">
        <v>0</v>
      </c>
      <c r="AL83" s="5949">
        <f t="shared" si="264"/>
        <v>0</v>
      </c>
      <c r="AM83" s="4026">
        <f t="shared" si="265"/>
        <v>0</v>
      </c>
      <c r="AN83" s="4026">
        <f t="shared" si="266"/>
        <v>0</v>
      </c>
      <c r="AO83" s="3755">
        <f t="shared" si="267"/>
        <v>0</v>
      </c>
      <c r="AP83" s="3755">
        <f t="shared" si="268"/>
        <v>0</v>
      </c>
      <c r="AQ83" s="3470">
        <v>0</v>
      </c>
      <c r="AR83" s="3470">
        <f t="shared" si="269"/>
        <v>0</v>
      </c>
      <c r="AS83" s="3755">
        <f t="shared" si="270"/>
        <v>0</v>
      </c>
      <c r="AT83" s="3755">
        <f t="shared" si="271"/>
        <v>0</v>
      </c>
      <c r="AU83" s="3470">
        <v>0</v>
      </c>
      <c r="AV83" s="3470">
        <f t="shared" si="272"/>
        <v>0</v>
      </c>
      <c r="AW83" s="3755">
        <f t="shared" si="273"/>
        <v>0</v>
      </c>
      <c r="AX83" s="3755">
        <f t="shared" si="274"/>
        <v>0</v>
      </c>
      <c r="AY83" s="3470">
        <v>0</v>
      </c>
      <c r="AZ83" s="3470">
        <f t="shared" si="275"/>
        <v>0</v>
      </c>
      <c r="BA83" s="4026">
        <f t="shared" si="276"/>
        <v>0</v>
      </c>
      <c r="BB83" s="4026">
        <f t="shared" si="277"/>
        <v>0</v>
      </c>
      <c r="BC83" s="4027">
        <f t="shared" si="278"/>
        <v>0</v>
      </c>
      <c r="BD83" s="4027">
        <f t="shared" si="279"/>
        <v>0</v>
      </c>
      <c r="BE83" s="3755">
        <f t="shared" si="280"/>
        <v>0</v>
      </c>
      <c r="BF83" s="107">
        <f t="shared" si="281"/>
        <v>0</v>
      </c>
      <c r="BG83" s="3948"/>
      <c r="BH83" s="3948"/>
      <c r="BI83" s="4364"/>
      <c r="BJ83" s="4364"/>
      <c r="BK83" s="3948"/>
      <c r="BL83" s="3948"/>
      <c r="BM83" s="4364"/>
      <c r="BN83" s="4364"/>
    </row>
    <row r="84" spans="1:66" ht="15" x14ac:dyDescent="0.25">
      <c r="A84" s="4">
        <f>5021-2500</f>
        <v>2521</v>
      </c>
      <c r="B84" s="8" t="s">
        <v>130</v>
      </c>
      <c r="C84" s="3479" t="s">
        <v>271</v>
      </c>
      <c r="D84" s="1356">
        <v>6</v>
      </c>
      <c r="E84" s="3471">
        <v>6</v>
      </c>
      <c r="F84" s="3471">
        <f t="shared" si="241"/>
        <v>0</v>
      </c>
      <c r="G84" s="3471">
        <v>6</v>
      </c>
      <c r="H84" s="3471">
        <f t="shared" si="241"/>
        <v>0</v>
      </c>
      <c r="I84" s="3755">
        <f t="shared" si="242"/>
        <v>5.9999999999999849</v>
      </c>
      <c r="J84" s="107">
        <f t="shared" si="243"/>
        <v>0</v>
      </c>
      <c r="K84" s="3471">
        <v>10</v>
      </c>
      <c r="L84" s="3471">
        <f t="shared" si="244"/>
        <v>0</v>
      </c>
      <c r="M84" s="4026">
        <f t="shared" si="245"/>
        <v>6.8997061806514868</v>
      </c>
      <c r="N84" s="4026">
        <f t="shared" si="246"/>
        <v>0</v>
      </c>
      <c r="O84" s="3471">
        <v>10</v>
      </c>
      <c r="P84" s="3471">
        <f t="shared" si="247"/>
        <v>0</v>
      </c>
      <c r="Q84" s="3755">
        <f t="shared" si="248"/>
        <v>7.1878051393357012</v>
      </c>
      <c r="R84" s="3755">
        <f t="shared" si="249"/>
        <v>0</v>
      </c>
      <c r="S84" s="3471">
        <v>10</v>
      </c>
      <c r="T84" s="3471">
        <f t="shared" si="250"/>
        <v>0</v>
      </c>
      <c r="U84" s="3755">
        <f t="shared" si="251"/>
        <v>7.8853795971394085</v>
      </c>
      <c r="V84" s="3755">
        <f t="shared" si="252"/>
        <v>0</v>
      </c>
      <c r="W84" s="3471">
        <v>10</v>
      </c>
      <c r="X84" s="3471">
        <f t="shared" si="253"/>
        <v>0</v>
      </c>
      <c r="Y84" s="4026">
        <f t="shared" si="254"/>
        <v>10.0000001522664</v>
      </c>
      <c r="Z84" s="4026">
        <f t="shared" si="255"/>
        <v>0</v>
      </c>
      <c r="AA84" s="4027">
        <f t="shared" si="256"/>
        <v>8.2943471231389925</v>
      </c>
      <c r="AB84" s="4027">
        <f t="shared" si="257"/>
        <v>0</v>
      </c>
      <c r="AC84" s="3471">
        <v>10</v>
      </c>
      <c r="AD84" s="3471">
        <f t="shared" si="258"/>
        <v>0</v>
      </c>
      <c r="AE84" s="3755">
        <f t="shared" si="259"/>
        <v>8.5885378250998379</v>
      </c>
      <c r="AF84" s="3755">
        <f t="shared" si="260"/>
        <v>0</v>
      </c>
      <c r="AG84" s="3471">
        <v>10</v>
      </c>
      <c r="AH84" s="3471">
        <f t="shared" si="261"/>
        <v>0</v>
      </c>
      <c r="AI84" s="3755">
        <f t="shared" si="262"/>
        <v>8.7904711612161002</v>
      </c>
      <c r="AJ84" s="3755">
        <f t="shared" si="263"/>
        <v>0</v>
      </c>
      <c r="AK84" s="3471">
        <v>10</v>
      </c>
      <c r="AL84" s="3471">
        <f t="shared" si="264"/>
        <v>6.5210988834831589</v>
      </c>
      <c r="AM84" s="4026">
        <f t="shared" si="265"/>
        <v>10.000000000000004</v>
      </c>
      <c r="AN84" s="4026">
        <f t="shared" si="266"/>
        <v>3.2946045968035151</v>
      </c>
      <c r="AO84" s="3755">
        <f t="shared" si="267"/>
        <v>8.9462232523592125</v>
      </c>
      <c r="AP84" s="3755">
        <f t="shared" si="268"/>
        <v>0.87535442140604047</v>
      </c>
      <c r="AQ84" s="3470">
        <v>10</v>
      </c>
      <c r="AR84" s="3470">
        <f t="shared" si="269"/>
        <v>0</v>
      </c>
      <c r="AS84" s="3755">
        <f t="shared" si="270"/>
        <v>9.0664387541254428</v>
      </c>
      <c r="AT84" s="3755">
        <f t="shared" si="271"/>
        <v>0.76746264950399101</v>
      </c>
      <c r="AU84" s="3470">
        <v>10</v>
      </c>
      <c r="AV84" s="3470">
        <f t="shared" si="272"/>
        <v>0</v>
      </c>
      <c r="AW84" s="3755">
        <f t="shared" si="273"/>
        <v>9.1533516049900072</v>
      </c>
      <c r="AX84" s="3755">
        <f t="shared" si="274"/>
        <v>0.69037489772357252</v>
      </c>
      <c r="AY84" s="3470">
        <v>10</v>
      </c>
      <c r="AZ84" s="3470">
        <f t="shared" si="275"/>
        <v>0</v>
      </c>
      <c r="BA84" s="4026">
        <f t="shared" si="276"/>
        <v>9.9999999999999982</v>
      </c>
      <c r="BB84" s="4026">
        <f t="shared" si="277"/>
        <v>0</v>
      </c>
      <c r="BC84" s="4027">
        <f t="shared" si="278"/>
        <v>10.000000000000002</v>
      </c>
      <c r="BD84" s="4027">
        <f t="shared" si="279"/>
        <v>1.3010722780385344</v>
      </c>
      <c r="BE84" s="3755">
        <f t="shared" si="280"/>
        <v>9.2327329883424394</v>
      </c>
      <c r="BF84" s="107">
        <f t="shared" si="281"/>
        <v>0.62209765758872682</v>
      </c>
      <c r="BG84" s="3948"/>
      <c r="BH84" s="3948"/>
      <c r="BI84" s="4364"/>
      <c r="BJ84" s="4364"/>
      <c r="BK84" s="3948"/>
      <c r="BL84" s="3948"/>
      <c r="BM84" s="4364"/>
      <c r="BN84" s="4364"/>
    </row>
    <row r="85" spans="1:66" ht="15" x14ac:dyDescent="0.25">
      <c r="B85" s="8" t="s">
        <v>1203</v>
      </c>
      <c r="C85" s="3479" t="s">
        <v>271</v>
      </c>
      <c r="D85" s="3937">
        <v>0</v>
      </c>
      <c r="E85" s="3132">
        <v>0</v>
      </c>
      <c r="F85" s="3132">
        <f t="shared" si="241"/>
        <v>0</v>
      </c>
      <c r="G85" s="7199">
        <v>0</v>
      </c>
      <c r="H85" s="7199">
        <f t="shared" si="241"/>
        <v>0</v>
      </c>
      <c r="I85" s="3133">
        <f t="shared" si="242"/>
        <v>0</v>
      </c>
      <c r="J85" s="39">
        <f t="shared" si="243"/>
        <v>0</v>
      </c>
      <c r="K85" s="4603">
        <v>0</v>
      </c>
      <c r="L85" s="4603">
        <f t="shared" si="244"/>
        <v>0</v>
      </c>
      <c r="M85" s="4026">
        <f t="shared" si="245"/>
        <v>0</v>
      </c>
      <c r="N85" s="4026">
        <f t="shared" si="246"/>
        <v>0</v>
      </c>
      <c r="O85" s="4791">
        <v>0</v>
      </c>
      <c r="P85" s="4791">
        <f t="shared" si="247"/>
        <v>0</v>
      </c>
      <c r="Q85" s="3755">
        <f t="shared" si="248"/>
        <v>0</v>
      </c>
      <c r="R85" s="3755">
        <f t="shared" si="249"/>
        <v>0</v>
      </c>
      <c r="S85" s="4932">
        <v>0</v>
      </c>
      <c r="T85" s="3470">
        <f t="shared" si="250"/>
        <v>0</v>
      </c>
      <c r="U85" s="3755">
        <f t="shared" si="251"/>
        <v>0</v>
      </c>
      <c r="V85" s="3755">
        <f t="shared" si="252"/>
        <v>0</v>
      </c>
      <c r="W85" s="5462">
        <v>0</v>
      </c>
      <c r="X85" s="3470">
        <f t="shared" si="253"/>
        <v>2.5943836782134033</v>
      </c>
      <c r="Y85" s="4026">
        <f t="shared" si="254"/>
        <v>0</v>
      </c>
      <c r="Z85" s="4026">
        <f t="shared" si="255"/>
        <v>0.86046311386800944</v>
      </c>
      <c r="AA85" s="4027">
        <f t="shared" si="256"/>
        <v>0</v>
      </c>
      <c r="AB85" s="4027">
        <f t="shared" si="257"/>
        <v>0.46687318802138794</v>
      </c>
      <c r="AC85" s="5368">
        <v>0</v>
      </c>
      <c r="AD85" s="3470">
        <f t="shared" si="258"/>
        <v>1.8006827828976193</v>
      </c>
      <c r="AE85" s="3755">
        <f t="shared" si="259"/>
        <v>0</v>
      </c>
      <c r="AF85" s="3755">
        <f t="shared" si="260"/>
        <v>0.66344519353230369</v>
      </c>
      <c r="AG85" s="5555">
        <v>0</v>
      </c>
      <c r="AH85" s="3470">
        <f t="shared" si="261"/>
        <v>0</v>
      </c>
      <c r="AI85" s="3755">
        <f t="shared" si="262"/>
        <v>0</v>
      </c>
      <c r="AJ85" s="3755">
        <f t="shared" si="263"/>
        <v>0.65997081833431404</v>
      </c>
      <c r="AK85" s="5949">
        <v>0</v>
      </c>
      <c r="AL85" s="3470">
        <f t="shared" si="264"/>
        <v>0</v>
      </c>
      <c r="AM85" s="4026">
        <f t="shared" si="265"/>
        <v>0</v>
      </c>
      <c r="AN85" s="4026">
        <f t="shared" si="266"/>
        <v>0.86021007749439038</v>
      </c>
      <c r="AO85" s="3755">
        <f t="shared" si="267"/>
        <v>0</v>
      </c>
      <c r="AP85" s="3755">
        <f t="shared" si="268"/>
        <v>0.57138017063057467</v>
      </c>
      <c r="AQ85" s="3470">
        <v>0</v>
      </c>
      <c r="AR85" s="3470">
        <f t="shared" si="269"/>
        <v>0</v>
      </c>
      <c r="AS85" s="3755">
        <f t="shared" si="270"/>
        <v>0</v>
      </c>
      <c r="AT85" s="3755">
        <f t="shared" si="271"/>
        <v>0.50095473205221341</v>
      </c>
      <c r="AU85" s="3470">
        <v>0</v>
      </c>
      <c r="AV85" s="3470">
        <f t="shared" si="272"/>
        <v>0</v>
      </c>
      <c r="AW85" s="3755">
        <f t="shared" si="273"/>
        <v>0</v>
      </c>
      <c r="AX85" s="3755">
        <f t="shared" si="274"/>
        <v>0.45063635621643117</v>
      </c>
      <c r="AY85" s="3470">
        <v>0</v>
      </c>
      <c r="AZ85" s="3470">
        <f t="shared" si="275"/>
        <v>0</v>
      </c>
      <c r="BA85" s="4026">
        <f t="shared" si="276"/>
        <v>0</v>
      </c>
      <c r="BB85" s="4026">
        <f t="shared" si="277"/>
        <v>0</v>
      </c>
      <c r="BC85" s="4027">
        <f t="shared" si="278"/>
        <v>0</v>
      </c>
      <c r="BD85" s="4027">
        <f t="shared" si="279"/>
        <v>0.33970555562363819</v>
      </c>
      <c r="BE85" s="3755">
        <f t="shared" si="280"/>
        <v>0</v>
      </c>
      <c r="BF85" s="107">
        <f t="shared" si="281"/>
        <v>0.40606896709446921</v>
      </c>
      <c r="BG85" s="3948"/>
      <c r="BH85" s="3948"/>
      <c r="BI85" s="4364"/>
      <c r="BJ85" s="4364"/>
      <c r="BK85" s="3948"/>
      <c r="BL85" s="3948"/>
      <c r="BM85" s="4364"/>
      <c r="BN85" s="4364"/>
    </row>
    <row r="86" spans="1:66" ht="15" x14ac:dyDescent="0.25">
      <c r="B86" s="8" t="s">
        <v>131</v>
      </c>
      <c r="C86" s="3479" t="s">
        <v>271</v>
      </c>
      <c r="D86" s="1356">
        <v>14.999999999999995</v>
      </c>
      <c r="E86" s="3471">
        <v>14.999999999999995</v>
      </c>
      <c r="F86" s="3471">
        <f t="shared" si="241"/>
        <v>21.956668154609726</v>
      </c>
      <c r="G86" s="3471">
        <v>14.999999999999995</v>
      </c>
      <c r="H86" s="3471">
        <f t="shared" si="241"/>
        <v>18.056263974398039</v>
      </c>
      <c r="I86" s="3755">
        <f t="shared" si="242"/>
        <v>14.999999999999956</v>
      </c>
      <c r="J86" s="107">
        <f t="shared" si="243"/>
        <v>19.876270819345915</v>
      </c>
      <c r="K86" s="3471">
        <v>15</v>
      </c>
      <c r="L86" s="3471">
        <f t="shared" si="244"/>
        <v>17.368874843122526</v>
      </c>
      <c r="M86" s="4026">
        <f t="shared" si="245"/>
        <v>15.000000018212642</v>
      </c>
      <c r="N86" s="4026">
        <f t="shared" si="246"/>
        <v>19.261248465437319</v>
      </c>
      <c r="O86" s="3471">
        <v>15</v>
      </c>
      <c r="P86" s="3471">
        <f t="shared" si="247"/>
        <v>17.204570129442992</v>
      </c>
      <c r="Q86" s="3755">
        <f t="shared" si="248"/>
        <v>15.000000016586291</v>
      </c>
      <c r="R86" s="3755">
        <f t="shared" si="249"/>
        <v>18.674743260219767</v>
      </c>
      <c r="S86" s="3471">
        <v>15</v>
      </c>
      <c r="T86" s="3471">
        <f t="shared" si="250"/>
        <v>13.98386337754682</v>
      </c>
      <c r="U86" s="3755">
        <f t="shared" si="251"/>
        <v>15.000000074583694</v>
      </c>
      <c r="V86" s="3755">
        <f t="shared" si="252"/>
        <v>17.644245401561427</v>
      </c>
      <c r="W86" s="3471">
        <v>15</v>
      </c>
      <c r="X86" s="3471">
        <f t="shared" si="253"/>
        <v>11.569654012992672</v>
      </c>
      <c r="Y86" s="4026">
        <f t="shared" si="254"/>
        <v>15.000000228399601</v>
      </c>
      <c r="Z86" s="4026">
        <f t="shared" si="255"/>
        <v>14.266335017412617</v>
      </c>
      <c r="AA86" s="4027">
        <f t="shared" si="256"/>
        <v>15.000000112763463</v>
      </c>
      <c r="AB86" s="4027">
        <f t="shared" si="257"/>
        <v>16.551090263667021</v>
      </c>
      <c r="AC86" s="3471">
        <v>15</v>
      </c>
      <c r="AD86" s="3471">
        <f t="shared" si="258"/>
        <v>13.703195977850882</v>
      </c>
      <c r="AE86" s="3755">
        <f t="shared" si="259"/>
        <v>15.000000093314041</v>
      </c>
      <c r="AF86" s="3755">
        <f t="shared" si="260"/>
        <v>16.131377964852806</v>
      </c>
      <c r="AG86" s="3471">
        <v>15</v>
      </c>
      <c r="AH86" s="3471">
        <f t="shared" si="261"/>
        <v>12.463768115942031</v>
      </c>
      <c r="AI86" s="3755">
        <f t="shared" si="262"/>
        <v>15.0000000799639</v>
      </c>
      <c r="AJ86" s="3755">
        <f t="shared" si="263"/>
        <v>16.112171174572044</v>
      </c>
      <c r="AK86" s="3471">
        <v>15</v>
      </c>
      <c r="AL86" s="3471">
        <f t="shared" si="264"/>
        <v>17.675710945566575</v>
      </c>
      <c r="AM86" s="4026">
        <f t="shared" si="265"/>
        <v>15.000000000000007</v>
      </c>
      <c r="AN86" s="4026">
        <f t="shared" si="266"/>
        <v>15.689049024641125</v>
      </c>
      <c r="AO86" s="3755">
        <f t="shared" si="267"/>
        <v>15.000000069666878</v>
      </c>
      <c r="AP86" s="3755">
        <f t="shared" si="268"/>
        <v>16.3220516680347</v>
      </c>
      <c r="AQ86" s="3470">
        <v>15</v>
      </c>
      <c r="AR86" s="3470">
        <f t="shared" si="269"/>
        <v>17.536571577699259</v>
      </c>
      <c r="AS86" s="3755">
        <f t="shared" si="270"/>
        <v>15.000000061719239</v>
      </c>
      <c r="AT86" s="3755">
        <f t="shared" si="271"/>
        <v>16.471747267736532</v>
      </c>
      <c r="AU86" s="3470">
        <v>15</v>
      </c>
      <c r="AV86" s="3470">
        <f t="shared" si="272"/>
        <v>11.664194136264831</v>
      </c>
      <c r="AW86" s="3755">
        <f t="shared" si="273"/>
        <v>15.00000005597329</v>
      </c>
      <c r="AX86" s="3755">
        <f t="shared" si="274"/>
        <v>15.988852806736269</v>
      </c>
      <c r="AY86" s="3470">
        <v>15</v>
      </c>
      <c r="AZ86" s="3470">
        <f t="shared" si="275"/>
        <v>24.322967156460003</v>
      </c>
      <c r="BA86" s="4026">
        <f t="shared" si="276"/>
        <v>15</v>
      </c>
      <c r="BB86" s="4026">
        <f t="shared" si="277"/>
        <v>18.019260460974746</v>
      </c>
      <c r="BC86" s="4027">
        <f t="shared" si="278"/>
        <v>15.000000000000004</v>
      </c>
      <c r="BD86" s="4027">
        <f t="shared" si="279"/>
        <v>17.099036679121376</v>
      </c>
      <c r="BE86" s="3755">
        <f t="shared" si="280"/>
        <v>15.000000050725259</v>
      </c>
      <c r="BF86" s="107">
        <f t="shared" si="281"/>
        <v>16.813086608752624</v>
      </c>
      <c r="BG86" s="3948"/>
      <c r="BH86" s="3948"/>
      <c r="BI86" s="4364"/>
      <c r="BJ86" s="4364"/>
      <c r="BK86" s="3948"/>
      <c r="BL86" s="3948"/>
      <c r="BM86" s="4364"/>
      <c r="BN86" s="4364"/>
    </row>
    <row r="87" spans="1:66" ht="15" x14ac:dyDescent="0.25">
      <c r="B87" s="8" t="s">
        <v>118</v>
      </c>
      <c r="C87" s="3479" t="s">
        <v>271</v>
      </c>
      <c r="D87" s="1356">
        <v>67</v>
      </c>
      <c r="E87" s="3471">
        <v>67</v>
      </c>
      <c r="F87" s="3471">
        <f t="shared" si="241"/>
        <v>67.167229648868457</v>
      </c>
      <c r="G87" s="3471">
        <v>67</v>
      </c>
      <c r="H87" s="3471">
        <f t="shared" si="241"/>
        <v>66.359014038736788</v>
      </c>
      <c r="I87" s="3755">
        <f t="shared" si="242"/>
        <v>66.999999999999829</v>
      </c>
      <c r="J87" s="107">
        <f t="shared" si="243"/>
        <v>66.736143657789114</v>
      </c>
      <c r="K87" s="3471">
        <v>70</v>
      </c>
      <c r="L87" s="3471">
        <f t="shared" si="244"/>
        <v>69.817203758179559</v>
      </c>
      <c r="M87" s="4026">
        <f t="shared" si="245"/>
        <v>67.67477971137464</v>
      </c>
      <c r="N87" s="4026">
        <f t="shared" si="246"/>
        <v>67.491876239896115</v>
      </c>
      <c r="O87" s="3471">
        <v>70</v>
      </c>
      <c r="P87" s="3471">
        <f t="shared" si="247"/>
        <v>63.354837020523398</v>
      </c>
      <c r="Q87" s="3755">
        <f t="shared" si="248"/>
        <v>67.890853923611331</v>
      </c>
      <c r="R87" s="3755">
        <f t="shared" si="249"/>
        <v>66.31211225158232</v>
      </c>
      <c r="S87" s="3471">
        <v>70</v>
      </c>
      <c r="T87" s="3471">
        <f t="shared" si="250"/>
        <v>68.229547870921706</v>
      </c>
      <c r="U87" s="3755">
        <f t="shared" si="251"/>
        <v>68.414035008619962</v>
      </c>
      <c r="V87" s="3755">
        <f t="shared" si="252"/>
        <v>66.733336701848685</v>
      </c>
      <c r="W87" s="3471">
        <v>70</v>
      </c>
      <c r="X87" s="3471">
        <f t="shared" si="253"/>
        <v>65.924339988792255</v>
      </c>
      <c r="Y87" s="4026">
        <f t="shared" si="254"/>
        <v>70.000001065864808</v>
      </c>
      <c r="Z87" s="4026">
        <f t="shared" si="255"/>
        <v>65.825547241633458</v>
      </c>
      <c r="AA87" s="4027">
        <f t="shared" si="256"/>
        <v>68.720760812202016</v>
      </c>
      <c r="AB87" s="4027">
        <f t="shared" si="257"/>
        <v>66.587753426061354</v>
      </c>
      <c r="AC87" s="3471">
        <v>70</v>
      </c>
      <c r="AD87" s="3471">
        <f t="shared" si="258"/>
        <v>68.143405116352014</v>
      </c>
      <c r="AE87" s="3755">
        <f t="shared" si="259"/>
        <v>68.941403757633395</v>
      </c>
      <c r="AF87" s="3755">
        <f t="shared" si="260"/>
        <v>66.817019712502514</v>
      </c>
      <c r="AG87" s="3471">
        <v>70</v>
      </c>
      <c r="AH87" s="3471">
        <f t="shared" si="261"/>
        <v>79.727662255828619</v>
      </c>
      <c r="AI87" s="3755">
        <f t="shared" si="262"/>
        <v>69.09285370409502</v>
      </c>
      <c r="AJ87" s="3755">
        <f t="shared" si="263"/>
        <v>66.884631049022758</v>
      </c>
      <c r="AK87" s="3471">
        <v>70</v>
      </c>
      <c r="AL87" s="3471">
        <f t="shared" si="264"/>
        <v>66.182441021832346</v>
      </c>
      <c r="AM87" s="4026">
        <f t="shared" si="265"/>
        <v>70.000000000000014</v>
      </c>
      <c r="AN87" s="4026">
        <f t="shared" si="266"/>
        <v>67.350360919417469</v>
      </c>
      <c r="AO87" s="3755">
        <f t="shared" si="267"/>
        <v>69.209667729548087</v>
      </c>
      <c r="AP87" s="3755">
        <f t="shared" si="268"/>
        <v>66.79037314004897</v>
      </c>
      <c r="AQ87" s="3470">
        <v>70</v>
      </c>
      <c r="AR87" s="3470">
        <f t="shared" si="269"/>
        <v>66.009704677826718</v>
      </c>
      <c r="AS87" s="3755">
        <f t="shared" si="270"/>
        <v>69.299829322757589</v>
      </c>
      <c r="AT87" s="3755">
        <f t="shared" si="271"/>
        <v>66.694151882010516</v>
      </c>
      <c r="AU87" s="3470">
        <v>70</v>
      </c>
      <c r="AV87" s="3470">
        <f t="shared" si="272"/>
        <v>67.556904726024229</v>
      </c>
      <c r="AW87" s="3755">
        <f t="shared" si="273"/>
        <v>69.365013936964544</v>
      </c>
      <c r="AX87" s="3755">
        <f t="shared" si="274"/>
        <v>66.780811053150856</v>
      </c>
      <c r="AY87" s="3470">
        <v>70</v>
      </c>
      <c r="AZ87" s="3470">
        <f t="shared" si="275"/>
        <v>66.364784150552012</v>
      </c>
      <c r="BA87" s="4026">
        <f t="shared" si="276"/>
        <v>69.999999999999972</v>
      </c>
      <c r="BB87" s="4026">
        <f t="shared" si="277"/>
        <v>66.615111150983921</v>
      </c>
      <c r="BC87" s="4027">
        <f t="shared" si="278"/>
        <v>70</v>
      </c>
      <c r="BD87" s="4027">
        <f t="shared" si="279"/>
        <v>66.905468631839526</v>
      </c>
      <c r="BE87" s="3755">
        <f t="shared" si="280"/>
        <v>69.424549952612068</v>
      </c>
      <c r="BF87" s="107">
        <f t="shared" si="281"/>
        <v>66.739666497019158</v>
      </c>
      <c r="BG87" s="3948"/>
      <c r="BH87" s="3948"/>
      <c r="BI87" s="4364"/>
      <c r="BJ87" s="4364"/>
      <c r="BK87" s="3948"/>
      <c r="BL87" s="3948"/>
      <c r="BM87" s="4364"/>
      <c r="BN87" s="4364"/>
    </row>
    <row r="88" spans="1:66" ht="15" x14ac:dyDescent="0.25">
      <c r="B88" s="4046" t="s">
        <v>558</v>
      </c>
      <c r="C88" s="3479" t="s">
        <v>175</v>
      </c>
      <c r="D88" s="3937">
        <f>12*D7</f>
        <v>221601.51085930123</v>
      </c>
      <c r="E88" s="3132">
        <f>12*E25</f>
        <v>18968.838526912215</v>
      </c>
      <c r="F88" s="3142">
        <v>11328</v>
      </c>
      <c r="G88" s="7199">
        <f>12*G25</f>
        <v>19573.182247403238</v>
      </c>
      <c r="H88" s="7187">
        <v>11446</v>
      </c>
      <c r="I88" s="3133">
        <f>12*I25</f>
        <v>38542.020774315461</v>
      </c>
      <c r="J88" s="3769">
        <f>+F88+H88</f>
        <v>22774</v>
      </c>
      <c r="K88" s="4603">
        <f>12*K25</f>
        <v>11184.9056</v>
      </c>
      <c r="L88" s="4604">
        <v>8120</v>
      </c>
      <c r="M88" s="3134">
        <f>12*M25</f>
        <v>49726.926374315452</v>
      </c>
      <c r="N88" s="3134">
        <f>+L88+H88+F88</f>
        <v>30894</v>
      </c>
      <c r="O88" s="4791">
        <f>12*O25</f>
        <v>5094.3396223999998</v>
      </c>
      <c r="P88" s="4797">
        <v>12096</v>
      </c>
      <c r="Q88" s="3133">
        <f>12*Q25</f>
        <v>54821.265996715454</v>
      </c>
      <c r="R88" s="3558">
        <f>+N88+P88</f>
        <v>42990</v>
      </c>
      <c r="S88" s="4932">
        <f>12*S25</f>
        <v>18084.527999999998</v>
      </c>
      <c r="T88" s="4797">
        <v>12438</v>
      </c>
      <c r="U88" s="4930">
        <f>12*U25</f>
        <v>72905.793996715453</v>
      </c>
      <c r="V88" s="3558">
        <f>+R88+T88</f>
        <v>55428</v>
      </c>
      <c r="W88" s="5462">
        <f>12*W25</f>
        <v>17480.754400000002</v>
      </c>
      <c r="X88" s="5042">
        <v>10844</v>
      </c>
      <c r="Y88" s="3134">
        <f>12*Y25</f>
        <v>40659.622022399999</v>
      </c>
      <c r="Z88" s="3134">
        <f>P88+T88+X88</f>
        <v>35378</v>
      </c>
      <c r="AA88" s="3179">
        <f>12*AA25</f>
        <v>90386.548396715458</v>
      </c>
      <c r="AB88" s="3179">
        <f>+Z88+N88</f>
        <v>66272</v>
      </c>
      <c r="AC88" s="5368">
        <f>12*AC25</f>
        <v>18839.245283018867</v>
      </c>
      <c r="AD88" s="5357">
        <v>11104</v>
      </c>
      <c r="AE88" s="3133">
        <f>12*AE25</f>
        <v>109225.79367973433</v>
      </c>
      <c r="AF88" s="3558">
        <f>+AB88+AD88</f>
        <v>77376</v>
      </c>
      <c r="AG88" s="5555">
        <f>12*AG25</f>
        <v>18235.471698113208</v>
      </c>
      <c r="AH88" s="5544">
        <v>402</v>
      </c>
      <c r="AI88" s="5553">
        <f>12*AI25</f>
        <v>127461.26537784754</v>
      </c>
      <c r="AJ88" s="5540">
        <f>+AF88+AH88</f>
        <v>77778</v>
      </c>
      <c r="AK88" s="5949">
        <f>12*AK25</f>
        <v>18839.245283018863</v>
      </c>
      <c r="AL88" s="5944">
        <v>12824</v>
      </c>
      <c r="AM88" s="3134">
        <f>12*AM25</f>
        <v>55913.962264150934</v>
      </c>
      <c r="AN88" s="3134">
        <f>AD88+AH88+AL88</f>
        <v>24330</v>
      </c>
      <c r="AO88" s="3133">
        <f>12*AO25</f>
        <v>146300.51066086639</v>
      </c>
      <c r="AP88" s="3133">
        <f t="shared" ref="AP88" si="282">+AL88+AJ88</f>
        <v>90602</v>
      </c>
      <c r="AQ88" s="6102">
        <f>12*AQ25</f>
        <v>18839.245283018863</v>
      </c>
      <c r="AR88" s="6085">
        <v>11944</v>
      </c>
      <c r="AS88" s="3133">
        <f>12*AS25</f>
        <v>165139.75594388525</v>
      </c>
      <c r="AT88" s="3558">
        <f>+AP88+AR88</f>
        <v>102546</v>
      </c>
      <c r="AU88" s="6264">
        <f>12*AU25</f>
        <v>16952.452830188682</v>
      </c>
      <c r="AV88" s="6248">
        <v>11346</v>
      </c>
      <c r="AW88" s="6256">
        <f>12*AW25</f>
        <v>182092.20877407392</v>
      </c>
      <c r="AX88" s="6250">
        <f>+AT88+AV88</f>
        <v>113892</v>
      </c>
      <c r="AY88" s="6436">
        <f>12*AY25</f>
        <v>18839.245283018863</v>
      </c>
      <c r="AZ88" s="6420">
        <v>11668</v>
      </c>
      <c r="BA88" s="3134">
        <f>12*BA25</f>
        <v>54630.943396226408</v>
      </c>
      <c r="BB88" s="3134">
        <f>AR88+AV88+AZ88</f>
        <v>34958</v>
      </c>
      <c r="BC88" s="3179">
        <f>12*BC25</f>
        <v>110544.90566037735</v>
      </c>
      <c r="BD88" s="3179">
        <f t="shared" ref="BD88" si="283">+BB88+AN88</f>
        <v>59288</v>
      </c>
      <c r="BE88" s="3133">
        <f>12*BE25</f>
        <v>200931.45405709278</v>
      </c>
      <c r="BF88" s="3769">
        <f>+AX88+AZ88</f>
        <v>125560</v>
      </c>
      <c r="BG88" s="3948"/>
      <c r="BH88" s="3948"/>
      <c r="BI88" s="4364"/>
      <c r="BJ88" s="4364"/>
      <c r="BK88" s="3948"/>
      <c r="BL88" s="3948"/>
      <c r="BM88" s="4364"/>
      <c r="BN88" s="4364"/>
    </row>
    <row r="89" spans="1:66" ht="15" x14ac:dyDescent="0.25">
      <c r="B89" s="3943" t="s">
        <v>299</v>
      </c>
      <c r="C89" s="4033" t="s">
        <v>271</v>
      </c>
      <c r="D89" s="1313">
        <f>+'Maj Techno Summ'!D16</f>
        <v>1059</v>
      </c>
      <c r="E89" s="3993">
        <f>+'Maj Techno Summ'!E16</f>
        <v>1059</v>
      </c>
      <c r="F89" s="3996">
        <f>+(F15*1000)/F5</f>
        <v>1059.7699014587963</v>
      </c>
      <c r="G89" s="7196">
        <f>+'Maj Techno Summ'!G16</f>
        <v>1059</v>
      </c>
      <c r="H89" s="7193">
        <f>+(H15*1000)/H5</f>
        <v>1067.8204683947633</v>
      </c>
      <c r="I89" s="3994">
        <f>+(I15*1000)/I5</f>
        <v>1059.0000000000009</v>
      </c>
      <c r="J89" s="2115">
        <f>+(J15*1000)/J5</f>
        <v>1064.0639073340274</v>
      </c>
      <c r="K89" s="4605">
        <f>+'Maj Techno Summ'!K16</f>
        <v>1059</v>
      </c>
      <c r="L89" s="4601">
        <f>+(L15*1000)/L5</f>
        <v>1063.7513957375388</v>
      </c>
      <c r="M89" s="3995">
        <f>+(M15*1000)/M5</f>
        <v>1059.2249265430692</v>
      </c>
      <c r="N89" s="3995">
        <f>+(N15*1000)/N5</f>
        <v>1063.9872534860262</v>
      </c>
      <c r="O89" s="4792">
        <f>+'Maj Techno Summ'!O16</f>
        <v>1059</v>
      </c>
      <c r="P89" s="4788">
        <f>+(P15*1000)/P5</f>
        <v>1058.7751638501916</v>
      </c>
      <c r="Q89" s="3994">
        <f>+(Q15*1000)/Q5</f>
        <v>1059.2969512828474</v>
      </c>
      <c r="R89" s="3994">
        <f>+(R15*1000)/R5</f>
        <v>1062.5009180894015</v>
      </c>
      <c r="S89" s="4933">
        <f>+'Maj Techno Summ'!S16</f>
        <v>1059</v>
      </c>
      <c r="T89" s="4926">
        <f>+(T15*1000)/T5</f>
        <v>1052.5995067316871</v>
      </c>
      <c r="U89" s="4927">
        <f>+(U15*1000)/U5</f>
        <v>1059.4713448894831</v>
      </c>
      <c r="V89" s="4927">
        <f>+(V15*1000)/V5</f>
        <v>1060.3257638225334</v>
      </c>
      <c r="W89" s="5463">
        <f>+'Maj Techno Summ'!W16</f>
        <v>1059</v>
      </c>
      <c r="X89" s="5049">
        <f>+(X15*1000)/X5</f>
        <v>1057.3295599496689</v>
      </c>
      <c r="Y89" s="3995">
        <f>Y15/Y5*1000</f>
        <v>1060</v>
      </c>
      <c r="Z89" s="3995">
        <f>+(Z15*1000)/Z5</f>
        <v>1056.2452692460479</v>
      </c>
      <c r="AA89" s="3166">
        <f>+(AA15*1000)/AA5</f>
        <v>1059.5735867651968</v>
      </c>
      <c r="AB89" s="3166">
        <f>+(AB15*1000)/AB5</f>
        <v>1059.7865806686555</v>
      </c>
      <c r="AC89" s="5366">
        <f>+'Maj Techno Summ'!AC16</f>
        <v>1059</v>
      </c>
      <c r="AD89" s="5364">
        <f>+(AD15*1000)/AD5</f>
        <v>1061.2178015467862</v>
      </c>
      <c r="AE89" s="3994">
        <f>+(AE15*1000)/AE5</f>
        <v>1059.6471344429181</v>
      </c>
      <c r="AF89" s="3994">
        <f>+(AF15*1000)/AF5</f>
        <v>1059.9975087641083</v>
      </c>
      <c r="AG89" s="5556">
        <f>+'Maj Techno Summ'!AG16</f>
        <v>1059</v>
      </c>
      <c r="AH89" s="5549">
        <f>+(AH15*1000)/AH5</f>
        <v>1058.374291115312</v>
      </c>
      <c r="AI89" s="5550">
        <f>+(AI15*1000)/AI5</f>
        <v>1059.6976177785889</v>
      </c>
      <c r="AJ89" s="5986">
        <f>+(AJ15*1000)/AJ5</f>
        <v>1059.9890081895753</v>
      </c>
      <c r="AK89" s="5950">
        <f>+'Maj Techno Summ'!AK16</f>
        <v>1059</v>
      </c>
      <c r="AL89" s="5947">
        <f>+(AL15*1000)/AL5</f>
        <v>1061.5576980377134</v>
      </c>
      <c r="AM89" s="3995">
        <f>AM15/AM5*1000</f>
        <v>1059.9999999999995</v>
      </c>
      <c r="AN89" s="3995">
        <f>+(AN15*1000)/AN5</f>
        <v>1061.3410021010618</v>
      </c>
      <c r="AO89" s="3994">
        <f>+(AO15*1000)/AO5</f>
        <v>1059.7365558027025</v>
      </c>
      <c r="AP89" s="6145">
        <f>+(AP15*1000)/AP5</f>
        <v>1060.1995801500329</v>
      </c>
      <c r="AQ89" s="6099">
        <f>+'Maj Techno Summ'!AQ16</f>
        <v>1059</v>
      </c>
      <c r="AR89" s="6097">
        <f>+(AR15*1000)/AR5</f>
        <v>1062.3569338318973</v>
      </c>
      <c r="AS89" s="3994">
        <f>+(AS15*1000)/AS5</f>
        <v>1059.7666096792052</v>
      </c>
      <c r="AT89" s="3994">
        <f>+(AT15*1000)/AT5</f>
        <v>1060.465484480678</v>
      </c>
      <c r="AU89" s="6259">
        <f>+'Maj Techno Summ'!AU16</f>
        <v>1059</v>
      </c>
      <c r="AV89" s="6257">
        <f>+(AV15*1000)/AV5</f>
        <v>1061.4913748626034</v>
      </c>
      <c r="AW89" s="6254">
        <f>+(AW15*1000)/AW5</f>
        <v>1059.7883378927088</v>
      </c>
      <c r="AX89" s="6254">
        <f>+(AX15*1000)/AX5</f>
        <v>1060.5685296275403</v>
      </c>
      <c r="AY89" s="6434">
        <f>+'Maj Techno Summ'!AY16</f>
        <v>1059</v>
      </c>
      <c r="AZ89" s="6448">
        <f>+(AZ15*1000)/AZ5</f>
        <v>1057.0891431809223</v>
      </c>
      <c r="BA89" s="3995">
        <f>BA15/BA5*1000</f>
        <v>1060.0000000000002</v>
      </c>
      <c r="BB89" s="3995">
        <f>+(BB15*1000)/BB5</f>
        <v>1060.2854438045888</v>
      </c>
      <c r="BC89" s="3166">
        <f>+(BC15*1000)/BC5</f>
        <v>1060</v>
      </c>
      <c r="BD89" s="3166">
        <f>+(BD15*1000)/BD5</f>
        <v>1060.7022947116325</v>
      </c>
      <c r="BE89" s="3994">
        <f>+(BE15*1000)/BE5</f>
        <v>1059.8081832392804</v>
      </c>
      <c r="BF89" s="2115">
        <f>+(BF15*1000)/BF5</f>
        <v>1060.2244221232859</v>
      </c>
      <c r="BG89" s="3948"/>
      <c r="BH89" s="3948"/>
      <c r="BI89" s="4364"/>
      <c r="BJ89" s="4364"/>
      <c r="BK89" s="3948"/>
      <c r="BL89" s="3948"/>
      <c r="BM89" s="4364"/>
      <c r="BN89" s="4364"/>
    </row>
    <row r="90" spans="1:66" ht="15.75" thickBot="1" x14ac:dyDescent="0.3">
      <c r="B90" s="4047" t="s">
        <v>821</v>
      </c>
      <c r="C90" s="4033" t="s">
        <v>271</v>
      </c>
      <c r="D90" s="1313">
        <f>+'Maj Techno Summ'!D17</f>
        <v>38</v>
      </c>
      <c r="E90" s="3993">
        <f>+'Maj Techno Summ'!E17</f>
        <v>38</v>
      </c>
      <c r="F90" s="3996">
        <f>+(F19*1000)/F5</f>
        <v>37.174669114095259</v>
      </c>
      <c r="G90" s="7196">
        <f>+'Maj Techno Summ'!G17</f>
        <v>38</v>
      </c>
      <c r="H90" s="7193">
        <f>+(H19*1000)/H5</f>
        <v>28.189893423710473</v>
      </c>
      <c r="I90" s="3994">
        <f>+(I19*1000)/I5</f>
        <v>37.999999999999993</v>
      </c>
      <c r="J90" s="2115">
        <f>+(J19*1000)/J5</f>
        <v>32.38237561364835</v>
      </c>
      <c r="K90" s="4605">
        <f>+'Maj Techno Summ'!K17</f>
        <v>38</v>
      </c>
      <c r="L90" s="4601">
        <f>+(L19*1000)/L5</f>
        <v>36.038810172759362</v>
      </c>
      <c r="M90" s="3995">
        <f>+(M19*1000)/M5</f>
        <v>37.999999999999993</v>
      </c>
      <c r="N90" s="3995">
        <f>+(N19*1000)/N5</f>
        <v>33.279237624756099</v>
      </c>
      <c r="O90" s="4792">
        <f>+'Maj Techno Summ'!O17</f>
        <v>38</v>
      </c>
      <c r="P90" s="4788">
        <f>+(P19*1000)/P5</f>
        <v>38.350112786924392</v>
      </c>
      <c r="Q90" s="3994">
        <f>+(Q19*1000)/Q5</f>
        <v>37.999999999999993</v>
      </c>
      <c r="R90" s="3994">
        <f>+(R19*1000)/R5</f>
        <v>34.725302787100539</v>
      </c>
      <c r="S90" s="4933">
        <f>+'Maj Techno Summ'!S17</f>
        <v>38</v>
      </c>
      <c r="T90" s="4926">
        <f>+(T19*1000)/T5</f>
        <v>44.128076987866983</v>
      </c>
      <c r="U90" s="4927">
        <f>+(U19*1000)/U5</f>
        <v>38</v>
      </c>
      <c r="V90" s="4927">
        <f>+(V19*1000)/V5</f>
        <v>36.790915827938178</v>
      </c>
      <c r="W90" s="5463">
        <f>+'Maj Techno Summ'!W17</f>
        <v>38</v>
      </c>
      <c r="X90" s="5049">
        <f>+(X19*1000)/X5</f>
        <v>36.786599155096447</v>
      </c>
      <c r="Y90" s="3995">
        <f>+(Y19*1000)/Y5</f>
        <v>37.999999999999993</v>
      </c>
      <c r="Z90" s="3995">
        <f>+(Z19*1000)/Z5</f>
        <v>39.74994944779786</v>
      </c>
      <c r="AA90" s="3166">
        <f>+(AA19*1000)/AA5</f>
        <v>38</v>
      </c>
      <c r="AB90" s="3166">
        <f>+(AB19*1000)/AB5</f>
        <v>36.790139019224277</v>
      </c>
      <c r="AC90" s="5366">
        <f>+'Maj Techno Summ'!AC17</f>
        <v>38</v>
      </c>
      <c r="AD90" s="5364">
        <f>+(AD19*1000)/AD5</f>
        <v>34.008139084713108</v>
      </c>
      <c r="AE90" s="3994">
        <f>+(AE19*1000)/AE5</f>
        <v>38</v>
      </c>
      <c r="AF90" s="3994">
        <f>+(AF19*1000)/AF5</f>
        <v>36.380138049630993</v>
      </c>
      <c r="AG90" s="5556">
        <f>+'Maj Techno Summ'!AG17</f>
        <v>38</v>
      </c>
      <c r="AH90" s="5549">
        <f>+(AH19*1000)/AH5</f>
        <v>41.109010712035285</v>
      </c>
      <c r="AI90" s="5550">
        <f>+(AI19*1000)/AI5</f>
        <v>38</v>
      </c>
      <c r="AJ90" s="5986">
        <f>+(AJ19*1000)/AJ5</f>
        <v>36.404902525641504</v>
      </c>
      <c r="AK90" s="5950">
        <f>+'Maj Techno Summ'!AK17</f>
        <v>38</v>
      </c>
      <c r="AL90" s="5947">
        <f>+(AL19*1000)/AL5</f>
        <v>37.654620525262843</v>
      </c>
      <c r="AM90" s="3995">
        <f>+(AM19*1000)/AM5</f>
        <v>38.000000000000007</v>
      </c>
      <c r="AN90" s="3995">
        <f>+(AN19*1000)/AN5</f>
        <v>35.971595882177105</v>
      </c>
      <c r="AO90" s="3994">
        <f>+(AO19*1000)/AO5</f>
        <v>38.000000000000007</v>
      </c>
      <c r="AP90" s="6145">
        <f>+(AP19*1000)/AP5</f>
        <v>36.57265752801618</v>
      </c>
      <c r="AQ90" s="6099">
        <f>+'Maj Techno Summ'!AQ17</f>
        <v>38</v>
      </c>
      <c r="AR90" s="6097">
        <f>+(AR19*1000)/AR5</f>
        <v>37.524386278653878</v>
      </c>
      <c r="AS90" s="3994">
        <f>+(AS19*1000)/AS5</f>
        <v>38.000000000000007</v>
      </c>
      <c r="AT90" s="3994">
        <f>+(AT19*1000)/AT5</f>
        <v>36.689962723970517</v>
      </c>
      <c r="AU90" s="6259">
        <f>+'Maj Techno Summ'!AU17</f>
        <v>38</v>
      </c>
      <c r="AV90" s="6257">
        <f>+(AV19*1000)/AV5</f>
        <v>35.703806725139643</v>
      </c>
      <c r="AW90" s="6254">
        <f>+(AW19*1000)/AW5</f>
        <v>38.000000000000007</v>
      </c>
      <c r="AX90" s="6254">
        <f>+(AX19*1000)/AX5</f>
        <v>36.59090868123964</v>
      </c>
      <c r="AY90" s="6434">
        <f>+'Maj Techno Summ'!AY17</f>
        <v>38</v>
      </c>
      <c r="AZ90" s="6448">
        <f>+(AZ19*1000)/AZ5</f>
        <v>38.362238864800943</v>
      </c>
      <c r="BA90" s="3995">
        <f t="shared" ref="BA90:BF90" si="284">+(BA19*1000)/BA5</f>
        <v>37.999999999999993</v>
      </c>
      <c r="BB90" s="3995">
        <f t="shared" si="284"/>
        <v>37.241240892816293</v>
      </c>
      <c r="BC90" s="3166">
        <f t="shared" si="284"/>
        <v>38</v>
      </c>
      <c r="BD90" s="3166">
        <f t="shared" si="284"/>
        <v>36.739844924373031</v>
      </c>
      <c r="BE90" s="3994">
        <f t="shared" si="284"/>
        <v>38.000000000000014</v>
      </c>
      <c r="BF90" s="2115">
        <f t="shared" si="284"/>
        <v>36.766091294044259</v>
      </c>
      <c r="BG90" s="3948"/>
      <c r="BH90" s="3948"/>
      <c r="BI90" s="4364"/>
      <c r="BJ90" s="4364"/>
      <c r="BK90" s="3948"/>
      <c r="BL90" s="3948"/>
      <c r="BM90" s="4364"/>
      <c r="BN90" s="4364"/>
    </row>
    <row r="91" spans="1:66" ht="15" x14ac:dyDescent="0.25">
      <c r="B91" s="3942" t="s">
        <v>288</v>
      </c>
      <c r="C91" s="4015" t="s">
        <v>271</v>
      </c>
      <c r="D91" s="1313">
        <f t="shared" ref="D91:J91" si="285">SUM(D89:D90)</f>
        <v>1097</v>
      </c>
      <c r="E91" s="3993">
        <f t="shared" si="285"/>
        <v>1097</v>
      </c>
      <c r="F91" s="3996">
        <f t="shared" si="285"/>
        <v>1096.9445705728915</v>
      </c>
      <c r="G91" s="7196">
        <f t="shared" ref="G91:H91" si="286">SUM(G89:G90)</f>
        <v>1097</v>
      </c>
      <c r="H91" s="7193">
        <f t="shared" si="286"/>
        <v>1096.0103618184737</v>
      </c>
      <c r="I91" s="3994">
        <f t="shared" si="285"/>
        <v>1097.0000000000009</v>
      </c>
      <c r="J91" s="2115">
        <f t="shared" si="285"/>
        <v>1096.4462829476756</v>
      </c>
      <c r="K91" s="4605">
        <f t="shared" ref="K91:L91" si="287">SUM(K89:K90)</f>
        <v>1097</v>
      </c>
      <c r="L91" s="4601">
        <f t="shared" si="287"/>
        <v>1099.7902059102983</v>
      </c>
      <c r="M91" s="3995">
        <f t="shared" ref="M91:AF91" si="288">SUM(M89:M90)</f>
        <v>1097.2249265430692</v>
      </c>
      <c r="N91" s="3995">
        <f t="shared" si="288"/>
        <v>1097.2664911107825</v>
      </c>
      <c r="O91" s="4792">
        <f t="shared" si="288"/>
        <v>1097</v>
      </c>
      <c r="P91" s="4788">
        <f t="shared" si="288"/>
        <v>1097.125276637116</v>
      </c>
      <c r="Q91" s="3994">
        <f t="shared" si="288"/>
        <v>1097.2969512828474</v>
      </c>
      <c r="R91" s="3994">
        <f t="shared" si="288"/>
        <v>1097.2262208765021</v>
      </c>
      <c r="S91" s="4933">
        <f t="shared" ref="S91:V91" si="289">SUM(S89:S90)</f>
        <v>1097</v>
      </c>
      <c r="T91" s="5015">
        <f t="shared" si="289"/>
        <v>1096.7275837195541</v>
      </c>
      <c r="U91" s="4927">
        <f t="shared" si="289"/>
        <v>1097.4713448894831</v>
      </c>
      <c r="V91" s="4927">
        <f t="shared" si="289"/>
        <v>1097.1166796504715</v>
      </c>
      <c r="W91" s="5463">
        <f t="shared" ref="W91:X91" si="290">SUM(W89:W90)</f>
        <v>1097</v>
      </c>
      <c r="X91" s="5049">
        <f t="shared" si="290"/>
        <v>1094.1161591047653</v>
      </c>
      <c r="Y91" s="3995">
        <f t="shared" si="288"/>
        <v>1098</v>
      </c>
      <c r="Z91" s="3995">
        <f t="shared" si="288"/>
        <v>1095.9952186938458</v>
      </c>
      <c r="AA91" s="3166">
        <f t="shared" si="288"/>
        <v>1097.5735867651968</v>
      </c>
      <c r="AB91" s="3166">
        <f t="shared" si="288"/>
        <v>1096.5767196878796</v>
      </c>
      <c r="AC91" s="5366">
        <f t="shared" si="288"/>
        <v>1097</v>
      </c>
      <c r="AD91" s="5364">
        <f t="shared" si="288"/>
        <v>1095.2259406314993</v>
      </c>
      <c r="AE91" s="3994">
        <f t="shared" si="288"/>
        <v>1097.6471344429181</v>
      </c>
      <c r="AF91" s="3994">
        <f t="shared" si="288"/>
        <v>1096.3776468137391</v>
      </c>
      <c r="AG91" s="5556">
        <f t="shared" ref="AG91:AJ91" si="291">SUM(AG89:AG90)</f>
        <v>1097</v>
      </c>
      <c r="AH91" s="5549">
        <f t="shared" si="291"/>
        <v>1099.4833018273473</v>
      </c>
      <c r="AI91" s="5550">
        <f t="shared" si="291"/>
        <v>1097.6976177785889</v>
      </c>
      <c r="AJ91" s="5550">
        <f t="shared" si="291"/>
        <v>1096.3939107152169</v>
      </c>
      <c r="AK91" s="5950">
        <f t="shared" ref="AK91:AL91" si="292">SUM(AK89:AK90)</f>
        <v>1097</v>
      </c>
      <c r="AL91" s="5947">
        <f t="shared" si="292"/>
        <v>1099.2123185629762</v>
      </c>
      <c r="AM91" s="3995">
        <f t="shared" ref="AM91:AT91" si="293">SUM(AM89:AM90)</f>
        <v>1097.9999999999995</v>
      </c>
      <c r="AN91" s="3995">
        <f t="shared" si="293"/>
        <v>1097.3125979832389</v>
      </c>
      <c r="AO91" s="3994">
        <f t="shared" si="293"/>
        <v>1097.7365558027025</v>
      </c>
      <c r="AP91" s="6145">
        <f t="shared" si="293"/>
        <v>1096.7722376780491</v>
      </c>
      <c r="AQ91" s="6099">
        <f t="shared" si="293"/>
        <v>1097</v>
      </c>
      <c r="AR91" s="6097">
        <f t="shared" si="293"/>
        <v>1099.8813201105513</v>
      </c>
      <c r="AS91" s="3994">
        <f t="shared" si="293"/>
        <v>1097.7666096792052</v>
      </c>
      <c r="AT91" s="3994">
        <f t="shared" si="293"/>
        <v>1097.1554472046485</v>
      </c>
      <c r="AU91" s="6259">
        <f t="shared" ref="AU91:AX91" si="294">SUM(AU89:AU90)</f>
        <v>1097</v>
      </c>
      <c r="AV91" s="6257">
        <f t="shared" si="294"/>
        <v>1097.195181587743</v>
      </c>
      <c r="AW91" s="6254">
        <f t="shared" si="294"/>
        <v>1097.7883378927088</v>
      </c>
      <c r="AX91" s="6254">
        <f t="shared" si="294"/>
        <v>1097.15943830878</v>
      </c>
      <c r="AY91" s="6434">
        <f t="shared" ref="AY91:AZ91" si="295">SUM(AY89:AY90)</f>
        <v>1097</v>
      </c>
      <c r="AZ91" s="6448">
        <f t="shared" si="295"/>
        <v>1095.4513820457232</v>
      </c>
      <c r="BA91" s="3995">
        <f t="shared" ref="BA91:BD91" si="296">SUM(BA89:BA90)</f>
        <v>1098.0000000000002</v>
      </c>
      <c r="BB91" s="3995">
        <f t="shared" si="296"/>
        <v>1097.526684697405</v>
      </c>
      <c r="BC91" s="3166">
        <f t="shared" si="296"/>
        <v>1098</v>
      </c>
      <c r="BD91" s="3166">
        <f t="shared" si="296"/>
        <v>1097.4421396360055</v>
      </c>
      <c r="BE91" s="3994">
        <f t="shared" ref="BE91:BF91" si="297">SUM(BE89:BE90)</f>
        <v>1097.8081832392804</v>
      </c>
      <c r="BF91" s="2115">
        <f t="shared" si="297"/>
        <v>1096.99051341733</v>
      </c>
      <c r="BG91" s="3948"/>
      <c r="BH91" s="3948"/>
      <c r="BI91" s="4364"/>
      <c r="BJ91" s="4364"/>
      <c r="BK91" s="3948"/>
      <c r="BL91" s="3948"/>
      <c r="BM91" s="4364"/>
      <c r="BN91" s="4364"/>
    </row>
    <row r="92" spans="1:66" ht="15" x14ac:dyDescent="0.25">
      <c r="B92" s="4046" t="s">
        <v>452</v>
      </c>
      <c r="C92" s="3479" t="s">
        <v>50</v>
      </c>
      <c r="D92" s="3937">
        <f>+D94*D5/1000</f>
        <v>349022.37960339943</v>
      </c>
      <c r="E92" s="3132">
        <f>+E94*E5/1000</f>
        <v>29875.920679886651</v>
      </c>
      <c r="F92" s="3132">
        <v>26838.328010000001</v>
      </c>
      <c r="G92" s="7199">
        <f>+G94*G5/1000</f>
        <v>30827.762039660036</v>
      </c>
      <c r="H92" s="7199">
        <v>30280.43044</v>
      </c>
      <c r="I92" s="3133">
        <f>+E92+G92</f>
        <v>60703.68271954669</v>
      </c>
      <c r="J92" s="39">
        <f>+F92+H92</f>
        <v>57118.758450000001</v>
      </c>
      <c r="K92" s="4603">
        <f>+K94*K5/1000</f>
        <v>17616.226415094341</v>
      </c>
      <c r="L92" s="4603">
        <v>21105.872756799999</v>
      </c>
      <c r="M92" s="3134">
        <f>+K92+G92+E92</f>
        <v>78319.909134641028</v>
      </c>
      <c r="N92" s="3134">
        <f>+L92+H92+F92</f>
        <v>78224.631206799997</v>
      </c>
      <c r="O92" s="4791">
        <f>+O94*O5/1000</f>
        <v>8023.584905660382</v>
      </c>
      <c r="P92" s="4791">
        <v>31525.148861999995</v>
      </c>
      <c r="Q92" s="3133">
        <f>+M92+O92</f>
        <v>86343.494040301404</v>
      </c>
      <c r="R92" s="3133">
        <f>+N92+P92</f>
        <v>109749.7800688</v>
      </c>
      <c r="S92" s="4932">
        <f>+S94*S5/1000</f>
        <v>28483.132075471709</v>
      </c>
      <c r="T92" s="4932">
        <v>32465.744719999995</v>
      </c>
      <c r="U92" s="4930">
        <f>+Q92+S92</f>
        <v>114826.62611577311</v>
      </c>
      <c r="V92" s="4930">
        <f>+R92+T92</f>
        <v>142215.52478879999</v>
      </c>
      <c r="W92" s="5462">
        <f>+W94*W5/1000</f>
        <v>27532.188679245268</v>
      </c>
      <c r="X92" s="5053">
        <v>29760.9982944</v>
      </c>
      <c r="Y92" s="3134">
        <f>+W92+S92+O92</f>
        <v>64038.905660377357</v>
      </c>
      <c r="Z92" s="3134">
        <f>+X92+T92+P92</f>
        <v>93751.891876399983</v>
      </c>
      <c r="AA92" s="3179">
        <f>+Y92+M92</f>
        <v>142358.81479501838</v>
      </c>
      <c r="AB92" s="3179">
        <f>+Z92+N92</f>
        <v>171976.52308319998</v>
      </c>
      <c r="AC92" s="5368">
        <f>+AC94*AC5/1000</f>
        <v>29671.811320754732</v>
      </c>
      <c r="AD92" s="5368">
        <v>31015.537258200002</v>
      </c>
      <c r="AE92" s="3133">
        <f>+AA92+AC92</f>
        <v>172030.62611577311</v>
      </c>
      <c r="AF92" s="3133">
        <f>+AB92+AD92</f>
        <v>202992.06034139998</v>
      </c>
      <c r="AG92" s="5555">
        <f>+AG94*AG5/1000</f>
        <v>28720.867924528291</v>
      </c>
      <c r="AH92" s="5555">
        <v>1264.4207357999999</v>
      </c>
      <c r="AI92" s="5553">
        <f>+AE92+AG92</f>
        <v>200751.49404030139</v>
      </c>
      <c r="AJ92" s="5553">
        <f>+AF92+AH92</f>
        <v>204256.48107719998</v>
      </c>
      <c r="AK92" s="5949">
        <f>+AK94*AK5/1000</f>
        <v>29671.811320754732</v>
      </c>
      <c r="AL92" s="5949">
        <v>31783.8567473</v>
      </c>
      <c r="AM92" s="3134">
        <f>+AK92+AG92+AC92</f>
        <v>88064.490566037755</v>
      </c>
      <c r="AN92" s="3134">
        <f>+AL92+AH92+AD92</f>
        <v>64063.814741299997</v>
      </c>
      <c r="AO92" s="3133">
        <f t="shared" ref="AO92:AP92" si="298">+AK92+AI92</f>
        <v>230423.30536105612</v>
      </c>
      <c r="AP92" s="3133">
        <f t="shared" si="298"/>
        <v>236040.33782449999</v>
      </c>
      <c r="AQ92" s="6102">
        <f>+AQ94*AQ5/1000</f>
        <v>29671.811320754732</v>
      </c>
      <c r="AR92" s="6102">
        <v>31840.665499999999</v>
      </c>
      <c r="AS92" s="3133">
        <f>+AO92+AQ92</f>
        <v>260095.11668181085</v>
      </c>
      <c r="AT92" s="3133">
        <f>+AP92+AR92</f>
        <v>267881.00332449999</v>
      </c>
      <c r="AU92" s="6264">
        <f>+AU94*AU5/1000</f>
        <v>26700.113207547111</v>
      </c>
      <c r="AV92" s="6264">
        <v>29399.024669999999</v>
      </c>
      <c r="AW92" s="6256">
        <f>+AS92+AU92</f>
        <v>286795.22988935793</v>
      </c>
      <c r="AX92" s="6256">
        <f>+AT92+AV92</f>
        <v>297280.02799450001</v>
      </c>
      <c r="AY92" s="6436">
        <f>+AY94*AY5/1000</f>
        <v>29671.811320754732</v>
      </c>
      <c r="AZ92" s="6436">
        <v>32502.837760000002</v>
      </c>
      <c r="BA92" s="3134">
        <f>+AY92+AU92+AQ92</f>
        <v>86043.735849056568</v>
      </c>
      <c r="BB92" s="3134">
        <f>+AZ92+AV92+AR92</f>
        <v>93742.527929999997</v>
      </c>
      <c r="BC92" s="3179">
        <f t="shared" ref="BC92" si="299">+BA92+AM92</f>
        <v>174108.22641509434</v>
      </c>
      <c r="BD92" s="3179">
        <f t="shared" ref="BD92" si="300">+BB92+AN92</f>
        <v>157806.34267129999</v>
      </c>
      <c r="BE92" s="3133">
        <f>+AW92+AY92</f>
        <v>316467.04121011269</v>
      </c>
      <c r="BF92" s="39">
        <f>+AX92+AZ92</f>
        <v>329782.86575450003</v>
      </c>
      <c r="BG92" s="3948"/>
      <c r="BH92" s="3948"/>
      <c r="BI92" s="4364"/>
      <c r="BJ92" s="4364"/>
      <c r="BK92" s="3948"/>
      <c r="BL92" s="3948"/>
      <c r="BM92" s="4364"/>
      <c r="BN92" s="4364"/>
    </row>
    <row r="93" spans="1:66" ht="15" x14ac:dyDescent="0.25">
      <c r="B93" s="4046" t="s">
        <v>289</v>
      </c>
      <c r="C93" s="3479" t="s">
        <v>272</v>
      </c>
      <c r="D93" s="3937">
        <v>122.84999999999997</v>
      </c>
      <c r="E93" s="3132">
        <v>122.84999999999997</v>
      </c>
      <c r="F93" s="3132">
        <f>+F92/F20*1000</f>
        <v>127.79000000000002</v>
      </c>
      <c r="G93" s="7199">
        <v>122.84999999999998</v>
      </c>
      <c r="H93" s="7199">
        <f>+H92/H20*1000</f>
        <v>126.22</v>
      </c>
      <c r="I93" s="3133">
        <f>+I92/I20*1000</f>
        <v>122.84999999999989</v>
      </c>
      <c r="J93" s="39">
        <f>+J92/J20*1000</f>
        <v>126.95286161348326</v>
      </c>
      <c r="K93" s="4603">
        <v>122.22</v>
      </c>
      <c r="L93" s="4603">
        <f>+L92/L20*1000</f>
        <v>144.56</v>
      </c>
      <c r="M93" s="3134">
        <f>+M92/M20*1000</f>
        <v>122.70773079538348</v>
      </c>
      <c r="N93" s="3134">
        <f>+N92/N20*1000</f>
        <v>131.2666088606461</v>
      </c>
      <c r="O93" s="4791">
        <v>122.22000000000001</v>
      </c>
      <c r="P93" s="4791">
        <f>+P92/P20*1000</f>
        <v>132.69999999999999</v>
      </c>
      <c r="Q93" s="3133">
        <f>+Q92/Q20*1000</f>
        <v>122.66224375958089</v>
      </c>
      <c r="R93" s="3133">
        <f>+R92/R20*1000</f>
        <v>131.67516444347351</v>
      </c>
      <c r="S93" s="4932">
        <v>122</v>
      </c>
      <c r="T93" s="4932">
        <f>+T92/T20*1000</f>
        <v>138.63999999999999</v>
      </c>
      <c r="U93" s="4930">
        <f>+U92/U20*1000</f>
        <v>122.5522454917156</v>
      </c>
      <c r="V93" s="4930">
        <f>+V92/V20*1000</f>
        <v>133.20277962617826</v>
      </c>
      <c r="W93" s="5462">
        <v>122.22</v>
      </c>
      <c r="X93" s="5053">
        <f>+X92/X20*1000</f>
        <v>127.24</v>
      </c>
      <c r="Y93" s="3134">
        <f>+Y92/Y20*1000</f>
        <v>122.22000000000001</v>
      </c>
      <c r="Z93" s="3134">
        <f>+Z92/Z20*1000</f>
        <v>132.86143210141219</v>
      </c>
      <c r="AA93" s="3179">
        <f>+AA92/AA20*1000</f>
        <v>122.48784840853332</v>
      </c>
      <c r="AB93" s="3179">
        <f>+AB92/AB20*1000</f>
        <v>132.13123827805191</v>
      </c>
      <c r="AC93" s="5368">
        <v>122.22</v>
      </c>
      <c r="AD93" s="5368">
        <f>+AD92/AD20*1000</f>
        <v>137.94</v>
      </c>
      <c r="AE93" s="3133">
        <f>+AE92/AE20*1000</f>
        <v>122.44156621267511</v>
      </c>
      <c r="AF93" s="3133">
        <f>+AF92/AF20*1000</f>
        <v>132.98690070468322</v>
      </c>
      <c r="AG93" s="5555">
        <v>122.22</v>
      </c>
      <c r="AH93" s="5555">
        <f>+AH92/AH20*1000</f>
        <v>156.63</v>
      </c>
      <c r="AI93" s="5553">
        <f>+AI92/AI20*1000</f>
        <v>122.40981821925992</v>
      </c>
      <c r="AJ93" s="5553">
        <f>+AJ92/AJ20*1000</f>
        <v>133.11128343703922</v>
      </c>
      <c r="AK93" s="5949">
        <v>122</v>
      </c>
      <c r="AL93" s="5949">
        <f>+AL92/AL20*1000</f>
        <v>133.63</v>
      </c>
      <c r="AM93" s="3134">
        <f>+AM92/AM20*1000</f>
        <v>122.22000000000003</v>
      </c>
      <c r="AN93" s="3134">
        <f>+AN92/AN20*1000</f>
        <v>136.0829286235923</v>
      </c>
      <c r="AO93" s="3133">
        <f>+AO92/AO20*1000</f>
        <v>122.38534209337844</v>
      </c>
      <c r="AP93" s="3133">
        <f>+AP92/AP20*1000</f>
        <v>133.18089613197057</v>
      </c>
      <c r="AQ93" s="6102">
        <v>122</v>
      </c>
      <c r="AR93" s="6102">
        <f>+AR92/AR20*1000</f>
        <v>127.75</v>
      </c>
      <c r="AS93" s="3133">
        <f>+AS92/AS20*1000</f>
        <v>122.36645716252148</v>
      </c>
      <c r="AT93" s="3133">
        <f>+AT92/AT20*1000</f>
        <v>132.51131413478075</v>
      </c>
      <c r="AU93" s="6264">
        <v>122.21999999999998</v>
      </c>
      <c r="AV93" s="6264">
        <f>+AV92/AV20*1000</f>
        <v>130.17000000000002</v>
      </c>
      <c r="AW93" s="6256">
        <f>+AW92/AW20*1000</f>
        <v>122.35280745158067</v>
      </c>
      <c r="AX93" s="6256">
        <f>+AX92/AX20*1000</f>
        <v>132.27602757724429</v>
      </c>
      <c r="AY93" s="6436">
        <v>122</v>
      </c>
      <c r="AZ93" s="6436">
        <f>+AZ92/AZ20*1000</f>
        <v>131.68</v>
      </c>
      <c r="BA93" s="3134">
        <f t="shared" ref="BA93:BF93" si="301">+BA92/BA20*1000</f>
        <v>122.21999999999994</v>
      </c>
      <c r="BB93" s="3134">
        <f t="shared" si="301"/>
        <v>129.85078495688609</v>
      </c>
      <c r="BC93" s="3179">
        <f t="shared" si="301"/>
        <v>122.22000000000001</v>
      </c>
      <c r="BD93" s="3179">
        <f t="shared" si="301"/>
        <v>132.31068273701734</v>
      </c>
      <c r="BE93" s="3133">
        <f t="shared" si="301"/>
        <v>122.34034322226799</v>
      </c>
      <c r="BF93" s="39">
        <f t="shared" si="301"/>
        <v>132.21704453432125</v>
      </c>
      <c r="BG93" s="3948"/>
      <c r="BH93" s="3948"/>
      <c r="BI93" s="4364"/>
      <c r="BJ93" s="4364"/>
      <c r="BK93" s="3948"/>
      <c r="BL93" s="3948"/>
      <c r="BM93" s="4364"/>
      <c r="BN93" s="4364"/>
    </row>
    <row r="94" spans="1:66" ht="15" x14ac:dyDescent="0.25">
      <c r="B94" s="4046" t="s">
        <v>289</v>
      </c>
      <c r="C94" s="3479" t="s">
        <v>271</v>
      </c>
      <c r="D94" s="2093">
        <v>126</v>
      </c>
      <c r="E94" s="3142">
        <v>126</v>
      </c>
      <c r="F94" s="3132">
        <f>+F92/F5*1000</f>
        <v>129.64123277944162</v>
      </c>
      <c r="G94" s="7187">
        <v>126</v>
      </c>
      <c r="H94" s="7199">
        <f>+H92/H5*1000</f>
        <v>127.96098023140831</v>
      </c>
      <c r="I94" s="3133">
        <f>+I92/I5*1000</f>
        <v>126</v>
      </c>
      <c r="J94" s="39">
        <f>+J92/J5*1000</f>
        <v>128.74502082685314</v>
      </c>
      <c r="K94" s="4604">
        <v>126</v>
      </c>
      <c r="L94" s="4603">
        <f>+L92/L5*1000</f>
        <v>146.37644173133873</v>
      </c>
      <c r="M94" s="3134">
        <f>+M92/M5*1000</f>
        <v>125.99999999999997</v>
      </c>
      <c r="N94" s="3134">
        <f>+N92/N5*1000</f>
        <v>133.06971236869458</v>
      </c>
      <c r="O94" s="4797">
        <v>126</v>
      </c>
      <c r="P94" s="4791">
        <f>+P92/P5*1000</f>
        <v>134.42815051617603</v>
      </c>
      <c r="Q94" s="3133">
        <f>+Q92/Q5*1000</f>
        <v>125.99999999999997</v>
      </c>
      <c r="R94" s="3133">
        <f>+R92/R5*1000</f>
        <v>133.45709916435624</v>
      </c>
      <c r="S94" s="4797">
        <v>126</v>
      </c>
      <c r="T94" s="4932">
        <f>+T92/T5*1000</f>
        <v>140.23050022244584</v>
      </c>
      <c r="U94" s="4930">
        <f>+U92/U5*1000</f>
        <v>125.99999999999997</v>
      </c>
      <c r="V94" s="4930">
        <f>+V92/V5*1000</f>
        <v>134.94508826817551</v>
      </c>
      <c r="W94" s="5458">
        <v>126</v>
      </c>
      <c r="X94" s="5053">
        <f>+X92/X5*1000</f>
        <v>128.68563575057618</v>
      </c>
      <c r="Y94" s="3134">
        <f>+Y92/Y5*1000</f>
        <v>126</v>
      </c>
      <c r="Z94" s="3134">
        <f>+Z92/Z5*1000</f>
        <v>134.45005926639789</v>
      </c>
      <c r="AA94" s="3179">
        <f>+AA92/AA5*1000</f>
        <v>125.99999999999997</v>
      </c>
      <c r="AB94" s="3179">
        <f>+AB92/AB5*1000</f>
        <v>133.8186658038853</v>
      </c>
      <c r="AC94" s="5357">
        <v>126</v>
      </c>
      <c r="AD94" s="5368">
        <f>+AD92/AD5*1000</f>
        <v>139.62283471625747</v>
      </c>
      <c r="AE94" s="3133">
        <f>+AE92/AE5*1000</f>
        <v>126</v>
      </c>
      <c r="AF94" s="3133">
        <f>+AF92/AF5*1000</f>
        <v>134.6740629777799</v>
      </c>
      <c r="AG94" s="5544">
        <v>126</v>
      </c>
      <c r="AH94" s="5555">
        <f>+AH92/AH5*1000</f>
        <v>159.34728869565214</v>
      </c>
      <c r="AI94" s="5553">
        <f>+AI92/AI5*1000</f>
        <v>126</v>
      </c>
      <c r="AJ94" s="5553">
        <f>+AJ92/AJ5*1000</f>
        <v>134.80327337315595</v>
      </c>
      <c r="AK94" s="5944">
        <v>126</v>
      </c>
      <c r="AL94" s="5949">
        <f>+AL92/AL5*1000</f>
        <v>135.29075361724767</v>
      </c>
      <c r="AM94" s="3134">
        <f>+AM92/AM5*1000</f>
        <v>126</v>
      </c>
      <c r="AN94" s="3134">
        <f>+AN92/AN5*1000</f>
        <v>137.77075576136068</v>
      </c>
      <c r="AO94" s="3133">
        <f>+AO92/AO5*1000</f>
        <v>126</v>
      </c>
      <c r="AP94" s="3133">
        <f>+AP92/AP5*1000</f>
        <v>134.86870993526836</v>
      </c>
      <c r="AQ94" s="6085">
        <v>126</v>
      </c>
      <c r="AR94" s="6102">
        <f>+AR92/AR5*1000</f>
        <v>129.41255690131686</v>
      </c>
      <c r="AS94" s="3133">
        <f>+AS92/AS5*1000</f>
        <v>126</v>
      </c>
      <c r="AT94" s="6355">
        <f>+AT92/AT5*1000</f>
        <v>134.19621254525498</v>
      </c>
      <c r="AU94" s="6359">
        <v>126</v>
      </c>
      <c r="AV94" s="6359">
        <f>+AV92/AV5*1000</f>
        <v>131.89629498194216</v>
      </c>
      <c r="AW94" s="6355">
        <f>+AW92/AW5*1000</f>
        <v>126</v>
      </c>
      <c r="AX94" s="6355">
        <f>+AX92/AX5*1000</f>
        <v>133.96519825049435</v>
      </c>
      <c r="AY94" s="6436">
        <v>126</v>
      </c>
      <c r="AZ94" s="6436">
        <f>+AZ92/AZ5*1000</f>
        <v>133.45338063329393</v>
      </c>
      <c r="BA94" s="3134">
        <f t="shared" ref="BA94:BF94" si="302">+BA92/BA5*1000</f>
        <v>125.99999999999997</v>
      </c>
      <c r="BB94" s="3134">
        <f t="shared" si="302"/>
        <v>131.57086084377679</v>
      </c>
      <c r="BC94" s="3179">
        <f t="shared" si="302"/>
        <v>126</v>
      </c>
      <c r="BD94" s="3179">
        <f t="shared" si="302"/>
        <v>134.01926357871406</v>
      </c>
      <c r="BE94" s="3133">
        <f t="shared" si="302"/>
        <v>126</v>
      </c>
      <c r="BF94" s="39">
        <f t="shared" si="302"/>
        <v>133.9145800493861</v>
      </c>
      <c r="BG94" s="3948"/>
      <c r="BH94" s="3948"/>
      <c r="BI94" s="4364"/>
      <c r="BJ94" s="4364"/>
      <c r="BK94" s="3948"/>
      <c r="BL94" s="3948"/>
      <c r="BM94" s="4364"/>
      <c r="BN94" s="4364"/>
    </row>
    <row r="95" spans="1:66" ht="15" x14ac:dyDescent="0.25">
      <c r="B95" s="4046" t="s">
        <v>290</v>
      </c>
      <c r="C95" s="3479" t="s">
        <v>451</v>
      </c>
      <c r="D95" s="3937">
        <f>+D96*D5/1000</f>
        <v>141270.96317280454</v>
      </c>
      <c r="E95" s="3202">
        <f>+E96*E5/1000</f>
        <v>12092.634560906501</v>
      </c>
      <c r="F95" s="3202">
        <f>10479086/1000</f>
        <v>10479.085999999999</v>
      </c>
      <c r="G95" s="7194">
        <f>+G96*G5/1000</f>
        <v>12477.90368271954</v>
      </c>
      <c r="H95" s="7194">
        <v>11942.972</v>
      </c>
      <c r="I95" s="3133">
        <f>+E95+G95</f>
        <v>24570.538243626041</v>
      </c>
      <c r="J95" s="39">
        <f>+F95+H95</f>
        <v>22422.057999999997</v>
      </c>
      <c r="K95" s="4602">
        <f>+K96*K5/1000</f>
        <v>7270.1886792452842</v>
      </c>
      <c r="L95" s="4602">
        <f>7341235/1000</f>
        <v>7341.2349999999997</v>
      </c>
      <c r="M95" s="3134">
        <f>+K95+G95+E95</f>
        <v>31840.726922871327</v>
      </c>
      <c r="N95" s="3134">
        <f>+L95+H95+F95</f>
        <v>29763.292999999998</v>
      </c>
      <c r="O95" s="4790">
        <f>+O96*O5/1000</f>
        <v>3311.3207547169827</v>
      </c>
      <c r="P95" s="4790">
        <f>11673152/1000</f>
        <v>11673.152</v>
      </c>
      <c r="Q95" s="3133">
        <f>+M95+O95</f>
        <v>35152.047677588307</v>
      </c>
      <c r="R95" s="3133">
        <f>+N95+P95</f>
        <v>41436.445</v>
      </c>
      <c r="S95" s="4929">
        <f>+S96*S5/1000</f>
        <v>11754.943396226419</v>
      </c>
      <c r="T95" s="4929">
        <f>11575161/1000</f>
        <v>11575.161</v>
      </c>
      <c r="U95" s="4930">
        <f>+Q95+S95</f>
        <v>46906.99107381473</v>
      </c>
      <c r="V95" s="4930">
        <f>+R95+T95</f>
        <v>53011.606</v>
      </c>
      <c r="W95" s="5461">
        <f>+W96*W5/1000</f>
        <v>11362.49056603773</v>
      </c>
      <c r="X95" s="5050">
        <v>11413.61</v>
      </c>
      <c r="Y95" s="3134">
        <f>+W95+S95+O95</f>
        <v>26428.754716981133</v>
      </c>
      <c r="Z95" s="3134">
        <f>+X95+T95+P95</f>
        <v>34661.923000000003</v>
      </c>
      <c r="AA95" s="3179">
        <f>+Y95+M95</f>
        <v>58269.481639852456</v>
      </c>
      <c r="AB95" s="3179">
        <f>+Z95+N95</f>
        <v>64425.216</v>
      </c>
      <c r="AC95" s="5365">
        <f>+AC96*AC5/1000</f>
        <v>12245.50943396227</v>
      </c>
      <c r="AD95" s="5365">
        <v>11146.437</v>
      </c>
      <c r="AE95" s="3133">
        <f>+AA95+AC95</f>
        <v>70514.99107381473</v>
      </c>
      <c r="AF95" s="3133">
        <f>+AB95+AD95</f>
        <v>75571.653000000006</v>
      </c>
      <c r="AG95" s="5552">
        <f>+AG96*AG5/1000</f>
        <v>11853.056603773581</v>
      </c>
      <c r="AH95" s="5552">
        <v>403.18299999999999</v>
      </c>
      <c r="AI95" s="5553">
        <f>+AE95+AG95</f>
        <v>82368.047677588314</v>
      </c>
      <c r="AJ95" s="5553">
        <f>+AF95+AH95</f>
        <v>75974.83600000001</v>
      </c>
      <c r="AK95" s="5948">
        <f>+AK96*AK5/1000</f>
        <v>12245.50943396227</v>
      </c>
      <c r="AL95" s="5948">
        <v>11753.767</v>
      </c>
      <c r="AM95" s="3134">
        <f>+AK95+AG95+AC95</f>
        <v>36344.075471698117</v>
      </c>
      <c r="AN95" s="3134">
        <f>+AL95+AH95+AD95</f>
        <v>23303.387000000002</v>
      </c>
      <c r="AO95" s="3133">
        <f t="shared" ref="AO95:AP95" si="303">+AK95+AI95</f>
        <v>94613.557111550588</v>
      </c>
      <c r="AP95" s="3133">
        <f t="shared" si="303"/>
        <v>87728.603000000003</v>
      </c>
      <c r="AQ95" s="6098">
        <f>+AQ96*AQ5/1000</f>
        <v>12245.50943396227</v>
      </c>
      <c r="AR95" s="6098">
        <f>12400179/1000</f>
        <v>12400.179</v>
      </c>
      <c r="AS95" s="3133">
        <f>+AO95+AQ95</f>
        <v>106859.06654551286</v>
      </c>
      <c r="AT95" s="3133">
        <f>+AP95+AR95</f>
        <v>100128.78200000001</v>
      </c>
      <c r="AU95" s="6258">
        <f>+AU96*AU5/1000</f>
        <v>11019.094339622618</v>
      </c>
      <c r="AV95" s="6258">
        <v>11341.94</v>
      </c>
      <c r="AW95" s="6256">
        <f>+AS95+AU95</f>
        <v>117878.16088513548</v>
      </c>
      <c r="AX95" s="6256">
        <f>+AT95+AV95</f>
        <v>111470.72200000001</v>
      </c>
      <c r="AY95" s="6433">
        <f>+AY96*AY5/1000</f>
        <v>12245.50943396227</v>
      </c>
      <c r="AZ95" s="6433">
        <f>12255937/1000</f>
        <v>12255.937</v>
      </c>
      <c r="BA95" s="3134">
        <f>+AY95+AU95+AQ95</f>
        <v>35510.113207547154</v>
      </c>
      <c r="BB95" s="3134">
        <f>+AZ95+AV95+AR95</f>
        <v>35998.055999999997</v>
      </c>
      <c r="BC95" s="3179">
        <f t="shared" ref="BC95" si="304">+BA95+AM95</f>
        <v>71854.188679245271</v>
      </c>
      <c r="BD95" s="3179">
        <f t="shared" ref="BD95" si="305">+BB95+AN95</f>
        <v>59301.442999999999</v>
      </c>
      <c r="BE95" s="3133">
        <f>+AW95+AY95</f>
        <v>130123.67031909776</v>
      </c>
      <c r="BF95" s="39">
        <f>+AX95+AZ95</f>
        <v>123726.65900000001</v>
      </c>
      <c r="BG95" s="3948"/>
      <c r="BH95" s="3948"/>
      <c r="BI95" s="4364"/>
      <c r="BJ95" s="4364"/>
      <c r="BK95" s="3948"/>
      <c r="BL95" s="3948"/>
      <c r="BM95" s="4364"/>
      <c r="BN95" s="4364"/>
    </row>
    <row r="96" spans="1:66" ht="15" x14ac:dyDescent="0.25">
      <c r="B96" s="4046" t="s">
        <v>291</v>
      </c>
      <c r="C96" s="3479" t="s">
        <v>273</v>
      </c>
      <c r="D96" s="2093">
        <v>51</v>
      </c>
      <c r="E96" s="3142">
        <v>51</v>
      </c>
      <c r="F96" s="3132">
        <f>+(F95*1000)/F5</f>
        <v>50.618713167809872</v>
      </c>
      <c r="G96" s="7187">
        <v>51</v>
      </c>
      <c r="H96" s="7199">
        <f>+(H95*1000)/H5</f>
        <v>50.469375163752233</v>
      </c>
      <c r="I96" s="3549">
        <f>+(I95*1000)/I5</f>
        <v>51</v>
      </c>
      <c r="J96" s="3482">
        <f>+(J95*1000)/J5</f>
        <v>50.539059365547331</v>
      </c>
      <c r="K96" s="4604">
        <v>52</v>
      </c>
      <c r="L96" s="4603">
        <f>+(L95*1000)/L5</f>
        <v>50.913974020209587</v>
      </c>
      <c r="M96" s="4044">
        <f>+(M95*1000)/M5</f>
        <v>51.224926543068506</v>
      </c>
      <c r="N96" s="4044">
        <f>+(N95*1000)/N5</f>
        <v>50.631019636061758</v>
      </c>
      <c r="O96" s="4797">
        <v>52</v>
      </c>
      <c r="P96" s="4804">
        <f>+(P95*1000)/P5</f>
        <v>49.776140341900025</v>
      </c>
      <c r="Q96" s="3549">
        <f>+(Q95*1000)/Q5</f>
        <v>51.296951282846933</v>
      </c>
      <c r="R96" s="3549">
        <f>+(R95*1000)/R5</f>
        <v>50.387233085266793</v>
      </c>
      <c r="S96" s="4797">
        <v>52</v>
      </c>
      <c r="T96" s="4932">
        <f>+(T95*1000)/T5</f>
        <v>49.997023976641024</v>
      </c>
      <c r="U96" s="3549">
        <f>+(U95*1000)/U5</f>
        <v>51.471344889482836</v>
      </c>
      <c r="V96" s="3549">
        <f>+(V95*1000)/V5</f>
        <v>50.301511466708163</v>
      </c>
      <c r="W96" s="5458">
        <v>52</v>
      </c>
      <c r="X96" s="5053">
        <f>+(X95*1000)/X5</f>
        <v>49.352096476397612</v>
      </c>
      <c r="Y96" s="3134">
        <f>+(Y95*1000)/Y5</f>
        <v>51.999999999999993</v>
      </c>
      <c r="Z96" s="4044">
        <f>+(Z95*1000)/Z5</f>
        <v>49.708837959039094</v>
      </c>
      <c r="AA96" s="3179">
        <f>+(AA95*1000)/AA5</f>
        <v>51.573586765196424</v>
      </c>
      <c r="AB96" s="4045">
        <f>+(AB95*1000)/AB5</f>
        <v>50.130659084648748</v>
      </c>
      <c r="AC96" s="5357">
        <v>52</v>
      </c>
      <c r="AD96" s="5368">
        <f>+(AD95*1000)/AD5</f>
        <v>50.177983955919295</v>
      </c>
      <c r="AE96" s="3549">
        <f>+(AE95*1000)/AE5</f>
        <v>51.647134442917775</v>
      </c>
      <c r="AF96" s="3549">
        <f>+(AF95*1000)/AF5</f>
        <v>50.137633650990786</v>
      </c>
      <c r="AG96" s="5544">
        <v>52</v>
      </c>
      <c r="AH96" s="5625">
        <f>+(AH95*1000)/AH5</f>
        <v>50.810712035286706</v>
      </c>
      <c r="AI96" s="3549">
        <f>+(AI95*1000)/AI5</f>
        <v>51.697617778588693</v>
      </c>
      <c r="AJ96" s="3549">
        <f>+(AJ95*1000)/AJ5</f>
        <v>50.141158472801628</v>
      </c>
      <c r="AK96" s="5944">
        <v>52</v>
      </c>
      <c r="AL96" s="6020">
        <f>+(AL95*1000)/AL5</f>
        <v>50.030932618226707</v>
      </c>
      <c r="AM96" s="3134">
        <f>+(AM95*1000)/AM5</f>
        <v>51.999999999999993</v>
      </c>
      <c r="AN96" s="4044">
        <f>+(AN95*1000)/AN5</f>
        <v>50.114487433414418</v>
      </c>
      <c r="AO96" s="3549">
        <f>+(AO95*1000)/AO5</f>
        <v>51.73655580270222</v>
      </c>
      <c r="AP96" s="3549">
        <f>+(AP95*1000)/AP5</f>
        <v>50.126362384002732</v>
      </c>
      <c r="AQ96" s="6085">
        <v>52</v>
      </c>
      <c r="AR96" s="6102">
        <f>+(AR95*1000)/AR5</f>
        <v>50.399036741993172</v>
      </c>
      <c r="AS96" s="3755">
        <f>+(AS95*1000)/AS5</f>
        <v>51.766609679205139</v>
      </c>
      <c r="AT96" s="3755">
        <f>+(AT95*1000)/AT5</f>
        <v>50.159970824405903</v>
      </c>
      <c r="AU96" s="3470">
        <v>52</v>
      </c>
      <c r="AV96" s="3470">
        <f>+(AV95*1000)/AV5</f>
        <v>50.884676641467955</v>
      </c>
      <c r="AW96" s="3755">
        <f>+(AW95*1000)/AW5</f>
        <v>51.788337892708462</v>
      </c>
      <c r="AX96" s="3755">
        <f>+(AX95*1000)/AX5</f>
        <v>50.232763608768309</v>
      </c>
      <c r="AY96" s="3470">
        <v>52</v>
      </c>
      <c r="AZ96" s="3470">
        <f>+(AZ95*1000)/AZ5</f>
        <v>50.321643837866247</v>
      </c>
      <c r="BA96" s="3134">
        <f t="shared" ref="BA96:BF96" si="306">+(BA95*1000)/BA5</f>
        <v>51.999999999999986</v>
      </c>
      <c r="BB96" s="4044">
        <f t="shared" si="306"/>
        <v>50.524509219115579</v>
      </c>
      <c r="BC96" s="3179">
        <f t="shared" si="306"/>
        <v>51.999999999999993</v>
      </c>
      <c r="BD96" s="4045">
        <f t="shared" si="306"/>
        <v>50.362587368045588</v>
      </c>
      <c r="BE96" s="3549">
        <f t="shared" si="306"/>
        <v>51.808183239280083</v>
      </c>
      <c r="BF96" s="3482">
        <f t="shared" si="306"/>
        <v>50.241553765964603</v>
      </c>
      <c r="BG96" s="3948"/>
      <c r="BH96" s="3948"/>
      <c r="BI96" s="4364"/>
      <c r="BJ96" s="4364"/>
      <c r="BK96" s="3948"/>
      <c r="BL96" s="3948"/>
      <c r="BM96" s="4364"/>
      <c r="BN96" s="4364"/>
    </row>
    <row r="97" spans="2:66" ht="15" x14ac:dyDescent="0.25">
      <c r="B97" s="9" t="s">
        <v>292</v>
      </c>
      <c r="C97" s="3479" t="s">
        <v>301</v>
      </c>
      <c r="D97" s="1356">
        <v>4.922221487324034</v>
      </c>
      <c r="E97" s="3471">
        <f>+(EMD!D31+EMD!D33)/24/E$2</f>
        <v>5.1580767490048887</v>
      </c>
      <c r="F97" s="3471">
        <f>+(EMD!E31+EMD!E33)/24/F$2</f>
        <v>4.9763888888888888</v>
      </c>
      <c r="G97" s="3471">
        <f>+(EMD!F31+EMD!F33)/24/G$2</f>
        <v>5.1486119720548036</v>
      </c>
      <c r="H97" s="3471">
        <f>+(EMD!G31+EMD!G33)/24/H$2</f>
        <v>5.028225806451613</v>
      </c>
      <c r="I97" s="3549">
        <f>+((E97*E2)+(G97*G2))/I2</f>
        <v>5.1532667803909114</v>
      </c>
      <c r="J97" s="3482">
        <f>+((F97*F2)+(H97*H2))/J2</f>
        <v>5.0027322404371581</v>
      </c>
      <c r="K97" s="3471">
        <f>+(EMD!J31+EMD!J33)/24/K$2</f>
        <v>2.698226003045479</v>
      </c>
      <c r="L97" s="3471">
        <f>+(EMD!K31+EMD!K33)/24/L$2</f>
        <v>4.0426388888888898</v>
      </c>
      <c r="M97" s="4044">
        <f>+((E97*E2)+(G97*G2)+(K97*K2))/M2</f>
        <v>4.3439126779693398</v>
      </c>
      <c r="N97" s="4044">
        <f>+((F97*F2)+(H97*H2)+(L97*L2))/N2</f>
        <v>4.6862179487179487</v>
      </c>
      <c r="O97" s="3471">
        <f>+(EMD!N31+EMD!N33)/24/O$2</f>
        <v>1.1517995727211476</v>
      </c>
      <c r="P97" s="3471">
        <f>+(EMD!O31+EMD!O33)/24/P$2</f>
        <v>5.0002688172043008</v>
      </c>
      <c r="Q97" s="3549">
        <f>+((M97*M2)+(O97*O2))/Q2</f>
        <v>3.532801970898078</v>
      </c>
      <c r="R97" s="3549">
        <f>+((N97*N2)+(P97*P2))/R2</f>
        <v>4.7660177595628417</v>
      </c>
      <c r="S97" s="3471">
        <f>+(EMD!R31+EMD!R33)/24/S$2</f>
        <v>4.4547413632267903</v>
      </c>
      <c r="T97" s="3471">
        <f>+(EMD!S31+EMD!S33)/24/T$2</f>
        <v>5.0094086021505371</v>
      </c>
      <c r="U97" s="3549">
        <f>+((Q97*Q2)+(S97*S2))/U2</f>
        <v>3.7196001484287318</v>
      </c>
      <c r="V97" s="3549">
        <f>+((R97*R2)+(T97*T2))/V2</f>
        <v>4.8153322440087143</v>
      </c>
      <c r="W97" s="3471">
        <f>+(EMD!V31+EMD!V33)/24/W$2</f>
        <v>4.4478445509223725</v>
      </c>
      <c r="X97" s="3471">
        <f>+(EMD!W31+EMD!W33)/24/X$2</f>
        <v>5.224301762367026</v>
      </c>
      <c r="Y97" s="4044">
        <f>+((O97*O2)+(S97*S2)+(W97*W2))/Y2</f>
        <v>3.3395446254571444</v>
      </c>
      <c r="Z97" s="4044">
        <f>+((P97*P2)+(T97*T2)+(X97*X2))/Z2</f>
        <v>5.0764027485979435</v>
      </c>
      <c r="AA97" s="4045">
        <f>+((Y97*Y2)+(M97*M2))/AA2</f>
        <v>3.8389844767063783</v>
      </c>
      <c r="AB97" s="4045">
        <f>+((Z97*Z2)+(N97*N2))/AB2</f>
        <v>4.8823764273461423</v>
      </c>
      <c r="AC97" s="3471">
        <f>+(EMD!AB31+EMD!AB33)/24/AC$2</f>
        <v>4.7016439516904081</v>
      </c>
      <c r="AD97" s="3471">
        <f>+(EMD!AC31+EMD!AC33)/24/AD$2</f>
        <v>4.9792920614037719</v>
      </c>
      <c r="AE97" s="3549">
        <f>+((AA97*AA2)+(AC97*AC2))/AE2</f>
        <v>3.9639491670078031</v>
      </c>
      <c r="AF97" s="3549">
        <f>+((AB97*AB2)+(AD97*AD2))/AF2</f>
        <v>4.896415607980658</v>
      </c>
      <c r="AG97" s="3471">
        <f>+(EMD!AF31+EMD!AF33)/24/AG$2</f>
        <v>4.7029772256681133</v>
      </c>
      <c r="AH97" s="3471">
        <f>+(EMD!AG31+EMD!AG33)/24/AH$2</f>
        <v>0.37083333333333351</v>
      </c>
      <c r="AI97" s="3549">
        <f>+((AE97*AE2)+(AG97*AG2))/AI2</f>
        <v>4.0548132725807919</v>
      </c>
      <c r="AJ97" s="3549">
        <f>+((AF97*AF2)+(AH97*AH2))/AJ2</f>
        <v>4.3399915578191015</v>
      </c>
      <c r="AK97" s="3471">
        <f>+(EMD!AJ31+EMD!AJ33)/24/AK$2</f>
        <v>4.7016439516904081</v>
      </c>
      <c r="AL97" s="3471">
        <f>+(EMD!AK31+EMD!AK33)/24/AL$2</f>
        <v>4.7662010839496061</v>
      </c>
      <c r="AM97" s="4044">
        <f>+((AC97*AC2)+(AG97*AG2)+(AK97*AK2))/AM2</f>
        <v>4.7020787149440082</v>
      </c>
      <c r="AN97" s="4044">
        <f>+((AD97*AD2)+(AH97*AH2)+(AL97*AL2))/AN2</f>
        <v>3.4047313859342903</v>
      </c>
      <c r="AO97" s="3549">
        <f>+((AK97*AK2)+(AI97*AI2))/AO2</f>
        <v>4.127728730953149</v>
      </c>
      <c r="AP97" s="3549">
        <f>+((AL97*AL2)+(AJ97*AJ2))/AP2</f>
        <v>4.388036995310177</v>
      </c>
      <c r="AQ97" s="3471">
        <f>+(EMD!AP31+EMD!AP33)/24/AQ$2</f>
        <v>4.7016439516904081</v>
      </c>
      <c r="AR97" s="3471">
        <f>+(EMD!AQ31+EMD!AQ33)/24/AR$2</f>
        <v>5.1354704301075262</v>
      </c>
      <c r="AS97" s="3549">
        <f>+((AO97*AO2)+(AQ97*AQ2))/AS2</f>
        <v>4.1858704690016957</v>
      </c>
      <c r="AT97" s="3549">
        <f>+((AP97*AP2)+(AR97*AR2))/AT2</f>
        <v>4.4637573759595819</v>
      </c>
      <c r="AU97" s="3471">
        <f>+(EMD!AT31+EMD!AT33)/24/AU$2</f>
        <v>4.6785938314674116</v>
      </c>
      <c r="AV97" s="3471">
        <f>+(EMD!AU31+EMD!AU33)/24/AV$2</f>
        <v>5.000059523809524</v>
      </c>
      <c r="AW97" s="3549">
        <f>+((AS97*AS2)+(AU97*AU2))/AW2</f>
        <v>4.2271766191485227</v>
      </c>
      <c r="AX97" s="3549">
        <f>+((AT97*AT2)+(AV97*AV2))/AX2</f>
        <v>4.5087168374559834</v>
      </c>
      <c r="AY97" s="3471">
        <f>+(EMD!AX31+EMD!AX33)/24/AY$2</f>
        <v>4.7016439516904081</v>
      </c>
      <c r="AZ97" s="3471">
        <f>+(EMD!AY31+EMD!AY33)/24/AZ$2</f>
        <v>4.9839247311827952</v>
      </c>
      <c r="BA97" s="4044">
        <f>+((AQ97*AQ2)+(AU97*AU2)+(AY97*AY2))/BA2</f>
        <v>4.6944728031765877</v>
      </c>
      <c r="BB97" s="4044">
        <f>+((AR97*AR2)+(AV97*AV2)+(AZ97*AZ2))/BB2</f>
        <v>5.0411435185185178</v>
      </c>
      <c r="BC97" s="4045">
        <f>+((BA97*BA2)+(AM97*AM2))/BC2</f>
        <v>4.6983175497842948</v>
      </c>
      <c r="BD97" s="4045">
        <f>+((BB97*BB2)+(AN97*AN2))/BD2</f>
        <v>4.2139461767726445</v>
      </c>
      <c r="BE97" s="3549">
        <f>+((AW97*AW2)+(AY97*AY2))/BE2</f>
        <v>4.2674738446520806</v>
      </c>
      <c r="BF97" s="3482">
        <f>+((AX97*AX2)+(AZ97*AZ2))/BF2</f>
        <v>4.5490769599368903</v>
      </c>
      <c r="BG97" s="3948"/>
      <c r="BH97" s="3948"/>
      <c r="BI97" s="4364"/>
      <c r="BJ97" s="4364"/>
      <c r="BK97" s="3948"/>
      <c r="BL97" s="3948"/>
      <c r="BM97" s="4364"/>
      <c r="BN97" s="4364"/>
    </row>
    <row r="98" spans="2:66" ht="15" x14ac:dyDescent="0.25">
      <c r="B98" s="9" t="s">
        <v>518</v>
      </c>
      <c r="C98" s="3479" t="s">
        <v>625</v>
      </c>
      <c r="D98" s="1356">
        <v>0.53776671032800039</v>
      </c>
      <c r="E98" s="3471">
        <f>+(EMD!D102)/24/E$2</f>
        <v>0.6</v>
      </c>
      <c r="F98" s="3471">
        <f>+(EMD!E102)/24/F$2</f>
        <v>0.62955132722574558</v>
      </c>
      <c r="G98" s="3471">
        <f>+(EMD!F102)/24/G$2</f>
        <v>0.6</v>
      </c>
      <c r="H98" s="3471">
        <f>+(EMD!G102)/24/H$2</f>
        <v>0.62913455636636406</v>
      </c>
      <c r="I98" s="3549">
        <f>+((E98*E2)+(G98*G2))/I2</f>
        <v>0.59999999999999987</v>
      </c>
      <c r="J98" s="3482">
        <f>+((F98*F2)+(H98*H2))/J2</f>
        <v>0.62933952564146978</v>
      </c>
      <c r="K98" s="3471">
        <f>+(EMD!J102)/24/K$2</f>
        <v>0.4</v>
      </c>
      <c r="L98" s="3471">
        <f>+(EMD!K102)/24/L$2</f>
        <v>0.52413671599718104</v>
      </c>
      <c r="M98" s="4044">
        <f>+((E98*E2)+(G98*G2)+(K98*K2))/M2</f>
        <v>0.53406593406593406</v>
      </c>
      <c r="N98" s="4044">
        <f>+((F98*F2)+(H98*H2)+(L98*L2))/N2</f>
        <v>0.5946572807037922</v>
      </c>
      <c r="O98" s="3471">
        <f>+(EMD!N102)/24/O$2</f>
        <v>0.1</v>
      </c>
      <c r="P98" s="3471">
        <f>+(EMD!O102)/24/P$2</f>
        <v>0.63433075330106026</v>
      </c>
      <c r="Q98" s="3755">
        <f>+((M98*M2)+(O98*O2))/Q2</f>
        <v>0.42377049180327869</v>
      </c>
      <c r="R98" s="3755">
        <f>+((N98*N2)+(P98*P2))/R2</f>
        <v>0.60473824505227836</v>
      </c>
      <c r="S98" s="3471">
        <f>+(EMD!R102)/24/S$2</f>
        <v>0.6</v>
      </c>
      <c r="T98" s="3471">
        <f>+(EMD!S102)/24/T$2</f>
        <v>0.63424947145877353</v>
      </c>
      <c r="U98" s="3549">
        <f>+((Q98*Q2)+(S98*S2))/U2</f>
        <v>0.45947712418300651</v>
      </c>
      <c r="V98" s="3549">
        <f>+((R98*R2)+(T98*T2))/V2</f>
        <v>0.61071764386666616</v>
      </c>
      <c r="W98" s="3471">
        <f>+(EMD!V102)/24/W$2</f>
        <v>0.6</v>
      </c>
      <c r="X98" s="3471">
        <f>+(EMD!W102)/24/X$2</f>
        <v>0.64082359482176365</v>
      </c>
      <c r="Y98" s="4044">
        <f>+((O98*O2)+(S98*S2)+(W98*W2))/Y2</f>
        <v>0.43152173913043479</v>
      </c>
      <c r="Z98" s="4044">
        <f>+((P98*P2)+(T98*T2)+(X98*X2))/Z2</f>
        <v>0.63642059578486687</v>
      </c>
      <c r="AA98" s="4045">
        <f>+((Y98*Y2)+(M98*M2))/AA2</f>
        <v>0.48251366120218586</v>
      </c>
      <c r="AB98" s="4045">
        <f>+((Z98*Z2)+(N98*N2))/AB2</f>
        <v>0.61565304566258383</v>
      </c>
      <c r="AC98" s="3471">
        <f>+(EMD!AB102)/24/AC$2</f>
        <v>0.6</v>
      </c>
      <c r="AD98" s="3471">
        <f>+(EMD!AC102)/24/AD$2</f>
        <v>0.63424947145877353</v>
      </c>
      <c r="AE98" s="3549">
        <f>+((AA98*AA2)+(AC98*AC2))/AE2</f>
        <v>0.49953271028037388</v>
      </c>
      <c r="AF98" s="3549">
        <f>+((AB98*AB2)+(AD98*AD2))/AF2</f>
        <v>0.61834692042745243</v>
      </c>
      <c r="AG98" s="3471">
        <f>+(EMD!AF102)/24/AG$2</f>
        <v>0.6</v>
      </c>
      <c r="AH98" s="3471">
        <f>+(EMD!AG102)/24/AH$2</f>
        <v>4.7890239605355829E-2</v>
      </c>
      <c r="AI98" s="3549">
        <f>+((AE98*AE2)+(AG98*AG2))/AI2</f>
        <v>0.51188524590163942</v>
      </c>
      <c r="AJ98" s="3549">
        <f>+((AF98*AF2)+(AH98*AH2))/AJ2</f>
        <v>0.54820880393293236</v>
      </c>
      <c r="AK98" s="3471">
        <f>+(EMD!AJ102)/24/AK$2</f>
        <v>0.6</v>
      </c>
      <c r="AL98" s="3471">
        <f>+(EMD!AK102)/24/AL$2</f>
        <v>0.63424947145877342</v>
      </c>
      <c r="AM98" s="4044">
        <f>+((AC98*AC2)+(AG98*AG2)+(AK98*AK2))/AM2</f>
        <v>0.59999999999999987</v>
      </c>
      <c r="AN98" s="4044">
        <f>+((AD98*AD2)+(AH98*AH2)+(AL98*AL2))/AN2</f>
        <v>0.44304537411526779</v>
      </c>
      <c r="AO98" s="3755">
        <f>+((AK98*AK2)+(AI98*AI2))/AO2</f>
        <v>0.52181818181818196</v>
      </c>
      <c r="AP98" s="3755">
        <f>+((AL98*AL2)+(AJ98*AJ2))/AP2</f>
        <v>0.5579079337267544</v>
      </c>
      <c r="AQ98" s="3471">
        <f>+(EMD!AP102)/24/AQ$2</f>
        <v>0.6</v>
      </c>
      <c r="AR98" s="3471">
        <f>+(EMD!AQ102)/24/AR$2</f>
        <v>0.61379032258064514</v>
      </c>
      <c r="AS98" s="3755">
        <f>+((AO98*AO2)+(AQ98*AQ2))/AS2</f>
        <v>0.52973856209150338</v>
      </c>
      <c r="AT98" s="3755">
        <f>+((AP98*AP2)+(AR98*AR2))/AT2</f>
        <v>0.56356922148646227</v>
      </c>
      <c r="AU98" s="3471">
        <f>+(EMD!AT102)/24/AU$2</f>
        <v>0.6</v>
      </c>
      <c r="AV98" s="3471">
        <f>+(EMD!AU102)/24/AV$2</f>
        <v>0.63937670832074878</v>
      </c>
      <c r="AW98" s="3755">
        <f>+((AS98*AS2)+(AU98*AU2))/AW2</f>
        <v>0.53562874251497017</v>
      </c>
      <c r="AX98" s="3755">
        <f>+((AT98*AT2)+(AV98*AV2))/AX2</f>
        <v>0.56992434014322879</v>
      </c>
      <c r="AY98" s="3471">
        <f>+(EMD!AX102)/24/AY$2</f>
        <v>0.6</v>
      </c>
      <c r="AZ98" s="3471">
        <f>+(EMD!AY102)/24/AZ$2</f>
        <v>0.63518607776944214</v>
      </c>
      <c r="BA98" s="4044">
        <f>+((AQ98*AQ2)+(AU98*AU2)+(AY98*AY2))/BA2</f>
        <v>0.6</v>
      </c>
      <c r="BB98" s="4044">
        <f>+((AR98*AR2)+(AV98*AV2)+(AZ98*AZ2))/BB2</f>
        <v>0.62912018048704077</v>
      </c>
      <c r="BC98" s="4045">
        <f>+((BA98*BA2)+(AM98*AM2))/BC2</f>
        <v>0.6</v>
      </c>
      <c r="BD98" s="4045">
        <f>+((BB98*BB2)+(AN98*AN2))/BD2</f>
        <v>0.53506038825515556</v>
      </c>
      <c r="BE98" s="3755">
        <f>+((AW98*AW2)+(AY98*AY2))/BE2</f>
        <v>0.54109589041095896</v>
      </c>
      <c r="BF98" s="107">
        <f>+((AX98*AX2)+(AZ98*AZ2))/BF2</f>
        <v>0.57546711785942772</v>
      </c>
      <c r="BG98" s="3948"/>
      <c r="BH98" s="3948"/>
      <c r="BI98" s="4364"/>
      <c r="BJ98" s="4364"/>
      <c r="BK98" s="3948"/>
      <c r="BL98" s="3948"/>
      <c r="BM98" s="4364"/>
      <c r="BN98" s="4364"/>
    </row>
    <row r="99" spans="2:66" ht="15" x14ac:dyDescent="0.25">
      <c r="B99" s="9" t="s">
        <v>293</v>
      </c>
      <c r="C99" s="3479" t="s">
        <v>213</v>
      </c>
      <c r="D99" s="6582">
        <f>28.8482416884123*365*24*1000</f>
        <v>252710597.19049174</v>
      </c>
      <c r="E99" s="3202">
        <f>+'POWER DISTRIBUTION'!I24</f>
        <v>21577053.824362602</v>
      </c>
      <c r="F99" s="3202">
        <f>+'POWER DISTRIBUTION'!J24</f>
        <v>19132360.000000007</v>
      </c>
      <c r="G99" s="7194">
        <f>+'POWER DISTRIBUTION'!K24</f>
        <v>22264494.80642115</v>
      </c>
      <c r="H99" s="7194">
        <f>+'POWER DISTRIBUTION'!L24</f>
        <v>20855320.000000004</v>
      </c>
      <c r="I99" s="3133">
        <f>+E99+G99</f>
        <v>43841548.630783752</v>
      </c>
      <c r="J99" s="39">
        <f>+F99+H99</f>
        <v>39987680.000000015</v>
      </c>
      <c r="K99" s="4602">
        <f>+'POWER DISTRIBUTION'!O24</f>
        <v>13846884.905660378</v>
      </c>
      <c r="L99" s="4602">
        <f>+'POWER DISTRIBUTION'!P24</f>
        <v>15510830.000000024</v>
      </c>
      <c r="M99" s="3134">
        <f>+K99+G99+E99</f>
        <v>57688433.536444128</v>
      </c>
      <c r="N99" s="3134">
        <f>+L99+H99+F99</f>
        <v>55498510.000000037</v>
      </c>
      <c r="O99" s="4790">
        <f>+'POWER DISTRIBUTION'!S24</f>
        <v>7690044.3396226401</v>
      </c>
      <c r="P99" s="4790">
        <f>+'POWER DISTRIBUTION'!T24</f>
        <v>21091579.999999993</v>
      </c>
      <c r="Q99" s="3133">
        <f>+M99+O99</f>
        <v>65378477.876066767</v>
      </c>
      <c r="R99" s="3133">
        <f>+N99+P99</f>
        <v>76590090.00000003</v>
      </c>
      <c r="S99" s="4929">
        <f>+'POWER DISTRIBUTION'!W24</f>
        <v>21224454.528301887</v>
      </c>
      <c r="T99" s="4929">
        <f>+'POWER DISTRIBUTION'!X24</f>
        <v>20600529.999999989</v>
      </c>
      <c r="U99" s="4930">
        <f>+Q99+S99</f>
        <v>86602932.404368654</v>
      </c>
      <c r="V99" s="4930">
        <f>+R99+T99</f>
        <v>97190620.000000015</v>
      </c>
      <c r="W99" s="5461">
        <f>+'POWER DISTRIBUTION'!AA24</f>
        <v>20515850.754716981</v>
      </c>
      <c r="X99" s="5050">
        <f>+'POWER DISTRIBUTION'!AB24</f>
        <v>20179420</v>
      </c>
      <c r="Y99" s="3134">
        <f>+W99+S99+O99</f>
        <v>49430349.622641511</v>
      </c>
      <c r="Z99" s="3134">
        <f>+X99+T99+P99</f>
        <v>61871529.999999978</v>
      </c>
      <c r="AA99" s="3179">
        <f>+Y99+M99</f>
        <v>107118783.15908563</v>
      </c>
      <c r="AB99" s="3179">
        <f>+Z99+N99</f>
        <v>117370040.00000001</v>
      </c>
      <c r="AC99" s="5365">
        <f>+'POWER DISTRIBUTION'!AG24</f>
        <v>22110209.245283019</v>
      </c>
      <c r="AD99" s="5365">
        <f>+'POWER DISTRIBUTION'!AH24</f>
        <v>20599819.999999993</v>
      </c>
      <c r="AE99" s="3133">
        <f>+AA99+AC99</f>
        <v>129228992.40436865</v>
      </c>
      <c r="AF99" s="3133">
        <f>+AB99+AD99</f>
        <v>137969860</v>
      </c>
      <c r="AG99" s="5552">
        <f>+'POWER DISTRIBUTION'!AK24</f>
        <v>21401605.471698113</v>
      </c>
      <c r="AH99" s="5552">
        <f>+'POWER DISTRIBUTION'!AL24</f>
        <v>2763370.0000000028</v>
      </c>
      <c r="AI99" s="5553">
        <f>+AE99+AG99</f>
        <v>150630597.87606677</v>
      </c>
      <c r="AJ99" s="5553">
        <f>+AF99+AH99</f>
        <v>140733230</v>
      </c>
      <c r="AK99" s="5948">
        <f>+'POWER DISTRIBUTION'!AO24</f>
        <v>22110209.245283019</v>
      </c>
      <c r="AL99" s="5948">
        <f>+'POWER DISTRIBUTION'!AP24</f>
        <v>19993462.999999993</v>
      </c>
      <c r="AM99" s="3134">
        <f>+AK99+AG99+AC99</f>
        <v>65622023.96226415</v>
      </c>
      <c r="AN99" s="3134">
        <f>+AL99+AH99+AD99</f>
        <v>43356652.999999985</v>
      </c>
      <c r="AO99" s="3133">
        <f t="shared" ref="AO99:AP99" si="307">+AK99+AI99</f>
        <v>172740807.12134978</v>
      </c>
      <c r="AP99" s="3133">
        <f t="shared" si="307"/>
        <v>160726693</v>
      </c>
      <c r="AQ99" s="6098">
        <f>+'POWER DISTRIBUTION'!AU24</f>
        <v>22110209.245283019</v>
      </c>
      <c r="AR99" s="6098">
        <f>+'POWER DISTRIBUTION'!AV24</f>
        <v>20402077</v>
      </c>
      <c r="AS99" s="3133">
        <f>+AO99+AQ99</f>
        <v>194851016.36663279</v>
      </c>
      <c r="AT99" s="3133">
        <f>+AP99+AR99</f>
        <v>181128770</v>
      </c>
      <c r="AU99" s="6258">
        <f>+'POWER DISTRIBUTION'!AY24</f>
        <v>19895822.452830188</v>
      </c>
      <c r="AV99" s="6258">
        <f>+'POWER DISTRIBUTION'!AZ24</f>
        <v>18292260.000000015</v>
      </c>
      <c r="AW99" s="6256">
        <f>+AS99+AU99</f>
        <v>214746838.81946298</v>
      </c>
      <c r="AX99" s="6256">
        <f>+AT99+AV99</f>
        <v>199421030</v>
      </c>
      <c r="AY99" s="6433">
        <f>+'POWER DISTRIBUTION'!BC24</f>
        <v>22110209.245283019</v>
      </c>
      <c r="AZ99" s="6433">
        <f>+'POWER DISTRIBUTION'!BD24</f>
        <v>19940999.999999989</v>
      </c>
      <c r="BA99" s="3134">
        <f>+'POWER DISTRIBUTION'!BE24</f>
        <v>64116240.943396226</v>
      </c>
      <c r="BB99" s="3134">
        <f>+'POWER DISTRIBUTION'!BF24</f>
        <v>58635337</v>
      </c>
      <c r="BC99" s="3179">
        <f>+'POWER DISTRIBUTION'!BG24</f>
        <v>129738264.90566038</v>
      </c>
      <c r="BD99" s="3179">
        <f>+'POWER DISTRIBUTION'!BH24</f>
        <v>101991989.99999999</v>
      </c>
      <c r="BE99" s="3133">
        <f>+'POWER DISTRIBUTION'!BI24</f>
        <v>236857048.06474599</v>
      </c>
      <c r="BF99" s="39">
        <f>+'POWER DISTRIBUTION'!BJ24</f>
        <v>219362030.00000006</v>
      </c>
      <c r="BG99" s="3948"/>
      <c r="BH99" s="3948"/>
      <c r="BI99" s="4364"/>
      <c r="BJ99" s="4364"/>
      <c r="BK99" s="3948"/>
      <c r="BL99" s="3948"/>
      <c r="BM99" s="4364"/>
      <c r="BN99" s="4364"/>
    </row>
    <row r="100" spans="2:66" ht="15" x14ac:dyDescent="0.25">
      <c r="B100" s="9" t="s">
        <v>294</v>
      </c>
      <c r="C100" s="3479" t="s">
        <v>274</v>
      </c>
      <c r="D100" s="770">
        <f t="shared" ref="D100:N100" si="308">+D99/D5</f>
        <v>91.230640517046737</v>
      </c>
      <c r="E100" s="3221">
        <f t="shared" si="308"/>
        <v>91.000000000000085</v>
      </c>
      <c r="F100" s="3470">
        <f t="shared" si="308"/>
        <v>92.417930634721316</v>
      </c>
      <c r="G100" s="3221">
        <f t="shared" ref="G100:H100" si="309">+G99/G5</f>
        <v>91.000000000000043</v>
      </c>
      <c r="H100" s="3470">
        <f t="shared" si="309"/>
        <v>88.131745535374719</v>
      </c>
      <c r="I100" s="3755">
        <f t="shared" si="308"/>
        <v>91.000000000000071</v>
      </c>
      <c r="J100" s="107">
        <f t="shared" si="308"/>
        <v>90.131768163765813</v>
      </c>
      <c r="K100" s="3221">
        <f t="shared" si="308"/>
        <v>99.039797570850197</v>
      </c>
      <c r="L100" s="3470">
        <f t="shared" si="308"/>
        <v>107.57290778076015</v>
      </c>
      <c r="M100" s="4026">
        <f t="shared" si="308"/>
        <v>92.808363874581957</v>
      </c>
      <c r="N100" s="4026">
        <f t="shared" si="308"/>
        <v>94.409786900332975</v>
      </c>
      <c r="O100" s="3221">
        <f t="shared" ref="O100:P100" si="310">+O99/O5</f>
        <v>120.76217777777769</v>
      </c>
      <c r="P100" s="3470">
        <f t="shared" si="310"/>
        <v>89.937785964957129</v>
      </c>
      <c r="Q100" s="3755">
        <f>+Q99/Q5</f>
        <v>95.406009496667053</v>
      </c>
      <c r="R100" s="3755">
        <f>+R99/R5</f>
        <v>93.134503137312166</v>
      </c>
      <c r="S100" s="3221">
        <f>+S99/S5</f>
        <v>93.889999999999958</v>
      </c>
      <c r="T100" s="3470">
        <f>+T99/T5</f>
        <v>88.980636411149021</v>
      </c>
      <c r="U100" s="3755">
        <f t="shared" ref="U100:X100" si="311">+U99/U5</f>
        <v>95.029958225442726</v>
      </c>
      <c r="V100" s="3755">
        <f t="shared" si="311"/>
        <v>92.221976568423088</v>
      </c>
      <c r="W100" s="3221">
        <f t="shared" si="311"/>
        <v>93.890000000000057</v>
      </c>
      <c r="X100" s="3470">
        <f t="shared" si="311"/>
        <v>87.255187681876947</v>
      </c>
      <c r="Y100" s="4044">
        <f t="shared" ref="Y100:AF100" si="312">+Y99/Y5</f>
        <v>97.256878271522439</v>
      </c>
      <c r="Z100" s="4044">
        <f t="shared" si="312"/>
        <v>88.730272092746404</v>
      </c>
      <c r="AA100" s="4045">
        <f t="shared" si="312"/>
        <v>94.809490353505623</v>
      </c>
      <c r="AB100" s="4045">
        <f t="shared" si="312"/>
        <v>91.328175942655548</v>
      </c>
      <c r="AC100" s="3221">
        <f t="shared" si="312"/>
        <v>93.889999999999944</v>
      </c>
      <c r="AD100" s="3470">
        <f t="shared" si="312"/>
        <v>92.734336313462762</v>
      </c>
      <c r="AE100" s="3755">
        <f t="shared" si="312"/>
        <v>94.650896823408758</v>
      </c>
      <c r="AF100" s="3755">
        <f t="shared" si="312"/>
        <v>91.535410712247995</v>
      </c>
      <c r="AG100" s="3221">
        <f t="shared" ref="AG100:AJ100" si="313">+AG99/AG5</f>
        <v>93.890000000000029</v>
      </c>
      <c r="AH100" s="3470">
        <f t="shared" si="313"/>
        <v>348.25078764965377</v>
      </c>
      <c r="AI100" s="3755">
        <f t="shared" si="313"/>
        <v>94.542037772203258</v>
      </c>
      <c r="AJ100" s="3755">
        <f t="shared" si="313"/>
        <v>92.879794933933638</v>
      </c>
      <c r="AK100" s="3221">
        <f t="shared" ref="AK100:AL100" si="314">+AK99/AK5</f>
        <v>93.889999999999944</v>
      </c>
      <c r="AL100" s="3470">
        <f t="shared" si="314"/>
        <v>85.103916060102975</v>
      </c>
      <c r="AM100" s="4044">
        <f t="shared" ref="AM100:BF100" si="315">+AM99/AM5</f>
        <v>93.889999999999972</v>
      </c>
      <c r="AN100" s="4044">
        <f t="shared" si="315"/>
        <v>93.239512433253083</v>
      </c>
      <c r="AO100" s="3755">
        <f t="shared" si="315"/>
        <v>94.458074295850437</v>
      </c>
      <c r="AP100" s="3755">
        <f t="shared" si="315"/>
        <v>91.836005391540951</v>
      </c>
      <c r="AQ100" s="3221">
        <f t="shared" si="315"/>
        <v>93.889999999999944</v>
      </c>
      <c r="AR100" s="3470">
        <f t="shared" si="315"/>
        <v>82.921789139977236</v>
      </c>
      <c r="AS100" s="3755">
        <f t="shared" si="315"/>
        <v>94.393268029828661</v>
      </c>
      <c r="AT100" s="3755">
        <f t="shared" si="315"/>
        <v>90.737284896370028</v>
      </c>
      <c r="AU100" s="3221">
        <f t="shared" ref="AU100:AX100" si="316">+AU99/AU5</f>
        <v>93.890000000000214</v>
      </c>
      <c r="AV100" s="3470">
        <f t="shared" si="316"/>
        <v>82.066713026312911</v>
      </c>
      <c r="AW100" s="3755">
        <f t="shared" si="316"/>
        <v>94.34641469347666</v>
      </c>
      <c r="AX100" s="3755">
        <f t="shared" si="316"/>
        <v>89.866372791656374</v>
      </c>
      <c r="AY100" s="3221">
        <f t="shared" ref="AY100:AZ100" si="317">+AY99/AY5</f>
        <v>93.889999999999944</v>
      </c>
      <c r="AZ100" s="3470">
        <f t="shared" si="317"/>
        <v>81.875739061884076</v>
      </c>
      <c r="BA100" s="4044">
        <f t="shared" si="315"/>
        <v>93.890000000000029</v>
      </c>
      <c r="BB100" s="4044">
        <f t="shared" si="315"/>
        <v>82.296711378593571</v>
      </c>
      <c r="BC100" s="4045">
        <f t="shared" si="315"/>
        <v>93.889999999999986</v>
      </c>
      <c r="BD100" s="4045">
        <f t="shared" si="315"/>
        <v>86.618136884389671</v>
      </c>
      <c r="BE100" s="3755">
        <f t="shared" si="315"/>
        <v>94.303621451510367</v>
      </c>
      <c r="BF100" s="107">
        <f t="shared" si="315"/>
        <v>89.076107877899972</v>
      </c>
      <c r="BG100" s="3948"/>
      <c r="BH100" s="3948"/>
      <c r="BI100" s="4364"/>
      <c r="BJ100" s="4364"/>
      <c r="BK100" s="3948"/>
      <c r="BL100" s="3948"/>
      <c r="BM100" s="4364"/>
      <c r="BN100" s="4364"/>
    </row>
    <row r="101" spans="2:66" ht="15" x14ac:dyDescent="0.25">
      <c r="B101" s="9" t="s">
        <v>295</v>
      </c>
      <c r="C101" s="3479" t="s">
        <v>1901</v>
      </c>
      <c r="D101" s="2093">
        <v>4.4999999999999998E-2</v>
      </c>
      <c r="E101" s="3225">
        <f>+$D$101</f>
        <v>4.4999999999999998E-2</v>
      </c>
      <c r="F101" s="3225">
        <v>5.0999999999999997E-2</v>
      </c>
      <c r="G101" s="3225">
        <f>+$D$101</f>
        <v>4.4999999999999998E-2</v>
      </c>
      <c r="H101" s="3225">
        <v>4.5999999999999999E-2</v>
      </c>
      <c r="I101" s="3768">
        <f>+((E101*E20)+(G101*G20))/I20</f>
        <v>4.4999999999999998E-2</v>
      </c>
      <c r="J101" s="3481">
        <f>+((F101*F20)+(H101*H20))/J20</f>
        <v>4.8333954183067691E-2</v>
      </c>
      <c r="K101" s="3225">
        <f>+$D$101</f>
        <v>4.4999999999999998E-2</v>
      </c>
      <c r="L101" s="3225">
        <v>5.8000000000000003E-2</v>
      </c>
      <c r="M101" s="4048">
        <f>+((E101*E20)+(G101*G20)+(K101*K20))/M20</f>
        <v>4.4999999999999998E-2</v>
      </c>
      <c r="N101" s="4048">
        <f>+((F101*F20)+(H101*H20)+(L101*L20))/N20</f>
        <v>5.0702134498255787E-2</v>
      </c>
      <c r="O101" s="3225">
        <f>+$D$101</f>
        <v>4.4999999999999998E-2</v>
      </c>
      <c r="P101" s="3225">
        <v>4.7E-2</v>
      </c>
      <c r="Q101" s="3768">
        <f>+((M101*M20)+(O101*O20))/Q20</f>
        <v>4.5000000000000005E-2</v>
      </c>
      <c r="R101" s="3768">
        <f>+((N101*N20)+(P101*P20))/R20</f>
        <v>4.9646925158589997E-2</v>
      </c>
      <c r="S101" s="3225">
        <f>+$D$101</f>
        <v>4.4999999999999998E-2</v>
      </c>
      <c r="T101" s="3225">
        <v>4.7E-2</v>
      </c>
      <c r="U101" s="3768">
        <f>+((Q101*Q20)+(S101*S20))/U20</f>
        <v>4.5000000000000005E-2</v>
      </c>
      <c r="V101" s="3768">
        <f>+((R101*R20)+(T101*T20))/V20</f>
        <v>4.9066368298786432E-2</v>
      </c>
      <c r="W101" s="3225">
        <f>+$D$101</f>
        <v>4.4999999999999998E-2</v>
      </c>
      <c r="X101" s="3225">
        <v>4.8000000000000001E-2</v>
      </c>
      <c r="Y101" s="4048">
        <f>+((O101*O20)+(S101*S20)+(W101*W20))/Y20</f>
        <v>4.4999999999999998E-2</v>
      </c>
      <c r="Z101" s="4048">
        <f>+((P101*P20)+(T101*T20)+(X101*X20))/Z20</f>
        <v>4.7331468851489027E-2</v>
      </c>
      <c r="AA101" s="4049">
        <f>+((Y101*Y20)+(M101*M20))/AA20</f>
        <v>4.4999999999999991E-2</v>
      </c>
      <c r="AB101" s="4049">
        <f>+((Z101*Z20)+(N101*N20))/AB20</f>
        <v>4.8874736577321463E-2</v>
      </c>
      <c r="AC101" s="3225">
        <f>+$D$101</f>
        <v>4.4999999999999998E-2</v>
      </c>
      <c r="AD101" s="3225">
        <v>4.9399999999999999E-2</v>
      </c>
      <c r="AE101" s="3768">
        <f>+((AA101*AA20)+(AC101*AC20))/AE20</f>
        <v>4.4999999999999991E-2</v>
      </c>
      <c r="AF101" s="3768">
        <f>+((AB101*AB20)+(AD101*AD20))/AF20</f>
        <v>4.8952110757290244E-2</v>
      </c>
      <c r="AG101" s="3225">
        <f>+$D$101</f>
        <v>4.4999999999999998E-2</v>
      </c>
      <c r="AH101" s="3225">
        <v>9.9000000000000005E-2</v>
      </c>
      <c r="AI101" s="3768">
        <f>+((AE101*AE20)+(AG101*AG20))/AI20</f>
        <v>4.4999999999999991E-2</v>
      </c>
      <c r="AJ101" s="3768">
        <f>+((AF101*AF20)+(AH101*AH20))/AJ20</f>
        <v>4.9215405054493122E-2</v>
      </c>
      <c r="AK101" s="3225">
        <f>+$D$101</f>
        <v>4.4999999999999998E-2</v>
      </c>
      <c r="AL101" s="3225">
        <v>4.4999999999999998E-2</v>
      </c>
      <c r="AM101" s="4048">
        <f>+((AC101*AC20)+(AG101*AG20)+(AK101*AK20))/AM20</f>
        <v>4.4999999999999998E-2</v>
      </c>
      <c r="AN101" s="4048">
        <f>+((AD101*AD20)+(AH101*AH20)+(AL101*AL20))/AN20</f>
        <v>4.8027494872234955E-2</v>
      </c>
      <c r="AO101" s="3768">
        <f>+((AK101*AK20)+(AI101*AI20))/AO20</f>
        <v>4.4999999999999991E-2</v>
      </c>
      <c r="AP101" s="3768">
        <f>+((AL101*AL20)+(AJ101*AJ20))/AP20</f>
        <v>4.864969012070447E-2</v>
      </c>
      <c r="AQ101" s="3225">
        <f>+$D$101</f>
        <v>4.4999999999999998E-2</v>
      </c>
      <c r="AR101" s="3225">
        <v>4.5999999999999999E-2</v>
      </c>
      <c r="AS101" s="3768">
        <f>+((AO101*AO20)+(AQ101*AQ20))/AS20</f>
        <v>4.4999999999999998E-2</v>
      </c>
      <c r="AT101" s="3768">
        <f>+((AP101*AP20)+(AR101*AR20))/AT20</f>
        <v>4.832300650167682E-2</v>
      </c>
      <c r="AU101" s="3225">
        <f>+$D$101</f>
        <v>4.4999999999999998E-2</v>
      </c>
      <c r="AV101" s="3225">
        <v>4.3999999999999997E-2</v>
      </c>
      <c r="AW101" s="3768">
        <f>+((AS101*AS20)+(AU101*AU20))/AW20</f>
        <v>4.5000000000000005E-2</v>
      </c>
      <c r="AX101" s="3768">
        <f>+((AT101*AT20)+(AV101*AV20))/AX20</f>
        <v>4.7888572991505202E-2</v>
      </c>
      <c r="AY101" s="3225">
        <f>+$D$101</f>
        <v>4.4999999999999998E-2</v>
      </c>
      <c r="AZ101" s="3225">
        <v>4.4999999999999998E-2</v>
      </c>
      <c r="BA101" s="4048">
        <f>+((AQ101*AQ20)+(AU101*AU20)+(AY101*AY20))/BA20</f>
        <v>4.4999999999999998E-2</v>
      </c>
      <c r="BB101" s="4048">
        <f>+((AR101*AR20)+(AV101*AV20)+(AZ101*AZ20))/BB20</f>
        <v>4.5032400872666828E-2</v>
      </c>
      <c r="BC101" s="4049">
        <f>+((BA101*BA20)+(AM101*AM20))/BC20</f>
        <v>4.5000000000000005E-2</v>
      </c>
      <c r="BD101" s="4049">
        <f>+((BB101*BB20)+(AN101*AN20))/BD20</f>
        <v>4.6214598439802829E-2</v>
      </c>
      <c r="BE101" s="3768">
        <f>+((AW101*AW20)+(AY101*AY20))/BE20</f>
        <v>4.5000000000000005E-2</v>
      </c>
      <c r="BF101" s="3481">
        <f>+((AX101*AX20)+(AZ101*AZ20))/BF20</f>
        <v>4.7602719062510804E-2</v>
      </c>
      <c r="BG101" s="3948"/>
      <c r="BH101" s="3948"/>
      <c r="BI101" s="4364"/>
      <c r="BJ101" s="4364"/>
      <c r="BK101" s="3948"/>
      <c r="BL101" s="3948"/>
      <c r="BM101" s="4364"/>
      <c r="BN101" s="4364"/>
    </row>
    <row r="102" spans="2:66" ht="15" x14ac:dyDescent="0.25">
      <c r="B102" s="9" t="s">
        <v>296</v>
      </c>
      <c r="C102" s="3479" t="s">
        <v>1902</v>
      </c>
      <c r="D102" s="4050">
        <v>3.7884654285546548E-2</v>
      </c>
      <c r="E102" s="3225">
        <v>3.8999999999999993E-2</v>
      </c>
      <c r="F102" s="3225">
        <v>4.3999999999999997E-2</v>
      </c>
      <c r="G102" s="3225">
        <v>3.8999999999999993E-2</v>
      </c>
      <c r="H102" s="3225">
        <v>0.04</v>
      </c>
      <c r="I102" s="3768">
        <f>+((E102*E5)+(G102*G5))/I5</f>
        <v>3.9E-2</v>
      </c>
      <c r="J102" s="3481">
        <f>+((F102*F5)+(H102*H5))/J5</f>
        <v>4.1866482741210576E-2</v>
      </c>
      <c r="K102" s="3225">
        <f>+$D$102</f>
        <v>3.7884654285546548E-2</v>
      </c>
      <c r="L102" s="3225">
        <v>5.2999999999999999E-2</v>
      </c>
      <c r="M102" s="4048">
        <f>+((E102*E5)+(G102*G5)+(K102*K5))/M5</f>
        <v>3.8749129144121708E-2</v>
      </c>
      <c r="N102" s="4048">
        <f>+((F102*F5)+(H102*H5)+(L102*L5))/N5</f>
        <v>4.4597347609156804E-2</v>
      </c>
      <c r="O102" s="3225">
        <f>+$D$102</f>
        <v>3.7884654285546548E-2</v>
      </c>
      <c r="P102" s="3225">
        <v>0.04</v>
      </c>
      <c r="Q102" s="3768">
        <f>+((M102*M5)+(O102*O5))/Q5</f>
        <v>3.8668796659275202E-2</v>
      </c>
      <c r="R102" s="3768">
        <f>+((N102*N5)+(P102*P5))/R5</f>
        <v>4.3286318643902921E-2</v>
      </c>
      <c r="S102" s="3225">
        <f>+$D$102</f>
        <v>3.7884654285546548E-2</v>
      </c>
      <c r="T102" s="3225">
        <v>4.1000000000000002E-2</v>
      </c>
      <c r="U102" s="3768">
        <f>+((Q102*Q5)+(S102*S5))/U5</f>
        <v>3.8474287497485771E-2</v>
      </c>
      <c r="V102" s="3768">
        <f>+((R102*R5)+(T102*T5))/V5</f>
        <v>4.2784057342555158E-2</v>
      </c>
      <c r="W102" s="3225">
        <f>+$D$102</f>
        <v>3.7884654285546548E-2</v>
      </c>
      <c r="X102" s="3225">
        <v>4.1000000000000002E-2</v>
      </c>
      <c r="Y102" s="4048">
        <f>+((O102*O5)+(S102*S5)+(W102*W5))/Y5</f>
        <v>3.7884654285546548E-2</v>
      </c>
      <c r="Z102" s="4048">
        <f>+((P102*P5)+(T102*T5)+(X102*X5))/Z5</f>
        <v>4.0663683728214148E-2</v>
      </c>
      <c r="AA102" s="4049">
        <f>+((Y102*Y5)+(M102*M5))/AA5</f>
        <v>3.8360252459570941E-2</v>
      </c>
      <c r="AB102" s="4049">
        <f>+((Z102*Z5)+(N102*N5))/AB5</f>
        <v>4.246300653777859E-2</v>
      </c>
      <c r="AC102" s="3225">
        <f>+$D$102</f>
        <v>3.7884654285546548E-2</v>
      </c>
      <c r="AD102" s="3225">
        <v>4.2000000000000003E-2</v>
      </c>
      <c r="AE102" s="3768">
        <f>+((AA102*AA5)+(AC102*AC5))/AE5</f>
        <v>3.8278221372416439E-2</v>
      </c>
      <c r="AF102" s="3768">
        <f>+((AB102*AB5)+(AD102*AD5))/AF5</f>
        <v>4.2394770328617569E-2</v>
      </c>
      <c r="AG102" s="3225">
        <f>+$D$102</f>
        <v>3.7884654285546548E-2</v>
      </c>
      <c r="AH102" s="3225">
        <v>0.08</v>
      </c>
      <c r="AI102" s="3768">
        <f>+((AE102*AE5)+(AG102*AG5))/AI5</f>
        <v>3.8221915000324576E-2</v>
      </c>
      <c r="AJ102" s="3768">
        <f>+((AF102*AF5)+(AH102*AH5))/AJ5</f>
        <v>4.2591703905508052E-2</v>
      </c>
      <c r="AK102" s="3225">
        <f>+$D$102</f>
        <v>3.7884654285546548E-2</v>
      </c>
      <c r="AL102" s="3225">
        <v>3.9E-2</v>
      </c>
      <c r="AM102" s="4048">
        <f>+((AC102*AC5)+(AG102*AG5)+(AK102*AK5))/AM5</f>
        <v>3.7884654285546548E-2</v>
      </c>
      <c r="AN102" s="4048">
        <f>+((AD102*AD5)+(AH102*AH5)+(AL102*AL5))/AN5</f>
        <v>4.1132779788517496E-2</v>
      </c>
      <c r="AO102" s="3768">
        <f>+((AK102*AK5)+(AI102*AI5))/AO5</f>
        <v>3.8178485642000271E-2</v>
      </c>
      <c r="AP102" s="3768">
        <f>+((AL102*AL5)+(AJ102*AJ5))/AP5</f>
        <v>4.2109574099119564E-2</v>
      </c>
      <c r="AQ102" s="3225">
        <f>+$D$102</f>
        <v>3.7884654285546548E-2</v>
      </c>
      <c r="AR102" s="3225">
        <v>3.9E-2</v>
      </c>
      <c r="AS102" s="3768">
        <f>+((AO102*AO5)+(AQ102*AQ5))/AS5</f>
        <v>3.8144965179640028E-2</v>
      </c>
      <c r="AT102" s="3768">
        <f>+((AP102*AP5)+(AR102*AR5))/AT5</f>
        <v>4.1726303972219068E-2</v>
      </c>
      <c r="AU102" s="3225">
        <f>+$D$102</f>
        <v>3.7884654285546548E-2</v>
      </c>
      <c r="AV102" s="3225">
        <v>3.7999999999999999E-2</v>
      </c>
      <c r="AW102" s="3768">
        <f>+((AS102*AS5)+(AU102*AU5))/AW5</f>
        <v>3.8120730709826377E-2</v>
      </c>
      <c r="AX102" s="3768">
        <f>+((AT102*AT5)+(AV102*AV5))/AX5</f>
        <v>4.1352016868221306E-2</v>
      </c>
      <c r="AY102" s="3225">
        <f>+$D$102</f>
        <v>3.7884654285546548E-2</v>
      </c>
      <c r="AZ102" s="3225">
        <v>3.9E-2</v>
      </c>
      <c r="BA102" s="4048">
        <f>+((AQ102*AQ5)+(AU102*AU5)+(AY102*AY5))/BA5</f>
        <v>3.7884654285546542E-2</v>
      </c>
      <c r="BB102" s="4048">
        <f>+((AR102*AR5)+(AV102*AV5)+(AZ102*AZ5))/BB5</f>
        <v>3.8687159204308284E-2</v>
      </c>
      <c r="BC102" s="4049">
        <f>+((BA102*BA5)+(AM102*AM5))/BC5</f>
        <v>3.7884654285546542E-2</v>
      </c>
      <c r="BD102" s="4049">
        <f>+((BB102*BB5)+(AN102*AN5))/BD5</f>
        <v>3.9652960110064632E-2</v>
      </c>
      <c r="BE102" s="3768">
        <f>+((AW102*AW5)+(AY102*AY5))/BE5</f>
        <v>3.8098596287575878E-2</v>
      </c>
      <c r="BF102" s="3481">
        <f>+((AX102*AX5)+(AZ102*AZ5))/BF5</f>
        <v>4.1119404979054967E-2</v>
      </c>
      <c r="BG102" s="3948"/>
      <c r="BH102" s="3948"/>
      <c r="BI102" s="4364"/>
      <c r="BJ102" s="4364"/>
      <c r="BK102" s="3948"/>
      <c r="BL102" s="3948"/>
      <c r="BM102" s="4364"/>
      <c r="BN102" s="4364"/>
    </row>
    <row r="103" spans="2:66" ht="15" x14ac:dyDescent="0.25">
      <c r="B103" s="3770" t="s">
        <v>581</v>
      </c>
      <c r="C103" s="3479" t="s">
        <v>626</v>
      </c>
      <c r="D103" s="4050">
        <v>6.0416666666666667E-2</v>
      </c>
      <c r="E103" s="3225">
        <v>6.0416666666666667E-2</v>
      </c>
      <c r="F103" s="3225">
        <f>34.3825/(F2*24)</f>
        <v>4.7753472222222225E-2</v>
      </c>
      <c r="G103" s="3225">
        <v>6.041666666666666E-2</v>
      </c>
      <c r="H103" s="5662">
        <f>40.9605/(H2*24)</f>
        <v>5.505443548387097E-2</v>
      </c>
      <c r="I103" s="3768">
        <f>+((E103*E2)+(G103*G2))/I2</f>
        <v>6.0416666666666667E-2</v>
      </c>
      <c r="J103" s="3481">
        <f>+((F103*F2)+(H103*H2))/J2</f>
        <v>5.1463797814207651E-2</v>
      </c>
      <c r="K103" s="3225">
        <v>5.7291666666666664E-2</v>
      </c>
      <c r="L103" s="3225">
        <f>27.6/(L2*24)</f>
        <v>3.8333333333333337E-2</v>
      </c>
      <c r="M103" s="4048">
        <f>+((E103*E2)+(G103*G2)+(K103*K2))/M2</f>
        <v>5.9386446886446891E-2</v>
      </c>
      <c r="N103" s="4048">
        <f>+((F103*F2)+(H103*H2)+(L103*L2))/N2</f>
        <v>4.7135073260073268E-2</v>
      </c>
      <c r="O103" s="3225">
        <v>5.7291666666666671E-2</v>
      </c>
      <c r="P103" s="3225">
        <f>38.1/(P2*24)</f>
        <v>5.1209677419354838E-2</v>
      </c>
      <c r="Q103" s="3768">
        <f>+((M103*M2)+(O103*O2))/Q2</f>
        <v>5.8854166666666673E-2</v>
      </c>
      <c r="R103" s="3768">
        <f>+((N103*N2)+(P103*P2))/R2</f>
        <v>4.8170423497267766E-2</v>
      </c>
      <c r="S103" s="3225">
        <v>5.7291666666666671E-2</v>
      </c>
      <c r="T103" s="3225">
        <f>39.4/(T2*24)</f>
        <v>5.2956989247311827E-2</v>
      </c>
      <c r="U103" s="3768">
        <f>+((Q103*Q2)+(S103*S2))/U2</f>
        <v>5.8537581699346412E-2</v>
      </c>
      <c r="V103" s="3768">
        <f>+((R103*R2)+(T103*T2))/V2</f>
        <v>4.9140250544662312E-2</v>
      </c>
      <c r="W103" s="3225">
        <v>5.7291666666666671E-2</v>
      </c>
      <c r="X103" s="3225">
        <f>40.675/(X2*24)</f>
        <v>5.6493055555555553E-2</v>
      </c>
      <c r="Y103" s="4048">
        <f>+((O103*O2)+(S103*S2)+(W103*W2))/Y2</f>
        <v>5.7291666666666671E-2</v>
      </c>
      <c r="Z103" s="4048">
        <f>+((P103*P2)+(T103*T2)+(X103*X2))/Z2</f>
        <v>5.3521286231884055E-2</v>
      </c>
      <c r="AA103" s="4049">
        <f>+((Y103*Y2)+(M103*M2))/AA2</f>
        <v>5.8333333333333334E-2</v>
      </c>
      <c r="AB103" s="4049">
        <f>+((Z103*Z2)+(N103*N2))/AB2</f>
        <v>5.0345628415300547E-2</v>
      </c>
      <c r="AC103" s="3225">
        <v>5.7291666666666671E-2</v>
      </c>
      <c r="AD103" s="3225">
        <f>36.5/(AD2*24)</f>
        <v>4.9059139784946235E-2</v>
      </c>
      <c r="AE103" s="3768">
        <f>+((AA103*AA2)+(AC103*AC2))/AE2</f>
        <v>5.8182437694704048E-2</v>
      </c>
      <c r="AF103" s="3768">
        <f>+((AB103*AB2)+(AD103*AD2))/AF2</f>
        <v>5.0159267912772587E-2</v>
      </c>
      <c r="AG103" s="3225">
        <v>5.7291666666666671E-2</v>
      </c>
      <c r="AH103" s="5662">
        <f>1.25/(AH2*24)</f>
        <v>1.736111111111111E-3</v>
      </c>
      <c r="AI103" s="3768">
        <f>+((AE103*AE2)+(AG103*AG2))/AI2</f>
        <v>5.8072916666666669E-2</v>
      </c>
      <c r="AJ103" s="3768">
        <f>+((AF103*AF2)+(AH103*AH2))/AJ2</f>
        <v>4.4205601092896181E-2</v>
      </c>
      <c r="AK103" s="3225">
        <v>5.7291666666666671E-2</v>
      </c>
      <c r="AL103" s="5662">
        <f>37.06/(AL2*24)</f>
        <v>4.9811827956989248E-2</v>
      </c>
      <c r="AM103" s="4048">
        <f>+((AC103*AC2)+(AG103*AG2)+(AK103*AK2))/AM2</f>
        <v>5.7291666666666671E-2</v>
      </c>
      <c r="AN103" s="4048">
        <f>+((AD103*AD2)+(AH103*AH2)+(AL103*AL2))/AN2</f>
        <v>3.3881340579710144E-2</v>
      </c>
      <c r="AO103" s="3768">
        <f>+((AK103*AK2)+(AI103*AI2))/AO2</f>
        <v>5.7984848484848486E-2</v>
      </c>
      <c r="AP103" s="3768">
        <f>+((AL103*AL2)+(AJ103*AJ2))/AP2</f>
        <v>4.4837575757575764E-2</v>
      </c>
      <c r="AQ103" s="3225">
        <v>5.7291666666666671E-2</v>
      </c>
      <c r="AR103" s="3225">
        <f>41.5/(AR2*24)</f>
        <v>5.5779569892473117E-2</v>
      </c>
      <c r="AS103" s="3768">
        <f>+((AO103*AO2)+(AQ103*AQ2))/AS2</f>
        <v>5.7914624183006538E-2</v>
      </c>
      <c r="AT103" s="3768">
        <f>+((AP103*AP2)+(AR103*AR2))/AT2</f>
        <v>4.5946078431372557E-2</v>
      </c>
      <c r="AU103" s="3225">
        <v>5.7291666666666671E-2</v>
      </c>
      <c r="AV103" s="3225">
        <f>34.3/(AV2*24)</f>
        <v>5.1041666666666666E-2</v>
      </c>
      <c r="AW103" s="3768">
        <f>+((AS103*AS2)+(AU103*AU2))/AW2</f>
        <v>5.7862400199600802E-2</v>
      </c>
      <c r="AX103" s="3768">
        <f>+((AT103*AT2)+(AV103*AV2))/AX2</f>
        <v>4.637325349301398E-2</v>
      </c>
      <c r="AY103" s="3225">
        <v>5.7291666666666671E-2</v>
      </c>
      <c r="AZ103" s="3225">
        <f>39.8/(AZ2*24)</f>
        <v>5.3494623655913974E-2</v>
      </c>
      <c r="BA103" s="4048">
        <f>+((AQ103*AQ2)+(AU103*AU2)+(AY103*AY2))/BA2</f>
        <v>5.7291666666666664E-2</v>
      </c>
      <c r="BB103" s="4048">
        <f>+((AR103*AR2)+(AV103*AV2)+(AZ103*AZ2))/BB2</f>
        <v>5.3518518518518514E-2</v>
      </c>
      <c r="BC103" s="4049">
        <f>+((BA103*BA2)+(AM103*AM2))/BC2</f>
        <v>5.7291666666666671E-2</v>
      </c>
      <c r="BD103" s="4049">
        <f>+((BB103*BB2)+(AN103*AN2))/BD2</f>
        <v>4.3592032967032963E-2</v>
      </c>
      <c r="BE103" s="3768">
        <f>+((AW103*AW2)+(AY103*AY2))/BE2</f>
        <v>5.7813926940639276E-2</v>
      </c>
      <c r="BF103" s="3481">
        <f>+((AX103*AX2)+(AZ103*AZ2))/BF2</f>
        <v>4.6978082191780825E-2</v>
      </c>
      <c r="BG103" s="3948"/>
      <c r="BH103" s="3948"/>
      <c r="BI103" s="4364"/>
      <c r="BJ103" s="4364"/>
      <c r="BK103" s="3948"/>
      <c r="BL103" s="3948"/>
      <c r="BM103" s="4364"/>
      <c r="BN103" s="4364"/>
    </row>
    <row r="104" spans="2:66" ht="15" x14ac:dyDescent="0.25">
      <c r="B104" s="3770" t="s">
        <v>545</v>
      </c>
      <c r="C104" s="3479" t="s">
        <v>271</v>
      </c>
      <c r="D104" s="1356">
        <v>9</v>
      </c>
      <c r="E104" s="3221">
        <v>9</v>
      </c>
      <c r="F104" s="3471">
        <v>7.4</v>
      </c>
      <c r="G104" s="3221">
        <v>9</v>
      </c>
      <c r="H104" s="3471">
        <v>7.5</v>
      </c>
      <c r="I104" s="3549">
        <f>+((E5*E104)+(G5*G104))/I5</f>
        <v>9</v>
      </c>
      <c r="J104" s="3482">
        <f>+((F5*F104)+(H5*H104))/J5</f>
        <v>7.4533379314697354</v>
      </c>
      <c r="K104" s="3221">
        <f>+$D$104</f>
        <v>9</v>
      </c>
      <c r="L104" s="3471">
        <v>9.7200000000000006</v>
      </c>
      <c r="M104" s="4044">
        <f>+((E5*E104)+(G5*G104)+(K5*K104))/M5</f>
        <v>8.9999999999999982</v>
      </c>
      <c r="N104" s="4044">
        <f>+((F5*F104)+(H5*H104)+(L5*L104))/N5</f>
        <v>8.009312082905927</v>
      </c>
      <c r="O104" s="3221">
        <f>+$D$104</f>
        <v>9</v>
      </c>
      <c r="P104" s="3471">
        <v>8.83</v>
      </c>
      <c r="Q104" s="3768">
        <f>+((M5*M104)+(O5*O104))/Q5</f>
        <v>8.9999999999999982</v>
      </c>
      <c r="R104" s="3768">
        <f>+((N5*N104)+(P5*P104))/R5</f>
        <v>8.2433482538061185</v>
      </c>
      <c r="S104" s="3221">
        <f>+$D$104</f>
        <v>9</v>
      </c>
      <c r="T104" s="3471">
        <v>7.94</v>
      </c>
      <c r="U104" s="3768">
        <f>+((Q5*Q104)+(S5*S104))/U5</f>
        <v>9</v>
      </c>
      <c r="V104" s="3768">
        <f>+((R5*R104)+(T5*T104))/V5</f>
        <v>8.1767083350334051</v>
      </c>
      <c r="W104" s="3221">
        <f>+$D$104</f>
        <v>9</v>
      </c>
      <c r="X104" s="3471">
        <v>6.72</v>
      </c>
      <c r="Y104" s="4044">
        <f>+((O5*O104)+(S5*S104)+(W5*W104))/Y5</f>
        <v>8.9999999999999982</v>
      </c>
      <c r="Z104" s="4052">
        <f>+((P5*P104)+(T5*T104)+(X5*X104))/Z5</f>
        <v>7.8346913590869915</v>
      </c>
      <c r="AA104" s="4045">
        <f>+((Y104*Y5)+(M104*M5))/AA5</f>
        <v>8.9999999999999982</v>
      </c>
      <c r="AB104" s="4045">
        <f>+((Z104*Z5)+(N104*N5))/AB5</f>
        <v>7.9145657613998734</v>
      </c>
      <c r="AC104" s="3221">
        <f>+$D$104</f>
        <v>9</v>
      </c>
      <c r="AD104" s="3471">
        <v>7.04</v>
      </c>
      <c r="AE104" s="3768">
        <f>+((AA5*AA104)+(AC5*AC104))/AE5</f>
        <v>9</v>
      </c>
      <c r="AF104" s="3549">
        <f>+((AB5*AB104)+(AD5*AD104))/AF5</f>
        <v>7.785675459966404</v>
      </c>
      <c r="AG104" s="3221">
        <f>+$D$104</f>
        <v>9</v>
      </c>
      <c r="AH104" s="3471">
        <v>5.23</v>
      </c>
      <c r="AI104" s="3768">
        <f>+((AE5*AE104)+(AG5*AG104))/AI5</f>
        <v>9</v>
      </c>
      <c r="AJ104" s="3549">
        <f>+((AF5*AF104)+(AH5*AH104))/AJ5</f>
        <v>7.7722917281264303</v>
      </c>
      <c r="AK104" s="3221">
        <f>+$D$104</f>
        <v>9</v>
      </c>
      <c r="AL104" s="3471">
        <v>7.54</v>
      </c>
      <c r="AM104" s="4044">
        <f>+((AC5*AC104)+(AG5*AG104)+(AK5*AK104))/AM5</f>
        <v>9</v>
      </c>
      <c r="AN104" s="4052">
        <f>+((AD5*AD104)+(AH5*AH104)+(AL5*AL104))/AN5</f>
        <v>7.2617246985503323</v>
      </c>
      <c r="AO104" s="3768">
        <f>+((AK5*AK104)+(AI5*AI104))/AO5</f>
        <v>9</v>
      </c>
      <c r="AP104" s="3768">
        <f>+((AL5*AL104)+(AJ5*AJ104))/AP5</f>
        <v>7.7411102140446335</v>
      </c>
      <c r="AQ104" s="3221">
        <f>+$D$104</f>
        <v>9</v>
      </c>
      <c r="AR104" s="3471">
        <v>6.3</v>
      </c>
      <c r="AS104" s="3768">
        <f>+((AO5*AO104)+(AQ5*AQ104))/AS5</f>
        <v>9</v>
      </c>
      <c r="AT104" s="3768">
        <f>+((AP5*AP104)+(AR5*AR104))/AT5</f>
        <v>7.5634863732842934</v>
      </c>
      <c r="AU104" s="3221">
        <f>+$D$104</f>
        <v>9</v>
      </c>
      <c r="AV104" s="3471">
        <v>6.2</v>
      </c>
      <c r="AW104" s="3768">
        <f>+((AS5*AS104)+(AU5*AU104))/AW5</f>
        <v>9</v>
      </c>
      <c r="AX104" s="3768">
        <f>+((AT5*AT104)+(AV5*AV104))/AX5</f>
        <v>7.4265315328306638</v>
      </c>
      <c r="AY104" s="3221">
        <f>+$D$104</f>
        <v>9</v>
      </c>
      <c r="AZ104" s="3471">
        <v>6.03</v>
      </c>
      <c r="BA104" s="4044">
        <f>+((AQ5*AQ104)+(AU5*AU104)+(AY5*AY104))/BA5</f>
        <v>9</v>
      </c>
      <c r="BB104" s="4052">
        <f>+((AR5*AR104)+(AV5*AV104)+(AZ5*AZ104))/BB5</f>
        <v>6.1764208469768578</v>
      </c>
      <c r="BC104" s="4045">
        <f>+((BA104*BA5)+(AM104*AM5))/BC5</f>
        <v>9</v>
      </c>
      <c r="BD104" s="4045">
        <f>+((BB104*BB5)+(AN104*AN5))/BD5</f>
        <v>6.6050185818987845</v>
      </c>
      <c r="BE104" s="3768">
        <f>+((AW5*AW104)+(AY5*AY104))/BE5</f>
        <v>9.0000000000000018</v>
      </c>
      <c r="BF104" s="3481">
        <f>+((AX5*AX104)+(AZ5*AZ104))/BF5</f>
        <v>7.2884160955983752</v>
      </c>
      <c r="BG104" s="3948"/>
      <c r="BH104" s="3948"/>
      <c r="BI104" s="4364"/>
      <c r="BJ104" s="4364"/>
      <c r="BK104" s="3948"/>
      <c r="BL104" s="3948"/>
      <c r="BM104" s="4364"/>
      <c r="BN104" s="4364"/>
    </row>
    <row r="105" spans="2:66" ht="15" x14ac:dyDescent="0.25">
      <c r="B105" s="4053" t="s">
        <v>1520</v>
      </c>
      <c r="C105" s="4033" t="s">
        <v>680</v>
      </c>
      <c r="D105" s="4054"/>
      <c r="E105" s="3996"/>
      <c r="F105" s="3996">
        <v>27</v>
      </c>
      <c r="G105" s="7193"/>
      <c r="H105" s="7193">
        <v>15</v>
      </c>
      <c r="I105" s="3994"/>
      <c r="J105" s="2115">
        <f t="shared" ref="J105:J108" si="318">+F105+H105</f>
        <v>42</v>
      </c>
      <c r="K105" s="4601"/>
      <c r="L105" s="4601">
        <v>3</v>
      </c>
      <c r="M105" s="3995"/>
      <c r="N105" s="3995">
        <f t="shared" ref="N105:N108" si="319">+L105+H105+F105</f>
        <v>45</v>
      </c>
      <c r="O105" s="4788"/>
      <c r="P105" s="4803">
        <v>46</v>
      </c>
      <c r="Q105" s="4802"/>
      <c r="R105" s="3994">
        <f>+N105+P105</f>
        <v>91</v>
      </c>
      <c r="S105" s="4926"/>
      <c r="T105" s="4926">
        <v>16</v>
      </c>
      <c r="U105" s="4930"/>
      <c r="V105" s="4927">
        <f>+R105+T105</f>
        <v>107</v>
      </c>
      <c r="W105" s="5460"/>
      <c r="X105" s="5177">
        <v>55</v>
      </c>
      <c r="Y105" s="5179"/>
      <c r="Z105" s="3995">
        <f>+X105+T105+P105</f>
        <v>117</v>
      </c>
      <c r="AA105" s="3179"/>
      <c r="AB105" s="3166">
        <f>Z105+N105</f>
        <v>162</v>
      </c>
      <c r="AC105" s="5364"/>
      <c r="AD105" s="5364">
        <v>10</v>
      </c>
      <c r="AE105" s="3133"/>
      <c r="AF105" s="3994">
        <f>+AB105+AD105</f>
        <v>172</v>
      </c>
      <c r="AG105" s="5549"/>
      <c r="AH105" s="5549">
        <v>0</v>
      </c>
      <c r="AI105" s="5553"/>
      <c r="AJ105" s="5550">
        <f>+AF105+AH105</f>
        <v>172</v>
      </c>
      <c r="AK105" s="5947"/>
      <c r="AL105" s="5947">
        <v>27</v>
      </c>
      <c r="AM105" s="3134"/>
      <c r="AN105" s="3995">
        <f>+AL105+AH105+AD105</f>
        <v>37</v>
      </c>
      <c r="AO105" s="3133"/>
      <c r="AP105" s="3994">
        <f t="shared" ref="AP105:AP109" si="320">+AL105+AJ105</f>
        <v>199</v>
      </c>
      <c r="AQ105" s="6097"/>
      <c r="AR105" s="6097">
        <v>33</v>
      </c>
      <c r="AS105" s="3133"/>
      <c r="AT105" s="3994">
        <f>+AP105+AR105</f>
        <v>232</v>
      </c>
      <c r="AU105" s="6257"/>
      <c r="AV105" s="6319">
        <v>17</v>
      </c>
      <c r="AW105" s="6318"/>
      <c r="AX105" s="6254">
        <f>+AT105+AV105</f>
        <v>249</v>
      </c>
      <c r="AY105" s="6432"/>
      <c r="AZ105" s="6432">
        <v>0</v>
      </c>
      <c r="BA105" s="3134"/>
      <c r="BB105" s="3995">
        <f>+AZ105+AV105+AR105</f>
        <v>50</v>
      </c>
      <c r="BC105" s="3179"/>
      <c r="BD105" s="3166">
        <f>BB105+AN105</f>
        <v>87</v>
      </c>
      <c r="BE105" s="3133"/>
      <c r="BF105" s="2115">
        <f>+AX105+AZ105</f>
        <v>249</v>
      </c>
      <c r="BG105" s="3948"/>
      <c r="BH105" s="3948"/>
      <c r="BI105" s="4364"/>
      <c r="BJ105" s="4364"/>
      <c r="BK105" s="3948"/>
      <c r="BL105" s="3948"/>
      <c r="BM105" s="4364"/>
      <c r="BN105" s="4364"/>
    </row>
    <row r="106" spans="2:66" ht="15" x14ac:dyDescent="0.25">
      <c r="B106" s="4053" t="s">
        <v>1521</v>
      </c>
      <c r="C106" s="4033" t="s">
        <v>680</v>
      </c>
      <c r="D106" s="4054"/>
      <c r="E106" s="3996"/>
      <c r="F106" s="3996">
        <v>471</v>
      </c>
      <c r="G106" s="7193"/>
      <c r="H106" s="7193">
        <v>556</v>
      </c>
      <c r="I106" s="3994"/>
      <c r="J106" s="2115">
        <f t="shared" si="318"/>
        <v>1027</v>
      </c>
      <c r="K106" s="4601"/>
      <c r="L106" s="4009">
        <v>346</v>
      </c>
      <c r="M106" s="3995"/>
      <c r="N106" s="3995">
        <f t="shared" si="319"/>
        <v>1373</v>
      </c>
      <c r="O106" s="4788"/>
      <c r="P106" s="4009">
        <v>413</v>
      </c>
      <c r="Q106" s="3133"/>
      <c r="R106" s="3994">
        <f t="shared" ref="R106:R109" si="321">+N106+P106</f>
        <v>1786</v>
      </c>
      <c r="S106" s="4926"/>
      <c r="T106" s="4009">
        <v>396</v>
      </c>
      <c r="U106" s="4930"/>
      <c r="V106" s="4927">
        <f t="shared" ref="V106:V109" si="322">+R106+T106</f>
        <v>2182</v>
      </c>
      <c r="W106" s="5460"/>
      <c r="X106" s="4009">
        <v>366</v>
      </c>
      <c r="Y106" s="3134"/>
      <c r="Z106" s="3995">
        <f t="shared" ref="Z106:Z108" si="323">+X106+T106+P106</f>
        <v>1175</v>
      </c>
      <c r="AA106" s="3179"/>
      <c r="AB106" s="3166">
        <f t="shared" ref="AB106:AB108" si="324">Z106+N106</f>
        <v>2548</v>
      </c>
      <c r="AC106" s="5364"/>
      <c r="AD106" s="4009">
        <v>488</v>
      </c>
      <c r="AE106" s="3133"/>
      <c r="AF106" s="3994">
        <f t="shared" ref="AF106:AF109" si="325">+AB106+AD106</f>
        <v>3036</v>
      </c>
      <c r="AG106" s="5549"/>
      <c r="AH106" s="4009">
        <v>20</v>
      </c>
      <c r="AI106" s="5553"/>
      <c r="AJ106" s="5550">
        <f t="shared" ref="AJ106:AJ109" si="326">+AF106+AH106</f>
        <v>3056</v>
      </c>
      <c r="AK106" s="5947"/>
      <c r="AL106" s="4009">
        <v>386</v>
      </c>
      <c r="AM106" s="3134"/>
      <c r="AN106" s="3995">
        <f t="shared" ref="AN106:AN108" si="327">+AL106+AH106+AD106</f>
        <v>894</v>
      </c>
      <c r="AO106" s="3133"/>
      <c r="AP106" s="3994">
        <f t="shared" si="320"/>
        <v>3442</v>
      </c>
      <c r="AQ106" s="6097"/>
      <c r="AR106" s="4009">
        <v>370</v>
      </c>
      <c r="AS106" s="3133"/>
      <c r="AT106" s="3994">
        <f t="shared" ref="AT106:AT109" si="328">+AP106+AR106</f>
        <v>3812</v>
      </c>
      <c r="AU106" s="6257"/>
      <c r="AV106" s="4009">
        <v>393</v>
      </c>
      <c r="AW106" s="6256"/>
      <c r="AX106" s="6254">
        <f t="shared" ref="AX106:AX108" si="329">+AT106+AV106</f>
        <v>4205</v>
      </c>
      <c r="AY106" s="6432"/>
      <c r="AZ106" s="4009">
        <v>295</v>
      </c>
      <c r="BA106" s="3134"/>
      <c r="BB106" s="3995">
        <f t="shared" ref="BB106:BB108" si="330">+AZ106+AV106+AR106</f>
        <v>1058</v>
      </c>
      <c r="BC106" s="3179"/>
      <c r="BD106" s="3166">
        <f t="shared" ref="BD106:BD108" si="331">BB106+AN106</f>
        <v>1952</v>
      </c>
      <c r="BE106" s="3133"/>
      <c r="BF106" s="2115">
        <f t="shared" ref="BF106:BF108" si="332">+AX106+AZ106</f>
        <v>4500</v>
      </c>
      <c r="BG106" s="3948"/>
      <c r="BH106" s="3948"/>
      <c r="BI106" s="4364"/>
      <c r="BJ106" s="4364"/>
      <c r="BK106" s="3948"/>
      <c r="BL106" s="3948"/>
      <c r="BM106" s="4364"/>
      <c r="BN106" s="4364"/>
    </row>
    <row r="107" spans="2:66" ht="15" x14ac:dyDescent="0.25">
      <c r="B107" s="4053" t="s">
        <v>1522</v>
      </c>
      <c r="C107" s="4033" t="s">
        <v>680</v>
      </c>
      <c r="D107" s="4054"/>
      <c r="E107" s="3996"/>
      <c r="F107" s="7024">
        <v>190</v>
      </c>
      <c r="G107" s="7193"/>
      <c r="H107" s="7193">
        <v>200</v>
      </c>
      <c r="I107" s="3994"/>
      <c r="J107" s="2115">
        <f t="shared" si="318"/>
        <v>390</v>
      </c>
      <c r="K107" s="4601"/>
      <c r="L107" s="4009">
        <v>133</v>
      </c>
      <c r="M107" s="3995"/>
      <c r="N107" s="3995">
        <f t="shared" si="319"/>
        <v>523</v>
      </c>
      <c r="O107" s="4788"/>
      <c r="P107" s="4009">
        <v>218</v>
      </c>
      <c r="Q107" s="3133"/>
      <c r="R107" s="3994">
        <f t="shared" si="321"/>
        <v>741</v>
      </c>
      <c r="S107" s="4926"/>
      <c r="T107" s="4009">
        <v>235</v>
      </c>
      <c r="U107" s="4973"/>
      <c r="V107" s="4927">
        <f t="shared" si="322"/>
        <v>976</v>
      </c>
      <c r="W107" s="5460"/>
      <c r="X107" s="4009">
        <v>292</v>
      </c>
      <c r="Y107" s="3134"/>
      <c r="Z107" s="3995">
        <f t="shared" si="323"/>
        <v>745</v>
      </c>
      <c r="AA107" s="3179"/>
      <c r="AB107" s="3166">
        <f t="shared" si="324"/>
        <v>1268</v>
      </c>
      <c r="AC107" s="5364"/>
      <c r="AD107" s="4009">
        <v>262</v>
      </c>
      <c r="AE107" s="3133"/>
      <c r="AF107" s="3994">
        <f t="shared" si="325"/>
        <v>1530</v>
      </c>
      <c r="AG107" s="5549"/>
      <c r="AH107" s="4009">
        <v>6</v>
      </c>
      <c r="AI107" s="5553"/>
      <c r="AJ107" s="5550">
        <f t="shared" si="326"/>
        <v>1536</v>
      </c>
      <c r="AK107" s="5947"/>
      <c r="AL107" s="4009">
        <v>228</v>
      </c>
      <c r="AM107" s="3134"/>
      <c r="AN107" s="3995">
        <f t="shared" si="327"/>
        <v>496</v>
      </c>
      <c r="AO107" s="3133"/>
      <c r="AP107" s="3994">
        <f t="shared" si="320"/>
        <v>1764</v>
      </c>
      <c r="AQ107" s="6097"/>
      <c r="AR107" s="4009">
        <v>259</v>
      </c>
      <c r="AS107" s="3133"/>
      <c r="AT107" s="3994">
        <f t="shared" si="328"/>
        <v>2023</v>
      </c>
      <c r="AU107" s="6257"/>
      <c r="AV107" s="4009">
        <v>98</v>
      </c>
      <c r="AW107" s="6256"/>
      <c r="AX107" s="6254">
        <f t="shared" si="329"/>
        <v>2121</v>
      </c>
      <c r="AY107" s="6432"/>
      <c r="AZ107" s="4009">
        <v>93</v>
      </c>
      <c r="BA107" s="3134"/>
      <c r="BB107" s="3995">
        <f t="shared" si="330"/>
        <v>450</v>
      </c>
      <c r="BC107" s="3179"/>
      <c r="BD107" s="3166">
        <f t="shared" si="331"/>
        <v>946</v>
      </c>
      <c r="BE107" s="3133"/>
      <c r="BF107" s="2115">
        <f t="shared" si="332"/>
        <v>2214</v>
      </c>
      <c r="BG107" s="3948"/>
      <c r="BH107" s="3948"/>
      <c r="BI107" s="4364"/>
      <c r="BJ107" s="4364"/>
      <c r="BK107" s="3948"/>
      <c r="BL107" s="3948"/>
      <c r="BM107" s="4364"/>
      <c r="BN107" s="4364"/>
    </row>
    <row r="108" spans="2:66" ht="21" customHeight="1" x14ac:dyDescent="0.25">
      <c r="B108" s="4055" t="s">
        <v>1523</v>
      </c>
      <c r="C108" s="4012" t="s">
        <v>50</v>
      </c>
      <c r="D108" s="2065"/>
      <c r="E108" s="4056"/>
      <c r="F108" s="4056">
        <v>29606.6</v>
      </c>
      <c r="G108" s="4056"/>
      <c r="H108" s="4056">
        <v>31301.989999999998</v>
      </c>
      <c r="I108" s="4058"/>
      <c r="J108" s="2115">
        <f t="shared" si="318"/>
        <v>60908.59</v>
      </c>
      <c r="K108" s="4056"/>
      <c r="L108" s="4057">
        <v>20351.620000000003</v>
      </c>
      <c r="M108" s="3995"/>
      <c r="N108" s="3995">
        <f t="shared" si="319"/>
        <v>81260.209999999992</v>
      </c>
      <c r="O108" s="4056"/>
      <c r="P108" s="4057">
        <v>33263.35</v>
      </c>
      <c r="Q108" s="3133"/>
      <c r="R108" s="3994">
        <f t="shared" si="321"/>
        <v>114523.56</v>
      </c>
      <c r="S108" s="4056"/>
      <c r="T108" s="4057">
        <v>36331.155999999995</v>
      </c>
      <c r="U108" s="4930"/>
      <c r="V108" s="4927">
        <f t="shared" si="322"/>
        <v>150854.71599999999</v>
      </c>
      <c r="W108" s="4056"/>
      <c r="X108" s="4057">
        <v>44916.1</v>
      </c>
      <c r="Y108" s="3134"/>
      <c r="Z108" s="3995">
        <f t="shared" si="323"/>
        <v>114510.606</v>
      </c>
      <c r="AA108" s="3179"/>
      <c r="AB108" s="3166">
        <f t="shared" si="324"/>
        <v>195770.81599999999</v>
      </c>
      <c r="AC108" s="4056"/>
      <c r="AD108" s="4057">
        <v>41836.017999999996</v>
      </c>
      <c r="AE108" s="3133"/>
      <c r="AF108" s="3994">
        <f t="shared" si="325"/>
        <v>237606.83399999997</v>
      </c>
      <c r="AG108" s="4056"/>
      <c r="AH108" s="4057">
        <v>921.7</v>
      </c>
      <c r="AI108" s="5553"/>
      <c r="AJ108" s="5550">
        <f t="shared" si="326"/>
        <v>238528.53399999999</v>
      </c>
      <c r="AK108" s="4056"/>
      <c r="AL108" s="4057">
        <v>35312.127999999997</v>
      </c>
      <c r="AM108" s="3134"/>
      <c r="AN108" s="3995">
        <f t="shared" si="327"/>
        <v>78069.84599999999</v>
      </c>
      <c r="AO108" s="3133"/>
      <c r="AP108" s="3994">
        <f t="shared" si="320"/>
        <v>273840.66200000001</v>
      </c>
      <c r="AQ108" s="4056"/>
      <c r="AR108" s="4057">
        <v>40278</v>
      </c>
      <c r="AS108" s="3133"/>
      <c r="AT108" s="3994">
        <f t="shared" si="328"/>
        <v>314118.66200000001</v>
      </c>
      <c r="AU108" s="4056"/>
      <c r="AV108" s="4057">
        <v>15347.629999999997</v>
      </c>
      <c r="AW108" s="6256"/>
      <c r="AX108" s="6254">
        <f t="shared" si="329"/>
        <v>329466.29200000002</v>
      </c>
      <c r="AY108" s="4056"/>
      <c r="AZ108" s="4057">
        <v>14468.21</v>
      </c>
      <c r="BA108" s="3134"/>
      <c r="BB108" s="3995">
        <f t="shared" si="330"/>
        <v>70093.84</v>
      </c>
      <c r="BC108" s="3179"/>
      <c r="BD108" s="3166">
        <f t="shared" si="331"/>
        <v>148163.68599999999</v>
      </c>
      <c r="BE108" s="3133"/>
      <c r="BF108" s="2115">
        <f t="shared" si="332"/>
        <v>343934.50200000004</v>
      </c>
      <c r="BG108" s="3948"/>
      <c r="BH108" s="3948"/>
      <c r="BI108" s="4364"/>
      <c r="BJ108" s="4364"/>
      <c r="BK108" s="3948"/>
      <c r="BL108" s="3948"/>
      <c r="BM108" s="4364"/>
      <c r="BN108" s="4364"/>
    </row>
    <row r="109" spans="2:66" ht="21" customHeight="1" thickBot="1" x14ac:dyDescent="0.3">
      <c r="B109" s="4053" t="s">
        <v>2001</v>
      </c>
      <c r="C109" s="4033"/>
      <c r="D109" s="4054"/>
      <c r="E109" s="5211"/>
      <c r="F109" s="7055">
        <v>82.9</v>
      </c>
      <c r="G109" s="7193"/>
      <c r="H109" s="7195">
        <v>88.37</v>
      </c>
      <c r="I109" s="5212"/>
      <c r="J109" s="4043">
        <f>AVERAGE(F109,H109)</f>
        <v>85.635000000000005</v>
      </c>
      <c r="K109" s="5211"/>
      <c r="L109" s="4051">
        <v>77.7</v>
      </c>
      <c r="M109" s="5218"/>
      <c r="N109" s="5218">
        <f>+AVERAGE(F109,H109,L109)</f>
        <v>82.990000000000009</v>
      </c>
      <c r="O109" s="5211"/>
      <c r="P109" s="4051">
        <v>82.9</v>
      </c>
      <c r="Q109" s="5214"/>
      <c r="R109" s="5212">
        <f t="shared" si="321"/>
        <v>165.89000000000001</v>
      </c>
      <c r="S109" s="5211"/>
      <c r="T109" s="4051">
        <v>79</v>
      </c>
      <c r="U109" s="5214"/>
      <c r="V109" s="5212">
        <f t="shared" si="322"/>
        <v>244.89000000000001</v>
      </c>
      <c r="W109" s="5460"/>
      <c r="X109" s="4051">
        <v>82.4</v>
      </c>
      <c r="Y109" s="5216"/>
      <c r="Z109" s="5218">
        <f>+AVERAGE(P109,T109,X109)</f>
        <v>81.433333333333337</v>
      </c>
      <c r="AA109" s="5217"/>
      <c r="AB109" s="5215">
        <f>+AVERAGE(N109,Z109)</f>
        <v>82.211666666666673</v>
      </c>
      <c r="AC109" s="5364"/>
      <c r="AD109" s="4051">
        <v>83.8</v>
      </c>
      <c r="AE109" s="5225"/>
      <c r="AF109" s="5226">
        <f t="shared" si="325"/>
        <v>166.01166666666666</v>
      </c>
      <c r="AG109" s="5549"/>
      <c r="AH109" s="4051">
        <v>83.8</v>
      </c>
      <c r="AI109" s="5225"/>
      <c r="AJ109" s="5226">
        <f t="shared" si="326"/>
        <v>249.81166666666667</v>
      </c>
      <c r="AK109" s="5947"/>
      <c r="AL109" s="4051">
        <v>75</v>
      </c>
      <c r="AM109" s="5227"/>
      <c r="AN109" s="5224">
        <f>+AVERAGE(AD109,AH109,AL109)</f>
        <v>80.86666666666666</v>
      </c>
      <c r="AO109" s="5225"/>
      <c r="AP109" s="5226">
        <f t="shared" si="320"/>
        <v>324.81166666666667</v>
      </c>
      <c r="AQ109" s="6097"/>
      <c r="AR109" s="4051">
        <v>89.2</v>
      </c>
      <c r="AS109" s="5225"/>
      <c r="AT109" s="5226">
        <f t="shared" si="328"/>
        <v>414.01166666666666</v>
      </c>
      <c r="AU109" s="6257"/>
      <c r="AV109" s="4051">
        <v>84.5</v>
      </c>
      <c r="AW109" s="5225"/>
      <c r="AX109" s="6362">
        <v>80.8</v>
      </c>
      <c r="AY109" s="6432"/>
      <c r="AZ109" s="4051">
        <v>87.4</v>
      </c>
      <c r="BA109" s="5227"/>
      <c r="BB109" s="6579">
        <f>+AVERAGE(AR109,AV109,AZ109)</f>
        <v>87.033333333333346</v>
      </c>
      <c r="BC109" s="5228"/>
      <c r="BD109" s="5229">
        <f>+AVERAGE(BB109,AN109)</f>
        <v>83.95</v>
      </c>
      <c r="BE109" s="5225"/>
      <c r="BF109" s="4043">
        <v>81.400000000000006</v>
      </c>
      <c r="BG109" s="3948"/>
      <c r="BH109" s="3948"/>
      <c r="BI109" s="4364"/>
      <c r="BJ109" s="4364"/>
      <c r="BK109" s="3948"/>
      <c r="BL109" s="3948"/>
      <c r="BM109" s="4364"/>
      <c r="BN109" s="4364"/>
    </row>
    <row r="110" spans="2:66" ht="21" customHeight="1" x14ac:dyDescent="0.25">
      <c r="B110" s="891" t="s">
        <v>1570</v>
      </c>
      <c r="C110" s="759"/>
      <c r="D110" s="2121"/>
      <c r="E110" s="2216"/>
      <c r="F110" s="1452"/>
      <c r="G110" s="2216"/>
      <c r="H110" s="1452"/>
      <c r="I110" s="4059"/>
      <c r="J110" s="4060"/>
      <c r="K110" s="2216"/>
      <c r="L110" s="1452"/>
      <c r="M110" s="4048"/>
      <c r="N110" s="4048"/>
      <c r="O110" s="2216"/>
      <c r="P110" s="1452"/>
      <c r="Q110" s="3768"/>
      <c r="R110" s="3768"/>
      <c r="S110" s="2216"/>
      <c r="T110" s="1452"/>
      <c r="U110" s="3768"/>
      <c r="V110" s="3768"/>
      <c r="W110" s="2216"/>
      <c r="X110" s="1452"/>
      <c r="Y110" s="4048"/>
      <c r="Z110" s="4048"/>
      <c r="AA110" s="4049"/>
      <c r="AB110" s="4049"/>
      <c r="AC110" s="2216"/>
      <c r="AD110" s="1452"/>
      <c r="AE110" s="3768"/>
      <c r="AF110" s="3768"/>
      <c r="AG110" s="2216"/>
      <c r="AH110" s="1452"/>
      <c r="AI110" s="3768"/>
      <c r="AJ110" s="3768"/>
      <c r="AK110" s="2216"/>
      <c r="AL110" s="1452"/>
      <c r="AM110" s="4048"/>
      <c r="AN110" s="4048"/>
      <c r="AO110" s="3768"/>
      <c r="AP110" s="3768"/>
      <c r="AQ110" s="2216"/>
      <c r="AR110" s="1452"/>
      <c r="AS110" s="3768"/>
      <c r="AT110" s="3768"/>
      <c r="AU110" s="2216"/>
      <c r="AV110" s="1452"/>
      <c r="AW110" s="3768"/>
      <c r="AX110" s="3768"/>
      <c r="AY110" s="2216"/>
      <c r="AZ110" s="1452"/>
      <c r="BA110" s="4048"/>
      <c r="BB110" s="4048"/>
      <c r="BC110" s="4049"/>
      <c r="BD110" s="4049"/>
      <c r="BE110" s="3768"/>
      <c r="BF110" s="3481"/>
      <c r="BG110" s="3948"/>
      <c r="BH110" s="3948"/>
      <c r="BI110" s="4364"/>
      <c r="BJ110" s="4364"/>
      <c r="BK110" s="3948"/>
      <c r="BL110" s="3948"/>
      <c r="BM110" s="4364"/>
      <c r="BN110" s="4364"/>
    </row>
    <row r="111" spans="2:66" ht="15" x14ac:dyDescent="0.25">
      <c r="B111" s="1779" t="s">
        <v>573</v>
      </c>
      <c r="C111" s="3479" t="s">
        <v>50</v>
      </c>
      <c r="D111" s="3938"/>
      <c r="E111" s="3221"/>
      <c r="F111" s="3470">
        <v>0.33200000000000002</v>
      </c>
      <c r="G111" s="3221"/>
      <c r="H111" s="3470"/>
      <c r="I111" s="3755"/>
      <c r="J111" s="107">
        <f>+F111+H111</f>
        <v>0.33200000000000002</v>
      </c>
      <c r="K111" s="3473"/>
      <c r="L111" s="3470">
        <v>3.7719999999999998</v>
      </c>
      <c r="M111" s="4048"/>
      <c r="N111" s="3134">
        <f t="shared" ref="N111:N132" si="333">+L111+H111+F111</f>
        <v>4.1040000000000001</v>
      </c>
      <c r="O111" s="3473"/>
      <c r="P111" s="3470">
        <v>3.0430000000000001</v>
      </c>
      <c r="Q111" s="3768"/>
      <c r="R111" s="3755">
        <f>+N111+P111</f>
        <v>7.1470000000000002</v>
      </c>
      <c r="S111" s="3473"/>
      <c r="T111" s="3470"/>
      <c r="U111" s="3768"/>
      <c r="V111" s="3755">
        <f>+R111+T111</f>
        <v>7.1470000000000002</v>
      </c>
      <c r="W111" s="3473"/>
      <c r="X111" s="3470">
        <v>0.754</v>
      </c>
      <c r="Y111" s="4048"/>
      <c r="Z111" s="3134">
        <f t="shared" ref="Z111:Z132" si="334">+X111+T111+P111</f>
        <v>3.7970000000000002</v>
      </c>
      <c r="AA111" s="4049"/>
      <c r="AB111" s="3179">
        <f t="shared" ref="AB111:AB132" si="335">+Z111+N111</f>
        <v>7.9009999999999998</v>
      </c>
      <c r="AC111" s="3473"/>
      <c r="AD111" s="3470">
        <v>2.68</v>
      </c>
      <c r="AE111" s="3768"/>
      <c r="AF111" s="3755">
        <f>+AB111+AD111</f>
        <v>10.581</v>
      </c>
      <c r="AG111" s="3473"/>
      <c r="AH111" s="3470"/>
      <c r="AI111" s="3768"/>
      <c r="AJ111" s="3755">
        <f>+AF111+AH111</f>
        <v>10.581</v>
      </c>
      <c r="AK111" s="3473"/>
      <c r="AL111" s="3470">
        <v>0.33600000000000002</v>
      </c>
      <c r="AM111" s="4048"/>
      <c r="AN111" s="3134">
        <f t="shared" ref="AN111:AN132" si="336">+AL111+AH111+AD111</f>
        <v>3.016</v>
      </c>
      <c r="AO111" s="3768"/>
      <c r="AP111" s="3133">
        <f t="shared" ref="AP111:AP132" si="337">+AL111+AJ111</f>
        <v>10.917</v>
      </c>
      <c r="AQ111" s="3473"/>
      <c r="AR111" s="6147">
        <v>5.73</v>
      </c>
      <c r="AS111" s="3768"/>
      <c r="AT111" s="6146">
        <f>+AP111+AR111</f>
        <v>16.646999999999998</v>
      </c>
      <c r="AU111" s="3473"/>
      <c r="AV111" s="6264">
        <v>3.4390000000000001</v>
      </c>
      <c r="AW111" s="3768"/>
      <c r="AX111" s="6256">
        <f>+AT111+AV111</f>
        <v>20.085999999999999</v>
      </c>
      <c r="AY111" s="3473"/>
      <c r="AZ111" s="6436">
        <v>0.88</v>
      </c>
      <c r="BA111" s="4048"/>
      <c r="BB111" s="3134">
        <f t="shared" ref="BB111:BB132" si="338">+AZ111+AV111+AR111</f>
        <v>10.048999999999999</v>
      </c>
      <c r="BC111" s="4049"/>
      <c r="BD111" s="3179">
        <f t="shared" ref="BD111:BD132" si="339">+BB111+AN111</f>
        <v>13.065</v>
      </c>
      <c r="BE111" s="3768"/>
      <c r="BF111" s="39">
        <f>+AX111+AZ111</f>
        <v>20.965999999999998</v>
      </c>
      <c r="BG111" s="3948"/>
      <c r="BH111" s="3948"/>
      <c r="BI111" s="4364"/>
      <c r="BJ111" s="4364"/>
      <c r="BK111" s="3948"/>
      <c r="BL111" s="3948"/>
      <c r="BM111" s="4364"/>
      <c r="BN111" s="4364"/>
    </row>
    <row r="112" spans="2:66" ht="15" x14ac:dyDescent="0.25">
      <c r="B112" s="1779" t="s">
        <v>800</v>
      </c>
      <c r="C112" s="3479" t="s">
        <v>50</v>
      </c>
      <c r="D112" s="3938"/>
      <c r="E112" s="3221"/>
      <c r="F112" s="3470">
        <v>3.9220000000000002</v>
      </c>
      <c r="G112" s="3221"/>
      <c r="H112" s="3470">
        <v>3.64</v>
      </c>
      <c r="I112" s="3755"/>
      <c r="J112" s="107">
        <f t="shared" ref="J112:J131" si="340">+F112+H112</f>
        <v>7.5620000000000003</v>
      </c>
      <c r="K112" s="3473"/>
      <c r="L112" s="3470"/>
      <c r="M112" s="4048"/>
      <c r="N112" s="3134">
        <f t="shared" si="333"/>
        <v>7.5620000000000003</v>
      </c>
      <c r="O112" s="3473"/>
      <c r="P112" s="3470">
        <v>7.5469999999999997</v>
      </c>
      <c r="Q112" s="3768"/>
      <c r="R112" s="3755">
        <f t="shared" ref="R112:R132" si="341">+N112+P112</f>
        <v>15.109</v>
      </c>
      <c r="S112" s="3473"/>
      <c r="T112" s="3480">
        <v>1.2</v>
      </c>
      <c r="U112" s="3768"/>
      <c r="V112" s="3755">
        <f t="shared" ref="V112:V132" si="342">+R112+T112</f>
        <v>16.309000000000001</v>
      </c>
      <c r="W112" s="3473"/>
      <c r="X112" s="3480">
        <v>5.35</v>
      </c>
      <c r="Y112" s="4048"/>
      <c r="Z112" s="3134">
        <f t="shared" si="334"/>
        <v>14.097</v>
      </c>
      <c r="AA112" s="4049"/>
      <c r="AB112" s="3179">
        <f t="shared" si="335"/>
        <v>21.658999999999999</v>
      </c>
      <c r="AC112" s="3473"/>
      <c r="AD112" s="3480">
        <v>2.4</v>
      </c>
      <c r="AE112" s="3768"/>
      <c r="AF112" s="3755">
        <f t="shared" ref="AF112:AF132" si="343">+AB112+AD112</f>
        <v>24.058999999999997</v>
      </c>
      <c r="AG112" s="3473"/>
      <c r="AH112" s="3480"/>
      <c r="AI112" s="3768"/>
      <c r="AJ112" s="3755">
        <f t="shared" ref="AJ112:AJ132" si="344">+AF112+AH112</f>
        <v>24.058999999999997</v>
      </c>
      <c r="AK112" s="3473"/>
      <c r="AL112" s="3480">
        <v>4.9400000000000004</v>
      </c>
      <c r="AM112" s="4048"/>
      <c r="AN112" s="3134">
        <f t="shared" si="336"/>
        <v>7.34</v>
      </c>
      <c r="AO112" s="3768"/>
      <c r="AP112" s="3133">
        <f t="shared" si="337"/>
        <v>28.998999999999999</v>
      </c>
      <c r="AQ112" s="3473"/>
      <c r="AR112" s="6147">
        <v>4.665</v>
      </c>
      <c r="AS112" s="3768"/>
      <c r="AT112" s="6146">
        <f t="shared" ref="AT112:AT132" si="345">+AP112+AR112</f>
        <v>33.664000000000001</v>
      </c>
      <c r="AU112" s="3473"/>
      <c r="AV112" s="6264">
        <v>5.9980000000000002</v>
      </c>
      <c r="AW112" s="3768"/>
      <c r="AX112" s="6256">
        <f t="shared" ref="AX112:AX132" si="346">+AT112+AV112</f>
        <v>39.661999999999999</v>
      </c>
      <c r="AY112" s="3473"/>
      <c r="AZ112" s="6436">
        <v>7.2080000000000002</v>
      </c>
      <c r="BA112" s="4048"/>
      <c r="BB112" s="3134">
        <f t="shared" si="338"/>
        <v>17.870999999999999</v>
      </c>
      <c r="BC112" s="4049"/>
      <c r="BD112" s="3179">
        <f t="shared" si="339"/>
        <v>25.210999999999999</v>
      </c>
      <c r="BE112" s="3768"/>
      <c r="BF112" s="39">
        <f t="shared" ref="BF112:BF132" si="347">+AX112+AZ112</f>
        <v>46.87</v>
      </c>
      <c r="BG112" s="3948"/>
      <c r="BH112" s="3948"/>
      <c r="BI112" s="4364"/>
      <c r="BJ112" s="4364"/>
      <c r="BK112" s="3948"/>
      <c r="BL112" s="3948"/>
      <c r="BM112" s="4364"/>
      <c r="BN112" s="4364"/>
    </row>
    <row r="113" spans="2:66" ht="15" x14ac:dyDescent="0.25">
      <c r="B113" s="1779" t="s">
        <v>572</v>
      </c>
      <c r="C113" s="3479" t="s">
        <v>50</v>
      </c>
      <c r="D113" s="3938"/>
      <c r="E113" s="3221"/>
      <c r="F113" s="3470">
        <v>83</v>
      </c>
      <c r="G113" s="3221"/>
      <c r="H113" s="3470">
        <v>43</v>
      </c>
      <c r="I113" s="3755"/>
      <c r="J113" s="107">
        <f t="shared" si="340"/>
        <v>126</v>
      </c>
      <c r="K113" s="3473"/>
      <c r="L113" s="3470">
        <v>41</v>
      </c>
      <c r="M113" s="4048"/>
      <c r="N113" s="3134">
        <f t="shared" si="333"/>
        <v>167</v>
      </c>
      <c r="O113" s="3473"/>
      <c r="P113" s="3470">
        <v>129</v>
      </c>
      <c r="Q113" s="3768"/>
      <c r="R113" s="3755">
        <f t="shared" si="341"/>
        <v>296</v>
      </c>
      <c r="S113" s="3473"/>
      <c r="T113" s="3480">
        <v>85</v>
      </c>
      <c r="U113" s="3768"/>
      <c r="V113" s="3755">
        <f t="shared" si="342"/>
        <v>381</v>
      </c>
      <c r="W113" s="3473"/>
      <c r="X113" s="3480">
        <v>76</v>
      </c>
      <c r="Y113" s="4048"/>
      <c r="Z113" s="3134">
        <f t="shared" si="334"/>
        <v>290</v>
      </c>
      <c r="AA113" s="4049"/>
      <c r="AB113" s="3179">
        <f t="shared" si="335"/>
        <v>457</v>
      </c>
      <c r="AC113" s="3473"/>
      <c r="AD113" s="3480">
        <v>81</v>
      </c>
      <c r="AE113" s="3768"/>
      <c r="AF113" s="3755">
        <f t="shared" si="343"/>
        <v>538</v>
      </c>
      <c r="AG113" s="3473"/>
      <c r="AH113" s="3480"/>
      <c r="AI113" s="3768"/>
      <c r="AJ113" s="3755">
        <f t="shared" si="344"/>
        <v>538</v>
      </c>
      <c r="AK113" s="3473"/>
      <c r="AL113" s="3480">
        <v>37</v>
      </c>
      <c r="AM113" s="4048"/>
      <c r="AN113" s="3134">
        <f t="shared" si="336"/>
        <v>118</v>
      </c>
      <c r="AO113" s="3768"/>
      <c r="AP113" s="3133">
        <f t="shared" si="337"/>
        <v>575</v>
      </c>
      <c r="AQ113" s="3473"/>
      <c r="AR113" s="6147">
        <v>120</v>
      </c>
      <c r="AS113" s="3768"/>
      <c r="AT113" s="6146">
        <f t="shared" si="345"/>
        <v>695</v>
      </c>
      <c r="AU113" s="3473"/>
      <c r="AV113" s="6264">
        <v>86</v>
      </c>
      <c r="AW113" s="3768"/>
      <c r="AX113" s="6256">
        <f t="shared" si="346"/>
        <v>781</v>
      </c>
      <c r="AY113" s="3473"/>
      <c r="AZ113" s="6436">
        <v>30</v>
      </c>
      <c r="BA113" s="4048"/>
      <c r="BB113" s="3134">
        <f t="shared" si="338"/>
        <v>236</v>
      </c>
      <c r="BC113" s="4049"/>
      <c r="BD113" s="3179">
        <f t="shared" si="339"/>
        <v>354</v>
      </c>
      <c r="BE113" s="3768"/>
      <c r="BF113" s="39">
        <f t="shared" si="347"/>
        <v>811</v>
      </c>
      <c r="BG113" s="3948"/>
      <c r="BH113" s="3948"/>
      <c r="BI113" s="4364"/>
      <c r="BJ113" s="4364"/>
      <c r="BK113" s="3948"/>
      <c r="BL113" s="3948"/>
      <c r="BM113" s="4364"/>
      <c r="BN113" s="4364"/>
    </row>
    <row r="114" spans="2:66" ht="15" x14ac:dyDescent="0.25">
      <c r="B114" s="1779" t="s">
        <v>704</v>
      </c>
      <c r="C114" s="3479" t="s">
        <v>50</v>
      </c>
      <c r="D114" s="3938"/>
      <c r="E114" s="3221"/>
      <c r="F114" s="3470">
        <v>11</v>
      </c>
      <c r="G114" s="3221"/>
      <c r="H114" s="3470">
        <v>5.05</v>
      </c>
      <c r="I114" s="3755"/>
      <c r="J114" s="107">
        <f t="shared" si="340"/>
        <v>16.05</v>
      </c>
      <c r="K114" s="3473"/>
      <c r="L114" s="3470">
        <v>9.93</v>
      </c>
      <c r="M114" s="4048"/>
      <c r="N114" s="3134">
        <f t="shared" si="333"/>
        <v>25.98</v>
      </c>
      <c r="O114" s="3473"/>
      <c r="P114" s="3470">
        <v>10.16</v>
      </c>
      <c r="Q114" s="3768"/>
      <c r="R114" s="3755">
        <f t="shared" si="341"/>
        <v>36.14</v>
      </c>
      <c r="S114" s="3473"/>
      <c r="T114" s="3480">
        <v>10.41</v>
      </c>
      <c r="U114" s="3768"/>
      <c r="V114" s="3755">
        <f t="shared" si="342"/>
        <v>46.55</v>
      </c>
      <c r="W114" s="3473"/>
      <c r="X114" s="3480">
        <v>5.46</v>
      </c>
      <c r="Y114" s="4048"/>
      <c r="Z114" s="3134">
        <f t="shared" si="334"/>
        <v>26.03</v>
      </c>
      <c r="AA114" s="4049"/>
      <c r="AB114" s="3179">
        <f t="shared" si="335"/>
        <v>52.010000000000005</v>
      </c>
      <c r="AC114" s="3473"/>
      <c r="AD114" s="3480">
        <v>4.9000000000000004</v>
      </c>
      <c r="AE114" s="3768"/>
      <c r="AF114" s="3755">
        <f t="shared" si="343"/>
        <v>56.910000000000004</v>
      </c>
      <c r="AG114" s="3473"/>
      <c r="AH114" s="3480"/>
      <c r="AI114" s="3768"/>
      <c r="AJ114" s="3755">
        <f t="shared" si="344"/>
        <v>56.910000000000004</v>
      </c>
      <c r="AK114" s="3473"/>
      <c r="AL114" s="3480">
        <v>17.62</v>
      </c>
      <c r="AM114" s="4048"/>
      <c r="AN114" s="3134">
        <f t="shared" si="336"/>
        <v>22.520000000000003</v>
      </c>
      <c r="AO114" s="3768"/>
      <c r="AP114" s="3133">
        <f t="shared" si="337"/>
        <v>74.53</v>
      </c>
      <c r="AQ114" s="3473"/>
      <c r="AR114" s="6147">
        <v>14.14</v>
      </c>
      <c r="AS114" s="3768"/>
      <c r="AT114" s="6146">
        <f t="shared" si="345"/>
        <v>88.67</v>
      </c>
      <c r="AU114" s="3473"/>
      <c r="AV114" s="6264">
        <v>14.13</v>
      </c>
      <c r="AW114" s="3768"/>
      <c r="AX114" s="6256">
        <f t="shared" si="346"/>
        <v>102.8</v>
      </c>
      <c r="AY114" s="3473"/>
      <c r="AZ114" s="6436">
        <v>9.93</v>
      </c>
      <c r="BA114" s="4048"/>
      <c r="BB114" s="3134">
        <f t="shared" si="338"/>
        <v>38.200000000000003</v>
      </c>
      <c r="BC114" s="4049"/>
      <c r="BD114" s="3179">
        <f t="shared" si="339"/>
        <v>60.720000000000006</v>
      </c>
      <c r="BE114" s="3768"/>
      <c r="BF114" s="39">
        <f t="shared" si="347"/>
        <v>112.72999999999999</v>
      </c>
      <c r="BG114" s="3948"/>
      <c r="BH114" s="3948"/>
      <c r="BI114" s="4364"/>
      <c r="BJ114" s="4364"/>
      <c r="BK114" s="3948"/>
      <c r="BL114" s="3948"/>
      <c r="BM114" s="4364"/>
      <c r="BN114" s="4364"/>
    </row>
    <row r="115" spans="2:66" ht="15" x14ac:dyDescent="0.25">
      <c r="B115" s="1779" t="s">
        <v>1763</v>
      </c>
      <c r="C115" s="3479" t="s">
        <v>50</v>
      </c>
      <c r="D115" s="3938"/>
      <c r="E115" s="3221"/>
      <c r="F115" s="3470"/>
      <c r="G115" s="3221"/>
      <c r="H115" s="3470"/>
      <c r="I115" s="3755"/>
      <c r="J115" s="107">
        <f t="shared" si="340"/>
        <v>0</v>
      </c>
      <c r="K115" s="3473"/>
      <c r="L115" s="3470"/>
      <c r="M115" s="4048"/>
      <c r="N115" s="3134">
        <f t="shared" si="333"/>
        <v>0</v>
      </c>
      <c r="O115" s="3473"/>
      <c r="P115" s="3470"/>
      <c r="Q115" s="3768"/>
      <c r="R115" s="3755">
        <f t="shared" si="341"/>
        <v>0</v>
      </c>
      <c r="S115" s="3473"/>
      <c r="T115" s="3480"/>
      <c r="U115" s="3768"/>
      <c r="V115" s="3755">
        <f t="shared" si="342"/>
        <v>0</v>
      </c>
      <c r="W115" s="3473"/>
      <c r="X115" s="3480"/>
      <c r="Y115" s="4048"/>
      <c r="Z115" s="3134">
        <f t="shared" si="334"/>
        <v>0</v>
      </c>
      <c r="AA115" s="4049"/>
      <c r="AB115" s="3179">
        <f t="shared" si="335"/>
        <v>0</v>
      </c>
      <c r="AC115" s="3473"/>
      <c r="AD115" s="3480"/>
      <c r="AE115" s="3768"/>
      <c r="AF115" s="3755">
        <f t="shared" si="343"/>
        <v>0</v>
      </c>
      <c r="AG115" s="3473"/>
      <c r="AH115" s="3480"/>
      <c r="AI115" s="3768"/>
      <c r="AJ115" s="3755">
        <f t="shared" si="344"/>
        <v>0</v>
      </c>
      <c r="AK115" s="3473"/>
      <c r="AL115" s="3480"/>
      <c r="AM115" s="4048"/>
      <c r="AN115" s="3134">
        <f t="shared" si="336"/>
        <v>0</v>
      </c>
      <c r="AO115" s="3768"/>
      <c r="AP115" s="3133">
        <f t="shared" si="337"/>
        <v>0</v>
      </c>
      <c r="AQ115" s="3473"/>
      <c r="AR115" s="6147"/>
      <c r="AS115" s="3768"/>
      <c r="AT115" s="6146">
        <f t="shared" si="345"/>
        <v>0</v>
      </c>
      <c r="AU115" s="3473"/>
      <c r="AV115" s="6264"/>
      <c r="AW115" s="3768"/>
      <c r="AX115" s="6256">
        <f t="shared" si="346"/>
        <v>0</v>
      </c>
      <c r="AY115" s="3473"/>
      <c r="AZ115" s="6436"/>
      <c r="BA115" s="4048"/>
      <c r="BB115" s="3134">
        <f t="shared" si="338"/>
        <v>0</v>
      </c>
      <c r="BC115" s="4049"/>
      <c r="BD115" s="3179">
        <f t="shared" si="339"/>
        <v>0</v>
      </c>
      <c r="BE115" s="3768"/>
      <c r="BF115" s="39">
        <f t="shared" si="347"/>
        <v>0</v>
      </c>
      <c r="BG115" s="3948"/>
      <c r="BH115" s="3948"/>
      <c r="BI115" s="4364"/>
      <c r="BJ115" s="4364"/>
      <c r="BK115" s="3948"/>
      <c r="BL115" s="3948"/>
      <c r="BM115" s="4364"/>
      <c r="BN115" s="4364"/>
    </row>
    <row r="116" spans="2:66" ht="15" x14ac:dyDescent="0.25">
      <c r="B116" s="1779" t="s">
        <v>19</v>
      </c>
      <c r="C116" s="3479" t="s">
        <v>50</v>
      </c>
      <c r="D116" s="3938"/>
      <c r="E116" s="3221"/>
      <c r="F116" s="3470"/>
      <c r="G116" s="3221"/>
      <c r="H116" s="3470">
        <v>773.1</v>
      </c>
      <c r="I116" s="3755"/>
      <c r="J116" s="107">
        <f t="shared" si="340"/>
        <v>773.1</v>
      </c>
      <c r="K116" s="3473"/>
      <c r="L116" s="3470"/>
      <c r="M116" s="4048"/>
      <c r="N116" s="3134">
        <f t="shared" si="333"/>
        <v>773.1</v>
      </c>
      <c r="O116" s="3473"/>
      <c r="P116" s="3470"/>
      <c r="Q116" s="3768"/>
      <c r="R116" s="3755">
        <f t="shared" si="341"/>
        <v>773.1</v>
      </c>
      <c r="S116" s="3473"/>
      <c r="T116" s="3470">
        <v>1245.8</v>
      </c>
      <c r="U116" s="3768"/>
      <c r="V116" s="3755">
        <f t="shared" si="342"/>
        <v>2018.9</v>
      </c>
      <c r="W116" s="3473"/>
      <c r="X116" s="3470">
        <v>1327.9</v>
      </c>
      <c r="Y116" s="4048"/>
      <c r="Z116" s="3134">
        <f t="shared" si="334"/>
        <v>2573.6999999999998</v>
      </c>
      <c r="AA116" s="4049"/>
      <c r="AB116" s="3179">
        <f t="shared" si="335"/>
        <v>3346.7999999999997</v>
      </c>
      <c r="AC116" s="3473"/>
      <c r="AD116" s="3470">
        <v>749.4</v>
      </c>
      <c r="AE116" s="3768"/>
      <c r="AF116" s="3755">
        <f t="shared" si="343"/>
        <v>4096.2</v>
      </c>
      <c r="AG116" s="3473"/>
      <c r="AH116" s="3470">
        <v>50</v>
      </c>
      <c r="AI116" s="3768"/>
      <c r="AJ116" s="3755">
        <f t="shared" si="344"/>
        <v>4146.2</v>
      </c>
      <c r="AK116" s="3473"/>
      <c r="AL116" s="3470">
        <v>125</v>
      </c>
      <c r="AM116" s="4048"/>
      <c r="AN116" s="3134">
        <f t="shared" si="336"/>
        <v>924.4</v>
      </c>
      <c r="AO116" s="3768"/>
      <c r="AP116" s="3133">
        <f t="shared" si="337"/>
        <v>4271.2</v>
      </c>
      <c r="AQ116" s="3473"/>
      <c r="AR116" s="6147">
        <v>50</v>
      </c>
      <c r="AS116" s="3768"/>
      <c r="AT116" s="6146">
        <f t="shared" si="345"/>
        <v>4321.2</v>
      </c>
      <c r="AU116" s="3473"/>
      <c r="AV116" s="6264">
        <v>1650.8</v>
      </c>
      <c r="AW116" s="3768"/>
      <c r="AX116" s="6256">
        <f t="shared" si="346"/>
        <v>5972</v>
      </c>
      <c r="AY116" s="3473"/>
      <c r="AZ116" s="6436">
        <v>134</v>
      </c>
      <c r="BA116" s="4048"/>
      <c r="BB116" s="3134">
        <f t="shared" si="338"/>
        <v>1834.8</v>
      </c>
      <c r="BC116" s="4049"/>
      <c r="BD116" s="3179">
        <f t="shared" si="339"/>
        <v>2759.2</v>
      </c>
      <c r="BE116" s="3768"/>
      <c r="BF116" s="39">
        <f t="shared" si="347"/>
        <v>6106</v>
      </c>
      <c r="BG116" s="3948"/>
      <c r="BH116" s="3948"/>
      <c r="BI116" s="4364"/>
      <c r="BJ116" s="4364"/>
      <c r="BK116" s="3948"/>
      <c r="BL116" s="3948"/>
      <c r="BM116" s="4364"/>
      <c r="BN116" s="4364"/>
    </row>
    <row r="117" spans="2:66" ht="15" x14ac:dyDescent="0.25">
      <c r="B117" s="1779" t="s">
        <v>614</v>
      </c>
      <c r="C117" s="3479" t="s">
        <v>50</v>
      </c>
      <c r="D117" s="3938"/>
      <c r="E117" s="3221"/>
      <c r="F117" s="3470">
        <v>71.221999999999994</v>
      </c>
      <c r="G117" s="3221"/>
      <c r="H117" s="3470">
        <v>83.968000000000004</v>
      </c>
      <c r="I117" s="3755"/>
      <c r="J117" s="107">
        <f t="shared" si="340"/>
        <v>155.19</v>
      </c>
      <c r="K117" s="3473"/>
      <c r="L117" s="3470">
        <v>48.651000000000003</v>
      </c>
      <c r="M117" s="4048"/>
      <c r="N117" s="3134">
        <f t="shared" si="333"/>
        <v>203.84100000000001</v>
      </c>
      <c r="O117" s="3473"/>
      <c r="P117" s="3470">
        <v>74.94</v>
      </c>
      <c r="Q117" s="3768"/>
      <c r="R117" s="3755">
        <f t="shared" si="341"/>
        <v>278.78100000000001</v>
      </c>
      <c r="S117" s="3473"/>
      <c r="T117" s="3480">
        <v>70.518000000000001</v>
      </c>
      <c r="U117" s="3768"/>
      <c r="V117" s="3755">
        <f t="shared" si="342"/>
        <v>349.29899999999998</v>
      </c>
      <c r="W117" s="3473"/>
      <c r="X117" s="3480">
        <v>77.156999999999996</v>
      </c>
      <c r="Y117" s="4048"/>
      <c r="Z117" s="3134">
        <f t="shared" si="334"/>
        <v>222.61500000000001</v>
      </c>
      <c r="AA117" s="4049"/>
      <c r="AB117" s="3166">
        <f t="shared" si="335"/>
        <v>426.45600000000002</v>
      </c>
      <c r="AC117" s="3473"/>
      <c r="AD117" s="3480">
        <v>78.554000000000002</v>
      </c>
      <c r="AE117" s="3768"/>
      <c r="AF117" s="3755">
        <f t="shared" si="343"/>
        <v>505.01</v>
      </c>
      <c r="AG117" s="3473"/>
      <c r="AH117" s="3480">
        <v>2.5</v>
      </c>
      <c r="AI117" s="3768"/>
      <c r="AJ117" s="3755">
        <f t="shared" si="344"/>
        <v>507.51</v>
      </c>
      <c r="AK117" s="3473"/>
      <c r="AL117" s="3480">
        <v>75.176000000000002</v>
      </c>
      <c r="AM117" s="4048"/>
      <c r="AN117" s="3134">
        <f t="shared" si="336"/>
        <v>156.23000000000002</v>
      </c>
      <c r="AO117" s="3768"/>
      <c r="AP117" s="3133">
        <f t="shared" si="337"/>
        <v>582.68600000000004</v>
      </c>
      <c r="AQ117" s="3473"/>
      <c r="AR117" s="6147">
        <v>82.22</v>
      </c>
      <c r="AS117" s="3768"/>
      <c r="AT117" s="6146">
        <f t="shared" si="345"/>
        <v>664.90600000000006</v>
      </c>
      <c r="AU117" s="3473"/>
      <c r="AV117" s="6264">
        <v>72.302000000000007</v>
      </c>
      <c r="AW117" s="3768"/>
      <c r="AX117" s="6256">
        <f t="shared" si="346"/>
        <v>737.20800000000008</v>
      </c>
      <c r="AY117" s="3473"/>
      <c r="AZ117" s="6436">
        <v>73.171000000000006</v>
      </c>
      <c r="BA117" s="4048"/>
      <c r="BB117" s="3134">
        <f t="shared" si="338"/>
        <v>227.69300000000001</v>
      </c>
      <c r="BC117" s="4049"/>
      <c r="BD117" s="3179">
        <f t="shared" si="339"/>
        <v>383.923</v>
      </c>
      <c r="BE117" s="3768"/>
      <c r="BF117" s="39">
        <f t="shared" si="347"/>
        <v>810.37900000000013</v>
      </c>
      <c r="BG117" s="3948"/>
      <c r="BH117" s="3948"/>
      <c r="BI117" s="4364"/>
      <c r="BJ117" s="4364"/>
      <c r="BK117" s="3948"/>
      <c r="BL117" s="3948"/>
      <c r="BM117" s="4364"/>
      <c r="BN117" s="4364"/>
    </row>
    <row r="118" spans="2:66" ht="15" x14ac:dyDescent="0.25">
      <c r="B118" s="1779" t="s">
        <v>1985</v>
      </c>
      <c r="C118" s="3479" t="s">
        <v>50</v>
      </c>
      <c r="D118" s="3938"/>
      <c r="E118" s="3221"/>
      <c r="F118" s="3470">
        <v>64.45</v>
      </c>
      <c r="G118" s="3221"/>
      <c r="H118" s="3470">
        <v>58.99</v>
      </c>
      <c r="I118" s="3755"/>
      <c r="J118" s="107">
        <f t="shared" si="340"/>
        <v>123.44</v>
      </c>
      <c r="K118" s="3473"/>
      <c r="L118" s="3470"/>
      <c r="M118" s="4048"/>
      <c r="N118" s="3134">
        <f t="shared" si="333"/>
        <v>123.44</v>
      </c>
      <c r="O118" s="3473"/>
      <c r="P118" s="3470"/>
      <c r="Q118" s="3768"/>
      <c r="R118" s="3755">
        <f t="shared" si="341"/>
        <v>123.44</v>
      </c>
      <c r="S118" s="3473"/>
      <c r="T118" s="3480"/>
      <c r="U118" s="3768"/>
      <c r="V118" s="3755">
        <f t="shared" si="342"/>
        <v>123.44</v>
      </c>
      <c r="W118" s="3473"/>
      <c r="X118" s="3480">
        <v>2.7</v>
      </c>
      <c r="Y118" s="4048"/>
      <c r="Z118" s="3134">
        <f t="shared" si="334"/>
        <v>2.7</v>
      </c>
      <c r="AA118" s="4049"/>
      <c r="AB118" s="3179">
        <f t="shared" si="335"/>
        <v>126.14</v>
      </c>
      <c r="AC118" s="3473"/>
      <c r="AD118" s="3480">
        <v>2.7</v>
      </c>
      <c r="AE118" s="3768"/>
      <c r="AF118" s="3755">
        <f t="shared" si="343"/>
        <v>128.84</v>
      </c>
      <c r="AG118" s="3473"/>
      <c r="AH118" s="3480"/>
      <c r="AI118" s="3768"/>
      <c r="AJ118" s="3755">
        <f t="shared" si="344"/>
        <v>128.84</v>
      </c>
      <c r="AK118" s="3473"/>
      <c r="AL118" s="3480">
        <v>13.5</v>
      </c>
      <c r="AM118" s="4048"/>
      <c r="AN118" s="3134">
        <f t="shared" si="336"/>
        <v>16.2</v>
      </c>
      <c r="AO118" s="3768"/>
      <c r="AP118" s="3133">
        <f t="shared" si="337"/>
        <v>142.34</v>
      </c>
      <c r="AQ118" s="3473"/>
      <c r="AR118" s="6147"/>
      <c r="AS118" s="3768"/>
      <c r="AT118" s="6146">
        <f t="shared" si="345"/>
        <v>142.34</v>
      </c>
      <c r="AU118" s="3473"/>
      <c r="AV118" s="6264">
        <v>13.5</v>
      </c>
      <c r="AW118" s="3768"/>
      <c r="AX118" s="6256">
        <f t="shared" si="346"/>
        <v>155.84</v>
      </c>
      <c r="AY118" s="3473"/>
      <c r="AZ118" s="6436">
        <v>42.360999999999997</v>
      </c>
      <c r="BA118" s="4048"/>
      <c r="BB118" s="3134">
        <f t="shared" si="338"/>
        <v>55.860999999999997</v>
      </c>
      <c r="BC118" s="4049"/>
      <c r="BD118" s="3179">
        <f t="shared" si="339"/>
        <v>72.060999999999993</v>
      </c>
      <c r="BE118" s="3768"/>
      <c r="BF118" s="39">
        <f t="shared" si="347"/>
        <v>198.20099999999999</v>
      </c>
      <c r="BG118" s="3948"/>
      <c r="BH118" s="3948"/>
      <c r="BI118" s="4364"/>
      <c r="BJ118" s="4364"/>
      <c r="BK118" s="3948"/>
      <c r="BL118" s="3948"/>
      <c r="BM118" s="4364"/>
      <c r="BN118" s="4364"/>
    </row>
    <row r="119" spans="2:66" ht="15" x14ac:dyDescent="0.25">
      <c r="B119" s="1779" t="s">
        <v>705</v>
      </c>
      <c r="C119" s="3479" t="s">
        <v>50</v>
      </c>
      <c r="D119" s="3938"/>
      <c r="E119" s="3221"/>
      <c r="F119" s="3470">
        <v>5.05</v>
      </c>
      <c r="G119" s="3221"/>
      <c r="H119" s="3470">
        <v>5.1440000000000001</v>
      </c>
      <c r="I119" s="3755"/>
      <c r="J119" s="107">
        <f t="shared" si="340"/>
        <v>10.193999999999999</v>
      </c>
      <c r="K119" s="3473"/>
      <c r="L119" s="3470">
        <v>1.5</v>
      </c>
      <c r="M119" s="4048"/>
      <c r="N119" s="3134">
        <f t="shared" si="333"/>
        <v>11.693999999999999</v>
      </c>
      <c r="O119" s="3473"/>
      <c r="P119" s="3470">
        <v>6.95</v>
      </c>
      <c r="Q119" s="3768"/>
      <c r="R119" s="3755">
        <f t="shared" si="341"/>
        <v>18.643999999999998</v>
      </c>
      <c r="S119" s="3473"/>
      <c r="T119" s="3480">
        <v>7.35</v>
      </c>
      <c r="U119" s="3768"/>
      <c r="V119" s="3755">
        <f t="shared" si="342"/>
        <v>25.994</v>
      </c>
      <c r="W119" s="3473"/>
      <c r="X119" s="3480">
        <v>5.5</v>
      </c>
      <c r="Y119" s="4048"/>
      <c r="Z119" s="3134">
        <f t="shared" si="334"/>
        <v>19.8</v>
      </c>
      <c r="AA119" s="4049"/>
      <c r="AB119" s="3179">
        <f t="shared" si="335"/>
        <v>31.494</v>
      </c>
      <c r="AC119" s="3473"/>
      <c r="AD119" s="3480">
        <v>1.7</v>
      </c>
      <c r="AE119" s="3768"/>
      <c r="AF119" s="3755">
        <f t="shared" si="343"/>
        <v>33.194000000000003</v>
      </c>
      <c r="AG119" s="3473"/>
      <c r="AH119" s="3480"/>
      <c r="AI119" s="3768"/>
      <c r="AJ119" s="3755">
        <f t="shared" si="344"/>
        <v>33.194000000000003</v>
      </c>
      <c r="AK119" s="3473"/>
      <c r="AL119" s="3480">
        <v>9.5500000000000007</v>
      </c>
      <c r="AM119" s="4048"/>
      <c r="AN119" s="3134">
        <f t="shared" si="336"/>
        <v>11.25</v>
      </c>
      <c r="AO119" s="3768"/>
      <c r="AP119" s="3133">
        <f t="shared" si="337"/>
        <v>42.744</v>
      </c>
      <c r="AQ119" s="3473"/>
      <c r="AR119" s="6147">
        <v>10.35</v>
      </c>
      <c r="AS119" s="3768"/>
      <c r="AT119" s="6146">
        <f t="shared" si="345"/>
        <v>53.094000000000001</v>
      </c>
      <c r="AU119" s="3473"/>
      <c r="AV119" s="6264">
        <v>5.45</v>
      </c>
      <c r="AW119" s="3768"/>
      <c r="AX119" s="6256">
        <f t="shared" si="346"/>
        <v>58.544000000000004</v>
      </c>
      <c r="AY119" s="3473"/>
      <c r="AZ119" s="6436">
        <v>5.55</v>
      </c>
      <c r="BA119" s="4048"/>
      <c r="BB119" s="3134">
        <f t="shared" si="338"/>
        <v>21.35</v>
      </c>
      <c r="BC119" s="4049"/>
      <c r="BD119" s="3179">
        <f t="shared" si="339"/>
        <v>32.6</v>
      </c>
      <c r="BE119" s="3768"/>
      <c r="BF119" s="39">
        <f t="shared" si="347"/>
        <v>64.094000000000008</v>
      </c>
      <c r="BG119" s="3948"/>
      <c r="BH119" s="3948"/>
      <c r="BI119" s="4364"/>
      <c r="BJ119" s="4364"/>
      <c r="BK119" s="3948"/>
      <c r="BL119" s="3948"/>
      <c r="BM119" s="4364"/>
      <c r="BN119" s="4364"/>
    </row>
    <row r="120" spans="2:66" ht="15" x14ac:dyDescent="0.25">
      <c r="B120" s="1779" t="s">
        <v>571</v>
      </c>
      <c r="C120" s="3479" t="s">
        <v>50</v>
      </c>
      <c r="D120" s="3938"/>
      <c r="E120" s="3221"/>
      <c r="F120" s="3470">
        <v>0.245</v>
      </c>
      <c r="G120" s="3221"/>
      <c r="H120" s="3470">
        <v>0.185</v>
      </c>
      <c r="I120" s="3755"/>
      <c r="J120" s="107">
        <f t="shared" si="340"/>
        <v>0.43</v>
      </c>
      <c r="K120" s="3473"/>
      <c r="L120" s="3470"/>
      <c r="M120" s="4048"/>
      <c r="N120" s="3134">
        <f t="shared" si="333"/>
        <v>0.43</v>
      </c>
      <c r="O120" s="3473"/>
      <c r="P120" s="3470">
        <v>0.73499999999999999</v>
      </c>
      <c r="Q120" s="3768"/>
      <c r="R120" s="3755">
        <f t="shared" si="341"/>
        <v>1.165</v>
      </c>
      <c r="S120" s="3473"/>
      <c r="T120" s="3480">
        <v>0.39300000000000002</v>
      </c>
      <c r="U120" s="3768"/>
      <c r="V120" s="3755">
        <f t="shared" si="342"/>
        <v>1.5580000000000001</v>
      </c>
      <c r="W120" s="3473"/>
      <c r="X120" s="3480">
        <v>0.78</v>
      </c>
      <c r="Y120" s="4048"/>
      <c r="Z120" s="3134">
        <f t="shared" si="334"/>
        <v>1.9079999999999999</v>
      </c>
      <c r="AA120" s="4049"/>
      <c r="AB120" s="3179">
        <f t="shared" si="335"/>
        <v>2.3380000000000001</v>
      </c>
      <c r="AC120" s="3473"/>
      <c r="AD120" s="3480">
        <v>0.15</v>
      </c>
      <c r="AE120" s="3768"/>
      <c r="AF120" s="3755">
        <f t="shared" si="343"/>
        <v>2.488</v>
      </c>
      <c r="AG120" s="3473"/>
      <c r="AH120" s="3480"/>
      <c r="AI120" s="3768"/>
      <c r="AJ120" s="3755">
        <f t="shared" si="344"/>
        <v>2.488</v>
      </c>
      <c r="AK120" s="3473"/>
      <c r="AL120" s="3480">
        <v>0.33</v>
      </c>
      <c r="AM120" s="4048"/>
      <c r="AN120" s="3134">
        <f t="shared" si="336"/>
        <v>0.48</v>
      </c>
      <c r="AO120" s="3768"/>
      <c r="AP120" s="3133">
        <f t="shared" si="337"/>
        <v>2.8180000000000001</v>
      </c>
      <c r="AQ120" s="3473"/>
      <c r="AR120" s="6147">
        <v>0.54</v>
      </c>
      <c r="AS120" s="3768"/>
      <c r="AT120" s="6146">
        <f t="shared" si="345"/>
        <v>3.3580000000000001</v>
      </c>
      <c r="AU120" s="3473"/>
      <c r="AV120" s="6380">
        <v>0.21</v>
      </c>
      <c r="AW120" s="3768"/>
      <c r="AX120" s="6256">
        <f t="shared" si="346"/>
        <v>3.5680000000000001</v>
      </c>
      <c r="AY120" s="3473"/>
      <c r="AZ120" s="6436"/>
      <c r="BA120" s="4048"/>
      <c r="BB120" s="3134">
        <f t="shared" si="338"/>
        <v>0.75</v>
      </c>
      <c r="BC120" s="4049"/>
      <c r="BD120" s="3179">
        <f t="shared" si="339"/>
        <v>1.23</v>
      </c>
      <c r="BE120" s="3768"/>
      <c r="BF120" s="39">
        <f t="shared" si="347"/>
        <v>3.5680000000000001</v>
      </c>
      <c r="BG120" s="3948"/>
      <c r="BH120" s="3948"/>
      <c r="BI120" s="4364"/>
      <c r="BJ120" s="4364"/>
      <c r="BK120" s="3948"/>
      <c r="BL120" s="3948"/>
      <c r="BM120" s="4364"/>
      <c r="BN120" s="4364"/>
    </row>
    <row r="121" spans="2:66" ht="15" x14ac:dyDescent="0.25">
      <c r="B121" s="1779" t="s">
        <v>1381</v>
      </c>
      <c r="C121" s="3479" t="s">
        <v>50</v>
      </c>
      <c r="D121" s="3938"/>
      <c r="E121" s="3221"/>
      <c r="F121" s="3470"/>
      <c r="G121" s="3221"/>
      <c r="H121" s="3470"/>
      <c r="I121" s="3755"/>
      <c r="J121" s="107">
        <f t="shared" si="340"/>
        <v>0</v>
      </c>
      <c r="K121" s="3473"/>
      <c r="L121" s="3470"/>
      <c r="M121" s="4048"/>
      <c r="N121" s="3134">
        <f t="shared" si="333"/>
        <v>0</v>
      </c>
      <c r="O121" s="3473"/>
      <c r="P121" s="3470"/>
      <c r="Q121" s="3768"/>
      <c r="R121" s="3755">
        <f t="shared" si="341"/>
        <v>0</v>
      </c>
      <c r="S121" s="3473"/>
      <c r="T121" s="3480"/>
      <c r="U121" s="3768"/>
      <c r="V121" s="3755">
        <f t="shared" si="342"/>
        <v>0</v>
      </c>
      <c r="W121" s="3473"/>
      <c r="X121" s="3480"/>
      <c r="Y121" s="4048"/>
      <c r="Z121" s="3134">
        <f t="shared" si="334"/>
        <v>0</v>
      </c>
      <c r="AA121" s="4049"/>
      <c r="AB121" s="3179">
        <f t="shared" si="335"/>
        <v>0</v>
      </c>
      <c r="AC121" s="3473"/>
      <c r="AD121" s="3480"/>
      <c r="AE121" s="3768"/>
      <c r="AF121" s="3755">
        <f t="shared" si="343"/>
        <v>0</v>
      </c>
      <c r="AG121" s="3473"/>
      <c r="AH121" s="3480"/>
      <c r="AI121" s="3768"/>
      <c r="AJ121" s="3755">
        <f t="shared" si="344"/>
        <v>0</v>
      </c>
      <c r="AK121" s="3473"/>
      <c r="AL121" s="3480"/>
      <c r="AM121" s="4048"/>
      <c r="AN121" s="3134">
        <f t="shared" si="336"/>
        <v>0</v>
      </c>
      <c r="AO121" s="3768"/>
      <c r="AP121" s="3133">
        <f t="shared" si="337"/>
        <v>0</v>
      </c>
      <c r="AQ121" s="3473"/>
      <c r="AR121" s="6147"/>
      <c r="AS121" s="3768"/>
      <c r="AT121" s="6146">
        <f t="shared" si="345"/>
        <v>0</v>
      </c>
      <c r="AU121" s="3473"/>
      <c r="AV121" s="6264"/>
      <c r="AW121" s="3768"/>
      <c r="AX121" s="6256">
        <f t="shared" si="346"/>
        <v>0</v>
      </c>
      <c r="AY121" s="3473"/>
      <c r="AZ121" s="6436"/>
      <c r="BA121" s="4048"/>
      <c r="BB121" s="3134">
        <f t="shared" si="338"/>
        <v>0</v>
      </c>
      <c r="BC121" s="4049"/>
      <c r="BD121" s="3179">
        <f t="shared" si="339"/>
        <v>0</v>
      </c>
      <c r="BE121" s="3768"/>
      <c r="BF121" s="39">
        <f t="shared" si="347"/>
        <v>0</v>
      </c>
      <c r="BG121" s="3948"/>
      <c r="BH121" s="3948"/>
      <c r="BI121" s="4364"/>
      <c r="BJ121" s="4364"/>
      <c r="BK121" s="3948"/>
      <c r="BL121" s="3948"/>
      <c r="BM121" s="4364"/>
      <c r="BN121" s="4364"/>
    </row>
    <row r="122" spans="2:66" ht="15" x14ac:dyDescent="0.25">
      <c r="B122" s="1779" t="s">
        <v>926</v>
      </c>
      <c r="C122" s="3479" t="s">
        <v>50</v>
      </c>
      <c r="D122" s="3938"/>
      <c r="E122" s="3221"/>
      <c r="F122" s="3470"/>
      <c r="G122" s="3221"/>
      <c r="H122" s="3470"/>
      <c r="I122" s="3755"/>
      <c r="J122" s="107">
        <f t="shared" si="340"/>
        <v>0</v>
      </c>
      <c r="K122" s="3473"/>
      <c r="L122" s="3470"/>
      <c r="M122" s="4048"/>
      <c r="N122" s="3134">
        <f t="shared" si="333"/>
        <v>0</v>
      </c>
      <c r="O122" s="3473"/>
      <c r="P122" s="3470">
        <v>1035</v>
      </c>
      <c r="Q122" s="3768"/>
      <c r="R122" s="3755">
        <f t="shared" si="341"/>
        <v>1035</v>
      </c>
      <c r="S122" s="3473"/>
      <c r="T122" s="3480"/>
      <c r="U122" s="3768"/>
      <c r="V122" s="3755">
        <f t="shared" si="342"/>
        <v>1035</v>
      </c>
      <c r="W122" s="3473"/>
      <c r="X122" s="3480"/>
      <c r="Y122" s="4048"/>
      <c r="Z122" s="3134">
        <f t="shared" si="334"/>
        <v>1035</v>
      </c>
      <c r="AA122" s="4049"/>
      <c r="AB122" s="3179">
        <f t="shared" si="335"/>
        <v>1035</v>
      </c>
      <c r="AC122" s="3473"/>
      <c r="AD122" s="3480"/>
      <c r="AE122" s="3768"/>
      <c r="AF122" s="3755">
        <f t="shared" si="343"/>
        <v>1035</v>
      </c>
      <c r="AG122" s="3473"/>
      <c r="AH122" s="3480"/>
      <c r="AI122" s="3768"/>
      <c r="AJ122" s="3755">
        <f t="shared" si="344"/>
        <v>1035</v>
      </c>
      <c r="AK122" s="3473"/>
      <c r="AL122" s="3480"/>
      <c r="AM122" s="4048"/>
      <c r="AN122" s="3134">
        <f t="shared" si="336"/>
        <v>0</v>
      </c>
      <c r="AO122" s="3768"/>
      <c r="AP122" s="3133">
        <f t="shared" si="337"/>
        <v>1035</v>
      </c>
      <c r="AQ122" s="3473"/>
      <c r="AR122" s="6147"/>
      <c r="AS122" s="3768"/>
      <c r="AT122" s="6146">
        <f t="shared" si="345"/>
        <v>1035</v>
      </c>
      <c r="AU122" s="3473"/>
      <c r="AV122" s="6264"/>
      <c r="AW122" s="3768"/>
      <c r="AX122" s="6256">
        <f t="shared" si="346"/>
        <v>1035</v>
      </c>
      <c r="AY122" s="3473"/>
      <c r="AZ122" s="6436"/>
      <c r="BA122" s="4048"/>
      <c r="BB122" s="3134">
        <f t="shared" si="338"/>
        <v>0</v>
      </c>
      <c r="BC122" s="4049"/>
      <c r="BD122" s="3179">
        <f t="shared" si="339"/>
        <v>0</v>
      </c>
      <c r="BE122" s="3768"/>
      <c r="BF122" s="39">
        <f t="shared" si="347"/>
        <v>1035</v>
      </c>
      <c r="BG122" s="3948"/>
      <c r="BH122" s="3948"/>
      <c r="BI122" s="4364"/>
      <c r="BJ122" s="4364"/>
      <c r="BK122" s="3948"/>
      <c r="BL122" s="3948"/>
      <c r="BM122" s="4364"/>
      <c r="BN122" s="4364"/>
    </row>
    <row r="123" spans="2:66" ht="15" x14ac:dyDescent="0.25">
      <c r="B123" s="1779" t="s">
        <v>1028</v>
      </c>
      <c r="C123" s="3479" t="s">
        <v>50</v>
      </c>
      <c r="D123" s="3937"/>
      <c r="E123" s="3221"/>
      <c r="F123" s="3470">
        <v>8.0890000000000004</v>
      </c>
      <c r="G123" s="3221"/>
      <c r="H123" s="3470">
        <v>9.9410000000000007</v>
      </c>
      <c r="I123" s="3755"/>
      <c r="J123" s="107">
        <f t="shared" si="340"/>
        <v>18.03</v>
      </c>
      <c r="K123" s="3473"/>
      <c r="L123" s="3470">
        <v>4.5960000000000001</v>
      </c>
      <c r="M123" s="4048"/>
      <c r="N123" s="3134">
        <f t="shared" si="333"/>
        <v>22.626000000000001</v>
      </c>
      <c r="O123" s="3473"/>
      <c r="P123" s="3470">
        <v>7.8079999999999998</v>
      </c>
      <c r="Q123" s="3768"/>
      <c r="R123" s="3755">
        <f t="shared" si="341"/>
        <v>30.434000000000001</v>
      </c>
      <c r="S123" s="3473"/>
      <c r="T123" s="3480">
        <v>6.5419999999999998</v>
      </c>
      <c r="U123" s="3768"/>
      <c r="V123" s="3755">
        <f t="shared" si="342"/>
        <v>36.975999999999999</v>
      </c>
      <c r="W123" s="3473"/>
      <c r="X123" s="3480">
        <v>8.6630000000000003</v>
      </c>
      <c r="Y123" s="4048"/>
      <c r="Z123" s="3134">
        <f t="shared" si="334"/>
        <v>23.012999999999998</v>
      </c>
      <c r="AA123" s="4049"/>
      <c r="AB123" s="3179">
        <f t="shared" si="335"/>
        <v>45.638999999999996</v>
      </c>
      <c r="AC123" s="3473"/>
      <c r="AD123" s="3480">
        <v>7.29</v>
      </c>
      <c r="AE123" s="3768"/>
      <c r="AF123" s="3755">
        <f t="shared" si="343"/>
        <v>52.928999999999995</v>
      </c>
      <c r="AG123" s="3473"/>
      <c r="AH123" s="3480">
        <v>0.42</v>
      </c>
      <c r="AI123" s="3768"/>
      <c r="AJ123" s="3755">
        <f t="shared" si="344"/>
        <v>53.348999999999997</v>
      </c>
      <c r="AK123" s="3473"/>
      <c r="AL123" s="3480">
        <v>8.2309999999999999</v>
      </c>
      <c r="AM123" s="4048"/>
      <c r="AN123" s="3134">
        <f t="shared" si="336"/>
        <v>15.940999999999999</v>
      </c>
      <c r="AO123" s="3768"/>
      <c r="AP123" s="3133">
        <f t="shared" si="337"/>
        <v>61.58</v>
      </c>
      <c r="AQ123" s="3473"/>
      <c r="AR123" s="6147">
        <v>8.0739999999999998</v>
      </c>
      <c r="AS123" s="3768"/>
      <c r="AT123" s="6146">
        <f t="shared" si="345"/>
        <v>69.653999999999996</v>
      </c>
      <c r="AU123" s="3473"/>
      <c r="AV123" s="6264">
        <v>6.6230000000000002</v>
      </c>
      <c r="AW123" s="3768"/>
      <c r="AX123" s="6256">
        <f t="shared" si="346"/>
        <v>76.277000000000001</v>
      </c>
      <c r="AY123" s="3473"/>
      <c r="AZ123" s="6436">
        <v>6.0179999999999998</v>
      </c>
      <c r="BA123" s="4048"/>
      <c r="BB123" s="3134">
        <f t="shared" si="338"/>
        <v>20.715</v>
      </c>
      <c r="BC123" s="4049"/>
      <c r="BD123" s="3179">
        <f t="shared" si="339"/>
        <v>36.655999999999999</v>
      </c>
      <c r="BE123" s="3768"/>
      <c r="BF123" s="39">
        <f t="shared" si="347"/>
        <v>82.295000000000002</v>
      </c>
      <c r="BG123" s="3948"/>
      <c r="BH123" s="3948"/>
      <c r="BI123" s="4364"/>
      <c r="BJ123" s="4364"/>
      <c r="BK123" s="3948"/>
      <c r="BL123" s="3948"/>
      <c r="BM123" s="4364"/>
      <c r="BN123" s="4364"/>
    </row>
    <row r="124" spans="2:66" ht="15" x14ac:dyDescent="0.25">
      <c r="B124" s="1779" t="s">
        <v>1383</v>
      </c>
      <c r="C124" s="3479" t="s">
        <v>50</v>
      </c>
      <c r="D124" s="3937"/>
      <c r="E124" s="3221"/>
      <c r="F124" s="3470"/>
      <c r="G124" s="3221"/>
      <c r="H124" s="3470"/>
      <c r="I124" s="3755"/>
      <c r="J124" s="107">
        <f t="shared" si="340"/>
        <v>0</v>
      </c>
      <c r="K124" s="3473"/>
      <c r="L124" s="3470"/>
      <c r="M124" s="4048"/>
      <c r="N124" s="3134">
        <f t="shared" si="333"/>
        <v>0</v>
      </c>
      <c r="O124" s="3473"/>
      <c r="P124" s="3470"/>
      <c r="Q124" s="3768"/>
      <c r="R124" s="3755">
        <f t="shared" si="341"/>
        <v>0</v>
      </c>
      <c r="S124" s="3473"/>
      <c r="T124" s="3480"/>
      <c r="U124" s="3768"/>
      <c r="V124" s="3755">
        <f t="shared" si="342"/>
        <v>0</v>
      </c>
      <c r="W124" s="3473"/>
      <c r="X124" s="3480"/>
      <c r="Y124" s="4048"/>
      <c r="Z124" s="3134">
        <f t="shared" si="334"/>
        <v>0</v>
      </c>
      <c r="AA124" s="4049"/>
      <c r="AB124" s="3179">
        <f t="shared" si="335"/>
        <v>0</v>
      </c>
      <c r="AC124" s="3473"/>
      <c r="AD124" s="3480"/>
      <c r="AE124" s="3768"/>
      <c r="AF124" s="3755">
        <f t="shared" si="343"/>
        <v>0</v>
      </c>
      <c r="AG124" s="3473"/>
      <c r="AH124" s="3480"/>
      <c r="AI124" s="3768"/>
      <c r="AJ124" s="3755">
        <f t="shared" si="344"/>
        <v>0</v>
      </c>
      <c r="AK124" s="3473"/>
      <c r="AL124" s="3480"/>
      <c r="AM124" s="4048"/>
      <c r="AN124" s="3134">
        <f t="shared" si="336"/>
        <v>0</v>
      </c>
      <c r="AO124" s="3768"/>
      <c r="AP124" s="3133">
        <f t="shared" si="337"/>
        <v>0</v>
      </c>
      <c r="AQ124" s="3473"/>
      <c r="AR124" s="6147"/>
      <c r="AS124" s="3768"/>
      <c r="AT124" s="6146">
        <f t="shared" si="345"/>
        <v>0</v>
      </c>
      <c r="AU124" s="3473"/>
      <c r="AV124" s="6264"/>
      <c r="AW124" s="3768"/>
      <c r="AX124" s="6256">
        <f t="shared" si="346"/>
        <v>0</v>
      </c>
      <c r="AY124" s="3473"/>
      <c r="AZ124" s="6436"/>
      <c r="BA124" s="4048"/>
      <c r="BB124" s="3134">
        <f t="shared" si="338"/>
        <v>0</v>
      </c>
      <c r="BC124" s="4049"/>
      <c r="BD124" s="3179">
        <f t="shared" si="339"/>
        <v>0</v>
      </c>
      <c r="BE124" s="3768"/>
      <c r="BF124" s="39">
        <f t="shared" si="347"/>
        <v>0</v>
      </c>
      <c r="BG124" s="3948"/>
      <c r="BH124" s="3948"/>
      <c r="BI124" s="4364"/>
      <c r="BJ124" s="4364"/>
      <c r="BK124" s="3948"/>
      <c r="BL124" s="3948"/>
      <c r="BM124" s="4364"/>
      <c r="BN124" s="4364"/>
    </row>
    <row r="125" spans="2:66" ht="15" x14ac:dyDescent="0.25">
      <c r="B125" s="1779" t="s">
        <v>1148</v>
      </c>
      <c r="C125" s="3479" t="s">
        <v>50</v>
      </c>
      <c r="D125" s="3937"/>
      <c r="E125" s="3221"/>
      <c r="F125" s="3470">
        <v>551.15300000000002</v>
      </c>
      <c r="G125" s="3221"/>
      <c r="H125" s="3470">
        <v>696.69899999999996</v>
      </c>
      <c r="I125" s="3755"/>
      <c r="J125" s="107">
        <f t="shared" si="340"/>
        <v>1247.8519999999999</v>
      </c>
      <c r="K125" s="3473"/>
      <c r="L125" s="3470">
        <v>245.64</v>
      </c>
      <c r="M125" s="4048"/>
      <c r="N125" s="3134">
        <f t="shared" si="333"/>
        <v>1493.492</v>
      </c>
      <c r="O125" s="3473"/>
      <c r="P125" s="3470">
        <v>318.83</v>
      </c>
      <c r="Q125" s="3768"/>
      <c r="R125" s="3755">
        <f t="shared" si="341"/>
        <v>1812.3219999999999</v>
      </c>
      <c r="S125" s="3473"/>
      <c r="T125" s="3480">
        <v>411.91199999999998</v>
      </c>
      <c r="U125" s="3768"/>
      <c r="V125" s="3755">
        <f t="shared" si="342"/>
        <v>2224.2339999999999</v>
      </c>
      <c r="W125" s="3473"/>
      <c r="X125" s="3480">
        <v>355.75599999999997</v>
      </c>
      <c r="Y125" s="4048"/>
      <c r="Z125" s="3134">
        <f t="shared" si="334"/>
        <v>1086.4979999999998</v>
      </c>
      <c r="AA125" s="4049"/>
      <c r="AB125" s="3179">
        <f t="shared" si="335"/>
        <v>2579.9899999999998</v>
      </c>
      <c r="AC125" s="3473"/>
      <c r="AD125" s="3480">
        <v>425.65899999999999</v>
      </c>
      <c r="AE125" s="3768"/>
      <c r="AF125" s="3755">
        <f t="shared" si="343"/>
        <v>3005.6489999999999</v>
      </c>
      <c r="AG125" s="3473"/>
      <c r="AH125" s="3480">
        <v>13</v>
      </c>
      <c r="AI125" s="3768"/>
      <c r="AJ125" s="3755">
        <f t="shared" si="344"/>
        <v>3018.6489999999999</v>
      </c>
      <c r="AK125" s="3473"/>
      <c r="AL125" s="3480">
        <v>385.65600000000001</v>
      </c>
      <c r="AM125" s="4048"/>
      <c r="AN125" s="3134">
        <f t="shared" si="336"/>
        <v>824.31500000000005</v>
      </c>
      <c r="AO125" s="3768"/>
      <c r="AP125" s="3133">
        <f t="shared" si="337"/>
        <v>3404.3049999999998</v>
      </c>
      <c r="AQ125" s="3473"/>
      <c r="AR125" s="6147">
        <v>599.77300000000002</v>
      </c>
      <c r="AS125" s="3768"/>
      <c r="AT125" s="6146">
        <f t="shared" si="345"/>
        <v>4004.078</v>
      </c>
      <c r="AU125" s="3473"/>
      <c r="AV125" s="6264">
        <v>482.75900000000001</v>
      </c>
      <c r="AW125" s="3768"/>
      <c r="AX125" s="6256">
        <f t="shared" si="346"/>
        <v>4486.8369999999995</v>
      </c>
      <c r="AY125" s="3473"/>
      <c r="AZ125" s="6436">
        <v>388.55799999999999</v>
      </c>
      <c r="BA125" s="4048"/>
      <c r="BB125" s="3134">
        <f t="shared" si="338"/>
        <v>1471.0900000000001</v>
      </c>
      <c r="BC125" s="4049"/>
      <c r="BD125" s="3179">
        <f t="shared" si="339"/>
        <v>2295.4050000000002</v>
      </c>
      <c r="BE125" s="3768"/>
      <c r="BF125" s="39">
        <f t="shared" si="347"/>
        <v>4875.3949999999995</v>
      </c>
      <c r="BG125" s="3948"/>
      <c r="BH125" s="3948"/>
      <c r="BI125" s="4364"/>
      <c r="BJ125" s="4364"/>
      <c r="BK125" s="3948"/>
      <c r="BL125" s="3948"/>
      <c r="BM125" s="4364"/>
      <c r="BN125" s="4364"/>
    </row>
    <row r="126" spans="2:66" ht="15" x14ac:dyDescent="0.25">
      <c r="B126" s="1779" t="s">
        <v>1</v>
      </c>
      <c r="C126" s="3479" t="s">
        <v>50</v>
      </c>
      <c r="D126" s="3937"/>
      <c r="E126" s="3221"/>
      <c r="F126" s="3470">
        <v>85</v>
      </c>
      <c r="G126" s="3221"/>
      <c r="H126" s="3470">
        <v>50</v>
      </c>
      <c r="I126" s="3755"/>
      <c r="J126" s="107">
        <f t="shared" si="340"/>
        <v>135</v>
      </c>
      <c r="K126" s="3473"/>
      <c r="L126" s="3470">
        <v>54</v>
      </c>
      <c r="M126" s="4048"/>
      <c r="N126" s="3134">
        <f t="shared" si="333"/>
        <v>189</v>
      </c>
      <c r="O126" s="3473"/>
      <c r="P126" s="3470">
        <v>82</v>
      </c>
      <c r="Q126" s="3768"/>
      <c r="R126" s="3755">
        <f t="shared" si="341"/>
        <v>271</v>
      </c>
      <c r="S126" s="3473"/>
      <c r="T126" s="3480">
        <v>80</v>
      </c>
      <c r="U126" s="3768"/>
      <c r="V126" s="3755">
        <f t="shared" si="342"/>
        <v>351</v>
      </c>
      <c r="W126" s="3473"/>
      <c r="X126" s="3480">
        <v>88</v>
      </c>
      <c r="Y126" s="4048"/>
      <c r="Z126" s="3134">
        <f t="shared" si="334"/>
        <v>250</v>
      </c>
      <c r="AA126" s="4049"/>
      <c r="AB126" s="3179">
        <f t="shared" si="335"/>
        <v>439</v>
      </c>
      <c r="AC126" s="3473"/>
      <c r="AD126" s="3480">
        <v>40</v>
      </c>
      <c r="AE126" s="3768"/>
      <c r="AF126" s="3755">
        <f t="shared" si="343"/>
        <v>479</v>
      </c>
      <c r="AG126" s="3473"/>
      <c r="AH126" s="3480"/>
      <c r="AI126" s="3768"/>
      <c r="AJ126" s="3755">
        <f t="shared" si="344"/>
        <v>479</v>
      </c>
      <c r="AK126" s="3473"/>
      <c r="AL126" s="3480">
        <v>105</v>
      </c>
      <c r="AM126" s="4048"/>
      <c r="AN126" s="3134">
        <f t="shared" si="336"/>
        <v>145</v>
      </c>
      <c r="AO126" s="3768"/>
      <c r="AP126" s="3133">
        <f t="shared" si="337"/>
        <v>584</v>
      </c>
      <c r="AQ126" s="3473"/>
      <c r="AR126" s="6147">
        <v>201</v>
      </c>
      <c r="AS126" s="3768"/>
      <c r="AT126" s="6146">
        <f t="shared" si="345"/>
        <v>785</v>
      </c>
      <c r="AU126" s="3473"/>
      <c r="AV126" s="6264">
        <v>130</v>
      </c>
      <c r="AW126" s="3768"/>
      <c r="AX126" s="6256">
        <f t="shared" si="346"/>
        <v>915</v>
      </c>
      <c r="AY126" s="3473"/>
      <c r="AZ126" s="6436">
        <v>115</v>
      </c>
      <c r="BA126" s="4048"/>
      <c r="BB126" s="3134">
        <f t="shared" si="338"/>
        <v>446</v>
      </c>
      <c r="BC126" s="4049"/>
      <c r="BD126" s="3179">
        <f t="shared" si="339"/>
        <v>591</v>
      </c>
      <c r="BE126" s="3768"/>
      <c r="BF126" s="39">
        <f t="shared" si="347"/>
        <v>1030</v>
      </c>
      <c r="BG126" s="3948"/>
      <c r="BH126" s="3948"/>
      <c r="BI126" s="4364"/>
      <c r="BJ126" s="4364"/>
      <c r="BK126" s="3948"/>
      <c r="BL126" s="3948"/>
      <c r="BM126" s="4364"/>
      <c r="BN126" s="4364"/>
    </row>
    <row r="127" spans="2:66" ht="15" x14ac:dyDescent="0.25">
      <c r="B127" s="1779" t="s">
        <v>1894</v>
      </c>
      <c r="C127" s="3479" t="s">
        <v>50</v>
      </c>
      <c r="D127" s="3937"/>
      <c r="E127" s="3221"/>
      <c r="F127" s="3470">
        <v>686</v>
      </c>
      <c r="G127" s="3221"/>
      <c r="H127" s="3470">
        <v>759</v>
      </c>
      <c r="I127" s="3755"/>
      <c r="J127" s="107">
        <f t="shared" si="340"/>
        <v>1445</v>
      </c>
      <c r="K127" s="3473"/>
      <c r="L127" s="3470">
        <v>479.5</v>
      </c>
      <c r="M127" s="4048"/>
      <c r="N127" s="3134">
        <f t="shared" si="333"/>
        <v>1924.5</v>
      </c>
      <c r="O127" s="3473"/>
      <c r="P127" s="3470">
        <v>812</v>
      </c>
      <c r="Q127" s="3768"/>
      <c r="R127" s="3755">
        <f t="shared" si="341"/>
        <v>2736.5</v>
      </c>
      <c r="S127" s="3473"/>
      <c r="T127" s="3480">
        <v>756</v>
      </c>
      <c r="U127" s="3768"/>
      <c r="V127" s="3755">
        <f t="shared" si="342"/>
        <v>3492.5</v>
      </c>
      <c r="W127" s="3473"/>
      <c r="X127" s="3480">
        <v>770</v>
      </c>
      <c r="Y127" s="4048"/>
      <c r="Z127" s="3134">
        <f t="shared" si="334"/>
        <v>2338</v>
      </c>
      <c r="AA127" s="4049"/>
      <c r="AB127" s="3179">
        <f t="shared" si="335"/>
        <v>4262.5</v>
      </c>
      <c r="AC127" s="3473"/>
      <c r="AD127" s="3480">
        <v>735</v>
      </c>
      <c r="AE127" s="3768"/>
      <c r="AF127" s="3755">
        <f t="shared" si="343"/>
        <v>4997.5</v>
      </c>
      <c r="AG127" s="3473"/>
      <c r="AH127" s="3480">
        <v>24.5</v>
      </c>
      <c r="AI127" s="3768"/>
      <c r="AJ127" s="3755">
        <f t="shared" si="344"/>
        <v>5022</v>
      </c>
      <c r="AK127" s="3473"/>
      <c r="AL127" s="3480">
        <v>794.5</v>
      </c>
      <c r="AM127" s="4048"/>
      <c r="AN127" s="3134">
        <f t="shared" si="336"/>
        <v>1554</v>
      </c>
      <c r="AO127" s="3768"/>
      <c r="AP127" s="3133">
        <f t="shared" si="337"/>
        <v>5816.5</v>
      </c>
      <c r="AQ127" s="3473"/>
      <c r="AR127" s="6147">
        <v>861</v>
      </c>
      <c r="AS127" s="3768"/>
      <c r="AT127" s="6146">
        <f t="shared" si="345"/>
        <v>6677.5</v>
      </c>
      <c r="AU127" s="3473"/>
      <c r="AV127" s="6264">
        <v>728</v>
      </c>
      <c r="AW127" s="3768"/>
      <c r="AX127" s="6256">
        <f t="shared" si="346"/>
        <v>7405.5</v>
      </c>
      <c r="AY127" s="3473"/>
      <c r="AZ127" s="6436">
        <v>801.5</v>
      </c>
      <c r="BA127" s="4048"/>
      <c r="BB127" s="3134">
        <f t="shared" si="338"/>
        <v>2390.5</v>
      </c>
      <c r="BC127" s="4049"/>
      <c r="BD127" s="3179">
        <f t="shared" si="339"/>
        <v>3944.5</v>
      </c>
      <c r="BE127" s="3768"/>
      <c r="BF127" s="39">
        <f t="shared" si="347"/>
        <v>8207</v>
      </c>
      <c r="BG127" s="3948"/>
      <c r="BH127" s="3948"/>
      <c r="BI127" s="4364"/>
      <c r="BJ127" s="4364"/>
      <c r="BK127" s="3948"/>
      <c r="BL127" s="3948"/>
      <c r="BM127" s="4364"/>
      <c r="BN127" s="4364"/>
    </row>
    <row r="128" spans="2:66" ht="15" x14ac:dyDescent="0.25">
      <c r="B128" s="1779" t="s">
        <v>706</v>
      </c>
      <c r="C128" s="3479" t="s">
        <v>50</v>
      </c>
      <c r="D128" s="3937"/>
      <c r="E128" s="3221"/>
      <c r="F128" s="3470"/>
      <c r="G128" s="3221"/>
      <c r="H128" s="3470"/>
      <c r="I128" s="3755"/>
      <c r="J128" s="107">
        <f t="shared" si="340"/>
        <v>0</v>
      </c>
      <c r="K128" s="3473"/>
      <c r="L128" s="3470"/>
      <c r="M128" s="4048"/>
      <c r="N128" s="3134">
        <f t="shared" si="333"/>
        <v>0</v>
      </c>
      <c r="O128" s="3473"/>
      <c r="P128" s="3470"/>
      <c r="Q128" s="3768"/>
      <c r="R128" s="3755">
        <f t="shared" si="341"/>
        <v>0</v>
      </c>
      <c r="S128" s="3473"/>
      <c r="T128" s="3480"/>
      <c r="U128" s="3768"/>
      <c r="V128" s="3755">
        <f t="shared" si="342"/>
        <v>0</v>
      </c>
      <c r="W128" s="3473"/>
      <c r="X128" s="3480"/>
      <c r="Y128" s="4048"/>
      <c r="Z128" s="3134">
        <f t="shared" si="334"/>
        <v>0</v>
      </c>
      <c r="AA128" s="4049"/>
      <c r="AB128" s="3179">
        <f t="shared" si="335"/>
        <v>0</v>
      </c>
      <c r="AC128" s="3473"/>
      <c r="AD128" s="3480"/>
      <c r="AE128" s="3768"/>
      <c r="AF128" s="3755">
        <f t="shared" si="343"/>
        <v>0</v>
      </c>
      <c r="AG128" s="3473"/>
      <c r="AH128" s="3480"/>
      <c r="AI128" s="3768"/>
      <c r="AJ128" s="3755">
        <f t="shared" si="344"/>
        <v>0</v>
      </c>
      <c r="AK128" s="3473"/>
      <c r="AL128" s="3480"/>
      <c r="AM128" s="4048"/>
      <c r="AN128" s="3134">
        <f t="shared" si="336"/>
        <v>0</v>
      </c>
      <c r="AO128" s="3768"/>
      <c r="AP128" s="3133">
        <f t="shared" si="337"/>
        <v>0</v>
      </c>
      <c r="AQ128" s="3473"/>
      <c r="AR128" s="6147"/>
      <c r="AS128" s="3768"/>
      <c r="AT128" s="6146">
        <f t="shared" si="345"/>
        <v>0</v>
      </c>
      <c r="AU128" s="3473"/>
      <c r="AV128" s="6264"/>
      <c r="AW128" s="3768"/>
      <c r="AX128" s="6256">
        <f t="shared" si="346"/>
        <v>0</v>
      </c>
      <c r="AY128" s="3473"/>
      <c r="AZ128" s="6436"/>
      <c r="BA128" s="4048"/>
      <c r="BB128" s="3134">
        <f t="shared" si="338"/>
        <v>0</v>
      </c>
      <c r="BC128" s="4049"/>
      <c r="BD128" s="3179">
        <f t="shared" si="339"/>
        <v>0</v>
      </c>
      <c r="BE128" s="3768"/>
      <c r="BF128" s="39">
        <f t="shared" si="347"/>
        <v>0</v>
      </c>
      <c r="BG128" s="3948"/>
      <c r="BH128" s="3948"/>
      <c r="BI128" s="4364"/>
      <c r="BJ128" s="4364"/>
      <c r="BK128" s="3948"/>
      <c r="BL128" s="3948"/>
      <c r="BM128" s="4364"/>
      <c r="BN128" s="4364"/>
    </row>
    <row r="129" spans="2:66" ht="15" x14ac:dyDescent="0.25">
      <c r="B129" s="1779" t="s">
        <v>617</v>
      </c>
      <c r="C129" s="3479" t="s">
        <v>50</v>
      </c>
      <c r="D129" s="3937"/>
      <c r="E129" s="3221"/>
      <c r="F129" s="3470">
        <v>0.51</v>
      </c>
      <c r="G129" s="3221"/>
      <c r="H129" s="3470">
        <v>0.433</v>
      </c>
      <c r="I129" s="3755"/>
      <c r="J129" s="107">
        <f t="shared" si="340"/>
        <v>0.94300000000000006</v>
      </c>
      <c r="K129" s="3473"/>
      <c r="L129" s="3470"/>
      <c r="M129" s="4048"/>
      <c r="N129" s="3134">
        <f t="shared" si="333"/>
        <v>0.94300000000000006</v>
      </c>
      <c r="O129" s="3473"/>
      <c r="P129" s="3470">
        <v>1.016</v>
      </c>
      <c r="Q129" s="3768"/>
      <c r="R129" s="3755">
        <f t="shared" si="341"/>
        <v>1.9590000000000001</v>
      </c>
      <c r="S129" s="3473"/>
      <c r="T129" s="3480">
        <v>2.117</v>
      </c>
      <c r="U129" s="3768"/>
      <c r="V129" s="3755">
        <f t="shared" si="342"/>
        <v>4.0760000000000005</v>
      </c>
      <c r="W129" s="3473"/>
      <c r="X129" s="3480">
        <v>3.1909999999999998</v>
      </c>
      <c r="Y129" s="4048"/>
      <c r="Z129" s="3134">
        <f t="shared" si="334"/>
        <v>6.3239999999999998</v>
      </c>
      <c r="AA129" s="4049"/>
      <c r="AB129" s="3179">
        <f t="shared" si="335"/>
        <v>7.2669999999999995</v>
      </c>
      <c r="AC129" s="3473"/>
      <c r="AD129" s="3480">
        <v>0.61199999999999999</v>
      </c>
      <c r="AE129" s="3768"/>
      <c r="AF129" s="3755">
        <f t="shared" si="343"/>
        <v>7.8789999999999996</v>
      </c>
      <c r="AG129" s="3473"/>
      <c r="AH129" s="3480"/>
      <c r="AI129" s="3768"/>
      <c r="AJ129" s="3755">
        <f t="shared" si="344"/>
        <v>7.8789999999999996</v>
      </c>
      <c r="AK129" s="3473"/>
      <c r="AL129" s="3480">
        <v>1.355</v>
      </c>
      <c r="AM129" s="4048"/>
      <c r="AN129" s="3134">
        <f t="shared" si="336"/>
        <v>1.9670000000000001</v>
      </c>
      <c r="AO129" s="3768"/>
      <c r="AP129" s="3133">
        <f t="shared" si="337"/>
        <v>9.234</v>
      </c>
      <c r="AQ129" s="3473"/>
      <c r="AR129" s="6147">
        <v>1.81</v>
      </c>
      <c r="AS129" s="3768"/>
      <c r="AT129" s="6146">
        <f t="shared" si="345"/>
        <v>11.044</v>
      </c>
      <c r="AU129" s="3473"/>
      <c r="AV129" s="6264"/>
      <c r="AW129" s="3768"/>
      <c r="AX129" s="6256">
        <f t="shared" si="346"/>
        <v>11.044</v>
      </c>
      <c r="AY129" s="3473"/>
      <c r="AZ129" s="6436"/>
      <c r="BA129" s="4048"/>
      <c r="BB129" s="3134">
        <f t="shared" si="338"/>
        <v>1.81</v>
      </c>
      <c r="BC129" s="4049"/>
      <c r="BD129" s="3179">
        <f t="shared" si="339"/>
        <v>3.7770000000000001</v>
      </c>
      <c r="BE129" s="3768"/>
      <c r="BF129" s="39">
        <f t="shared" si="347"/>
        <v>11.044</v>
      </c>
      <c r="BG129" s="3948"/>
      <c r="BH129" s="3948"/>
      <c r="BI129" s="4364"/>
      <c r="BJ129" s="4364"/>
      <c r="BK129" s="3948"/>
      <c r="BL129" s="3948"/>
      <c r="BM129" s="4364"/>
      <c r="BN129" s="4364"/>
    </row>
    <row r="130" spans="2:66" ht="15" x14ac:dyDescent="0.25">
      <c r="B130" s="1779" t="s">
        <v>1363</v>
      </c>
      <c r="C130" s="3479" t="s">
        <v>50</v>
      </c>
      <c r="D130" s="3937"/>
      <c r="E130" s="3221"/>
      <c r="F130" s="3470"/>
      <c r="G130" s="3221"/>
      <c r="H130" s="3470"/>
      <c r="I130" s="3755"/>
      <c r="J130" s="107">
        <f t="shared" si="340"/>
        <v>0</v>
      </c>
      <c r="K130" s="3473"/>
      <c r="L130" s="3470"/>
      <c r="M130" s="4048"/>
      <c r="N130" s="3134">
        <f t="shared" si="333"/>
        <v>0</v>
      </c>
      <c r="O130" s="3473"/>
      <c r="P130" s="3470"/>
      <c r="Q130" s="3768"/>
      <c r="R130" s="3755">
        <f t="shared" si="341"/>
        <v>0</v>
      </c>
      <c r="S130" s="3473"/>
      <c r="T130" s="3480"/>
      <c r="U130" s="3768"/>
      <c r="V130" s="3755">
        <f t="shared" si="342"/>
        <v>0</v>
      </c>
      <c r="W130" s="3473"/>
      <c r="X130" s="3480"/>
      <c r="Y130" s="4048"/>
      <c r="Z130" s="3134">
        <f t="shared" si="334"/>
        <v>0</v>
      </c>
      <c r="AA130" s="4049"/>
      <c r="AB130" s="3179">
        <f t="shared" si="335"/>
        <v>0</v>
      </c>
      <c r="AC130" s="3473"/>
      <c r="AD130" s="3480"/>
      <c r="AE130" s="3768"/>
      <c r="AF130" s="3755">
        <f t="shared" si="343"/>
        <v>0</v>
      </c>
      <c r="AG130" s="3473"/>
      <c r="AH130" s="3480"/>
      <c r="AI130" s="3768"/>
      <c r="AJ130" s="3755">
        <f t="shared" si="344"/>
        <v>0</v>
      </c>
      <c r="AK130" s="3473"/>
      <c r="AL130" s="3480"/>
      <c r="AM130" s="4048"/>
      <c r="AN130" s="3134">
        <f t="shared" si="336"/>
        <v>0</v>
      </c>
      <c r="AO130" s="3768"/>
      <c r="AP130" s="3133">
        <f t="shared" si="337"/>
        <v>0</v>
      </c>
      <c r="AQ130" s="3473"/>
      <c r="AR130" s="6147"/>
      <c r="AS130" s="3768"/>
      <c r="AT130" s="6146">
        <f t="shared" si="345"/>
        <v>0</v>
      </c>
      <c r="AU130" s="3473"/>
      <c r="AV130" s="6264"/>
      <c r="AW130" s="3768"/>
      <c r="AX130" s="6256">
        <f t="shared" si="346"/>
        <v>0</v>
      </c>
      <c r="AY130" s="3473"/>
      <c r="AZ130" s="6436"/>
      <c r="BA130" s="4048"/>
      <c r="BB130" s="3134">
        <f t="shared" si="338"/>
        <v>0</v>
      </c>
      <c r="BC130" s="4049"/>
      <c r="BD130" s="3179">
        <f t="shared" si="339"/>
        <v>0</v>
      </c>
      <c r="BE130" s="3768"/>
      <c r="BF130" s="39">
        <f t="shared" si="347"/>
        <v>0</v>
      </c>
      <c r="BG130" s="3948"/>
      <c r="BH130" s="3948"/>
      <c r="BI130" s="4364"/>
      <c r="BJ130" s="4364"/>
      <c r="BK130" s="3948"/>
      <c r="BL130" s="3948"/>
      <c r="BM130" s="4364"/>
      <c r="BN130" s="4364"/>
    </row>
    <row r="131" spans="2:66" ht="15" x14ac:dyDescent="0.25">
      <c r="B131" s="1779" t="s">
        <v>707</v>
      </c>
      <c r="C131" s="3479" t="s">
        <v>50</v>
      </c>
      <c r="D131" s="2093"/>
      <c r="E131" s="3221"/>
      <c r="F131" s="3470">
        <v>50.2</v>
      </c>
      <c r="G131" s="3221"/>
      <c r="H131" s="3470">
        <v>58.09</v>
      </c>
      <c r="I131" s="3755"/>
      <c r="J131" s="107">
        <f t="shared" si="340"/>
        <v>108.29</v>
      </c>
      <c r="K131" s="3473"/>
      <c r="L131" s="3470">
        <v>38.5</v>
      </c>
      <c r="M131" s="4048"/>
      <c r="N131" s="3134">
        <f t="shared" si="333"/>
        <v>146.79000000000002</v>
      </c>
      <c r="O131" s="3473"/>
      <c r="P131" s="3470">
        <v>61.03</v>
      </c>
      <c r="Q131" s="3768"/>
      <c r="R131" s="3755">
        <f t="shared" si="341"/>
        <v>207.82000000000002</v>
      </c>
      <c r="S131" s="3473"/>
      <c r="T131" s="3480">
        <v>61.94</v>
      </c>
      <c r="U131" s="3768"/>
      <c r="V131" s="3755">
        <f t="shared" si="342"/>
        <v>269.76</v>
      </c>
      <c r="W131" s="3473"/>
      <c r="X131" s="3480">
        <v>59.31</v>
      </c>
      <c r="Y131" s="4048"/>
      <c r="Z131" s="3134">
        <f t="shared" si="334"/>
        <v>182.28</v>
      </c>
      <c r="AA131" s="4049"/>
      <c r="AB131" s="3179">
        <f t="shared" si="335"/>
        <v>329.07000000000005</v>
      </c>
      <c r="AC131" s="3473"/>
      <c r="AD131" s="3480">
        <v>54.21</v>
      </c>
      <c r="AE131" s="3768"/>
      <c r="AF131" s="3755">
        <f t="shared" si="343"/>
        <v>383.28000000000003</v>
      </c>
      <c r="AG131" s="3473"/>
      <c r="AH131" s="3480">
        <v>2.1219999999999999</v>
      </c>
      <c r="AI131" s="3768"/>
      <c r="AJ131" s="3755">
        <f t="shared" si="344"/>
        <v>385.40200000000004</v>
      </c>
      <c r="AK131" s="3473"/>
      <c r="AL131" s="3480">
        <v>58.908000000000001</v>
      </c>
      <c r="AM131" s="4048"/>
      <c r="AN131" s="3134">
        <f t="shared" si="336"/>
        <v>115.24000000000001</v>
      </c>
      <c r="AO131" s="3768"/>
      <c r="AP131" s="3133">
        <f t="shared" si="337"/>
        <v>444.31000000000006</v>
      </c>
      <c r="AQ131" s="3473"/>
      <c r="AR131" s="6147">
        <v>64.778000000000006</v>
      </c>
      <c r="AS131" s="3768"/>
      <c r="AT131" s="6146">
        <f t="shared" si="345"/>
        <v>509.08800000000008</v>
      </c>
      <c r="AU131" s="3473"/>
      <c r="AV131" s="6264">
        <v>57.396000000000001</v>
      </c>
      <c r="AW131" s="3768"/>
      <c r="AX131" s="6256">
        <f t="shared" si="346"/>
        <v>566.48400000000004</v>
      </c>
      <c r="AY131" s="3473"/>
      <c r="AZ131" s="6436">
        <v>63.6</v>
      </c>
      <c r="BA131" s="4048"/>
      <c r="BB131" s="3134">
        <f t="shared" si="338"/>
        <v>185.774</v>
      </c>
      <c r="BC131" s="4049"/>
      <c r="BD131" s="3179">
        <f t="shared" si="339"/>
        <v>301.01400000000001</v>
      </c>
      <c r="BE131" s="3768"/>
      <c r="BF131" s="39">
        <f t="shared" si="347"/>
        <v>630.08400000000006</v>
      </c>
      <c r="BG131" s="3948"/>
      <c r="BH131" s="3948"/>
      <c r="BI131" s="4364"/>
      <c r="BJ131" s="4364"/>
      <c r="BK131" s="3948"/>
      <c r="BL131" s="3948"/>
      <c r="BM131" s="4364"/>
      <c r="BN131" s="4364"/>
    </row>
    <row r="132" spans="2:66" ht="15.75" thickBot="1" x14ac:dyDescent="0.3">
      <c r="B132" s="1773" t="s">
        <v>1382</v>
      </c>
      <c r="C132" s="750" t="s">
        <v>50</v>
      </c>
      <c r="D132" s="3984"/>
      <c r="E132" s="893"/>
      <c r="F132" s="1454"/>
      <c r="G132" s="893"/>
      <c r="H132" s="1454"/>
      <c r="I132" s="4061"/>
      <c r="J132" s="131">
        <f t="shared" ref="J132" si="348">+F132+H132</f>
        <v>0</v>
      </c>
      <c r="K132" s="893"/>
      <c r="L132" s="1454"/>
      <c r="M132" s="4062"/>
      <c r="N132" s="3134">
        <f t="shared" si="333"/>
        <v>0</v>
      </c>
      <c r="O132" s="893"/>
      <c r="P132" s="1454">
        <v>25</v>
      </c>
      <c r="Q132" s="4063"/>
      <c r="R132" s="3755">
        <f t="shared" si="341"/>
        <v>25</v>
      </c>
      <c r="S132" s="893"/>
      <c r="T132" s="4977">
        <v>3.5</v>
      </c>
      <c r="U132" s="4063"/>
      <c r="V132" s="3755">
        <f t="shared" si="342"/>
        <v>28.5</v>
      </c>
      <c r="W132" s="893"/>
      <c r="X132" s="4977"/>
      <c r="Y132" s="4062"/>
      <c r="Z132" s="3134">
        <f t="shared" si="334"/>
        <v>28.5</v>
      </c>
      <c r="AA132" s="4064"/>
      <c r="AB132" s="3179">
        <f t="shared" si="335"/>
        <v>28.5</v>
      </c>
      <c r="AC132" s="893"/>
      <c r="AD132" s="4977"/>
      <c r="AE132" s="4063"/>
      <c r="AF132" s="3755">
        <f t="shared" si="343"/>
        <v>28.5</v>
      </c>
      <c r="AG132" s="893"/>
      <c r="AH132" s="4977"/>
      <c r="AI132" s="4063"/>
      <c r="AJ132" s="3755">
        <f t="shared" si="344"/>
        <v>28.5</v>
      </c>
      <c r="AK132" s="893"/>
      <c r="AL132" s="4977"/>
      <c r="AM132" s="4062"/>
      <c r="AN132" s="3134">
        <f t="shared" si="336"/>
        <v>0</v>
      </c>
      <c r="AO132" s="4063"/>
      <c r="AP132" s="3133">
        <f t="shared" si="337"/>
        <v>28.5</v>
      </c>
      <c r="AQ132" s="893"/>
      <c r="AR132" s="4977"/>
      <c r="AS132" s="4063"/>
      <c r="AT132" s="6146">
        <f t="shared" si="345"/>
        <v>28.5</v>
      </c>
      <c r="AU132" s="893"/>
      <c r="AV132" s="4977"/>
      <c r="AW132" s="4063"/>
      <c r="AX132" s="6256">
        <f t="shared" si="346"/>
        <v>28.5</v>
      </c>
      <c r="AY132" s="893"/>
      <c r="AZ132" s="4977"/>
      <c r="BA132" s="4062"/>
      <c r="BB132" s="3134">
        <f t="shared" si="338"/>
        <v>0</v>
      </c>
      <c r="BC132" s="4064"/>
      <c r="BD132" s="3179">
        <f t="shared" si="339"/>
        <v>0</v>
      </c>
      <c r="BE132" s="4063"/>
      <c r="BF132" s="39">
        <f t="shared" si="347"/>
        <v>28.5</v>
      </c>
      <c r="BG132" s="3948"/>
      <c r="BH132" s="3948"/>
      <c r="BI132" s="4364"/>
      <c r="BJ132" s="4364"/>
      <c r="BK132" s="3948"/>
      <c r="BL132" s="3948"/>
      <c r="BM132" s="4364"/>
      <c r="BN132" s="4364"/>
    </row>
    <row r="133" spans="2:66" ht="15.75" thickBot="1" x14ac:dyDescent="0.3">
      <c r="B133" s="4065"/>
      <c r="C133" s="4066"/>
      <c r="D133" s="4067"/>
      <c r="E133" s="4068"/>
      <c r="F133" s="4068"/>
      <c r="G133" s="4068"/>
      <c r="H133" s="4068"/>
      <c r="I133" s="4068"/>
      <c r="J133" s="4069"/>
      <c r="K133" s="4068"/>
      <c r="L133" s="4068"/>
      <c r="M133" s="4006"/>
      <c r="N133" s="4006"/>
      <c r="O133" s="4068"/>
      <c r="P133" s="4068"/>
      <c r="Q133" s="4006"/>
      <c r="R133" s="4006"/>
      <c r="S133" s="4068"/>
      <c r="T133" s="4068"/>
      <c r="U133" s="4006"/>
      <c r="V133" s="4006"/>
      <c r="W133" s="4068"/>
      <c r="X133" s="4068"/>
      <c r="Y133" s="4006"/>
      <c r="Z133" s="4006"/>
      <c r="AA133" s="4006"/>
      <c r="AB133" s="4006"/>
      <c r="AC133" s="4068"/>
      <c r="AD133" s="4068"/>
      <c r="AE133" s="4006"/>
      <c r="AF133" s="4006"/>
      <c r="AG133" s="4068"/>
      <c r="AH133" s="4068"/>
      <c r="AI133" s="4006"/>
      <c r="AJ133" s="4006"/>
      <c r="AK133" s="4068"/>
      <c r="AL133" s="4068"/>
      <c r="AM133" s="4006"/>
      <c r="AN133" s="4006"/>
      <c r="AO133" s="4006"/>
      <c r="AP133" s="4006"/>
      <c r="AQ133" s="4068"/>
      <c r="AR133" s="4068"/>
      <c r="AS133" s="4006"/>
      <c r="AT133" s="4006"/>
      <c r="AU133" s="4068"/>
      <c r="AV133" s="4068"/>
      <c r="AW133" s="4006"/>
      <c r="AX133" s="4006"/>
      <c r="AY133" s="4068"/>
      <c r="AZ133" s="4068"/>
      <c r="BA133" s="4006"/>
      <c r="BB133" s="4006"/>
      <c r="BC133" s="4006"/>
      <c r="BD133" s="4006"/>
      <c r="BE133" s="4006"/>
      <c r="BF133" s="4070"/>
      <c r="BH133" s="4364"/>
      <c r="BI133" s="3948"/>
      <c r="BJ133" s="3948"/>
      <c r="BK133" s="3948"/>
      <c r="BL133" s="3948"/>
      <c r="BM133" s="4364"/>
      <c r="BN133" s="4364"/>
    </row>
    <row r="134" spans="2:66" ht="15" x14ac:dyDescent="0.25">
      <c r="B134" s="4071" t="s">
        <v>566</v>
      </c>
      <c r="C134" s="3945" t="s">
        <v>49</v>
      </c>
      <c r="D134" s="1313"/>
      <c r="E134" s="7681"/>
      <c r="F134" s="4072">
        <v>83.1</v>
      </c>
      <c r="G134" s="7681"/>
      <c r="H134" s="4072">
        <v>91.36</v>
      </c>
      <c r="I134" s="7680"/>
      <c r="J134" s="4038">
        <f>+((F134*F7)+(H134*H7))/J7</f>
        <v>87.346338028169015</v>
      </c>
      <c r="K134" s="7681"/>
      <c r="L134" s="4072">
        <v>67.3</v>
      </c>
      <c r="M134" s="7682"/>
      <c r="N134" s="4052">
        <f>+((F134*F7)+(H134*H7)+(L134*L7))/N7</f>
        <v>82.242677165354323</v>
      </c>
      <c r="O134" s="7681"/>
      <c r="P134" s="4072">
        <v>97.69</v>
      </c>
      <c r="Q134" s="7680"/>
      <c r="R134" s="4037">
        <f>+((N134*N7)+(P134*P7))/R7</f>
        <v>86.48499286054259</v>
      </c>
      <c r="S134" s="7681"/>
      <c r="T134" s="4072">
        <v>92.3</v>
      </c>
      <c r="U134" s="7680"/>
      <c r="V134" s="4037">
        <f>+((R134*R7)+(T134*T7))/V7</f>
        <v>87.645779047619044</v>
      </c>
      <c r="W134" s="7681"/>
      <c r="X134" s="4072">
        <v>98.21</v>
      </c>
      <c r="Y134" s="7682"/>
      <c r="Z134" s="4052">
        <f>+((P134*P7)+(T134*T7)+(X134*X7))/Z7</f>
        <v>96.153777239709427</v>
      </c>
      <c r="AA134" s="7689"/>
      <c r="AB134" s="4073">
        <f>+((Z134*Z7)+(N134*N7))/AB7</f>
        <v>89.47855163727958</v>
      </c>
      <c r="AC134" s="7681"/>
      <c r="AD134" s="4072">
        <v>93.38</v>
      </c>
      <c r="AE134" s="7680"/>
      <c r="AF134" s="4037">
        <f>+((AB134*AB7)+(AD134*AD7))/AF7</f>
        <v>90.026549391069011</v>
      </c>
      <c r="AG134" s="7681"/>
      <c r="AH134" s="4072">
        <v>100</v>
      </c>
      <c r="AI134" s="7680"/>
      <c r="AJ134" s="4037">
        <f>+((AF134*AF7)+(AH134*AH7))/AJ7</f>
        <v>90.077571351642433</v>
      </c>
      <c r="AK134" s="7681"/>
      <c r="AL134" s="4072">
        <v>98.297872340425513</v>
      </c>
      <c r="AM134" s="7682"/>
      <c r="AN134" s="4052">
        <f>+((AD134*AD7)+(AH134*AH7)+(AL134*AL7))/AN7</f>
        <v>95.933861722086931</v>
      </c>
      <c r="AO134" s="7680"/>
      <c r="AP134" s="4037">
        <f>+((AL134*AL7)+(AJ134*AJ7))/AP7</f>
        <v>91.100748843881334</v>
      </c>
      <c r="AQ134" s="7681"/>
      <c r="AR134" s="4072">
        <v>94.42</v>
      </c>
      <c r="AS134" s="7680"/>
      <c r="AT134" s="4037">
        <f>+((AP134*AP7)+(AR134*AR7))/AT7</f>
        <v>91.474954318290031</v>
      </c>
      <c r="AU134" s="7681"/>
      <c r="AV134" s="4072">
        <v>94.01</v>
      </c>
      <c r="AW134" s="7680"/>
      <c r="AX134" s="4037">
        <f>+((AT134*AT7)+(AV134*AV7))/AX7</f>
        <v>91.723197470895215</v>
      </c>
      <c r="AY134" s="7681"/>
      <c r="AZ134" s="4072">
        <v>96.09</v>
      </c>
      <c r="BA134" s="7682"/>
      <c r="BB134" s="4052">
        <f>+((AR134*AR7)+(AV134*AV7)+(AZ134*AZ7))/BB7</f>
        <v>94.969020385050968</v>
      </c>
      <c r="BC134" s="7689"/>
      <c r="BD134" s="4073">
        <f>+((BB134*BB7)+(AN134*AN7))/BD7</f>
        <v>95.332198656689499</v>
      </c>
      <c r="BE134" s="7680"/>
      <c r="BF134" s="4038">
        <f>+((AX134*AX7)+(AZ134*AZ7))/BF7</f>
        <v>92.237794040570023</v>
      </c>
      <c r="BH134" s="4364"/>
      <c r="BI134" s="3948"/>
      <c r="BJ134" s="3948"/>
      <c r="BK134" s="3948"/>
      <c r="BL134" s="3948"/>
      <c r="BM134" s="4364"/>
      <c r="BN134" s="4364"/>
    </row>
    <row r="135" spans="2:66" ht="15" x14ac:dyDescent="0.25">
      <c r="B135" s="4074" t="s">
        <v>565</v>
      </c>
      <c r="C135" s="4033" t="s">
        <v>49</v>
      </c>
      <c r="D135" s="1313"/>
      <c r="E135" s="7681"/>
      <c r="F135" s="4072">
        <v>67.3</v>
      </c>
      <c r="G135" s="7681"/>
      <c r="H135" s="4072">
        <v>89.16</v>
      </c>
      <c r="I135" s="7680"/>
      <c r="J135" s="4038">
        <f>+((F135*F8)+(H135*H8))/J8</f>
        <v>81.861580645161297</v>
      </c>
      <c r="K135" s="7681"/>
      <c r="L135" s="4072">
        <v>58.2</v>
      </c>
      <c r="M135" s="7682"/>
      <c r="N135" s="4052">
        <f>+((F135*F8)+(H135*H8)+(L135*L8))/N8</f>
        <v>74.18058823529411</v>
      </c>
      <c r="O135" s="7681"/>
      <c r="P135" s="4072">
        <v>95.04</v>
      </c>
      <c r="Q135" s="7680"/>
      <c r="R135" s="4037">
        <f>+((N135*N8)+(P135*P8))/R8</f>
        <v>81.4591914893617</v>
      </c>
      <c r="S135" s="7681"/>
      <c r="T135" s="4072">
        <v>93.27</v>
      </c>
      <c r="U135" s="7680"/>
      <c r="V135" s="4037">
        <f>+((R135*R8)+(T135*T8))/V8</f>
        <v>84.690278207109728</v>
      </c>
      <c r="W135" s="7681"/>
      <c r="X135" s="4072">
        <v>98.29</v>
      </c>
      <c r="Y135" s="7682"/>
      <c r="Z135" s="4052">
        <f>+((P135*P8)+(T135*T8)+(X135*X8))/Z8</f>
        <v>95.53507751937984</v>
      </c>
      <c r="AA135" s="7689"/>
      <c r="AB135" s="4073">
        <f>+((Z135*Z8)+(N135*N8))/AB8</f>
        <v>87.585596107055949</v>
      </c>
      <c r="AC135" s="7681"/>
      <c r="AD135" s="4072">
        <v>91.95</v>
      </c>
      <c r="AE135" s="7680"/>
      <c r="AF135" s="4037">
        <f>+((AB135*AB8)+(AD135*AD8))/AF8</f>
        <v>88.356470784641047</v>
      </c>
      <c r="AG135" s="7681"/>
      <c r="AH135" s="4072">
        <v>100</v>
      </c>
      <c r="AI135" s="7680"/>
      <c r="AJ135" s="4037">
        <f>+((AF135*AF8)+(AH135*AH8))/AJ8</f>
        <v>88.441375538614494</v>
      </c>
      <c r="AK135" s="7681"/>
      <c r="AL135" s="4072">
        <v>98.548837209302334</v>
      </c>
      <c r="AM135" s="7682"/>
      <c r="AN135" s="4052">
        <f>+((AD135*AD8)+(AH135*AH8)+(AL135*AL8))/AN8</f>
        <v>95.29497144982389</v>
      </c>
      <c r="AO135" s="7680"/>
      <c r="AP135" s="4037">
        <f>+((AL135*AL8)+(AJ135*AJ8))/AP8</f>
        <v>89.907802394775501</v>
      </c>
      <c r="AQ135" s="7681"/>
      <c r="AR135" s="4072">
        <v>93.51</v>
      </c>
      <c r="AS135" s="7680"/>
      <c r="AT135" s="4037">
        <f>+((AP135*AP8)+(AR135*AR8))/AT8</f>
        <v>90.375066498437178</v>
      </c>
      <c r="AU135" s="7681"/>
      <c r="AV135" s="4072">
        <v>85.44</v>
      </c>
      <c r="AW135" s="7680"/>
      <c r="AX135" s="4037">
        <f>+((AT135*AT8)+(AV135*AV8))/AX8</f>
        <v>89.883093839068096</v>
      </c>
      <c r="AY135" s="7681"/>
      <c r="AZ135" s="4072">
        <v>95.22</v>
      </c>
      <c r="BA135" s="7682"/>
      <c r="BB135" s="4052">
        <f>+((AR135*AR8)+(AV135*AV8)+(AZ135*AZ8))/BB8</f>
        <v>90.587180385288974</v>
      </c>
      <c r="BC135" s="7689"/>
      <c r="BD135" s="4073">
        <f>+((BB135*BB8)+(AN135*AN8))/BD8</f>
        <v>92.856741338395835</v>
      </c>
      <c r="BE135" s="7680"/>
      <c r="BF135" s="4038">
        <f>+((AX135*AX8)+(AZ135*AZ8))/BF8</f>
        <v>90.073901659422546</v>
      </c>
      <c r="BH135" s="4364"/>
      <c r="BI135" s="3948"/>
      <c r="BJ135" s="3948"/>
      <c r="BK135" s="3948"/>
      <c r="BL135" s="3948"/>
      <c r="BM135" s="4364"/>
      <c r="BN135" s="4364"/>
    </row>
    <row r="136" spans="2:66" ht="15.75" thickBot="1" x14ac:dyDescent="0.3">
      <c r="B136" s="4075" t="s">
        <v>567</v>
      </c>
      <c r="C136" s="4018" t="s">
        <v>49</v>
      </c>
      <c r="D136" s="1313"/>
      <c r="E136" s="7681"/>
      <c r="F136" s="4072">
        <v>81.739999999999995</v>
      </c>
      <c r="G136" s="7681"/>
      <c r="H136" s="4072">
        <v>90.35</v>
      </c>
      <c r="I136" s="7680"/>
      <c r="J136" s="4038">
        <f>+((F136*F9)+(H136*H9))/J9</f>
        <v>85.828371454711785</v>
      </c>
      <c r="K136" s="7681"/>
      <c r="L136" s="4072">
        <v>55.5</v>
      </c>
      <c r="M136" s="7682"/>
      <c r="N136" s="4052">
        <f>+((F136*F9)+(H136*H9)+(L136*L9))/N9</f>
        <v>79.802719941348968</v>
      </c>
      <c r="O136" s="7681"/>
      <c r="P136" s="4072">
        <v>93.25</v>
      </c>
      <c r="Q136" s="7680"/>
      <c r="R136" s="4037">
        <f>+((N136*N9)+(P136*P9))/R9</f>
        <v>83.308487804878041</v>
      </c>
      <c r="S136" s="7681"/>
      <c r="T136" s="4072">
        <v>95.31</v>
      </c>
      <c r="U136" s="7680"/>
      <c r="V136" s="4037">
        <f>+((R136*R9)+(T136*T9))/V9</f>
        <v>85.749209844559573</v>
      </c>
      <c r="W136" s="7681"/>
      <c r="X136" s="4072">
        <v>98.33</v>
      </c>
      <c r="Y136" s="7682"/>
      <c r="Z136" s="4052">
        <f>+((P136*P9)+(T136*T9)+(X136*X9))/Z9</f>
        <v>95.550776419841839</v>
      </c>
      <c r="AA136" s="7689"/>
      <c r="AB136" s="4073">
        <f>+((Z136*Z9)+(N136*N9))/AB9</f>
        <v>87.753916515426496</v>
      </c>
      <c r="AC136" s="7681"/>
      <c r="AD136" s="4072">
        <v>89.42</v>
      </c>
      <c r="AE136" s="7680"/>
      <c r="AF136" s="4037">
        <f>+((AB136*AB9)+(AD136*AD9))/AF9</f>
        <v>87.968368121442126</v>
      </c>
      <c r="AG136" s="7681"/>
      <c r="AH136" s="4072">
        <v>100</v>
      </c>
      <c r="AI136" s="7680"/>
      <c r="AJ136" s="4037">
        <f>+((AF136*AF9)+(AH136*AH9))/AJ9</f>
        <v>87.994944777532339</v>
      </c>
      <c r="AK136" s="7681"/>
      <c r="AL136" s="4072">
        <v>97.830855018587371</v>
      </c>
      <c r="AM136" s="7682"/>
      <c r="AN136" s="4052">
        <f>+((AD136*AD9)+(AH136*AH9)+(AL136*AL9))/AN9</f>
        <v>94.093975657079511</v>
      </c>
      <c r="AO136" s="7680"/>
      <c r="AP136" s="4037">
        <f>+((AL136*AL9)+(AJ136*AJ9))/AP9</f>
        <v>89.330718788998226</v>
      </c>
      <c r="AQ136" s="7681"/>
      <c r="AR136" s="4072">
        <v>93.57</v>
      </c>
      <c r="AS136" s="7680"/>
      <c r="AT136" s="4037">
        <f>+((AP136*AP9)+(AR136*AR9))/AT9</f>
        <v>89.869584812962742</v>
      </c>
      <c r="AU136" s="7681"/>
      <c r="AV136" s="4072">
        <v>93.35</v>
      </c>
      <c r="AW136" s="7680"/>
      <c r="AX136" s="4037">
        <f>+((AT136*AT9)+(AV136*AV9))/AX9</f>
        <v>90.228474764999248</v>
      </c>
      <c r="AY136" s="7681"/>
      <c r="AZ136" s="4072">
        <v>95.48</v>
      </c>
      <c r="BA136" s="7682"/>
      <c r="BB136" s="4052">
        <f>+((AR136*AR9)+(AV136*AV9)+(AZ136*AZ9))/BB9</f>
        <v>94.286796738497372</v>
      </c>
      <c r="BC136" s="7689"/>
      <c r="BD136" s="4073">
        <f>+((BB136*BB9)+(AN136*AN9))/BD9</f>
        <v>94.219907112687906</v>
      </c>
      <c r="BE136" s="7680"/>
      <c r="BF136" s="4038">
        <f>+((AX136*AX9)+(AZ136*AZ9))/BF9</f>
        <v>90.911251077127872</v>
      </c>
      <c r="BH136" s="4364"/>
      <c r="BI136" s="3948"/>
      <c r="BJ136" s="3948"/>
      <c r="BK136" s="3948"/>
      <c r="BL136" s="3948"/>
      <c r="BM136" s="4364"/>
      <c r="BN136" s="4364"/>
    </row>
    <row r="137" spans="2:66" ht="15" x14ac:dyDescent="0.25">
      <c r="B137" s="4071" t="s">
        <v>578</v>
      </c>
      <c r="C137" s="3945" t="s">
        <v>49</v>
      </c>
      <c r="D137" s="1313"/>
      <c r="E137" s="3944"/>
      <c r="F137" s="4072">
        <v>57.67</v>
      </c>
      <c r="G137" s="7191"/>
      <c r="H137" s="4072">
        <v>75.7</v>
      </c>
      <c r="I137" s="3812"/>
      <c r="J137" s="4038">
        <f>+((F137*F22)+(H137*H22))/J22</f>
        <v>67.88375135135135</v>
      </c>
      <c r="K137" s="4600"/>
      <c r="L137" s="4072">
        <v>71.650000000000006</v>
      </c>
      <c r="M137" s="3957"/>
      <c r="N137" s="4052">
        <f>+((F137*F22)+(H137*H22)+(L137*L22))/N22</f>
        <v>68.955661252900228</v>
      </c>
      <c r="O137" s="4787"/>
      <c r="P137" s="4072">
        <v>77.16</v>
      </c>
      <c r="Q137" s="3812"/>
      <c r="R137" s="4037">
        <f>+((N137*N22)+(P137*P22))/R22</f>
        <v>71.419626623376629</v>
      </c>
      <c r="S137" s="4925"/>
      <c r="T137" s="4072">
        <v>70.400000000000006</v>
      </c>
      <c r="U137" s="3812"/>
      <c r="V137" s="4037">
        <f>+((R137*R22)+(T137*T22))/V22</f>
        <v>71.209046801202234</v>
      </c>
      <c r="W137" s="5459"/>
      <c r="X137" s="4072">
        <v>78.78</v>
      </c>
      <c r="Y137" s="3957"/>
      <c r="Z137" s="4052">
        <f>+((P137*P22)+(T137*T22)+(X137*X22))/Z22</f>
        <v>75.633937460114879</v>
      </c>
      <c r="AA137" s="3959"/>
      <c r="AB137" s="4073">
        <f>+((Z137*Z22)+(N137*N22))/AB22</f>
        <v>72.61470279720281</v>
      </c>
      <c r="AC137" s="5363"/>
      <c r="AD137" s="4072">
        <v>70.282258064516128</v>
      </c>
      <c r="AE137" s="3812"/>
      <c r="AF137" s="4037">
        <f>+((AB137*AB22)+(AD137*AD22))/AF22</f>
        <v>72.275919730829315</v>
      </c>
      <c r="AG137" s="5548"/>
      <c r="AH137" s="4072">
        <v>64.513888888888886</v>
      </c>
      <c r="AI137" s="3812"/>
      <c r="AJ137" s="4037">
        <f>+((AF137*AF22)+(AH137*AH22))/AJ22</f>
        <v>72.216070145452562</v>
      </c>
      <c r="AK137" s="5946"/>
      <c r="AL137" s="4072">
        <v>67.95474910394266</v>
      </c>
      <c r="AM137" s="3957"/>
      <c r="AN137" s="4052">
        <f>+((AD137*AD22)+(AH137*AH22)+(AL137*AL22))/AN22</f>
        <v>68.984103836400465</v>
      </c>
      <c r="AO137" s="3812"/>
      <c r="AP137" s="4037">
        <f>+((AL137*AL22)+(AJ137*AJ22))/AP22</f>
        <v>71.665796250629498</v>
      </c>
      <c r="AQ137" s="6096"/>
      <c r="AR137" s="4072">
        <v>81.939814814814838</v>
      </c>
      <c r="AS137" s="3812"/>
      <c r="AT137" s="4037">
        <f>+((AP137*AP22)+(AR137*AR22))/AT22</f>
        <v>73.014304408594143</v>
      </c>
      <c r="AU137" s="6253"/>
      <c r="AV137" s="4072">
        <v>74.760000000000005</v>
      </c>
      <c r="AW137" s="3812"/>
      <c r="AX137" s="4037">
        <f>+((AT137*AT22)+(AV137*AV22))/AX22</f>
        <v>73.1935483690566</v>
      </c>
      <c r="AY137" s="6431"/>
      <c r="AZ137" s="4072">
        <v>68.27</v>
      </c>
      <c r="BA137" s="3957"/>
      <c r="BB137" s="4052">
        <f>+((AR137*AR22)+(AV137*AV22)+(AZ137*AZ22))/BB22</f>
        <v>75.319090814630101</v>
      </c>
      <c r="BC137" s="3959"/>
      <c r="BD137" s="4073">
        <f>+((BB137*BB22)+(AN137*AN22))/BD22</f>
        <v>72.868400133449526</v>
      </c>
      <c r="BE137" s="3812"/>
      <c r="BF137" s="4038">
        <f>+((AX137*AX22)+(AZ137*AZ22))/BF22</f>
        <v>72.735899333291471</v>
      </c>
      <c r="BH137" s="4364"/>
      <c r="BI137" s="3948"/>
      <c r="BJ137" s="3948"/>
      <c r="BK137" s="3948"/>
      <c r="BL137" s="3948"/>
      <c r="BM137" s="4364"/>
      <c r="BN137" s="4364"/>
    </row>
    <row r="138" spans="2:66" ht="15" x14ac:dyDescent="0.25">
      <c r="B138" s="4074" t="s">
        <v>579</v>
      </c>
      <c r="C138" s="4033" t="s">
        <v>49</v>
      </c>
      <c r="D138" s="1313"/>
      <c r="E138" s="3944"/>
      <c r="F138" s="4072">
        <v>73.175925925925938</v>
      </c>
      <c r="G138" s="7191"/>
      <c r="H138" s="4072">
        <v>81.069999999999993</v>
      </c>
      <c r="I138" s="3812"/>
      <c r="J138" s="4038">
        <f>+((F138*F23)+(H138*H23))/J23</f>
        <v>77.280570344650215</v>
      </c>
      <c r="K138" s="4600"/>
      <c r="L138" s="4072">
        <v>71.400000000000006</v>
      </c>
      <c r="M138" s="3957"/>
      <c r="N138" s="4052">
        <f>+((F138*F23)+(H138*H23)+(L138*L23))/N23</f>
        <v>75.83061938328126</v>
      </c>
      <c r="O138" s="4787"/>
      <c r="P138" s="4072">
        <v>80.05</v>
      </c>
      <c r="Q138" s="3812"/>
      <c r="R138" s="4037">
        <f>+((N138*N23)+(P138*P23))/R23</f>
        <v>77.016886242142476</v>
      </c>
      <c r="S138" s="4925"/>
      <c r="T138" s="4072">
        <v>85.33</v>
      </c>
      <c r="U138" s="3812"/>
      <c r="V138" s="4037">
        <f>+((R138*R23)+(T138*T23))/V23</f>
        <v>78.978709424223084</v>
      </c>
      <c r="W138" s="5459"/>
      <c r="X138" s="4072">
        <v>83.84</v>
      </c>
      <c r="Y138" s="3957"/>
      <c r="Z138" s="4052">
        <f>+((P138*P23)+(T138*T23)+(X138*X23))/Z23</f>
        <v>83.147801075268816</v>
      </c>
      <c r="AA138" s="3959"/>
      <c r="AB138" s="4073">
        <f>+((Z138*Z23)+(N138*N23))/AB23</f>
        <v>79.846540878441147</v>
      </c>
      <c r="AC138" s="5363"/>
      <c r="AD138" s="4072">
        <v>79.95519713261649</v>
      </c>
      <c r="AE138" s="3812"/>
      <c r="AF138" s="4037">
        <f>+((AB138*AB23)+(AD138*AD23))/AF23</f>
        <v>79.863022903480015</v>
      </c>
      <c r="AG138" s="5548"/>
      <c r="AH138" s="4072">
        <v>66.721799536883893</v>
      </c>
      <c r="AI138" s="3812"/>
      <c r="AJ138" s="4037">
        <f>+((AF138*AF23)+(AH138*AH23))/AJ23</f>
        <v>79.778051053807914</v>
      </c>
      <c r="AK138" s="5946"/>
      <c r="AL138" s="4072">
        <v>89.68390804597702</v>
      </c>
      <c r="AM138" s="3957"/>
      <c r="AN138" s="4052">
        <f>+((AD138*AD23)+(AH138*AH23)+(AL138*AL23))/AN23</f>
        <v>84.595652846343086</v>
      </c>
      <c r="AO138" s="3812"/>
      <c r="AP138" s="4037">
        <f>+((AL138*AL23)+(AJ138*AJ23))/AP23</f>
        <v>81.145547710390318</v>
      </c>
      <c r="AQ138" s="6096"/>
      <c r="AR138" s="4072">
        <v>83.208333333333329</v>
      </c>
      <c r="AS138" s="3812"/>
      <c r="AT138" s="4037">
        <f>+((AP138*AP23)+(AR138*AR23))/AT23</f>
        <v>81.382010514766392</v>
      </c>
      <c r="AU138" s="6253"/>
      <c r="AV138" s="4072">
        <v>80.73</v>
      </c>
      <c r="AW138" s="3812"/>
      <c r="AX138" s="4037">
        <f>+((AT138*AT23)+(AV138*AV23))/AX23</f>
        <v>81.320079595036788</v>
      </c>
      <c r="AY138" s="6431"/>
      <c r="AZ138" s="4072">
        <v>79.238351254480307</v>
      </c>
      <c r="BA138" s="3957"/>
      <c r="BB138" s="4052">
        <f>+((AR138*AR23)+(AV138*AV23)+(AZ138*AZ23))/BB23</f>
        <v>81.073630828455038</v>
      </c>
      <c r="BC138" s="3959"/>
      <c r="BD138" s="4073">
        <f>+((BB138*BB23)+(AN138*AN23))/BD23</f>
        <v>82.555853814874951</v>
      </c>
      <c r="BE138" s="3812"/>
      <c r="BF138" s="4038">
        <f>+((AX138*AX23)+(AZ138*AZ23))/BF23</f>
        <v>81.125880050418615</v>
      </c>
      <c r="BH138" s="4364"/>
      <c r="BI138" s="3948"/>
      <c r="BJ138" s="3948"/>
      <c r="BK138" s="3948"/>
      <c r="BL138" s="3948"/>
      <c r="BM138" s="4364"/>
      <c r="BN138" s="4364"/>
    </row>
    <row r="139" spans="2:66" ht="15.75" thickBot="1" x14ac:dyDescent="0.3">
      <c r="B139" s="4075" t="s">
        <v>580</v>
      </c>
      <c r="C139" s="4018" t="s">
        <v>49</v>
      </c>
      <c r="D139" s="1150"/>
      <c r="E139" s="2380"/>
      <c r="F139" s="1712">
        <v>57.183481701285885</v>
      </c>
      <c r="G139" s="2380"/>
      <c r="H139" s="1712">
        <v>63.4</v>
      </c>
      <c r="I139" s="3972"/>
      <c r="J139" s="4076">
        <f>+((F139*F24)+(H139*H24))/J24</f>
        <v>60.389638776606944</v>
      </c>
      <c r="K139" s="2380"/>
      <c r="L139" s="1712">
        <v>51.08</v>
      </c>
      <c r="M139" s="3973"/>
      <c r="N139" s="4077">
        <f>+((F139*F24)+(H139*H24)+(L139*L24))/N24</f>
        <v>58.431238080595321</v>
      </c>
      <c r="O139" s="2380"/>
      <c r="P139" s="1712">
        <v>68.12</v>
      </c>
      <c r="Q139" s="3972"/>
      <c r="R139" s="614">
        <f>+((N139*N24)+(P139*P24))/R24</f>
        <v>61.224974002783547</v>
      </c>
      <c r="S139" s="2380"/>
      <c r="T139" s="1712">
        <v>64.739999999999995</v>
      </c>
      <c r="U139" s="3972"/>
      <c r="V139" s="614">
        <f>+((R139*R24)+(T139*T24))/V24</f>
        <v>61.995972796646228</v>
      </c>
      <c r="W139" s="2380"/>
      <c r="X139" s="1712">
        <v>66.569999999999993</v>
      </c>
      <c r="Y139" s="3973"/>
      <c r="Z139" s="4077">
        <f>+((P139*P24)+(T139*T24)+(X139*X24))/Z24</f>
        <v>66.490436300174508</v>
      </c>
      <c r="AA139" s="3974"/>
      <c r="AB139" s="4078">
        <f>+((Z139*Z24)+(N139*N24))/AB24</f>
        <v>62.806340477391984</v>
      </c>
      <c r="AC139" s="2380"/>
      <c r="AD139" s="1712">
        <v>59.355300859598842</v>
      </c>
      <c r="AE139" s="3972"/>
      <c r="AF139" s="614">
        <f>+((AB139*AB24)+(AD139*AD24))/AF24</f>
        <v>62.304752128085205</v>
      </c>
      <c r="AG139" s="2380"/>
      <c r="AH139" s="1712">
        <v>0</v>
      </c>
      <c r="AI139" s="3972"/>
      <c r="AJ139" s="614">
        <f>+((AF139*AF24)+(AH139*AH24))/AJ24</f>
        <v>62.304752128085205</v>
      </c>
      <c r="AK139" s="2380"/>
      <c r="AL139" s="1712">
        <v>63.845785440613042</v>
      </c>
      <c r="AM139" s="3973"/>
      <c r="AN139" s="4077">
        <f>+((AD139*AD24)+(AH139*AH24)+(AL139*AL24))/AN24</f>
        <v>61.684814978704061</v>
      </c>
      <c r="AO139" s="3972"/>
      <c r="AP139" s="614">
        <f>+((AL139*AL24)+(AJ139*AJ24))/AP24</f>
        <v>62.513495527437065</v>
      </c>
      <c r="AQ139" s="2380"/>
      <c r="AR139" s="1712">
        <v>70.963455149501655</v>
      </c>
      <c r="AS139" s="3972"/>
      <c r="AT139" s="614">
        <f>+((AP139*AP24)+(AR139*AR24))/AT24</f>
        <v>63.573943475109694</v>
      </c>
      <c r="AU139" s="2380"/>
      <c r="AV139" s="1712">
        <v>65.41</v>
      </c>
      <c r="AW139" s="3972"/>
      <c r="AX139" s="614">
        <f>+((AT139*AT24)+(AV139*AV24))/AX24</f>
        <v>63.765251805095517</v>
      </c>
      <c r="AY139" s="2380"/>
      <c r="AZ139" s="1712">
        <v>69.31235431235433</v>
      </c>
      <c r="BA139" s="3973"/>
      <c r="BB139" s="4077">
        <f>+((AR139*AR24)+(AV139*AV24)+(AZ139*AZ24))/BB24</f>
        <v>68.669656309591772</v>
      </c>
      <c r="BC139" s="3974"/>
      <c r="BD139" s="4078">
        <f>+((BB139*BB24)+(AN139*AN24))/BD24</f>
        <v>66.064310493170666</v>
      </c>
      <c r="BE139" s="3972"/>
      <c r="BF139" s="4076">
        <f>+((AX139*AX24)+(AZ139*AZ24))/BF24</f>
        <v>64.391341701317387</v>
      </c>
      <c r="BH139" s="4364"/>
      <c r="BI139" s="3948"/>
      <c r="BJ139" s="3948"/>
      <c r="BK139" s="3948"/>
      <c r="BL139" s="3948"/>
      <c r="BM139" s="4364"/>
      <c r="BN139" s="4364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P140" s="5013"/>
      <c r="Q140" s="5013"/>
      <c r="R140" s="5013"/>
      <c r="S140" s="5013"/>
      <c r="T140" s="5013"/>
      <c r="W140" s="5494"/>
      <c r="X140" s="5013"/>
      <c r="AC140" s="5013"/>
      <c r="AD140" s="5013"/>
      <c r="AG140" s="5013"/>
      <c r="AH140" s="5013"/>
      <c r="AK140" s="5013"/>
      <c r="AL140" s="5013"/>
      <c r="AQ140" s="5013"/>
      <c r="AR140" s="5013"/>
    </row>
    <row r="141" spans="2:66" ht="21" hidden="1" customHeight="1" x14ac:dyDescent="0.25">
      <c r="B141" s="4079" t="s">
        <v>1552</v>
      </c>
      <c r="C141" s="4080"/>
      <c r="D141" s="4080"/>
      <c r="E141" s="4080"/>
      <c r="F141" s="4080"/>
      <c r="G141" s="4080"/>
      <c r="H141" s="4080"/>
      <c r="I141" s="4080"/>
      <c r="J141" s="4080"/>
      <c r="K141" s="4080"/>
      <c r="L141" s="4080"/>
      <c r="M141" s="4080"/>
      <c r="N141" s="4080"/>
      <c r="O141" s="4080"/>
      <c r="P141" s="4080"/>
      <c r="Q141" s="4080"/>
      <c r="R141" s="4080"/>
      <c r="S141" s="4080"/>
      <c r="T141" s="4080"/>
      <c r="U141" s="4080"/>
      <c r="V141" s="4080"/>
      <c r="W141" s="778"/>
      <c r="X141" s="4080"/>
      <c r="AC141" s="4080"/>
      <c r="AD141" s="4080"/>
      <c r="AG141" s="4080"/>
      <c r="AH141" s="4080"/>
      <c r="AK141" s="4080"/>
      <c r="AL141" s="4080"/>
      <c r="AQ141" s="4080"/>
      <c r="AR141" s="4080"/>
    </row>
    <row r="142" spans="2:66" ht="21" hidden="1" customHeight="1" x14ac:dyDescent="0.25">
      <c r="B142" s="4081" t="s">
        <v>1554</v>
      </c>
      <c r="C142" s="4080"/>
      <c r="D142" s="4080"/>
      <c r="E142" s="4080"/>
      <c r="F142" s="4080">
        <v>835</v>
      </c>
      <c r="G142" s="4080"/>
      <c r="H142" s="4080">
        <v>835</v>
      </c>
      <c r="I142" s="4080"/>
      <c r="J142" s="4080"/>
      <c r="K142" s="4080"/>
      <c r="L142" s="4080">
        <v>835</v>
      </c>
      <c r="M142" s="4080"/>
      <c r="N142" s="4080">
        <f t="shared" ref="N142:N146" si="349">+L142+H142+F142</f>
        <v>2505</v>
      </c>
      <c r="O142" s="4080"/>
      <c r="P142" s="4080">
        <v>835</v>
      </c>
      <c r="Q142" s="4080"/>
      <c r="R142" s="4080">
        <f>+N142+P142</f>
        <v>3340</v>
      </c>
      <c r="S142" s="4080"/>
      <c r="T142" s="4080">
        <v>835</v>
      </c>
      <c r="U142" s="4080"/>
      <c r="V142" s="4080">
        <f>+R142+T142</f>
        <v>4175</v>
      </c>
      <c r="W142" s="778"/>
      <c r="X142" s="4080">
        <v>835</v>
      </c>
      <c r="AC142" s="4080"/>
      <c r="AD142" s="4080">
        <v>835</v>
      </c>
      <c r="AG142" s="4080"/>
      <c r="AH142" s="4080">
        <v>835</v>
      </c>
      <c r="AK142" s="4080"/>
      <c r="AL142" s="4080"/>
      <c r="AQ142" s="4080"/>
      <c r="AR142" s="4080"/>
    </row>
    <row r="143" spans="2:66" ht="21" hidden="1" customHeight="1" x14ac:dyDescent="0.25">
      <c r="B143" s="4081" t="s">
        <v>1555</v>
      </c>
      <c r="C143" s="4080"/>
      <c r="D143" s="4080"/>
      <c r="E143" s="4080"/>
      <c r="F143" s="4080">
        <v>865</v>
      </c>
      <c r="G143" s="4080"/>
      <c r="H143" s="4080">
        <v>865</v>
      </c>
      <c r="I143" s="4080"/>
      <c r="J143" s="4080"/>
      <c r="K143" s="4080"/>
      <c r="L143" s="4080">
        <v>865</v>
      </c>
      <c r="M143" s="4080"/>
      <c r="N143" s="4080">
        <f t="shared" si="349"/>
        <v>2595</v>
      </c>
      <c r="O143" s="4080"/>
      <c r="P143" s="4080">
        <v>865</v>
      </c>
      <c r="Q143" s="4080"/>
      <c r="R143" s="4080">
        <f t="shared" ref="R143:R146" si="350">+N143+P143</f>
        <v>3460</v>
      </c>
      <c r="S143" s="4080"/>
      <c r="T143" s="4080">
        <v>865</v>
      </c>
      <c r="U143" s="4080"/>
      <c r="V143" s="4080">
        <f t="shared" ref="V143:V146" si="351">+R143+T143</f>
        <v>4325</v>
      </c>
      <c r="W143" s="778"/>
      <c r="X143" s="4080">
        <v>865</v>
      </c>
      <c r="AC143" s="4080"/>
      <c r="AD143" s="4080">
        <v>865</v>
      </c>
      <c r="AG143" s="4080"/>
      <c r="AH143" s="4080">
        <v>865</v>
      </c>
      <c r="AK143" s="4080"/>
      <c r="AL143" s="4080"/>
      <c r="AQ143" s="4080"/>
      <c r="AR143" s="4080"/>
    </row>
    <row r="144" spans="2:66" ht="21" hidden="1" customHeight="1" x14ac:dyDescent="0.25">
      <c r="B144" s="4081" t="s">
        <v>1556</v>
      </c>
      <c r="C144" s="4080"/>
      <c r="D144" s="4080"/>
      <c r="E144" s="4080"/>
      <c r="F144" s="4080">
        <v>288</v>
      </c>
      <c r="G144" s="4080"/>
      <c r="H144" s="4080">
        <v>288</v>
      </c>
      <c r="I144" s="4080"/>
      <c r="J144" s="4080"/>
      <c r="K144" s="4080"/>
      <c r="L144" s="4080">
        <v>288</v>
      </c>
      <c r="M144" s="4080"/>
      <c r="N144" s="4080">
        <f t="shared" si="349"/>
        <v>864</v>
      </c>
      <c r="O144" s="4080"/>
      <c r="P144" s="4080">
        <v>288</v>
      </c>
      <c r="Q144" s="4080"/>
      <c r="R144" s="4080">
        <f t="shared" si="350"/>
        <v>1152</v>
      </c>
      <c r="S144" s="4080"/>
      <c r="T144" s="4080">
        <v>288</v>
      </c>
      <c r="U144" s="4080"/>
      <c r="V144" s="4080">
        <f t="shared" si="351"/>
        <v>1440</v>
      </c>
      <c r="W144" s="778"/>
      <c r="X144" s="4080">
        <v>288</v>
      </c>
      <c r="AC144" s="4080"/>
      <c r="AD144" s="4080">
        <v>288</v>
      </c>
      <c r="AG144" s="4080"/>
      <c r="AH144" s="4080">
        <v>288</v>
      </c>
      <c r="AK144" s="4080"/>
      <c r="AL144" s="4080"/>
      <c r="AQ144" s="4080"/>
      <c r="AR144" s="4080"/>
    </row>
    <row r="145" spans="1:58" ht="21" hidden="1" customHeight="1" x14ac:dyDescent="0.25">
      <c r="B145" s="4081" t="s">
        <v>1557</v>
      </c>
      <c r="C145" s="4080"/>
      <c r="D145" s="4080"/>
      <c r="E145" s="4080"/>
      <c r="F145" s="4080">
        <v>374</v>
      </c>
      <c r="G145" s="4080"/>
      <c r="H145" s="4080">
        <v>374</v>
      </c>
      <c r="I145" s="4080"/>
      <c r="J145" s="4080"/>
      <c r="K145" s="4080"/>
      <c r="L145" s="4080">
        <v>374</v>
      </c>
      <c r="M145" s="4080"/>
      <c r="N145" s="4080">
        <f t="shared" si="349"/>
        <v>1122</v>
      </c>
      <c r="O145" s="4080"/>
      <c r="P145" s="4080">
        <v>374</v>
      </c>
      <c r="Q145" s="4080"/>
      <c r="R145" s="4080">
        <f t="shared" si="350"/>
        <v>1496</v>
      </c>
      <c r="S145" s="4080"/>
      <c r="T145" s="4080">
        <v>374</v>
      </c>
      <c r="U145" s="4080"/>
      <c r="V145" s="4080">
        <f t="shared" si="351"/>
        <v>1870</v>
      </c>
      <c r="W145" s="778"/>
      <c r="X145" s="4080">
        <v>374</v>
      </c>
      <c r="AC145" s="4080"/>
      <c r="AD145" s="4080">
        <v>374</v>
      </c>
      <c r="AG145" s="4080"/>
      <c r="AH145" s="4080">
        <v>374</v>
      </c>
      <c r="AK145" s="4080"/>
      <c r="AL145" s="4080"/>
      <c r="AQ145" s="4080"/>
      <c r="AR145" s="4080"/>
    </row>
    <row r="146" spans="1:58" ht="21" hidden="1" customHeight="1" x14ac:dyDescent="0.25">
      <c r="B146" s="4081" t="s">
        <v>1558</v>
      </c>
      <c r="C146" s="4080"/>
      <c r="D146" s="4080"/>
      <c r="E146" s="4080"/>
      <c r="F146" s="4080">
        <v>913</v>
      </c>
      <c r="G146" s="4080"/>
      <c r="H146" s="4080">
        <v>913</v>
      </c>
      <c r="I146" s="4080"/>
      <c r="J146" s="4080"/>
      <c r="K146" s="4080"/>
      <c r="L146" s="4080">
        <v>913</v>
      </c>
      <c r="M146" s="4080"/>
      <c r="N146" s="4080">
        <f t="shared" si="349"/>
        <v>2739</v>
      </c>
      <c r="O146" s="4080"/>
      <c r="P146" s="4080">
        <v>913</v>
      </c>
      <c r="Q146" s="4080"/>
      <c r="R146" s="4080">
        <f t="shared" si="350"/>
        <v>3652</v>
      </c>
      <c r="S146" s="4080"/>
      <c r="T146" s="4080">
        <v>913</v>
      </c>
      <c r="U146" s="4080"/>
      <c r="V146" s="4080">
        <f t="shared" si="351"/>
        <v>4565</v>
      </c>
      <c r="W146" s="778"/>
      <c r="X146" s="4080">
        <v>913</v>
      </c>
      <c r="AC146" s="4080"/>
      <c r="AD146" s="4080">
        <v>913</v>
      </c>
      <c r="AG146" s="4080"/>
      <c r="AH146" s="4080">
        <v>913</v>
      </c>
      <c r="AK146" s="4080"/>
      <c r="AL146" s="4080"/>
      <c r="AQ146" s="4080"/>
      <c r="AR146" s="4080"/>
    </row>
    <row r="147" spans="1:58" ht="21" hidden="1" customHeight="1" x14ac:dyDescent="0.25">
      <c r="B147" s="4081" t="s">
        <v>21</v>
      </c>
      <c r="C147" s="4080"/>
      <c r="D147" s="4080"/>
      <c r="E147" s="4080"/>
      <c r="F147" s="4080">
        <f>SUM(F142:F146)</f>
        <v>3275</v>
      </c>
      <c r="G147" s="4080"/>
      <c r="H147" s="4080">
        <f>SUM(H142:H146)</f>
        <v>3275</v>
      </c>
      <c r="I147" s="4080"/>
      <c r="J147" s="4080"/>
      <c r="K147" s="4080"/>
      <c r="L147" s="4080">
        <f>SUM(L142:L146)</f>
        <v>3275</v>
      </c>
      <c r="M147" s="4080"/>
      <c r="N147" s="4080">
        <f>SUM(N142:N146)</f>
        <v>9825</v>
      </c>
      <c r="O147" s="4080"/>
      <c r="P147" s="4080">
        <f>SUM(P142:P146)</f>
        <v>3275</v>
      </c>
      <c r="Q147" s="4080"/>
      <c r="R147" s="4080">
        <f>SUM(R142:R146)</f>
        <v>13100</v>
      </c>
      <c r="S147" s="4080"/>
      <c r="T147" s="4080">
        <f>SUM(T142:T146)</f>
        <v>3275</v>
      </c>
      <c r="U147" s="4080"/>
      <c r="V147" s="4080">
        <f>SUM(V142:V146)</f>
        <v>16375</v>
      </c>
      <c r="W147" s="778"/>
      <c r="X147" s="4080">
        <f>SUM(X142:X146)</f>
        <v>3275</v>
      </c>
      <c r="AC147" s="4080"/>
      <c r="AD147" s="4080">
        <f>SUM(AD142:AD146)</f>
        <v>3275</v>
      </c>
      <c r="AG147" s="4080"/>
      <c r="AH147" s="4080">
        <f>SUM(AH142:AH146)</f>
        <v>3275</v>
      </c>
      <c r="AK147" s="4080"/>
      <c r="AL147" s="4080"/>
      <c r="AQ147" s="4080"/>
      <c r="AR147" s="4080"/>
    </row>
    <row r="148" spans="1:58" ht="21" hidden="1" customHeight="1" x14ac:dyDescent="0.25">
      <c r="B148" s="4081" t="s">
        <v>1563</v>
      </c>
      <c r="C148" s="4080"/>
      <c r="D148" s="4080"/>
      <c r="E148" s="4080"/>
      <c r="F148" s="4082">
        <f>+F147-F27</f>
        <v>276</v>
      </c>
      <c r="G148" s="4080"/>
      <c r="H148" s="4082">
        <f>+H147-H27</f>
        <v>11</v>
      </c>
      <c r="I148" s="4080"/>
      <c r="J148" s="4080"/>
      <c r="K148" s="4080"/>
      <c r="L148" s="4082">
        <f>+L147-L27</f>
        <v>1463.22</v>
      </c>
      <c r="M148" s="4080"/>
      <c r="N148" s="4082">
        <f>+N147-N27</f>
        <v>1750.2200000000003</v>
      </c>
      <c r="O148" s="4080"/>
      <c r="P148" s="4082">
        <f>+P147-P27</f>
        <v>220.94000000000005</v>
      </c>
      <c r="Q148" s="4080"/>
      <c r="R148" s="4082">
        <f>+R147-R27</f>
        <v>1971.1599999999999</v>
      </c>
      <c r="S148" s="4080"/>
      <c r="T148" s="4082">
        <f>+T147-T27</f>
        <v>619</v>
      </c>
      <c r="U148" s="4080"/>
      <c r="V148" s="4082">
        <f>+V147-V27</f>
        <v>2590.16</v>
      </c>
      <c r="W148" s="778"/>
      <c r="X148" s="4082">
        <f>+X147-X27</f>
        <v>647.44000000000005</v>
      </c>
      <c r="AC148" s="4080"/>
      <c r="AD148" s="4082">
        <f>+AD147-AD27</f>
        <v>564.9699999999998</v>
      </c>
      <c r="AG148" s="4080"/>
      <c r="AH148" s="4082">
        <f>+AH147-AH27</f>
        <v>3137.34</v>
      </c>
      <c r="AK148" s="4080"/>
      <c r="AL148" s="4082"/>
      <c r="AQ148" s="4080"/>
      <c r="AR148" s="4082"/>
    </row>
    <row r="149" spans="1:58" ht="21" hidden="1" customHeight="1" x14ac:dyDescent="0.25">
      <c r="B149" s="4081"/>
      <c r="C149" s="4080"/>
      <c r="D149" s="4080"/>
      <c r="E149" s="4080"/>
      <c r="F149" s="4082"/>
      <c r="G149" s="4080"/>
      <c r="H149" s="4082"/>
      <c r="I149" s="4080"/>
      <c r="J149" s="4080"/>
      <c r="K149" s="4080"/>
      <c r="L149" s="4082"/>
      <c r="M149" s="4080"/>
      <c r="N149" s="4082"/>
      <c r="O149" s="4080"/>
      <c r="P149" s="4082"/>
      <c r="Q149" s="4080"/>
      <c r="R149" s="4082"/>
      <c r="S149" s="4080"/>
      <c r="T149" s="4082"/>
      <c r="U149" s="4080"/>
      <c r="V149" s="4082"/>
      <c r="W149" s="778"/>
      <c r="X149" s="4082"/>
      <c r="AC149" s="4080"/>
      <c r="AD149" s="4082"/>
      <c r="AG149" s="4080"/>
      <c r="AH149" s="4082"/>
      <c r="AK149" s="4080"/>
      <c r="AL149" s="4082"/>
      <c r="AQ149" s="4080"/>
      <c r="AR149" s="4082"/>
    </row>
    <row r="150" spans="1:58" ht="21" hidden="1" customHeight="1" x14ac:dyDescent="0.25">
      <c r="B150" s="4081" t="s">
        <v>1553</v>
      </c>
      <c r="C150" s="4080"/>
      <c r="D150" s="4080"/>
      <c r="E150" s="4080"/>
      <c r="F150" s="4080"/>
      <c r="G150" s="4080"/>
      <c r="H150" s="4080"/>
      <c r="I150" s="4080"/>
      <c r="J150" s="4080"/>
      <c r="K150" s="4080"/>
      <c r="L150" s="4080"/>
      <c r="M150" s="4080"/>
      <c r="N150" s="4080"/>
      <c r="O150" s="4080"/>
      <c r="P150" s="4080"/>
      <c r="Q150" s="4080"/>
      <c r="R150" s="4080"/>
      <c r="S150" s="4080"/>
      <c r="T150" s="4080"/>
      <c r="U150" s="4080"/>
      <c r="V150" s="4080"/>
      <c r="W150" s="778"/>
      <c r="X150" s="4080"/>
      <c r="AC150" s="4080"/>
      <c r="AD150" s="4080"/>
      <c r="AG150" s="4080"/>
      <c r="AH150" s="4080"/>
      <c r="AK150" s="4080"/>
      <c r="AL150" s="4080"/>
      <c r="AQ150" s="4080"/>
      <c r="AR150" s="4080"/>
    </row>
    <row r="151" spans="1:58" ht="21" hidden="1" customHeight="1" x14ac:dyDescent="0.25">
      <c r="B151" s="4083"/>
      <c r="C151" s="64" t="s">
        <v>198</v>
      </c>
      <c r="D151" s="4080"/>
      <c r="E151" s="4080"/>
      <c r="F151" s="4080">
        <v>2449</v>
      </c>
      <c r="G151" s="4080"/>
      <c r="H151" s="4080">
        <v>2449</v>
      </c>
      <c r="I151" s="4080"/>
      <c r="J151" s="4080"/>
      <c r="K151" s="4080"/>
      <c r="L151" s="4080">
        <v>2449</v>
      </c>
      <c r="M151" s="4080"/>
      <c r="N151" s="4080">
        <f t="shared" ref="N151:N153" si="352">+L151+H151+F151</f>
        <v>7347</v>
      </c>
      <c r="O151" s="4080"/>
      <c r="P151" s="4080">
        <v>2449</v>
      </c>
      <c r="Q151" s="4080"/>
      <c r="R151" s="4080">
        <f t="shared" ref="R151:R153" si="353">+N151+P151</f>
        <v>9796</v>
      </c>
      <c r="S151" s="4080"/>
      <c r="T151" s="4080">
        <v>2449</v>
      </c>
      <c r="U151" s="4080"/>
      <c r="V151" s="4080">
        <f t="shared" ref="V151:V153" si="354">+R151+T151</f>
        <v>12245</v>
      </c>
      <c r="W151" s="778"/>
      <c r="X151" s="4080">
        <v>2449</v>
      </c>
      <c r="AC151" s="4080"/>
      <c r="AD151" s="4080">
        <v>2449</v>
      </c>
      <c r="AG151" s="4080"/>
      <c r="AH151" s="4080">
        <v>2449</v>
      </c>
      <c r="AK151" s="4080"/>
      <c r="AL151" s="4080"/>
      <c r="AQ151" s="4080"/>
      <c r="AR151" s="4080"/>
    </row>
    <row r="152" spans="1:58" ht="21" hidden="1" customHeight="1" x14ac:dyDescent="0.25">
      <c r="B152" s="7693" t="s">
        <v>1561</v>
      </c>
      <c r="C152" s="64" t="s">
        <v>1559</v>
      </c>
      <c r="D152" s="4080"/>
      <c r="E152" s="4080"/>
      <c r="F152" s="4080">
        <v>4866</v>
      </c>
      <c r="G152" s="4080"/>
      <c r="H152" s="4080">
        <v>4866</v>
      </c>
      <c r="I152" s="4080"/>
      <c r="J152" s="4080"/>
      <c r="K152" s="4080"/>
      <c r="L152" s="4080">
        <v>4866</v>
      </c>
      <c r="M152" s="4080"/>
      <c r="N152" s="4080">
        <f t="shared" si="352"/>
        <v>14598</v>
      </c>
      <c r="O152" s="4080"/>
      <c r="P152" s="4080">
        <v>4866</v>
      </c>
      <c r="Q152" s="4080"/>
      <c r="R152" s="4080">
        <f t="shared" si="353"/>
        <v>19464</v>
      </c>
      <c r="S152" s="4080"/>
      <c r="T152" s="4080">
        <v>4866</v>
      </c>
      <c r="U152" s="4080"/>
      <c r="V152" s="4080">
        <f t="shared" si="354"/>
        <v>24330</v>
      </c>
      <c r="W152" s="778"/>
      <c r="X152" s="4080">
        <v>4866</v>
      </c>
      <c r="AC152" s="4080"/>
      <c r="AD152" s="4080">
        <v>4866</v>
      </c>
      <c r="AG152" s="4080"/>
      <c r="AH152" s="4080">
        <v>4866</v>
      </c>
      <c r="AK152" s="4080"/>
      <c r="AL152" s="4080"/>
      <c r="AQ152" s="4080"/>
      <c r="AR152" s="4080"/>
    </row>
    <row r="153" spans="1:58" ht="21" hidden="1" customHeight="1" x14ac:dyDescent="0.25">
      <c r="B153" s="7693"/>
      <c r="C153" s="64" t="s">
        <v>1560</v>
      </c>
      <c r="D153" s="4080"/>
      <c r="E153" s="4080"/>
      <c r="F153" s="4080">
        <v>1022</v>
      </c>
      <c r="G153" s="4080"/>
      <c r="H153" s="4080">
        <v>1022</v>
      </c>
      <c r="I153" s="4080"/>
      <c r="J153" s="4080"/>
      <c r="K153" s="4080"/>
      <c r="L153" s="4080">
        <v>1022</v>
      </c>
      <c r="M153" s="4080"/>
      <c r="N153" s="4080">
        <f t="shared" si="352"/>
        <v>3066</v>
      </c>
      <c r="O153" s="4080"/>
      <c r="P153" s="4080">
        <v>1022</v>
      </c>
      <c r="Q153" s="4080"/>
      <c r="R153" s="4080">
        <f t="shared" si="353"/>
        <v>4088</v>
      </c>
      <c r="S153" s="4080"/>
      <c r="T153" s="4080">
        <v>1022</v>
      </c>
      <c r="U153" s="4080"/>
      <c r="V153" s="4080">
        <f t="shared" si="354"/>
        <v>5110</v>
      </c>
      <c r="W153" s="778"/>
      <c r="X153" s="4080">
        <v>1022</v>
      </c>
      <c r="AC153" s="4080"/>
      <c r="AD153" s="4080">
        <v>1022</v>
      </c>
      <c r="AG153" s="4080"/>
      <c r="AH153" s="4080">
        <v>1022</v>
      </c>
      <c r="AK153" s="4080"/>
      <c r="AL153" s="4080"/>
      <c r="AQ153" s="4080"/>
      <c r="AR153" s="4080"/>
    </row>
    <row r="154" spans="1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</row>
    <row r="155" spans="1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</row>
    <row r="156" spans="1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</row>
    <row r="157" spans="1:58" ht="320.25" customHeight="1" thickBot="1" x14ac:dyDescent="0.3">
      <c r="B157" s="4084" t="s">
        <v>278</v>
      </c>
      <c r="C157" s="759" t="s">
        <v>175</v>
      </c>
      <c r="D157" s="1332"/>
      <c r="E157" s="4085"/>
      <c r="F157" s="4086" t="s">
        <v>2280</v>
      </c>
      <c r="G157" s="4085"/>
      <c r="H157" s="4086" t="s">
        <v>2313</v>
      </c>
      <c r="I157" s="4087"/>
      <c r="J157" s="4088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85"/>
      <c r="L157" s="4086" t="s">
        <v>1910</v>
      </c>
      <c r="M157" s="4089"/>
      <c r="N157" s="4090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v>
      </c>
      <c r="O157" s="4085"/>
      <c r="P157" s="4086" t="s">
        <v>1940</v>
      </c>
      <c r="Q157" s="4091"/>
      <c r="R157" s="4088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v>
      </c>
      <c r="S157" s="4085"/>
      <c r="T157" s="4086" t="s">
        <v>1979</v>
      </c>
      <c r="U157" s="4091"/>
      <c r="V157" s="4088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v>
      </c>
      <c r="W157" s="4085"/>
      <c r="X157" s="4086" t="s">
        <v>1996</v>
      </c>
      <c r="Y157" s="4093"/>
      <c r="Z157" s="4094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4095"/>
      <c r="AB157" s="4096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4085"/>
      <c r="AD157" s="4086" t="s">
        <v>2003</v>
      </c>
      <c r="AE157" s="4091"/>
      <c r="AF157" s="4088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4085"/>
      <c r="AH157" s="4086" t="s">
        <v>2028</v>
      </c>
      <c r="AI157" s="4091"/>
      <c r="AJ157" s="4088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4085"/>
      <c r="AL157" s="4086" t="s">
        <v>2043</v>
      </c>
      <c r="AM157" s="4093"/>
      <c r="AN157" s="4094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091"/>
      <c r="AP157" s="4088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085"/>
      <c r="AR157" s="4086" t="s">
        <v>2147</v>
      </c>
      <c r="AS157" s="4091"/>
      <c r="AT157" s="4088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085"/>
      <c r="AV157" s="4092" t="s">
        <v>2159</v>
      </c>
      <c r="AW157" s="4091"/>
      <c r="AX157" s="4088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085"/>
      <c r="AZ157" s="4092" t="s">
        <v>2167</v>
      </c>
      <c r="BA157" s="4093"/>
      <c r="BB157" s="4094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95"/>
      <c r="BD157" s="4096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91"/>
      <c r="BF157" s="4088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1:58" ht="246.75" customHeight="1" thickBot="1" x14ac:dyDescent="0.3">
      <c r="B158" s="4097" t="s">
        <v>279</v>
      </c>
      <c r="C158" s="3584" t="s">
        <v>175</v>
      </c>
      <c r="D158" s="1407"/>
      <c r="E158" s="4098"/>
      <c r="F158" s="4099" t="s">
        <v>2281</v>
      </c>
      <c r="G158" s="4098"/>
      <c r="H158" s="4099" t="s">
        <v>2311</v>
      </c>
      <c r="I158" s="4100"/>
      <c r="J158" s="4101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98"/>
      <c r="L158" s="4099" t="s">
        <v>1911</v>
      </c>
      <c r="M158" s="4103"/>
      <c r="N158" s="4104" t="str">
        <f>L158</f>
        <v xml:space="preserve">
10th Relining carried on 28.07.22-02.08.22 which has resulted in 3510 Heats till 21.03.23.11th relining carried on from 22.03.2023-27.03.2023 which has resulted 6740 Heats till 30.06.2024.</v>
      </c>
      <c r="O158" s="4098"/>
      <c r="P158" s="4099" t="s">
        <v>1941</v>
      </c>
      <c r="Q158" s="4105"/>
      <c r="R158" s="4101" t="str">
        <f>P158</f>
        <v xml:space="preserve">
10th Relining carried on 28.07.22-02.08.22 which has resulted in 3510 Heats till 21.03.23.11th relining carried on from 22.03.2023-27.03.2023 which has resulted 7232 Heats till 31.07.2024.</v>
      </c>
      <c r="S158" s="4098"/>
      <c r="T158" s="4099" t="s">
        <v>1982</v>
      </c>
      <c r="U158" s="4105"/>
      <c r="V158" s="4101" t="str">
        <f>T158</f>
        <v xml:space="preserve">
10th Relining carried on 28.07.22-02.08.22 which has resulted in 3510 Heats till 21.03.23.11th relining carried on from 22.03.2023-27.03.2023 which has resulted 7763 Heats till 31.08.2024.</v>
      </c>
      <c r="W158" s="4098"/>
      <c r="X158" s="4099" t="s">
        <v>1997</v>
      </c>
      <c r="Y158" s="4103"/>
      <c r="Z158" s="4107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4108"/>
      <c r="AB158" s="4109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4098"/>
      <c r="AD158" s="4099" t="s">
        <v>2004</v>
      </c>
      <c r="AE158" s="4105"/>
      <c r="AF158" s="4101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4098"/>
      <c r="AH158" s="4099" t="s">
        <v>2029</v>
      </c>
      <c r="AI158" s="4105"/>
      <c r="AJ158" s="4101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4098"/>
      <c r="AL158" s="4099" t="s">
        <v>2044</v>
      </c>
      <c r="AM158" s="4103"/>
      <c r="AN158" s="4107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105"/>
      <c r="AP158" s="4101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098"/>
      <c r="AR158" s="4099" t="s">
        <v>2148</v>
      </c>
      <c r="AS158" s="4105"/>
      <c r="AT158" s="4101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102"/>
      <c r="AV158" s="4106" t="s">
        <v>2160</v>
      </c>
      <c r="AW158" s="4105"/>
      <c r="AX158" s="4101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102"/>
      <c r="AZ158" s="4106" t="s">
        <v>2169</v>
      </c>
      <c r="BA158" s="4103"/>
      <c r="BB158" s="4107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108"/>
      <c r="BD158" s="4109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105"/>
      <c r="BF158" s="4101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1:58" ht="405.75" customHeight="1" thickBot="1" x14ac:dyDescent="0.3">
      <c r="B159" s="4110" t="s">
        <v>280</v>
      </c>
      <c r="C159" s="3587" t="s">
        <v>175</v>
      </c>
      <c r="D159" s="3643"/>
      <c r="E159" s="4111"/>
      <c r="F159" s="4112" t="s">
        <v>2282</v>
      </c>
      <c r="G159" s="4111"/>
      <c r="H159" s="4112" t="s">
        <v>2312</v>
      </c>
      <c r="I159" s="4113"/>
      <c r="J159" s="4114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111"/>
      <c r="L159" s="4112" t="s">
        <v>1912</v>
      </c>
      <c r="M159" s="4115"/>
      <c r="N159" s="4116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v>
      </c>
      <c r="O159" s="4111"/>
      <c r="P159" s="4112" t="s">
        <v>1942</v>
      </c>
      <c r="Q159" s="4117"/>
      <c r="R159" s="4118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v>
      </c>
      <c r="S159" s="4111"/>
      <c r="T159" s="4112" t="s">
        <v>1980</v>
      </c>
      <c r="U159" s="4117"/>
      <c r="V159" s="4118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v>
      </c>
      <c r="W159" s="4111"/>
      <c r="X159" s="4112" t="s">
        <v>1998</v>
      </c>
      <c r="Y159" s="4120"/>
      <c r="Z159" s="4121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4122"/>
      <c r="AB159" s="4123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4111"/>
      <c r="AD159" s="4112" t="s">
        <v>2005</v>
      </c>
      <c r="AE159" s="4117"/>
      <c r="AF159" s="4118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4111"/>
      <c r="AH159" s="4112" t="s">
        <v>2030</v>
      </c>
      <c r="AI159" s="4117"/>
      <c r="AJ159" s="4118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4111"/>
      <c r="AL159" s="4112" t="s">
        <v>2045</v>
      </c>
      <c r="AM159" s="4120"/>
      <c r="AN159" s="4121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117"/>
      <c r="AP159" s="4118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111"/>
      <c r="AR159" s="4112" t="s">
        <v>2149</v>
      </c>
      <c r="AS159" s="4117"/>
      <c r="AT159" s="4118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098"/>
      <c r="AV159" s="4119" t="s">
        <v>2161</v>
      </c>
      <c r="AW159" s="4117"/>
      <c r="AX159" s="4118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098"/>
      <c r="AZ159" s="4119" t="s">
        <v>2168</v>
      </c>
      <c r="BA159" s="4120"/>
      <c r="BB159" s="4121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122"/>
      <c r="BD159" s="4123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117"/>
      <c r="BF159" s="4118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1:58" ht="21" customHeight="1" x14ac:dyDescent="0.25">
      <c r="A160" s="4" t="s">
        <v>470</v>
      </c>
      <c r="B160" s="4" t="s">
        <v>1909</v>
      </c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1:20" ht="21" customHeight="1" x14ac:dyDescent="0.25">
      <c r="A161" s="4" t="s">
        <v>470</v>
      </c>
      <c r="B161" s="4" t="s">
        <v>1939</v>
      </c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1:20" ht="21" customHeight="1" x14ac:dyDescent="0.25">
      <c r="A162" s="4" t="s">
        <v>470</v>
      </c>
      <c r="B162" s="4" t="s">
        <v>1981</v>
      </c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1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1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1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1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1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1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1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1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1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1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1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1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1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  <c r="T175" s="4"/>
    </row>
    <row r="176" spans="1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  <c r="T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  <c r="T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D181" s="4"/>
      <c r="E181" s="4"/>
      <c r="F181" s="4"/>
      <c r="G181" s="4"/>
      <c r="H181" s="4"/>
      <c r="I181" s="4"/>
      <c r="J181" s="4"/>
      <c r="K181" s="4"/>
      <c r="M181" s="4"/>
      <c r="O181" s="4"/>
      <c r="Q181" s="4"/>
    </row>
    <row r="182" spans="4:21" ht="21" customHeight="1" x14ac:dyDescent="0.25">
      <c r="D182" s="4"/>
      <c r="E182" s="4"/>
      <c r="F182" s="4"/>
      <c r="G182" s="4"/>
      <c r="H182" s="4"/>
      <c r="I182" s="4"/>
      <c r="J182" s="4"/>
      <c r="K182" s="4"/>
      <c r="M182" s="4"/>
      <c r="O182" s="4"/>
      <c r="Q182" s="4"/>
    </row>
    <row r="183" spans="4:21" ht="21" customHeight="1" x14ac:dyDescent="0.25">
      <c r="D183" s="4"/>
      <c r="E183" s="4"/>
      <c r="F183" s="4"/>
      <c r="G183" s="4"/>
      <c r="H183" s="4"/>
      <c r="I183" s="4"/>
      <c r="J183" s="4"/>
      <c r="K183" s="4"/>
      <c r="M183" s="4"/>
      <c r="O183" s="4"/>
      <c r="Q183" s="4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L204" s="45"/>
      <c r="P204" s="45"/>
      <c r="S204" s="112"/>
      <c r="U204" s="112"/>
    </row>
    <row r="205" spans="5:21" ht="21" customHeight="1" x14ac:dyDescent="0.25">
      <c r="E205" s="4"/>
      <c r="F205" s="4"/>
      <c r="L205" s="45"/>
      <c r="P205" s="45"/>
      <c r="S205" s="112"/>
      <c r="U205" s="112"/>
    </row>
    <row r="206" spans="5:21" ht="21" customHeight="1" x14ac:dyDescent="0.25">
      <c r="E206" s="4"/>
      <c r="F206" s="4"/>
      <c r="L206" s="45"/>
      <c r="P206" s="45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E291" s="4"/>
      <c r="F291" s="4"/>
      <c r="S291" s="112"/>
      <c r="U291" s="112"/>
    </row>
    <row r="292" spans="5:21" ht="21" customHeight="1" x14ac:dyDescent="0.25">
      <c r="E292" s="4"/>
      <c r="F292" s="4"/>
      <c r="S292" s="112"/>
      <c r="U292" s="112"/>
    </row>
    <row r="293" spans="5:21" ht="21" customHeight="1" x14ac:dyDescent="0.25">
      <c r="E293" s="4"/>
      <c r="F293" s="4"/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  <row r="506" spans="19:21" ht="21" customHeight="1" x14ac:dyDescent="0.25">
      <c r="S506" s="112"/>
      <c r="U506" s="112"/>
    </row>
    <row r="507" spans="19:21" ht="21" customHeight="1" x14ac:dyDescent="0.25">
      <c r="S507" s="112"/>
      <c r="U507" s="112"/>
    </row>
    <row r="508" spans="19:21" ht="21" customHeight="1" x14ac:dyDescent="0.25">
      <c r="S508" s="112"/>
      <c r="U508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18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04"/>
  <sheetViews>
    <sheetView topLeftCell="A175" zoomScaleNormal="100" workbookViewId="0">
      <pane xSplit="4" topLeftCell="H1" activePane="topRight" state="frozen"/>
      <selection pane="topRight" activeCell="D204" sqref="D204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customWidth="1"/>
    <col min="8" max="8" width="8.7109375" style="93" customWidth="1"/>
    <col min="9" max="9" width="11.28515625" style="87" customWidth="1"/>
    <col min="10" max="10" width="11.140625" style="93" customWidth="1"/>
    <col min="11" max="11" width="8.7109375" style="203" hidden="1" customWidth="1"/>
    <col min="12" max="12" width="8.7109375" style="93" hidden="1" customWidth="1"/>
    <col min="13" max="13" width="9" style="87" hidden="1" customWidth="1"/>
    <col min="14" max="14" width="9" style="93" hidden="1" customWidth="1"/>
    <col min="15" max="15" width="8.7109375" style="203" hidden="1" customWidth="1"/>
    <col min="16" max="16" width="8.7109375" style="154" hidden="1" customWidth="1"/>
    <col min="17" max="17" width="10.140625" style="87" hidden="1" customWidth="1"/>
    <col min="18" max="18" width="10.140625" style="93" hidden="1" customWidth="1"/>
    <col min="19" max="19" width="8.7109375" hidden="1" customWidth="1"/>
    <col min="20" max="20" width="8.7109375" style="1800" hidden="1" customWidth="1"/>
    <col min="21" max="22" width="9" hidden="1" customWidth="1"/>
    <col min="23" max="23" width="8.7109375" hidden="1" customWidth="1"/>
    <col min="24" max="24" width="9.42578125" hidden="1" customWidth="1"/>
    <col min="25" max="25" width="9" hidden="1" customWidth="1"/>
    <col min="26" max="26" width="13.140625" hidden="1" customWidth="1"/>
    <col min="27" max="28" width="9" hidden="1" customWidth="1"/>
    <col min="29" max="29" width="8.85546875" hidden="1" customWidth="1"/>
    <col min="30" max="30" width="9.85546875" hidden="1" customWidth="1"/>
    <col min="31" max="31" width="8.85546875" hidden="1" customWidth="1"/>
    <col min="32" max="32" width="9.5703125" hidden="1" customWidth="1"/>
    <col min="33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56" hidden="1" customWidth="1"/>
    <col min="57" max="58" width="8.85546875" hidden="1" customWidth="1"/>
    <col min="60" max="60" width="7" bestFit="1" customWidth="1"/>
  </cols>
  <sheetData>
    <row r="1" spans="1:66" ht="22.5" x14ac:dyDescent="0.3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805"/>
      <c r="U1" s="93"/>
      <c r="V1" s="93"/>
      <c r="W1" s="7710"/>
      <c r="X1" s="7710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1806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806">
        <v>31</v>
      </c>
      <c r="AE2" s="97">
        <f>+AA2+AC2</f>
        <v>214</v>
      </c>
      <c r="AF2" s="97">
        <f>+AB2+AD2</f>
        <v>214</v>
      </c>
      <c r="AG2" s="97">
        <v>30</v>
      </c>
      <c r="AH2" s="1806">
        <v>30</v>
      </c>
      <c r="AI2" s="97">
        <f>+AE2+AG2</f>
        <v>244</v>
      </c>
      <c r="AJ2" s="97">
        <f>+AF2+AH2</f>
        <v>244</v>
      </c>
      <c r="AK2" s="97">
        <v>31</v>
      </c>
      <c r="AL2" s="1806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806">
        <v>31</v>
      </c>
      <c r="AS2" s="97">
        <f>+AO2+AQ2</f>
        <v>306</v>
      </c>
      <c r="AT2" s="97">
        <f>+AP2+AR2</f>
        <v>306</v>
      </c>
      <c r="AU2" s="97">
        <v>28</v>
      </c>
      <c r="AV2" s="1806">
        <v>28</v>
      </c>
      <c r="AW2" s="97">
        <f>+AS2+AU2</f>
        <v>334</v>
      </c>
      <c r="AX2" s="97">
        <f>+AT2+AV2</f>
        <v>334</v>
      </c>
      <c r="AY2" s="97">
        <v>31</v>
      </c>
      <c r="AZ2" s="1806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440" t="s">
        <v>171</v>
      </c>
      <c r="C3" s="7711" t="s">
        <v>850</v>
      </c>
      <c r="D3" s="7714" t="s">
        <v>172</v>
      </c>
      <c r="E3" s="7294" t="s">
        <v>2254</v>
      </c>
      <c r="F3" s="7295"/>
      <c r="G3" s="7294" t="s">
        <v>2306</v>
      </c>
      <c r="H3" s="7295"/>
      <c r="I3" s="7428" t="s">
        <v>14</v>
      </c>
      <c r="J3" s="7656"/>
      <c r="K3" s="7364" t="s">
        <v>1903</v>
      </c>
      <c r="L3" s="7364"/>
      <c r="M3" s="7305" t="s">
        <v>637</v>
      </c>
      <c r="N3" s="7305"/>
      <c r="O3" s="7364" t="s">
        <v>1937</v>
      </c>
      <c r="P3" s="7364"/>
      <c r="Q3" s="7362" t="s">
        <v>17</v>
      </c>
      <c r="R3" s="7363"/>
      <c r="S3" s="7364" t="s">
        <v>1961</v>
      </c>
      <c r="T3" s="7364"/>
      <c r="U3" s="7362" t="s">
        <v>18</v>
      </c>
      <c r="V3" s="7363"/>
      <c r="W3" s="7364" t="s">
        <v>1983</v>
      </c>
      <c r="X3" s="7364"/>
      <c r="Y3" s="7371" t="s">
        <v>660</v>
      </c>
      <c r="Z3" s="7372"/>
      <c r="AA3" s="7354" t="s">
        <v>657</v>
      </c>
      <c r="AB3" s="7355"/>
      <c r="AC3" s="7364" t="s">
        <v>2002</v>
      </c>
      <c r="AD3" s="7364"/>
      <c r="AE3" s="7362" t="s">
        <v>24</v>
      </c>
      <c r="AF3" s="7363"/>
      <c r="AG3" s="7364" t="s">
        <v>2018</v>
      </c>
      <c r="AH3" s="7364"/>
      <c r="AI3" s="7362" t="s">
        <v>27</v>
      </c>
      <c r="AJ3" s="7363"/>
      <c r="AK3" s="7364" t="s">
        <v>2033</v>
      </c>
      <c r="AL3" s="7364"/>
      <c r="AM3" s="7371" t="s">
        <v>662</v>
      </c>
      <c r="AN3" s="7372"/>
      <c r="AO3" s="7362" t="s">
        <v>1683</v>
      </c>
      <c r="AP3" s="7363"/>
      <c r="AQ3" s="7364" t="s">
        <v>2137</v>
      </c>
      <c r="AR3" s="7364"/>
      <c r="AS3" s="7362" t="s">
        <v>28</v>
      </c>
      <c r="AT3" s="7363"/>
      <c r="AU3" s="7364" t="s">
        <v>2151</v>
      </c>
      <c r="AV3" s="7364"/>
      <c r="AW3" s="7362" t="s">
        <v>30</v>
      </c>
      <c r="AX3" s="7363"/>
      <c r="AY3" s="7364" t="s">
        <v>2163</v>
      </c>
      <c r="AZ3" s="7364"/>
      <c r="BA3" s="7371" t="s">
        <v>663</v>
      </c>
      <c r="BB3" s="7372"/>
      <c r="BC3" s="7354" t="s">
        <v>671</v>
      </c>
      <c r="BD3" s="7355"/>
      <c r="BE3" s="7362" t="s">
        <v>1765</v>
      </c>
      <c r="BF3" s="7363"/>
    </row>
    <row r="4" spans="1:66" ht="15.75" customHeight="1" thickBot="1" x14ac:dyDescent="0.3">
      <c r="B4" s="7694"/>
      <c r="C4" s="7712"/>
      <c r="D4" s="7495"/>
      <c r="E4" s="1313" t="s">
        <v>173</v>
      </c>
      <c r="F4" s="785" t="s">
        <v>174</v>
      </c>
      <c r="G4" s="1313" t="s">
        <v>173</v>
      </c>
      <c r="H4" s="785" t="s">
        <v>174</v>
      </c>
      <c r="I4" s="1476" t="s">
        <v>173</v>
      </c>
      <c r="J4" s="2390" t="s">
        <v>174</v>
      </c>
      <c r="K4" s="232" t="s">
        <v>173</v>
      </c>
      <c r="L4" s="2386" t="s">
        <v>174</v>
      </c>
      <c r="M4" s="2388" t="s">
        <v>173</v>
      </c>
      <c r="N4" s="2388" t="s">
        <v>174</v>
      </c>
      <c r="O4" s="232" t="s">
        <v>173</v>
      </c>
      <c r="P4" s="400" t="s">
        <v>174</v>
      </c>
      <c r="Q4" s="2382" t="s">
        <v>173</v>
      </c>
      <c r="R4" s="163" t="s">
        <v>174</v>
      </c>
      <c r="S4" s="232" t="s">
        <v>173</v>
      </c>
      <c r="T4" s="1807" t="s">
        <v>174</v>
      </c>
      <c r="U4" s="2382" t="s">
        <v>173</v>
      </c>
      <c r="V4" s="163" t="s">
        <v>174</v>
      </c>
      <c r="W4" s="232" t="s">
        <v>173</v>
      </c>
      <c r="X4" s="400" t="s">
        <v>174</v>
      </c>
      <c r="Y4" s="2376" t="s">
        <v>173</v>
      </c>
      <c r="Z4" s="170" t="s">
        <v>174</v>
      </c>
      <c r="AA4" s="2378" t="s">
        <v>173</v>
      </c>
      <c r="AB4" s="467" t="s">
        <v>174</v>
      </c>
      <c r="AC4" s="232" t="s">
        <v>173</v>
      </c>
      <c r="AD4" s="1807" t="s">
        <v>174</v>
      </c>
      <c r="AE4" s="2630" t="s">
        <v>173</v>
      </c>
      <c r="AF4" s="163" t="s">
        <v>174</v>
      </c>
      <c r="AG4" s="232" t="s">
        <v>173</v>
      </c>
      <c r="AH4" s="1807" t="s">
        <v>174</v>
      </c>
      <c r="AI4" s="2669" t="s">
        <v>173</v>
      </c>
      <c r="AJ4" s="163" t="s">
        <v>174</v>
      </c>
      <c r="AK4" s="232" t="s">
        <v>173</v>
      </c>
      <c r="AL4" s="1807" t="s">
        <v>174</v>
      </c>
      <c r="AM4" s="2740" t="s">
        <v>173</v>
      </c>
      <c r="AN4" s="170" t="s">
        <v>174</v>
      </c>
      <c r="AO4" s="2741" t="s">
        <v>173</v>
      </c>
      <c r="AP4" s="163" t="s">
        <v>174</v>
      </c>
      <c r="AQ4" s="232" t="s">
        <v>173</v>
      </c>
      <c r="AR4" s="1807" t="s">
        <v>174</v>
      </c>
      <c r="AS4" s="2808" t="s">
        <v>173</v>
      </c>
      <c r="AT4" s="163" t="s">
        <v>174</v>
      </c>
      <c r="AU4" s="232" t="s">
        <v>173</v>
      </c>
      <c r="AV4" s="1807" t="s">
        <v>174</v>
      </c>
      <c r="AW4" s="2845" t="s">
        <v>173</v>
      </c>
      <c r="AX4" s="163" t="s">
        <v>174</v>
      </c>
      <c r="AY4" s="232" t="s">
        <v>173</v>
      </c>
      <c r="AZ4" s="1807" t="s">
        <v>174</v>
      </c>
      <c r="BA4" s="3052" t="s">
        <v>173</v>
      </c>
      <c r="BB4" s="170" t="s">
        <v>174</v>
      </c>
      <c r="BC4" s="3050" t="s">
        <v>173</v>
      </c>
      <c r="BD4" s="467" t="s">
        <v>174</v>
      </c>
      <c r="BE4" s="3055" t="s">
        <v>173</v>
      </c>
      <c r="BF4" s="163" t="s">
        <v>174</v>
      </c>
    </row>
    <row r="5" spans="1:66" ht="16.5" thickBot="1" x14ac:dyDescent="0.3">
      <c r="B5" s="779" t="s">
        <v>847</v>
      </c>
      <c r="C5" s="7713"/>
      <c r="D5" s="7715"/>
      <c r="E5" s="1123">
        <v>44270.833333333336</v>
      </c>
      <c r="F5" s="686">
        <v>38350.074000000022</v>
      </c>
      <c r="G5" s="1123">
        <v>45833.333333333336</v>
      </c>
      <c r="H5" s="686">
        <v>41157.484000000004</v>
      </c>
      <c r="I5" s="946">
        <f>+E5+G5</f>
        <v>90104.166666666672</v>
      </c>
      <c r="J5" s="374">
        <f>+F5+H5</f>
        <v>79507.558000000019</v>
      </c>
      <c r="K5" s="1123">
        <v>31250</v>
      </c>
      <c r="L5" s="686">
        <v>39978.160999999986</v>
      </c>
      <c r="M5" s="2418">
        <f>+E5+G5+K5</f>
        <v>121354.16666666667</v>
      </c>
      <c r="N5" s="2418">
        <f>+F5+H5+L5</f>
        <v>119485.71900000001</v>
      </c>
      <c r="O5" s="1123">
        <v>26041.666666666668</v>
      </c>
      <c r="P5" s="686">
        <v>43802.080000000002</v>
      </c>
      <c r="Q5" s="374">
        <f>+M5+O5</f>
        <v>147395.83333333334</v>
      </c>
      <c r="R5" s="374">
        <f>+N5+P5</f>
        <v>163287.799</v>
      </c>
      <c r="S5" s="1123">
        <v>47395.833333333336</v>
      </c>
      <c r="T5" s="686">
        <v>43341.227999999988</v>
      </c>
      <c r="U5" s="374">
        <f>+Q5+S5</f>
        <v>194791.66666666669</v>
      </c>
      <c r="V5" s="374">
        <f>+R5+T5</f>
        <v>206629.027</v>
      </c>
      <c r="W5" s="1123">
        <v>45833.333333333336</v>
      </c>
      <c r="X5" s="686">
        <v>44728.012000000002</v>
      </c>
      <c r="Y5" s="849">
        <f>O5++S5+W5</f>
        <v>119270.83333333334</v>
      </c>
      <c r="Z5" s="255">
        <f>P5++T5+X5</f>
        <v>131871.32</v>
      </c>
      <c r="AA5" s="850">
        <f>M5+Y5</f>
        <v>240625</v>
      </c>
      <c r="AB5" s="661">
        <f>N5+Z5</f>
        <v>251357.03900000002</v>
      </c>
      <c r="AC5" s="1560">
        <v>47395.833333333336</v>
      </c>
      <c r="AD5" s="1808">
        <v>44188.986999999994</v>
      </c>
      <c r="AE5" s="374">
        <f>+AA5+AC5</f>
        <v>288020.83333333331</v>
      </c>
      <c r="AF5" s="374">
        <f>+AB5+AD5</f>
        <v>295546.02600000001</v>
      </c>
      <c r="AG5" s="1560">
        <v>45833.333333333336</v>
      </c>
      <c r="AH5" s="1808">
        <v>20903.231999999993</v>
      </c>
      <c r="AI5" s="374">
        <f>+AE5+AG5</f>
        <v>333854.16666666663</v>
      </c>
      <c r="AJ5" s="374">
        <f>+AF5+AH5</f>
        <v>316449.25800000003</v>
      </c>
      <c r="AK5" s="1560">
        <v>47395.833333333336</v>
      </c>
      <c r="AL5" s="1808">
        <v>41045.423999999992</v>
      </c>
      <c r="AM5" s="849">
        <f>AC5++AG5+AK5</f>
        <v>140625</v>
      </c>
      <c r="AN5" s="255">
        <f>AD5++AH5+AL5</f>
        <v>106137.64299999998</v>
      </c>
      <c r="AO5" s="374">
        <f>AI5+AK5</f>
        <v>381249.99999999994</v>
      </c>
      <c r="AP5" s="374">
        <f>AJ5+AL5</f>
        <v>357494.68200000003</v>
      </c>
      <c r="AQ5" s="1560">
        <v>47395.833333333336</v>
      </c>
      <c r="AR5" s="1808">
        <v>41918.505999999979</v>
      </c>
      <c r="AS5" s="374">
        <f>+AO5+AQ5</f>
        <v>428645.83333333326</v>
      </c>
      <c r="AT5" s="374">
        <f>+AP5+AR5</f>
        <v>399413.18800000002</v>
      </c>
      <c r="AU5" s="1560">
        <v>42187.5</v>
      </c>
      <c r="AV5" s="1808">
        <v>35855.553999999982</v>
      </c>
      <c r="AW5" s="374">
        <f>+AS5+AU5</f>
        <v>470833.33333333326</v>
      </c>
      <c r="AX5" s="374">
        <f>+AT5+AV5</f>
        <v>435268.74200000003</v>
      </c>
      <c r="AY5" s="1560">
        <v>47395.833333333336</v>
      </c>
      <c r="AZ5" s="1808">
        <v>45140.241999999977</v>
      </c>
      <c r="BA5" s="849">
        <f>AQ5++AU5+AY5</f>
        <v>136979.16666666669</v>
      </c>
      <c r="BB5" s="255">
        <f>AR5++AV5+AZ5</f>
        <v>122914.30199999994</v>
      </c>
      <c r="BC5" s="850">
        <f>AM5+BA5</f>
        <v>277604.16666666669</v>
      </c>
      <c r="BD5" s="661">
        <f>AN5+BB5</f>
        <v>229051.94499999992</v>
      </c>
      <c r="BE5" s="374">
        <f>+AW5+AY5</f>
        <v>518229.16666666657</v>
      </c>
      <c r="BF5" s="374">
        <f>+AX5+AZ5</f>
        <v>480408.984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71" t="s">
        <v>313</v>
      </c>
      <c r="C6" s="3450"/>
      <c r="D6" s="1780"/>
      <c r="E6" s="2559"/>
      <c r="F6" s="2559"/>
      <c r="G6" s="2559"/>
      <c r="H6" s="2559"/>
      <c r="I6" s="3451"/>
      <c r="J6" s="3451"/>
      <c r="K6" s="2559"/>
      <c r="L6" s="2559"/>
      <c r="M6" s="2559"/>
      <c r="N6" s="2559"/>
      <c r="O6" s="2559"/>
      <c r="P6" s="2559"/>
      <c r="Q6" s="2559"/>
      <c r="R6" s="2559"/>
      <c r="S6" s="2559"/>
      <c r="T6" s="2559"/>
      <c r="U6" s="2559"/>
      <c r="V6" s="2559"/>
      <c r="W6" s="2559"/>
      <c r="X6" s="2559"/>
      <c r="Y6" s="1780"/>
      <c r="Z6" s="1780"/>
      <c r="AA6" s="1780"/>
      <c r="AB6" s="1780"/>
      <c r="AC6" s="2559"/>
      <c r="AD6" s="6673"/>
      <c r="AE6" s="2559"/>
      <c r="AF6" s="2559"/>
      <c r="AG6" s="2559"/>
      <c r="AH6" s="6673"/>
      <c r="AI6" s="2559"/>
      <c r="AJ6" s="2559"/>
      <c r="AK6" s="2559"/>
      <c r="AL6" s="6673"/>
      <c r="AM6" s="1780"/>
      <c r="AN6" s="1780"/>
      <c r="AO6" s="2559"/>
      <c r="AP6" s="2559"/>
      <c r="AQ6" s="2559"/>
      <c r="AR6" s="6673"/>
      <c r="AS6" s="2559"/>
      <c r="AT6" s="2559"/>
      <c r="AU6" s="2559"/>
      <c r="AV6" s="6673"/>
      <c r="AW6" s="2559"/>
      <c r="AX6" s="2559"/>
      <c r="AY6" s="2559"/>
      <c r="AZ6" s="6673"/>
      <c r="BA6" s="1780"/>
      <c r="BB6" s="1780"/>
      <c r="BC6" s="1780"/>
      <c r="BD6" s="1780"/>
      <c r="BE6" s="2559"/>
      <c r="BF6" s="2559"/>
      <c r="BG6" s="26"/>
      <c r="BH6" s="26"/>
      <c r="BI6" s="26"/>
      <c r="BJ6" s="26"/>
      <c r="BK6" s="26"/>
      <c r="BL6" s="26"/>
      <c r="BM6" s="26"/>
      <c r="BN6" s="26"/>
    </row>
    <row r="7" spans="1:66" ht="16.5" thickBot="1" x14ac:dyDescent="0.3">
      <c r="A7" s="149"/>
      <c r="B7" s="3452" t="s">
        <v>72</v>
      </c>
      <c r="C7" s="3453" t="s">
        <v>1384</v>
      </c>
      <c r="D7" s="3454" t="s">
        <v>50</v>
      </c>
      <c r="E7" s="3455"/>
      <c r="F7" s="158"/>
      <c r="G7" s="3455"/>
      <c r="H7" s="158"/>
      <c r="I7" s="373"/>
      <c r="J7" s="43">
        <f>+F7+H7</f>
        <v>0</v>
      </c>
      <c r="K7" s="3455"/>
      <c r="L7" s="158"/>
      <c r="M7" s="618"/>
      <c r="N7" s="618">
        <f>+F7+H7+L7</f>
        <v>0</v>
      </c>
      <c r="O7" s="3455"/>
      <c r="P7" s="158"/>
      <c r="Q7" s="373"/>
      <c r="R7" s="373">
        <f>+N7+P7</f>
        <v>0</v>
      </c>
      <c r="S7" s="3455"/>
      <c r="T7" s="158"/>
      <c r="U7" s="373"/>
      <c r="V7" s="373">
        <f>+R7+T7</f>
        <v>0</v>
      </c>
      <c r="W7" s="3455"/>
      <c r="X7" s="158"/>
      <c r="Y7" s="5413"/>
      <c r="Z7" s="5413">
        <f t="shared" ref="Z7:Z76" si="0">P7+T7+X7</f>
        <v>0</v>
      </c>
      <c r="AA7" s="5414"/>
      <c r="AB7" s="5414">
        <f t="shared" ref="AB7:AB76" si="1">N7+Z7</f>
        <v>0</v>
      </c>
      <c r="AC7" s="3455"/>
      <c r="AD7" s="158"/>
      <c r="AE7" s="373"/>
      <c r="AF7" s="373">
        <f>+AB7+AD7</f>
        <v>0</v>
      </c>
      <c r="AG7" s="3455"/>
      <c r="AH7" s="158"/>
      <c r="AI7" s="373"/>
      <c r="AJ7" s="373">
        <f>+AF7+AH7</f>
        <v>0</v>
      </c>
      <c r="AK7" s="3455"/>
      <c r="AL7" s="158"/>
      <c r="AM7" s="5413"/>
      <c r="AN7" s="5413">
        <f t="shared" ref="AN7:AN72" si="2">AD7+AH7+AL7</f>
        <v>0</v>
      </c>
      <c r="AO7" s="373"/>
      <c r="AP7" s="373">
        <f>AJ7+AL7</f>
        <v>0</v>
      </c>
      <c r="AQ7" s="3455"/>
      <c r="AR7" s="158"/>
      <c r="AS7" s="373"/>
      <c r="AT7" s="373">
        <f>+AP7+AR7</f>
        <v>0</v>
      </c>
      <c r="AU7" s="3455"/>
      <c r="AV7" s="158"/>
      <c r="AW7" s="373"/>
      <c r="AX7" s="373">
        <f>+AT7+AV7</f>
        <v>0</v>
      </c>
      <c r="AY7" s="3455"/>
      <c r="AZ7" s="158"/>
      <c r="BA7" s="5413"/>
      <c r="BB7" s="5413">
        <f t="shared" ref="BB7:BB71" si="3">AR7+AV7+AZ7</f>
        <v>0</v>
      </c>
      <c r="BC7" s="5414"/>
      <c r="BD7" s="5414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5" thickBot="1" x14ac:dyDescent="0.3">
      <c r="A8" s="549"/>
      <c r="B8" s="6675" t="s">
        <v>72</v>
      </c>
      <c r="C8" s="6676" t="s">
        <v>971</v>
      </c>
      <c r="D8" s="6677" t="s">
        <v>50</v>
      </c>
      <c r="E8" s="6678"/>
      <c r="F8" s="6679">
        <v>502.24999999999994</v>
      </c>
      <c r="G8" s="6678"/>
      <c r="H8" s="6679"/>
      <c r="I8" s="6672"/>
      <c r="J8" s="43">
        <f t="shared" ref="J8:J71" si="4">+F8+H8</f>
        <v>502.24999999999994</v>
      </c>
      <c r="K8" s="6678"/>
      <c r="L8" s="6679"/>
      <c r="M8" s="6680"/>
      <c r="N8" s="6680">
        <f t="shared" ref="N8:N80" si="5">+F8+H8+L8</f>
        <v>502.24999999999994</v>
      </c>
      <c r="O8" s="6678"/>
      <c r="P8" s="6679"/>
      <c r="Q8" s="6672"/>
      <c r="R8" s="6672">
        <f t="shared" ref="R8:R80" si="6">+N8+P8</f>
        <v>502.24999999999994</v>
      </c>
      <c r="S8" s="6678"/>
      <c r="T8" s="6679"/>
      <c r="U8" s="6672"/>
      <c r="V8" s="6672">
        <f t="shared" ref="V8:V80" si="7">+R8+T8</f>
        <v>502.24999999999994</v>
      </c>
      <c r="W8" s="6678"/>
      <c r="X8" s="6679"/>
      <c r="Y8" s="6680"/>
      <c r="Z8" s="6543">
        <f t="shared" si="0"/>
        <v>0</v>
      </c>
      <c r="AA8" s="6681"/>
      <c r="AB8" s="6681">
        <f t="shared" si="1"/>
        <v>502.24999999999994</v>
      </c>
      <c r="AC8" s="6678"/>
      <c r="AD8" s="6679"/>
      <c r="AE8" s="6672"/>
      <c r="AF8" s="6672">
        <f t="shared" ref="AF8:AF73" si="8">+AB8+AD8</f>
        <v>502.24999999999994</v>
      </c>
      <c r="AG8" s="6678"/>
      <c r="AH8" s="6679"/>
      <c r="AI8" s="6672"/>
      <c r="AJ8" s="6672">
        <f t="shared" ref="AJ8:AJ73" si="9">+AF8+AH8</f>
        <v>502.24999999999994</v>
      </c>
      <c r="AK8" s="6678"/>
      <c r="AL8" s="6679"/>
      <c r="AM8" s="6680"/>
      <c r="AN8" s="6543">
        <f t="shared" si="2"/>
        <v>0</v>
      </c>
      <c r="AO8" s="6672"/>
      <c r="AP8" s="6672">
        <f t="shared" ref="AP8:AP73" si="10">AJ8+AL8</f>
        <v>502.24999999999994</v>
      </c>
      <c r="AQ8" s="6678"/>
      <c r="AR8" s="6679"/>
      <c r="AS8" s="6672"/>
      <c r="AT8" s="6672">
        <f t="shared" ref="AT8:AT73" si="11">+AP8+AR8</f>
        <v>502.24999999999994</v>
      </c>
      <c r="AU8" s="6678"/>
      <c r="AV8" s="6679">
        <v>90.2</v>
      </c>
      <c r="AW8" s="6672"/>
      <c r="AX8" s="6672">
        <f t="shared" ref="AX8:AX73" si="12">+AT8+AV8</f>
        <v>592.44999999999993</v>
      </c>
      <c r="AY8" s="6678"/>
      <c r="AZ8" s="6679"/>
      <c r="BA8" s="6680"/>
      <c r="BB8" s="6543">
        <f t="shared" si="3"/>
        <v>90.2</v>
      </c>
      <c r="BC8" s="6681"/>
      <c r="BD8" s="6681">
        <f t="shared" ref="BD8:BD72" si="13">AN8+BB8</f>
        <v>90.2</v>
      </c>
      <c r="BE8" s="6672"/>
      <c r="BF8" s="6535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6675" t="s">
        <v>72</v>
      </c>
      <c r="C9" s="6676" t="s">
        <v>973</v>
      </c>
      <c r="D9" s="6677" t="s">
        <v>50</v>
      </c>
      <c r="E9" s="6682"/>
      <c r="F9" s="6679"/>
      <c r="G9" s="6682"/>
      <c r="H9" s="6679"/>
      <c r="I9" s="6672"/>
      <c r="J9" s="43">
        <f t="shared" si="4"/>
        <v>0</v>
      </c>
      <c r="K9" s="6682"/>
      <c r="L9" s="6679"/>
      <c r="M9" s="6680"/>
      <c r="N9" s="6680">
        <f t="shared" si="5"/>
        <v>0</v>
      </c>
      <c r="O9" s="6682"/>
      <c r="P9" s="6679"/>
      <c r="Q9" s="6672"/>
      <c r="R9" s="6672">
        <f t="shared" si="6"/>
        <v>0</v>
      </c>
      <c r="S9" s="6682"/>
      <c r="T9" s="6679"/>
      <c r="U9" s="6672"/>
      <c r="V9" s="6672">
        <f t="shared" si="7"/>
        <v>0</v>
      </c>
      <c r="W9" s="6682"/>
      <c r="X9" s="6679"/>
      <c r="Y9" s="6543"/>
      <c r="Z9" s="6543">
        <f t="shared" si="0"/>
        <v>0</v>
      </c>
      <c r="AA9" s="6681"/>
      <c r="AB9" s="6681">
        <f t="shared" si="1"/>
        <v>0</v>
      </c>
      <c r="AC9" s="6682"/>
      <c r="AD9" s="6679"/>
      <c r="AE9" s="6672"/>
      <c r="AF9" s="6672">
        <f t="shared" si="8"/>
        <v>0</v>
      </c>
      <c r="AG9" s="6682"/>
      <c r="AH9" s="6679"/>
      <c r="AI9" s="6672"/>
      <c r="AJ9" s="6672">
        <f t="shared" si="9"/>
        <v>0</v>
      </c>
      <c r="AK9" s="6682"/>
      <c r="AL9" s="6679"/>
      <c r="AM9" s="6543"/>
      <c r="AN9" s="6543">
        <f t="shared" si="2"/>
        <v>0</v>
      </c>
      <c r="AO9" s="6672"/>
      <c r="AP9" s="6672">
        <f t="shared" si="10"/>
        <v>0</v>
      </c>
      <c r="AQ9" s="6682"/>
      <c r="AR9" s="6679">
        <v>20.5</v>
      </c>
      <c r="AS9" s="6672"/>
      <c r="AT9" s="6672">
        <f t="shared" si="11"/>
        <v>20.5</v>
      </c>
      <c r="AU9" s="6682"/>
      <c r="AV9" s="6679"/>
      <c r="AW9" s="6672"/>
      <c r="AX9" s="6672">
        <f t="shared" si="12"/>
        <v>20.5</v>
      </c>
      <c r="AY9" s="6682"/>
      <c r="AZ9" s="6679"/>
      <c r="BA9" s="6543"/>
      <c r="BB9" s="6543">
        <f t="shared" si="3"/>
        <v>20.5</v>
      </c>
      <c r="BC9" s="6681"/>
      <c r="BD9" s="6681">
        <f t="shared" si="13"/>
        <v>20.5</v>
      </c>
      <c r="BE9" s="6672"/>
      <c r="BF9" s="6535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5" thickBot="1" x14ac:dyDescent="0.3">
      <c r="A10" s="149"/>
      <c r="B10" s="6675" t="s">
        <v>72</v>
      </c>
      <c r="C10" s="6676" t="s">
        <v>1124</v>
      </c>
      <c r="D10" s="6677" t="s">
        <v>50</v>
      </c>
      <c r="E10" s="6682"/>
      <c r="F10" s="6679"/>
      <c r="G10" s="6682"/>
      <c r="H10" s="6679"/>
      <c r="I10" s="6672"/>
      <c r="J10" s="43">
        <f t="shared" si="4"/>
        <v>0</v>
      </c>
      <c r="K10" s="6682"/>
      <c r="L10" s="6679"/>
      <c r="M10" s="6680"/>
      <c r="N10" s="6680">
        <f t="shared" si="5"/>
        <v>0</v>
      </c>
      <c r="O10" s="6682"/>
      <c r="P10" s="6679"/>
      <c r="Q10" s="6672"/>
      <c r="R10" s="6672">
        <f t="shared" si="6"/>
        <v>0</v>
      </c>
      <c r="S10" s="6682"/>
      <c r="T10" s="6679"/>
      <c r="U10" s="6672"/>
      <c r="V10" s="6672">
        <f t="shared" si="7"/>
        <v>0</v>
      </c>
      <c r="W10" s="6682"/>
      <c r="X10" s="6679"/>
      <c r="Y10" s="6543"/>
      <c r="Z10" s="6543">
        <f t="shared" si="0"/>
        <v>0</v>
      </c>
      <c r="AA10" s="6681"/>
      <c r="AB10" s="6681">
        <f t="shared" si="1"/>
        <v>0</v>
      </c>
      <c r="AC10" s="6682"/>
      <c r="AD10" s="6679"/>
      <c r="AE10" s="6672"/>
      <c r="AF10" s="6672">
        <f t="shared" si="8"/>
        <v>0</v>
      </c>
      <c r="AG10" s="6682"/>
      <c r="AH10" s="6679"/>
      <c r="AI10" s="6672"/>
      <c r="AJ10" s="6672">
        <f t="shared" si="9"/>
        <v>0</v>
      </c>
      <c r="AK10" s="6682"/>
      <c r="AL10" s="6679"/>
      <c r="AM10" s="6543"/>
      <c r="AN10" s="6543">
        <f t="shared" si="2"/>
        <v>0</v>
      </c>
      <c r="AO10" s="6672"/>
      <c r="AP10" s="6672">
        <f t="shared" si="10"/>
        <v>0</v>
      </c>
      <c r="AQ10" s="6682"/>
      <c r="AR10" s="6679"/>
      <c r="AS10" s="6672"/>
      <c r="AT10" s="6672">
        <f t="shared" si="11"/>
        <v>0</v>
      </c>
      <c r="AU10" s="6682"/>
      <c r="AV10" s="6679"/>
      <c r="AW10" s="6672"/>
      <c r="AX10" s="6672">
        <f t="shared" si="12"/>
        <v>0</v>
      </c>
      <c r="AY10" s="6682"/>
      <c r="AZ10" s="6679"/>
      <c r="BA10" s="6543"/>
      <c r="BB10" s="6543">
        <f t="shared" si="3"/>
        <v>0</v>
      </c>
      <c r="BC10" s="6681"/>
      <c r="BD10" s="6681">
        <f t="shared" si="13"/>
        <v>0</v>
      </c>
      <c r="BE10" s="6672"/>
      <c r="BF10" s="6535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5" thickBot="1" x14ac:dyDescent="0.3">
      <c r="A11" s="149"/>
      <c r="B11" s="6675" t="s">
        <v>72</v>
      </c>
      <c r="C11" s="6676" t="s">
        <v>1139</v>
      </c>
      <c r="D11" s="6677" t="s">
        <v>50</v>
      </c>
      <c r="E11" s="6682"/>
      <c r="F11" s="6679"/>
      <c r="G11" s="6682"/>
      <c r="H11" s="6679"/>
      <c r="I11" s="6672"/>
      <c r="J11" s="43">
        <f t="shared" si="4"/>
        <v>0</v>
      </c>
      <c r="K11" s="6682"/>
      <c r="L11" s="6679"/>
      <c r="M11" s="6680"/>
      <c r="N11" s="6680">
        <f t="shared" si="5"/>
        <v>0</v>
      </c>
      <c r="O11" s="6682"/>
      <c r="P11" s="6679"/>
      <c r="Q11" s="6672"/>
      <c r="R11" s="6672">
        <f t="shared" si="6"/>
        <v>0</v>
      </c>
      <c r="S11" s="6682"/>
      <c r="T11" s="6679"/>
      <c r="U11" s="6672"/>
      <c r="V11" s="6672">
        <f t="shared" si="7"/>
        <v>0</v>
      </c>
      <c r="W11" s="6682"/>
      <c r="X11" s="6679"/>
      <c r="Y11" s="6543"/>
      <c r="Z11" s="6543">
        <f t="shared" si="0"/>
        <v>0</v>
      </c>
      <c r="AA11" s="6681"/>
      <c r="AB11" s="6681">
        <f t="shared" si="1"/>
        <v>0</v>
      </c>
      <c r="AC11" s="6682"/>
      <c r="AD11" s="6679"/>
      <c r="AE11" s="6672"/>
      <c r="AF11" s="6672">
        <f t="shared" si="8"/>
        <v>0</v>
      </c>
      <c r="AG11" s="6682"/>
      <c r="AH11" s="6679"/>
      <c r="AI11" s="6672"/>
      <c r="AJ11" s="6672">
        <f t="shared" si="9"/>
        <v>0</v>
      </c>
      <c r="AK11" s="6682"/>
      <c r="AL11" s="6679"/>
      <c r="AM11" s="6543"/>
      <c r="AN11" s="6543">
        <f t="shared" si="2"/>
        <v>0</v>
      </c>
      <c r="AO11" s="6672"/>
      <c r="AP11" s="6672">
        <f t="shared" si="10"/>
        <v>0</v>
      </c>
      <c r="AQ11" s="6682"/>
      <c r="AR11" s="6679"/>
      <c r="AS11" s="6672"/>
      <c r="AT11" s="6672">
        <f t="shared" si="11"/>
        <v>0</v>
      </c>
      <c r="AU11" s="6682"/>
      <c r="AV11" s="6679"/>
      <c r="AW11" s="6672"/>
      <c r="AX11" s="6672">
        <f t="shared" si="12"/>
        <v>0</v>
      </c>
      <c r="AY11" s="6682"/>
      <c r="AZ11" s="6679"/>
      <c r="BA11" s="6543"/>
      <c r="BB11" s="6543">
        <f t="shared" si="3"/>
        <v>0</v>
      </c>
      <c r="BC11" s="6681"/>
      <c r="BD11" s="6681">
        <f t="shared" si="13"/>
        <v>0</v>
      </c>
      <c r="BE11" s="6672"/>
      <c r="BF11" s="6535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5" thickBot="1" x14ac:dyDescent="0.3">
      <c r="A12" s="149"/>
      <c r="B12" s="6675" t="s">
        <v>72</v>
      </c>
      <c r="C12" s="6676" t="s">
        <v>874</v>
      </c>
      <c r="D12" s="6677" t="s">
        <v>50</v>
      </c>
      <c r="E12" s="6678"/>
      <c r="F12" s="6679">
        <v>508.40000000000003</v>
      </c>
      <c r="G12" s="6678"/>
      <c r="H12" s="6679">
        <v>666.25000000000011</v>
      </c>
      <c r="I12" s="6672"/>
      <c r="J12" s="43">
        <f t="shared" si="4"/>
        <v>1174.6500000000001</v>
      </c>
      <c r="K12" s="6678"/>
      <c r="L12" s="6679"/>
      <c r="M12" s="6680"/>
      <c r="N12" s="6680">
        <f t="shared" si="5"/>
        <v>1174.6500000000001</v>
      </c>
      <c r="O12" s="6678"/>
      <c r="P12" s="6679">
        <v>1027.0500000000002</v>
      </c>
      <c r="Q12" s="6672"/>
      <c r="R12" s="6672">
        <f t="shared" si="6"/>
        <v>2201.7000000000003</v>
      </c>
      <c r="S12" s="6678"/>
      <c r="T12" s="6679"/>
      <c r="U12" s="6672"/>
      <c r="V12" s="6672">
        <f t="shared" si="7"/>
        <v>2201.7000000000003</v>
      </c>
      <c r="W12" s="6678"/>
      <c r="X12" s="6679"/>
      <c r="Y12" s="6543"/>
      <c r="Z12" s="6543">
        <f t="shared" si="0"/>
        <v>1027.0500000000002</v>
      </c>
      <c r="AA12" s="6681"/>
      <c r="AB12" s="6681">
        <f t="shared" si="1"/>
        <v>2201.7000000000003</v>
      </c>
      <c r="AC12" s="6678"/>
      <c r="AD12" s="6679">
        <f>211.15-2.05</f>
        <v>209.1</v>
      </c>
      <c r="AE12" s="6672"/>
      <c r="AF12" s="6672">
        <f t="shared" si="8"/>
        <v>2410.8000000000002</v>
      </c>
      <c r="AG12" s="6678"/>
      <c r="AH12" s="6679"/>
      <c r="AI12" s="6672"/>
      <c r="AJ12" s="6672">
        <f t="shared" si="9"/>
        <v>2410.8000000000002</v>
      </c>
      <c r="AK12" s="6678"/>
      <c r="AL12" s="6679"/>
      <c r="AM12" s="6543"/>
      <c r="AN12" s="6543">
        <f t="shared" si="2"/>
        <v>209.1</v>
      </c>
      <c r="AO12" s="6672"/>
      <c r="AP12" s="6672">
        <f t="shared" si="10"/>
        <v>2410.8000000000002</v>
      </c>
      <c r="AQ12" s="6678"/>
      <c r="AR12" s="6679"/>
      <c r="AS12" s="6672"/>
      <c r="AT12" s="6672">
        <f t="shared" si="11"/>
        <v>2410.8000000000002</v>
      </c>
      <c r="AU12" s="6678"/>
      <c r="AV12" s="6679">
        <v>764.64999999999986</v>
      </c>
      <c r="AW12" s="6672"/>
      <c r="AX12" s="6672">
        <f t="shared" si="12"/>
        <v>3175.45</v>
      </c>
      <c r="AY12" s="6678"/>
      <c r="AZ12" s="6679"/>
      <c r="BA12" s="6543"/>
      <c r="BB12" s="6543">
        <f t="shared" si="3"/>
        <v>764.64999999999986</v>
      </c>
      <c r="BC12" s="6681"/>
      <c r="BD12" s="6681">
        <f t="shared" si="13"/>
        <v>973.74999999999989</v>
      </c>
      <c r="BE12" s="6672"/>
      <c r="BF12" s="6535">
        <f t="shared" si="14"/>
        <v>3175.45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5" thickBot="1" x14ac:dyDescent="0.3">
      <c r="A13" s="149"/>
      <c r="B13" s="6675" t="s">
        <v>72</v>
      </c>
      <c r="C13" s="6676" t="s">
        <v>875</v>
      </c>
      <c r="D13" s="6677" t="s">
        <v>50</v>
      </c>
      <c r="E13" s="6678"/>
      <c r="F13" s="6679">
        <f>528.9-6.15</f>
        <v>522.75</v>
      </c>
      <c r="G13" s="6678"/>
      <c r="H13" s="6679">
        <f>489.95-4.1</f>
        <v>485.84999999999997</v>
      </c>
      <c r="I13" s="6672"/>
      <c r="J13" s="43">
        <f t="shared" si="4"/>
        <v>1008.5999999999999</v>
      </c>
      <c r="K13" s="6678"/>
      <c r="L13" s="6679"/>
      <c r="M13" s="6680"/>
      <c r="N13" s="6680">
        <f t="shared" si="5"/>
        <v>1008.5999999999999</v>
      </c>
      <c r="O13" s="6678"/>
      <c r="P13" s="6679">
        <v>1535.4499999999996</v>
      </c>
      <c r="Q13" s="6672"/>
      <c r="R13" s="6672">
        <f t="shared" si="6"/>
        <v>2544.0499999999993</v>
      </c>
      <c r="S13" s="6678"/>
      <c r="T13" s="6679">
        <v>1529.2999999999997</v>
      </c>
      <c r="U13" s="6672"/>
      <c r="V13" s="6672">
        <f t="shared" si="7"/>
        <v>4073.349999999999</v>
      </c>
      <c r="W13" s="6678"/>
      <c r="X13" s="6679">
        <v>713.4</v>
      </c>
      <c r="Y13" s="6543"/>
      <c r="Z13" s="6543">
        <f t="shared" si="0"/>
        <v>3778.1499999999992</v>
      </c>
      <c r="AA13" s="6681"/>
      <c r="AB13" s="6681">
        <f t="shared" si="1"/>
        <v>4786.7499999999991</v>
      </c>
      <c r="AC13" s="6678"/>
      <c r="AD13" s="6679">
        <v>1414.5000000000002</v>
      </c>
      <c r="AE13" s="6672"/>
      <c r="AF13" s="6672">
        <f t="shared" si="8"/>
        <v>6201.2499999999991</v>
      </c>
      <c r="AG13" s="6678"/>
      <c r="AH13" s="6679">
        <v>764.65</v>
      </c>
      <c r="AI13" s="6672"/>
      <c r="AJ13" s="6672">
        <f t="shared" si="9"/>
        <v>6965.8999999999987</v>
      </c>
      <c r="AK13" s="6678"/>
      <c r="AL13" s="6679">
        <f>789.25-16.4</f>
        <v>772.85</v>
      </c>
      <c r="AM13" s="6543"/>
      <c r="AN13" s="6543">
        <f t="shared" si="2"/>
        <v>2952</v>
      </c>
      <c r="AO13" s="6672"/>
      <c r="AP13" s="6672">
        <f t="shared" si="10"/>
        <v>7738.7499999999991</v>
      </c>
      <c r="AQ13" s="6678"/>
      <c r="AR13" s="6679">
        <v>133.25</v>
      </c>
      <c r="AS13" s="6672"/>
      <c r="AT13" s="6672">
        <f t="shared" si="11"/>
        <v>7871.9999999999991</v>
      </c>
      <c r="AU13" s="6678"/>
      <c r="AV13" s="6679">
        <v>205</v>
      </c>
      <c r="AW13" s="6672"/>
      <c r="AX13" s="6672">
        <f t="shared" si="12"/>
        <v>8076.9999999999991</v>
      </c>
      <c r="AY13" s="6678"/>
      <c r="AZ13" s="6679"/>
      <c r="BA13" s="6543"/>
      <c r="BB13" s="6543">
        <f t="shared" si="3"/>
        <v>338.25</v>
      </c>
      <c r="BC13" s="6681"/>
      <c r="BD13" s="6681">
        <f t="shared" si="13"/>
        <v>3290.25</v>
      </c>
      <c r="BE13" s="6672"/>
      <c r="BF13" s="6535">
        <f t="shared" si="14"/>
        <v>8076.9999999999991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">
      <c r="A14" s="149"/>
      <c r="B14" s="6675" t="s">
        <v>72</v>
      </c>
      <c r="C14" s="6676" t="s">
        <v>1333</v>
      </c>
      <c r="D14" s="6677" t="s">
        <v>50</v>
      </c>
      <c r="E14" s="6678"/>
      <c r="F14" s="6679"/>
      <c r="G14" s="6678"/>
      <c r="H14" s="6679"/>
      <c r="I14" s="6672"/>
      <c r="J14" s="43">
        <f t="shared" si="4"/>
        <v>0</v>
      </c>
      <c r="K14" s="6678"/>
      <c r="L14" s="6679"/>
      <c r="M14" s="6680"/>
      <c r="N14" s="6680">
        <f t="shared" si="5"/>
        <v>0</v>
      </c>
      <c r="O14" s="6678"/>
      <c r="P14" s="6679">
        <v>608.85</v>
      </c>
      <c r="Q14" s="6672"/>
      <c r="R14" s="6672">
        <f t="shared" si="6"/>
        <v>608.85</v>
      </c>
      <c r="S14" s="6678"/>
      <c r="T14" s="6679">
        <f>912.25-2.05</f>
        <v>910.2</v>
      </c>
      <c r="U14" s="6672"/>
      <c r="V14" s="6672">
        <f t="shared" si="7"/>
        <v>1519.0500000000002</v>
      </c>
      <c r="W14" s="6678"/>
      <c r="X14" s="6679">
        <v>569.90000000000009</v>
      </c>
      <c r="Y14" s="6543"/>
      <c r="Z14" s="6543">
        <f t="shared" si="0"/>
        <v>2088.9500000000003</v>
      </c>
      <c r="AA14" s="6681"/>
      <c r="AB14" s="6681">
        <f t="shared" si="1"/>
        <v>2088.9500000000003</v>
      </c>
      <c r="AC14" s="6678"/>
      <c r="AD14" s="6679">
        <v>731.85000000000014</v>
      </c>
      <c r="AE14" s="6672"/>
      <c r="AF14" s="6672">
        <f t="shared" si="8"/>
        <v>2820.8</v>
      </c>
      <c r="AG14" s="6678"/>
      <c r="AH14" s="6679">
        <v>147.6</v>
      </c>
      <c r="AI14" s="6672"/>
      <c r="AJ14" s="6672">
        <f t="shared" si="9"/>
        <v>2968.4</v>
      </c>
      <c r="AK14" s="6678"/>
      <c r="AL14" s="6679">
        <v>573.99999999999989</v>
      </c>
      <c r="AM14" s="6543"/>
      <c r="AN14" s="6543">
        <f t="shared" si="2"/>
        <v>1453.45</v>
      </c>
      <c r="AO14" s="6672"/>
      <c r="AP14" s="6672">
        <f t="shared" si="10"/>
        <v>3542.4</v>
      </c>
      <c r="AQ14" s="6678"/>
      <c r="AR14" s="6679">
        <v>196.79999999999998</v>
      </c>
      <c r="AS14" s="6672"/>
      <c r="AT14" s="6672">
        <f t="shared" si="11"/>
        <v>3739.2000000000003</v>
      </c>
      <c r="AU14" s="6678"/>
      <c r="AV14" s="6679">
        <v>592.45000000000005</v>
      </c>
      <c r="AW14" s="6672"/>
      <c r="AX14" s="6672">
        <f t="shared" si="12"/>
        <v>4331.6500000000005</v>
      </c>
      <c r="AY14" s="6678"/>
      <c r="AZ14" s="6679"/>
      <c r="BA14" s="6543"/>
      <c r="BB14" s="6543">
        <f t="shared" si="3"/>
        <v>789.25</v>
      </c>
      <c r="BC14" s="6681"/>
      <c r="BD14" s="6681">
        <f t="shared" si="13"/>
        <v>2242.6999999999998</v>
      </c>
      <c r="BE14" s="6672"/>
      <c r="BF14" s="6535">
        <f t="shared" si="14"/>
        <v>4331.6500000000005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149"/>
      <c r="B15" s="6675" t="s">
        <v>72</v>
      </c>
      <c r="C15" s="6676" t="s">
        <v>972</v>
      </c>
      <c r="D15" s="6677" t="s">
        <v>50</v>
      </c>
      <c r="E15" s="6678"/>
      <c r="F15" s="6679">
        <v>1020.9</v>
      </c>
      <c r="G15" s="6678"/>
      <c r="H15" s="6679">
        <v>223.45000000000002</v>
      </c>
      <c r="I15" s="6672"/>
      <c r="J15" s="43">
        <f t="shared" si="4"/>
        <v>1244.3499999999999</v>
      </c>
      <c r="K15" s="6678"/>
      <c r="L15" s="6679"/>
      <c r="M15" s="6680"/>
      <c r="N15" s="6680">
        <f t="shared" si="5"/>
        <v>1244.3499999999999</v>
      </c>
      <c r="O15" s="6678"/>
      <c r="P15" s="6679">
        <v>496.10000000000008</v>
      </c>
      <c r="Q15" s="6672"/>
      <c r="R15" s="6672">
        <f t="shared" si="6"/>
        <v>1740.45</v>
      </c>
      <c r="S15" s="6678"/>
      <c r="T15" s="6683">
        <v>649.8499999999998</v>
      </c>
      <c r="U15" s="6672"/>
      <c r="V15" s="6672">
        <f t="shared" si="7"/>
        <v>2390.2999999999997</v>
      </c>
      <c r="W15" s="6678"/>
      <c r="X15" s="6683">
        <v>631.4</v>
      </c>
      <c r="Y15" s="6543"/>
      <c r="Z15" s="6543">
        <f t="shared" si="0"/>
        <v>1777.35</v>
      </c>
      <c r="AA15" s="6681"/>
      <c r="AB15" s="6681">
        <f t="shared" si="1"/>
        <v>3021.7</v>
      </c>
      <c r="AC15" s="6678"/>
      <c r="AD15" s="6679">
        <v>770.80000000000018</v>
      </c>
      <c r="AE15" s="6672"/>
      <c r="AF15" s="6672">
        <f t="shared" si="8"/>
        <v>3792.5</v>
      </c>
      <c r="AG15" s="6678"/>
      <c r="AH15" s="6679"/>
      <c r="AI15" s="6672"/>
      <c r="AJ15" s="6672">
        <f t="shared" si="9"/>
        <v>3792.5</v>
      </c>
      <c r="AK15" s="6678"/>
      <c r="AL15" s="6679">
        <v>1014.7500000000001</v>
      </c>
      <c r="AM15" s="6543"/>
      <c r="AN15" s="6543">
        <f t="shared" si="2"/>
        <v>1785.5500000000002</v>
      </c>
      <c r="AO15" s="6672"/>
      <c r="AP15" s="6672">
        <f t="shared" si="10"/>
        <v>4807.25</v>
      </c>
      <c r="AQ15" s="6678"/>
      <c r="AR15" s="6679">
        <v>703.1500000000002</v>
      </c>
      <c r="AS15" s="6672"/>
      <c r="AT15" s="6672">
        <f t="shared" si="11"/>
        <v>5510.4000000000005</v>
      </c>
      <c r="AU15" s="6678"/>
      <c r="AV15" s="6679">
        <v>604.75</v>
      </c>
      <c r="AW15" s="6672"/>
      <c r="AX15" s="6672">
        <f t="shared" si="12"/>
        <v>6115.1500000000005</v>
      </c>
      <c r="AY15" s="6678"/>
      <c r="AZ15" s="6679"/>
      <c r="BA15" s="6543"/>
      <c r="BB15" s="6543">
        <f t="shared" si="3"/>
        <v>1307.9000000000001</v>
      </c>
      <c r="BC15" s="6681"/>
      <c r="BD15" s="6681">
        <f t="shared" si="13"/>
        <v>3093.4500000000003</v>
      </c>
      <c r="BE15" s="6672"/>
      <c r="BF15" s="6535">
        <f t="shared" si="14"/>
        <v>6115.1500000000005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9"/>
      <c r="B16" s="6675" t="s">
        <v>72</v>
      </c>
      <c r="C16" s="6676" t="s">
        <v>1648</v>
      </c>
      <c r="D16" s="6677" t="s">
        <v>50</v>
      </c>
      <c r="E16" s="6678"/>
      <c r="F16" s="6679"/>
      <c r="G16" s="6678"/>
      <c r="H16" s="6679"/>
      <c r="I16" s="6672"/>
      <c r="J16" s="43">
        <f t="shared" si="4"/>
        <v>0</v>
      </c>
      <c r="K16" s="6678"/>
      <c r="L16" s="6679"/>
      <c r="M16" s="6680"/>
      <c r="N16" s="6680">
        <f t="shared" si="5"/>
        <v>0</v>
      </c>
      <c r="O16" s="6678"/>
      <c r="P16" s="6679"/>
      <c r="Q16" s="6672"/>
      <c r="R16" s="6672">
        <f t="shared" si="6"/>
        <v>0</v>
      </c>
      <c r="S16" s="6678"/>
      <c r="T16" s="6679"/>
      <c r="U16" s="6672"/>
      <c r="V16" s="6672">
        <f t="shared" si="7"/>
        <v>0</v>
      </c>
      <c r="W16" s="6678"/>
      <c r="X16" s="6679"/>
      <c r="Y16" s="6543"/>
      <c r="Z16" s="6543">
        <f t="shared" si="0"/>
        <v>0</v>
      </c>
      <c r="AA16" s="6681"/>
      <c r="AB16" s="6681">
        <f t="shared" si="1"/>
        <v>0</v>
      </c>
      <c r="AC16" s="6678"/>
      <c r="AD16" s="6679"/>
      <c r="AE16" s="6672"/>
      <c r="AF16" s="6672">
        <f t="shared" si="8"/>
        <v>0</v>
      </c>
      <c r="AG16" s="6678"/>
      <c r="AH16" s="6679"/>
      <c r="AI16" s="6672"/>
      <c r="AJ16" s="6672">
        <f t="shared" si="9"/>
        <v>0</v>
      </c>
      <c r="AK16" s="6678"/>
      <c r="AL16" s="6679"/>
      <c r="AM16" s="6543"/>
      <c r="AN16" s="6543">
        <f t="shared" si="2"/>
        <v>0</v>
      </c>
      <c r="AO16" s="6672"/>
      <c r="AP16" s="6672">
        <f t="shared" si="10"/>
        <v>0</v>
      </c>
      <c r="AQ16" s="6678"/>
      <c r="AR16" s="6679"/>
      <c r="AS16" s="6672"/>
      <c r="AT16" s="6672">
        <f t="shared" si="11"/>
        <v>0</v>
      </c>
      <c r="AU16" s="6678"/>
      <c r="AV16" s="6679"/>
      <c r="AW16" s="6672"/>
      <c r="AX16" s="6672">
        <f t="shared" si="12"/>
        <v>0</v>
      </c>
      <c r="AY16" s="6678"/>
      <c r="AZ16" s="6679"/>
      <c r="BA16" s="6543"/>
      <c r="BB16" s="6543">
        <f t="shared" si="3"/>
        <v>0</v>
      </c>
      <c r="BC16" s="6681"/>
      <c r="BD16" s="6681">
        <f t="shared" si="13"/>
        <v>0</v>
      </c>
      <c r="BE16" s="6672"/>
      <c r="BF16" s="6535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5" thickBot="1" x14ac:dyDescent="0.3">
      <c r="A17" s="149"/>
      <c r="B17" s="6675" t="s">
        <v>72</v>
      </c>
      <c r="C17" s="6676" t="s">
        <v>975</v>
      </c>
      <c r="D17" s="6677" t="s">
        <v>50</v>
      </c>
      <c r="E17" s="6678"/>
      <c r="F17" s="6679">
        <v>483.8</v>
      </c>
      <c r="G17" s="6678"/>
      <c r="H17" s="6679">
        <v>328</v>
      </c>
      <c r="I17" s="6672"/>
      <c r="J17" s="43">
        <f t="shared" si="4"/>
        <v>811.8</v>
      </c>
      <c r="K17" s="6678"/>
      <c r="L17" s="6679"/>
      <c r="M17" s="6680"/>
      <c r="N17" s="6680">
        <f t="shared" si="5"/>
        <v>811.8</v>
      </c>
      <c r="O17" s="6678"/>
      <c r="P17" s="6679"/>
      <c r="Q17" s="6672"/>
      <c r="R17" s="6672">
        <f t="shared" si="6"/>
        <v>811.8</v>
      </c>
      <c r="S17" s="6678"/>
      <c r="T17" s="6683">
        <v>416.15</v>
      </c>
      <c r="U17" s="6672"/>
      <c r="V17" s="6672">
        <f t="shared" si="7"/>
        <v>1227.9499999999998</v>
      </c>
      <c r="W17" s="6678"/>
      <c r="X17" s="6683">
        <v>235.75</v>
      </c>
      <c r="Y17" s="6543"/>
      <c r="Z17" s="6543">
        <f t="shared" si="0"/>
        <v>651.9</v>
      </c>
      <c r="AA17" s="6681"/>
      <c r="AB17" s="6681">
        <f t="shared" si="1"/>
        <v>1463.6999999999998</v>
      </c>
      <c r="AC17" s="6678"/>
      <c r="AD17" s="6679">
        <v>287</v>
      </c>
      <c r="AE17" s="6672"/>
      <c r="AF17" s="6672">
        <f t="shared" si="8"/>
        <v>1750.6999999999998</v>
      </c>
      <c r="AG17" s="6678"/>
      <c r="AH17" s="6679"/>
      <c r="AI17" s="6672"/>
      <c r="AJ17" s="6672">
        <f t="shared" si="9"/>
        <v>1750.6999999999998</v>
      </c>
      <c r="AK17" s="6678"/>
      <c r="AL17" s="6679">
        <v>524.79999999999995</v>
      </c>
      <c r="AM17" s="6543"/>
      <c r="AN17" s="6543">
        <f t="shared" si="2"/>
        <v>811.8</v>
      </c>
      <c r="AO17" s="6672"/>
      <c r="AP17" s="6672">
        <f t="shared" si="10"/>
        <v>2275.5</v>
      </c>
      <c r="AQ17" s="6678"/>
      <c r="AR17" s="6679">
        <v>410</v>
      </c>
      <c r="AS17" s="6672"/>
      <c r="AT17" s="6672">
        <f t="shared" si="11"/>
        <v>2685.5</v>
      </c>
      <c r="AU17" s="6678"/>
      <c r="AV17" s="6679">
        <v>600.65</v>
      </c>
      <c r="AW17" s="6672"/>
      <c r="AX17" s="6672">
        <f t="shared" si="12"/>
        <v>3286.15</v>
      </c>
      <c r="AY17" s="6678"/>
      <c r="AZ17" s="6679"/>
      <c r="BA17" s="6543"/>
      <c r="BB17" s="6543">
        <f t="shared" si="3"/>
        <v>1010.65</v>
      </c>
      <c r="BC17" s="6681"/>
      <c r="BD17" s="6681">
        <f t="shared" si="13"/>
        <v>1822.4499999999998</v>
      </c>
      <c r="BE17" s="6672"/>
      <c r="BF17" s="6535">
        <f t="shared" si="14"/>
        <v>3286.15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5" thickBot="1" x14ac:dyDescent="0.3">
      <c r="A18" s="149"/>
      <c r="B18" s="6675" t="s">
        <v>72</v>
      </c>
      <c r="C18" s="6676" t="s">
        <v>974</v>
      </c>
      <c r="D18" s="6677" t="s">
        <v>50</v>
      </c>
      <c r="E18" s="6678"/>
      <c r="F18" s="6679">
        <v>506.34999999999991</v>
      </c>
      <c r="G18" s="6678"/>
      <c r="H18" s="6679">
        <v>479.70000000000005</v>
      </c>
      <c r="I18" s="6672"/>
      <c r="J18" s="43">
        <f t="shared" si="4"/>
        <v>986.05</v>
      </c>
      <c r="K18" s="6678"/>
      <c r="L18" s="6679"/>
      <c r="M18" s="6680"/>
      <c r="N18" s="6680">
        <f t="shared" si="5"/>
        <v>986.05</v>
      </c>
      <c r="O18" s="6678"/>
      <c r="P18" s="6679"/>
      <c r="Q18" s="6672"/>
      <c r="R18" s="6672">
        <f t="shared" si="6"/>
        <v>986.05</v>
      </c>
      <c r="S18" s="6678"/>
      <c r="T18" s="6683">
        <v>733.9</v>
      </c>
      <c r="U18" s="6672"/>
      <c r="V18" s="6672">
        <f t="shared" si="7"/>
        <v>1719.9499999999998</v>
      </c>
      <c r="W18" s="6678"/>
      <c r="X18" s="6683">
        <v>580.15000000000009</v>
      </c>
      <c r="Y18" s="6543"/>
      <c r="Z18" s="6543">
        <f t="shared" si="0"/>
        <v>1314.0500000000002</v>
      </c>
      <c r="AA18" s="6681"/>
      <c r="AB18" s="6681">
        <f t="shared" si="1"/>
        <v>2300.1000000000004</v>
      </c>
      <c r="AC18" s="6678"/>
      <c r="AD18" s="6679">
        <v>586.29</v>
      </c>
      <c r="AE18" s="6672"/>
      <c r="AF18" s="6672">
        <f t="shared" si="8"/>
        <v>2886.3900000000003</v>
      </c>
      <c r="AG18" s="6678"/>
      <c r="AH18" s="6679">
        <v>1221.8000000000002</v>
      </c>
      <c r="AI18" s="6672"/>
      <c r="AJ18" s="6672">
        <f t="shared" si="9"/>
        <v>4108.1900000000005</v>
      </c>
      <c r="AK18" s="6678"/>
      <c r="AL18" s="6679">
        <v>924.55</v>
      </c>
      <c r="AM18" s="6543"/>
      <c r="AN18" s="6543">
        <f t="shared" si="2"/>
        <v>2732.6400000000003</v>
      </c>
      <c r="AO18" s="6672"/>
      <c r="AP18" s="6672">
        <f t="shared" si="10"/>
        <v>5032.7400000000007</v>
      </c>
      <c r="AQ18" s="6678"/>
      <c r="AR18" s="6679">
        <v>817.94999999999993</v>
      </c>
      <c r="AS18" s="6672"/>
      <c r="AT18" s="6672">
        <f t="shared" si="11"/>
        <v>5850.6900000000005</v>
      </c>
      <c r="AU18" s="6678"/>
      <c r="AV18" s="6679">
        <v>1037.3</v>
      </c>
      <c r="AW18" s="6672"/>
      <c r="AX18" s="6672">
        <f t="shared" si="12"/>
        <v>6887.9900000000007</v>
      </c>
      <c r="AY18" s="6678"/>
      <c r="AZ18" s="6679"/>
      <c r="BA18" s="6543"/>
      <c r="BB18" s="6543">
        <f t="shared" si="3"/>
        <v>1855.25</v>
      </c>
      <c r="BC18" s="6681"/>
      <c r="BD18" s="6681">
        <f t="shared" si="13"/>
        <v>4587.8900000000003</v>
      </c>
      <c r="BE18" s="6672"/>
      <c r="BF18" s="6535">
        <f t="shared" si="14"/>
        <v>6887.9900000000007</v>
      </c>
      <c r="BG18" s="26"/>
      <c r="BH18" s="26"/>
      <c r="BI18" s="26"/>
      <c r="BJ18" s="26"/>
      <c r="BK18" s="26"/>
      <c r="BL18" s="26"/>
      <c r="BM18" s="26"/>
      <c r="BN18" s="26"/>
    </row>
    <row r="19" spans="1:66" ht="16.5" thickBot="1" x14ac:dyDescent="0.3">
      <c r="A19" s="149"/>
      <c r="B19" s="6675" t="s">
        <v>72</v>
      </c>
      <c r="C19" s="6676" t="s">
        <v>1138</v>
      </c>
      <c r="D19" s="6677" t="s">
        <v>50</v>
      </c>
      <c r="E19" s="6678"/>
      <c r="F19" s="6679">
        <v>252.14999999999998</v>
      </c>
      <c r="G19" s="6678"/>
      <c r="H19" s="6679">
        <v>243.95000000000002</v>
      </c>
      <c r="I19" s="6672"/>
      <c r="J19" s="43">
        <f t="shared" si="4"/>
        <v>496.1</v>
      </c>
      <c r="K19" s="6678"/>
      <c r="L19" s="6679"/>
      <c r="M19" s="6680"/>
      <c r="N19" s="6680">
        <f t="shared" si="5"/>
        <v>496.1</v>
      </c>
      <c r="O19" s="6678"/>
      <c r="P19" s="6679">
        <v>98.4</v>
      </c>
      <c r="Q19" s="6672"/>
      <c r="R19" s="6672">
        <f t="shared" si="6"/>
        <v>594.5</v>
      </c>
      <c r="S19" s="6678"/>
      <c r="T19" s="6679"/>
      <c r="U19" s="6672"/>
      <c r="V19" s="6672">
        <f t="shared" si="7"/>
        <v>594.5</v>
      </c>
      <c r="W19" s="6678"/>
      <c r="X19" s="6679">
        <v>207.05</v>
      </c>
      <c r="Y19" s="6543"/>
      <c r="Z19" s="6543">
        <f t="shared" si="0"/>
        <v>305.45000000000005</v>
      </c>
      <c r="AA19" s="6681"/>
      <c r="AB19" s="6681">
        <f t="shared" si="1"/>
        <v>801.55000000000007</v>
      </c>
      <c r="AC19" s="6678"/>
      <c r="AD19" s="6679"/>
      <c r="AE19" s="6672"/>
      <c r="AF19" s="6672">
        <f t="shared" si="8"/>
        <v>801.55000000000007</v>
      </c>
      <c r="AG19" s="6678"/>
      <c r="AH19" s="6679"/>
      <c r="AI19" s="6672"/>
      <c r="AJ19" s="6672">
        <f t="shared" si="9"/>
        <v>801.55000000000007</v>
      </c>
      <c r="AK19" s="6678"/>
      <c r="AL19" s="6679"/>
      <c r="AM19" s="6543"/>
      <c r="AN19" s="6543">
        <f t="shared" si="2"/>
        <v>0</v>
      </c>
      <c r="AO19" s="6672"/>
      <c r="AP19" s="6672">
        <f t="shared" si="10"/>
        <v>801.55000000000007</v>
      </c>
      <c r="AQ19" s="6678"/>
      <c r="AR19" s="6679">
        <v>221.40000000000003</v>
      </c>
      <c r="AS19" s="6672"/>
      <c r="AT19" s="6672">
        <f t="shared" si="11"/>
        <v>1022.95</v>
      </c>
      <c r="AU19" s="6678"/>
      <c r="AV19" s="6679"/>
      <c r="AW19" s="6672"/>
      <c r="AX19" s="6672">
        <f t="shared" si="12"/>
        <v>1022.95</v>
      </c>
      <c r="AY19" s="6678"/>
      <c r="AZ19" s="6679"/>
      <c r="BA19" s="6543"/>
      <c r="BB19" s="6543">
        <f t="shared" si="3"/>
        <v>221.40000000000003</v>
      </c>
      <c r="BC19" s="6681"/>
      <c r="BD19" s="6681">
        <f t="shared" si="13"/>
        <v>221.40000000000003</v>
      </c>
      <c r="BE19" s="6672"/>
      <c r="BF19" s="6535">
        <f t="shared" si="14"/>
        <v>1022.95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684" t="s">
        <v>72</v>
      </c>
      <c r="C20" s="6685" t="s">
        <v>976</v>
      </c>
      <c r="D20" s="6686" t="s">
        <v>50</v>
      </c>
      <c r="E20" s="6687"/>
      <c r="F20" s="6688">
        <v>1184.8999999999996</v>
      </c>
      <c r="G20" s="6687"/>
      <c r="H20" s="6688">
        <v>1644.0999999999995</v>
      </c>
      <c r="I20" s="6689"/>
      <c r="J20" s="43">
        <f t="shared" si="4"/>
        <v>2828.9999999999991</v>
      </c>
      <c r="K20" s="6687"/>
      <c r="L20" s="6688"/>
      <c r="M20" s="6691"/>
      <c r="N20" s="6691">
        <f t="shared" si="5"/>
        <v>2828.9999999999991</v>
      </c>
      <c r="O20" s="6687"/>
      <c r="P20" s="6688">
        <v>510.45</v>
      </c>
      <c r="Q20" s="6689"/>
      <c r="R20" s="6689">
        <f t="shared" si="6"/>
        <v>3339.4499999999989</v>
      </c>
      <c r="S20" s="6687"/>
      <c r="T20" s="6692">
        <v>1150.05</v>
      </c>
      <c r="U20" s="6689"/>
      <c r="V20" s="6689">
        <f t="shared" si="7"/>
        <v>4489.4999999999991</v>
      </c>
      <c r="W20" s="6687"/>
      <c r="X20" s="6688">
        <v>1516.9999999999995</v>
      </c>
      <c r="Y20" s="6693"/>
      <c r="Z20" s="6693">
        <f t="shared" si="0"/>
        <v>3177.4999999999995</v>
      </c>
      <c r="AA20" s="6694"/>
      <c r="AB20" s="6694">
        <f t="shared" si="1"/>
        <v>6006.4999999999982</v>
      </c>
      <c r="AC20" s="6687"/>
      <c r="AD20" s="6688">
        <v>893.80000000000007</v>
      </c>
      <c r="AE20" s="6689"/>
      <c r="AF20" s="6689">
        <f t="shared" si="8"/>
        <v>6900.2999999999984</v>
      </c>
      <c r="AG20" s="6687"/>
      <c r="AH20" s="6688"/>
      <c r="AI20" s="6689"/>
      <c r="AJ20" s="6689">
        <f t="shared" si="9"/>
        <v>6900.2999999999984</v>
      </c>
      <c r="AK20" s="6687"/>
      <c r="AL20" s="6688">
        <v>994.24999999999966</v>
      </c>
      <c r="AM20" s="6693"/>
      <c r="AN20" s="6693">
        <f t="shared" si="2"/>
        <v>1888.0499999999997</v>
      </c>
      <c r="AO20" s="6689"/>
      <c r="AP20" s="6689">
        <f t="shared" si="10"/>
        <v>7894.5499999999984</v>
      </c>
      <c r="AQ20" s="6687"/>
      <c r="AR20" s="6688">
        <v>1428.8500000000001</v>
      </c>
      <c r="AS20" s="6689"/>
      <c r="AT20" s="6689">
        <f t="shared" si="11"/>
        <v>9323.3999999999978</v>
      </c>
      <c r="AU20" s="6687"/>
      <c r="AV20" s="6688">
        <v>1572.3500000000001</v>
      </c>
      <c r="AW20" s="6689"/>
      <c r="AX20" s="6689">
        <f t="shared" si="12"/>
        <v>10895.749999999998</v>
      </c>
      <c r="AY20" s="6687"/>
      <c r="AZ20" s="6688">
        <v>137.35</v>
      </c>
      <c r="BA20" s="6693"/>
      <c r="BB20" s="6693">
        <f t="shared" si="3"/>
        <v>3138.55</v>
      </c>
      <c r="BC20" s="6694"/>
      <c r="BD20" s="6694">
        <f t="shared" si="13"/>
        <v>5026.6000000000004</v>
      </c>
      <c r="BE20" s="6689"/>
      <c r="BF20" s="6690">
        <f t="shared" si="14"/>
        <v>11033.099999999999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2255"/>
      <c r="B21" s="5406" t="s">
        <v>74</v>
      </c>
      <c r="C21" s="5407" t="s">
        <v>1384</v>
      </c>
      <c r="D21" s="49" t="s">
        <v>50</v>
      </c>
      <c r="E21" s="6674"/>
      <c r="F21" s="6645">
        <v>475.60000000000008</v>
      </c>
      <c r="G21" s="6674"/>
      <c r="H21" s="7207">
        <f>1965.95-2.05</f>
        <v>1963.9</v>
      </c>
      <c r="I21" s="6644"/>
      <c r="J21" s="43">
        <f t="shared" si="4"/>
        <v>2439.5</v>
      </c>
      <c r="K21" s="6674"/>
      <c r="L21" s="6645">
        <v>1092.6499999999999</v>
      </c>
      <c r="M21" s="2407"/>
      <c r="N21" s="2407">
        <f t="shared" si="5"/>
        <v>3532.1499999999996</v>
      </c>
      <c r="O21" s="6674"/>
      <c r="P21" s="6645">
        <v>904.05</v>
      </c>
      <c r="Q21" s="6644"/>
      <c r="R21" s="6644">
        <f t="shared" si="6"/>
        <v>4436.2</v>
      </c>
      <c r="S21" s="6674"/>
      <c r="T21" s="6645">
        <v>1967.9999999999998</v>
      </c>
      <c r="U21" s="6644"/>
      <c r="V21" s="6644">
        <f t="shared" si="7"/>
        <v>6404.2</v>
      </c>
      <c r="W21" s="6674"/>
      <c r="X21" s="6645">
        <f>1734.3-16.4</f>
        <v>1717.8999999999999</v>
      </c>
      <c r="Y21" s="5409"/>
      <c r="Z21" s="5409">
        <f t="shared" si="0"/>
        <v>4589.95</v>
      </c>
      <c r="AA21" s="5410"/>
      <c r="AB21" s="5410">
        <f t="shared" si="1"/>
        <v>8122.0999999999995</v>
      </c>
      <c r="AC21" s="6674"/>
      <c r="AD21" s="6645">
        <f>1797.85-2.05</f>
        <v>1795.8</v>
      </c>
      <c r="AE21" s="6644"/>
      <c r="AF21" s="6644">
        <f t="shared" si="8"/>
        <v>9917.9</v>
      </c>
      <c r="AG21" s="6674"/>
      <c r="AH21" s="6645">
        <v>569.90000000000009</v>
      </c>
      <c r="AI21" s="6644"/>
      <c r="AJ21" s="6644">
        <f t="shared" si="9"/>
        <v>10487.8</v>
      </c>
      <c r="AK21" s="6674"/>
      <c r="AL21" s="6645">
        <f>3241.05-28.7</f>
        <v>3212.3500000000004</v>
      </c>
      <c r="AM21" s="5409"/>
      <c r="AN21" s="5409">
        <f t="shared" si="2"/>
        <v>5578.05</v>
      </c>
      <c r="AO21" s="6644"/>
      <c r="AP21" s="6644">
        <f t="shared" si="10"/>
        <v>13700.15</v>
      </c>
      <c r="AQ21" s="6674"/>
      <c r="AR21" s="6645">
        <v>1314.05</v>
      </c>
      <c r="AS21" s="6644"/>
      <c r="AT21" s="6644">
        <f t="shared" si="11"/>
        <v>15014.199999999999</v>
      </c>
      <c r="AU21" s="6674"/>
      <c r="AV21" s="6645">
        <v>1385.8000000000002</v>
      </c>
      <c r="AW21" s="6644"/>
      <c r="AX21" s="6644">
        <f t="shared" si="12"/>
        <v>16400</v>
      </c>
      <c r="AY21" s="6674"/>
      <c r="AZ21" s="6645">
        <v>1594.9</v>
      </c>
      <c r="BA21" s="5409"/>
      <c r="BB21" s="5409">
        <f t="shared" si="3"/>
        <v>4294.75</v>
      </c>
      <c r="BC21" s="5410"/>
      <c r="BD21" s="5410">
        <f t="shared" si="13"/>
        <v>9872.7999999999993</v>
      </c>
      <c r="BE21" s="6644"/>
      <c r="BF21" s="6644">
        <f t="shared" si="14"/>
        <v>17994.900000000001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2255"/>
      <c r="B22" s="851" t="s">
        <v>74</v>
      </c>
      <c r="C22" s="3129" t="s">
        <v>971</v>
      </c>
      <c r="D22" s="3130" t="s">
        <v>50</v>
      </c>
      <c r="E22" s="3180"/>
      <c r="F22" s="3132">
        <f>4300.88-77.9</f>
        <v>4222.9800000000005</v>
      </c>
      <c r="G22" s="3180"/>
      <c r="H22" s="7209">
        <f>5545.25-14.35</f>
        <v>5530.9</v>
      </c>
      <c r="I22" s="3133"/>
      <c r="J22" s="43">
        <f t="shared" si="4"/>
        <v>9753.880000000001</v>
      </c>
      <c r="K22" s="3180"/>
      <c r="L22" s="4603">
        <v>8624.35</v>
      </c>
      <c r="M22" s="2249"/>
      <c r="N22" s="4594">
        <f t="shared" si="5"/>
        <v>18378.230000000003</v>
      </c>
      <c r="O22" s="3180"/>
      <c r="P22" s="4791">
        <v>5787.1500000000005</v>
      </c>
      <c r="Q22" s="2250"/>
      <c r="R22" s="4773">
        <f t="shared" si="6"/>
        <v>24165.380000000005</v>
      </c>
      <c r="S22" s="3180"/>
      <c r="T22" s="4945">
        <f>4097.95-14.35</f>
        <v>4083.6</v>
      </c>
      <c r="U22" s="4938"/>
      <c r="V22" s="4938">
        <f t="shared" si="7"/>
        <v>28248.980000000003</v>
      </c>
      <c r="W22" s="3180"/>
      <c r="X22" s="5082">
        <f>2406.7-41</f>
        <v>2365.6999999999998</v>
      </c>
      <c r="Y22" s="2252"/>
      <c r="Z22" s="2636">
        <f t="shared" si="0"/>
        <v>12236.45</v>
      </c>
      <c r="AA22" s="662"/>
      <c r="AB22" s="662">
        <f t="shared" si="1"/>
        <v>30614.680000000004</v>
      </c>
      <c r="AC22" s="3180"/>
      <c r="AD22" s="5437">
        <f>3954.45-4.1</f>
        <v>3950.35</v>
      </c>
      <c r="AE22" s="2399"/>
      <c r="AF22" s="5456">
        <f t="shared" si="8"/>
        <v>34565.030000000006</v>
      </c>
      <c r="AG22" s="3180"/>
      <c r="AH22" s="5555">
        <v>1066</v>
      </c>
      <c r="AI22" s="5535"/>
      <c r="AJ22" s="5535">
        <f t="shared" si="9"/>
        <v>35631.030000000006</v>
      </c>
      <c r="AK22" s="3180"/>
      <c r="AL22" s="5964">
        <v>2179.15</v>
      </c>
      <c r="AM22" s="2636"/>
      <c r="AN22" s="2636">
        <f t="shared" si="2"/>
        <v>7195.5</v>
      </c>
      <c r="AO22" s="2399"/>
      <c r="AP22" s="5960">
        <f t="shared" si="10"/>
        <v>37810.180000000008</v>
      </c>
      <c r="AQ22" s="3180"/>
      <c r="AR22" s="6117">
        <f>4059-16.4</f>
        <v>4042.6</v>
      </c>
      <c r="AS22" s="2399"/>
      <c r="AT22" s="6113">
        <f t="shared" si="11"/>
        <v>41852.780000000006</v>
      </c>
      <c r="AU22" s="3180"/>
      <c r="AV22" s="6264">
        <f>6871.6-4.2</f>
        <v>6867.4000000000005</v>
      </c>
      <c r="AW22" s="6251"/>
      <c r="AX22" s="6251">
        <f t="shared" si="12"/>
        <v>48720.180000000008</v>
      </c>
      <c r="AY22" s="3180"/>
      <c r="AZ22" s="6436">
        <v>8398.8500000000022</v>
      </c>
      <c r="BA22" s="2636"/>
      <c r="BB22" s="2636">
        <f t="shared" si="3"/>
        <v>19308.850000000002</v>
      </c>
      <c r="BC22" s="662"/>
      <c r="BD22" s="662">
        <f t="shared" si="13"/>
        <v>26504.350000000002</v>
      </c>
      <c r="BE22" s="2399"/>
      <c r="BF22" s="6421">
        <f t="shared" si="14"/>
        <v>57119.030000000013</v>
      </c>
      <c r="BG22" s="26"/>
      <c r="BH22" s="26"/>
      <c r="BI22" s="26"/>
      <c r="BJ22" s="26"/>
      <c r="BK22" s="26"/>
      <c r="BL22" s="26"/>
      <c r="BM22" s="26"/>
      <c r="BN22" s="26"/>
    </row>
    <row r="23" spans="1:66" ht="16.5" thickBot="1" x14ac:dyDescent="0.3">
      <c r="A23" s="2255"/>
      <c r="B23" s="851" t="s">
        <v>74</v>
      </c>
      <c r="C23" s="3129" t="s">
        <v>973</v>
      </c>
      <c r="D23" s="3130" t="s">
        <v>50</v>
      </c>
      <c r="E23" s="3180"/>
      <c r="F23" s="3132">
        <f>1678.95-2.05</f>
        <v>1676.9</v>
      </c>
      <c r="G23" s="3180"/>
      <c r="H23" s="7209">
        <f>2343.15-2.05</f>
        <v>2341.1</v>
      </c>
      <c r="I23" s="3133"/>
      <c r="J23" s="43">
        <f t="shared" si="4"/>
        <v>4018</v>
      </c>
      <c r="K23" s="3180"/>
      <c r="L23" s="4603">
        <f>3728.95+2.05+2.05</f>
        <v>3733.05</v>
      </c>
      <c r="M23" s="2249"/>
      <c r="N23" s="4594">
        <f t="shared" si="5"/>
        <v>7751.05</v>
      </c>
      <c r="O23" s="3180"/>
      <c r="P23" s="4791">
        <v>2058.1999999999998</v>
      </c>
      <c r="Q23" s="2250"/>
      <c r="R23" s="4773">
        <f t="shared" si="6"/>
        <v>9809.25</v>
      </c>
      <c r="S23" s="3180"/>
      <c r="T23" s="4945">
        <v>1687.1499999999987</v>
      </c>
      <c r="U23" s="4938"/>
      <c r="V23" s="4938">
        <f t="shared" si="7"/>
        <v>11496.399999999998</v>
      </c>
      <c r="W23" s="3180"/>
      <c r="X23" s="5082">
        <f>2228.35+41-4.1</f>
        <v>2265.25</v>
      </c>
      <c r="Y23" s="2252"/>
      <c r="Z23" s="2636">
        <f t="shared" si="0"/>
        <v>6010.5999999999985</v>
      </c>
      <c r="AA23" s="662"/>
      <c r="AB23" s="662">
        <f t="shared" si="1"/>
        <v>13761.649999999998</v>
      </c>
      <c r="AC23" s="3180"/>
      <c r="AD23" s="5437">
        <v>600.65</v>
      </c>
      <c r="AE23" s="2399"/>
      <c r="AF23" s="5456">
        <f t="shared" si="8"/>
        <v>14362.299999999997</v>
      </c>
      <c r="AG23" s="3180"/>
      <c r="AH23" s="5555">
        <f>1599-2.05</f>
        <v>1596.95</v>
      </c>
      <c r="AI23" s="5535"/>
      <c r="AJ23" s="5535">
        <f t="shared" si="9"/>
        <v>15959.249999999998</v>
      </c>
      <c r="AK23" s="3180"/>
      <c r="AL23" s="5964">
        <v>1830.6499999999987</v>
      </c>
      <c r="AM23" s="2636"/>
      <c r="AN23" s="2636">
        <f t="shared" si="2"/>
        <v>4028.2499999999986</v>
      </c>
      <c r="AO23" s="2399"/>
      <c r="AP23" s="5960">
        <f t="shared" si="10"/>
        <v>17789.899999999998</v>
      </c>
      <c r="AQ23" s="3180"/>
      <c r="AR23" s="6117">
        <f>1535.45-24.6</f>
        <v>1510.8500000000001</v>
      </c>
      <c r="AS23" s="2399"/>
      <c r="AT23" s="6113">
        <f t="shared" si="11"/>
        <v>19300.749999999996</v>
      </c>
      <c r="AU23" s="3180"/>
      <c r="AV23" s="6264">
        <f>2599.4-67.65</f>
        <v>2531.75</v>
      </c>
      <c r="AW23" s="6251"/>
      <c r="AX23" s="6251">
        <f t="shared" si="12"/>
        <v>21832.499999999996</v>
      </c>
      <c r="AY23" s="3180"/>
      <c r="AZ23" s="6436">
        <v>9116.350000000004</v>
      </c>
      <c r="BA23" s="2636"/>
      <c r="BB23" s="2636">
        <f t="shared" si="3"/>
        <v>13158.950000000004</v>
      </c>
      <c r="BC23" s="662"/>
      <c r="BD23" s="662">
        <f t="shared" si="13"/>
        <v>17187.200000000004</v>
      </c>
      <c r="BE23" s="2399"/>
      <c r="BF23" s="6421">
        <f t="shared" si="14"/>
        <v>30948.85</v>
      </c>
      <c r="BG23" s="26"/>
      <c r="BH23" s="26"/>
      <c r="BI23" s="26"/>
      <c r="BJ23" s="26"/>
      <c r="BK23" s="26"/>
      <c r="BL23" s="26"/>
      <c r="BM23" s="26"/>
      <c r="BN23" s="26"/>
    </row>
    <row r="24" spans="1:66" ht="16.5" thickBot="1" x14ac:dyDescent="0.3">
      <c r="A24" s="2255"/>
      <c r="B24" s="851" t="s">
        <v>74</v>
      </c>
      <c r="C24" s="3129" t="s">
        <v>1124</v>
      </c>
      <c r="D24" s="3130" t="s">
        <v>50</v>
      </c>
      <c r="E24" s="3180"/>
      <c r="F24" s="3132"/>
      <c r="G24" s="3180"/>
      <c r="H24" s="7209"/>
      <c r="I24" s="3133"/>
      <c r="J24" s="43">
        <f t="shared" si="4"/>
        <v>0</v>
      </c>
      <c r="K24" s="3180"/>
      <c r="L24" s="4603"/>
      <c r="M24" s="2249"/>
      <c r="N24" s="4594">
        <f t="shared" si="5"/>
        <v>0</v>
      </c>
      <c r="O24" s="3180"/>
      <c r="P24" s="4791"/>
      <c r="Q24" s="2250"/>
      <c r="R24" s="4773">
        <f t="shared" si="6"/>
        <v>0</v>
      </c>
      <c r="S24" s="3180"/>
      <c r="T24" s="4945"/>
      <c r="U24" s="4938"/>
      <c r="V24" s="4938">
        <f t="shared" si="7"/>
        <v>0</v>
      </c>
      <c r="W24" s="3180"/>
      <c r="X24" s="5082"/>
      <c r="Y24" s="2252"/>
      <c r="Z24" s="2636">
        <f t="shared" si="0"/>
        <v>0</v>
      </c>
      <c r="AA24" s="662"/>
      <c r="AB24" s="662">
        <f t="shared" si="1"/>
        <v>0</v>
      </c>
      <c r="AC24" s="3180"/>
      <c r="AD24" s="5437"/>
      <c r="AE24" s="2399"/>
      <c r="AF24" s="5456">
        <f t="shared" si="8"/>
        <v>0</v>
      </c>
      <c r="AG24" s="3180"/>
      <c r="AH24" s="5555"/>
      <c r="AI24" s="5535"/>
      <c r="AJ24" s="5535">
        <f t="shared" si="9"/>
        <v>0</v>
      </c>
      <c r="AK24" s="3180"/>
      <c r="AL24" s="5964"/>
      <c r="AM24" s="2636"/>
      <c r="AN24" s="2636">
        <f t="shared" si="2"/>
        <v>0</v>
      </c>
      <c r="AO24" s="2399"/>
      <c r="AP24" s="5960">
        <f t="shared" si="10"/>
        <v>0</v>
      </c>
      <c r="AQ24" s="3180"/>
      <c r="AR24" s="6117"/>
      <c r="AS24" s="2399"/>
      <c r="AT24" s="6113">
        <f t="shared" si="11"/>
        <v>0</v>
      </c>
      <c r="AU24" s="3180"/>
      <c r="AV24" s="6264"/>
      <c r="AW24" s="6251"/>
      <c r="AX24" s="6251">
        <f t="shared" si="12"/>
        <v>0</v>
      </c>
      <c r="AY24" s="3180"/>
      <c r="AZ24" s="6436"/>
      <c r="BA24" s="2636"/>
      <c r="BB24" s="2636">
        <f t="shared" si="3"/>
        <v>0</v>
      </c>
      <c r="BC24" s="662"/>
      <c r="BD24" s="662">
        <f t="shared" si="13"/>
        <v>0</v>
      </c>
      <c r="BE24" s="2399"/>
      <c r="BF24" s="6421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5" thickBot="1" x14ac:dyDescent="0.3">
      <c r="A25" s="2255"/>
      <c r="B25" s="851" t="s">
        <v>74</v>
      </c>
      <c r="C25" s="3129" t="s">
        <v>1139</v>
      </c>
      <c r="D25" s="3130" t="s">
        <v>50</v>
      </c>
      <c r="E25" s="3180"/>
      <c r="F25" s="3132"/>
      <c r="G25" s="3180"/>
      <c r="H25" s="7209"/>
      <c r="I25" s="3133"/>
      <c r="J25" s="43">
        <f t="shared" si="4"/>
        <v>0</v>
      </c>
      <c r="K25" s="3180"/>
      <c r="L25" s="4603">
        <f>205-8.2</f>
        <v>196.8</v>
      </c>
      <c r="M25" s="2249"/>
      <c r="N25" s="4594">
        <f t="shared" si="5"/>
        <v>196.8</v>
      </c>
      <c r="O25" s="3180"/>
      <c r="P25" s="4791"/>
      <c r="Q25" s="2250"/>
      <c r="R25" s="4773">
        <f t="shared" si="6"/>
        <v>196.8</v>
      </c>
      <c r="S25" s="3180"/>
      <c r="T25" s="4945"/>
      <c r="U25" s="4938"/>
      <c r="V25" s="4938">
        <f t="shared" si="7"/>
        <v>196.8</v>
      </c>
      <c r="W25" s="3180"/>
      <c r="X25" s="5082"/>
      <c r="Y25" s="2252"/>
      <c r="Z25" s="2636">
        <f t="shared" si="0"/>
        <v>0</v>
      </c>
      <c r="AA25" s="662"/>
      <c r="AB25" s="662">
        <f t="shared" si="1"/>
        <v>196.8</v>
      </c>
      <c r="AC25" s="3180"/>
      <c r="AD25" s="5437"/>
      <c r="AE25" s="2399"/>
      <c r="AF25" s="5456">
        <f t="shared" si="8"/>
        <v>196.8</v>
      </c>
      <c r="AG25" s="3180"/>
      <c r="AH25" s="5555"/>
      <c r="AI25" s="5535"/>
      <c r="AJ25" s="5535">
        <f t="shared" si="9"/>
        <v>196.8</v>
      </c>
      <c r="AK25" s="3180"/>
      <c r="AL25" s="5964"/>
      <c r="AM25" s="2636"/>
      <c r="AN25" s="2636">
        <f t="shared" si="2"/>
        <v>0</v>
      </c>
      <c r="AO25" s="2399"/>
      <c r="AP25" s="5960">
        <f t="shared" si="10"/>
        <v>196.8</v>
      </c>
      <c r="AQ25" s="3180"/>
      <c r="AR25" s="6117"/>
      <c r="AS25" s="2399"/>
      <c r="AT25" s="6113">
        <f t="shared" si="11"/>
        <v>196.8</v>
      </c>
      <c r="AU25" s="3180"/>
      <c r="AV25" s="6264">
        <v>143.5</v>
      </c>
      <c r="AW25" s="6251"/>
      <c r="AX25" s="6251">
        <f t="shared" si="12"/>
        <v>340.3</v>
      </c>
      <c r="AY25" s="3180"/>
      <c r="AZ25" s="6436"/>
      <c r="BA25" s="2636"/>
      <c r="BB25" s="2636">
        <f t="shared" si="3"/>
        <v>143.5</v>
      </c>
      <c r="BC25" s="662"/>
      <c r="BD25" s="662">
        <f t="shared" si="13"/>
        <v>143.5</v>
      </c>
      <c r="BE25" s="2399"/>
      <c r="BF25" s="6421">
        <f t="shared" si="14"/>
        <v>340.3</v>
      </c>
      <c r="BG25" s="26"/>
      <c r="BH25" s="26"/>
      <c r="BI25" s="26"/>
      <c r="BJ25" s="26"/>
      <c r="BK25" s="26"/>
      <c r="BL25" s="26"/>
      <c r="BM25" s="26"/>
      <c r="BN25" s="26"/>
    </row>
    <row r="26" spans="1:66" s="5172" customFormat="1" ht="16.5" thickBot="1" x14ac:dyDescent="0.3">
      <c r="A26" s="2255"/>
      <c r="B26" s="851" t="s">
        <v>74</v>
      </c>
      <c r="C26" s="6296" t="s">
        <v>2153</v>
      </c>
      <c r="D26" s="6297"/>
      <c r="E26" s="6298"/>
      <c r="F26" s="6299"/>
      <c r="G26" s="6298"/>
      <c r="H26" s="6299"/>
      <c r="I26" s="6300"/>
      <c r="J26" s="43">
        <f t="shared" si="4"/>
        <v>0</v>
      </c>
      <c r="K26" s="6298"/>
      <c r="L26" s="6299"/>
      <c r="M26" s="6301"/>
      <c r="N26" s="6301"/>
      <c r="O26" s="6298"/>
      <c r="P26" s="6299"/>
      <c r="Q26" s="6300"/>
      <c r="R26" s="6300"/>
      <c r="S26" s="6298"/>
      <c r="T26" s="6299"/>
      <c r="U26" s="6300"/>
      <c r="V26" s="6300"/>
      <c r="W26" s="6298"/>
      <c r="X26" s="6299"/>
      <c r="Y26" s="6302"/>
      <c r="Z26" s="6302"/>
      <c r="AA26" s="6303"/>
      <c r="AB26" s="6303"/>
      <c r="AC26" s="6298"/>
      <c r="AD26" s="6299"/>
      <c r="AE26" s="6300"/>
      <c r="AF26" s="6300"/>
      <c r="AG26" s="6298"/>
      <c r="AH26" s="6299"/>
      <c r="AI26" s="6300"/>
      <c r="AJ26" s="6300"/>
      <c r="AK26" s="6298"/>
      <c r="AL26" s="6299"/>
      <c r="AM26" s="6302"/>
      <c r="AN26" s="6302"/>
      <c r="AO26" s="6300"/>
      <c r="AP26" s="6300"/>
      <c r="AQ26" s="6298"/>
      <c r="AR26" s="6299"/>
      <c r="AS26" s="6300"/>
      <c r="AT26" s="6273">
        <f t="shared" si="11"/>
        <v>0</v>
      </c>
      <c r="AU26" s="6298"/>
      <c r="AV26" s="6299">
        <v>104.55</v>
      </c>
      <c r="AW26" s="6300"/>
      <c r="AX26" s="6273">
        <f t="shared" si="12"/>
        <v>104.55</v>
      </c>
      <c r="AY26" s="6298"/>
      <c r="AZ26" s="6299"/>
      <c r="BA26" s="6302"/>
      <c r="BB26" s="2636">
        <f t="shared" si="3"/>
        <v>104.55</v>
      </c>
      <c r="BC26" s="6303"/>
      <c r="BD26" s="662">
        <f t="shared" si="13"/>
        <v>104.55</v>
      </c>
      <c r="BE26" s="6300"/>
      <c r="BF26" s="6421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5" thickBot="1" x14ac:dyDescent="0.3">
      <c r="A27" s="2255"/>
      <c r="B27" s="851" t="s">
        <v>74</v>
      </c>
      <c r="C27" s="3129" t="s">
        <v>1039</v>
      </c>
      <c r="D27" s="3130" t="s">
        <v>50</v>
      </c>
      <c r="E27" s="3180"/>
      <c r="F27" s="3132"/>
      <c r="G27" s="3180"/>
      <c r="H27" s="7209"/>
      <c r="I27" s="3133"/>
      <c r="J27" s="43">
        <f t="shared" si="4"/>
        <v>0</v>
      </c>
      <c r="K27" s="3180"/>
      <c r="L27" s="4603"/>
      <c r="M27" s="2249"/>
      <c r="N27" s="4594">
        <f t="shared" si="5"/>
        <v>0</v>
      </c>
      <c r="O27" s="3180"/>
      <c r="P27" s="4791"/>
      <c r="Q27" s="2250"/>
      <c r="R27" s="4773">
        <f t="shared" si="6"/>
        <v>0</v>
      </c>
      <c r="S27" s="3180"/>
      <c r="T27" s="4945"/>
      <c r="U27" s="4938"/>
      <c r="V27" s="4938">
        <f t="shared" si="7"/>
        <v>0</v>
      </c>
      <c r="W27" s="3180"/>
      <c r="X27" s="5082"/>
      <c r="Y27" s="2252"/>
      <c r="Z27" s="2636">
        <f t="shared" si="0"/>
        <v>0</v>
      </c>
      <c r="AA27" s="662"/>
      <c r="AB27" s="662">
        <f t="shared" si="1"/>
        <v>0</v>
      </c>
      <c r="AC27" s="3180"/>
      <c r="AD27" s="5437"/>
      <c r="AE27" s="2399"/>
      <c r="AF27" s="5456">
        <f t="shared" si="8"/>
        <v>0</v>
      </c>
      <c r="AG27" s="3180"/>
      <c r="AH27" s="5555"/>
      <c r="AI27" s="5535"/>
      <c r="AJ27" s="5535">
        <f t="shared" si="9"/>
        <v>0</v>
      </c>
      <c r="AK27" s="3180"/>
      <c r="AL27" s="5964"/>
      <c r="AM27" s="2636"/>
      <c r="AN27" s="2636">
        <f t="shared" si="2"/>
        <v>0</v>
      </c>
      <c r="AO27" s="2399"/>
      <c r="AP27" s="5960">
        <f t="shared" si="10"/>
        <v>0</v>
      </c>
      <c r="AQ27" s="3180"/>
      <c r="AR27" s="6117"/>
      <c r="AS27" s="2399"/>
      <c r="AT27" s="6113">
        <f t="shared" si="11"/>
        <v>0</v>
      </c>
      <c r="AU27" s="3180"/>
      <c r="AV27" s="6264"/>
      <c r="AW27" s="6251"/>
      <c r="AX27" s="6251">
        <f t="shared" si="12"/>
        <v>0</v>
      </c>
      <c r="AY27" s="3180"/>
      <c r="AZ27" s="6436"/>
      <c r="BA27" s="2636"/>
      <c r="BB27" s="2636">
        <f t="shared" si="3"/>
        <v>0</v>
      </c>
      <c r="BC27" s="662"/>
      <c r="BD27" s="662">
        <f t="shared" si="13"/>
        <v>0</v>
      </c>
      <c r="BE27" s="2399"/>
      <c r="BF27" s="6421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5" thickBot="1" x14ac:dyDescent="0.3">
      <c r="A28" s="2255"/>
      <c r="B28" s="851" t="s">
        <v>74</v>
      </c>
      <c r="C28" s="3129" t="s">
        <v>978</v>
      </c>
      <c r="D28" s="3130" t="s">
        <v>50</v>
      </c>
      <c r="E28" s="3180"/>
      <c r="F28" s="3132">
        <v>428.45</v>
      </c>
      <c r="G28" s="3180"/>
      <c r="H28" s="7209"/>
      <c r="I28" s="3133"/>
      <c r="J28" s="43">
        <f t="shared" si="4"/>
        <v>428.45</v>
      </c>
      <c r="K28" s="3180"/>
      <c r="L28" s="4603">
        <v>861</v>
      </c>
      <c r="M28" s="2249"/>
      <c r="N28" s="4594">
        <f t="shared" si="5"/>
        <v>1289.45</v>
      </c>
      <c r="O28" s="3180"/>
      <c r="P28" s="4791"/>
      <c r="Q28" s="2250"/>
      <c r="R28" s="4773">
        <f t="shared" si="6"/>
        <v>1289.45</v>
      </c>
      <c r="S28" s="3180"/>
      <c r="T28" s="4945">
        <v>200.89999999999998</v>
      </c>
      <c r="U28" s="4938"/>
      <c r="V28" s="4938">
        <f t="shared" si="7"/>
        <v>1490.35</v>
      </c>
      <c r="W28" s="3180"/>
      <c r="X28" s="5082">
        <v>660.09999999999991</v>
      </c>
      <c r="Y28" s="2252"/>
      <c r="Z28" s="2636">
        <f t="shared" si="0"/>
        <v>860.99999999999989</v>
      </c>
      <c r="AA28" s="662"/>
      <c r="AB28" s="662">
        <f t="shared" si="1"/>
        <v>2150.4499999999998</v>
      </c>
      <c r="AC28" s="3180"/>
      <c r="AD28" s="5437">
        <v>172.2</v>
      </c>
      <c r="AE28" s="2399"/>
      <c r="AF28" s="5456">
        <f t="shared" si="8"/>
        <v>2322.6499999999996</v>
      </c>
      <c r="AG28" s="3180"/>
      <c r="AH28" s="5555"/>
      <c r="AI28" s="5535"/>
      <c r="AJ28" s="5535">
        <f t="shared" si="9"/>
        <v>2322.6499999999996</v>
      </c>
      <c r="AK28" s="3180"/>
      <c r="AL28" s="5964"/>
      <c r="AM28" s="2636"/>
      <c r="AN28" s="2636">
        <f t="shared" si="2"/>
        <v>172.2</v>
      </c>
      <c r="AO28" s="2399"/>
      <c r="AP28" s="5960">
        <f t="shared" si="10"/>
        <v>2322.6499999999996</v>
      </c>
      <c r="AQ28" s="3180"/>
      <c r="AR28" s="6117"/>
      <c r="AS28" s="2399"/>
      <c r="AT28" s="6113">
        <f t="shared" si="11"/>
        <v>2322.6499999999996</v>
      </c>
      <c r="AU28" s="3180"/>
      <c r="AV28" s="6264">
        <v>506.35</v>
      </c>
      <c r="AW28" s="6251"/>
      <c r="AX28" s="6251">
        <f t="shared" si="12"/>
        <v>2828.9999999999995</v>
      </c>
      <c r="AY28" s="3180"/>
      <c r="AZ28" s="6436"/>
      <c r="BA28" s="2636"/>
      <c r="BB28" s="2636">
        <f t="shared" si="3"/>
        <v>506.35</v>
      </c>
      <c r="BC28" s="662"/>
      <c r="BD28" s="662">
        <f t="shared" si="13"/>
        <v>678.55</v>
      </c>
      <c r="BE28" s="2399"/>
      <c r="BF28" s="6421">
        <f t="shared" si="14"/>
        <v>2828.9999999999995</v>
      </c>
      <c r="BG28" s="26"/>
      <c r="BH28" s="26"/>
      <c r="BI28" s="26"/>
      <c r="BJ28" s="26"/>
      <c r="BK28" s="26"/>
      <c r="BL28" s="26"/>
      <c r="BM28" s="26"/>
      <c r="BN28" s="26"/>
    </row>
    <row r="29" spans="1:66" s="5172" customFormat="1" ht="16.5" thickBot="1" x14ac:dyDescent="0.3">
      <c r="A29" s="2255"/>
      <c r="B29" s="851" t="s">
        <v>74</v>
      </c>
      <c r="C29" s="3129" t="s">
        <v>2008</v>
      </c>
      <c r="D29" s="3130" t="s">
        <v>50</v>
      </c>
      <c r="E29" s="5398"/>
      <c r="F29" s="5386">
        <f>118.9-2.05</f>
        <v>116.85000000000001</v>
      </c>
      <c r="G29" s="5398"/>
      <c r="H29" s="5386"/>
      <c r="I29" s="5225"/>
      <c r="J29" s="43">
        <f t="shared" si="4"/>
        <v>116.85000000000001</v>
      </c>
      <c r="K29" s="5398"/>
      <c r="L29" s="5386"/>
      <c r="M29" s="5227"/>
      <c r="N29" s="5227"/>
      <c r="O29" s="5398"/>
      <c r="P29" s="5386"/>
      <c r="Q29" s="5225"/>
      <c r="R29" s="5225"/>
      <c r="S29" s="5398"/>
      <c r="T29" s="5386"/>
      <c r="U29" s="5225"/>
      <c r="V29" s="5225"/>
      <c r="W29" s="5398"/>
      <c r="X29" s="5386"/>
      <c r="Y29" s="5394"/>
      <c r="Z29" s="5394"/>
      <c r="AA29" s="5395"/>
      <c r="AB29" s="5395"/>
      <c r="AC29" s="5398"/>
      <c r="AD29" s="5386">
        <v>205</v>
      </c>
      <c r="AE29" s="5225"/>
      <c r="AF29" s="5456">
        <f t="shared" si="8"/>
        <v>205</v>
      </c>
      <c r="AG29" s="5398"/>
      <c r="AH29" s="5386"/>
      <c r="AI29" s="5225"/>
      <c r="AJ29" s="5535">
        <f t="shared" si="9"/>
        <v>205</v>
      </c>
      <c r="AK29" s="5398"/>
      <c r="AL29" s="5386"/>
      <c r="AM29" s="5394"/>
      <c r="AN29" s="2636">
        <f t="shared" si="2"/>
        <v>205</v>
      </c>
      <c r="AO29" s="5225"/>
      <c r="AP29" s="5960">
        <f t="shared" si="10"/>
        <v>205</v>
      </c>
      <c r="AQ29" s="5398"/>
      <c r="AR29" s="5386"/>
      <c r="AS29" s="5225"/>
      <c r="AT29" s="6113">
        <f t="shared" si="11"/>
        <v>205</v>
      </c>
      <c r="AU29" s="5398"/>
      <c r="AV29" s="5386"/>
      <c r="AW29" s="5225"/>
      <c r="AX29" s="6251">
        <f t="shared" si="12"/>
        <v>205</v>
      </c>
      <c r="AY29" s="5398"/>
      <c r="AZ29" s="5386"/>
      <c r="BA29" s="5394"/>
      <c r="BB29" s="2636">
        <f t="shared" si="3"/>
        <v>0</v>
      </c>
      <c r="BC29" s="5395"/>
      <c r="BD29" s="662">
        <f t="shared" si="13"/>
        <v>205</v>
      </c>
      <c r="BE29" s="5225"/>
      <c r="BF29" s="6421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6.5" thickBot="1" x14ac:dyDescent="0.3">
      <c r="A30" s="2255"/>
      <c r="B30" s="851" t="s">
        <v>74</v>
      </c>
      <c r="C30" s="3129" t="s">
        <v>874</v>
      </c>
      <c r="D30" s="3130" t="s">
        <v>50</v>
      </c>
      <c r="E30" s="3180"/>
      <c r="F30" s="3132">
        <v>2162.75</v>
      </c>
      <c r="G30" s="3180"/>
      <c r="H30" s="7209">
        <f>6937.2-18.45</f>
        <v>6918.75</v>
      </c>
      <c r="I30" s="3133"/>
      <c r="J30" s="43">
        <f t="shared" si="4"/>
        <v>9081.5</v>
      </c>
      <c r="K30" s="3180"/>
      <c r="L30" s="4603">
        <v>3427.6</v>
      </c>
      <c r="M30" s="2249"/>
      <c r="N30" s="4594">
        <f t="shared" si="5"/>
        <v>12509.1</v>
      </c>
      <c r="O30" s="3180"/>
      <c r="P30" s="4791">
        <v>5104.5000000000045</v>
      </c>
      <c r="Q30" s="2250"/>
      <c r="R30" s="4773">
        <f t="shared" si="6"/>
        <v>17613.600000000006</v>
      </c>
      <c r="S30" s="3180"/>
      <c r="T30" s="4945">
        <f>4282.45-2.05</f>
        <v>4280.3999999999996</v>
      </c>
      <c r="U30" s="4938"/>
      <c r="V30" s="4938">
        <f t="shared" si="7"/>
        <v>21894.000000000007</v>
      </c>
      <c r="W30" s="3180"/>
      <c r="X30" s="5082">
        <v>5407.9000000000005</v>
      </c>
      <c r="Y30" s="2252"/>
      <c r="Z30" s="2636">
        <f t="shared" si="0"/>
        <v>14792.800000000007</v>
      </c>
      <c r="AA30" s="662"/>
      <c r="AB30" s="662">
        <f t="shared" si="1"/>
        <v>27301.900000000009</v>
      </c>
      <c r="AC30" s="3180"/>
      <c r="AD30" s="5437">
        <v>5362.8000000000065</v>
      </c>
      <c r="AE30" s="2399"/>
      <c r="AF30" s="5456">
        <f t="shared" si="8"/>
        <v>32664.700000000015</v>
      </c>
      <c r="AG30" s="3180"/>
      <c r="AH30" s="5555">
        <f>3263.6-26.65</f>
        <v>3236.95</v>
      </c>
      <c r="AI30" s="5535"/>
      <c r="AJ30" s="5535">
        <f t="shared" si="9"/>
        <v>35901.650000000016</v>
      </c>
      <c r="AK30" s="3180"/>
      <c r="AL30" s="5964">
        <f>4598.15-16.4</f>
        <v>4581.75</v>
      </c>
      <c r="AM30" s="2636"/>
      <c r="AN30" s="2636">
        <f t="shared" si="2"/>
        <v>13181.500000000007</v>
      </c>
      <c r="AO30" s="2399"/>
      <c r="AP30" s="5960">
        <f t="shared" si="10"/>
        <v>40483.400000000016</v>
      </c>
      <c r="AQ30" s="3180"/>
      <c r="AR30" s="6117">
        <f>5858.9-28.7</f>
        <v>5830.2</v>
      </c>
      <c r="AS30" s="2399"/>
      <c r="AT30" s="6113">
        <f t="shared" si="11"/>
        <v>46313.600000000013</v>
      </c>
      <c r="AU30" s="3180"/>
      <c r="AV30" s="6264">
        <f>4981.5-8.2</f>
        <v>4973.3</v>
      </c>
      <c r="AW30" s="6251"/>
      <c r="AX30" s="6251">
        <f t="shared" si="12"/>
        <v>51286.900000000016</v>
      </c>
      <c r="AY30" s="3180"/>
      <c r="AZ30" s="6436">
        <v>4270.1500000000005</v>
      </c>
      <c r="BA30" s="2636"/>
      <c r="BB30" s="2636">
        <f t="shared" si="3"/>
        <v>15073.650000000001</v>
      </c>
      <c r="BC30" s="662"/>
      <c r="BD30" s="662">
        <f t="shared" si="13"/>
        <v>28255.150000000009</v>
      </c>
      <c r="BE30" s="2399"/>
      <c r="BF30" s="6421">
        <f t="shared" si="14"/>
        <v>55557.050000000017</v>
      </c>
      <c r="BG30" s="26"/>
      <c r="BH30" s="26"/>
      <c r="BI30" s="26"/>
      <c r="BJ30" s="26"/>
      <c r="BK30" s="26"/>
      <c r="BL30" s="26"/>
      <c r="BM30" s="26"/>
      <c r="BN30" s="26"/>
    </row>
    <row r="31" spans="1:66" s="4712" customFormat="1" ht="16.5" thickBot="1" x14ac:dyDescent="0.3">
      <c r="A31" s="2255"/>
      <c r="B31" s="851" t="s">
        <v>74</v>
      </c>
      <c r="C31" s="3129" t="s">
        <v>972</v>
      </c>
      <c r="D31" s="3130" t="s">
        <v>50</v>
      </c>
      <c r="E31" s="3180"/>
      <c r="F31" s="5082">
        <v>75.849999999999994</v>
      </c>
      <c r="G31" s="3180"/>
      <c r="H31" s="7209"/>
      <c r="I31" s="5079"/>
      <c r="J31" s="43">
        <f t="shared" si="4"/>
        <v>75.849999999999994</v>
      </c>
      <c r="K31" s="3180"/>
      <c r="L31" s="5082"/>
      <c r="M31" s="5081"/>
      <c r="N31" s="5069">
        <f t="shared" si="5"/>
        <v>75.849999999999994</v>
      </c>
      <c r="O31" s="3180"/>
      <c r="P31" s="5082"/>
      <c r="Q31" s="5079"/>
      <c r="R31" s="5079"/>
      <c r="S31" s="3180"/>
      <c r="T31" s="5082"/>
      <c r="U31" s="5079"/>
      <c r="V31" s="5075">
        <f t="shared" si="7"/>
        <v>0</v>
      </c>
      <c r="W31" s="3180"/>
      <c r="X31" s="5082">
        <v>325.95</v>
      </c>
      <c r="Y31" s="3135"/>
      <c r="Z31" s="2636">
        <f t="shared" ref="Z31" si="15">P31+T31+X31</f>
        <v>325.95</v>
      </c>
      <c r="AA31" s="662"/>
      <c r="AB31" s="662">
        <f t="shared" ref="AB31" si="16">N31+Z31</f>
        <v>401.79999999999995</v>
      </c>
      <c r="AC31" s="3180"/>
      <c r="AD31" s="5437"/>
      <c r="AE31" s="5079"/>
      <c r="AF31" s="5456">
        <f t="shared" si="8"/>
        <v>401.79999999999995</v>
      </c>
      <c r="AG31" s="3180"/>
      <c r="AH31" s="5555"/>
      <c r="AI31" s="5553"/>
      <c r="AJ31" s="5535">
        <f t="shared" si="9"/>
        <v>401.79999999999995</v>
      </c>
      <c r="AK31" s="3180"/>
      <c r="AL31" s="5964"/>
      <c r="AM31" s="3135"/>
      <c r="AN31" s="2636">
        <f t="shared" si="2"/>
        <v>0</v>
      </c>
      <c r="AO31" s="5079"/>
      <c r="AP31" s="5960">
        <f t="shared" si="10"/>
        <v>401.79999999999995</v>
      </c>
      <c r="AQ31" s="3180"/>
      <c r="AR31" s="6117">
        <v>157.85</v>
      </c>
      <c r="AS31" s="5079"/>
      <c r="AT31" s="6113">
        <f t="shared" si="11"/>
        <v>559.65</v>
      </c>
      <c r="AU31" s="3180"/>
      <c r="AV31" s="6264"/>
      <c r="AW31" s="6256"/>
      <c r="AX31" s="6251">
        <f t="shared" si="12"/>
        <v>559.65</v>
      </c>
      <c r="AY31" s="3180"/>
      <c r="AZ31" s="6436"/>
      <c r="BA31" s="3135"/>
      <c r="BB31" s="2636">
        <f t="shared" si="3"/>
        <v>157.85</v>
      </c>
      <c r="BC31" s="5084"/>
      <c r="BD31" s="662">
        <f t="shared" si="13"/>
        <v>157.85</v>
      </c>
      <c r="BE31" s="5079"/>
      <c r="BF31" s="6421">
        <f t="shared" si="14"/>
        <v>559.65</v>
      </c>
      <c r="BG31" s="26"/>
      <c r="BH31" s="26"/>
      <c r="BI31" s="26"/>
      <c r="BJ31" s="26"/>
      <c r="BK31" s="26"/>
      <c r="BL31" s="26"/>
      <c r="BM31" s="26"/>
      <c r="BN31" s="26"/>
    </row>
    <row r="32" spans="1:66" ht="16.5" thickBot="1" x14ac:dyDescent="0.3">
      <c r="A32" s="2255"/>
      <c r="B32" s="851" t="s">
        <v>74</v>
      </c>
      <c r="C32" s="3129" t="s">
        <v>975</v>
      </c>
      <c r="D32" s="3130" t="s">
        <v>50</v>
      </c>
      <c r="E32" s="3180"/>
      <c r="F32" s="3132">
        <v>75.849999999999994</v>
      </c>
      <c r="G32" s="3180"/>
      <c r="H32" s="7209">
        <v>237.8</v>
      </c>
      <c r="I32" s="3133"/>
      <c r="J32" s="43">
        <f t="shared" si="4"/>
        <v>313.64999999999998</v>
      </c>
      <c r="K32" s="3180"/>
      <c r="L32" s="4603"/>
      <c r="M32" s="2249"/>
      <c r="N32" s="4594">
        <f t="shared" si="5"/>
        <v>313.64999999999998</v>
      </c>
      <c r="O32" s="3180"/>
      <c r="P32" s="4791">
        <v>67.650000000000006</v>
      </c>
      <c r="Q32" s="2250"/>
      <c r="R32" s="4773">
        <f t="shared" si="6"/>
        <v>381.29999999999995</v>
      </c>
      <c r="S32" s="3180"/>
      <c r="T32" s="3471">
        <v>190.65000000000003</v>
      </c>
      <c r="U32" s="4938"/>
      <c r="V32" s="4938">
        <f t="shared" si="7"/>
        <v>571.95000000000005</v>
      </c>
      <c r="W32" s="3180"/>
      <c r="X32" s="5082">
        <v>1080.3500000000001</v>
      </c>
      <c r="Y32" s="2252"/>
      <c r="Z32" s="2636">
        <f t="shared" si="0"/>
        <v>1338.65</v>
      </c>
      <c r="AA32" s="662"/>
      <c r="AB32" s="662">
        <f t="shared" si="1"/>
        <v>1652.3000000000002</v>
      </c>
      <c r="AC32" s="3180"/>
      <c r="AD32" s="5437"/>
      <c r="AE32" s="2399"/>
      <c r="AF32" s="5456">
        <f t="shared" si="8"/>
        <v>1652.3000000000002</v>
      </c>
      <c r="AG32" s="3180"/>
      <c r="AH32" s="5555"/>
      <c r="AI32" s="5535"/>
      <c r="AJ32" s="5535">
        <f t="shared" si="9"/>
        <v>1652.3000000000002</v>
      </c>
      <c r="AK32" s="3180"/>
      <c r="AL32" s="5964"/>
      <c r="AM32" s="2636"/>
      <c r="AN32" s="2636">
        <f t="shared" si="2"/>
        <v>0</v>
      </c>
      <c r="AO32" s="2399"/>
      <c r="AP32" s="5960">
        <f t="shared" si="10"/>
        <v>1652.3000000000002</v>
      </c>
      <c r="AQ32" s="3180"/>
      <c r="AR32" s="6117">
        <v>172.20000000000002</v>
      </c>
      <c r="AS32" s="2399"/>
      <c r="AT32" s="6113">
        <f t="shared" si="11"/>
        <v>1824.5000000000002</v>
      </c>
      <c r="AU32" s="3180"/>
      <c r="AV32" s="6264">
        <v>709.29999999999984</v>
      </c>
      <c r="AW32" s="6251"/>
      <c r="AX32" s="6251">
        <f t="shared" si="12"/>
        <v>2533.8000000000002</v>
      </c>
      <c r="AY32" s="3180"/>
      <c r="AZ32" s="6436">
        <v>442.7999999999999</v>
      </c>
      <c r="BA32" s="2636"/>
      <c r="BB32" s="2636">
        <f t="shared" si="3"/>
        <v>1324.2999999999997</v>
      </c>
      <c r="BC32" s="662"/>
      <c r="BD32" s="662">
        <f t="shared" si="13"/>
        <v>1324.2999999999997</v>
      </c>
      <c r="BE32" s="2399"/>
      <c r="BF32" s="6421">
        <f t="shared" si="14"/>
        <v>2976.6</v>
      </c>
      <c r="BG32" s="26"/>
      <c r="BH32" s="26"/>
      <c r="BI32" s="26"/>
      <c r="BJ32" s="26"/>
      <c r="BK32" s="26"/>
      <c r="BL32" s="26"/>
      <c r="BM32" s="26"/>
      <c r="BN32" s="26"/>
    </row>
    <row r="33" spans="1:66" ht="16.5" thickBot="1" x14ac:dyDescent="0.3">
      <c r="A33" s="2255"/>
      <c r="B33" s="851" t="s">
        <v>74</v>
      </c>
      <c r="C33" s="3129" t="s">
        <v>974</v>
      </c>
      <c r="D33" s="3130" t="s">
        <v>50</v>
      </c>
      <c r="E33" s="3180"/>
      <c r="F33" s="3132"/>
      <c r="G33" s="3180"/>
      <c r="H33" s="7209">
        <v>426.4</v>
      </c>
      <c r="I33" s="3133"/>
      <c r="J33" s="43">
        <f t="shared" si="4"/>
        <v>426.4</v>
      </c>
      <c r="K33" s="3180"/>
      <c r="L33" s="4603">
        <f>551.45-2.05</f>
        <v>549.40000000000009</v>
      </c>
      <c r="M33" s="2249"/>
      <c r="N33" s="4594">
        <f t="shared" si="5"/>
        <v>975.80000000000007</v>
      </c>
      <c r="O33" s="3180"/>
      <c r="P33" s="4791">
        <v>483.8</v>
      </c>
      <c r="Q33" s="2250"/>
      <c r="R33" s="4773">
        <f t="shared" si="6"/>
        <v>1459.6000000000001</v>
      </c>
      <c r="S33" s="3180"/>
      <c r="T33" s="3471">
        <v>869.19999999999993</v>
      </c>
      <c r="U33" s="4938"/>
      <c r="V33" s="4938">
        <f t="shared" si="7"/>
        <v>2328.8000000000002</v>
      </c>
      <c r="W33" s="3180"/>
      <c r="X33" s="3471">
        <v>94.3</v>
      </c>
      <c r="Y33" s="2252"/>
      <c r="Z33" s="2636">
        <f t="shared" si="0"/>
        <v>1447.3</v>
      </c>
      <c r="AA33" s="662"/>
      <c r="AB33" s="662">
        <f t="shared" si="1"/>
        <v>2423.1</v>
      </c>
      <c r="AC33" s="3180"/>
      <c r="AD33" s="5437">
        <v>170.15</v>
      </c>
      <c r="AE33" s="2399"/>
      <c r="AF33" s="5456">
        <f t="shared" si="8"/>
        <v>2593.25</v>
      </c>
      <c r="AG33" s="3180"/>
      <c r="AH33" s="5555"/>
      <c r="AI33" s="5535"/>
      <c r="AJ33" s="5535">
        <f t="shared" si="9"/>
        <v>2593.25</v>
      </c>
      <c r="AK33" s="3180"/>
      <c r="AL33" s="5964"/>
      <c r="AM33" s="2636"/>
      <c r="AN33" s="2636">
        <f t="shared" si="2"/>
        <v>170.15</v>
      </c>
      <c r="AO33" s="2399"/>
      <c r="AP33" s="5960">
        <f t="shared" si="10"/>
        <v>2593.25</v>
      </c>
      <c r="AQ33" s="3180"/>
      <c r="AR33" s="6117">
        <v>309.55</v>
      </c>
      <c r="AS33" s="2399"/>
      <c r="AT33" s="6113">
        <f t="shared" si="11"/>
        <v>2902.8</v>
      </c>
      <c r="AU33" s="3180"/>
      <c r="AV33" s="6264">
        <v>487.90000000000003</v>
      </c>
      <c r="AW33" s="6251"/>
      <c r="AX33" s="6251">
        <f t="shared" si="12"/>
        <v>3390.7000000000003</v>
      </c>
      <c r="AY33" s="3180"/>
      <c r="AZ33" s="6436">
        <v>676.49999999999989</v>
      </c>
      <c r="BA33" s="2636"/>
      <c r="BB33" s="2636">
        <f t="shared" si="3"/>
        <v>1473.9499999999998</v>
      </c>
      <c r="BC33" s="662"/>
      <c r="BD33" s="662">
        <f t="shared" si="13"/>
        <v>1644.1</v>
      </c>
      <c r="BE33" s="2399"/>
      <c r="BF33" s="6421">
        <f t="shared" si="14"/>
        <v>4067.2000000000003</v>
      </c>
      <c r="BG33" s="26"/>
      <c r="BH33" s="26"/>
      <c r="BI33" s="26"/>
      <c r="BJ33" s="26"/>
      <c r="BK33" s="26"/>
      <c r="BL33" s="26"/>
      <c r="BM33" s="26"/>
      <c r="BN33" s="26"/>
    </row>
    <row r="34" spans="1:66" s="4712" customFormat="1" ht="16.5" thickBot="1" x14ac:dyDescent="0.3">
      <c r="A34" s="2255"/>
      <c r="B34" s="851" t="s">
        <v>74</v>
      </c>
      <c r="C34" s="3129" t="s">
        <v>1138</v>
      </c>
      <c r="D34" s="3130" t="s">
        <v>50</v>
      </c>
      <c r="E34" s="3180"/>
      <c r="F34" s="4991"/>
      <c r="G34" s="3180"/>
      <c r="H34" s="7209"/>
      <c r="I34" s="4988"/>
      <c r="J34" s="43">
        <f t="shared" si="4"/>
        <v>0</v>
      </c>
      <c r="K34" s="3180"/>
      <c r="L34" s="4991"/>
      <c r="M34" s="4989"/>
      <c r="N34" s="4989"/>
      <c r="O34" s="3180"/>
      <c r="P34" s="4991"/>
      <c r="Q34" s="4988"/>
      <c r="R34" s="4988"/>
      <c r="S34" s="3180"/>
      <c r="T34" s="3471">
        <v>116.85</v>
      </c>
      <c r="U34" s="4988"/>
      <c r="V34" s="4982">
        <f t="shared" si="7"/>
        <v>116.85</v>
      </c>
      <c r="W34" s="3180"/>
      <c r="X34" s="3471"/>
      <c r="Y34" s="3135"/>
      <c r="Z34" s="2636">
        <f t="shared" si="0"/>
        <v>116.85</v>
      </c>
      <c r="AA34" s="4992"/>
      <c r="AB34" s="662">
        <f t="shared" si="1"/>
        <v>116.85</v>
      </c>
      <c r="AC34" s="3180"/>
      <c r="AD34" s="5437"/>
      <c r="AE34" s="4988"/>
      <c r="AF34" s="5456">
        <f t="shared" si="8"/>
        <v>116.85</v>
      </c>
      <c r="AG34" s="3180"/>
      <c r="AH34" s="5555"/>
      <c r="AI34" s="5553"/>
      <c r="AJ34" s="5535">
        <f t="shared" si="9"/>
        <v>116.85</v>
      </c>
      <c r="AK34" s="3180"/>
      <c r="AL34" s="5964"/>
      <c r="AM34" s="3135"/>
      <c r="AN34" s="2636">
        <f t="shared" si="2"/>
        <v>0</v>
      </c>
      <c r="AO34" s="4988"/>
      <c r="AP34" s="5960">
        <f t="shared" si="10"/>
        <v>116.85</v>
      </c>
      <c r="AQ34" s="3180"/>
      <c r="AR34" s="6117"/>
      <c r="AS34" s="4988"/>
      <c r="AT34" s="6113">
        <f t="shared" si="11"/>
        <v>116.85</v>
      </c>
      <c r="AU34" s="3180"/>
      <c r="AV34" s="6264"/>
      <c r="AW34" s="6256"/>
      <c r="AX34" s="6251">
        <f t="shared" si="12"/>
        <v>116.85</v>
      </c>
      <c r="AY34" s="3180"/>
      <c r="AZ34" s="6436"/>
      <c r="BA34" s="3135"/>
      <c r="BB34" s="2636">
        <f t="shared" si="3"/>
        <v>0</v>
      </c>
      <c r="BC34" s="4992"/>
      <c r="BD34" s="662">
        <f t="shared" si="13"/>
        <v>0</v>
      </c>
      <c r="BE34" s="4988"/>
      <c r="BF34" s="6421">
        <f t="shared" si="14"/>
        <v>116.85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A35" s="2255"/>
      <c r="B35" s="851" t="s">
        <v>74</v>
      </c>
      <c r="C35" s="3129" t="s">
        <v>976</v>
      </c>
      <c r="D35" s="3130" t="s">
        <v>50</v>
      </c>
      <c r="E35" s="3180"/>
      <c r="F35" s="3132"/>
      <c r="G35" s="3180"/>
      <c r="H35" s="7209">
        <v>535.05000000000007</v>
      </c>
      <c r="I35" s="3133"/>
      <c r="J35" s="43">
        <f t="shared" si="4"/>
        <v>535.05000000000007</v>
      </c>
      <c r="K35" s="3180"/>
      <c r="L35" s="4603">
        <v>178.35</v>
      </c>
      <c r="M35" s="2249"/>
      <c r="N35" s="4594">
        <f t="shared" si="5"/>
        <v>713.40000000000009</v>
      </c>
      <c r="O35" s="3180"/>
      <c r="P35" s="4791">
        <v>467.40000000000003</v>
      </c>
      <c r="Q35" s="2250"/>
      <c r="R35" s="4773">
        <f t="shared" si="6"/>
        <v>1180.8000000000002</v>
      </c>
      <c r="S35" s="3180"/>
      <c r="T35" s="3471">
        <v>1502.65</v>
      </c>
      <c r="U35" s="4938"/>
      <c r="V35" s="4938">
        <f t="shared" si="7"/>
        <v>2683.4500000000003</v>
      </c>
      <c r="W35" s="3180"/>
      <c r="X35" s="3471">
        <v>293.15000000000003</v>
      </c>
      <c r="Y35" s="2252"/>
      <c r="Z35" s="2636">
        <f t="shared" si="0"/>
        <v>2263.2000000000003</v>
      </c>
      <c r="AA35" s="662"/>
      <c r="AB35" s="662">
        <f t="shared" si="1"/>
        <v>2976.6000000000004</v>
      </c>
      <c r="AC35" s="3180"/>
      <c r="AD35" s="5437">
        <v>151.70000000000002</v>
      </c>
      <c r="AE35" s="2399"/>
      <c r="AF35" s="5456">
        <f t="shared" si="8"/>
        <v>3128.3</v>
      </c>
      <c r="AG35" s="3180"/>
      <c r="AH35" s="5555"/>
      <c r="AI35" s="5535"/>
      <c r="AJ35" s="5535">
        <f t="shared" si="9"/>
        <v>3128.3</v>
      </c>
      <c r="AK35" s="3180"/>
      <c r="AL35" s="5964">
        <v>1150.05</v>
      </c>
      <c r="AM35" s="2636"/>
      <c r="AN35" s="2636">
        <f t="shared" si="2"/>
        <v>1301.75</v>
      </c>
      <c r="AO35" s="2399"/>
      <c r="AP35" s="5960">
        <f t="shared" si="10"/>
        <v>4278.3500000000004</v>
      </c>
      <c r="AQ35" s="3180"/>
      <c r="AR35" s="6117">
        <v>334.15000000000003</v>
      </c>
      <c r="AS35" s="2399"/>
      <c r="AT35" s="6113">
        <f t="shared" si="11"/>
        <v>4612.5</v>
      </c>
      <c r="AU35" s="3180"/>
      <c r="AV35" s="6264">
        <v>908.14999999999975</v>
      </c>
      <c r="AW35" s="6251"/>
      <c r="AX35" s="6251">
        <f t="shared" si="12"/>
        <v>5520.65</v>
      </c>
      <c r="AY35" s="3180"/>
      <c r="AZ35" s="6436">
        <v>834.35</v>
      </c>
      <c r="BA35" s="2636"/>
      <c r="BB35" s="2636">
        <f t="shared" si="3"/>
        <v>2076.6499999999996</v>
      </c>
      <c r="BC35" s="662"/>
      <c r="BD35" s="662">
        <f t="shared" si="13"/>
        <v>3378.3999999999996</v>
      </c>
      <c r="BE35" s="2399"/>
      <c r="BF35" s="6421">
        <f t="shared" si="14"/>
        <v>6355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A36" s="2255"/>
      <c r="B36" s="851" t="s">
        <v>74</v>
      </c>
      <c r="C36" s="3129" t="s">
        <v>1142</v>
      </c>
      <c r="D36" s="3130" t="s">
        <v>50</v>
      </c>
      <c r="E36" s="3180"/>
      <c r="F36" s="3132"/>
      <c r="G36" s="3180"/>
      <c r="H36" s="7209"/>
      <c r="I36" s="3133"/>
      <c r="J36" s="43">
        <f t="shared" si="4"/>
        <v>0</v>
      </c>
      <c r="K36" s="3180"/>
      <c r="L36" s="4603"/>
      <c r="M36" s="2628"/>
      <c r="N36" s="4594">
        <f t="shared" si="5"/>
        <v>0</v>
      </c>
      <c r="O36" s="3180"/>
      <c r="P36" s="4791"/>
      <c r="Q36" s="2399"/>
      <c r="R36" s="4773">
        <f t="shared" si="6"/>
        <v>0</v>
      </c>
      <c r="S36" s="3180"/>
      <c r="T36" s="4945"/>
      <c r="U36" s="4938"/>
      <c r="V36" s="4938">
        <f t="shared" si="7"/>
        <v>0</v>
      </c>
      <c r="W36" s="3180"/>
      <c r="X36" s="5082">
        <f>143.5+6.15</f>
        <v>149.65</v>
      </c>
      <c r="Y36" s="2632"/>
      <c r="Z36" s="2636">
        <f t="shared" si="0"/>
        <v>149.65</v>
      </c>
      <c r="AA36" s="662"/>
      <c r="AB36" s="662">
        <f t="shared" si="1"/>
        <v>149.65</v>
      </c>
      <c r="AC36" s="3180"/>
      <c r="AD36" s="5437"/>
      <c r="AE36" s="2399"/>
      <c r="AF36" s="5456">
        <f t="shared" si="8"/>
        <v>149.65</v>
      </c>
      <c r="AG36" s="3180"/>
      <c r="AH36" s="5555"/>
      <c r="AI36" s="5535"/>
      <c r="AJ36" s="5535">
        <f t="shared" si="9"/>
        <v>149.65</v>
      </c>
      <c r="AK36" s="3180"/>
      <c r="AL36" s="5964"/>
      <c r="AM36" s="2636"/>
      <c r="AN36" s="2636">
        <f t="shared" si="2"/>
        <v>0</v>
      </c>
      <c r="AO36" s="2399"/>
      <c r="AP36" s="5960">
        <f t="shared" si="10"/>
        <v>149.65</v>
      </c>
      <c r="AQ36" s="3180"/>
      <c r="AR36" s="6117">
        <v>149.65</v>
      </c>
      <c r="AS36" s="2399"/>
      <c r="AT36" s="6113">
        <f t="shared" si="11"/>
        <v>299.3</v>
      </c>
      <c r="AU36" s="3180"/>
      <c r="AV36" s="6264">
        <v>10.25</v>
      </c>
      <c r="AW36" s="6251"/>
      <c r="AX36" s="6251">
        <f t="shared" si="12"/>
        <v>309.55</v>
      </c>
      <c r="AY36" s="3180"/>
      <c r="AZ36" s="6436"/>
      <c r="BA36" s="2636"/>
      <c r="BB36" s="2636">
        <f t="shared" si="3"/>
        <v>159.9</v>
      </c>
      <c r="BC36" s="662"/>
      <c r="BD36" s="662">
        <f t="shared" si="13"/>
        <v>159.9</v>
      </c>
      <c r="BE36" s="2399"/>
      <c r="BF36" s="6421">
        <f t="shared" si="14"/>
        <v>309.55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A37" s="2255"/>
      <c r="B37" s="851" t="s">
        <v>74</v>
      </c>
      <c r="C37" s="3129" t="s">
        <v>1143</v>
      </c>
      <c r="D37" s="3130" t="s">
        <v>50</v>
      </c>
      <c r="E37" s="3180"/>
      <c r="F37" s="3132">
        <v>1670.75</v>
      </c>
      <c r="G37" s="3180"/>
      <c r="H37" s="7209"/>
      <c r="I37" s="3133"/>
      <c r="J37" s="43">
        <f t="shared" si="4"/>
        <v>1670.75</v>
      </c>
      <c r="K37" s="3180"/>
      <c r="L37" s="4603">
        <f>707.25-2.05-2.05</f>
        <v>703.15000000000009</v>
      </c>
      <c r="M37" s="2679"/>
      <c r="N37" s="4594">
        <f t="shared" si="5"/>
        <v>2373.9</v>
      </c>
      <c r="O37" s="3180"/>
      <c r="P37" s="4791">
        <v>461.24999999999994</v>
      </c>
      <c r="Q37" s="2399"/>
      <c r="R37" s="4773">
        <f t="shared" si="6"/>
        <v>2835.15</v>
      </c>
      <c r="S37" s="3180"/>
      <c r="T37" s="3471">
        <v>776.94999999999993</v>
      </c>
      <c r="U37" s="4938"/>
      <c r="V37" s="4938">
        <f t="shared" si="7"/>
        <v>3612.1</v>
      </c>
      <c r="W37" s="3180"/>
      <c r="X37" s="3471">
        <f>904.05-6.15</f>
        <v>897.9</v>
      </c>
      <c r="Y37" s="2636"/>
      <c r="Z37" s="2636">
        <f t="shared" si="0"/>
        <v>2136.1</v>
      </c>
      <c r="AA37" s="662"/>
      <c r="AB37" s="662">
        <f t="shared" si="1"/>
        <v>4510</v>
      </c>
      <c r="AC37" s="3180"/>
      <c r="AD37" s="5437">
        <f>1285.35-2.05</f>
        <v>1283.3</v>
      </c>
      <c r="AE37" s="2399"/>
      <c r="AF37" s="5456">
        <f t="shared" si="8"/>
        <v>5793.3</v>
      </c>
      <c r="AG37" s="3180"/>
      <c r="AH37" s="5555"/>
      <c r="AI37" s="5535"/>
      <c r="AJ37" s="5535">
        <f t="shared" si="9"/>
        <v>5793.3</v>
      </c>
      <c r="AK37" s="3180"/>
      <c r="AL37" s="5964">
        <v>844.59999999999991</v>
      </c>
      <c r="AM37" s="2636"/>
      <c r="AN37" s="2636">
        <f t="shared" si="2"/>
        <v>2127.8999999999996</v>
      </c>
      <c r="AO37" s="2399"/>
      <c r="AP37" s="5960">
        <f t="shared" si="10"/>
        <v>6637.9</v>
      </c>
      <c r="AQ37" s="3180"/>
      <c r="AR37" s="6117">
        <f>779-149.65</f>
        <v>629.35</v>
      </c>
      <c r="AS37" s="2399"/>
      <c r="AT37" s="6113">
        <f t="shared" si="11"/>
        <v>7267.25</v>
      </c>
      <c r="AU37" s="3180"/>
      <c r="AV37" s="6264">
        <f>711.35-10.25</f>
        <v>701.1</v>
      </c>
      <c r="AW37" s="6251"/>
      <c r="AX37" s="6251">
        <f t="shared" si="12"/>
        <v>7968.35</v>
      </c>
      <c r="AY37" s="3180"/>
      <c r="AZ37" s="6436">
        <v>908.15000000000009</v>
      </c>
      <c r="BA37" s="2636"/>
      <c r="BB37" s="2636">
        <f t="shared" si="3"/>
        <v>2238.6000000000004</v>
      </c>
      <c r="BC37" s="662"/>
      <c r="BD37" s="662">
        <f t="shared" si="13"/>
        <v>4366.5</v>
      </c>
      <c r="BE37" s="2399"/>
      <c r="BF37" s="6421">
        <f t="shared" si="14"/>
        <v>8876.5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2255"/>
      <c r="B38" s="851" t="s">
        <v>74</v>
      </c>
      <c r="C38" s="3129" t="s">
        <v>1626</v>
      </c>
      <c r="D38" s="3130" t="s">
        <v>50</v>
      </c>
      <c r="E38" s="3180"/>
      <c r="F38" s="3132">
        <v>627.29999999999995</v>
      </c>
      <c r="G38" s="3180"/>
      <c r="H38" s="7209"/>
      <c r="I38" s="3133"/>
      <c r="J38" s="43">
        <f t="shared" si="4"/>
        <v>627.29999999999995</v>
      </c>
      <c r="K38" s="3180"/>
      <c r="L38" s="4603"/>
      <c r="M38" s="2249"/>
      <c r="N38" s="4594">
        <f t="shared" si="5"/>
        <v>627.29999999999995</v>
      </c>
      <c r="O38" s="3180"/>
      <c r="P38" s="4791"/>
      <c r="Q38" s="2250"/>
      <c r="R38" s="4773">
        <f t="shared" si="6"/>
        <v>627.29999999999995</v>
      </c>
      <c r="S38" s="3180"/>
      <c r="T38" s="4945"/>
      <c r="U38" s="4938"/>
      <c r="V38" s="4938">
        <f t="shared" si="7"/>
        <v>627.29999999999995</v>
      </c>
      <c r="W38" s="3180"/>
      <c r="X38" s="5082"/>
      <c r="Y38" s="2252"/>
      <c r="Z38" s="2636">
        <f t="shared" si="0"/>
        <v>0</v>
      </c>
      <c r="AA38" s="662"/>
      <c r="AB38" s="662">
        <f t="shared" si="1"/>
        <v>627.29999999999995</v>
      </c>
      <c r="AC38" s="3180"/>
      <c r="AD38" s="5437"/>
      <c r="AE38" s="2399"/>
      <c r="AF38" s="5456">
        <f t="shared" si="8"/>
        <v>627.29999999999995</v>
      </c>
      <c r="AG38" s="3180"/>
      <c r="AH38" s="5555"/>
      <c r="AI38" s="5535"/>
      <c r="AJ38" s="5535">
        <f t="shared" si="9"/>
        <v>627.29999999999995</v>
      </c>
      <c r="AK38" s="3180"/>
      <c r="AL38" s="5964"/>
      <c r="AM38" s="2636"/>
      <c r="AN38" s="2636">
        <f t="shared" si="2"/>
        <v>0</v>
      </c>
      <c r="AO38" s="2399"/>
      <c r="AP38" s="5960">
        <f t="shared" si="10"/>
        <v>627.29999999999995</v>
      </c>
      <c r="AQ38" s="3180"/>
      <c r="AR38" s="6117">
        <f>57.4-2.05</f>
        <v>55.35</v>
      </c>
      <c r="AS38" s="2399"/>
      <c r="AT38" s="6113">
        <f t="shared" si="11"/>
        <v>682.65</v>
      </c>
      <c r="AU38" s="3180"/>
      <c r="AV38" s="6264"/>
      <c r="AW38" s="6251"/>
      <c r="AX38" s="6251">
        <f t="shared" si="12"/>
        <v>682.65</v>
      </c>
      <c r="AY38" s="3180"/>
      <c r="AZ38" s="6436"/>
      <c r="BA38" s="2636"/>
      <c r="BB38" s="2636">
        <f t="shared" si="3"/>
        <v>55.35</v>
      </c>
      <c r="BC38" s="662"/>
      <c r="BD38" s="662">
        <f t="shared" si="13"/>
        <v>55.35</v>
      </c>
      <c r="BE38" s="2399"/>
      <c r="BF38" s="6421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5" thickBot="1" x14ac:dyDescent="0.3">
      <c r="A39" s="2255"/>
      <c r="B39" s="851" t="s">
        <v>74</v>
      </c>
      <c r="C39" s="3129" t="s">
        <v>1627</v>
      </c>
      <c r="D39" s="3130" t="s">
        <v>50</v>
      </c>
      <c r="E39" s="3180"/>
      <c r="F39" s="3132"/>
      <c r="G39" s="3180"/>
      <c r="H39" s="7209"/>
      <c r="I39" s="3133"/>
      <c r="J39" s="43">
        <f t="shared" si="4"/>
        <v>0</v>
      </c>
      <c r="K39" s="3180"/>
      <c r="L39" s="4603"/>
      <c r="M39" s="2249"/>
      <c r="N39" s="4594">
        <f t="shared" si="5"/>
        <v>0</v>
      </c>
      <c r="O39" s="3180"/>
      <c r="P39" s="4791"/>
      <c r="Q39" s="2250"/>
      <c r="R39" s="4773">
        <f t="shared" si="6"/>
        <v>0</v>
      </c>
      <c r="S39" s="3180"/>
      <c r="T39" s="4945"/>
      <c r="U39" s="4938"/>
      <c r="V39" s="4938">
        <f t="shared" si="7"/>
        <v>0</v>
      </c>
      <c r="W39" s="3180"/>
      <c r="X39" s="5082"/>
      <c r="Y39" s="2252"/>
      <c r="Z39" s="2636">
        <f t="shared" si="0"/>
        <v>0</v>
      </c>
      <c r="AA39" s="662"/>
      <c r="AB39" s="662">
        <f t="shared" si="1"/>
        <v>0</v>
      </c>
      <c r="AC39" s="3180"/>
      <c r="AD39" s="5437"/>
      <c r="AE39" s="2399"/>
      <c r="AF39" s="5456">
        <f t="shared" si="8"/>
        <v>0</v>
      </c>
      <c r="AG39" s="3180"/>
      <c r="AH39" s="5555"/>
      <c r="AI39" s="5535"/>
      <c r="AJ39" s="5535">
        <f t="shared" si="9"/>
        <v>0</v>
      </c>
      <c r="AK39" s="3180"/>
      <c r="AL39" s="5964"/>
      <c r="AM39" s="2636"/>
      <c r="AN39" s="2636">
        <f t="shared" si="2"/>
        <v>0</v>
      </c>
      <c r="AO39" s="2399"/>
      <c r="AP39" s="5960">
        <f t="shared" si="10"/>
        <v>0</v>
      </c>
      <c r="AQ39" s="3180"/>
      <c r="AR39" s="6117"/>
      <c r="AS39" s="2399"/>
      <c r="AT39" s="6113">
        <f t="shared" si="11"/>
        <v>0</v>
      </c>
      <c r="AU39" s="3180"/>
      <c r="AV39" s="6264"/>
      <c r="AW39" s="6251"/>
      <c r="AX39" s="6251">
        <f t="shared" si="12"/>
        <v>0</v>
      </c>
      <c r="AY39" s="3180"/>
      <c r="AZ39" s="6436"/>
      <c r="BA39" s="2636"/>
      <c r="BB39" s="2636">
        <f t="shared" si="3"/>
        <v>0</v>
      </c>
      <c r="BC39" s="662"/>
      <c r="BD39" s="662">
        <f t="shared" si="13"/>
        <v>0</v>
      </c>
      <c r="BE39" s="2399"/>
      <c r="BF39" s="6421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A40" s="2255"/>
      <c r="B40" s="851" t="s">
        <v>74</v>
      </c>
      <c r="C40" s="3129" t="s">
        <v>1535</v>
      </c>
      <c r="D40" s="3130" t="s">
        <v>50</v>
      </c>
      <c r="E40" s="3180"/>
      <c r="F40" s="3132"/>
      <c r="G40" s="3180"/>
      <c r="H40" s="7209"/>
      <c r="I40" s="3133"/>
      <c r="J40" s="43">
        <f t="shared" si="4"/>
        <v>0</v>
      </c>
      <c r="K40" s="3180"/>
      <c r="L40" s="4603"/>
      <c r="M40" s="2249"/>
      <c r="N40" s="4594">
        <f t="shared" si="5"/>
        <v>0</v>
      </c>
      <c r="O40" s="3180"/>
      <c r="P40" s="4791"/>
      <c r="Q40" s="2250"/>
      <c r="R40" s="4773">
        <f t="shared" si="6"/>
        <v>0</v>
      </c>
      <c r="S40" s="3180"/>
      <c r="T40" s="4945"/>
      <c r="U40" s="4938"/>
      <c r="V40" s="4938">
        <f t="shared" si="7"/>
        <v>0</v>
      </c>
      <c r="W40" s="3180"/>
      <c r="X40" s="5082"/>
      <c r="Y40" s="2252"/>
      <c r="Z40" s="2636">
        <f t="shared" si="0"/>
        <v>0</v>
      </c>
      <c r="AA40" s="662"/>
      <c r="AB40" s="662">
        <f t="shared" si="1"/>
        <v>0</v>
      </c>
      <c r="AC40" s="3180"/>
      <c r="AD40" s="5437"/>
      <c r="AE40" s="2399"/>
      <c r="AF40" s="5456">
        <f t="shared" si="8"/>
        <v>0</v>
      </c>
      <c r="AG40" s="3180"/>
      <c r="AH40" s="5555"/>
      <c r="AI40" s="5535"/>
      <c r="AJ40" s="5535">
        <f t="shared" si="9"/>
        <v>0</v>
      </c>
      <c r="AK40" s="3180"/>
      <c r="AL40" s="5964"/>
      <c r="AM40" s="2636"/>
      <c r="AN40" s="2636">
        <f t="shared" si="2"/>
        <v>0</v>
      </c>
      <c r="AO40" s="2399"/>
      <c r="AP40" s="5960">
        <f t="shared" si="10"/>
        <v>0</v>
      </c>
      <c r="AQ40" s="3180"/>
      <c r="AR40" s="6117"/>
      <c r="AS40" s="2399"/>
      <c r="AT40" s="6113">
        <f t="shared" si="11"/>
        <v>0</v>
      </c>
      <c r="AU40" s="3180"/>
      <c r="AV40" s="6264"/>
      <c r="AW40" s="6251"/>
      <c r="AX40" s="6251">
        <f t="shared" si="12"/>
        <v>0</v>
      </c>
      <c r="AY40" s="3180"/>
      <c r="AZ40" s="6436"/>
      <c r="BA40" s="2636"/>
      <c r="BB40" s="2636">
        <f t="shared" si="3"/>
        <v>0</v>
      </c>
      <c r="BC40" s="662"/>
      <c r="BD40" s="662">
        <f t="shared" si="13"/>
        <v>0</v>
      </c>
      <c r="BE40" s="2399"/>
      <c r="BF40" s="6421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A41" s="2255"/>
      <c r="B41" s="851" t="s">
        <v>74</v>
      </c>
      <c r="C41" s="3129" t="s">
        <v>1475</v>
      </c>
      <c r="D41" s="3130" t="s">
        <v>50</v>
      </c>
      <c r="E41" s="3180"/>
      <c r="F41" s="3132"/>
      <c r="G41" s="3180"/>
      <c r="H41" s="7209"/>
      <c r="I41" s="3133"/>
      <c r="J41" s="43">
        <f t="shared" si="4"/>
        <v>0</v>
      </c>
      <c r="K41" s="3180"/>
      <c r="L41" s="4603"/>
      <c r="M41" s="2249"/>
      <c r="N41" s="4594">
        <f t="shared" si="5"/>
        <v>0</v>
      </c>
      <c r="O41" s="3180"/>
      <c r="P41" s="4791"/>
      <c r="Q41" s="2250"/>
      <c r="R41" s="4773">
        <f t="shared" si="6"/>
        <v>0</v>
      </c>
      <c r="S41" s="3180"/>
      <c r="T41" s="4945"/>
      <c r="U41" s="4938"/>
      <c r="V41" s="4938">
        <f t="shared" si="7"/>
        <v>0</v>
      </c>
      <c r="W41" s="3180"/>
      <c r="X41" s="5082"/>
      <c r="Y41" s="2252"/>
      <c r="Z41" s="2636">
        <f t="shared" si="0"/>
        <v>0</v>
      </c>
      <c r="AA41" s="662"/>
      <c r="AB41" s="662">
        <f t="shared" si="1"/>
        <v>0</v>
      </c>
      <c r="AC41" s="3180"/>
      <c r="AD41" s="5437"/>
      <c r="AE41" s="2399"/>
      <c r="AF41" s="5456">
        <f t="shared" si="8"/>
        <v>0</v>
      </c>
      <c r="AG41" s="3180"/>
      <c r="AH41" s="5555"/>
      <c r="AI41" s="5535"/>
      <c r="AJ41" s="5535">
        <f t="shared" si="9"/>
        <v>0</v>
      </c>
      <c r="AK41" s="3180"/>
      <c r="AL41" s="5964"/>
      <c r="AM41" s="2636"/>
      <c r="AN41" s="2636">
        <f t="shared" si="2"/>
        <v>0</v>
      </c>
      <c r="AO41" s="2399"/>
      <c r="AP41" s="5960">
        <f t="shared" si="10"/>
        <v>0</v>
      </c>
      <c r="AQ41" s="3180"/>
      <c r="AR41" s="6117"/>
      <c r="AS41" s="2399"/>
      <c r="AT41" s="6113">
        <f t="shared" si="11"/>
        <v>0</v>
      </c>
      <c r="AU41" s="3180"/>
      <c r="AV41" s="6264"/>
      <c r="AW41" s="6251"/>
      <c r="AX41" s="6251">
        <f t="shared" si="12"/>
        <v>0</v>
      </c>
      <c r="AY41" s="3180"/>
      <c r="AZ41" s="6436"/>
      <c r="BA41" s="2636"/>
      <c r="BB41" s="2636">
        <f t="shared" si="3"/>
        <v>0</v>
      </c>
      <c r="BC41" s="662"/>
      <c r="BD41" s="662">
        <f t="shared" si="13"/>
        <v>0</v>
      </c>
      <c r="BE41" s="2399"/>
      <c r="BF41" s="6421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55"/>
      <c r="B42" s="3456" t="s">
        <v>74</v>
      </c>
      <c r="C42" s="3457" t="s">
        <v>1477</v>
      </c>
      <c r="D42" s="3458" t="s">
        <v>50</v>
      </c>
      <c r="E42" s="3461"/>
      <c r="F42" s="109"/>
      <c r="G42" s="3461"/>
      <c r="H42" s="109"/>
      <c r="I42" s="589"/>
      <c r="J42" s="43">
        <f t="shared" si="4"/>
        <v>0</v>
      </c>
      <c r="K42" s="3461"/>
      <c r="L42" s="109"/>
      <c r="M42" s="2249"/>
      <c r="N42" s="4594">
        <f t="shared" si="5"/>
        <v>0</v>
      </c>
      <c r="O42" s="3461"/>
      <c r="P42" s="109"/>
      <c r="Q42" s="2250"/>
      <c r="R42" s="4773">
        <f t="shared" si="6"/>
        <v>0</v>
      </c>
      <c r="S42" s="3461"/>
      <c r="T42" s="109"/>
      <c r="U42" s="4938"/>
      <c r="V42" s="4938">
        <f t="shared" si="7"/>
        <v>0</v>
      </c>
      <c r="W42" s="3461"/>
      <c r="X42" s="109"/>
      <c r="Y42" s="2252"/>
      <c r="Z42" s="2636">
        <f t="shared" si="0"/>
        <v>0</v>
      </c>
      <c r="AA42" s="662"/>
      <c r="AB42" s="662">
        <f t="shared" si="1"/>
        <v>0</v>
      </c>
      <c r="AC42" s="3461"/>
      <c r="AD42" s="109"/>
      <c r="AE42" s="2399"/>
      <c r="AF42" s="5456">
        <f t="shared" si="8"/>
        <v>0</v>
      </c>
      <c r="AG42" s="3461"/>
      <c r="AH42" s="109"/>
      <c r="AI42" s="5535"/>
      <c r="AJ42" s="5535">
        <f t="shared" si="9"/>
        <v>0</v>
      </c>
      <c r="AK42" s="3461"/>
      <c r="AL42" s="109"/>
      <c r="AM42" s="2636"/>
      <c r="AN42" s="2636">
        <f t="shared" si="2"/>
        <v>0</v>
      </c>
      <c r="AO42" s="2399"/>
      <c r="AP42" s="5960">
        <f t="shared" si="10"/>
        <v>0</v>
      </c>
      <c r="AQ42" s="3461"/>
      <c r="AR42" s="109"/>
      <c r="AS42" s="2399"/>
      <c r="AT42" s="6113">
        <f t="shared" si="11"/>
        <v>0</v>
      </c>
      <c r="AU42" s="3461"/>
      <c r="AV42" s="109"/>
      <c r="AW42" s="6251"/>
      <c r="AX42" s="6251">
        <f t="shared" si="12"/>
        <v>0</v>
      </c>
      <c r="AY42" s="3461"/>
      <c r="AZ42" s="109"/>
      <c r="BA42" s="2636"/>
      <c r="BB42" s="2636">
        <f t="shared" si="3"/>
        <v>0</v>
      </c>
      <c r="BC42" s="662"/>
      <c r="BD42" s="662">
        <f t="shared" si="13"/>
        <v>0</v>
      </c>
      <c r="BE42" s="2399"/>
      <c r="BF42" s="6421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5" thickBot="1" x14ac:dyDescent="0.3">
      <c r="A43" s="149"/>
      <c r="B43" s="3452" t="s">
        <v>1013</v>
      </c>
      <c r="C43" s="3453" t="s">
        <v>1384</v>
      </c>
      <c r="D43" s="3454" t="s">
        <v>50</v>
      </c>
      <c r="E43" s="3455"/>
      <c r="F43" s="158"/>
      <c r="G43" s="3455"/>
      <c r="H43" s="158"/>
      <c r="I43" s="373"/>
      <c r="J43" s="43">
        <f t="shared" si="4"/>
        <v>0</v>
      </c>
      <c r="K43" s="3455"/>
      <c r="L43" s="158"/>
      <c r="M43" s="782"/>
      <c r="N43" s="4594">
        <f t="shared" si="5"/>
        <v>0</v>
      </c>
      <c r="O43" s="3455"/>
      <c r="P43" s="158"/>
      <c r="Q43" s="783"/>
      <c r="R43" s="4773">
        <f t="shared" si="6"/>
        <v>0</v>
      </c>
      <c r="S43" s="3455"/>
      <c r="T43" s="158"/>
      <c r="U43" s="4938"/>
      <c r="V43" s="4938">
        <f t="shared" si="7"/>
        <v>0</v>
      </c>
      <c r="W43" s="3455"/>
      <c r="X43" s="158"/>
      <c r="Y43" s="575"/>
      <c r="Z43" s="2636">
        <f t="shared" si="0"/>
        <v>0</v>
      </c>
      <c r="AA43" s="662"/>
      <c r="AB43" s="662">
        <f t="shared" si="1"/>
        <v>0</v>
      </c>
      <c r="AC43" s="3455"/>
      <c r="AD43" s="158"/>
      <c r="AE43" s="2399"/>
      <c r="AF43" s="5456">
        <f t="shared" si="8"/>
        <v>0</v>
      </c>
      <c r="AG43" s="3455"/>
      <c r="AH43" s="158"/>
      <c r="AI43" s="5535"/>
      <c r="AJ43" s="5535">
        <f t="shared" si="9"/>
        <v>0</v>
      </c>
      <c r="AK43" s="3455"/>
      <c r="AL43" s="158"/>
      <c r="AM43" s="2636"/>
      <c r="AN43" s="2636">
        <f t="shared" si="2"/>
        <v>0</v>
      </c>
      <c r="AO43" s="2399"/>
      <c r="AP43" s="5960">
        <f t="shared" si="10"/>
        <v>0</v>
      </c>
      <c r="AQ43" s="3455"/>
      <c r="AR43" s="158"/>
      <c r="AS43" s="2399"/>
      <c r="AT43" s="6113">
        <f t="shared" si="11"/>
        <v>0</v>
      </c>
      <c r="AU43" s="3455"/>
      <c r="AV43" s="158"/>
      <c r="AW43" s="6251"/>
      <c r="AX43" s="6251">
        <f t="shared" si="12"/>
        <v>0</v>
      </c>
      <c r="AY43" s="3455"/>
      <c r="AZ43" s="158"/>
      <c r="BA43" s="2636"/>
      <c r="BB43" s="2636">
        <f t="shared" si="3"/>
        <v>0</v>
      </c>
      <c r="BC43" s="662"/>
      <c r="BD43" s="662">
        <f t="shared" si="13"/>
        <v>0</v>
      </c>
      <c r="BE43" s="2399"/>
      <c r="BF43" s="6421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5" thickBot="1" x14ac:dyDescent="0.3">
      <c r="A44" s="149"/>
      <c r="B44" s="851" t="s">
        <v>1013</v>
      </c>
      <c r="C44" s="3129" t="s">
        <v>971</v>
      </c>
      <c r="D44" s="3130" t="s">
        <v>50</v>
      </c>
      <c r="E44" s="3131"/>
      <c r="F44" s="3132"/>
      <c r="G44" s="3131"/>
      <c r="H44" s="7209"/>
      <c r="I44" s="3133"/>
      <c r="J44" s="43">
        <f t="shared" si="4"/>
        <v>0</v>
      </c>
      <c r="K44" s="3131"/>
      <c r="L44" s="4603"/>
      <c r="M44" s="1797"/>
      <c r="N44" s="4594">
        <f t="shared" si="5"/>
        <v>0</v>
      </c>
      <c r="O44" s="3131"/>
      <c r="P44" s="4791"/>
      <c r="Q44" s="1796"/>
      <c r="R44" s="4773">
        <f t="shared" si="6"/>
        <v>0</v>
      </c>
      <c r="S44" s="3131"/>
      <c r="T44" s="4945"/>
      <c r="U44" s="4938"/>
      <c r="V44" s="4938">
        <f t="shared" si="7"/>
        <v>0</v>
      </c>
      <c r="W44" s="3131"/>
      <c r="X44" s="5082"/>
      <c r="Y44" s="1799"/>
      <c r="Z44" s="2636">
        <f t="shared" si="0"/>
        <v>0</v>
      </c>
      <c r="AA44" s="662"/>
      <c r="AB44" s="662">
        <f t="shared" si="1"/>
        <v>0</v>
      </c>
      <c r="AC44" s="3131"/>
      <c r="AD44" s="5437"/>
      <c r="AE44" s="2399"/>
      <c r="AF44" s="5456">
        <f t="shared" si="8"/>
        <v>0</v>
      </c>
      <c r="AG44" s="3131"/>
      <c r="AH44" s="5555"/>
      <c r="AI44" s="5535"/>
      <c r="AJ44" s="5535">
        <f t="shared" si="9"/>
        <v>0</v>
      </c>
      <c r="AK44" s="3131"/>
      <c r="AL44" s="5964"/>
      <c r="AM44" s="2636"/>
      <c r="AN44" s="2636">
        <f t="shared" si="2"/>
        <v>0</v>
      </c>
      <c r="AO44" s="2399"/>
      <c r="AP44" s="5960">
        <f t="shared" si="10"/>
        <v>0</v>
      </c>
      <c r="AQ44" s="3131"/>
      <c r="AR44" s="6117"/>
      <c r="AS44" s="2399"/>
      <c r="AT44" s="6113">
        <f t="shared" si="11"/>
        <v>0</v>
      </c>
      <c r="AU44" s="3131"/>
      <c r="AV44" s="6264"/>
      <c r="AW44" s="6251"/>
      <c r="AX44" s="6251">
        <f t="shared" si="12"/>
        <v>0</v>
      </c>
      <c r="AY44" s="3131"/>
      <c r="AZ44" s="6436"/>
      <c r="BA44" s="2636"/>
      <c r="BB44" s="2636">
        <f t="shared" si="3"/>
        <v>0</v>
      </c>
      <c r="BC44" s="662"/>
      <c r="BD44" s="662">
        <f t="shared" si="13"/>
        <v>0</v>
      </c>
      <c r="BE44" s="2399"/>
      <c r="BF44" s="6421">
        <f t="shared" si="14"/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6.5" thickBot="1" x14ac:dyDescent="0.3">
      <c r="A45" s="149"/>
      <c r="B45" s="851" t="s">
        <v>1013</v>
      </c>
      <c r="C45" s="3129" t="s">
        <v>973</v>
      </c>
      <c r="D45" s="3130" t="s">
        <v>50</v>
      </c>
      <c r="E45" s="3131"/>
      <c r="F45" s="3132"/>
      <c r="G45" s="3131"/>
      <c r="H45" s="7209"/>
      <c r="I45" s="3133"/>
      <c r="J45" s="43">
        <f t="shared" si="4"/>
        <v>0</v>
      </c>
      <c r="K45" s="3131"/>
      <c r="L45" s="4603"/>
      <c r="M45" s="782"/>
      <c r="N45" s="4594">
        <f t="shared" si="5"/>
        <v>0</v>
      </c>
      <c r="O45" s="3131"/>
      <c r="P45" s="4791"/>
      <c r="Q45" s="783"/>
      <c r="R45" s="4773">
        <f t="shared" si="6"/>
        <v>0</v>
      </c>
      <c r="S45" s="3131"/>
      <c r="T45" s="4945"/>
      <c r="U45" s="4938"/>
      <c r="V45" s="4938">
        <f t="shared" si="7"/>
        <v>0</v>
      </c>
      <c r="W45" s="3131"/>
      <c r="X45" s="5082"/>
      <c r="Y45" s="575"/>
      <c r="Z45" s="2636">
        <f t="shared" si="0"/>
        <v>0</v>
      </c>
      <c r="AA45" s="662"/>
      <c r="AB45" s="662">
        <f t="shared" si="1"/>
        <v>0</v>
      </c>
      <c r="AC45" s="3131"/>
      <c r="AD45" s="5437"/>
      <c r="AE45" s="2399"/>
      <c r="AF45" s="5456">
        <f t="shared" si="8"/>
        <v>0</v>
      </c>
      <c r="AG45" s="3131"/>
      <c r="AH45" s="5555"/>
      <c r="AI45" s="5535"/>
      <c r="AJ45" s="5535">
        <f t="shared" si="9"/>
        <v>0</v>
      </c>
      <c r="AK45" s="3131"/>
      <c r="AL45" s="5964"/>
      <c r="AM45" s="2636"/>
      <c r="AN45" s="2636">
        <f t="shared" si="2"/>
        <v>0</v>
      </c>
      <c r="AO45" s="2399"/>
      <c r="AP45" s="5960">
        <f t="shared" si="10"/>
        <v>0</v>
      </c>
      <c r="AQ45" s="3131"/>
      <c r="AR45" s="6117"/>
      <c r="AS45" s="2399"/>
      <c r="AT45" s="6113">
        <f t="shared" si="11"/>
        <v>0</v>
      </c>
      <c r="AU45" s="3131"/>
      <c r="AV45" s="6264"/>
      <c r="AW45" s="6251"/>
      <c r="AX45" s="6251">
        <f t="shared" si="12"/>
        <v>0</v>
      </c>
      <c r="AY45" s="3131"/>
      <c r="AZ45" s="6436"/>
      <c r="BA45" s="2636"/>
      <c r="BB45" s="2636">
        <f t="shared" si="3"/>
        <v>0</v>
      </c>
      <c r="BC45" s="662"/>
      <c r="BD45" s="662">
        <f t="shared" si="13"/>
        <v>0</v>
      </c>
      <c r="BE45" s="2399"/>
      <c r="BF45" s="6421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5" thickBot="1" x14ac:dyDescent="0.3">
      <c r="A46" s="149"/>
      <c r="B46" s="851" t="s">
        <v>1013</v>
      </c>
      <c r="C46" s="3129" t="s">
        <v>1124</v>
      </c>
      <c r="D46" s="3130" t="s">
        <v>50</v>
      </c>
      <c r="E46" s="3131"/>
      <c r="F46" s="3132"/>
      <c r="G46" s="3131"/>
      <c r="H46" s="7209"/>
      <c r="I46" s="3133"/>
      <c r="J46" s="43">
        <f t="shared" si="4"/>
        <v>0</v>
      </c>
      <c r="K46" s="3131"/>
      <c r="L46" s="4603"/>
      <c r="M46" s="782"/>
      <c r="N46" s="4594">
        <f t="shared" si="5"/>
        <v>0</v>
      </c>
      <c r="O46" s="3131"/>
      <c r="P46" s="4791"/>
      <c r="Q46" s="783"/>
      <c r="R46" s="4773">
        <f t="shared" si="6"/>
        <v>0</v>
      </c>
      <c r="S46" s="3131"/>
      <c r="T46" s="4945"/>
      <c r="U46" s="4938"/>
      <c r="V46" s="4938">
        <f t="shared" si="7"/>
        <v>0</v>
      </c>
      <c r="W46" s="3131"/>
      <c r="X46" s="5082"/>
      <c r="Y46" s="575"/>
      <c r="Z46" s="2636">
        <f t="shared" si="0"/>
        <v>0</v>
      </c>
      <c r="AA46" s="662"/>
      <c r="AB46" s="662">
        <f t="shared" si="1"/>
        <v>0</v>
      </c>
      <c r="AC46" s="3131"/>
      <c r="AD46" s="5437"/>
      <c r="AE46" s="2399"/>
      <c r="AF46" s="5456">
        <f t="shared" si="8"/>
        <v>0</v>
      </c>
      <c r="AG46" s="3131"/>
      <c r="AH46" s="5555"/>
      <c r="AI46" s="5535"/>
      <c r="AJ46" s="5535">
        <f t="shared" si="9"/>
        <v>0</v>
      </c>
      <c r="AK46" s="3131"/>
      <c r="AL46" s="5964"/>
      <c r="AM46" s="2636"/>
      <c r="AN46" s="2636">
        <f t="shared" si="2"/>
        <v>0</v>
      </c>
      <c r="AO46" s="2399"/>
      <c r="AP46" s="5960">
        <f t="shared" si="10"/>
        <v>0</v>
      </c>
      <c r="AQ46" s="3131"/>
      <c r="AR46" s="6117"/>
      <c r="AS46" s="2399"/>
      <c r="AT46" s="6113">
        <f t="shared" si="11"/>
        <v>0</v>
      </c>
      <c r="AU46" s="3131"/>
      <c r="AV46" s="6264"/>
      <c r="AW46" s="6251"/>
      <c r="AX46" s="6251">
        <f t="shared" si="12"/>
        <v>0</v>
      </c>
      <c r="AY46" s="3131"/>
      <c r="AZ46" s="6436"/>
      <c r="BA46" s="2636"/>
      <c r="BB46" s="2636">
        <f t="shared" si="3"/>
        <v>0</v>
      </c>
      <c r="BC46" s="662"/>
      <c r="BD46" s="662">
        <f t="shared" si="13"/>
        <v>0</v>
      </c>
      <c r="BE46" s="2399"/>
      <c r="BF46" s="6421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5" thickBot="1" x14ac:dyDescent="0.3">
      <c r="A47" s="149"/>
      <c r="B47" s="851" t="s">
        <v>1013</v>
      </c>
      <c r="C47" s="3129" t="s">
        <v>1139</v>
      </c>
      <c r="D47" s="3130" t="s">
        <v>50</v>
      </c>
      <c r="E47" s="3131"/>
      <c r="F47" s="3132"/>
      <c r="G47" s="3131"/>
      <c r="H47" s="7209"/>
      <c r="I47" s="3133"/>
      <c r="J47" s="43">
        <f t="shared" si="4"/>
        <v>0</v>
      </c>
      <c r="K47" s="3131"/>
      <c r="L47" s="4603"/>
      <c r="M47" s="782"/>
      <c r="N47" s="4594">
        <f t="shared" si="5"/>
        <v>0</v>
      </c>
      <c r="O47" s="3131"/>
      <c r="P47" s="4791"/>
      <c r="Q47" s="783"/>
      <c r="R47" s="4773">
        <f t="shared" si="6"/>
        <v>0</v>
      </c>
      <c r="S47" s="3131"/>
      <c r="T47" s="4945"/>
      <c r="U47" s="4938"/>
      <c r="V47" s="4938">
        <f t="shared" si="7"/>
        <v>0</v>
      </c>
      <c r="W47" s="3131"/>
      <c r="X47" s="5082"/>
      <c r="Y47" s="575"/>
      <c r="Z47" s="2636">
        <f t="shared" si="0"/>
        <v>0</v>
      </c>
      <c r="AA47" s="662"/>
      <c r="AB47" s="662">
        <f t="shared" si="1"/>
        <v>0</v>
      </c>
      <c r="AC47" s="3131"/>
      <c r="AD47" s="5437"/>
      <c r="AE47" s="2399"/>
      <c r="AF47" s="5456">
        <f t="shared" si="8"/>
        <v>0</v>
      </c>
      <c r="AG47" s="3131"/>
      <c r="AH47" s="5555"/>
      <c r="AI47" s="5535"/>
      <c r="AJ47" s="5535">
        <f t="shared" si="9"/>
        <v>0</v>
      </c>
      <c r="AK47" s="3131"/>
      <c r="AL47" s="5964"/>
      <c r="AM47" s="2636"/>
      <c r="AN47" s="2636">
        <f t="shared" si="2"/>
        <v>0</v>
      </c>
      <c r="AO47" s="2399"/>
      <c r="AP47" s="5960">
        <f t="shared" si="10"/>
        <v>0</v>
      </c>
      <c r="AQ47" s="3131"/>
      <c r="AR47" s="6117"/>
      <c r="AS47" s="2399"/>
      <c r="AT47" s="6113">
        <f t="shared" si="11"/>
        <v>0</v>
      </c>
      <c r="AU47" s="3131"/>
      <c r="AV47" s="6264"/>
      <c r="AW47" s="6251"/>
      <c r="AX47" s="6251">
        <f t="shared" si="12"/>
        <v>0</v>
      </c>
      <c r="AY47" s="3131"/>
      <c r="AZ47" s="6436"/>
      <c r="BA47" s="2636"/>
      <c r="BB47" s="2636">
        <f t="shared" si="3"/>
        <v>0</v>
      </c>
      <c r="BC47" s="662"/>
      <c r="BD47" s="662">
        <f t="shared" si="13"/>
        <v>0</v>
      </c>
      <c r="BE47" s="2399"/>
      <c r="BF47" s="6421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9"/>
      <c r="B48" s="851" t="s">
        <v>1013</v>
      </c>
      <c r="C48" s="3129" t="s">
        <v>874</v>
      </c>
      <c r="D48" s="3130" t="s">
        <v>50</v>
      </c>
      <c r="E48" s="3131"/>
      <c r="F48" s="3132"/>
      <c r="G48" s="3131"/>
      <c r="H48" s="7209"/>
      <c r="I48" s="3133"/>
      <c r="J48" s="43">
        <f t="shared" si="4"/>
        <v>0</v>
      </c>
      <c r="K48" s="3131"/>
      <c r="L48" s="4603"/>
      <c r="M48" s="1797"/>
      <c r="N48" s="4594">
        <f t="shared" si="5"/>
        <v>0</v>
      </c>
      <c r="O48" s="3131"/>
      <c r="P48" s="4791"/>
      <c r="Q48" s="1796"/>
      <c r="R48" s="4773">
        <f t="shared" si="6"/>
        <v>0</v>
      </c>
      <c r="S48" s="3131"/>
      <c r="T48" s="4945"/>
      <c r="U48" s="4938"/>
      <c r="V48" s="4938">
        <f t="shared" si="7"/>
        <v>0</v>
      </c>
      <c r="W48" s="3131"/>
      <c r="X48" s="5082"/>
      <c r="Y48" s="1799"/>
      <c r="Z48" s="2636">
        <f t="shared" si="0"/>
        <v>0</v>
      </c>
      <c r="AA48" s="662"/>
      <c r="AB48" s="662">
        <f t="shared" si="1"/>
        <v>0</v>
      </c>
      <c r="AC48" s="3131"/>
      <c r="AD48" s="5437"/>
      <c r="AE48" s="2399"/>
      <c r="AF48" s="5456">
        <f t="shared" si="8"/>
        <v>0</v>
      </c>
      <c r="AG48" s="3131"/>
      <c r="AH48" s="5555"/>
      <c r="AI48" s="5535"/>
      <c r="AJ48" s="5535">
        <f t="shared" si="9"/>
        <v>0</v>
      </c>
      <c r="AK48" s="3131"/>
      <c r="AL48" s="5964"/>
      <c r="AM48" s="2636"/>
      <c r="AN48" s="2636">
        <f t="shared" si="2"/>
        <v>0</v>
      </c>
      <c r="AO48" s="2399"/>
      <c r="AP48" s="5960">
        <f t="shared" si="10"/>
        <v>0</v>
      </c>
      <c r="AQ48" s="3131"/>
      <c r="AR48" s="6117"/>
      <c r="AS48" s="2399"/>
      <c r="AT48" s="6113">
        <f t="shared" si="11"/>
        <v>0</v>
      </c>
      <c r="AU48" s="3131"/>
      <c r="AV48" s="6264"/>
      <c r="AW48" s="6251"/>
      <c r="AX48" s="6251">
        <f t="shared" si="12"/>
        <v>0</v>
      </c>
      <c r="AY48" s="3131"/>
      <c r="AZ48" s="6436"/>
      <c r="BA48" s="2636"/>
      <c r="BB48" s="2636">
        <f t="shared" si="3"/>
        <v>0</v>
      </c>
      <c r="BC48" s="662"/>
      <c r="BD48" s="662">
        <f t="shared" si="13"/>
        <v>0</v>
      </c>
      <c r="BE48" s="2399"/>
      <c r="BF48" s="6421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5" thickBot="1" x14ac:dyDescent="0.3">
      <c r="A49" s="149"/>
      <c r="B49" s="851" t="s">
        <v>1013</v>
      </c>
      <c r="C49" s="3129" t="s">
        <v>1142</v>
      </c>
      <c r="D49" s="3130" t="s">
        <v>50</v>
      </c>
      <c r="E49" s="3131"/>
      <c r="F49" s="3132"/>
      <c r="G49" s="3131"/>
      <c r="H49" s="7209"/>
      <c r="I49" s="3133"/>
      <c r="J49" s="43">
        <f t="shared" si="4"/>
        <v>0</v>
      </c>
      <c r="K49" s="3131"/>
      <c r="L49" s="4603"/>
      <c r="M49" s="3134"/>
      <c r="N49" s="4594">
        <f t="shared" si="5"/>
        <v>0</v>
      </c>
      <c r="O49" s="3131"/>
      <c r="P49" s="4791"/>
      <c r="Q49" s="3133"/>
      <c r="R49" s="4773">
        <f t="shared" si="6"/>
        <v>0</v>
      </c>
      <c r="S49" s="3131"/>
      <c r="T49" s="4945"/>
      <c r="U49" s="4944"/>
      <c r="V49" s="4938">
        <f t="shared" si="7"/>
        <v>0</v>
      </c>
      <c r="W49" s="3131"/>
      <c r="X49" s="5082"/>
      <c r="Y49" s="3135"/>
      <c r="Z49" s="2636">
        <f t="shared" si="0"/>
        <v>0</v>
      </c>
      <c r="AA49" s="662"/>
      <c r="AB49" s="662">
        <f t="shared" si="1"/>
        <v>0</v>
      </c>
      <c r="AC49" s="3131"/>
      <c r="AD49" s="5437"/>
      <c r="AE49" s="3133"/>
      <c r="AF49" s="5456">
        <f t="shared" si="8"/>
        <v>0</v>
      </c>
      <c r="AG49" s="3131"/>
      <c r="AH49" s="5555"/>
      <c r="AI49" s="5553"/>
      <c r="AJ49" s="5535">
        <f t="shared" si="9"/>
        <v>0</v>
      </c>
      <c r="AK49" s="3131"/>
      <c r="AL49" s="5964"/>
      <c r="AM49" s="3135"/>
      <c r="AN49" s="2636">
        <f t="shared" si="2"/>
        <v>0</v>
      </c>
      <c r="AO49" s="2399"/>
      <c r="AP49" s="5960">
        <f t="shared" si="10"/>
        <v>0</v>
      </c>
      <c r="AQ49" s="3131"/>
      <c r="AR49" s="6117"/>
      <c r="AS49" s="3133"/>
      <c r="AT49" s="6113">
        <f t="shared" si="11"/>
        <v>0</v>
      </c>
      <c r="AU49" s="3131"/>
      <c r="AV49" s="6264"/>
      <c r="AW49" s="6256"/>
      <c r="AX49" s="6251">
        <f t="shared" si="12"/>
        <v>0</v>
      </c>
      <c r="AY49" s="3131"/>
      <c r="AZ49" s="6436"/>
      <c r="BA49" s="3135"/>
      <c r="BB49" s="2636">
        <f t="shared" si="3"/>
        <v>0</v>
      </c>
      <c r="BC49" s="662"/>
      <c r="BD49" s="662">
        <f t="shared" si="13"/>
        <v>0</v>
      </c>
      <c r="BE49" s="2399"/>
      <c r="BF49" s="6421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56" t="s">
        <v>1013</v>
      </c>
      <c r="C50" s="3457" t="s">
        <v>1143</v>
      </c>
      <c r="D50" s="3458" t="s">
        <v>50</v>
      </c>
      <c r="E50" s="3459"/>
      <c r="F50" s="109"/>
      <c r="G50" s="3459"/>
      <c r="H50" s="109"/>
      <c r="I50" s="589"/>
      <c r="J50" s="43">
        <f t="shared" si="4"/>
        <v>0</v>
      </c>
      <c r="K50" s="3459"/>
      <c r="L50" s="109"/>
      <c r="M50" s="782"/>
      <c r="N50" s="4594">
        <f t="shared" si="5"/>
        <v>0</v>
      </c>
      <c r="O50" s="3459"/>
      <c r="P50" s="109"/>
      <c r="Q50" s="783"/>
      <c r="R50" s="4773">
        <f t="shared" si="6"/>
        <v>0</v>
      </c>
      <c r="S50" s="3459"/>
      <c r="T50" s="109"/>
      <c r="U50" s="4938"/>
      <c r="V50" s="4938">
        <f t="shared" si="7"/>
        <v>0</v>
      </c>
      <c r="W50" s="3459"/>
      <c r="X50" s="109"/>
      <c r="Y50" s="575"/>
      <c r="Z50" s="2636">
        <f t="shared" si="0"/>
        <v>0</v>
      </c>
      <c r="AA50" s="662"/>
      <c r="AB50" s="662">
        <f t="shared" si="1"/>
        <v>0</v>
      </c>
      <c r="AC50" s="3459"/>
      <c r="AD50" s="109"/>
      <c r="AE50" s="2399"/>
      <c r="AF50" s="5456">
        <f t="shared" si="8"/>
        <v>0</v>
      </c>
      <c r="AG50" s="3459"/>
      <c r="AH50" s="109"/>
      <c r="AI50" s="5535"/>
      <c r="AJ50" s="5535">
        <f t="shared" si="9"/>
        <v>0</v>
      </c>
      <c r="AK50" s="3459"/>
      <c r="AL50" s="109"/>
      <c r="AM50" s="2636"/>
      <c r="AN50" s="2636">
        <f t="shared" si="2"/>
        <v>0</v>
      </c>
      <c r="AO50" s="2399"/>
      <c r="AP50" s="5960">
        <f t="shared" si="10"/>
        <v>0</v>
      </c>
      <c r="AQ50" s="3459"/>
      <c r="AR50" s="109"/>
      <c r="AS50" s="2399"/>
      <c r="AT50" s="6113">
        <f t="shared" si="11"/>
        <v>0</v>
      </c>
      <c r="AU50" s="3459"/>
      <c r="AV50" s="109"/>
      <c r="AW50" s="6251"/>
      <c r="AX50" s="6251">
        <f t="shared" si="12"/>
        <v>0</v>
      </c>
      <c r="AY50" s="3459"/>
      <c r="AZ50" s="109"/>
      <c r="BA50" s="2636"/>
      <c r="BB50" s="2636">
        <f t="shared" si="3"/>
        <v>0</v>
      </c>
      <c r="BC50" s="662"/>
      <c r="BD50" s="662">
        <f t="shared" si="13"/>
        <v>0</v>
      </c>
      <c r="BE50" s="2399"/>
      <c r="BF50" s="6421">
        <f t="shared" si="14"/>
        <v>0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A51" s="2255"/>
      <c r="B51" s="3452" t="s">
        <v>870</v>
      </c>
      <c r="C51" s="3453" t="s">
        <v>1384</v>
      </c>
      <c r="D51" s="3454" t="s">
        <v>50</v>
      </c>
      <c r="E51" s="3460"/>
      <c r="F51" s="158"/>
      <c r="G51" s="3460"/>
      <c r="H51" s="158"/>
      <c r="I51" s="373"/>
      <c r="J51" s="43">
        <f t="shared" si="4"/>
        <v>0</v>
      </c>
      <c r="K51" s="3460"/>
      <c r="L51" s="158"/>
      <c r="M51" s="2249"/>
      <c r="N51" s="4594">
        <f t="shared" si="5"/>
        <v>0</v>
      </c>
      <c r="O51" s="3460"/>
      <c r="P51" s="158"/>
      <c r="Q51" s="2250"/>
      <c r="R51" s="4773">
        <f t="shared" si="6"/>
        <v>0</v>
      </c>
      <c r="S51" s="3460"/>
      <c r="T51" s="158"/>
      <c r="U51" s="4938"/>
      <c r="V51" s="4938">
        <f t="shared" si="7"/>
        <v>0</v>
      </c>
      <c r="W51" s="3460"/>
      <c r="X51" s="158"/>
      <c r="Y51" s="2252"/>
      <c r="Z51" s="2636">
        <f t="shared" si="0"/>
        <v>0</v>
      </c>
      <c r="AA51" s="662"/>
      <c r="AB51" s="662">
        <f t="shared" si="1"/>
        <v>0</v>
      </c>
      <c r="AC51" s="3460"/>
      <c r="AD51" s="158"/>
      <c r="AE51" s="2399"/>
      <c r="AF51" s="5456">
        <f t="shared" si="8"/>
        <v>0</v>
      </c>
      <c r="AG51" s="3460"/>
      <c r="AH51" s="158"/>
      <c r="AI51" s="5535"/>
      <c r="AJ51" s="5535">
        <f t="shared" si="9"/>
        <v>0</v>
      </c>
      <c r="AK51" s="3460"/>
      <c r="AL51" s="158"/>
      <c r="AM51" s="2636"/>
      <c r="AN51" s="2636">
        <f t="shared" si="2"/>
        <v>0</v>
      </c>
      <c r="AO51" s="2399"/>
      <c r="AP51" s="5960">
        <f t="shared" si="10"/>
        <v>0</v>
      </c>
      <c r="AQ51" s="3460"/>
      <c r="AR51" s="158"/>
      <c r="AS51" s="2399"/>
      <c r="AT51" s="6113">
        <f t="shared" si="11"/>
        <v>0</v>
      </c>
      <c r="AU51" s="3460"/>
      <c r="AV51" s="158"/>
      <c r="AW51" s="6251"/>
      <c r="AX51" s="6251">
        <f t="shared" si="12"/>
        <v>0</v>
      </c>
      <c r="AY51" s="3460"/>
      <c r="AZ51" s="158"/>
      <c r="BA51" s="2636"/>
      <c r="BB51" s="2636">
        <f t="shared" si="3"/>
        <v>0</v>
      </c>
      <c r="BC51" s="662"/>
      <c r="BD51" s="662">
        <f t="shared" si="13"/>
        <v>0</v>
      </c>
      <c r="BE51" s="2399"/>
      <c r="BF51" s="6421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2255"/>
      <c r="B52" s="851" t="s">
        <v>870</v>
      </c>
      <c r="C52" s="3129" t="s">
        <v>971</v>
      </c>
      <c r="D52" s="3130" t="s">
        <v>50</v>
      </c>
      <c r="E52" s="3180"/>
      <c r="F52" s="3132">
        <v>205</v>
      </c>
      <c r="G52" s="3180"/>
      <c r="H52" s="7209"/>
      <c r="I52" s="3133"/>
      <c r="J52" s="43">
        <f t="shared" si="4"/>
        <v>205</v>
      </c>
      <c r="K52" s="3180"/>
      <c r="L52" s="4603"/>
      <c r="M52" s="3134"/>
      <c r="N52" s="4594">
        <f t="shared" si="5"/>
        <v>205</v>
      </c>
      <c r="O52" s="3180"/>
      <c r="P52" s="4791"/>
      <c r="Q52" s="3133"/>
      <c r="R52" s="4773">
        <f t="shared" si="6"/>
        <v>205</v>
      </c>
      <c r="S52" s="3180"/>
      <c r="T52" s="4945"/>
      <c r="U52" s="4944"/>
      <c r="V52" s="4938">
        <f t="shared" si="7"/>
        <v>205</v>
      </c>
      <c r="W52" s="3180"/>
      <c r="X52" s="5082"/>
      <c r="Y52" s="3135"/>
      <c r="Z52" s="2636">
        <f t="shared" si="0"/>
        <v>0</v>
      </c>
      <c r="AA52" s="3415"/>
      <c r="AB52" s="662">
        <f t="shared" si="1"/>
        <v>205</v>
      </c>
      <c r="AC52" s="3180"/>
      <c r="AD52" s="5437"/>
      <c r="AE52" s="3133"/>
      <c r="AF52" s="5456">
        <f t="shared" si="8"/>
        <v>205</v>
      </c>
      <c r="AG52" s="3180"/>
      <c r="AH52" s="5555"/>
      <c r="AI52" s="5553"/>
      <c r="AJ52" s="5535">
        <f t="shared" si="9"/>
        <v>205</v>
      </c>
      <c r="AK52" s="3180"/>
      <c r="AL52" s="5964"/>
      <c r="AM52" s="3135"/>
      <c r="AN52" s="2636">
        <f t="shared" si="2"/>
        <v>0</v>
      </c>
      <c r="AO52" s="3133"/>
      <c r="AP52" s="5960">
        <f t="shared" si="10"/>
        <v>205</v>
      </c>
      <c r="AQ52" s="3180"/>
      <c r="AR52" s="6117"/>
      <c r="AS52" s="3133"/>
      <c r="AT52" s="6113">
        <f t="shared" si="11"/>
        <v>205</v>
      </c>
      <c r="AU52" s="3180"/>
      <c r="AV52" s="6264"/>
      <c r="AW52" s="6256"/>
      <c r="AX52" s="6251">
        <f t="shared" si="12"/>
        <v>205</v>
      </c>
      <c r="AY52" s="3180"/>
      <c r="AZ52" s="6436"/>
      <c r="BA52" s="3135"/>
      <c r="BB52" s="2636">
        <f t="shared" si="3"/>
        <v>0</v>
      </c>
      <c r="BC52" s="3415"/>
      <c r="BD52" s="662">
        <f t="shared" si="13"/>
        <v>0</v>
      </c>
      <c r="BE52" s="3133"/>
      <c r="BF52" s="6421">
        <f t="shared" si="14"/>
        <v>205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2255"/>
      <c r="B53" s="851" t="s">
        <v>870</v>
      </c>
      <c r="C53" s="3129" t="s">
        <v>973</v>
      </c>
      <c r="D53" s="3130" t="s">
        <v>50</v>
      </c>
      <c r="E53" s="3180"/>
      <c r="F53" s="3202">
        <f>346.45+16.3</f>
        <v>362.75</v>
      </c>
      <c r="G53" s="3180"/>
      <c r="H53" s="7205">
        <v>223.45</v>
      </c>
      <c r="I53" s="3133"/>
      <c r="J53" s="43">
        <f t="shared" si="4"/>
        <v>586.20000000000005</v>
      </c>
      <c r="K53" s="3180"/>
      <c r="L53" s="4602">
        <v>92.25</v>
      </c>
      <c r="M53" s="2249"/>
      <c r="N53" s="4594">
        <f t="shared" si="5"/>
        <v>678.45</v>
      </c>
      <c r="O53" s="3180"/>
      <c r="P53" s="4790">
        <v>164</v>
      </c>
      <c r="Q53" s="2250"/>
      <c r="R53" s="4773">
        <f t="shared" si="6"/>
        <v>842.45</v>
      </c>
      <c r="S53" s="3180"/>
      <c r="T53" s="4943">
        <v>301.35000000000002</v>
      </c>
      <c r="U53" s="4938"/>
      <c r="V53" s="4938">
        <f t="shared" si="7"/>
        <v>1143.8000000000002</v>
      </c>
      <c r="W53" s="3180"/>
      <c r="X53" s="5080"/>
      <c r="Y53" s="2252"/>
      <c r="Z53" s="2636">
        <f t="shared" si="0"/>
        <v>465.35</v>
      </c>
      <c r="AA53" s="662"/>
      <c r="AB53" s="662">
        <f t="shared" si="1"/>
        <v>1143.8000000000002</v>
      </c>
      <c r="AC53" s="3180"/>
      <c r="AD53" s="5436">
        <v>266.5</v>
      </c>
      <c r="AE53" s="2399"/>
      <c r="AF53" s="5456">
        <f t="shared" si="8"/>
        <v>1410.3000000000002</v>
      </c>
      <c r="AG53" s="3180"/>
      <c r="AH53" s="5552">
        <v>8.1999999999999993</v>
      </c>
      <c r="AI53" s="5535"/>
      <c r="AJ53" s="5535">
        <f t="shared" si="9"/>
        <v>1418.5000000000002</v>
      </c>
      <c r="AK53" s="3180"/>
      <c r="AL53" s="5961">
        <v>344.4</v>
      </c>
      <c r="AM53" s="2636"/>
      <c r="AN53" s="2636">
        <f t="shared" si="2"/>
        <v>619.09999999999991</v>
      </c>
      <c r="AO53" s="2399"/>
      <c r="AP53" s="5960">
        <f t="shared" si="10"/>
        <v>1762.9</v>
      </c>
      <c r="AQ53" s="3180"/>
      <c r="AR53" s="6114">
        <f>151.7+102.5</f>
        <v>254.2</v>
      </c>
      <c r="AS53" s="2399"/>
      <c r="AT53" s="6113">
        <f t="shared" si="11"/>
        <v>2017.1000000000001</v>
      </c>
      <c r="AU53" s="3180"/>
      <c r="AV53" s="6258">
        <v>100.45</v>
      </c>
      <c r="AW53" s="6251"/>
      <c r="AX53" s="6251">
        <f t="shared" si="12"/>
        <v>2117.5500000000002</v>
      </c>
      <c r="AY53" s="3180"/>
      <c r="AZ53" s="6433">
        <v>57.399999999999991</v>
      </c>
      <c r="BA53" s="2636"/>
      <c r="BB53" s="2636">
        <f t="shared" si="3"/>
        <v>412.04999999999995</v>
      </c>
      <c r="BC53" s="662"/>
      <c r="BD53" s="662">
        <f t="shared" si="13"/>
        <v>1031.1499999999999</v>
      </c>
      <c r="BE53" s="2399"/>
      <c r="BF53" s="6421">
        <f t="shared" si="14"/>
        <v>2174.9500000000003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2255"/>
      <c r="B54" s="851" t="s">
        <v>870</v>
      </c>
      <c r="C54" s="3129" t="s">
        <v>1124</v>
      </c>
      <c r="D54" s="3130" t="s">
        <v>50</v>
      </c>
      <c r="E54" s="3180"/>
      <c r="F54" s="3202">
        <f>1912.65-6.15</f>
        <v>1906.5</v>
      </c>
      <c r="G54" s="3180"/>
      <c r="H54" s="7205">
        <v>2402.5999999999995</v>
      </c>
      <c r="I54" s="3133"/>
      <c r="J54" s="43">
        <f t="shared" si="4"/>
        <v>4309.0999999999995</v>
      </c>
      <c r="K54" s="3180"/>
      <c r="L54" s="4602">
        <v>1824.5000000000002</v>
      </c>
      <c r="M54" s="2249"/>
      <c r="N54" s="4594">
        <f t="shared" si="5"/>
        <v>6133.5999999999995</v>
      </c>
      <c r="O54" s="3180"/>
      <c r="P54" s="4790">
        <v>164</v>
      </c>
      <c r="Q54" s="2250"/>
      <c r="R54" s="4773">
        <f t="shared" si="6"/>
        <v>6297.5999999999995</v>
      </c>
      <c r="S54" s="3180"/>
      <c r="T54" s="4943">
        <v>3417.3500000000008</v>
      </c>
      <c r="U54" s="4938"/>
      <c r="V54" s="4938">
        <f t="shared" si="7"/>
        <v>9714.9500000000007</v>
      </c>
      <c r="W54" s="3180"/>
      <c r="X54" s="5080">
        <v>1336.5999999999997</v>
      </c>
      <c r="Y54" s="2252"/>
      <c r="Z54" s="2636">
        <f t="shared" si="0"/>
        <v>4917.9500000000007</v>
      </c>
      <c r="AA54" s="662"/>
      <c r="AB54" s="662">
        <f t="shared" si="1"/>
        <v>11051.55</v>
      </c>
      <c r="AC54" s="3180"/>
      <c r="AD54" s="5436">
        <f>4011.85-4.1</f>
        <v>4007.75</v>
      </c>
      <c r="AE54" s="2399"/>
      <c r="AF54" s="5456">
        <f t="shared" si="8"/>
        <v>15059.3</v>
      </c>
      <c r="AG54" s="3180"/>
      <c r="AH54" s="5552">
        <f>1402.2-8.2</f>
        <v>1394</v>
      </c>
      <c r="AI54" s="5535"/>
      <c r="AJ54" s="5535">
        <f t="shared" si="9"/>
        <v>16453.3</v>
      </c>
      <c r="AK54" s="3180"/>
      <c r="AL54" s="5961">
        <v>1818.3500000000006</v>
      </c>
      <c r="AM54" s="2636"/>
      <c r="AN54" s="2636">
        <f t="shared" si="2"/>
        <v>7220.1</v>
      </c>
      <c r="AO54" s="2399"/>
      <c r="AP54" s="5960">
        <f t="shared" si="10"/>
        <v>18271.650000000001</v>
      </c>
      <c r="AQ54" s="3180"/>
      <c r="AR54" s="6114"/>
      <c r="AS54" s="2399"/>
      <c r="AT54" s="6113">
        <f t="shared" si="11"/>
        <v>18271.650000000001</v>
      </c>
      <c r="AU54" s="3180"/>
      <c r="AV54" s="6258">
        <v>1025</v>
      </c>
      <c r="AW54" s="6251"/>
      <c r="AX54" s="6251">
        <f t="shared" si="12"/>
        <v>19296.650000000001</v>
      </c>
      <c r="AY54" s="3180"/>
      <c r="AZ54" s="6433">
        <v>1512.9</v>
      </c>
      <c r="BA54" s="2636"/>
      <c r="BB54" s="2636">
        <f t="shared" si="3"/>
        <v>2537.9</v>
      </c>
      <c r="BC54" s="662"/>
      <c r="BD54" s="662">
        <f t="shared" si="13"/>
        <v>9758</v>
      </c>
      <c r="BE54" s="2399"/>
      <c r="BF54" s="6421">
        <f t="shared" si="14"/>
        <v>20809.550000000003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2255"/>
      <c r="B55" s="851" t="s">
        <v>870</v>
      </c>
      <c r="C55" s="3129" t="s">
        <v>1139</v>
      </c>
      <c r="D55" s="3130" t="s">
        <v>50</v>
      </c>
      <c r="E55" s="3180"/>
      <c r="F55" s="3132">
        <v>151.70000000000002</v>
      </c>
      <c r="G55" s="3180"/>
      <c r="H55" s="7209">
        <v>342.34999999999997</v>
      </c>
      <c r="I55" s="3133"/>
      <c r="J55" s="43">
        <f t="shared" si="4"/>
        <v>494.04999999999995</v>
      </c>
      <c r="K55" s="3180"/>
      <c r="L55" s="4603">
        <v>350.54999999999995</v>
      </c>
      <c r="M55" s="2249"/>
      <c r="N55" s="4594">
        <f t="shared" si="5"/>
        <v>844.59999999999991</v>
      </c>
      <c r="O55" s="3180"/>
      <c r="P55" s="4791"/>
      <c r="Q55" s="2250"/>
      <c r="R55" s="4773">
        <f t="shared" si="6"/>
        <v>844.59999999999991</v>
      </c>
      <c r="S55" s="3180"/>
      <c r="T55" s="4945">
        <v>412.05</v>
      </c>
      <c r="U55" s="4938"/>
      <c r="V55" s="4938">
        <f t="shared" si="7"/>
        <v>1256.6499999999999</v>
      </c>
      <c r="W55" s="3180"/>
      <c r="X55" s="5082">
        <f>250.1-2.05</f>
        <v>248.04999999999998</v>
      </c>
      <c r="Y55" s="2252"/>
      <c r="Z55" s="2636">
        <f t="shared" si="0"/>
        <v>660.1</v>
      </c>
      <c r="AA55" s="662"/>
      <c r="AB55" s="662">
        <f t="shared" si="1"/>
        <v>1504.6999999999998</v>
      </c>
      <c r="AC55" s="3180"/>
      <c r="AD55" s="5437"/>
      <c r="AE55" s="2399"/>
      <c r="AF55" s="5456">
        <f t="shared" si="8"/>
        <v>1504.6999999999998</v>
      </c>
      <c r="AG55" s="3180"/>
      <c r="AH55" s="5555"/>
      <c r="AI55" s="5535"/>
      <c r="AJ55" s="5535">
        <f t="shared" si="9"/>
        <v>1504.6999999999998</v>
      </c>
      <c r="AK55" s="3180"/>
      <c r="AL55" s="5964"/>
      <c r="AM55" s="2636"/>
      <c r="AN55" s="2636">
        <f t="shared" si="2"/>
        <v>0</v>
      </c>
      <c r="AO55" s="2399"/>
      <c r="AP55" s="5960">
        <f t="shared" si="10"/>
        <v>1504.6999999999998</v>
      </c>
      <c r="AQ55" s="3180"/>
      <c r="AR55" s="6117"/>
      <c r="AS55" s="2399"/>
      <c r="AT55" s="6113">
        <f t="shared" si="11"/>
        <v>1504.6999999999998</v>
      </c>
      <c r="AU55" s="3180"/>
      <c r="AV55" s="6264">
        <v>161.95000000000002</v>
      </c>
      <c r="AW55" s="6251"/>
      <c r="AX55" s="6251">
        <f t="shared" si="12"/>
        <v>1666.6499999999999</v>
      </c>
      <c r="AY55" s="3180"/>
      <c r="AZ55" s="6436">
        <v>276.74999999999994</v>
      </c>
      <c r="BA55" s="2636"/>
      <c r="BB55" s="2636">
        <f t="shared" si="3"/>
        <v>438.69999999999993</v>
      </c>
      <c r="BC55" s="662"/>
      <c r="BD55" s="662">
        <f t="shared" si="13"/>
        <v>438.69999999999993</v>
      </c>
      <c r="BE55" s="2399"/>
      <c r="BF55" s="6421">
        <f t="shared" si="14"/>
        <v>1943.3999999999999</v>
      </c>
      <c r="BG55" s="26"/>
      <c r="BH55" s="26"/>
      <c r="BI55" s="26"/>
      <c r="BJ55" s="26"/>
      <c r="BK55" s="26"/>
      <c r="BL55" s="26"/>
      <c r="BM55" s="26"/>
      <c r="BN55" s="26"/>
    </row>
    <row r="56" spans="1:66" s="5172" customFormat="1" ht="16.5" thickBot="1" x14ac:dyDescent="0.3">
      <c r="A56" s="2255"/>
      <c r="B56" s="6451" t="s">
        <v>870</v>
      </c>
      <c r="C56" s="6296" t="s">
        <v>2153</v>
      </c>
      <c r="D56" s="3130" t="s">
        <v>50</v>
      </c>
      <c r="E56" s="6452"/>
      <c r="F56" s="6453"/>
      <c r="G56" s="6452"/>
      <c r="H56" s="6453">
        <v>225.5</v>
      </c>
      <c r="I56" s="6454"/>
      <c r="J56" s="43">
        <f t="shared" si="4"/>
        <v>225.5</v>
      </c>
      <c r="K56" s="6452"/>
      <c r="L56" s="6453"/>
      <c r="M56" s="6456"/>
      <c r="N56" s="6456"/>
      <c r="O56" s="6452"/>
      <c r="P56" s="6453"/>
      <c r="Q56" s="6454"/>
      <c r="R56" s="6454"/>
      <c r="S56" s="6452"/>
      <c r="T56" s="6453"/>
      <c r="U56" s="6454"/>
      <c r="V56" s="6454"/>
      <c r="W56" s="6452"/>
      <c r="X56" s="6453"/>
      <c r="Y56" s="6457"/>
      <c r="Z56" s="6457"/>
      <c r="AA56" s="6458"/>
      <c r="AB56" s="6458"/>
      <c r="AC56" s="6452"/>
      <c r="AD56" s="6453"/>
      <c r="AE56" s="6454"/>
      <c r="AF56" s="6454"/>
      <c r="AG56" s="6452"/>
      <c r="AH56" s="6453"/>
      <c r="AI56" s="6454"/>
      <c r="AJ56" s="6454"/>
      <c r="AK56" s="6452"/>
      <c r="AL56" s="6453"/>
      <c r="AM56" s="6457"/>
      <c r="AN56" s="6457"/>
      <c r="AO56" s="6454"/>
      <c r="AP56" s="6454"/>
      <c r="AQ56" s="6452"/>
      <c r="AR56" s="6453"/>
      <c r="AS56" s="6454"/>
      <c r="AT56" s="6454"/>
      <c r="AU56" s="6452"/>
      <c r="AV56" s="6453"/>
      <c r="AW56" s="6454"/>
      <c r="AX56" s="6454"/>
      <c r="AY56" s="6452"/>
      <c r="AZ56" s="6453">
        <v>145.55000000000001</v>
      </c>
      <c r="BA56" s="6457"/>
      <c r="BB56" s="2636">
        <f t="shared" si="3"/>
        <v>145.55000000000001</v>
      </c>
      <c r="BC56" s="6458"/>
      <c r="BD56" s="662">
        <f t="shared" si="13"/>
        <v>145.55000000000001</v>
      </c>
      <c r="BE56" s="6454"/>
      <c r="BF56" s="6447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">
      <c r="A57" s="2255"/>
      <c r="B57" s="851" t="s">
        <v>870</v>
      </c>
      <c r="C57" s="3129" t="s">
        <v>978</v>
      </c>
      <c r="D57" s="3130" t="s">
        <v>50</v>
      </c>
      <c r="E57" s="3180"/>
      <c r="F57" s="3132"/>
      <c r="G57" s="3180"/>
      <c r="H57" s="7209"/>
      <c r="I57" s="3133"/>
      <c r="J57" s="43">
        <f t="shared" si="4"/>
        <v>0</v>
      </c>
      <c r="K57" s="3180"/>
      <c r="L57" s="4603"/>
      <c r="M57" s="2249"/>
      <c r="N57" s="4594">
        <f t="shared" si="5"/>
        <v>0</v>
      </c>
      <c r="O57" s="3180"/>
      <c r="P57" s="4791"/>
      <c r="Q57" s="2250"/>
      <c r="R57" s="4773">
        <f t="shared" si="6"/>
        <v>0</v>
      </c>
      <c r="S57" s="3180"/>
      <c r="T57" s="4945"/>
      <c r="U57" s="4938"/>
      <c r="V57" s="4938">
        <f t="shared" si="7"/>
        <v>0</v>
      </c>
      <c r="W57" s="3180"/>
      <c r="X57" s="5082">
        <v>330.05000000000007</v>
      </c>
      <c r="Y57" s="2252"/>
      <c r="Z57" s="2636">
        <f t="shared" si="0"/>
        <v>330.05000000000007</v>
      </c>
      <c r="AA57" s="662"/>
      <c r="AB57" s="662">
        <f t="shared" si="1"/>
        <v>330.05000000000007</v>
      </c>
      <c r="AC57" s="3180"/>
      <c r="AD57" s="5437"/>
      <c r="AE57" s="2399"/>
      <c r="AF57" s="5456">
        <f t="shared" si="8"/>
        <v>330.05000000000007</v>
      </c>
      <c r="AG57" s="3180"/>
      <c r="AH57" s="5555"/>
      <c r="AI57" s="5535"/>
      <c r="AJ57" s="5535">
        <f t="shared" si="9"/>
        <v>330.05000000000007</v>
      </c>
      <c r="AK57" s="3180"/>
      <c r="AL57" s="5964">
        <v>84.05</v>
      </c>
      <c r="AM57" s="2636"/>
      <c r="AN57" s="2636">
        <f t="shared" si="2"/>
        <v>84.05</v>
      </c>
      <c r="AO57" s="2399"/>
      <c r="AP57" s="5960">
        <f t="shared" si="10"/>
        <v>414.10000000000008</v>
      </c>
      <c r="AQ57" s="3180"/>
      <c r="AR57" s="6117"/>
      <c r="AS57" s="2399"/>
      <c r="AT57" s="6113">
        <f t="shared" si="11"/>
        <v>414.10000000000008</v>
      </c>
      <c r="AU57" s="3180"/>
      <c r="AV57" s="6264"/>
      <c r="AW57" s="6251"/>
      <c r="AX57" s="6251">
        <f t="shared" si="12"/>
        <v>414.10000000000008</v>
      </c>
      <c r="AY57" s="3180"/>
      <c r="AZ57" s="6436"/>
      <c r="BA57" s="2636"/>
      <c r="BB57" s="2636">
        <f t="shared" si="3"/>
        <v>0</v>
      </c>
      <c r="BC57" s="662"/>
      <c r="BD57" s="662">
        <f t="shared" si="13"/>
        <v>84.05</v>
      </c>
      <c r="BE57" s="2399"/>
      <c r="BF57" s="6447">
        <f t="shared" si="14"/>
        <v>414.10000000000008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2255"/>
      <c r="B58" s="851" t="s">
        <v>870</v>
      </c>
      <c r="C58" s="3129" t="s">
        <v>874</v>
      </c>
      <c r="D58" s="3130" t="s">
        <v>50</v>
      </c>
      <c r="E58" s="3180"/>
      <c r="F58" s="3132">
        <f>1576.45-14.25</f>
        <v>1562.2</v>
      </c>
      <c r="G58" s="3180"/>
      <c r="H58" s="7209">
        <f>1920.85-12.3</f>
        <v>1908.55</v>
      </c>
      <c r="I58" s="3133"/>
      <c r="J58" s="43">
        <f t="shared" si="4"/>
        <v>3470.75</v>
      </c>
      <c r="K58" s="3180"/>
      <c r="L58" s="4603">
        <f>902-2.05</f>
        <v>899.95</v>
      </c>
      <c r="M58" s="2249"/>
      <c r="N58" s="4594">
        <f t="shared" si="5"/>
        <v>4370.7</v>
      </c>
      <c r="O58" s="3180"/>
      <c r="P58" s="4791">
        <v>1232.0500000000002</v>
      </c>
      <c r="Q58" s="2250"/>
      <c r="R58" s="4773">
        <f t="shared" si="6"/>
        <v>5602.75</v>
      </c>
      <c r="S58" s="3180"/>
      <c r="T58" s="4945">
        <v>1320.2</v>
      </c>
      <c r="U58" s="4938"/>
      <c r="V58" s="4938">
        <f t="shared" si="7"/>
        <v>6922.95</v>
      </c>
      <c r="W58" s="3180"/>
      <c r="X58" s="5082">
        <v>744.15</v>
      </c>
      <c r="Y58" s="2252"/>
      <c r="Z58" s="2636">
        <f t="shared" si="0"/>
        <v>3296.4</v>
      </c>
      <c r="AA58" s="662"/>
      <c r="AB58" s="662">
        <f t="shared" si="1"/>
        <v>7667.1</v>
      </c>
      <c r="AC58" s="3180"/>
      <c r="AD58" s="5437">
        <v>1430.9000000000003</v>
      </c>
      <c r="AE58" s="2399"/>
      <c r="AF58" s="5456">
        <f t="shared" si="8"/>
        <v>9098</v>
      </c>
      <c r="AG58" s="3180"/>
      <c r="AH58" s="5555">
        <f>416.15-4.1</f>
        <v>412.04999999999995</v>
      </c>
      <c r="AI58" s="5535"/>
      <c r="AJ58" s="5535">
        <f t="shared" si="9"/>
        <v>9510.0499999999993</v>
      </c>
      <c r="AK58" s="3180"/>
      <c r="AL58" s="5964">
        <f>1484.2-2.05</f>
        <v>1482.15</v>
      </c>
      <c r="AM58" s="2636"/>
      <c r="AN58" s="2636">
        <f t="shared" si="2"/>
        <v>3325.1000000000004</v>
      </c>
      <c r="AO58" s="2399"/>
      <c r="AP58" s="5960">
        <f t="shared" si="10"/>
        <v>10992.199999999999</v>
      </c>
      <c r="AQ58" s="3180"/>
      <c r="AR58" s="6117">
        <f>1486.25-4.1</f>
        <v>1482.15</v>
      </c>
      <c r="AS58" s="2399"/>
      <c r="AT58" s="6113">
        <f t="shared" si="11"/>
        <v>12474.349999999999</v>
      </c>
      <c r="AU58" s="3180"/>
      <c r="AV58" s="6264">
        <v>1514.9500000000003</v>
      </c>
      <c r="AW58" s="6251"/>
      <c r="AX58" s="6251">
        <f t="shared" si="12"/>
        <v>13989.3</v>
      </c>
      <c r="AY58" s="3180"/>
      <c r="AZ58" s="6436">
        <v>321.84999999999997</v>
      </c>
      <c r="BA58" s="2636"/>
      <c r="BB58" s="2636">
        <f t="shared" si="3"/>
        <v>3318.9500000000003</v>
      </c>
      <c r="BC58" s="662"/>
      <c r="BD58" s="662">
        <f t="shared" si="13"/>
        <v>6644.0500000000011</v>
      </c>
      <c r="BE58" s="2399"/>
      <c r="BF58" s="6447">
        <f t="shared" si="14"/>
        <v>14311.15</v>
      </c>
      <c r="BG58" s="26"/>
      <c r="BH58" s="26"/>
      <c r="BI58" s="26"/>
      <c r="BJ58" s="26"/>
      <c r="BK58" s="26"/>
      <c r="BL58" s="26"/>
      <c r="BM58" s="26"/>
      <c r="BN58" s="26"/>
    </row>
    <row r="59" spans="1:66" ht="16.5" thickBot="1" x14ac:dyDescent="0.3">
      <c r="A59" s="2255"/>
      <c r="B59" s="851" t="s">
        <v>870</v>
      </c>
      <c r="C59" s="3129" t="s">
        <v>972</v>
      </c>
      <c r="D59" s="3130" t="s">
        <v>50</v>
      </c>
      <c r="E59" s="3180"/>
      <c r="F59" s="3132"/>
      <c r="G59" s="3180"/>
      <c r="H59" s="7209"/>
      <c r="I59" s="3133"/>
      <c r="J59" s="43">
        <f t="shared" si="4"/>
        <v>0</v>
      </c>
      <c r="K59" s="3180"/>
      <c r="L59" s="4603"/>
      <c r="M59" s="2249"/>
      <c r="N59" s="4594">
        <f t="shared" si="5"/>
        <v>0</v>
      </c>
      <c r="O59" s="3180"/>
      <c r="P59" s="4791">
        <v>336.2</v>
      </c>
      <c r="Q59" s="2250"/>
      <c r="R59" s="4773">
        <f t="shared" si="6"/>
        <v>336.2</v>
      </c>
      <c r="S59" s="3180"/>
      <c r="T59" s="3471">
        <v>381.3</v>
      </c>
      <c r="U59" s="4938"/>
      <c r="V59" s="4938">
        <f t="shared" si="7"/>
        <v>717.5</v>
      </c>
      <c r="W59" s="3180"/>
      <c r="X59" s="3471"/>
      <c r="Y59" s="2252"/>
      <c r="Z59" s="2636">
        <f t="shared" si="0"/>
        <v>717.5</v>
      </c>
      <c r="AA59" s="662"/>
      <c r="AB59" s="662">
        <f t="shared" si="1"/>
        <v>717.5</v>
      </c>
      <c r="AC59" s="3180"/>
      <c r="AD59" s="5437"/>
      <c r="AE59" s="2399"/>
      <c r="AF59" s="5456">
        <f t="shared" si="8"/>
        <v>717.5</v>
      </c>
      <c r="AG59" s="3180"/>
      <c r="AH59" s="5555"/>
      <c r="AI59" s="5535"/>
      <c r="AJ59" s="5535">
        <f t="shared" si="9"/>
        <v>717.5</v>
      </c>
      <c r="AK59" s="3180"/>
      <c r="AL59" s="5964"/>
      <c r="AM59" s="2636"/>
      <c r="AN59" s="2636">
        <f t="shared" si="2"/>
        <v>0</v>
      </c>
      <c r="AO59" s="2399"/>
      <c r="AP59" s="5960">
        <f t="shared" si="10"/>
        <v>717.5</v>
      </c>
      <c r="AQ59" s="3180"/>
      <c r="AR59" s="6117">
        <v>209.10000000000002</v>
      </c>
      <c r="AS59" s="2399"/>
      <c r="AT59" s="6113">
        <f t="shared" si="11"/>
        <v>926.6</v>
      </c>
      <c r="AU59" s="3180"/>
      <c r="AV59" s="6264"/>
      <c r="AW59" s="6251"/>
      <c r="AX59" s="6251">
        <f t="shared" si="12"/>
        <v>926.6</v>
      </c>
      <c r="AY59" s="3180"/>
      <c r="AZ59" s="6436">
        <v>104.55</v>
      </c>
      <c r="BA59" s="2636"/>
      <c r="BB59" s="2636">
        <f t="shared" si="3"/>
        <v>313.65000000000003</v>
      </c>
      <c r="BC59" s="662"/>
      <c r="BD59" s="662">
        <f t="shared" si="13"/>
        <v>313.65000000000003</v>
      </c>
      <c r="BE59" s="2399"/>
      <c r="BF59" s="6421">
        <f t="shared" si="14"/>
        <v>1031.1500000000001</v>
      </c>
      <c r="BG59" s="26"/>
      <c r="BH59" s="26"/>
      <c r="BI59" s="26"/>
      <c r="BJ59" s="26"/>
      <c r="BK59" s="26"/>
      <c r="BL59" s="26"/>
      <c r="BM59" s="26"/>
      <c r="BN59" s="26"/>
    </row>
    <row r="60" spans="1:66" ht="16.5" thickBot="1" x14ac:dyDescent="0.3">
      <c r="A60" s="2255"/>
      <c r="B60" s="851" t="s">
        <v>870</v>
      </c>
      <c r="C60" s="3129" t="s">
        <v>974</v>
      </c>
      <c r="D60" s="3130" t="s">
        <v>50</v>
      </c>
      <c r="E60" s="3180"/>
      <c r="F60" s="3132">
        <v>90.2</v>
      </c>
      <c r="G60" s="3180"/>
      <c r="H60" s="7209"/>
      <c r="I60" s="3133"/>
      <c r="J60" s="43">
        <f t="shared" si="4"/>
        <v>90.2</v>
      </c>
      <c r="K60" s="3180"/>
      <c r="L60" s="4603"/>
      <c r="M60" s="2864"/>
      <c r="N60" s="4594">
        <f t="shared" si="5"/>
        <v>90.2</v>
      </c>
      <c r="O60" s="3180"/>
      <c r="P60" s="4791">
        <v>641.65000000000009</v>
      </c>
      <c r="Q60" s="2862"/>
      <c r="R60" s="4773">
        <f t="shared" si="6"/>
        <v>731.85000000000014</v>
      </c>
      <c r="S60" s="3180"/>
      <c r="T60" s="3471">
        <v>565.80000000000007</v>
      </c>
      <c r="U60" s="2862"/>
      <c r="V60" s="4938">
        <f t="shared" si="7"/>
        <v>1297.6500000000001</v>
      </c>
      <c r="W60" s="3180"/>
      <c r="X60" s="3471">
        <v>266.5</v>
      </c>
      <c r="Y60" s="2865"/>
      <c r="Z60" s="2636">
        <f t="shared" si="0"/>
        <v>1473.9500000000003</v>
      </c>
      <c r="AA60" s="662"/>
      <c r="AB60" s="662">
        <f t="shared" si="1"/>
        <v>1564.1500000000003</v>
      </c>
      <c r="AC60" s="3180"/>
      <c r="AD60" s="5437">
        <v>1703.5500000000006</v>
      </c>
      <c r="AE60" s="2862"/>
      <c r="AF60" s="5456">
        <f t="shared" si="8"/>
        <v>3267.7000000000007</v>
      </c>
      <c r="AG60" s="3180"/>
      <c r="AH60" s="5555"/>
      <c r="AI60" s="2862"/>
      <c r="AJ60" s="5535">
        <f t="shared" si="9"/>
        <v>3267.7000000000007</v>
      </c>
      <c r="AK60" s="3180"/>
      <c r="AL60" s="5964">
        <f>1158.25+6.15</f>
        <v>1164.4000000000001</v>
      </c>
      <c r="AM60" s="2865"/>
      <c r="AN60" s="2636">
        <f t="shared" si="2"/>
        <v>2867.9500000000007</v>
      </c>
      <c r="AO60" s="2399"/>
      <c r="AP60" s="5960">
        <f t="shared" si="10"/>
        <v>4432.1000000000004</v>
      </c>
      <c r="AQ60" s="3180"/>
      <c r="AR60" s="6117">
        <v>100.45</v>
      </c>
      <c r="AS60" s="2862"/>
      <c r="AT60" s="6113">
        <f t="shared" si="11"/>
        <v>4532.55</v>
      </c>
      <c r="AU60" s="3180"/>
      <c r="AV60" s="6264">
        <v>668.30000000000007</v>
      </c>
      <c r="AW60" s="2862"/>
      <c r="AX60" s="6251">
        <f t="shared" si="12"/>
        <v>5200.8500000000004</v>
      </c>
      <c r="AY60" s="3180"/>
      <c r="AZ60" s="6436">
        <v>1849.1</v>
      </c>
      <c r="BA60" s="2865"/>
      <c r="BB60" s="2636">
        <f t="shared" si="3"/>
        <v>2617.85</v>
      </c>
      <c r="BC60" s="662"/>
      <c r="BD60" s="662">
        <f t="shared" si="13"/>
        <v>5485.8000000000011</v>
      </c>
      <c r="BE60" s="2399"/>
      <c r="BF60" s="6421">
        <f t="shared" si="14"/>
        <v>7049.9500000000007</v>
      </c>
      <c r="BG60" s="26"/>
      <c r="BH60" s="26"/>
      <c r="BI60" s="26"/>
      <c r="BJ60" s="26"/>
      <c r="BK60" s="26"/>
      <c r="BL60" s="26"/>
      <c r="BM60" s="26"/>
      <c r="BN60" s="26"/>
    </row>
    <row r="61" spans="1:66" ht="16.5" thickBot="1" x14ac:dyDescent="0.3">
      <c r="A61" s="2255"/>
      <c r="B61" s="851" t="s">
        <v>870</v>
      </c>
      <c r="C61" s="3129" t="s">
        <v>976</v>
      </c>
      <c r="D61" s="3130" t="s">
        <v>50</v>
      </c>
      <c r="E61" s="3180"/>
      <c r="F61" s="3132">
        <v>147.6</v>
      </c>
      <c r="G61" s="3180"/>
      <c r="H61" s="7209"/>
      <c r="I61" s="3133"/>
      <c r="J61" s="43">
        <f t="shared" si="4"/>
        <v>147.6</v>
      </c>
      <c r="K61" s="3180"/>
      <c r="L61" s="4603"/>
      <c r="M61" s="3134"/>
      <c r="N61" s="4594">
        <f t="shared" si="5"/>
        <v>147.6</v>
      </c>
      <c r="O61" s="3180"/>
      <c r="P61" s="4791"/>
      <c r="Q61" s="3133"/>
      <c r="R61" s="4773">
        <f t="shared" si="6"/>
        <v>147.6</v>
      </c>
      <c r="S61" s="3180"/>
      <c r="T61" s="4945"/>
      <c r="U61" s="4944"/>
      <c r="V61" s="4938">
        <f t="shared" si="7"/>
        <v>147.6</v>
      </c>
      <c r="W61" s="3180"/>
      <c r="X61" s="5082"/>
      <c r="Y61" s="3135"/>
      <c r="Z61" s="2636">
        <f t="shared" si="0"/>
        <v>0</v>
      </c>
      <c r="AA61" s="3415"/>
      <c r="AB61" s="662">
        <f t="shared" si="1"/>
        <v>147.6</v>
      </c>
      <c r="AC61" s="3180"/>
      <c r="AD61" s="5437"/>
      <c r="AE61" s="3133"/>
      <c r="AF61" s="5456">
        <f t="shared" si="8"/>
        <v>147.6</v>
      </c>
      <c r="AG61" s="3180"/>
      <c r="AH61" s="5555"/>
      <c r="AI61" s="5553"/>
      <c r="AJ61" s="5535">
        <f t="shared" si="9"/>
        <v>147.6</v>
      </c>
      <c r="AK61" s="3180"/>
      <c r="AL61" s="5964"/>
      <c r="AM61" s="3135"/>
      <c r="AN61" s="2636">
        <f t="shared" si="2"/>
        <v>0</v>
      </c>
      <c r="AO61" s="3133"/>
      <c r="AP61" s="5960">
        <f t="shared" si="10"/>
        <v>147.6</v>
      </c>
      <c r="AQ61" s="3180"/>
      <c r="AR61" s="6117">
        <v>133.25</v>
      </c>
      <c r="AS61" s="3133"/>
      <c r="AT61" s="6113">
        <f t="shared" si="11"/>
        <v>280.85000000000002</v>
      </c>
      <c r="AU61" s="3180"/>
      <c r="AV61" s="6264"/>
      <c r="AW61" s="6256"/>
      <c r="AX61" s="6251">
        <f t="shared" si="12"/>
        <v>280.85000000000002</v>
      </c>
      <c r="AY61" s="3180"/>
      <c r="AZ61" s="6436"/>
      <c r="BA61" s="3135"/>
      <c r="BB61" s="2636">
        <f t="shared" si="3"/>
        <v>133.25</v>
      </c>
      <c r="BC61" s="3415"/>
      <c r="BD61" s="662">
        <f t="shared" si="13"/>
        <v>133.25</v>
      </c>
      <c r="BE61" s="3133"/>
      <c r="BF61" s="6421">
        <f t="shared" si="14"/>
        <v>280.85000000000002</v>
      </c>
      <c r="BG61" s="26"/>
      <c r="BH61" s="26"/>
      <c r="BI61" s="26"/>
      <c r="BJ61" s="26"/>
      <c r="BK61" s="26"/>
      <c r="BL61" s="26"/>
      <c r="BM61" s="26"/>
      <c r="BN61" s="26"/>
    </row>
    <row r="62" spans="1:66" ht="16.5" thickBot="1" x14ac:dyDescent="0.3">
      <c r="A62" s="2255"/>
      <c r="B62" s="851" t="s">
        <v>870</v>
      </c>
      <c r="C62" s="3129" t="s">
        <v>1142</v>
      </c>
      <c r="D62" s="3130" t="s">
        <v>50</v>
      </c>
      <c r="E62" s="3180"/>
      <c r="F62" s="3132">
        <v>18.45</v>
      </c>
      <c r="G62" s="3180"/>
      <c r="H62" s="7209">
        <v>4.0999999999999996</v>
      </c>
      <c r="I62" s="3133"/>
      <c r="J62" s="43">
        <f t="shared" si="4"/>
        <v>22.549999999999997</v>
      </c>
      <c r="K62" s="3180"/>
      <c r="L62" s="4603">
        <v>2.0499999999999998</v>
      </c>
      <c r="M62" s="2249"/>
      <c r="N62" s="4594">
        <f t="shared" si="5"/>
        <v>24.599999999999998</v>
      </c>
      <c r="O62" s="3180"/>
      <c r="P62" s="4791"/>
      <c r="Q62" s="2250"/>
      <c r="R62" s="4773">
        <f t="shared" si="6"/>
        <v>24.599999999999998</v>
      </c>
      <c r="S62" s="3180"/>
      <c r="T62" s="4945"/>
      <c r="U62" s="4938"/>
      <c r="V62" s="4938">
        <f t="shared" si="7"/>
        <v>24.599999999999998</v>
      </c>
      <c r="W62" s="3180"/>
      <c r="X62" s="5082"/>
      <c r="Y62" s="2252"/>
      <c r="Z62" s="2636">
        <f t="shared" si="0"/>
        <v>0</v>
      </c>
      <c r="AA62" s="662"/>
      <c r="AB62" s="662">
        <f t="shared" si="1"/>
        <v>24.599999999999998</v>
      </c>
      <c r="AC62" s="3180"/>
      <c r="AD62" s="5437"/>
      <c r="AE62" s="2399"/>
      <c r="AF62" s="5456">
        <f t="shared" si="8"/>
        <v>24.599999999999998</v>
      </c>
      <c r="AG62" s="3180"/>
      <c r="AH62" s="5555"/>
      <c r="AI62" s="5535"/>
      <c r="AJ62" s="5535">
        <f t="shared" si="9"/>
        <v>24.599999999999998</v>
      </c>
      <c r="AK62" s="3180"/>
      <c r="AL62" s="5964">
        <v>4.0999999999999996</v>
      </c>
      <c r="AM62" s="2636"/>
      <c r="AN62" s="2636">
        <f t="shared" si="2"/>
        <v>4.0999999999999996</v>
      </c>
      <c r="AO62" s="2399"/>
      <c r="AP62" s="5960">
        <f t="shared" si="10"/>
        <v>28.699999999999996</v>
      </c>
      <c r="AQ62" s="3180"/>
      <c r="AR62" s="6117">
        <f>22.55+2.05</f>
        <v>24.6</v>
      </c>
      <c r="AS62" s="2399"/>
      <c r="AT62" s="6113">
        <f t="shared" si="11"/>
        <v>53.3</v>
      </c>
      <c r="AU62" s="3180"/>
      <c r="AV62" s="6264">
        <v>67.650000000000006</v>
      </c>
      <c r="AW62" s="6251"/>
      <c r="AX62" s="6251">
        <f t="shared" si="12"/>
        <v>120.95</v>
      </c>
      <c r="AY62" s="3180"/>
      <c r="AZ62" s="6436"/>
      <c r="BA62" s="2636"/>
      <c r="BB62" s="2636">
        <f t="shared" si="3"/>
        <v>92.25</v>
      </c>
      <c r="BC62" s="662"/>
      <c r="BD62" s="662">
        <f t="shared" si="13"/>
        <v>96.35</v>
      </c>
      <c r="BE62" s="2399"/>
      <c r="BF62" s="6421">
        <f t="shared" si="14"/>
        <v>120.95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5" thickBot="1" x14ac:dyDescent="0.3">
      <c r="A63" s="2255"/>
      <c r="B63" s="851" t="s">
        <v>870</v>
      </c>
      <c r="C63" s="3129" t="s">
        <v>975</v>
      </c>
      <c r="D63" s="3130" t="s">
        <v>50</v>
      </c>
      <c r="E63" s="3180"/>
      <c r="F63" s="3132"/>
      <c r="G63" s="3180"/>
      <c r="H63" s="7209"/>
      <c r="I63" s="3133"/>
      <c r="J63" s="43">
        <f t="shared" si="4"/>
        <v>0</v>
      </c>
      <c r="K63" s="3180"/>
      <c r="L63" s="4603"/>
      <c r="M63" s="2679"/>
      <c r="N63" s="4594">
        <f t="shared" si="5"/>
        <v>0</v>
      </c>
      <c r="O63" s="3180"/>
      <c r="P63" s="4791">
        <v>38.950000000000003</v>
      </c>
      <c r="Q63" s="2399"/>
      <c r="R63" s="4773">
        <f t="shared" si="6"/>
        <v>38.950000000000003</v>
      </c>
      <c r="S63" s="3180"/>
      <c r="T63" s="4945"/>
      <c r="U63" s="4938"/>
      <c r="V63" s="4938">
        <f t="shared" si="7"/>
        <v>38.950000000000003</v>
      </c>
      <c r="W63" s="3180"/>
      <c r="X63" s="5082"/>
      <c r="Y63" s="2636"/>
      <c r="Z63" s="2636">
        <f t="shared" si="0"/>
        <v>38.950000000000003</v>
      </c>
      <c r="AA63" s="662"/>
      <c r="AB63" s="662">
        <f t="shared" si="1"/>
        <v>38.950000000000003</v>
      </c>
      <c r="AC63" s="3180"/>
      <c r="AD63" s="5437"/>
      <c r="AE63" s="2399"/>
      <c r="AF63" s="5456">
        <f t="shared" si="8"/>
        <v>38.950000000000003</v>
      </c>
      <c r="AG63" s="3180"/>
      <c r="AH63" s="5555"/>
      <c r="AI63" s="5535"/>
      <c r="AJ63" s="5535">
        <f t="shared" si="9"/>
        <v>38.950000000000003</v>
      </c>
      <c r="AK63" s="3180"/>
      <c r="AL63" s="5964"/>
      <c r="AM63" s="2636"/>
      <c r="AN63" s="2636">
        <f t="shared" si="2"/>
        <v>0</v>
      </c>
      <c r="AO63" s="2399"/>
      <c r="AP63" s="5960">
        <f t="shared" si="10"/>
        <v>38.950000000000003</v>
      </c>
      <c r="AQ63" s="3180"/>
      <c r="AR63" s="6117">
        <v>112.75</v>
      </c>
      <c r="AS63" s="2399"/>
      <c r="AT63" s="6113">
        <f t="shared" si="11"/>
        <v>151.69999999999999</v>
      </c>
      <c r="AU63" s="3180"/>
      <c r="AV63" s="6264">
        <v>71.75</v>
      </c>
      <c r="AW63" s="6251"/>
      <c r="AX63" s="6251">
        <f t="shared" si="12"/>
        <v>223.45</v>
      </c>
      <c r="AY63" s="3180"/>
      <c r="AZ63" s="6436"/>
      <c r="BA63" s="2636"/>
      <c r="BB63" s="2636">
        <f t="shared" si="3"/>
        <v>184.5</v>
      </c>
      <c r="BC63" s="662"/>
      <c r="BD63" s="662">
        <f t="shared" si="13"/>
        <v>184.5</v>
      </c>
      <c r="BE63" s="2399"/>
      <c r="BF63" s="6421">
        <f t="shared" si="14"/>
        <v>223.45</v>
      </c>
      <c r="BG63" s="26"/>
      <c r="BH63" s="26"/>
      <c r="BI63" s="26"/>
      <c r="BJ63" s="26"/>
      <c r="BK63" s="26"/>
      <c r="BL63" s="26"/>
      <c r="BM63" s="26"/>
      <c r="BN63" s="26"/>
    </row>
    <row r="64" spans="1:66" s="4712" customFormat="1" ht="16.5" thickBot="1" x14ac:dyDescent="0.3">
      <c r="A64" s="2255"/>
      <c r="B64" s="851" t="s">
        <v>870</v>
      </c>
      <c r="C64" s="3129" t="s">
        <v>977</v>
      </c>
      <c r="D64" s="3130" t="s">
        <v>50</v>
      </c>
      <c r="E64" s="3180"/>
      <c r="F64" s="5082">
        <v>108.65</v>
      </c>
      <c r="G64" s="3180"/>
      <c r="H64" s="7209"/>
      <c r="I64" s="5079"/>
      <c r="J64" s="43">
        <f t="shared" si="4"/>
        <v>108.65</v>
      </c>
      <c r="K64" s="3180"/>
      <c r="L64" s="5082"/>
      <c r="M64" s="5081"/>
      <c r="N64" s="5081"/>
      <c r="O64" s="3180"/>
      <c r="P64" s="5082"/>
      <c r="Q64" s="5079"/>
      <c r="R64" s="5079"/>
      <c r="S64" s="3180"/>
      <c r="T64" s="5082"/>
      <c r="U64" s="5079"/>
      <c r="V64" s="5075">
        <f t="shared" si="7"/>
        <v>0</v>
      </c>
      <c r="W64" s="3180"/>
      <c r="X64" s="5082">
        <v>98.399999999999991</v>
      </c>
      <c r="Y64" s="3135"/>
      <c r="Z64" s="2636">
        <f t="shared" ref="Z64" si="17">P64+T64+X64</f>
        <v>98.399999999999991</v>
      </c>
      <c r="AA64" s="662"/>
      <c r="AB64" s="662">
        <f t="shared" ref="AB64" si="18">N64+Z64</f>
        <v>98.399999999999991</v>
      </c>
      <c r="AC64" s="3180"/>
      <c r="AD64" s="5437"/>
      <c r="AE64" s="5079"/>
      <c r="AF64" s="5456">
        <f t="shared" si="8"/>
        <v>98.399999999999991</v>
      </c>
      <c r="AG64" s="3180"/>
      <c r="AH64" s="5555"/>
      <c r="AI64" s="5553"/>
      <c r="AJ64" s="5535">
        <f t="shared" si="9"/>
        <v>98.399999999999991</v>
      </c>
      <c r="AK64" s="3180"/>
      <c r="AL64" s="5964">
        <v>104.55000000000001</v>
      </c>
      <c r="AM64" s="3135"/>
      <c r="AN64" s="2636">
        <f t="shared" si="2"/>
        <v>104.55000000000001</v>
      </c>
      <c r="AO64" s="5079"/>
      <c r="AP64" s="5960">
        <f t="shared" si="10"/>
        <v>202.95</v>
      </c>
      <c r="AQ64" s="3180"/>
      <c r="AR64" s="6117"/>
      <c r="AS64" s="5079"/>
      <c r="AT64" s="6113">
        <f t="shared" si="11"/>
        <v>202.95</v>
      </c>
      <c r="AU64" s="3180"/>
      <c r="AV64" s="6264"/>
      <c r="AW64" s="6256"/>
      <c r="AX64" s="6251">
        <f t="shared" si="12"/>
        <v>202.95</v>
      </c>
      <c r="AY64" s="3180"/>
      <c r="AZ64" s="6436"/>
      <c r="BA64" s="3135"/>
      <c r="BB64" s="2636">
        <f t="shared" si="3"/>
        <v>0</v>
      </c>
      <c r="BC64" s="5084"/>
      <c r="BD64" s="662">
        <f t="shared" si="13"/>
        <v>104.55000000000001</v>
      </c>
      <c r="BE64" s="5079"/>
      <c r="BF64" s="6421">
        <f t="shared" si="14"/>
        <v>202.95</v>
      </c>
      <c r="BG64" s="26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2255"/>
      <c r="B65" s="851" t="s">
        <v>870</v>
      </c>
      <c r="C65" s="3129" t="s">
        <v>1143</v>
      </c>
      <c r="D65" s="3130" t="s">
        <v>50</v>
      </c>
      <c r="E65" s="3180"/>
      <c r="F65" s="3132">
        <f>4571.5-18.45</f>
        <v>4553.05</v>
      </c>
      <c r="G65" s="3180"/>
      <c r="H65" s="7209">
        <f>3854-4.1</f>
        <v>3849.9</v>
      </c>
      <c r="I65" s="3133"/>
      <c r="J65" s="43">
        <f t="shared" si="4"/>
        <v>8402.9500000000007</v>
      </c>
      <c r="K65" s="3180"/>
      <c r="L65" s="4603">
        <f>7470.2-2.05-2.05-8.2-4.1</f>
        <v>7453.7999999999993</v>
      </c>
      <c r="M65" s="2249"/>
      <c r="N65" s="4594">
        <f t="shared" si="5"/>
        <v>15856.75</v>
      </c>
      <c r="O65" s="3180"/>
      <c r="P65" s="4791">
        <f>4182-6.15</f>
        <v>4175.8500000000004</v>
      </c>
      <c r="Q65" s="2250"/>
      <c r="R65" s="4773">
        <f t="shared" si="6"/>
        <v>20032.599999999999</v>
      </c>
      <c r="S65" s="3180"/>
      <c r="T65" s="3471">
        <f>14083.5-6.15</f>
        <v>14077.35</v>
      </c>
      <c r="U65" s="4938"/>
      <c r="V65" s="4938">
        <f t="shared" si="7"/>
        <v>34109.949999999997</v>
      </c>
      <c r="W65" s="3180"/>
      <c r="X65" s="3471">
        <f>7334.9-2.05</f>
        <v>7332.8499999999995</v>
      </c>
      <c r="Y65" s="2252"/>
      <c r="Z65" s="2636">
        <f t="shared" si="0"/>
        <v>25586.05</v>
      </c>
      <c r="AA65" s="662"/>
      <c r="AB65" s="662">
        <f t="shared" si="1"/>
        <v>41442.800000000003</v>
      </c>
      <c r="AC65" s="3180"/>
      <c r="AD65" s="5437">
        <f>12084.75-2.05-8.2</f>
        <v>12074.5</v>
      </c>
      <c r="AE65" s="2399"/>
      <c r="AF65" s="5456">
        <f t="shared" si="8"/>
        <v>53517.3</v>
      </c>
      <c r="AG65" s="3180"/>
      <c r="AH65" s="5555">
        <v>7810.5000000000036</v>
      </c>
      <c r="AI65" s="5535"/>
      <c r="AJ65" s="5535">
        <f t="shared" si="9"/>
        <v>61327.8</v>
      </c>
      <c r="AK65" s="3180"/>
      <c r="AL65" s="5964">
        <f>8031.90000000001-10.25-6.15</f>
        <v>8015.50000000001</v>
      </c>
      <c r="AM65" s="2636"/>
      <c r="AN65" s="2636">
        <f t="shared" si="2"/>
        <v>27900.500000000015</v>
      </c>
      <c r="AO65" s="2399"/>
      <c r="AP65" s="5960">
        <f t="shared" si="10"/>
        <v>69343.300000000017</v>
      </c>
      <c r="AQ65" s="3180"/>
      <c r="AR65" s="6117">
        <f>11424.65-22.55-2.05-4.1</f>
        <v>11395.95</v>
      </c>
      <c r="AS65" s="2399"/>
      <c r="AT65" s="6113">
        <f t="shared" si="11"/>
        <v>80739.250000000015</v>
      </c>
      <c r="AU65" s="3180"/>
      <c r="AV65" s="6264">
        <f>5916.3-67.65</f>
        <v>5848.6500000000005</v>
      </c>
      <c r="AW65" s="6251"/>
      <c r="AX65" s="6251">
        <f t="shared" si="12"/>
        <v>86587.900000000009</v>
      </c>
      <c r="AY65" s="3180"/>
      <c r="AZ65" s="6436">
        <v>5516.5500000000038</v>
      </c>
      <c r="BA65" s="2636"/>
      <c r="BB65" s="2636">
        <f t="shared" si="3"/>
        <v>22761.150000000005</v>
      </c>
      <c r="BC65" s="662"/>
      <c r="BD65" s="662">
        <f t="shared" si="13"/>
        <v>50661.650000000023</v>
      </c>
      <c r="BE65" s="2399"/>
      <c r="BF65" s="6421">
        <f t="shared" si="14"/>
        <v>92104.450000000012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55"/>
      <c r="B66" s="3456" t="s">
        <v>870</v>
      </c>
      <c r="C66" s="3457" t="s">
        <v>951</v>
      </c>
      <c r="D66" s="3458" t="s">
        <v>50</v>
      </c>
      <c r="E66" s="3461"/>
      <c r="F66" s="109"/>
      <c r="G66" s="3461"/>
      <c r="H66" s="109"/>
      <c r="I66" s="589"/>
      <c r="J66" s="43">
        <f t="shared" si="4"/>
        <v>0</v>
      </c>
      <c r="K66" s="3461"/>
      <c r="L66" s="109"/>
      <c r="M66" s="2249"/>
      <c r="N66" s="4594">
        <f t="shared" si="5"/>
        <v>0</v>
      </c>
      <c r="O66" s="3461"/>
      <c r="P66" s="109"/>
      <c r="Q66" s="2250"/>
      <c r="R66" s="4773">
        <f t="shared" si="6"/>
        <v>0</v>
      </c>
      <c r="S66" s="3461"/>
      <c r="T66" s="109"/>
      <c r="U66" s="4938"/>
      <c r="V66" s="4938">
        <f t="shared" si="7"/>
        <v>0</v>
      </c>
      <c r="W66" s="3461"/>
      <c r="X66" s="109"/>
      <c r="Y66" s="2252"/>
      <c r="Z66" s="2636">
        <f t="shared" si="0"/>
        <v>0</v>
      </c>
      <c r="AA66" s="662"/>
      <c r="AB66" s="662">
        <f t="shared" si="1"/>
        <v>0</v>
      </c>
      <c r="AC66" s="3461"/>
      <c r="AD66" s="109"/>
      <c r="AE66" s="2399"/>
      <c r="AF66" s="5456">
        <f t="shared" si="8"/>
        <v>0</v>
      </c>
      <c r="AG66" s="3461"/>
      <c r="AH66" s="109"/>
      <c r="AI66" s="5535"/>
      <c r="AJ66" s="5535">
        <f t="shared" si="9"/>
        <v>0</v>
      </c>
      <c r="AK66" s="3461"/>
      <c r="AL66" s="109"/>
      <c r="AM66" s="2636"/>
      <c r="AN66" s="2636">
        <f t="shared" si="2"/>
        <v>0</v>
      </c>
      <c r="AO66" s="2399"/>
      <c r="AP66" s="5960">
        <f t="shared" si="10"/>
        <v>0</v>
      </c>
      <c r="AQ66" s="3461"/>
      <c r="AR66" s="109"/>
      <c r="AS66" s="2399"/>
      <c r="AT66" s="6113">
        <f t="shared" si="11"/>
        <v>0</v>
      </c>
      <c r="AU66" s="3461"/>
      <c r="AV66" s="109"/>
      <c r="AW66" s="6251"/>
      <c r="AX66" s="6251">
        <f t="shared" si="12"/>
        <v>0</v>
      </c>
      <c r="AY66" s="3461"/>
      <c r="AZ66" s="109"/>
      <c r="BA66" s="2636"/>
      <c r="BB66" s="2636">
        <f t="shared" si="3"/>
        <v>0</v>
      </c>
      <c r="BC66" s="662"/>
      <c r="BD66" s="662">
        <f t="shared" si="13"/>
        <v>0</v>
      </c>
      <c r="BE66" s="2399"/>
      <c r="BF66" s="6421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5" thickBot="1" x14ac:dyDescent="0.3">
      <c r="A67" s="149"/>
      <c r="B67" s="851" t="s">
        <v>52</v>
      </c>
      <c r="C67" s="3129" t="s">
        <v>971</v>
      </c>
      <c r="D67" s="3130" t="s">
        <v>50</v>
      </c>
      <c r="E67" s="3131"/>
      <c r="F67" s="3132"/>
      <c r="G67" s="3131"/>
      <c r="H67" s="7209"/>
      <c r="I67" s="3133"/>
      <c r="J67" s="43">
        <f t="shared" si="4"/>
        <v>0</v>
      </c>
      <c r="K67" s="3131"/>
      <c r="L67" s="4603"/>
      <c r="M67" s="3134"/>
      <c r="N67" s="4594">
        <f t="shared" si="5"/>
        <v>0</v>
      </c>
      <c r="O67" s="3131"/>
      <c r="P67" s="4791"/>
      <c r="Q67" s="3133"/>
      <c r="R67" s="4773">
        <f t="shared" si="6"/>
        <v>0</v>
      </c>
      <c r="S67" s="3131"/>
      <c r="T67" s="4945"/>
      <c r="U67" s="4944"/>
      <c r="V67" s="4938">
        <f t="shared" si="7"/>
        <v>0</v>
      </c>
      <c r="W67" s="3131"/>
      <c r="X67" s="5082"/>
      <c r="Y67" s="3135"/>
      <c r="Z67" s="2636">
        <f t="shared" si="0"/>
        <v>0</v>
      </c>
      <c r="AA67" s="3312"/>
      <c r="AB67" s="662">
        <f t="shared" si="1"/>
        <v>0</v>
      </c>
      <c r="AC67" s="3131"/>
      <c r="AD67" s="5368"/>
      <c r="AE67" s="3133"/>
      <c r="AF67" s="5456">
        <f t="shared" si="8"/>
        <v>0</v>
      </c>
      <c r="AG67" s="3131"/>
      <c r="AH67" s="5555"/>
      <c r="AI67" s="5553"/>
      <c r="AJ67" s="5535">
        <f t="shared" si="9"/>
        <v>0</v>
      </c>
      <c r="AK67" s="3131"/>
      <c r="AL67" s="5964"/>
      <c r="AM67" s="3135"/>
      <c r="AN67" s="2636">
        <f t="shared" si="2"/>
        <v>0</v>
      </c>
      <c r="AO67" s="3133"/>
      <c r="AP67" s="5960">
        <f t="shared" si="10"/>
        <v>0</v>
      </c>
      <c r="AQ67" s="3131"/>
      <c r="AR67" s="6117"/>
      <c r="AS67" s="3133"/>
      <c r="AT67" s="6113">
        <f t="shared" si="11"/>
        <v>0</v>
      </c>
      <c r="AU67" s="3131"/>
      <c r="AV67" s="6264"/>
      <c r="AW67" s="6256"/>
      <c r="AX67" s="6251">
        <f t="shared" si="12"/>
        <v>0</v>
      </c>
      <c r="AY67" s="3131"/>
      <c r="AZ67" s="6436"/>
      <c r="BA67" s="3135"/>
      <c r="BB67" s="2636">
        <f t="shared" si="3"/>
        <v>0</v>
      </c>
      <c r="BC67" s="3312"/>
      <c r="BD67" s="662">
        <f t="shared" si="13"/>
        <v>0</v>
      </c>
      <c r="BE67" s="3133"/>
      <c r="BF67" s="6421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5" thickBot="1" x14ac:dyDescent="0.3">
      <c r="A68" s="149"/>
      <c r="B68" s="851" t="s">
        <v>52</v>
      </c>
      <c r="C68" s="3129" t="s">
        <v>973</v>
      </c>
      <c r="D68" s="3130" t="s">
        <v>50</v>
      </c>
      <c r="E68" s="3131"/>
      <c r="F68" s="3132"/>
      <c r="G68" s="3131"/>
      <c r="H68" s="7209"/>
      <c r="I68" s="3133"/>
      <c r="J68" s="43">
        <f t="shared" si="4"/>
        <v>0</v>
      </c>
      <c r="K68" s="3131"/>
      <c r="L68" s="4603"/>
      <c r="M68" s="782"/>
      <c r="N68" s="4594">
        <f t="shared" si="5"/>
        <v>0</v>
      </c>
      <c r="O68" s="3131"/>
      <c r="P68" s="4791"/>
      <c r="Q68" s="783"/>
      <c r="R68" s="4773">
        <f t="shared" si="6"/>
        <v>0</v>
      </c>
      <c r="S68" s="3131"/>
      <c r="T68" s="4945"/>
      <c r="U68" s="4938"/>
      <c r="V68" s="4938">
        <f t="shared" si="7"/>
        <v>0</v>
      </c>
      <c r="W68" s="3131"/>
      <c r="X68" s="5082"/>
      <c r="Y68" s="575"/>
      <c r="Z68" s="2636">
        <f t="shared" si="0"/>
        <v>0</v>
      </c>
      <c r="AA68" s="662"/>
      <c r="AB68" s="662">
        <f t="shared" si="1"/>
        <v>0</v>
      </c>
      <c r="AC68" s="3131"/>
      <c r="AD68" s="5368"/>
      <c r="AE68" s="2399"/>
      <c r="AF68" s="5456">
        <f t="shared" si="8"/>
        <v>0</v>
      </c>
      <c r="AG68" s="3131"/>
      <c r="AH68" s="5555"/>
      <c r="AI68" s="5535"/>
      <c r="AJ68" s="5535">
        <f t="shared" si="9"/>
        <v>0</v>
      </c>
      <c r="AK68" s="3131"/>
      <c r="AL68" s="5964"/>
      <c r="AM68" s="2636"/>
      <c r="AN68" s="2636">
        <f t="shared" si="2"/>
        <v>0</v>
      </c>
      <c r="AO68" s="2399"/>
      <c r="AP68" s="5960">
        <f t="shared" si="10"/>
        <v>0</v>
      </c>
      <c r="AQ68" s="3131"/>
      <c r="AR68" s="6117"/>
      <c r="AS68" s="2399"/>
      <c r="AT68" s="6113">
        <f t="shared" si="11"/>
        <v>0</v>
      </c>
      <c r="AU68" s="3131"/>
      <c r="AV68" s="6264"/>
      <c r="AW68" s="6251"/>
      <c r="AX68" s="6251">
        <f t="shared" si="12"/>
        <v>0</v>
      </c>
      <c r="AY68" s="3131"/>
      <c r="AZ68" s="6436"/>
      <c r="BA68" s="2636"/>
      <c r="BB68" s="2636">
        <f t="shared" si="3"/>
        <v>0</v>
      </c>
      <c r="BC68" s="662"/>
      <c r="BD68" s="662">
        <f t="shared" si="13"/>
        <v>0</v>
      </c>
      <c r="BE68" s="2399"/>
      <c r="BF68" s="6421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5" thickBot="1" x14ac:dyDescent="0.3">
      <c r="A69" s="149"/>
      <c r="B69" s="851" t="s">
        <v>52</v>
      </c>
      <c r="C69" s="3129" t="s">
        <v>1139</v>
      </c>
      <c r="D69" s="3130" t="s">
        <v>50</v>
      </c>
      <c r="E69" s="3131"/>
      <c r="F69" s="3132"/>
      <c r="G69" s="3131"/>
      <c r="H69" s="7209"/>
      <c r="I69" s="3133"/>
      <c r="J69" s="43">
        <f t="shared" si="4"/>
        <v>0</v>
      </c>
      <c r="K69" s="3131"/>
      <c r="L69" s="4603"/>
      <c r="M69" s="782"/>
      <c r="N69" s="4594">
        <f t="shared" si="5"/>
        <v>0</v>
      </c>
      <c r="O69" s="3131"/>
      <c r="P69" s="4791"/>
      <c r="Q69" s="783"/>
      <c r="R69" s="4773">
        <f t="shared" si="6"/>
        <v>0</v>
      </c>
      <c r="S69" s="3131"/>
      <c r="T69" s="4945"/>
      <c r="U69" s="4938"/>
      <c r="V69" s="4938">
        <f t="shared" si="7"/>
        <v>0</v>
      </c>
      <c r="W69" s="3131"/>
      <c r="X69" s="5082"/>
      <c r="Y69" s="575"/>
      <c r="Z69" s="2636">
        <f t="shared" si="0"/>
        <v>0</v>
      </c>
      <c r="AA69" s="662"/>
      <c r="AB69" s="662">
        <f t="shared" si="1"/>
        <v>0</v>
      </c>
      <c r="AC69" s="3131"/>
      <c r="AD69" s="5368"/>
      <c r="AE69" s="2399"/>
      <c r="AF69" s="5456">
        <f t="shared" si="8"/>
        <v>0</v>
      </c>
      <c r="AG69" s="3131"/>
      <c r="AH69" s="5555"/>
      <c r="AI69" s="5535"/>
      <c r="AJ69" s="5535">
        <f t="shared" si="9"/>
        <v>0</v>
      </c>
      <c r="AK69" s="3131"/>
      <c r="AL69" s="5964"/>
      <c r="AM69" s="2636"/>
      <c r="AN69" s="2636">
        <f t="shared" si="2"/>
        <v>0</v>
      </c>
      <c r="AO69" s="2399"/>
      <c r="AP69" s="5960">
        <f t="shared" si="10"/>
        <v>0</v>
      </c>
      <c r="AQ69" s="3131"/>
      <c r="AR69" s="6117"/>
      <c r="AS69" s="2399"/>
      <c r="AT69" s="6113">
        <f t="shared" si="11"/>
        <v>0</v>
      </c>
      <c r="AU69" s="3131"/>
      <c r="AV69" s="6264"/>
      <c r="AW69" s="6251"/>
      <c r="AX69" s="6251">
        <f t="shared" si="12"/>
        <v>0</v>
      </c>
      <c r="AY69" s="3131"/>
      <c r="AZ69" s="6436"/>
      <c r="BA69" s="2636"/>
      <c r="BB69" s="2636">
        <f t="shared" si="3"/>
        <v>0</v>
      </c>
      <c r="BC69" s="662"/>
      <c r="BD69" s="662">
        <f t="shared" si="13"/>
        <v>0</v>
      </c>
      <c r="BE69" s="2399"/>
      <c r="BF69" s="6421">
        <f t="shared" si="14"/>
        <v>0</v>
      </c>
      <c r="BG69" s="26"/>
      <c r="BH69" s="26"/>
      <c r="BI69" s="26"/>
      <c r="BJ69" s="26"/>
      <c r="BK69" s="26"/>
      <c r="BL69" s="26"/>
      <c r="BM69" s="26"/>
      <c r="BN69" s="26"/>
    </row>
    <row r="70" spans="1:66" ht="16.5" thickBot="1" x14ac:dyDescent="0.3">
      <c r="A70" s="149"/>
      <c r="B70" s="851" t="s">
        <v>52</v>
      </c>
      <c r="C70" s="3129" t="s">
        <v>978</v>
      </c>
      <c r="D70" s="3130" t="s">
        <v>50</v>
      </c>
      <c r="E70" s="3131"/>
      <c r="F70" s="3132"/>
      <c r="G70" s="3131"/>
      <c r="H70" s="7209"/>
      <c r="I70" s="3133"/>
      <c r="J70" s="43">
        <f t="shared" si="4"/>
        <v>0</v>
      </c>
      <c r="K70" s="3131"/>
      <c r="L70" s="4603"/>
      <c r="M70" s="782"/>
      <c r="N70" s="4594">
        <f t="shared" si="5"/>
        <v>0</v>
      </c>
      <c r="O70" s="3131"/>
      <c r="P70" s="4791"/>
      <c r="Q70" s="783"/>
      <c r="R70" s="4773">
        <f t="shared" si="6"/>
        <v>0</v>
      </c>
      <c r="S70" s="3131"/>
      <c r="T70" s="4945"/>
      <c r="U70" s="4938"/>
      <c r="V70" s="4938">
        <f t="shared" si="7"/>
        <v>0</v>
      </c>
      <c r="W70" s="3131"/>
      <c r="X70" s="5082"/>
      <c r="Y70" s="575"/>
      <c r="Z70" s="2636">
        <f t="shared" si="0"/>
        <v>0</v>
      </c>
      <c r="AA70" s="662"/>
      <c r="AB70" s="662">
        <f t="shared" si="1"/>
        <v>0</v>
      </c>
      <c r="AC70" s="3131"/>
      <c r="AD70" s="5368"/>
      <c r="AE70" s="2399"/>
      <c r="AF70" s="5456">
        <f t="shared" si="8"/>
        <v>0</v>
      </c>
      <c r="AG70" s="3131"/>
      <c r="AH70" s="5555"/>
      <c r="AI70" s="5535"/>
      <c r="AJ70" s="5535">
        <f t="shared" si="9"/>
        <v>0</v>
      </c>
      <c r="AK70" s="3131"/>
      <c r="AL70" s="5964"/>
      <c r="AM70" s="2636"/>
      <c r="AN70" s="2636">
        <f t="shared" si="2"/>
        <v>0</v>
      </c>
      <c r="AO70" s="2399"/>
      <c r="AP70" s="5960">
        <f t="shared" si="10"/>
        <v>0</v>
      </c>
      <c r="AQ70" s="3131"/>
      <c r="AR70" s="6117"/>
      <c r="AS70" s="2399"/>
      <c r="AT70" s="6113">
        <f t="shared" si="11"/>
        <v>0</v>
      </c>
      <c r="AU70" s="3131"/>
      <c r="AV70" s="6264"/>
      <c r="AW70" s="6251"/>
      <c r="AX70" s="6251">
        <f t="shared" si="12"/>
        <v>0</v>
      </c>
      <c r="AY70" s="3131"/>
      <c r="AZ70" s="6436"/>
      <c r="BA70" s="2636"/>
      <c r="BB70" s="2636">
        <f t="shared" si="3"/>
        <v>0</v>
      </c>
      <c r="BC70" s="662"/>
      <c r="BD70" s="662">
        <f t="shared" si="13"/>
        <v>0</v>
      </c>
      <c r="BE70" s="2399"/>
      <c r="BF70" s="6421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427" customFormat="1" ht="16.5" thickBot="1" x14ac:dyDescent="0.3">
      <c r="A71" s="149"/>
      <c r="B71" s="851" t="s">
        <v>52</v>
      </c>
      <c r="C71" s="3129" t="s">
        <v>1143</v>
      </c>
      <c r="D71" s="3130" t="s">
        <v>50</v>
      </c>
      <c r="E71" s="3131"/>
      <c r="F71" s="3132"/>
      <c r="G71" s="3131"/>
      <c r="H71" s="7209"/>
      <c r="I71" s="3133"/>
      <c r="J71" s="43">
        <f t="shared" si="4"/>
        <v>0</v>
      </c>
      <c r="K71" s="3131"/>
      <c r="L71" s="4603"/>
      <c r="M71" s="3426"/>
      <c r="N71" s="4594">
        <f t="shared" si="5"/>
        <v>0</v>
      </c>
      <c r="O71" s="3131"/>
      <c r="P71" s="4791"/>
      <c r="Q71" s="2399"/>
      <c r="R71" s="4773">
        <f t="shared" si="6"/>
        <v>0</v>
      </c>
      <c r="S71" s="3131"/>
      <c r="T71" s="4945"/>
      <c r="U71" s="4938"/>
      <c r="V71" s="4938">
        <f t="shared" si="7"/>
        <v>0</v>
      </c>
      <c r="W71" s="3131"/>
      <c r="X71" s="5082"/>
      <c r="Y71" s="2636"/>
      <c r="Z71" s="2636">
        <f t="shared" si="0"/>
        <v>0</v>
      </c>
      <c r="AA71" s="662"/>
      <c r="AB71" s="662">
        <f t="shared" si="1"/>
        <v>0</v>
      </c>
      <c r="AC71" s="3131"/>
      <c r="AD71" s="5368"/>
      <c r="AE71" s="2399"/>
      <c r="AF71" s="5456">
        <f t="shared" si="8"/>
        <v>0</v>
      </c>
      <c r="AG71" s="3131"/>
      <c r="AH71" s="5555"/>
      <c r="AI71" s="5535"/>
      <c r="AJ71" s="5535">
        <f t="shared" si="9"/>
        <v>0</v>
      </c>
      <c r="AK71" s="3131"/>
      <c r="AL71" s="5964"/>
      <c r="AM71" s="2636"/>
      <c r="AN71" s="2636">
        <f t="shared" si="2"/>
        <v>0</v>
      </c>
      <c r="AO71" s="2399"/>
      <c r="AP71" s="5960">
        <f t="shared" si="10"/>
        <v>0</v>
      </c>
      <c r="AQ71" s="3131"/>
      <c r="AR71" s="6117"/>
      <c r="AS71" s="2399"/>
      <c r="AT71" s="6113">
        <f t="shared" si="11"/>
        <v>0</v>
      </c>
      <c r="AU71" s="3131"/>
      <c r="AV71" s="6264"/>
      <c r="AW71" s="6251"/>
      <c r="AX71" s="6251">
        <f t="shared" si="12"/>
        <v>0</v>
      </c>
      <c r="AY71" s="3131"/>
      <c r="AZ71" s="6436"/>
      <c r="BA71" s="2636"/>
      <c r="BB71" s="2636">
        <f t="shared" si="3"/>
        <v>0</v>
      </c>
      <c r="BC71" s="662"/>
      <c r="BD71" s="662">
        <f t="shared" si="13"/>
        <v>0</v>
      </c>
      <c r="BE71" s="2399"/>
      <c r="BF71" s="6421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56" t="s">
        <v>52</v>
      </c>
      <c r="C72" s="3457" t="s">
        <v>1475</v>
      </c>
      <c r="D72" s="3458" t="s">
        <v>50</v>
      </c>
      <c r="E72" s="3462"/>
      <c r="F72" s="109"/>
      <c r="G72" s="3462"/>
      <c r="H72" s="109"/>
      <c r="I72" s="589"/>
      <c r="J72" s="43">
        <f t="shared" ref="J72:J117" si="19">+F72+H72</f>
        <v>0</v>
      </c>
      <c r="K72" s="3462"/>
      <c r="L72" s="109"/>
      <c r="M72" s="782"/>
      <c r="N72" s="4594">
        <f t="shared" si="5"/>
        <v>0</v>
      </c>
      <c r="O72" s="3462"/>
      <c r="P72" s="109"/>
      <c r="Q72" s="783"/>
      <c r="R72" s="4773">
        <f t="shared" si="6"/>
        <v>0</v>
      </c>
      <c r="S72" s="3462"/>
      <c r="T72" s="109"/>
      <c r="U72" s="4938"/>
      <c r="V72" s="4938">
        <f t="shared" si="7"/>
        <v>0</v>
      </c>
      <c r="W72" s="3462"/>
      <c r="X72" s="109"/>
      <c r="Y72" s="575"/>
      <c r="Z72" s="2636">
        <f t="shared" si="0"/>
        <v>0</v>
      </c>
      <c r="AA72" s="662"/>
      <c r="AB72" s="662">
        <f t="shared" si="1"/>
        <v>0</v>
      </c>
      <c r="AC72" s="3462"/>
      <c r="AD72" s="109"/>
      <c r="AE72" s="2399"/>
      <c r="AF72" s="5456">
        <f t="shared" si="8"/>
        <v>0</v>
      </c>
      <c r="AG72" s="3462"/>
      <c r="AH72" s="109"/>
      <c r="AI72" s="5535"/>
      <c r="AJ72" s="5535">
        <f t="shared" si="9"/>
        <v>0</v>
      </c>
      <c r="AK72" s="3462"/>
      <c r="AL72" s="109"/>
      <c r="AM72" s="2636"/>
      <c r="AN72" s="2636">
        <f t="shared" si="2"/>
        <v>0</v>
      </c>
      <c r="AO72" s="2399"/>
      <c r="AP72" s="5960">
        <f t="shared" si="10"/>
        <v>0</v>
      </c>
      <c r="AQ72" s="3462"/>
      <c r="AR72" s="109"/>
      <c r="AS72" s="2399"/>
      <c r="AT72" s="6113">
        <f t="shared" si="11"/>
        <v>0</v>
      </c>
      <c r="AU72" s="3462"/>
      <c r="AV72" s="109"/>
      <c r="AW72" s="6251"/>
      <c r="AX72" s="6251">
        <f t="shared" si="12"/>
        <v>0</v>
      </c>
      <c r="AY72" s="3462"/>
      <c r="AZ72" s="109"/>
      <c r="BA72" s="2636"/>
      <c r="BB72" s="2636">
        <f t="shared" ref="BB72:BB116" si="20">AR72+AV72+AZ72</f>
        <v>0</v>
      </c>
      <c r="BC72" s="662"/>
      <c r="BD72" s="662">
        <f t="shared" si="13"/>
        <v>0</v>
      </c>
      <c r="BE72" s="2399"/>
      <c r="BF72" s="6421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5" thickBot="1" x14ac:dyDescent="0.3">
      <c r="B73" s="3452" t="s">
        <v>868</v>
      </c>
      <c r="C73" s="3453" t="s">
        <v>1139</v>
      </c>
      <c r="D73" s="3454" t="s">
        <v>50</v>
      </c>
      <c r="E73" s="3463"/>
      <c r="F73" s="158">
        <v>145.55000000000001</v>
      </c>
      <c r="G73" s="3463"/>
      <c r="H73" s="158">
        <v>516.6</v>
      </c>
      <c r="I73" s="3464"/>
      <c r="J73" s="43">
        <f t="shared" si="19"/>
        <v>662.15000000000009</v>
      </c>
      <c r="K73" s="3463"/>
      <c r="L73" s="158"/>
      <c r="M73" s="904"/>
      <c r="N73" s="4594">
        <f t="shared" si="5"/>
        <v>662.15000000000009</v>
      </c>
      <c r="O73" s="3463"/>
      <c r="P73" s="158">
        <v>207.04999999999998</v>
      </c>
      <c r="Q73" s="853"/>
      <c r="R73" s="4773">
        <f t="shared" si="6"/>
        <v>869.2</v>
      </c>
      <c r="S73" s="3463"/>
      <c r="T73" s="158"/>
      <c r="U73" s="853"/>
      <c r="V73" s="4938">
        <f t="shared" si="7"/>
        <v>869.2</v>
      </c>
      <c r="W73" s="3463"/>
      <c r="X73" s="158">
        <v>307.5</v>
      </c>
      <c r="Y73" s="575"/>
      <c r="Z73" s="2636">
        <f t="shared" si="0"/>
        <v>514.54999999999995</v>
      </c>
      <c r="AA73" s="662"/>
      <c r="AB73" s="662">
        <f t="shared" si="1"/>
        <v>1176.7</v>
      </c>
      <c r="AC73" s="3463"/>
      <c r="AD73" s="158"/>
      <c r="AE73" s="853"/>
      <c r="AF73" s="5456">
        <f t="shared" si="8"/>
        <v>1176.7</v>
      </c>
      <c r="AG73" s="3463"/>
      <c r="AH73" s="158"/>
      <c r="AI73" s="853"/>
      <c r="AJ73" s="5535">
        <f t="shared" si="9"/>
        <v>1176.7</v>
      </c>
      <c r="AK73" s="3463"/>
      <c r="AL73" s="158"/>
      <c r="AM73" s="2636"/>
      <c r="AN73" s="2636">
        <f t="shared" ref="AN73:AN139" si="21">AD73+AH73+AL73</f>
        <v>0</v>
      </c>
      <c r="AO73" s="2399"/>
      <c r="AP73" s="5960">
        <f t="shared" si="10"/>
        <v>1176.7</v>
      </c>
      <c r="AQ73" s="3463"/>
      <c r="AR73" s="158">
        <f>246-4.1</f>
        <v>241.9</v>
      </c>
      <c r="AS73" s="853"/>
      <c r="AT73" s="6113">
        <f t="shared" si="11"/>
        <v>1418.6000000000001</v>
      </c>
      <c r="AU73" s="3463"/>
      <c r="AV73" s="158"/>
      <c r="AW73" s="853"/>
      <c r="AX73" s="6251">
        <f t="shared" si="12"/>
        <v>1418.6000000000001</v>
      </c>
      <c r="AY73" s="3463"/>
      <c r="AZ73" s="158">
        <v>469.44999999999993</v>
      </c>
      <c r="BA73" s="2636"/>
      <c r="BB73" s="2636">
        <f t="shared" si="20"/>
        <v>711.34999999999991</v>
      </c>
      <c r="BC73" s="662"/>
      <c r="BD73" s="662">
        <f t="shared" ref="BD73:BD137" si="22">AN73+BB73</f>
        <v>711.34999999999991</v>
      </c>
      <c r="BE73" s="2399"/>
      <c r="BF73" s="6421">
        <f t="shared" ref="BF73:BF117" si="23">+AX73+AZ73</f>
        <v>1888.0500000000002</v>
      </c>
      <c r="BG73" s="26"/>
      <c r="BH73" s="26"/>
      <c r="BI73" s="26"/>
      <c r="BJ73" s="26"/>
      <c r="BK73" s="26"/>
      <c r="BL73" s="26"/>
      <c r="BM73" s="26"/>
      <c r="BN73" s="26"/>
    </row>
    <row r="74" spans="1:66" ht="16.5" thickBot="1" x14ac:dyDescent="0.3">
      <c r="B74" s="851" t="s">
        <v>868</v>
      </c>
      <c r="C74" s="3129" t="s">
        <v>978</v>
      </c>
      <c r="D74" s="3130" t="s">
        <v>50</v>
      </c>
      <c r="E74" s="854"/>
      <c r="F74" s="3132">
        <f>307.5-6.15</f>
        <v>301.35000000000002</v>
      </c>
      <c r="G74" s="854"/>
      <c r="H74" s="7209">
        <v>506.35</v>
      </c>
      <c r="I74" s="3465"/>
      <c r="J74" s="43">
        <f t="shared" si="19"/>
        <v>807.7</v>
      </c>
      <c r="K74" s="854"/>
      <c r="L74" s="4603"/>
      <c r="M74" s="904"/>
      <c r="N74" s="4594">
        <f t="shared" si="5"/>
        <v>807.7</v>
      </c>
      <c r="O74" s="854"/>
      <c r="P74" s="4791">
        <v>1465.7499999999998</v>
      </c>
      <c r="Q74" s="853"/>
      <c r="R74" s="4773">
        <f t="shared" si="6"/>
        <v>2273.4499999999998</v>
      </c>
      <c r="S74" s="854"/>
      <c r="T74" s="4945"/>
      <c r="U74" s="853"/>
      <c r="V74" s="4938">
        <f t="shared" si="7"/>
        <v>2273.4499999999998</v>
      </c>
      <c r="W74" s="854"/>
      <c r="X74" s="5082">
        <f>506.35-24.6</f>
        <v>481.75</v>
      </c>
      <c r="Y74" s="575"/>
      <c r="Z74" s="2636">
        <f t="shared" si="0"/>
        <v>1947.4999999999998</v>
      </c>
      <c r="AA74" s="662"/>
      <c r="AB74" s="662">
        <f t="shared" si="1"/>
        <v>2755.2</v>
      </c>
      <c r="AC74" s="854"/>
      <c r="AD74" s="5368"/>
      <c r="AE74" s="853"/>
      <c r="AF74" s="5456">
        <f t="shared" ref="AF74:AF78" si="24">+AB74+AD74</f>
        <v>2755.2</v>
      </c>
      <c r="AG74" s="854"/>
      <c r="AH74" s="5555"/>
      <c r="AI74" s="853"/>
      <c r="AJ74" s="5535">
        <f t="shared" ref="AJ74:AJ119" si="25">+AF74+AH74</f>
        <v>2755.2</v>
      </c>
      <c r="AK74" s="854"/>
      <c r="AL74" s="5964"/>
      <c r="AM74" s="2636"/>
      <c r="AN74" s="2636">
        <f t="shared" si="21"/>
        <v>0</v>
      </c>
      <c r="AO74" s="2399"/>
      <c r="AP74" s="5960">
        <f t="shared" ref="AP74:AP140" si="26">AJ74+AL74</f>
        <v>2755.2</v>
      </c>
      <c r="AQ74" s="854"/>
      <c r="AR74" s="6117">
        <v>227.55</v>
      </c>
      <c r="AS74" s="853"/>
      <c r="AT74" s="6113">
        <f t="shared" ref="AT74:AT119" si="27">+AP74+AR74</f>
        <v>2982.75</v>
      </c>
      <c r="AU74" s="854"/>
      <c r="AV74" s="6264"/>
      <c r="AW74" s="853"/>
      <c r="AX74" s="6251">
        <f t="shared" ref="AX74:AX138" si="28">+AT74+AV74</f>
        <v>2982.75</v>
      </c>
      <c r="AY74" s="854"/>
      <c r="AZ74" s="6436">
        <v>680.6</v>
      </c>
      <c r="BA74" s="2636"/>
      <c r="BB74" s="2636">
        <f t="shared" si="20"/>
        <v>908.15000000000009</v>
      </c>
      <c r="BC74" s="662"/>
      <c r="BD74" s="662">
        <f t="shared" si="22"/>
        <v>908.15000000000009</v>
      </c>
      <c r="BE74" s="2399"/>
      <c r="BF74" s="6421">
        <f t="shared" si="23"/>
        <v>3663.35</v>
      </c>
      <c r="BG74" s="26"/>
      <c r="BH74" s="26"/>
      <c r="BI74" s="26"/>
      <c r="BJ74" s="26"/>
      <c r="BK74" s="26"/>
      <c r="BL74" s="26"/>
      <c r="BM74" s="26"/>
      <c r="BN74" s="26"/>
    </row>
    <row r="75" spans="1:66" s="5172" customFormat="1" ht="16.5" thickBot="1" x14ac:dyDescent="0.3">
      <c r="B75" s="851" t="s">
        <v>868</v>
      </c>
      <c r="C75" s="3129" t="s">
        <v>1040</v>
      </c>
      <c r="D75" s="3130" t="s">
        <v>50</v>
      </c>
      <c r="E75" s="6123"/>
      <c r="F75" s="6010">
        <v>410.00000000000006</v>
      </c>
      <c r="G75" s="6123"/>
      <c r="H75" s="6010"/>
      <c r="I75" s="6124"/>
      <c r="J75" s="43">
        <f t="shared" si="19"/>
        <v>410.00000000000006</v>
      </c>
      <c r="K75" s="6123"/>
      <c r="L75" s="6010"/>
      <c r="M75" s="6125"/>
      <c r="N75" s="6014"/>
      <c r="O75" s="6123"/>
      <c r="P75" s="6010"/>
      <c r="Q75" s="6124"/>
      <c r="R75" s="6012"/>
      <c r="S75" s="6123"/>
      <c r="T75" s="6010"/>
      <c r="U75" s="6124"/>
      <c r="V75" s="6012"/>
      <c r="W75" s="6123"/>
      <c r="X75" s="6010"/>
      <c r="Y75" s="6126"/>
      <c r="Z75" s="6126"/>
      <c r="AA75" s="6127"/>
      <c r="AB75" s="6127"/>
      <c r="AC75" s="6123"/>
      <c r="AD75" s="6010"/>
      <c r="AE75" s="6124"/>
      <c r="AF75" s="6012"/>
      <c r="AG75" s="6123"/>
      <c r="AH75" s="6010"/>
      <c r="AI75" s="6124"/>
      <c r="AJ75" s="6012"/>
      <c r="AK75" s="6123"/>
      <c r="AL75" s="6010"/>
      <c r="AM75" s="6126"/>
      <c r="AN75" s="6126"/>
      <c r="AO75" s="6012"/>
      <c r="AP75" s="6012"/>
      <c r="AQ75" s="6123"/>
      <c r="AR75" s="6010">
        <v>135.30000000000001</v>
      </c>
      <c r="AS75" s="6124"/>
      <c r="AT75" s="6113">
        <f t="shared" si="27"/>
        <v>135.30000000000001</v>
      </c>
      <c r="AU75" s="6123"/>
      <c r="AV75" s="6010"/>
      <c r="AW75" s="6124"/>
      <c r="AX75" s="6251">
        <f t="shared" si="28"/>
        <v>135.30000000000001</v>
      </c>
      <c r="AY75" s="6123"/>
      <c r="AZ75" s="6010"/>
      <c r="BA75" s="6126"/>
      <c r="BB75" s="2636">
        <f t="shared" si="20"/>
        <v>135.30000000000001</v>
      </c>
      <c r="BC75" s="6127"/>
      <c r="BD75" s="662">
        <f t="shared" si="22"/>
        <v>135.30000000000001</v>
      </c>
      <c r="BE75" s="6012"/>
      <c r="BF75" s="6421">
        <f t="shared" si="23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5" thickBot="1" x14ac:dyDescent="0.3">
      <c r="B76" s="851" t="s">
        <v>868</v>
      </c>
      <c r="C76" s="3129" t="s">
        <v>976</v>
      </c>
      <c r="D76" s="3130" t="s">
        <v>50</v>
      </c>
      <c r="E76" s="854"/>
      <c r="F76" s="3132"/>
      <c r="G76" s="854"/>
      <c r="H76" s="7209"/>
      <c r="I76" s="3465"/>
      <c r="J76" s="43">
        <f t="shared" si="19"/>
        <v>0</v>
      </c>
      <c r="K76" s="854"/>
      <c r="L76" s="4603"/>
      <c r="M76" s="904"/>
      <c r="N76" s="4594">
        <f t="shared" si="5"/>
        <v>0</v>
      </c>
      <c r="O76" s="854"/>
      <c r="P76" s="4791">
        <v>53.3</v>
      </c>
      <c r="Q76" s="853"/>
      <c r="R76" s="4773">
        <f t="shared" si="6"/>
        <v>53.3</v>
      </c>
      <c r="S76" s="854"/>
      <c r="T76" s="4945"/>
      <c r="U76" s="853"/>
      <c r="V76" s="4938">
        <f t="shared" si="7"/>
        <v>53.3</v>
      </c>
      <c r="W76" s="854"/>
      <c r="X76" s="5082"/>
      <c r="Y76" s="575"/>
      <c r="Z76" s="2636">
        <f t="shared" si="0"/>
        <v>53.3</v>
      </c>
      <c r="AA76" s="662"/>
      <c r="AB76" s="662">
        <f t="shared" si="1"/>
        <v>53.3</v>
      </c>
      <c r="AC76" s="854"/>
      <c r="AD76" s="5368"/>
      <c r="AE76" s="853"/>
      <c r="AF76" s="5456">
        <f t="shared" si="24"/>
        <v>53.3</v>
      </c>
      <c r="AG76" s="854"/>
      <c r="AH76" s="5555"/>
      <c r="AI76" s="853"/>
      <c r="AJ76" s="5535">
        <f t="shared" si="25"/>
        <v>53.3</v>
      </c>
      <c r="AK76" s="854"/>
      <c r="AL76" s="5964"/>
      <c r="AM76" s="2636"/>
      <c r="AN76" s="2636">
        <f t="shared" si="21"/>
        <v>0</v>
      </c>
      <c r="AO76" s="2399"/>
      <c r="AP76" s="5960">
        <f t="shared" si="26"/>
        <v>53.3</v>
      </c>
      <c r="AQ76" s="854"/>
      <c r="AR76" s="6117"/>
      <c r="AS76" s="853"/>
      <c r="AT76" s="6113">
        <f t="shared" si="27"/>
        <v>53.3</v>
      </c>
      <c r="AU76" s="854"/>
      <c r="AV76" s="6264"/>
      <c r="AW76" s="853"/>
      <c r="AX76" s="6251">
        <f t="shared" si="28"/>
        <v>53.3</v>
      </c>
      <c r="AY76" s="854"/>
      <c r="AZ76" s="6436"/>
      <c r="BA76" s="2636"/>
      <c r="BB76" s="2636">
        <f t="shared" si="20"/>
        <v>0</v>
      </c>
      <c r="BC76" s="662"/>
      <c r="BD76" s="662">
        <f t="shared" si="22"/>
        <v>0</v>
      </c>
      <c r="BE76" s="2399"/>
      <c r="BF76" s="6421">
        <f t="shared" si="23"/>
        <v>53.3</v>
      </c>
      <c r="BG76" s="26"/>
      <c r="BH76" s="26"/>
      <c r="BI76" s="26"/>
      <c r="BJ76" s="26"/>
      <c r="BK76" s="26"/>
      <c r="BL76" s="26"/>
      <c r="BM76" s="26"/>
      <c r="BN76" s="26"/>
    </row>
    <row r="77" spans="1:66" ht="16.5" thickBot="1" x14ac:dyDescent="0.3">
      <c r="B77" s="851" t="s">
        <v>868</v>
      </c>
      <c r="C77" s="3129" t="s">
        <v>1142</v>
      </c>
      <c r="D77" s="3130" t="s">
        <v>50</v>
      </c>
      <c r="E77" s="854"/>
      <c r="F77" s="3132"/>
      <c r="G77" s="854"/>
      <c r="H77" s="7209"/>
      <c r="I77" s="3465"/>
      <c r="J77" s="43">
        <f t="shared" si="19"/>
        <v>0</v>
      </c>
      <c r="K77" s="854"/>
      <c r="L77" s="4603"/>
      <c r="M77" s="904"/>
      <c r="N77" s="4594">
        <f t="shared" si="5"/>
        <v>0</v>
      </c>
      <c r="O77" s="854"/>
      <c r="P77" s="4791">
        <v>82</v>
      </c>
      <c r="Q77" s="853"/>
      <c r="R77" s="4773">
        <f t="shared" si="6"/>
        <v>82</v>
      </c>
      <c r="S77" s="854"/>
      <c r="T77" s="4945"/>
      <c r="U77" s="853"/>
      <c r="V77" s="4938">
        <f t="shared" si="7"/>
        <v>82</v>
      </c>
      <c r="W77" s="854"/>
      <c r="X77" s="5082"/>
      <c r="Y77" s="575"/>
      <c r="Z77" s="2636">
        <f t="shared" ref="Z77:Z149" si="29">P77+T77+X77</f>
        <v>82</v>
      </c>
      <c r="AA77" s="662"/>
      <c r="AB77" s="662">
        <f t="shared" ref="AB77:AB149" si="30">N77+Z77</f>
        <v>82</v>
      </c>
      <c r="AC77" s="854"/>
      <c r="AD77" s="5368"/>
      <c r="AE77" s="853"/>
      <c r="AF77" s="5456">
        <f t="shared" si="24"/>
        <v>82</v>
      </c>
      <c r="AG77" s="854"/>
      <c r="AH77" s="5555"/>
      <c r="AI77" s="853"/>
      <c r="AJ77" s="5535">
        <f t="shared" si="25"/>
        <v>82</v>
      </c>
      <c r="AK77" s="854"/>
      <c r="AL77" s="5964"/>
      <c r="AM77" s="2636"/>
      <c r="AN77" s="2636">
        <f t="shared" si="21"/>
        <v>0</v>
      </c>
      <c r="AO77" s="2399"/>
      <c r="AP77" s="5960">
        <f t="shared" si="26"/>
        <v>82</v>
      </c>
      <c r="AQ77" s="854"/>
      <c r="AR77" s="6117"/>
      <c r="AS77" s="853"/>
      <c r="AT77" s="6113">
        <f t="shared" si="27"/>
        <v>82</v>
      </c>
      <c r="AU77" s="854"/>
      <c r="AV77" s="6264"/>
      <c r="AW77" s="853"/>
      <c r="AX77" s="6251">
        <f t="shared" si="28"/>
        <v>82</v>
      </c>
      <c r="AY77" s="854"/>
      <c r="AZ77" s="6436"/>
      <c r="BA77" s="2636"/>
      <c r="BB77" s="2636">
        <f t="shared" si="20"/>
        <v>0</v>
      </c>
      <c r="BC77" s="662"/>
      <c r="BD77" s="662">
        <f t="shared" si="22"/>
        <v>0</v>
      </c>
      <c r="BE77" s="2399"/>
      <c r="BF77" s="6421">
        <f t="shared" si="23"/>
        <v>82</v>
      </c>
      <c r="BG77" s="26"/>
      <c r="BH77" s="26"/>
      <c r="BI77" s="26"/>
      <c r="BJ77" s="26"/>
      <c r="BK77" s="26"/>
      <c r="BL77" s="26"/>
      <c r="BM77" s="26"/>
      <c r="BN77" s="26"/>
    </row>
    <row r="78" spans="1:66" s="4712" customFormat="1" ht="16.5" thickBot="1" x14ac:dyDescent="0.3">
      <c r="B78" s="851" t="s">
        <v>868</v>
      </c>
      <c r="C78" s="3129" t="s">
        <v>1475</v>
      </c>
      <c r="D78" s="3130" t="s">
        <v>50</v>
      </c>
      <c r="E78" s="854"/>
      <c r="F78" s="5082">
        <v>67.650000000000006</v>
      </c>
      <c r="G78" s="854"/>
      <c r="H78" s="7209"/>
      <c r="I78" s="3465"/>
      <c r="J78" s="43">
        <f t="shared" si="19"/>
        <v>67.650000000000006</v>
      </c>
      <c r="K78" s="854"/>
      <c r="L78" s="5082"/>
      <c r="M78" s="3420"/>
      <c r="N78" s="5081"/>
      <c r="O78" s="854"/>
      <c r="P78" s="5082"/>
      <c r="Q78" s="3465"/>
      <c r="R78" s="5079"/>
      <c r="S78" s="854"/>
      <c r="T78" s="5082"/>
      <c r="U78" s="3465"/>
      <c r="V78" s="5075">
        <f t="shared" si="7"/>
        <v>0</v>
      </c>
      <c r="W78" s="854"/>
      <c r="X78" s="5082">
        <v>264.45</v>
      </c>
      <c r="Y78" s="3135"/>
      <c r="Z78" s="2636">
        <f t="shared" si="29"/>
        <v>264.45</v>
      </c>
      <c r="AA78" s="5084"/>
      <c r="AB78" s="662">
        <f t="shared" si="30"/>
        <v>264.45</v>
      </c>
      <c r="AC78" s="854"/>
      <c r="AD78" s="5368"/>
      <c r="AE78" s="3465"/>
      <c r="AF78" s="5456">
        <f t="shared" si="24"/>
        <v>264.45</v>
      </c>
      <c r="AG78" s="854"/>
      <c r="AH78" s="5555"/>
      <c r="AI78" s="3465"/>
      <c r="AJ78" s="5535">
        <f t="shared" si="25"/>
        <v>264.45</v>
      </c>
      <c r="AK78" s="854"/>
      <c r="AL78" s="5964"/>
      <c r="AM78" s="3135"/>
      <c r="AN78" s="2636">
        <f t="shared" si="21"/>
        <v>0</v>
      </c>
      <c r="AO78" s="5079"/>
      <c r="AP78" s="5960">
        <f t="shared" si="26"/>
        <v>264.45</v>
      </c>
      <c r="AQ78" s="854"/>
      <c r="AR78" s="6117">
        <v>202.95</v>
      </c>
      <c r="AS78" s="3465"/>
      <c r="AT78" s="6113">
        <f t="shared" si="27"/>
        <v>467.4</v>
      </c>
      <c r="AU78" s="854"/>
      <c r="AV78" s="6264"/>
      <c r="AW78" s="3465"/>
      <c r="AX78" s="6251">
        <f t="shared" si="28"/>
        <v>467.4</v>
      </c>
      <c r="AY78" s="854"/>
      <c r="AZ78" s="6436">
        <v>381.3</v>
      </c>
      <c r="BA78" s="3135"/>
      <c r="BB78" s="2636">
        <f t="shared" si="20"/>
        <v>584.25</v>
      </c>
      <c r="BC78" s="5084"/>
      <c r="BD78" s="662">
        <f t="shared" si="22"/>
        <v>584.25</v>
      </c>
      <c r="BE78" s="5079"/>
      <c r="BF78" s="6421">
        <f t="shared" si="23"/>
        <v>848.7</v>
      </c>
      <c r="BG78" s="26"/>
      <c r="BH78" s="26"/>
      <c r="BI78" s="26"/>
      <c r="BJ78" s="26"/>
      <c r="BK78" s="26"/>
      <c r="BL78" s="26"/>
      <c r="BM78" s="26"/>
      <c r="BN78" s="26"/>
    </row>
    <row r="79" spans="1:66" s="4712" customFormat="1" ht="16.5" thickBot="1" x14ac:dyDescent="0.3">
      <c r="B79" s="851" t="s">
        <v>868</v>
      </c>
      <c r="C79" s="3129" t="s">
        <v>1986</v>
      </c>
      <c r="D79" s="3130" t="s">
        <v>50</v>
      </c>
      <c r="E79" s="854"/>
      <c r="F79" s="5082">
        <v>514.54999999999995</v>
      </c>
      <c r="G79" s="854"/>
      <c r="H79" s="7209"/>
      <c r="I79" s="3465"/>
      <c r="J79" s="43">
        <f t="shared" si="19"/>
        <v>514.54999999999995</v>
      </c>
      <c r="K79" s="854"/>
      <c r="L79" s="5082"/>
      <c r="M79" s="3420"/>
      <c r="N79" s="5081"/>
      <c r="O79" s="854"/>
      <c r="P79" s="5082"/>
      <c r="Q79" s="3465"/>
      <c r="R79" s="5079"/>
      <c r="S79" s="854"/>
      <c r="T79" s="5082"/>
      <c r="U79" s="3465"/>
      <c r="V79" s="5075">
        <f t="shared" si="7"/>
        <v>0</v>
      </c>
      <c r="W79" s="854"/>
      <c r="X79" s="5082">
        <v>582.19999999999993</v>
      </c>
      <c r="Y79" s="3135"/>
      <c r="Z79" s="2636">
        <f t="shared" ref="Z79" si="31">P79+T79+X79</f>
        <v>582.19999999999993</v>
      </c>
      <c r="AA79" s="5084"/>
      <c r="AB79" s="662">
        <f t="shared" ref="AB79" si="32">N79+Z79</f>
        <v>582.19999999999993</v>
      </c>
      <c r="AC79" s="854"/>
      <c r="AD79" s="5368"/>
      <c r="AE79" s="3465"/>
      <c r="AF79" s="5359">
        <f t="shared" ref="AF79:AF146" si="33">+AB79+AD79</f>
        <v>582.19999999999993</v>
      </c>
      <c r="AG79" s="854"/>
      <c r="AH79" s="5555"/>
      <c r="AI79" s="3465"/>
      <c r="AJ79" s="5535">
        <f t="shared" si="25"/>
        <v>582.19999999999993</v>
      </c>
      <c r="AK79" s="854"/>
      <c r="AL79" s="5964"/>
      <c r="AM79" s="3135"/>
      <c r="AN79" s="2636">
        <f t="shared" si="21"/>
        <v>0</v>
      </c>
      <c r="AO79" s="5079"/>
      <c r="AP79" s="5960">
        <f t="shared" si="26"/>
        <v>582.19999999999993</v>
      </c>
      <c r="AQ79" s="854"/>
      <c r="AR79" s="6117">
        <v>678.55000000000007</v>
      </c>
      <c r="AS79" s="3465"/>
      <c r="AT79" s="6113">
        <f t="shared" si="27"/>
        <v>1260.75</v>
      </c>
      <c r="AU79" s="854"/>
      <c r="AV79" s="6264"/>
      <c r="AW79" s="3465"/>
      <c r="AX79" s="6251">
        <f t="shared" si="28"/>
        <v>1260.75</v>
      </c>
      <c r="AY79" s="854"/>
      <c r="AZ79" s="6436"/>
      <c r="BA79" s="3135"/>
      <c r="BB79" s="2636">
        <f t="shared" si="20"/>
        <v>678.55000000000007</v>
      </c>
      <c r="BC79" s="5084"/>
      <c r="BD79" s="662">
        <f t="shared" si="22"/>
        <v>678.55000000000007</v>
      </c>
      <c r="BE79" s="5079"/>
      <c r="BF79" s="6421">
        <f t="shared" si="23"/>
        <v>1260.75</v>
      </c>
      <c r="BG79" s="26"/>
      <c r="BH79" s="26"/>
      <c r="BI79" s="26"/>
      <c r="BJ79" s="26"/>
      <c r="BK79" s="26"/>
      <c r="BL79" s="26"/>
      <c r="BM79" s="26"/>
      <c r="BN79" s="26"/>
    </row>
    <row r="80" spans="1:66" ht="16.5" thickBot="1" x14ac:dyDescent="0.3">
      <c r="B80" s="851" t="s">
        <v>868</v>
      </c>
      <c r="C80" s="3129" t="s">
        <v>1535</v>
      </c>
      <c r="D80" s="3130" t="s">
        <v>50</v>
      </c>
      <c r="E80" s="854"/>
      <c r="F80" s="3132"/>
      <c r="G80" s="854"/>
      <c r="H80" s="7209"/>
      <c r="I80" s="3465"/>
      <c r="J80" s="43">
        <f t="shared" si="19"/>
        <v>0</v>
      </c>
      <c r="K80" s="854"/>
      <c r="L80" s="4603"/>
      <c r="M80" s="904"/>
      <c r="N80" s="4594">
        <f t="shared" si="5"/>
        <v>0</v>
      </c>
      <c r="O80" s="854"/>
      <c r="P80" s="4791"/>
      <c r="Q80" s="853"/>
      <c r="R80" s="4773">
        <f t="shared" si="6"/>
        <v>0</v>
      </c>
      <c r="S80" s="854"/>
      <c r="T80" s="4945"/>
      <c r="U80" s="853"/>
      <c r="V80" s="4938">
        <f t="shared" si="7"/>
        <v>0</v>
      </c>
      <c r="W80" s="854"/>
      <c r="X80" s="5082"/>
      <c r="Y80" s="575"/>
      <c r="Z80" s="2636">
        <f t="shared" si="29"/>
        <v>0</v>
      </c>
      <c r="AA80" s="662"/>
      <c r="AB80" s="662">
        <f t="shared" si="30"/>
        <v>0</v>
      </c>
      <c r="AC80" s="854"/>
      <c r="AD80" s="5368"/>
      <c r="AE80" s="853"/>
      <c r="AF80" s="5359">
        <f t="shared" si="33"/>
        <v>0</v>
      </c>
      <c r="AG80" s="854"/>
      <c r="AH80" s="5555"/>
      <c r="AI80" s="853"/>
      <c r="AJ80" s="5535">
        <f t="shared" si="25"/>
        <v>0</v>
      </c>
      <c r="AK80" s="854"/>
      <c r="AL80" s="5964"/>
      <c r="AM80" s="2636"/>
      <c r="AN80" s="2636">
        <f t="shared" si="21"/>
        <v>0</v>
      </c>
      <c r="AO80" s="2399"/>
      <c r="AP80" s="5960">
        <f t="shared" si="26"/>
        <v>0</v>
      </c>
      <c r="AQ80" s="854"/>
      <c r="AR80" s="6117"/>
      <c r="AS80" s="853"/>
      <c r="AT80" s="6113">
        <f t="shared" si="27"/>
        <v>0</v>
      </c>
      <c r="AU80" s="854"/>
      <c r="AV80" s="6264"/>
      <c r="AW80" s="853"/>
      <c r="AX80" s="6251">
        <f t="shared" si="28"/>
        <v>0</v>
      </c>
      <c r="AY80" s="854"/>
      <c r="AZ80" s="6436"/>
      <c r="BA80" s="2636"/>
      <c r="BB80" s="2636">
        <f t="shared" si="20"/>
        <v>0</v>
      </c>
      <c r="BC80" s="662"/>
      <c r="BD80" s="662">
        <f t="shared" si="22"/>
        <v>0</v>
      </c>
      <c r="BE80" s="2399"/>
      <c r="BF80" s="6421">
        <f t="shared" si="23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817" t="s">
        <v>868</v>
      </c>
      <c r="C81" s="4818" t="s">
        <v>1477</v>
      </c>
      <c r="D81" s="3757" t="s">
        <v>50</v>
      </c>
      <c r="E81" s="4819"/>
      <c r="F81" s="5383">
        <v>141.45000000000002</v>
      </c>
      <c r="G81" s="4819"/>
      <c r="H81" s="7206"/>
      <c r="I81" s="5400"/>
      <c r="J81" s="43">
        <f t="shared" si="19"/>
        <v>141.45000000000002</v>
      </c>
      <c r="K81" s="4819"/>
      <c r="L81" s="5383"/>
      <c r="M81" s="5401"/>
      <c r="N81" s="5402">
        <f t="shared" ref="N81:N149" si="34">+F81+H81+L81</f>
        <v>141.45000000000002</v>
      </c>
      <c r="O81" s="4819"/>
      <c r="P81" s="5383"/>
      <c r="Q81" s="5400"/>
      <c r="R81" s="5403">
        <f t="shared" ref="R81:R134" si="35">+N81+P81</f>
        <v>141.45000000000002</v>
      </c>
      <c r="S81" s="4819"/>
      <c r="T81" s="5383"/>
      <c r="U81" s="5400"/>
      <c r="V81" s="5403">
        <f t="shared" ref="V81:V149" si="36">+R81+T81</f>
        <v>141.45000000000002</v>
      </c>
      <c r="W81" s="4819"/>
      <c r="X81" s="5383">
        <v>278.79999999999995</v>
      </c>
      <c r="Y81" s="5404"/>
      <c r="Z81" s="5404">
        <f t="shared" si="29"/>
        <v>278.79999999999995</v>
      </c>
      <c r="AA81" s="5405"/>
      <c r="AB81" s="5405">
        <f t="shared" si="30"/>
        <v>420.25</v>
      </c>
      <c r="AC81" s="4819"/>
      <c r="AD81" s="5383"/>
      <c r="AE81" s="5400"/>
      <c r="AF81" s="5403">
        <f t="shared" si="33"/>
        <v>420.25</v>
      </c>
      <c r="AG81" s="4819"/>
      <c r="AH81" s="5559"/>
      <c r="AI81" s="5400"/>
      <c r="AJ81" s="5403">
        <f t="shared" si="25"/>
        <v>420.25</v>
      </c>
      <c r="AK81" s="4819"/>
      <c r="AL81" s="5962"/>
      <c r="AM81" s="2636"/>
      <c r="AN81" s="2636">
        <f t="shared" si="21"/>
        <v>0</v>
      </c>
      <c r="AO81" s="2399"/>
      <c r="AP81" s="5960">
        <f t="shared" si="26"/>
        <v>420.25</v>
      </c>
      <c r="AQ81" s="4819"/>
      <c r="AR81" s="6115">
        <v>205</v>
      </c>
      <c r="AS81" s="853"/>
      <c r="AT81" s="6113">
        <f t="shared" si="27"/>
        <v>625.25</v>
      </c>
      <c r="AU81" s="4819"/>
      <c r="AV81" s="6261"/>
      <c r="AW81" s="853"/>
      <c r="AX81" s="6251">
        <f t="shared" si="28"/>
        <v>625.25</v>
      </c>
      <c r="AY81" s="4819"/>
      <c r="AZ81" s="6440">
        <v>397.7</v>
      </c>
      <c r="BA81" s="2636"/>
      <c r="BB81" s="2636">
        <f t="shared" si="20"/>
        <v>602.70000000000005</v>
      </c>
      <c r="BC81" s="662"/>
      <c r="BD81" s="662">
        <f t="shared" si="22"/>
        <v>602.70000000000005</v>
      </c>
      <c r="BE81" s="2399"/>
      <c r="BF81" s="6421">
        <f t="shared" si="23"/>
        <v>1022.95</v>
      </c>
      <c r="BG81" s="26"/>
      <c r="BH81" s="26"/>
      <c r="BI81" s="26"/>
      <c r="BJ81" s="26"/>
      <c r="BK81" s="26"/>
      <c r="BL81" s="26"/>
      <c r="BM81" s="26"/>
      <c r="BN81" s="26"/>
    </row>
    <row r="82" spans="1:66" s="5172" customFormat="1" ht="16.5" thickBot="1" x14ac:dyDescent="0.3">
      <c r="B82" s="3452" t="s">
        <v>2009</v>
      </c>
      <c r="C82" s="4211" t="s">
        <v>1139</v>
      </c>
      <c r="D82" s="5417" t="s">
        <v>50</v>
      </c>
      <c r="E82" s="4191"/>
      <c r="F82" s="158">
        <v>94.3</v>
      </c>
      <c r="G82" s="4191"/>
      <c r="H82" s="158"/>
      <c r="I82" s="3464"/>
      <c r="J82" s="43">
        <f t="shared" si="19"/>
        <v>94.3</v>
      </c>
      <c r="K82" s="4191"/>
      <c r="L82" s="158"/>
      <c r="M82" s="4192"/>
      <c r="N82" s="618"/>
      <c r="O82" s="4191"/>
      <c r="P82" s="158"/>
      <c r="Q82" s="3464"/>
      <c r="R82" s="373"/>
      <c r="S82" s="4191"/>
      <c r="T82" s="158"/>
      <c r="U82" s="3464"/>
      <c r="V82" s="373"/>
      <c r="W82" s="4191"/>
      <c r="X82" s="158"/>
      <c r="Y82" s="5413"/>
      <c r="Z82" s="5413"/>
      <c r="AA82" s="5414"/>
      <c r="AB82" s="5414"/>
      <c r="AC82" s="4191"/>
      <c r="AD82" s="158">
        <f>7.17-6.15</f>
        <v>1.0199999999999996</v>
      </c>
      <c r="AE82" s="3464"/>
      <c r="AF82" s="5457">
        <f t="shared" si="33"/>
        <v>1.0199999999999996</v>
      </c>
      <c r="AG82" s="4191"/>
      <c r="AH82" s="158"/>
      <c r="AI82" s="3464"/>
      <c r="AJ82" s="5537">
        <f t="shared" si="25"/>
        <v>1.0199999999999996</v>
      </c>
      <c r="AK82" s="4191"/>
      <c r="AL82" s="158"/>
      <c r="AM82" s="5394"/>
      <c r="AN82" s="2636">
        <f t="shared" si="21"/>
        <v>1.0199999999999996</v>
      </c>
      <c r="AO82" s="5225"/>
      <c r="AP82" s="5960">
        <f t="shared" si="26"/>
        <v>1.0199999999999996</v>
      </c>
      <c r="AQ82" s="4191"/>
      <c r="AR82" s="158"/>
      <c r="AS82" s="5399"/>
      <c r="AT82" s="6113">
        <f t="shared" si="27"/>
        <v>1.0199999999999996</v>
      </c>
      <c r="AU82" s="4191"/>
      <c r="AV82" s="158"/>
      <c r="AW82" s="5399"/>
      <c r="AX82" s="6251">
        <f t="shared" si="28"/>
        <v>1.0199999999999996</v>
      </c>
      <c r="AY82" s="4191"/>
      <c r="AZ82" s="158"/>
      <c r="BA82" s="5394"/>
      <c r="BB82" s="2636">
        <f t="shared" si="20"/>
        <v>0</v>
      </c>
      <c r="BC82" s="5395"/>
      <c r="BD82" s="662">
        <f t="shared" si="22"/>
        <v>1.0199999999999996</v>
      </c>
      <c r="BE82" s="5225"/>
      <c r="BF82" s="6421">
        <f t="shared" si="23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1:66" s="5172" customFormat="1" ht="16.5" thickBot="1" x14ac:dyDescent="0.3">
      <c r="B83" s="3452" t="s">
        <v>2009</v>
      </c>
      <c r="C83" s="3129" t="s">
        <v>1040</v>
      </c>
      <c r="D83" s="5417" t="s">
        <v>50</v>
      </c>
      <c r="E83" s="4196"/>
      <c r="F83" s="6116"/>
      <c r="G83" s="4196"/>
      <c r="H83" s="7207"/>
      <c r="I83" s="4197"/>
      <c r="J83" s="43">
        <f t="shared" si="19"/>
        <v>0</v>
      </c>
      <c r="K83" s="4196"/>
      <c r="L83" s="6116"/>
      <c r="M83" s="4198"/>
      <c r="N83" s="2407"/>
      <c r="O83" s="4196"/>
      <c r="P83" s="6116"/>
      <c r="Q83" s="4197"/>
      <c r="R83" s="6111"/>
      <c r="S83" s="4196"/>
      <c r="T83" s="6116"/>
      <c r="U83" s="4197"/>
      <c r="V83" s="6111"/>
      <c r="W83" s="4196"/>
      <c r="X83" s="6116"/>
      <c r="Y83" s="5409"/>
      <c r="Z83" s="5409"/>
      <c r="AA83" s="5410"/>
      <c r="AB83" s="5410"/>
      <c r="AC83" s="4196"/>
      <c r="AD83" s="6116"/>
      <c r="AE83" s="4197"/>
      <c r="AF83" s="6111"/>
      <c r="AG83" s="4196"/>
      <c r="AH83" s="6116"/>
      <c r="AI83" s="4197"/>
      <c r="AJ83" s="6111"/>
      <c r="AK83" s="4196"/>
      <c r="AL83" s="6116"/>
      <c r="AM83" s="6126"/>
      <c r="AN83" s="6126"/>
      <c r="AO83" s="6012"/>
      <c r="AP83" s="6012"/>
      <c r="AQ83" s="4196"/>
      <c r="AR83" s="6116">
        <f>41-2.05</f>
        <v>38.950000000000003</v>
      </c>
      <c r="AS83" s="6124"/>
      <c r="AT83" s="6113">
        <f t="shared" si="27"/>
        <v>38.950000000000003</v>
      </c>
      <c r="AU83" s="4196"/>
      <c r="AV83" s="6262"/>
      <c r="AW83" s="6124"/>
      <c r="AX83" s="6251">
        <f t="shared" si="28"/>
        <v>38.950000000000003</v>
      </c>
      <c r="AY83" s="4196"/>
      <c r="AZ83" s="6441">
        <v>6.15</v>
      </c>
      <c r="BA83" s="6126"/>
      <c r="BB83" s="2636">
        <f t="shared" si="20"/>
        <v>45.1</v>
      </c>
      <c r="BC83" s="6127"/>
      <c r="BD83" s="662">
        <f t="shared" si="22"/>
        <v>45.1</v>
      </c>
      <c r="BE83" s="6012"/>
      <c r="BF83" s="6421">
        <f t="shared" si="23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5172" customFormat="1" ht="16.5" thickBot="1" x14ac:dyDescent="0.3">
      <c r="B84" s="5406" t="s">
        <v>2009</v>
      </c>
      <c r="C84" s="6676" t="s">
        <v>978</v>
      </c>
      <c r="D84" s="7235" t="s">
        <v>50</v>
      </c>
      <c r="E84" s="4196"/>
      <c r="F84" s="7214"/>
      <c r="G84" s="4196"/>
      <c r="H84" s="7214">
        <f>30.75-2.05</f>
        <v>28.7</v>
      </c>
      <c r="I84" s="4197"/>
      <c r="J84" s="43">
        <f t="shared" si="19"/>
        <v>28.7</v>
      </c>
      <c r="K84" s="4196"/>
      <c r="L84" s="7214"/>
      <c r="M84" s="4198"/>
      <c r="N84" s="2407"/>
      <c r="O84" s="4196"/>
      <c r="P84" s="7214"/>
      <c r="Q84" s="4197"/>
      <c r="R84" s="7212"/>
      <c r="S84" s="4196"/>
      <c r="T84" s="7214"/>
      <c r="U84" s="4197"/>
      <c r="V84" s="7212"/>
      <c r="W84" s="4196"/>
      <c r="X84" s="7214"/>
      <c r="Y84" s="5409"/>
      <c r="Z84" s="5409"/>
      <c r="AA84" s="5410"/>
      <c r="AB84" s="5410"/>
      <c r="AC84" s="4196"/>
      <c r="AD84" s="7214"/>
      <c r="AE84" s="4197"/>
      <c r="AF84" s="7212"/>
      <c r="AG84" s="4196"/>
      <c r="AH84" s="7214"/>
      <c r="AI84" s="4197"/>
      <c r="AJ84" s="7212"/>
      <c r="AK84" s="4196"/>
      <c r="AL84" s="7214"/>
      <c r="AM84" s="7236"/>
      <c r="AN84" s="7236"/>
      <c r="AO84" s="7237"/>
      <c r="AP84" s="7237"/>
      <c r="AQ84" s="4196"/>
      <c r="AR84" s="7214"/>
      <c r="AS84" s="7238"/>
      <c r="AT84" s="7237"/>
      <c r="AU84" s="4196"/>
      <c r="AV84" s="7214"/>
      <c r="AW84" s="7238"/>
      <c r="AX84" s="7237"/>
      <c r="AY84" s="4196"/>
      <c r="AZ84" s="7214"/>
      <c r="BA84" s="7236"/>
      <c r="BB84" s="7236"/>
      <c r="BC84" s="7239"/>
      <c r="BD84" s="7239"/>
      <c r="BE84" s="7237"/>
      <c r="BF84" s="7237"/>
      <c r="BG84" s="26"/>
      <c r="BH84" s="26"/>
      <c r="BI84" s="26"/>
      <c r="BJ84" s="26"/>
      <c r="BK84" s="26"/>
      <c r="BL84" s="26"/>
      <c r="BM84" s="26"/>
      <c r="BN84" s="26"/>
    </row>
    <row r="85" spans="1:66" s="5172" customFormat="1" ht="16.5" thickBot="1" x14ac:dyDescent="0.3">
      <c r="B85" s="851" t="s">
        <v>2009</v>
      </c>
      <c r="C85" s="5411" t="s">
        <v>2010</v>
      </c>
      <c r="D85" s="3757" t="s">
        <v>50</v>
      </c>
      <c r="E85" s="5412"/>
      <c r="F85" s="5386"/>
      <c r="G85" s="5412"/>
      <c r="H85" s="5386"/>
      <c r="I85" s="5399"/>
      <c r="J85" s="43">
        <f t="shared" si="19"/>
        <v>0</v>
      </c>
      <c r="K85" s="5412"/>
      <c r="L85" s="5386"/>
      <c r="M85" s="5392"/>
      <c r="N85" s="5227"/>
      <c r="O85" s="5412"/>
      <c r="P85" s="5386"/>
      <c r="Q85" s="5399"/>
      <c r="R85" s="5225"/>
      <c r="S85" s="5412"/>
      <c r="T85" s="5386"/>
      <c r="U85" s="5399"/>
      <c r="V85" s="5225"/>
      <c r="W85" s="5412"/>
      <c r="X85" s="5386"/>
      <c r="Y85" s="5394"/>
      <c r="Z85" s="5394"/>
      <c r="AA85" s="5395"/>
      <c r="AB85" s="5395"/>
      <c r="AC85" s="5412"/>
      <c r="AD85" s="5386">
        <v>131.19999999999999</v>
      </c>
      <c r="AE85" s="5399"/>
      <c r="AF85" s="5457">
        <f t="shared" si="33"/>
        <v>131.19999999999999</v>
      </c>
      <c r="AG85" s="5412"/>
      <c r="AH85" s="5386"/>
      <c r="AI85" s="5399"/>
      <c r="AJ85" s="5537">
        <f t="shared" si="25"/>
        <v>131.19999999999999</v>
      </c>
      <c r="AK85" s="5412"/>
      <c r="AL85" s="5386"/>
      <c r="AM85" s="5394"/>
      <c r="AN85" s="2636">
        <f t="shared" si="21"/>
        <v>131.19999999999999</v>
      </c>
      <c r="AO85" s="5225"/>
      <c r="AP85" s="5960">
        <f t="shared" si="26"/>
        <v>131.19999999999999</v>
      </c>
      <c r="AQ85" s="5412"/>
      <c r="AR85" s="5386">
        <v>403.85</v>
      </c>
      <c r="AS85" s="5399"/>
      <c r="AT85" s="6113">
        <f t="shared" si="27"/>
        <v>535.04999999999995</v>
      </c>
      <c r="AU85" s="5412"/>
      <c r="AV85" s="5386"/>
      <c r="AW85" s="5399"/>
      <c r="AX85" s="6251">
        <f t="shared" si="28"/>
        <v>535.04999999999995</v>
      </c>
      <c r="AY85" s="5412"/>
      <c r="AZ85" s="5386"/>
      <c r="BA85" s="5394"/>
      <c r="BB85" s="2636">
        <f t="shared" si="20"/>
        <v>403.85</v>
      </c>
      <c r="BC85" s="5395"/>
      <c r="BD85" s="662">
        <f t="shared" si="22"/>
        <v>535.04999999999995</v>
      </c>
      <c r="BE85" s="5225"/>
      <c r="BF85" s="6421">
        <f t="shared" si="23"/>
        <v>535.04999999999995</v>
      </c>
      <c r="BG85" s="26"/>
      <c r="BH85" s="26"/>
      <c r="BI85" s="26"/>
      <c r="BJ85" s="26"/>
      <c r="BK85" s="26"/>
      <c r="BL85" s="26"/>
      <c r="BM85" s="26"/>
      <c r="BN85" s="26"/>
    </row>
    <row r="86" spans="1:66" s="5172" customFormat="1" ht="16.5" thickBot="1" x14ac:dyDescent="0.3">
      <c r="B86" s="3456" t="s">
        <v>2009</v>
      </c>
      <c r="C86" s="4215" t="s">
        <v>2011</v>
      </c>
      <c r="D86" s="3458" t="s">
        <v>50</v>
      </c>
      <c r="E86" s="4188"/>
      <c r="F86" s="109">
        <v>498.15000000000003</v>
      </c>
      <c r="G86" s="4188"/>
      <c r="H86" s="109">
        <v>590.4</v>
      </c>
      <c r="I86" s="3467"/>
      <c r="J86" s="43">
        <f t="shared" si="19"/>
        <v>1088.55</v>
      </c>
      <c r="K86" s="4188"/>
      <c r="L86" s="109"/>
      <c r="M86" s="4189"/>
      <c r="N86" s="488"/>
      <c r="O86" s="4188"/>
      <c r="P86" s="109"/>
      <c r="Q86" s="3467"/>
      <c r="R86" s="589"/>
      <c r="S86" s="4188"/>
      <c r="T86" s="109"/>
      <c r="U86" s="3467"/>
      <c r="V86" s="589"/>
      <c r="W86" s="4188"/>
      <c r="X86" s="109"/>
      <c r="Y86" s="5415"/>
      <c r="Z86" s="5415"/>
      <c r="AA86" s="5416"/>
      <c r="AB86" s="5416"/>
      <c r="AC86" s="4188"/>
      <c r="AD86" s="109">
        <v>67.650000000000006</v>
      </c>
      <c r="AE86" s="3467"/>
      <c r="AF86" s="5457">
        <f t="shared" si="33"/>
        <v>67.650000000000006</v>
      </c>
      <c r="AG86" s="4188"/>
      <c r="AH86" s="109"/>
      <c r="AI86" s="3467"/>
      <c r="AJ86" s="5537">
        <f t="shared" si="25"/>
        <v>67.650000000000006</v>
      </c>
      <c r="AK86" s="4188"/>
      <c r="AL86" s="109"/>
      <c r="AM86" s="5394"/>
      <c r="AN86" s="2636">
        <f t="shared" si="21"/>
        <v>67.650000000000006</v>
      </c>
      <c r="AO86" s="5225"/>
      <c r="AP86" s="5960">
        <f t="shared" si="26"/>
        <v>67.650000000000006</v>
      </c>
      <c r="AQ86" s="4188"/>
      <c r="AR86" s="109"/>
      <c r="AS86" s="5399"/>
      <c r="AT86" s="6113">
        <f t="shared" si="27"/>
        <v>67.650000000000006</v>
      </c>
      <c r="AU86" s="4188"/>
      <c r="AV86" s="109"/>
      <c r="AW86" s="5399"/>
      <c r="AX86" s="6251">
        <f t="shared" si="28"/>
        <v>67.650000000000006</v>
      </c>
      <c r="AY86" s="4188"/>
      <c r="AZ86" s="109">
        <v>446.89999999999992</v>
      </c>
      <c r="BA86" s="5394"/>
      <c r="BB86" s="2636">
        <f t="shared" si="20"/>
        <v>446.89999999999992</v>
      </c>
      <c r="BC86" s="5395"/>
      <c r="BD86" s="662">
        <f t="shared" si="22"/>
        <v>514.54999999999995</v>
      </c>
      <c r="BE86" s="5225"/>
      <c r="BF86" s="6421">
        <f t="shared" si="23"/>
        <v>514.54999999999995</v>
      </c>
      <c r="BG86" s="26"/>
      <c r="BH86" s="26"/>
      <c r="BI86" s="26"/>
      <c r="BJ86" s="26"/>
      <c r="BK86" s="26"/>
      <c r="BL86" s="26"/>
      <c r="BM86" s="26"/>
      <c r="BN86" s="26"/>
    </row>
    <row r="87" spans="1:66" ht="16.5" thickBot="1" x14ac:dyDescent="0.3">
      <c r="B87" s="5406" t="s">
        <v>1048</v>
      </c>
      <c r="C87" s="5407" t="s">
        <v>1139</v>
      </c>
      <c r="D87" s="49" t="s">
        <v>50</v>
      </c>
      <c r="E87" s="5408"/>
      <c r="F87" s="5384"/>
      <c r="G87" s="5408"/>
      <c r="H87" s="7207">
        <v>266.5</v>
      </c>
      <c r="I87" s="4197"/>
      <c r="J87" s="43">
        <f t="shared" si="19"/>
        <v>266.5</v>
      </c>
      <c r="K87" s="5408"/>
      <c r="L87" s="5384"/>
      <c r="M87" s="4198"/>
      <c r="N87" s="2407">
        <f t="shared" si="34"/>
        <v>266.5</v>
      </c>
      <c r="O87" s="5408"/>
      <c r="P87" s="5384">
        <v>1221.8</v>
      </c>
      <c r="Q87" s="4197"/>
      <c r="R87" s="5380">
        <f t="shared" si="35"/>
        <v>1488.3</v>
      </c>
      <c r="S87" s="5408"/>
      <c r="T87" s="5384"/>
      <c r="U87" s="4197"/>
      <c r="V87" s="5380">
        <f t="shared" si="36"/>
        <v>1488.3</v>
      </c>
      <c r="W87" s="5408"/>
      <c r="X87" s="5384"/>
      <c r="Y87" s="5409"/>
      <c r="Z87" s="5409">
        <f t="shared" si="29"/>
        <v>1221.8</v>
      </c>
      <c r="AA87" s="5410"/>
      <c r="AB87" s="5410">
        <f t="shared" si="30"/>
        <v>1488.3</v>
      </c>
      <c r="AC87" s="5408"/>
      <c r="AD87" s="5384">
        <v>305.45</v>
      </c>
      <c r="AE87" s="4197"/>
      <c r="AF87" s="5380">
        <f t="shared" si="33"/>
        <v>1793.75</v>
      </c>
      <c r="AG87" s="5408"/>
      <c r="AH87" s="5560"/>
      <c r="AI87" s="4197"/>
      <c r="AJ87" s="5537">
        <f t="shared" si="25"/>
        <v>1793.75</v>
      </c>
      <c r="AK87" s="5408"/>
      <c r="AL87" s="5963"/>
      <c r="AM87" s="2636"/>
      <c r="AN87" s="2636">
        <f t="shared" si="21"/>
        <v>305.45</v>
      </c>
      <c r="AO87" s="2399"/>
      <c r="AP87" s="5960">
        <f t="shared" si="26"/>
        <v>1793.75</v>
      </c>
      <c r="AQ87" s="5408"/>
      <c r="AR87" s="6116">
        <v>420.25</v>
      </c>
      <c r="AS87" s="853"/>
      <c r="AT87" s="6113">
        <f t="shared" si="27"/>
        <v>2214</v>
      </c>
      <c r="AU87" s="5408"/>
      <c r="AV87" s="6262"/>
      <c r="AW87" s="853"/>
      <c r="AX87" s="6251">
        <f t="shared" si="28"/>
        <v>2214</v>
      </c>
      <c r="AY87" s="5408"/>
      <c r="AZ87" s="6441"/>
      <c r="BA87" s="2636"/>
      <c r="BB87" s="2636">
        <f t="shared" si="20"/>
        <v>420.25</v>
      </c>
      <c r="BC87" s="662"/>
      <c r="BD87" s="662">
        <f t="shared" si="22"/>
        <v>725.7</v>
      </c>
      <c r="BE87" s="2399"/>
      <c r="BF87" s="6421">
        <f t="shared" si="23"/>
        <v>2214</v>
      </c>
      <c r="BG87" s="26"/>
      <c r="BH87" s="26"/>
      <c r="BI87" s="26"/>
      <c r="BJ87" s="26"/>
      <c r="BK87" s="26"/>
      <c r="BL87" s="26"/>
      <c r="BM87" s="26"/>
      <c r="BN87" s="26"/>
    </row>
    <row r="88" spans="1:66" ht="16.5" thickBot="1" x14ac:dyDescent="0.3">
      <c r="B88" s="851" t="s">
        <v>867</v>
      </c>
      <c r="C88" s="3129" t="s">
        <v>978</v>
      </c>
      <c r="D88" s="3130" t="s">
        <v>50</v>
      </c>
      <c r="E88" s="854"/>
      <c r="F88" s="3132"/>
      <c r="G88" s="854"/>
      <c r="H88" s="7209">
        <f>811.8-2.05</f>
        <v>809.75</v>
      </c>
      <c r="I88" s="3465"/>
      <c r="J88" s="43">
        <f t="shared" si="19"/>
        <v>809.75</v>
      </c>
      <c r="K88" s="854"/>
      <c r="L88" s="4603"/>
      <c r="M88" s="904"/>
      <c r="N88" s="4594">
        <f t="shared" si="34"/>
        <v>809.75</v>
      </c>
      <c r="O88" s="854"/>
      <c r="P88" s="4791">
        <v>3351.75</v>
      </c>
      <c r="Q88" s="853"/>
      <c r="R88" s="4773">
        <f t="shared" si="35"/>
        <v>4161.5</v>
      </c>
      <c r="S88" s="854"/>
      <c r="T88" s="4945"/>
      <c r="U88" s="853"/>
      <c r="V88" s="4938">
        <f t="shared" si="36"/>
        <v>4161.5</v>
      </c>
      <c r="W88" s="854"/>
      <c r="X88" s="5082"/>
      <c r="Y88" s="575"/>
      <c r="Z88" s="2636">
        <f t="shared" si="29"/>
        <v>3351.75</v>
      </c>
      <c r="AA88" s="662"/>
      <c r="AB88" s="662">
        <f t="shared" si="30"/>
        <v>4161.5</v>
      </c>
      <c r="AC88" s="854"/>
      <c r="AD88" s="5368">
        <f>1189-43.05</f>
        <v>1145.95</v>
      </c>
      <c r="AE88" s="853"/>
      <c r="AF88" s="5359">
        <f t="shared" si="33"/>
        <v>5307.45</v>
      </c>
      <c r="AG88" s="854"/>
      <c r="AH88" s="5555"/>
      <c r="AI88" s="853"/>
      <c r="AJ88" s="5535">
        <f t="shared" si="25"/>
        <v>5307.45</v>
      </c>
      <c r="AK88" s="854"/>
      <c r="AL88" s="5964"/>
      <c r="AM88" s="2636"/>
      <c r="AN88" s="2636">
        <f t="shared" si="21"/>
        <v>1145.95</v>
      </c>
      <c r="AO88" s="2399"/>
      <c r="AP88" s="5960">
        <f t="shared" si="26"/>
        <v>5307.45</v>
      </c>
      <c r="AQ88" s="854"/>
      <c r="AR88" s="6117">
        <v>1098.8000000000002</v>
      </c>
      <c r="AS88" s="853"/>
      <c r="AT88" s="6113">
        <f t="shared" si="27"/>
        <v>6406.25</v>
      </c>
      <c r="AU88" s="854"/>
      <c r="AV88" s="6264"/>
      <c r="AW88" s="853"/>
      <c r="AX88" s="6251">
        <f t="shared" si="28"/>
        <v>6406.25</v>
      </c>
      <c r="AY88" s="854"/>
      <c r="AZ88" s="6436"/>
      <c r="BA88" s="2636"/>
      <c r="BB88" s="2636">
        <f t="shared" si="20"/>
        <v>1098.8000000000002</v>
      </c>
      <c r="BC88" s="662"/>
      <c r="BD88" s="662">
        <f t="shared" si="22"/>
        <v>2244.75</v>
      </c>
      <c r="BE88" s="2399"/>
      <c r="BF88" s="6421">
        <f t="shared" si="23"/>
        <v>6406.25</v>
      </c>
      <c r="BG88" s="26"/>
      <c r="BH88" s="26"/>
      <c r="BI88" s="26"/>
      <c r="BJ88" s="26"/>
      <c r="BK88" s="26"/>
      <c r="BL88" s="26"/>
      <c r="BM88" s="26"/>
      <c r="BN88" s="26"/>
    </row>
    <row r="89" spans="1:66" ht="15" customHeight="1" thickBot="1" x14ac:dyDescent="0.3">
      <c r="B89" s="851" t="s">
        <v>1048</v>
      </c>
      <c r="C89" s="3129" t="s">
        <v>1040</v>
      </c>
      <c r="D89" s="3130" t="s">
        <v>50</v>
      </c>
      <c r="E89" s="854"/>
      <c r="F89" s="3132"/>
      <c r="G89" s="854"/>
      <c r="H89" s="7209"/>
      <c r="I89" s="3465"/>
      <c r="J89" s="43">
        <f t="shared" si="19"/>
        <v>0</v>
      </c>
      <c r="K89" s="854"/>
      <c r="L89" s="4603"/>
      <c r="M89" s="904"/>
      <c r="N89" s="4594">
        <f t="shared" si="34"/>
        <v>0</v>
      </c>
      <c r="O89" s="854"/>
      <c r="P89" s="4791">
        <v>133.25</v>
      </c>
      <c r="Q89" s="853"/>
      <c r="R89" s="4773">
        <f t="shared" si="35"/>
        <v>133.25</v>
      </c>
      <c r="S89" s="854"/>
      <c r="T89" s="4945"/>
      <c r="U89" s="853"/>
      <c r="V89" s="4938">
        <f t="shared" si="36"/>
        <v>133.25</v>
      </c>
      <c r="W89" s="854"/>
      <c r="X89" s="5082"/>
      <c r="Y89" s="575"/>
      <c r="Z89" s="2636">
        <f t="shared" si="29"/>
        <v>133.25</v>
      </c>
      <c r="AA89" s="662"/>
      <c r="AB89" s="662">
        <f t="shared" si="30"/>
        <v>133.25</v>
      </c>
      <c r="AC89" s="854"/>
      <c r="AD89" s="5368"/>
      <c r="AE89" s="853"/>
      <c r="AF89" s="5359">
        <f t="shared" si="33"/>
        <v>133.25</v>
      </c>
      <c r="AG89" s="854"/>
      <c r="AH89" s="5555"/>
      <c r="AI89" s="853"/>
      <c r="AJ89" s="5535">
        <f t="shared" si="25"/>
        <v>133.25</v>
      </c>
      <c r="AK89" s="854"/>
      <c r="AL89" s="5964"/>
      <c r="AM89" s="2636"/>
      <c r="AN89" s="2636">
        <f t="shared" si="21"/>
        <v>0</v>
      </c>
      <c r="AO89" s="2399"/>
      <c r="AP89" s="5960">
        <f t="shared" si="26"/>
        <v>133.25</v>
      </c>
      <c r="AQ89" s="854"/>
      <c r="AR89" s="6117"/>
      <c r="AS89" s="853"/>
      <c r="AT89" s="6113">
        <f t="shared" si="27"/>
        <v>133.25</v>
      </c>
      <c r="AU89" s="854"/>
      <c r="AV89" s="6264"/>
      <c r="AW89" s="853"/>
      <c r="AX89" s="6251">
        <f t="shared" si="28"/>
        <v>133.25</v>
      </c>
      <c r="AY89" s="854"/>
      <c r="AZ89" s="6436"/>
      <c r="BA89" s="2636"/>
      <c r="BB89" s="2636">
        <f t="shared" si="20"/>
        <v>0</v>
      </c>
      <c r="BC89" s="662"/>
      <c r="BD89" s="662">
        <f t="shared" si="22"/>
        <v>0</v>
      </c>
      <c r="BE89" s="2399"/>
      <c r="BF89" s="6421">
        <f t="shared" si="23"/>
        <v>133.25</v>
      </c>
      <c r="BG89" s="26"/>
      <c r="BH89" s="26"/>
      <c r="BI89" s="26"/>
      <c r="BJ89" s="26"/>
      <c r="BK89" s="26"/>
      <c r="BL89" s="26"/>
      <c r="BM89" s="26"/>
      <c r="BN89" s="26"/>
    </row>
    <row r="90" spans="1:66" s="4712" customFormat="1" ht="15" customHeight="1" thickBot="1" x14ac:dyDescent="0.3">
      <c r="B90" s="4817" t="s">
        <v>1048</v>
      </c>
      <c r="C90" s="4818" t="s">
        <v>951</v>
      </c>
      <c r="D90" s="3757" t="s">
        <v>50</v>
      </c>
      <c r="E90" s="4819"/>
      <c r="F90" s="3477"/>
      <c r="G90" s="4819"/>
      <c r="H90" s="7208">
        <v>104.55</v>
      </c>
      <c r="I90" s="4820"/>
      <c r="J90" s="43">
        <f t="shared" si="19"/>
        <v>104.55</v>
      </c>
      <c r="K90" s="4819"/>
      <c r="L90" s="3477"/>
      <c r="M90" s="3420"/>
      <c r="N90" s="4807">
        <f t="shared" si="34"/>
        <v>104.55</v>
      </c>
      <c r="O90" s="4819"/>
      <c r="P90" s="3477">
        <v>47.150000000000006</v>
      </c>
      <c r="Q90" s="3465"/>
      <c r="R90" s="4808">
        <f t="shared" si="35"/>
        <v>151.69999999999999</v>
      </c>
      <c r="S90" s="4819"/>
      <c r="T90" s="3477"/>
      <c r="U90" s="3465"/>
      <c r="V90" s="4938">
        <f t="shared" si="36"/>
        <v>151.69999999999999</v>
      </c>
      <c r="W90" s="4819"/>
      <c r="X90" s="3477"/>
      <c r="Y90" s="3135"/>
      <c r="Z90" s="2636">
        <f t="shared" si="29"/>
        <v>47.150000000000006</v>
      </c>
      <c r="AA90" s="4810"/>
      <c r="AB90" s="662">
        <f t="shared" si="30"/>
        <v>151.69999999999999</v>
      </c>
      <c r="AC90" s="4819"/>
      <c r="AD90" s="3477"/>
      <c r="AE90" s="3465"/>
      <c r="AF90" s="5359">
        <f t="shared" si="33"/>
        <v>151.69999999999999</v>
      </c>
      <c r="AG90" s="4819"/>
      <c r="AH90" s="3477"/>
      <c r="AI90" s="3465"/>
      <c r="AJ90" s="5535">
        <f t="shared" si="25"/>
        <v>151.69999999999999</v>
      </c>
      <c r="AK90" s="4819"/>
      <c r="AL90" s="3477"/>
      <c r="AM90" s="3135"/>
      <c r="AN90" s="2636">
        <f t="shared" si="21"/>
        <v>0</v>
      </c>
      <c r="AO90" s="4809"/>
      <c r="AP90" s="5960">
        <f t="shared" si="26"/>
        <v>151.69999999999999</v>
      </c>
      <c r="AQ90" s="4819"/>
      <c r="AR90" s="6118"/>
      <c r="AS90" s="3465"/>
      <c r="AT90" s="6113">
        <f t="shared" si="27"/>
        <v>151.69999999999999</v>
      </c>
      <c r="AU90" s="4819"/>
      <c r="AV90" s="6265"/>
      <c r="AW90" s="3465"/>
      <c r="AX90" s="6251">
        <f t="shared" si="28"/>
        <v>151.69999999999999</v>
      </c>
      <c r="AY90" s="4819"/>
      <c r="AZ90" s="6442"/>
      <c r="BA90" s="3135"/>
      <c r="BB90" s="2636">
        <f t="shared" si="20"/>
        <v>0</v>
      </c>
      <c r="BC90" s="4810"/>
      <c r="BD90" s="662">
        <f t="shared" si="22"/>
        <v>0</v>
      </c>
      <c r="BE90" s="4809"/>
      <c r="BF90" s="6421">
        <f t="shared" si="23"/>
        <v>151.69999999999999</v>
      </c>
      <c r="BG90" s="26"/>
      <c r="BH90" s="26"/>
      <c r="BI90" s="26"/>
      <c r="BJ90" s="26"/>
      <c r="BK90" s="26"/>
      <c r="BL90" s="26"/>
      <c r="BM90" s="26"/>
      <c r="BN90" s="26"/>
    </row>
    <row r="91" spans="1:66" s="4712" customFormat="1" ht="15" customHeight="1" thickBot="1" x14ac:dyDescent="0.3">
      <c r="B91" s="4817" t="s">
        <v>1048</v>
      </c>
      <c r="C91" s="4818" t="s">
        <v>1943</v>
      </c>
      <c r="D91" s="3757" t="s">
        <v>50</v>
      </c>
      <c r="E91" s="4819"/>
      <c r="F91" s="3477"/>
      <c r="G91" s="4819"/>
      <c r="H91" s="7208"/>
      <c r="I91" s="4820"/>
      <c r="J91" s="43">
        <f t="shared" si="19"/>
        <v>0</v>
      </c>
      <c r="K91" s="4819"/>
      <c r="L91" s="3477"/>
      <c r="M91" s="3420"/>
      <c r="N91" s="4807">
        <f t="shared" si="34"/>
        <v>0</v>
      </c>
      <c r="O91" s="4819"/>
      <c r="P91" s="3477">
        <v>84.05</v>
      </c>
      <c r="Q91" s="3465"/>
      <c r="R91" s="4808">
        <f t="shared" si="35"/>
        <v>84.05</v>
      </c>
      <c r="S91" s="4819"/>
      <c r="T91" s="3477"/>
      <c r="U91" s="3465"/>
      <c r="V91" s="4938">
        <f t="shared" si="36"/>
        <v>84.05</v>
      </c>
      <c r="W91" s="4819"/>
      <c r="X91" s="3477"/>
      <c r="Y91" s="3135"/>
      <c r="Z91" s="2636">
        <f t="shared" si="29"/>
        <v>84.05</v>
      </c>
      <c r="AA91" s="4810"/>
      <c r="AB91" s="662">
        <f t="shared" si="30"/>
        <v>84.05</v>
      </c>
      <c r="AC91" s="4819"/>
      <c r="AD91" s="3477"/>
      <c r="AE91" s="3465"/>
      <c r="AF91" s="5359">
        <f t="shared" si="33"/>
        <v>84.05</v>
      </c>
      <c r="AG91" s="4819"/>
      <c r="AH91" s="3477"/>
      <c r="AI91" s="3465"/>
      <c r="AJ91" s="5535">
        <f t="shared" si="25"/>
        <v>84.05</v>
      </c>
      <c r="AK91" s="4819"/>
      <c r="AL91" s="3477"/>
      <c r="AM91" s="3135"/>
      <c r="AN91" s="2636">
        <f t="shared" si="21"/>
        <v>0</v>
      </c>
      <c r="AO91" s="4809"/>
      <c r="AP91" s="5960">
        <f t="shared" si="26"/>
        <v>84.05</v>
      </c>
      <c r="AQ91" s="4819"/>
      <c r="AR91" s="6118"/>
      <c r="AS91" s="3465"/>
      <c r="AT91" s="6113">
        <f t="shared" si="27"/>
        <v>84.05</v>
      </c>
      <c r="AU91" s="4819"/>
      <c r="AV91" s="6265"/>
      <c r="AW91" s="3465"/>
      <c r="AX91" s="6251">
        <f t="shared" si="28"/>
        <v>84.05</v>
      </c>
      <c r="AY91" s="4819"/>
      <c r="AZ91" s="6442"/>
      <c r="BA91" s="3135"/>
      <c r="BB91" s="2636">
        <f t="shared" si="20"/>
        <v>0</v>
      </c>
      <c r="BC91" s="4810"/>
      <c r="BD91" s="662">
        <f t="shared" si="22"/>
        <v>0</v>
      </c>
      <c r="BE91" s="4809"/>
      <c r="BF91" s="6421">
        <f t="shared" si="23"/>
        <v>84.05</v>
      </c>
      <c r="BG91" s="26"/>
      <c r="BH91" s="26"/>
      <c r="BI91" s="26"/>
      <c r="BJ91" s="26"/>
      <c r="BK91" s="26"/>
      <c r="BL91" s="26"/>
      <c r="BM91" s="26"/>
      <c r="BN91" s="26"/>
    </row>
    <row r="92" spans="1:66" s="4712" customFormat="1" ht="15" customHeight="1" thickBot="1" x14ac:dyDescent="0.3">
      <c r="B92" s="4817" t="s">
        <v>1048</v>
      </c>
      <c r="C92" s="4818" t="s">
        <v>1475</v>
      </c>
      <c r="D92" s="3757" t="s">
        <v>50</v>
      </c>
      <c r="E92" s="4819"/>
      <c r="F92" s="3477"/>
      <c r="G92" s="4819"/>
      <c r="H92" s="7208">
        <f>225.5-225.5</f>
        <v>0</v>
      </c>
      <c r="I92" s="4820"/>
      <c r="J92" s="43">
        <f t="shared" si="19"/>
        <v>0</v>
      </c>
      <c r="K92" s="4819"/>
      <c r="L92" s="3477"/>
      <c r="M92" s="3420"/>
      <c r="N92" s="4807">
        <f t="shared" si="34"/>
        <v>0</v>
      </c>
      <c r="O92" s="4819"/>
      <c r="P92" s="3477">
        <v>246</v>
      </c>
      <c r="Q92" s="3465"/>
      <c r="R92" s="4808">
        <f t="shared" si="35"/>
        <v>246</v>
      </c>
      <c r="S92" s="4819"/>
      <c r="T92" s="3477"/>
      <c r="U92" s="3465"/>
      <c r="V92" s="4938">
        <f t="shared" si="36"/>
        <v>246</v>
      </c>
      <c r="W92" s="4819"/>
      <c r="X92" s="3477"/>
      <c r="Y92" s="3135"/>
      <c r="Z92" s="2636">
        <f t="shared" si="29"/>
        <v>246</v>
      </c>
      <c r="AA92" s="4810"/>
      <c r="AB92" s="662">
        <f t="shared" si="30"/>
        <v>246</v>
      </c>
      <c r="AC92" s="4819"/>
      <c r="AD92" s="3477"/>
      <c r="AE92" s="3465"/>
      <c r="AF92" s="5359">
        <f t="shared" si="33"/>
        <v>246</v>
      </c>
      <c r="AG92" s="4819"/>
      <c r="AH92" s="3477"/>
      <c r="AI92" s="3465"/>
      <c r="AJ92" s="5535">
        <f t="shared" si="25"/>
        <v>246</v>
      </c>
      <c r="AK92" s="4819"/>
      <c r="AL92" s="3477"/>
      <c r="AM92" s="3135"/>
      <c r="AN92" s="2636">
        <f t="shared" si="21"/>
        <v>0</v>
      </c>
      <c r="AO92" s="4809"/>
      <c r="AP92" s="5960">
        <f t="shared" si="26"/>
        <v>246</v>
      </c>
      <c r="AQ92" s="4819"/>
      <c r="AR92" s="6118">
        <v>246</v>
      </c>
      <c r="AS92" s="3465"/>
      <c r="AT92" s="6113">
        <f t="shared" si="27"/>
        <v>492</v>
      </c>
      <c r="AU92" s="4819"/>
      <c r="AV92" s="6265"/>
      <c r="AW92" s="3465"/>
      <c r="AX92" s="6251">
        <f t="shared" si="28"/>
        <v>492</v>
      </c>
      <c r="AY92" s="4819"/>
      <c r="AZ92" s="6442"/>
      <c r="BA92" s="3135"/>
      <c r="BB92" s="2636">
        <f t="shared" si="20"/>
        <v>246</v>
      </c>
      <c r="BC92" s="4810"/>
      <c r="BD92" s="662">
        <f t="shared" si="22"/>
        <v>246</v>
      </c>
      <c r="BE92" s="4809"/>
      <c r="BF92" s="6421">
        <f t="shared" si="23"/>
        <v>492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thickBot="1" x14ac:dyDescent="0.3">
      <c r="A93" s="1798"/>
      <c r="B93" s="3456" t="s">
        <v>1048</v>
      </c>
      <c r="C93" s="3457" t="s">
        <v>1477</v>
      </c>
      <c r="D93" s="3458" t="s">
        <v>50</v>
      </c>
      <c r="E93" s="3466"/>
      <c r="F93" s="109"/>
      <c r="G93" s="3466"/>
      <c r="H93" s="109">
        <f>239.85-38.95</f>
        <v>200.89999999999998</v>
      </c>
      <c r="I93" s="3467"/>
      <c r="J93" s="43">
        <f t="shared" si="19"/>
        <v>200.89999999999998</v>
      </c>
      <c r="K93" s="3466"/>
      <c r="L93" s="109"/>
      <c r="M93" s="904"/>
      <c r="N93" s="4594">
        <f t="shared" si="34"/>
        <v>200.89999999999998</v>
      </c>
      <c r="O93" s="3466"/>
      <c r="P93" s="109">
        <v>401.79999999999995</v>
      </c>
      <c r="Q93" s="853"/>
      <c r="R93" s="4808">
        <f t="shared" si="35"/>
        <v>602.69999999999993</v>
      </c>
      <c r="S93" s="3466"/>
      <c r="T93" s="109"/>
      <c r="U93" s="853"/>
      <c r="V93" s="4938">
        <f t="shared" si="36"/>
        <v>602.69999999999993</v>
      </c>
      <c r="W93" s="3466"/>
      <c r="X93" s="109"/>
      <c r="Y93" s="1799"/>
      <c r="Z93" s="2636">
        <f t="shared" si="29"/>
        <v>401.79999999999995</v>
      </c>
      <c r="AA93" s="662"/>
      <c r="AB93" s="662">
        <f t="shared" si="30"/>
        <v>602.69999999999993</v>
      </c>
      <c r="AC93" s="3466"/>
      <c r="AD93" s="109">
        <v>414.1</v>
      </c>
      <c r="AE93" s="853"/>
      <c r="AF93" s="5359">
        <f t="shared" si="33"/>
        <v>1016.8</v>
      </c>
      <c r="AG93" s="3466"/>
      <c r="AH93" s="109"/>
      <c r="AI93" s="853"/>
      <c r="AJ93" s="5535">
        <f t="shared" si="25"/>
        <v>1016.8</v>
      </c>
      <c r="AK93" s="3466"/>
      <c r="AL93" s="109"/>
      <c r="AM93" s="2636"/>
      <c r="AN93" s="2636">
        <f t="shared" si="21"/>
        <v>414.1</v>
      </c>
      <c r="AO93" s="2399"/>
      <c r="AP93" s="5960">
        <f t="shared" si="26"/>
        <v>1016.8</v>
      </c>
      <c r="AQ93" s="3466"/>
      <c r="AR93" s="109">
        <v>223.45</v>
      </c>
      <c r="AS93" s="853"/>
      <c r="AT93" s="6113">
        <f t="shared" si="27"/>
        <v>1240.25</v>
      </c>
      <c r="AU93" s="3466"/>
      <c r="AV93" s="109"/>
      <c r="AW93" s="853"/>
      <c r="AX93" s="6251">
        <f t="shared" si="28"/>
        <v>1240.25</v>
      </c>
      <c r="AY93" s="3466"/>
      <c r="AZ93" s="109"/>
      <c r="BA93" s="2636"/>
      <c r="BB93" s="2636">
        <f t="shared" si="20"/>
        <v>223.45</v>
      </c>
      <c r="BC93" s="662"/>
      <c r="BD93" s="662">
        <f t="shared" si="22"/>
        <v>637.54999999999995</v>
      </c>
      <c r="BE93" s="2399"/>
      <c r="BF93" s="6421">
        <f t="shared" si="23"/>
        <v>1240.25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thickBot="1" x14ac:dyDescent="0.3">
      <c r="B94" s="851" t="s">
        <v>878</v>
      </c>
      <c r="C94" s="3129" t="s">
        <v>1039</v>
      </c>
      <c r="D94" s="3130" t="s">
        <v>50</v>
      </c>
      <c r="E94" s="854"/>
      <c r="F94" s="3132">
        <v>399.75</v>
      </c>
      <c r="G94" s="854"/>
      <c r="H94" s="7209"/>
      <c r="I94" s="3465"/>
      <c r="J94" s="43">
        <f t="shared" si="19"/>
        <v>399.75</v>
      </c>
      <c r="K94" s="854"/>
      <c r="L94" s="4603"/>
      <c r="M94" s="904"/>
      <c r="N94" s="4594">
        <f t="shared" si="34"/>
        <v>399.75</v>
      </c>
      <c r="O94" s="854"/>
      <c r="P94" s="4791"/>
      <c r="Q94" s="853"/>
      <c r="R94" s="4773">
        <f t="shared" si="35"/>
        <v>399.75</v>
      </c>
      <c r="S94" s="854"/>
      <c r="T94" s="4945"/>
      <c r="U94" s="853"/>
      <c r="V94" s="4938">
        <f t="shared" si="36"/>
        <v>399.75</v>
      </c>
      <c r="W94" s="854"/>
      <c r="X94" s="5082">
        <v>202.95</v>
      </c>
      <c r="Y94" s="575"/>
      <c r="Z94" s="2636">
        <f t="shared" si="29"/>
        <v>202.95</v>
      </c>
      <c r="AA94" s="662"/>
      <c r="AB94" s="662">
        <f t="shared" si="30"/>
        <v>602.70000000000005</v>
      </c>
      <c r="AC94" s="854"/>
      <c r="AD94" s="5368"/>
      <c r="AE94" s="853"/>
      <c r="AF94" s="5359">
        <f t="shared" si="33"/>
        <v>602.70000000000005</v>
      </c>
      <c r="AG94" s="854"/>
      <c r="AH94" s="5555"/>
      <c r="AI94" s="853"/>
      <c r="AJ94" s="5535">
        <f t="shared" si="25"/>
        <v>602.70000000000005</v>
      </c>
      <c r="AK94" s="854"/>
      <c r="AL94" s="5964"/>
      <c r="AM94" s="2636"/>
      <c r="AN94" s="2636">
        <f t="shared" si="21"/>
        <v>0</v>
      </c>
      <c r="AO94" s="2399"/>
      <c r="AP94" s="5960">
        <f t="shared" si="26"/>
        <v>602.70000000000005</v>
      </c>
      <c r="AQ94" s="854"/>
      <c r="AR94" s="6117"/>
      <c r="AS94" s="853"/>
      <c r="AT94" s="6113">
        <f t="shared" si="27"/>
        <v>602.70000000000005</v>
      </c>
      <c r="AU94" s="854"/>
      <c r="AV94" s="6264"/>
      <c r="AW94" s="853"/>
      <c r="AX94" s="6251">
        <f t="shared" si="28"/>
        <v>602.70000000000005</v>
      </c>
      <c r="AY94" s="854"/>
      <c r="AZ94" s="6436"/>
      <c r="BA94" s="2636"/>
      <c r="BB94" s="2636">
        <f t="shared" si="20"/>
        <v>0</v>
      </c>
      <c r="BC94" s="662"/>
      <c r="BD94" s="662">
        <f t="shared" si="22"/>
        <v>0</v>
      </c>
      <c r="BE94" s="2399"/>
      <c r="BF94" s="6421">
        <f t="shared" si="23"/>
        <v>602.70000000000005</v>
      </c>
      <c r="BG94" s="26"/>
      <c r="BH94" s="26"/>
      <c r="BI94" s="26"/>
      <c r="BJ94" s="26"/>
      <c r="BK94" s="26"/>
      <c r="BL94" s="26"/>
      <c r="BM94" s="26"/>
      <c r="BN94" s="26"/>
    </row>
    <row r="95" spans="1:66" ht="15" customHeight="1" thickBot="1" x14ac:dyDescent="0.3">
      <c r="A95" s="2857"/>
      <c r="B95" s="851" t="s">
        <v>878</v>
      </c>
      <c r="C95" s="3129" t="s">
        <v>978</v>
      </c>
      <c r="D95" s="3130" t="s">
        <v>50</v>
      </c>
      <c r="E95" s="854"/>
      <c r="F95" s="3132"/>
      <c r="G95" s="854"/>
      <c r="H95" s="7209"/>
      <c r="I95" s="3465"/>
      <c r="J95" s="43">
        <f t="shared" si="19"/>
        <v>0</v>
      </c>
      <c r="K95" s="854"/>
      <c r="L95" s="4603"/>
      <c r="M95" s="2863"/>
      <c r="N95" s="4594">
        <f t="shared" si="34"/>
        <v>0</v>
      </c>
      <c r="O95" s="854"/>
      <c r="P95" s="4791"/>
      <c r="Q95" s="2861"/>
      <c r="R95" s="4773">
        <f t="shared" si="35"/>
        <v>0</v>
      </c>
      <c r="S95" s="854"/>
      <c r="T95" s="4945"/>
      <c r="U95" s="2861"/>
      <c r="V95" s="4938">
        <f t="shared" si="36"/>
        <v>0</v>
      </c>
      <c r="W95" s="854"/>
      <c r="X95" s="5082"/>
      <c r="Y95" s="2865"/>
      <c r="Z95" s="2636">
        <f t="shared" si="29"/>
        <v>0</v>
      </c>
      <c r="AA95" s="662"/>
      <c r="AB95" s="662">
        <f t="shared" si="30"/>
        <v>0</v>
      </c>
      <c r="AC95" s="854"/>
      <c r="AD95" s="5368"/>
      <c r="AE95" s="2861"/>
      <c r="AF95" s="5359">
        <f t="shared" si="33"/>
        <v>0</v>
      </c>
      <c r="AG95" s="854"/>
      <c r="AH95" s="5555"/>
      <c r="AI95" s="2861"/>
      <c r="AJ95" s="5535">
        <f t="shared" si="25"/>
        <v>0</v>
      </c>
      <c r="AK95" s="854"/>
      <c r="AL95" s="5964"/>
      <c r="AM95" s="2865"/>
      <c r="AN95" s="2636">
        <f t="shared" si="21"/>
        <v>0</v>
      </c>
      <c r="AO95" s="2399"/>
      <c r="AP95" s="5960">
        <f t="shared" si="26"/>
        <v>0</v>
      </c>
      <c r="AQ95" s="854"/>
      <c r="AR95" s="6117"/>
      <c r="AS95" s="2861"/>
      <c r="AT95" s="6113">
        <f t="shared" si="27"/>
        <v>0</v>
      </c>
      <c r="AU95" s="854"/>
      <c r="AV95" s="6264"/>
      <c r="AW95" s="2861"/>
      <c r="AX95" s="6251">
        <f t="shared" si="28"/>
        <v>0</v>
      </c>
      <c r="AY95" s="854"/>
      <c r="AZ95" s="6436"/>
      <c r="BA95" s="2865"/>
      <c r="BB95" s="2636">
        <f t="shared" si="20"/>
        <v>0</v>
      </c>
      <c r="BC95" s="662"/>
      <c r="BD95" s="662">
        <f t="shared" si="22"/>
        <v>0</v>
      </c>
      <c r="BE95" s="2399"/>
      <c r="BF95" s="6421">
        <f t="shared" si="23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1:66" s="3427" customFormat="1" ht="15" customHeight="1" thickBot="1" x14ac:dyDescent="0.3">
      <c r="B96" s="851" t="s">
        <v>878</v>
      </c>
      <c r="C96" s="3129" t="s">
        <v>1040</v>
      </c>
      <c r="D96" s="3130" t="s">
        <v>50</v>
      </c>
      <c r="E96" s="854"/>
      <c r="F96" s="3132">
        <v>582.20000000000005</v>
      </c>
      <c r="G96" s="854"/>
      <c r="H96" s="7209"/>
      <c r="I96" s="3465"/>
      <c r="J96" s="43">
        <f t="shared" si="19"/>
        <v>582.20000000000005</v>
      </c>
      <c r="K96" s="854"/>
      <c r="L96" s="4603"/>
      <c r="M96" s="904"/>
      <c r="N96" s="4594">
        <f t="shared" si="34"/>
        <v>582.20000000000005</v>
      </c>
      <c r="O96" s="854"/>
      <c r="P96" s="4791"/>
      <c r="Q96" s="853"/>
      <c r="R96" s="4773">
        <f t="shared" si="35"/>
        <v>582.20000000000005</v>
      </c>
      <c r="S96" s="854"/>
      <c r="T96" s="4945"/>
      <c r="U96" s="853"/>
      <c r="V96" s="4938">
        <f t="shared" si="36"/>
        <v>582.20000000000005</v>
      </c>
      <c r="W96" s="854"/>
      <c r="X96" s="5082">
        <v>141.44999999999999</v>
      </c>
      <c r="Y96" s="2636"/>
      <c r="Z96" s="2636">
        <f t="shared" si="29"/>
        <v>141.44999999999999</v>
      </c>
      <c r="AA96" s="662"/>
      <c r="AB96" s="662">
        <f t="shared" si="30"/>
        <v>723.65000000000009</v>
      </c>
      <c r="AC96" s="854"/>
      <c r="AD96" s="5368"/>
      <c r="AE96" s="853"/>
      <c r="AF96" s="5359">
        <f t="shared" si="33"/>
        <v>723.65000000000009</v>
      </c>
      <c r="AG96" s="854"/>
      <c r="AH96" s="5555"/>
      <c r="AI96" s="853"/>
      <c r="AJ96" s="5535">
        <f t="shared" si="25"/>
        <v>723.65000000000009</v>
      </c>
      <c r="AK96" s="854"/>
      <c r="AL96" s="5964"/>
      <c r="AM96" s="2636"/>
      <c r="AN96" s="2636">
        <f t="shared" si="21"/>
        <v>0</v>
      </c>
      <c r="AO96" s="2399"/>
      <c r="AP96" s="5960">
        <f t="shared" si="26"/>
        <v>723.65000000000009</v>
      </c>
      <c r="AQ96" s="854"/>
      <c r="AR96" s="6117"/>
      <c r="AS96" s="853"/>
      <c r="AT96" s="6113">
        <f t="shared" si="27"/>
        <v>723.65000000000009</v>
      </c>
      <c r="AU96" s="854"/>
      <c r="AV96" s="6264"/>
      <c r="AW96" s="853"/>
      <c r="AX96" s="6251">
        <f t="shared" si="28"/>
        <v>723.65000000000009</v>
      </c>
      <c r="AY96" s="854"/>
      <c r="AZ96" s="6436"/>
      <c r="BA96" s="2636"/>
      <c r="BB96" s="2636">
        <f t="shared" si="20"/>
        <v>0</v>
      </c>
      <c r="BC96" s="662"/>
      <c r="BD96" s="662">
        <f t="shared" si="22"/>
        <v>0</v>
      </c>
      <c r="BE96" s="2399"/>
      <c r="BF96" s="6421">
        <f t="shared" si="23"/>
        <v>723.65000000000009</v>
      </c>
      <c r="BG96" s="26"/>
      <c r="BH96" s="26"/>
      <c r="BI96" s="26"/>
      <c r="BJ96" s="26"/>
      <c r="BK96" s="26"/>
      <c r="BL96" s="26"/>
      <c r="BM96" s="26"/>
      <c r="BN96" s="26"/>
    </row>
    <row r="97" spans="1:66" ht="15" customHeight="1" thickBot="1" x14ac:dyDescent="0.3">
      <c r="B97" s="851" t="s">
        <v>878</v>
      </c>
      <c r="C97" s="3129" t="s">
        <v>951</v>
      </c>
      <c r="D97" s="3130" t="s">
        <v>50</v>
      </c>
      <c r="E97" s="854"/>
      <c r="F97" s="3132"/>
      <c r="G97" s="854"/>
      <c r="H97" s="7209"/>
      <c r="I97" s="3465"/>
      <c r="J97" s="43">
        <f t="shared" si="19"/>
        <v>0</v>
      </c>
      <c r="K97" s="854"/>
      <c r="L97" s="4603"/>
      <c r="M97" s="904"/>
      <c r="N97" s="4594">
        <f t="shared" si="34"/>
        <v>0</v>
      </c>
      <c r="O97" s="854"/>
      <c r="P97" s="4791"/>
      <c r="Q97" s="853"/>
      <c r="R97" s="4773">
        <f t="shared" si="35"/>
        <v>0</v>
      </c>
      <c r="S97" s="854"/>
      <c r="T97" s="4945"/>
      <c r="U97" s="853"/>
      <c r="V97" s="4938">
        <f t="shared" si="36"/>
        <v>0</v>
      </c>
      <c r="W97" s="854"/>
      <c r="X97" s="5082"/>
      <c r="Y97" s="575"/>
      <c r="Z97" s="2636">
        <f t="shared" si="29"/>
        <v>0</v>
      </c>
      <c r="AA97" s="662"/>
      <c r="AB97" s="662">
        <f t="shared" si="30"/>
        <v>0</v>
      </c>
      <c r="AC97" s="854"/>
      <c r="AD97" s="5368"/>
      <c r="AE97" s="853"/>
      <c r="AF97" s="5359">
        <f t="shared" si="33"/>
        <v>0</v>
      </c>
      <c r="AG97" s="854"/>
      <c r="AH97" s="5555"/>
      <c r="AI97" s="853"/>
      <c r="AJ97" s="5535">
        <f t="shared" si="25"/>
        <v>0</v>
      </c>
      <c r="AK97" s="854"/>
      <c r="AL97" s="5964"/>
      <c r="AM97" s="2636"/>
      <c r="AN97" s="2636">
        <f t="shared" si="21"/>
        <v>0</v>
      </c>
      <c r="AO97" s="2399"/>
      <c r="AP97" s="5960">
        <f t="shared" si="26"/>
        <v>0</v>
      </c>
      <c r="AQ97" s="854"/>
      <c r="AR97" s="6117"/>
      <c r="AS97" s="853"/>
      <c r="AT97" s="6113">
        <f t="shared" si="27"/>
        <v>0</v>
      </c>
      <c r="AU97" s="854"/>
      <c r="AV97" s="6264"/>
      <c r="AW97" s="853"/>
      <c r="AX97" s="6251">
        <f t="shared" si="28"/>
        <v>0</v>
      </c>
      <c r="AY97" s="854"/>
      <c r="AZ97" s="6436"/>
      <c r="BA97" s="2636"/>
      <c r="BB97" s="2636">
        <f t="shared" si="20"/>
        <v>0</v>
      </c>
      <c r="BC97" s="662"/>
      <c r="BD97" s="662">
        <f t="shared" si="22"/>
        <v>0</v>
      </c>
      <c r="BE97" s="2399"/>
      <c r="BF97" s="6421">
        <f t="shared" si="23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1:66" s="3427" customFormat="1" ht="15" customHeight="1" thickBot="1" x14ac:dyDescent="0.3">
      <c r="B98" s="851" t="s">
        <v>878</v>
      </c>
      <c r="C98" s="3129" t="s">
        <v>1986</v>
      </c>
      <c r="D98" s="3130" t="s">
        <v>50</v>
      </c>
      <c r="E98" s="854"/>
      <c r="F98" s="3132">
        <v>748.25000000000011</v>
      </c>
      <c r="G98" s="854"/>
      <c r="H98" s="7209"/>
      <c r="I98" s="3465"/>
      <c r="J98" s="43">
        <f t="shared" si="19"/>
        <v>748.25000000000011</v>
      </c>
      <c r="K98" s="854"/>
      <c r="L98" s="4603"/>
      <c r="M98" s="904"/>
      <c r="N98" s="4594">
        <f t="shared" si="34"/>
        <v>748.25000000000011</v>
      </c>
      <c r="O98" s="854"/>
      <c r="P98" s="4791"/>
      <c r="Q98" s="853"/>
      <c r="R98" s="4773">
        <f t="shared" si="35"/>
        <v>748.25000000000011</v>
      </c>
      <c r="S98" s="854"/>
      <c r="T98" s="4945"/>
      <c r="U98" s="853"/>
      <c r="V98" s="4938">
        <f t="shared" si="36"/>
        <v>748.25000000000011</v>
      </c>
      <c r="W98" s="854"/>
      <c r="X98" s="5082">
        <v>1076.25</v>
      </c>
      <c r="Y98" s="2636"/>
      <c r="Z98" s="2636">
        <f t="shared" si="29"/>
        <v>1076.25</v>
      </c>
      <c r="AA98" s="662"/>
      <c r="AB98" s="662">
        <f t="shared" si="30"/>
        <v>1824.5</v>
      </c>
      <c r="AC98" s="854"/>
      <c r="AD98" s="5368"/>
      <c r="AE98" s="853"/>
      <c r="AF98" s="5359">
        <f t="shared" si="33"/>
        <v>1824.5</v>
      </c>
      <c r="AG98" s="854"/>
      <c r="AH98" s="5555"/>
      <c r="AI98" s="853"/>
      <c r="AJ98" s="5535">
        <f t="shared" si="25"/>
        <v>1824.5</v>
      </c>
      <c r="AK98" s="854"/>
      <c r="AL98" s="5964"/>
      <c r="AM98" s="2636"/>
      <c r="AN98" s="2636">
        <f t="shared" si="21"/>
        <v>0</v>
      </c>
      <c r="AO98" s="2399"/>
      <c r="AP98" s="5960">
        <f t="shared" si="26"/>
        <v>1824.5</v>
      </c>
      <c r="AQ98" s="854"/>
      <c r="AR98" s="6117"/>
      <c r="AS98" s="853"/>
      <c r="AT98" s="6113">
        <f t="shared" si="27"/>
        <v>1824.5</v>
      </c>
      <c r="AU98" s="854"/>
      <c r="AV98" s="6264"/>
      <c r="AW98" s="853"/>
      <c r="AX98" s="6251">
        <f t="shared" si="28"/>
        <v>1824.5</v>
      </c>
      <c r="AY98" s="854"/>
      <c r="AZ98" s="6436"/>
      <c r="BA98" s="2636"/>
      <c r="BB98" s="2636">
        <f t="shared" si="20"/>
        <v>0</v>
      </c>
      <c r="BC98" s="662"/>
      <c r="BD98" s="662">
        <f t="shared" si="22"/>
        <v>0</v>
      </c>
      <c r="BE98" s="2399"/>
      <c r="BF98" s="6421">
        <f t="shared" si="23"/>
        <v>1824.5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thickBot="1" x14ac:dyDescent="0.3">
      <c r="B99" s="851" t="s">
        <v>878</v>
      </c>
      <c r="C99" s="3129" t="s">
        <v>1385</v>
      </c>
      <c r="D99" s="3130" t="s">
        <v>50</v>
      </c>
      <c r="E99" s="854"/>
      <c r="F99" s="3132"/>
      <c r="G99" s="854"/>
      <c r="H99" s="7209"/>
      <c r="I99" s="3465"/>
      <c r="J99" s="43">
        <f t="shared" si="19"/>
        <v>0</v>
      </c>
      <c r="K99" s="854"/>
      <c r="L99" s="4603"/>
      <c r="M99" s="904"/>
      <c r="N99" s="4594">
        <f t="shared" si="34"/>
        <v>0</v>
      </c>
      <c r="O99" s="854"/>
      <c r="P99" s="4791"/>
      <c r="Q99" s="853"/>
      <c r="R99" s="4773">
        <f t="shared" si="35"/>
        <v>0</v>
      </c>
      <c r="S99" s="854"/>
      <c r="T99" s="4945"/>
      <c r="U99" s="853"/>
      <c r="V99" s="4938">
        <f t="shared" si="36"/>
        <v>0</v>
      </c>
      <c r="W99" s="854"/>
      <c r="X99" s="5082"/>
      <c r="Y99" s="575"/>
      <c r="Z99" s="2636">
        <f t="shared" si="29"/>
        <v>0</v>
      </c>
      <c r="AA99" s="662"/>
      <c r="AB99" s="662">
        <f t="shared" si="30"/>
        <v>0</v>
      </c>
      <c r="AC99" s="854"/>
      <c r="AD99" s="5368"/>
      <c r="AE99" s="853"/>
      <c r="AF99" s="5359">
        <f t="shared" si="33"/>
        <v>0</v>
      </c>
      <c r="AG99" s="854"/>
      <c r="AH99" s="5555"/>
      <c r="AI99" s="853"/>
      <c r="AJ99" s="5535">
        <f t="shared" si="25"/>
        <v>0</v>
      </c>
      <c r="AK99" s="854"/>
      <c r="AL99" s="5964"/>
      <c r="AM99" s="2636"/>
      <c r="AN99" s="2636">
        <f t="shared" si="21"/>
        <v>0</v>
      </c>
      <c r="AO99" s="2399"/>
      <c r="AP99" s="5960">
        <f t="shared" si="26"/>
        <v>0</v>
      </c>
      <c r="AQ99" s="854"/>
      <c r="AR99" s="6117"/>
      <c r="AS99" s="853"/>
      <c r="AT99" s="6113">
        <f t="shared" si="27"/>
        <v>0</v>
      </c>
      <c r="AU99" s="854"/>
      <c r="AV99" s="6264"/>
      <c r="AW99" s="853"/>
      <c r="AX99" s="6251">
        <f t="shared" si="28"/>
        <v>0</v>
      </c>
      <c r="AY99" s="854"/>
      <c r="AZ99" s="6436"/>
      <c r="BA99" s="2636"/>
      <c r="BB99" s="2636">
        <f t="shared" si="20"/>
        <v>0</v>
      </c>
      <c r="BC99" s="662"/>
      <c r="BD99" s="662">
        <f t="shared" si="22"/>
        <v>0</v>
      </c>
      <c r="BE99" s="2399"/>
      <c r="BF99" s="6421">
        <f t="shared" si="23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B100" s="851" t="s">
        <v>878</v>
      </c>
      <c r="C100" s="3129" t="s">
        <v>1416</v>
      </c>
      <c r="D100" s="3130" t="s">
        <v>50</v>
      </c>
      <c r="E100" s="854"/>
      <c r="F100" s="3132"/>
      <c r="G100" s="854"/>
      <c r="H100" s="7209"/>
      <c r="I100" s="3465"/>
      <c r="J100" s="43">
        <f t="shared" si="19"/>
        <v>0</v>
      </c>
      <c r="K100" s="854"/>
      <c r="L100" s="4603"/>
      <c r="M100" s="904"/>
      <c r="N100" s="4594">
        <f t="shared" si="34"/>
        <v>0</v>
      </c>
      <c r="O100" s="854"/>
      <c r="P100" s="4791"/>
      <c r="Q100" s="853"/>
      <c r="R100" s="4773">
        <f t="shared" si="35"/>
        <v>0</v>
      </c>
      <c r="S100" s="854"/>
      <c r="T100" s="4945"/>
      <c r="U100" s="853"/>
      <c r="V100" s="4938">
        <f t="shared" si="36"/>
        <v>0</v>
      </c>
      <c r="W100" s="854"/>
      <c r="X100" s="5082"/>
      <c r="Y100" s="575"/>
      <c r="Z100" s="2636">
        <f t="shared" si="29"/>
        <v>0</v>
      </c>
      <c r="AA100" s="662"/>
      <c r="AB100" s="662">
        <f t="shared" si="30"/>
        <v>0</v>
      </c>
      <c r="AC100" s="854"/>
      <c r="AD100" s="5368"/>
      <c r="AE100" s="853"/>
      <c r="AF100" s="5359">
        <f t="shared" si="33"/>
        <v>0</v>
      </c>
      <c r="AG100" s="854"/>
      <c r="AH100" s="5555"/>
      <c r="AI100" s="853"/>
      <c r="AJ100" s="5535">
        <f t="shared" si="25"/>
        <v>0</v>
      </c>
      <c r="AK100" s="854"/>
      <c r="AL100" s="5964"/>
      <c r="AM100" s="2636"/>
      <c r="AN100" s="2636">
        <f t="shared" si="21"/>
        <v>0</v>
      </c>
      <c r="AO100" s="2399"/>
      <c r="AP100" s="5960">
        <f t="shared" si="26"/>
        <v>0</v>
      </c>
      <c r="AQ100" s="854"/>
      <c r="AR100" s="6117"/>
      <c r="AS100" s="853"/>
      <c r="AT100" s="6113">
        <f t="shared" si="27"/>
        <v>0</v>
      </c>
      <c r="AU100" s="854"/>
      <c r="AV100" s="6264"/>
      <c r="AW100" s="853"/>
      <c r="AX100" s="6251">
        <f t="shared" si="28"/>
        <v>0</v>
      </c>
      <c r="AY100" s="854"/>
      <c r="AZ100" s="6436"/>
      <c r="BA100" s="2636"/>
      <c r="BB100" s="2636">
        <f t="shared" si="20"/>
        <v>0</v>
      </c>
      <c r="BC100" s="662"/>
      <c r="BD100" s="662">
        <f t="shared" si="22"/>
        <v>0</v>
      </c>
      <c r="BE100" s="2399"/>
      <c r="BF100" s="6421">
        <f t="shared" si="23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" customHeight="1" thickBot="1" x14ac:dyDescent="0.3">
      <c r="A101" s="2680"/>
      <c r="B101" s="851" t="s">
        <v>878</v>
      </c>
      <c r="C101" s="3129" t="s">
        <v>1475</v>
      </c>
      <c r="D101" s="3130" t="s">
        <v>50</v>
      </c>
      <c r="E101" s="854"/>
      <c r="F101" s="3132"/>
      <c r="G101" s="854"/>
      <c r="H101" s="7209"/>
      <c r="I101" s="3465"/>
      <c r="J101" s="43">
        <f t="shared" si="19"/>
        <v>0</v>
      </c>
      <c r="K101" s="854"/>
      <c r="L101" s="4603"/>
      <c r="M101" s="904"/>
      <c r="N101" s="4594">
        <f t="shared" si="34"/>
        <v>0</v>
      </c>
      <c r="O101" s="854"/>
      <c r="P101" s="4791"/>
      <c r="Q101" s="853"/>
      <c r="R101" s="4773">
        <f t="shared" si="35"/>
        <v>0</v>
      </c>
      <c r="S101" s="854"/>
      <c r="T101" s="4945"/>
      <c r="U101" s="853"/>
      <c r="V101" s="4938">
        <f t="shared" si="36"/>
        <v>0</v>
      </c>
      <c r="W101" s="854"/>
      <c r="X101" s="5082"/>
      <c r="Y101" s="2636"/>
      <c r="Z101" s="2636">
        <f t="shared" si="29"/>
        <v>0</v>
      </c>
      <c r="AA101" s="662"/>
      <c r="AB101" s="662">
        <f t="shared" si="30"/>
        <v>0</v>
      </c>
      <c r="AC101" s="854"/>
      <c r="AD101" s="5368"/>
      <c r="AE101" s="853"/>
      <c r="AF101" s="5359">
        <f t="shared" si="33"/>
        <v>0</v>
      </c>
      <c r="AG101" s="854"/>
      <c r="AH101" s="5555"/>
      <c r="AI101" s="853"/>
      <c r="AJ101" s="5535">
        <f t="shared" si="25"/>
        <v>0</v>
      </c>
      <c r="AK101" s="854"/>
      <c r="AL101" s="5964"/>
      <c r="AM101" s="2636"/>
      <c r="AN101" s="2636">
        <f t="shared" si="21"/>
        <v>0</v>
      </c>
      <c r="AO101" s="2399"/>
      <c r="AP101" s="5960">
        <f t="shared" si="26"/>
        <v>0</v>
      </c>
      <c r="AQ101" s="854"/>
      <c r="AR101" s="6117"/>
      <c r="AS101" s="853"/>
      <c r="AT101" s="6113">
        <f t="shared" si="27"/>
        <v>0</v>
      </c>
      <c r="AU101" s="854"/>
      <c r="AV101" s="6264"/>
      <c r="AW101" s="853"/>
      <c r="AX101" s="6251">
        <f t="shared" si="28"/>
        <v>0</v>
      </c>
      <c r="AY101" s="854"/>
      <c r="AZ101" s="6436"/>
      <c r="BA101" s="2636"/>
      <c r="BB101" s="2636">
        <f t="shared" si="20"/>
        <v>0</v>
      </c>
      <c r="BC101" s="662"/>
      <c r="BD101" s="662">
        <f t="shared" si="22"/>
        <v>0</v>
      </c>
      <c r="BE101" s="2399"/>
      <c r="BF101" s="6421">
        <f t="shared" si="23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6.5" thickBot="1" x14ac:dyDescent="0.3">
      <c r="B102" s="3452" t="s">
        <v>866</v>
      </c>
      <c r="C102" s="3453" t="s">
        <v>973</v>
      </c>
      <c r="D102" s="3454" t="s">
        <v>50</v>
      </c>
      <c r="E102" s="3463"/>
      <c r="F102" s="158"/>
      <c r="G102" s="3463"/>
      <c r="H102" s="158"/>
      <c r="I102" s="3464"/>
      <c r="J102" s="43">
        <f t="shared" si="19"/>
        <v>0</v>
      </c>
      <c r="K102" s="3463"/>
      <c r="L102" s="158"/>
      <c r="M102" s="904"/>
      <c r="N102" s="4594">
        <f t="shared" si="34"/>
        <v>0</v>
      </c>
      <c r="O102" s="3463"/>
      <c r="P102" s="158"/>
      <c r="Q102" s="853"/>
      <c r="R102" s="4773">
        <f t="shared" si="35"/>
        <v>0</v>
      </c>
      <c r="S102" s="3463"/>
      <c r="T102" s="158"/>
      <c r="U102" s="853"/>
      <c r="V102" s="4938">
        <f t="shared" si="36"/>
        <v>0</v>
      </c>
      <c r="W102" s="3463"/>
      <c r="X102" s="158"/>
      <c r="Y102" s="575"/>
      <c r="Z102" s="2636">
        <f t="shared" si="29"/>
        <v>0</v>
      </c>
      <c r="AA102" s="662"/>
      <c r="AB102" s="662">
        <f t="shared" si="30"/>
        <v>0</v>
      </c>
      <c r="AC102" s="3463"/>
      <c r="AD102" s="158"/>
      <c r="AE102" s="853"/>
      <c r="AF102" s="5359">
        <f t="shared" si="33"/>
        <v>0</v>
      </c>
      <c r="AG102" s="3463"/>
      <c r="AH102" s="158"/>
      <c r="AI102" s="853"/>
      <c r="AJ102" s="5535">
        <f t="shared" si="25"/>
        <v>0</v>
      </c>
      <c r="AK102" s="3463"/>
      <c r="AL102" s="158"/>
      <c r="AM102" s="2636"/>
      <c r="AN102" s="2636">
        <f t="shared" si="21"/>
        <v>0</v>
      </c>
      <c r="AO102" s="2399"/>
      <c r="AP102" s="5960">
        <f t="shared" si="26"/>
        <v>0</v>
      </c>
      <c r="AQ102" s="3463"/>
      <c r="AR102" s="158"/>
      <c r="AS102" s="853"/>
      <c r="AT102" s="6113">
        <f t="shared" si="27"/>
        <v>0</v>
      </c>
      <c r="AU102" s="3463"/>
      <c r="AV102" s="158"/>
      <c r="AW102" s="853"/>
      <c r="AX102" s="6251">
        <f t="shared" si="28"/>
        <v>0</v>
      </c>
      <c r="AY102" s="3463"/>
      <c r="AZ102" s="158"/>
      <c r="BA102" s="2636"/>
      <c r="BB102" s="2636">
        <f t="shared" si="20"/>
        <v>0</v>
      </c>
      <c r="BC102" s="662"/>
      <c r="BD102" s="662">
        <f t="shared" si="22"/>
        <v>0</v>
      </c>
      <c r="BE102" s="2399"/>
      <c r="BF102" s="6421">
        <f t="shared" si="23"/>
        <v>0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ht="16.5" thickBot="1" x14ac:dyDescent="0.3">
      <c r="B103" s="851" t="s">
        <v>866</v>
      </c>
      <c r="C103" s="3129" t="s">
        <v>1039</v>
      </c>
      <c r="D103" s="3130" t="s">
        <v>50</v>
      </c>
      <c r="E103" s="854"/>
      <c r="F103" s="3132">
        <f>1275.1-79.95</f>
        <v>1195.1499999999999</v>
      </c>
      <c r="G103" s="854"/>
      <c r="H103" s="7209">
        <v>1022.9499999999999</v>
      </c>
      <c r="I103" s="3465"/>
      <c r="J103" s="43">
        <f t="shared" si="19"/>
        <v>2218.1</v>
      </c>
      <c r="K103" s="854"/>
      <c r="L103" s="4603">
        <v>1420.65</v>
      </c>
      <c r="M103" s="904"/>
      <c r="N103" s="4594">
        <f t="shared" si="34"/>
        <v>3638.75</v>
      </c>
      <c r="O103" s="854"/>
      <c r="P103" s="4791">
        <v>403.85</v>
      </c>
      <c r="Q103" s="853"/>
      <c r="R103" s="4773">
        <f t="shared" si="35"/>
        <v>4042.6</v>
      </c>
      <c r="S103" s="854"/>
      <c r="T103" s="4945"/>
      <c r="U103" s="853"/>
      <c r="V103" s="4938">
        <f t="shared" si="36"/>
        <v>4042.6</v>
      </c>
      <c r="W103" s="854"/>
      <c r="X103" s="5082">
        <v>922.5</v>
      </c>
      <c r="Y103" s="575"/>
      <c r="Z103" s="2636">
        <f t="shared" si="29"/>
        <v>1326.35</v>
      </c>
      <c r="AA103" s="662"/>
      <c r="AB103" s="662">
        <f t="shared" si="30"/>
        <v>4965.1000000000004</v>
      </c>
      <c r="AC103" s="854"/>
      <c r="AD103" s="5368">
        <v>67.650000000000006</v>
      </c>
      <c r="AE103" s="853"/>
      <c r="AF103" s="5359">
        <f t="shared" si="33"/>
        <v>5032.75</v>
      </c>
      <c r="AG103" s="854"/>
      <c r="AH103" s="5555">
        <v>471.50000000000006</v>
      </c>
      <c r="AI103" s="853"/>
      <c r="AJ103" s="5535">
        <f t="shared" si="25"/>
        <v>5504.25</v>
      </c>
      <c r="AK103" s="854"/>
      <c r="AL103" s="5964">
        <v>840.5</v>
      </c>
      <c r="AM103" s="2636"/>
      <c r="AN103" s="2636">
        <f t="shared" si="21"/>
        <v>1379.65</v>
      </c>
      <c r="AO103" s="2399"/>
      <c r="AP103" s="5960">
        <f t="shared" si="26"/>
        <v>6344.75</v>
      </c>
      <c r="AQ103" s="854"/>
      <c r="AR103" s="6117">
        <v>672.40000000000009</v>
      </c>
      <c r="AS103" s="853"/>
      <c r="AT103" s="6113">
        <f t="shared" si="27"/>
        <v>7017.15</v>
      </c>
      <c r="AU103" s="854"/>
      <c r="AV103" s="6264"/>
      <c r="AW103" s="853"/>
      <c r="AX103" s="6251">
        <f t="shared" si="28"/>
        <v>7017.15</v>
      </c>
      <c r="AY103" s="854"/>
      <c r="AZ103" s="6436">
        <v>610.9</v>
      </c>
      <c r="BA103" s="2636"/>
      <c r="BB103" s="2636">
        <f t="shared" si="20"/>
        <v>1283.3000000000002</v>
      </c>
      <c r="BC103" s="662"/>
      <c r="BD103" s="662">
        <f t="shared" si="22"/>
        <v>2662.9500000000003</v>
      </c>
      <c r="BE103" s="2399"/>
      <c r="BF103" s="6421">
        <f t="shared" si="23"/>
        <v>7628.0499999999993</v>
      </c>
      <c r="BG103" s="26"/>
      <c r="BH103" s="26"/>
      <c r="BI103" s="26"/>
      <c r="BJ103" s="26"/>
      <c r="BK103" s="26"/>
      <c r="BL103" s="26"/>
      <c r="BM103" s="26"/>
      <c r="BN103" s="26"/>
    </row>
    <row r="104" spans="1:66" ht="16.5" thickBot="1" x14ac:dyDescent="0.3">
      <c r="B104" s="851" t="s">
        <v>866</v>
      </c>
      <c r="C104" s="3129" t="s">
        <v>1040</v>
      </c>
      <c r="D104" s="3130" t="s">
        <v>50</v>
      </c>
      <c r="E104" s="854"/>
      <c r="F104" s="3132">
        <v>2150.4499999999994</v>
      </c>
      <c r="G104" s="854"/>
      <c r="H104" s="7209">
        <v>1022.9500000000002</v>
      </c>
      <c r="I104" s="3465"/>
      <c r="J104" s="43">
        <f t="shared" si="19"/>
        <v>3173.3999999999996</v>
      </c>
      <c r="K104" s="854"/>
      <c r="L104" s="4603">
        <v>6100.8</v>
      </c>
      <c r="M104" s="904"/>
      <c r="N104" s="4594">
        <f t="shared" si="34"/>
        <v>9274.2000000000007</v>
      </c>
      <c r="O104" s="854"/>
      <c r="P104" s="4791">
        <v>2353.3999999999996</v>
      </c>
      <c r="Q104" s="853"/>
      <c r="R104" s="4773">
        <f t="shared" si="35"/>
        <v>11627.6</v>
      </c>
      <c r="S104" s="854"/>
      <c r="T104" s="4945"/>
      <c r="U104" s="853"/>
      <c r="V104" s="4938">
        <f t="shared" si="36"/>
        <v>11627.6</v>
      </c>
      <c r="W104" s="854"/>
      <c r="X104" s="5082">
        <v>1549.7999999999997</v>
      </c>
      <c r="Y104" s="575"/>
      <c r="Z104" s="2636">
        <f t="shared" si="29"/>
        <v>3903.1999999999994</v>
      </c>
      <c r="AA104" s="662"/>
      <c r="AB104" s="662">
        <f t="shared" si="30"/>
        <v>13177.4</v>
      </c>
      <c r="AC104" s="854"/>
      <c r="AD104" s="5368">
        <v>2119.6999999999998</v>
      </c>
      <c r="AE104" s="853"/>
      <c r="AF104" s="5359">
        <f t="shared" si="33"/>
        <v>15297.099999999999</v>
      </c>
      <c r="AG104" s="854"/>
      <c r="AH104" s="5555"/>
      <c r="AI104" s="853"/>
      <c r="AJ104" s="5535">
        <f t="shared" si="25"/>
        <v>15297.099999999999</v>
      </c>
      <c r="AK104" s="854"/>
      <c r="AL104" s="5964">
        <f>3087.3-98.4</f>
        <v>2988.9</v>
      </c>
      <c r="AM104" s="2636"/>
      <c r="AN104" s="2636">
        <f t="shared" si="21"/>
        <v>5108.6000000000004</v>
      </c>
      <c r="AO104" s="2399"/>
      <c r="AP104" s="5960">
        <f t="shared" si="26"/>
        <v>18286</v>
      </c>
      <c r="AQ104" s="854"/>
      <c r="AR104" s="6117">
        <v>2255</v>
      </c>
      <c r="AS104" s="853"/>
      <c r="AT104" s="6113">
        <f t="shared" si="27"/>
        <v>20541</v>
      </c>
      <c r="AU104" s="854"/>
      <c r="AV104" s="6264"/>
      <c r="AW104" s="853"/>
      <c r="AX104" s="6251">
        <f t="shared" si="28"/>
        <v>20541</v>
      </c>
      <c r="AY104" s="854"/>
      <c r="AZ104" s="6436">
        <v>1691.2499999999998</v>
      </c>
      <c r="BA104" s="2636"/>
      <c r="BB104" s="2636">
        <f t="shared" si="20"/>
        <v>3946.25</v>
      </c>
      <c r="BC104" s="662"/>
      <c r="BD104" s="662">
        <f t="shared" si="22"/>
        <v>9054.85</v>
      </c>
      <c r="BE104" s="2399"/>
      <c r="BF104" s="6421">
        <f t="shared" si="23"/>
        <v>22232.25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851" t="s">
        <v>866</v>
      </c>
      <c r="C105" s="3129" t="s">
        <v>1475</v>
      </c>
      <c r="D105" s="3130" t="s">
        <v>50</v>
      </c>
      <c r="E105" s="854"/>
      <c r="F105" s="1698">
        <v>161.94999999999999</v>
      </c>
      <c r="G105" s="854"/>
      <c r="H105" s="4608"/>
      <c r="I105" s="3465"/>
      <c r="J105" s="43">
        <f t="shared" si="19"/>
        <v>161.94999999999999</v>
      </c>
      <c r="K105" s="854"/>
      <c r="L105" s="4608">
        <v>108.64999999999999</v>
      </c>
      <c r="M105" s="904"/>
      <c r="N105" s="4594">
        <f t="shared" si="34"/>
        <v>270.59999999999997</v>
      </c>
      <c r="O105" s="854"/>
      <c r="P105" s="4608">
        <v>215.25</v>
      </c>
      <c r="Q105" s="853"/>
      <c r="R105" s="4773">
        <f t="shared" si="35"/>
        <v>485.84999999999997</v>
      </c>
      <c r="S105" s="854"/>
      <c r="T105" s="4608"/>
      <c r="U105" s="853"/>
      <c r="V105" s="4938">
        <f t="shared" si="36"/>
        <v>485.84999999999997</v>
      </c>
      <c r="W105" s="854"/>
      <c r="X105" s="4608">
        <v>258.3</v>
      </c>
      <c r="Y105" s="575"/>
      <c r="Z105" s="2636">
        <f t="shared" si="29"/>
        <v>473.55</v>
      </c>
      <c r="AA105" s="662"/>
      <c r="AB105" s="662">
        <f t="shared" si="30"/>
        <v>744.15</v>
      </c>
      <c r="AC105" s="854"/>
      <c r="AD105" s="4608"/>
      <c r="AE105" s="853"/>
      <c r="AF105" s="5359">
        <f t="shared" si="33"/>
        <v>744.15</v>
      </c>
      <c r="AG105" s="854"/>
      <c r="AH105" s="4608"/>
      <c r="AI105" s="853"/>
      <c r="AJ105" s="5535">
        <f t="shared" si="25"/>
        <v>744.15</v>
      </c>
      <c r="AK105" s="854"/>
      <c r="AL105" s="4608"/>
      <c r="AM105" s="2636"/>
      <c r="AN105" s="2636">
        <f t="shared" si="21"/>
        <v>0</v>
      </c>
      <c r="AO105" s="2399"/>
      <c r="AP105" s="5960">
        <f t="shared" si="26"/>
        <v>744.15</v>
      </c>
      <c r="AQ105" s="854"/>
      <c r="AR105" s="4608">
        <v>202.95</v>
      </c>
      <c r="AS105" s="853"/>
      <c r="AT105" s="6113">
        <f t="shared" si="27"/>
        <v>947.09999999999991</v>
      </c>
      <c r="AU105" s="854"/>
      <c r="AV105" s="4608"/>
      <c r="AW105" s="853"/>
      <c r="AX105" s="6251">
        <f t="shared" si="28"/>
        <v>947.09999999999991</v>
      </c>
      <c r="AY105" s="854"/>
      <c r="AZ105" s="4608"/>
      <c r="BA105" s="2636"/>
      <c r="BB105" s="2636">
        <f t="shared" si="20"/>
        <v>202.95</v>
      </c>
      <c r="BC105" s="662"/>
      <c r="BD105" s="662">
        <f t="shared" si="22"/>
        <v>202.95</v>
      </c>
      <c r="BE105" s="2399"/>
      <c r="BF105" s="6421">
        <f t="shared" si="23"/>
        <v>947.09999999999991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6.5" thickBot="1" x14ac:dyDescent="0.3">
      <c r="B106" s="3456" t="s">
        <v>866</v>
      </c>
      <c r="C106" s="3457" t="s">
        <v>1477</v>
      </c>
      <c r="D106" s="3458" t="s">
        <v>50</v>
      </c>
      <c r="E106" s="3466"/>
      <c r="F106" s="3468">
        <v>127.1</v>
      </c>
      <c r="G106" s="3466"/>
      <c r="H106" s="3468"/>
      <c r="I106" s="3467"/>
      <c r="J106" s="43">
        <f t="shared" si="19"/>
        <v>127.1</v>
      </c>
      <c r="K106" s="3466"/>
      <c r="L106" s="3468">
        <v>680.6</v>
      </c>
      <c r="M106" s="904"/>
      <c r="N106" s="4594">
        <f t="shared" si="34"/>
        <v>807.7</v>
      </c>
      <c r="O106" s="3466"/>
      <c r="P106" s="3468">
        <v>342.34999999999997</v>
      </c>
      <c r="Q106" s="853"/>
      <c r="R106" s="4773">
        <f t="shared" si="35"/>
        <v>1150.05</v>
      </c>
      <c r="S106" s="3466"/>
      <c r="T106" s="3468"/>
      <c r="U106" s="853"/>
      <c r="V106" s="4938">
        <f t="shared" si="36"/>
        <v>1150.05</v>
      </c>
      <c r="W106" s="3466"/>
      <c r="X106" s="3468">
        <v>926.6</v>
      </c>
      <c r="Y106" s="575"/>
      <c r="Z106" s="2636">
        <f t="shared" si="29"/>
        <v>1268.95</v>
      </c>
      <c r="AA106" s="662"/>
      <c r="AB106" s="662">
        <f t="shared" si="30"/>
        <v>2076.65</v>
      </c>
      <c r="AC106" s="3466"/>
      <c r="AD106" s="3468"/>
      <c r="AE106" s="853"/>
      <c r="AF106" s="5359">
        <f t="shared" si="33"/>
        <v>2076.65</v>
      </c>
      <c r="AG106" s="3466"/>
      <c r="AH106" s="3468">
        <v>184.5</v>
      </c>
      <c r="AI106" s="853"/>
      <c r="AJ106" s="5535">
        <f t="shared" si="25"/>
        <v>2261.15</v>
      </c>
      <c r="AK106" s="3466"/>
      <c r="AL106" s="3468"/>
      <c r="AM106" s="2636"/>
      <c r="AN106" s="2636">
        <f t="shared" si="21"/>
        <v>184.5</v>
      </c>
      <c r="AO106" s="2399"/>
      <c r="AP106" s="5960">
        <f t="shared" si="26"/>
        <v>2261.15</v>
      </c>
      <c r="AQ106" s="3466"/>
      <c r="AR106" s="3468">
        <v>328</v>
      </c>
      <c r="AS106" s="853"/>
      <c r="AT106" s="6113">
        <f t="shared" si="27"/>
        <v>2589.15</v>
      </c>
      <c r="AU106" s="3466"/>
      <c r="AV106" s="3468"/>
      <c r="AW106" s="853"/>
      <c r="AX106" s="6251">
        <f t="shared" si="28"/>
        <v>2589.15</v>
      </c>
      <c r="AY106" s="3466"/>
      <c r="AZ106" s="3468"/>
      <c r="BA106" s="2636"/>
      <c r="BB106" s="2636">
        <f t="shared" si="20"/>
        <v>328</v>
      </c>
      <c r="BC106" s="662"/>
      <c r="BD106" s="662">
        <f t="shared" si="22"/>
        <v>512.5</v>
      </c>
      <c r="BE106" s="2399"/>
      <c r="BF106" s="6421">
        <f t="shared" si="23"/>
        <v>2589.15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52" t="s">
        <v>1334</v>
      </c>
      <c r="C107" s="3453" t="s">
        <v>1039</v>
      </c>
      <c r="D107" s="3454" t="s">
        <v>50</v>
      </c>
      <c r="E107" s="3463"/>
      <c r="F107" s="3463"/>
      <c r="G107" s="3463"/>
      <c r="H107" s="3463"/>
      <c r="I107" s="3464"/>
      <c r="J107" s="43">
        <f t="shared" si="19"/>
        <v>0</v>
      </c>
      <c r="K107" s="3463"/>
      <c r="L107" s="3463"/>
      <c r="M107" s="904"/>
      <c r="N107" s="4594">
        <f t="shared" si="34"/>
        <v>0</v>
      </c>
      <c r="O107" s="3463"/>
      <c r="P107" s="3463"/>
      <c r="Q107" s="853"/>
      <c r="R107" s="4773">
        <f t="shared" si="35"/>
        <v>0</v>
      </c>
      <c r="S107" s="3463"/>
      <c r="T107" s="3463"/>
      <c r="U107" s="853"/>
      <c r="V107" s="4938">
        <f t="shared" si="36"/>
        <v>0</v>
      </c>
      <c r="W107" s="3463"/>
      <c r="X107" s="3463"/>
      <c r="Y107" s="575"/>
      <c r="Z107" s="2636">
        <f t="shared" si="29"/>
        <v>0</v>
      </c>
      <c r="AA107" s="662"/>
      <c r="AB107" s="662">
        <f t="shared" si="30"/>
        <v>0</v>
      </c>
      <c r="AC107" s="3463"/>
      <c r="AD107" s="3463"/>
      <c r="AE107" s="853"/>
      <c r="AF107" s="5359">
        <f t="shared" si="33"/>
        <v>0</v>
      </c>
      <c r="AG107" s="3463"/>
      <c r="AH107" s="3463"/>
      <c r="AI107" s="853"/>
      <c r="AJ107" s="5535">
        <f t="shared" si="25"/>
        <v>0</v>
      </c>
      <c r="AK107" s="3463"/>
      <c r="AL107" s="3463"/>
      <c r="AM107" s="2636"/>
      <c r="AN107" s="2636">
        <f t="shared" si="21"/>
        <v>0</v>
      </c>
      <c r="AO107" s="2399"/>
      <c r="AP107" s="5960">
        <f t="shared" si="26"/>
        <v>0</v>
      </c>
      <c r="AQ107" s="3463"/>
      <c r="AR107" s="3463"/>
      <c r="AS107" s="853"/>
      <c r="AT107" s="6113">
        <f t="shared" si="27"/>
        <v>0</v>
      </c>
      <c r="AU107" s="3463"/>
      <c r="AV107" s="3463"/>
      <c r="AW107" s="853"/>
      <c r="AX107" s="6251">
        <f t="shared" si="28"/>
        <v>0</v>
      </c>
      <c r="AY107" s="3463"/>
      <c r="AZ107" s="3463"/>
      <c r="BA107" s="2636"/>
      <c r="BB107" s="2636">
        <f t="shared" si="20"/>
        <v>0</v>
      </c>
      <c r="BC107" s="662"/>
      <c r="BD107" s="662">
        <f t="shared" si="22"/>
        <v>0</v>
      </c>
      <c r="BE107" s="2399"/>
      <c r="BF107" s="6421">
        <f t="shared" si="23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6.5" thickBot="1" x14ac:dyDescent="0.3">
      <c r="B108" s="3456" t="s">
        <v>1334</v>
      </c>
      <c r="C108" s="3457" t="s">
        <v>1040</v>
      </c>
      <c r="D108" s="3458" t="s">
        <v>50</v>
      </c>
      <c r="E108" s="3466"/>
      <c r="F108" s="3466"/>
      <c r="G108" s="3466"/>
      <c r="H108" s="3466"/>
      <c r="I108" s="3467"/>
      <c r="J108" s="43">
        <f t="shared" si="19"/>
        <v>0</v>
      </c>
      <c r="K108" s="3466"/>
      <c r="L108" s="3466"/>
      <c r="M108" s="904"/>
      <c r="N108" s="4594">
        <f t="shared" si="34"/>
        <v>0</v>
      </c>
      <c r="O108" s="3466"/>
      <c r="P108" s="3466"/>
      <c r="Q108" s="853"/>
      <c r="R108" s="4773">
        <f t="shared" si="35"/>
        <v>0</v>
      </c>
      <c r="S108" s="3466"/>
      <c r="T108" s="3466"/>
      <c r="U108" s="853"/>
      <c r="V108" s="4938">
        <f t="shared" si="36"/>
        <v>0</v>
      </c>
      <c r="W108" s="3466"/>
      <c r="X108" s="3466"/>
      <c r="Y108" s="575"/>
      <c r="Z108" s="2636">
        <f t="shared" si="29"/>
        <v>0</v>
      </c>
      <c r="AA108" s="662"/>
      <c r="AB108" s="662">
        <f t="shared" si="30"/>
        <v>0</v>
      </c>
      <c r="AC108" s="3466"/>
      <c r="AD108" s="3466"/>
      <c r="AE108" s="853"/>
      <c r="AF108" s="5359">
        <f t="shared" si="33"/>
        <v>0</v>
      </c>
      <c r="AG108" s="3466"/>
      <c r="AH108" s="3466"/>
      <c r="AI108" s="853"/>
      <c r="AJ108" s="5535">
        <f t="shared" si="25"/>
        <v>0</v>
      </c>
      <c r="AK108" s="3466"/>
      <c r="AL108" s="3466"/>
      <c r="AM108" s="2636"/>
      <c r="AN108" s="2636">
        <f t="shared" si="21"/>
        <v>0</v>
      </c>
      <c r="AO108" s="2399"/>
      <c r="AP108" s="5960">
        <f t="shared" si="26"/>
        <v>0</v>
      </c>
      <c r="AQ108" s="3466"/>
      <c r="AR108" s="3466"/>
      <c r="AS108" s="853"/>
      <c r="AT108" s="6113">
        <f t="shared" si="27"/>
        <v>0</v>
      </c>
      <c r="AU108" s="3466"/>
      <c r="AV108" s="3466"/>
      <c r="AW108" s="853"/>
      <c r="AX108" s="6251">
        <f t="shared" si="28"/>
        <v>0</v>
      </c>
      <c r="AY108" s="3466"/>
      <c r="AZ108" s="3466"/>
      <c r="BA108" s="2636"/>
      <c r="BB108" s="2636">
        <f t="shared" si="20"/>
        <v>0</v>
      </c>
      <c r="BC108" s="662"/>
      <c r="BD108" s="662">
        <f t="shared" si="22"/>
        <v>0</v>
      </c>
      <c r="BE108" s="2399"/>
      <c r="BF108" s="6421">
        <f t="shared" si="23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5" customHeight="1" thickBot="1" x14ac:dyDescent="0.3">
      <c r="B109" s="3452" t="s">
        <v>882</v>
      </c>
      <c r="C109" s="3453" t="s">
        <v>1039</v>
      </c>
      <c r="D109" s="3454" t="s">
        <v>50</v>
      </c>
      <c r="E109" s="3463"/>
      <c r="F109" s="158">
        <f>1022.95-26.65</f>
        <v>996.30000000000007</v>
      </c>
      <c r="G109" s="3463"/>
      <c r="H109" s="158">
        <v>1002.45</v>
      </c>
      <c r="I109" s="3464"/>
      <c r="J109" s="43">
        <f t="shared" si="19"/>
        <v>1998.75</v>
      </c>
      <c r="K109" s="3463"/>
      <c r="L109" s="158"/>
      <c r="M109" s="904"/>
      <c r="N109" s="4594">
        <f t="shared" si="34"/>
        <v>1998.75</v>
      </c>
      <c r="O109" s="3463"/>
      <c r="P109" s="158">
        <v>1025</v>
      </c>
      <c r="Q109" s="853"/>
      <c r="R109" s="4773">
        <f t="shared" si="35"/>
        <v>3023.75</v>
      </c>
      <c r="S109" s="3463"/>
      <c r="T109" s="158"/>
      <c r="U109" s="853"/>
      <c r="V109" s="4938">
        <f t="shared" si="36"/>
        <v>3023.75</v>
      </c>
      <c r="W109" s="3463"/>
      <c r="X109" s="158">
        <v>1025</v>
      </c>
      <c r="Y109" s="575"/>
      <c r="Z109" s="2636">
        <f t="shared" si="29"/>
        <v>2050</v>
      </c>
      <c r="AA109" s="662"/>
      <c r="AB109" s="662">
        <f t="shared" si="30"/>
        <v>4048.75</v>
      </c>
      <c r="AC109" s="3463"/>
      <c r="AD109" s="158"/>
      <c r="AE109" s="853"/>
      <c r="AF109" s="5359">
        <f t="shared" si="33"/>
        <v>4048.75</v>
      </c>
      <c r="AG109" s="3463"/>
      <c r="AH109" s="158"/>
      <c r="AI109" s="853"/>
      <c r="AJ109" s="5535">
        <f t="shared" si="25"/>
        <v>4048.75</v>
      </c>
      <c r="AK109" s="3463"/>
      <c r="AL109" s="158">
        <v>680.6</v>
      </c>
      <c r="AM109" s="2636"/>
      <c r="AN109" s="2636">
        <f t="shared" si="21"/>
        <v>680.6</v>
      </c>
      <c r="AO109" s="2399"/>
      <c r="AP109" s="5960">
        <f t="shared" si="26"/>
        <v>4729.3500000000004</v>
      </c>
      <c r="AQ109" s="3463"/>
      <c r="AR109" s="158">
        <v>250.1</v>
      </c>
      <c r="AS109" s="853"/>
      <c r="AT109" s="6113">
        <f t="shared" si="27"/>
        <v>4979.4500000000007</v>
      </c>
      <c r="AU109" s="3463"/>
      <c r="AV109" s="158"/>
      <c r="AW109" s="853"/>
      <c r="AX109" s="6251">
        <f t="shared" si="28"/>
        <v>4979.4500000000007</v>
      </c>
      <c r="AY109" s="3463"/>
      <c r="AZ109" s="158">
        <v>717.49999999999989</v>
      </c>
      <c r="BA109" s="2636"/>
      <c r="BB109" s="2636">
        <f t="shared" si="20"/>
        <v>967.59999999999991</v>
      </c>
      <c r="BC109" s="662"/>
      <c r="BD109" s="662">
        <f t="shared" si="22"/>
        <v>1648.1999999999998</v>
      </c>
      <c r="BE109" s="2399"/>
      <c r="BF109" s="6421">
        <f t="shared" si="23"/>
        <v>5696.9500000000007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ht="16.5" thickBot="1" x14ac:dyDescent="0.3">
      <c r="B110" s="851" t="s">
        <v>882</v>
      </c>
      <c r="C110" s="3129" t="s">
        <v>1040</v>
      </c>
      <c r="D110" s="3130" t="s">
        <v>50</v>
      </c>
      <c r="E110" s="854"/>
      <c r="F110" s="3132">
        <v>617.04999999999995</v>
      </c>
      <c r="G110" s="854"/>
      <c r="H110" s="7209">
        <v>516.6</v>
      </c>
      <c r="I110" s="3465"/>
      <c r="J110" s="43">
        <f t="shared" si="19"/>
        <v>1133.6500000000001</v>
      </c>
      <c r="K110" s="854"/>
      <c r="L110" s="4603"/>
      <c r="M110" s="904"/>
      <c r="N110" s="4594">
        <f t="shared" si="34"/>
        <v>1133.6500000000001</v>
      </c>
      <c r="O110" s="854"/>
      <c r="P110" s="4791">
        <v>1022.9499999999998</v>
      </c>
      <c r="Q110" s="853"/>
      <c r="R110" s="4773">
        <f t="shared" si="35"/>
        <v>2156.6</v>
      </c>
      <c r="S110" s="854"/>
      <c r="T110" s="4945"/>
      <c r="U110" s="853"/>
      <c r="V110" s="4938">
        <f t="shared" si="36"/>
        <v>2156.6</v>
      </c>
      <c r="W110" s="854"/>
      <c r="X110" s="5082">
        <f>584.25-51.25</f>
        <v>533</v>
      </c>
      <c r="Y110" s="575"/>
      <c r="Z110" s="2636">
        <f t="shared" si="29"/>
        <v>1555.9499999999998</v>
      </c>
      <c r="AA110" s="662"/>
      <c r="AB110" s="662">
        <f t="shared" si="30"/>
        <v>2689.6</v>
      </c>
      <c r="AC110" s="854"/>
      <c r="AD110" s="5368"/>
      <c r="AE110" s="853"/>
      <c r="AF110" s="5359">
        <f t="shared" si="33"/>
        <v>2689.6</v>
      </c>
      <c r="AG110" s="854"/>
      <c r="AH110" s="5555"/>
      <c r="AI110" s="853"/>
      <c r="AJ110" s="5535">
        <f t="shared" si="25"/>
        <v>2689.6</v>
      </c>
      <c r="AK110" s="854"/>
      <c r="AL110" s="5964">
        <v>658.05000000000007</v>
      </c>
      <c r="AM110" s="2636"/>
      <c r="AN110" s="2636">
        <f t="shared" si="21"/>
        <v>658.05000000000007</v>
      </c>
      <c r="AO110" s="2399"/>
      <c r="AP110" s="5960">
        <f t="shared" si="26"/>
        <v>3347.65</v>
      </c>
      <c r="AQ110" s="854"/>
      <c r="AR110" s="6117"/>
      <c r="AS110" s="853"/>
      <c r="AT110" s="6113">
        <f t="shared" si="27"/>
        <v>3347.65</v>
      </c>
      <c r="AU110" s="854"/>
      <c r="AV110" s="6264"/>
      <c r="AW110" s="853"/>
      <c r="AX110" s="6251">
        <f t="shared" si="28"/>
        <v>3347.65</v>
      </c>
      <c r="AY110" s="854"/>
      <c r="AZ110" s="6436">
        <v>280.85000000000002</v>
      </c>
      <c r="BA110" s="2636"/>
      <c r="BB110" s="2636">
        <f t="shared" si="20"/>
        <v>280.85000000000002</v>
      </c>
      <c r="BC110" s="662"/>
      <c r="BD110" s="662">
        <f t="shared" si="22"/>
        <v>938.90000000000009</v>
      </c>
      <c r="BE110" s="2399"/>
      <c r="BF110" s="6421">
        <f t="shared" si="23"/>
        <v>3628.5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s="4712" customFormat="1" ht="16.5" thickBot="1" x14ac:dyDescent="0.3">
      <c r="B111" s="4817" t="s">
        <v>882</v>
      </c>
      <c r="C111" s="4818" t="s">
        <v>1475</v>
      </c>
      <c r="D111" s="3757" t="s">
        <v>50</v>
      </c>
      <c r="E111" s="4819"/>
      <c r="F111" s="3477"/>
      <c r="G111" s="4819"/>
      <c r="H111" s="7208"/>
      <c r="I111" s="4820"/>
      <c r="J111" s="43">
        <f t="shared" si="19"/>
        <v>0</v>
      </c>
      <c r="K111" s="5085"/>
      <c r="L111" s="1218"/>
      <c r="M111" s="3420"/>
      <c r="N111" s="5081"/>
      <c r="O111" s="5085"/>
      <c r="P111" s="1218"/>
      <c r="Q111" s="3465"/>
      <c r="R111" s="5079"/>
      <c r="S111" s="5085"/>
      <c r="T111" s="1218"/>
      <c r="U111" s="3465"/>
      <c r="V111" s="5075">
        <f t="shared" si="36"/>
        <v>0</v>
      </c>
      <c r="W111" s="5085"/>
      <c r="X111" s="1218">
        <v>157.85</v>
      </c>
      <c r="Y111" s="3135"/>
      <c r="Z111" s="2636">
        <f t="shared" ref="Z111" si="37">P111+T111+X111</f>
        <v>157.85</v>
      </c>
      <c r="AA111" s="662"/>
      <c r="AB111" s="662">
        <f t="shared" ref="AB111" si="38">N111+Z111</f>
        <v>157.85</v>
      </c>
      <c r="AC111" s="5085"/>
      <c r="AD111" s="1218"/>
      <c r="AE111" s="3465"/>
      <c r="AF111" s="5359">
        <f t="shared" si="33"/>
        <v>157.85</v>
      </c>
      <c r="AG111" s="5085"/>
      <c r="AH111" s="1218"/>
      <c r="AI111" s="3465"/>
      <c r="AJ111" s="5535">
        <f t="shared" si="25"/>
        <v>157.85</v>
      </c>
      <c r="AK111" s="5085"/>
      <c r="AL111" s="1218">
        <v>202.95</v>
      </c>
      <c r="AM111" s="3135"/>
      <c r="AN111" s="2636">
        <f t="shared" si="21"/>
        <v>202.95</v>
      </c>
      <c r="AO111" s="5079"/>
      <c r="AP111" s="5960">
        <f t="shared" si="26"/>
        <v>360.79999999999995</v>
      </c>
      <c r="AQ111" s="5085"/>
      <c r="AR111" s="1218">
        <v>233.7</v>
      </c>
      <c r="AS111" s="3465"/>
      <c r="AT111" s="6113">
        <f t="shared" si="27"/>
        <v>594.5</v>
      </c>
      <c r="AU111" s="5085"/>
      <c r="AV111" s="1218"/>
      <c r="AW111" s="3465"/>
      <c r="AX111" s="6251">
        <f t="shared" si="28"/>
        <v>594.5</v>
      </c>
      <c r="AY111" s="5085"/>
      <c r="AZ111" s="1218"/>
      <c r="BA111" s="3135"/>
      <c r="BB111" s="2636">
        <f t="shared" si="20"/>
        <v>233.7</v>
      </c>
      <c r="BC111" s="5084"/>
      <c r="BD111" s="662">
        <f t="shared" si="22"/>
        <v>436.65</v>
      </c>
      <c r="BE111" s="5079"/>
      <c r="BF111" s="6421">
        <f t="shared" si="23"/>
        <v>594.5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6.5" thickBot="1" x14ac:dyDescent="0.3">
      <c r="B112" s="3456" t="s">
        <v>882</v>
      </c>
      <c r="C112" s="3457" t="s">
        <v>1477</v>
      </c>
      <c r="D112" s="3458" t="s">
        <v>50</v>
      </c>
      <c r="E112" s="3466"/>
      <c r="F112" s="109"/>
      <c r="G112" s="3466"/>
      <c r="H112" s="109"/>
      <c r="I112" s="3467"/>
      <c r="J112" s="43">
        <f t="shared" si="19"/>
        <v>0</v>
      </c>
      <c r="K112" s="3466"/>
      <c r="L112" s="109"/>
      <c r="M112" s="904"/>
      <c r="N112" s="4594">
        <f t="shared" si="34"/>
        <v>0</v>
      </c>
      <c r="O112" s="3466"/>
      <c r="P112" s="109">
        <v>502.25000000000011</v>
      </c>
      <c r="Q112" s="853"/>
      <c r="R112" s="4773">
        <f t="shared" si="35"/>
        <v>502.25000000000011</v>
      </c>
      <c r="S112" s="3466"/>
      <c r="T112" s="109"/>
      <c r="U112" s="853"/>
      <c r="V112" s="4938">
        <f t="shared" si="36"/>
        <v>502.25000000000011</v>
      </c>
      <c r="W112" s="3466"/>
      <c r="X112" s="109">
        <f>1008.6-6.15</f>
        <v>1002.45</v>
      </c>
      <c r="Y112" s="575"/>
      <c r="Z112" s="2636">
        <f t="shared" si="29"/>
        <v>1504.7000000000003</v>
      </c>
      <c r="AA112" s="662"/>
      <c r="AB112" s="662">
        <f t="shared" si="30"/>
        <v>1504.7000000000003</v>
      </c>
      <c r="AC112" s="3466"/>
      <c r="AD112" s="109"/>
      <c r="AE112" s="853"/>
      <c r="AF112" s="5359">
        <f t="shared" si="33"/>
        <v>1504.7000000000003</v>
      </c>
      <c r="AG112" s="3466"/>
      <c r="AH112" s="109"/>
      <c r="AI112" s="853"/>
      <c r="AJ112" s="5535">
        <f t="shared" si="25"/>
        <v>1504.7000000000003</v>
      </c>
      <c r="AK112" s="3466"/>
      <c r="AL112" s="109">
        <v>280.85000000000002</v>
      </c>
      <c r="AM112" s="2636"/>
      <c r="AN112" s="2636">
        <f t="shared" si="21"/>
        <v>280.85000000000002</v>
      </c>
      <c r="AO112" s="2399"/>
      <c r="AP112" s="5960">
        <f t="shared" si="26"/>
        <v>1785.5500000000002</v>
      </c>
      <c r="AQ112" s="3466"/>
      <c r="AR112" s="109"/>
      <c r="AS112" s="853"/>
      <c r="AT112" s="6113">
        <f t="shared" si="27"/>
        <v>1785.5500000000002</v>
      </c>
      <c r="AU112" s="3466"/>
      <c r="AV112" s="109"/>
      <c r="AW112" s="853"/>
      <c r="AX112" s="6251">
        <f t="shared" si="28"/>
        <v>1785.5500000000002</v>
      </c>
      <c r="AY112" s="3466"/>
      <c r="AZ112" s="109"/>
      <c r="BA112" s="2636"/>
      <c r="BB112" s="2636">
        <f t="shared" si="20"/>
        <v>0</v>
      </c>
      <c r="BC112" s="662"/>
      <c r="BD112" s="662">
        <f t="shared" si="22"/>
        <v>280.85000000000002</v>
      </c>
      <c r="BE112" s="2399"/>
      <c r="BF112" s="6421">
        <f t="shared" si="23"/>
        <v>1785.5500000000002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6.5" thickBot="1" x14ac:dyDescent="0.3">
      <c r="B113" s="3452" t="s">
        <v>865</v>
      </c>
      <c r="C113" s="3453" t="s">
        <v>1039</v>
      </c>
      <c r="D113" s="3454" t="s">
        <v>50</v>
      </c>
      <c r="E113" s="3454"/>
      <c r="F113" s="158">
        <f>1016.8-14.35</f>
        <v>1002.4499999999999</v>
      </c>
      <c r="G113" s="3454"/>
      <c r="H113" s="158">
        <v>559.65</v>
      </c>
      <c r="I113" s="3464"/>
      <c r="J113" s="43">
        <f t="shared" si="19"/>
        <v>1562.1</v>
      </c>
      <c r="K113" s="3454"/>
      <c r="L113" s="158"/>
      <c r="M113" s="904"/>
      <c r="N113" s="4594">
        <f t="shared" si="34"/>
        <v>1562.1</v>
      </c>
      <c r="O113" s="3454"/>
      <c r="P113" s="158">
        <v>1512.9</v>
      </c>
      <c r="Q113" s="853"/>
      <c r="R113" s="4773">
        <f t="shared" si="35"/>
        <v>3075</v>
      </c>
      <c r="S113" s="3454"/>
      <c r="T113" s="158"/>
      <c r="U113" s="853"/>
      <c r="V113" s="4938">
        <f t="shared" si="36"/>
        <v>3075</v>
      </c>
      <c r="W113" s="3454"/>
      <c r="X113" s="158">
        <v>1361.1999999999998</v>
      </c>
      <c r="Y113" s="575"/>
      <c r="Z113" s="2636">
        <f t="shared" si="29"/>
        <v>2874.1</v>
      </c>
      <c r="AA113" s="662"/>
      <c r="AB113" s="662">
        <f t="shared" si="30"/>
        <v>4436.2</v>
      </c>
      <c r="AC113" s="3454"/>
      <c r="AD113" s="158"/>
      <c r="AE113" s="853"/>
      <c r="AF113" s="5359">
        <f t="shared" si="33"/>
        <v>4436.2</v>
      </c>
      <c r="AG113" s="3454"/>
      <c r="AH113" s="158">
        <v>438.70000000000005</v>
      </c>
      <c r="AI113" s="853"/>
      <c r="AJ113" s="5535">
        <f t="shared" si="25"/>
        <v>4874.8999999999996</v>
      </c>
      <c r="AK113" s="3454"/>
      <c r="AL113" s="158">
        <f>1236.15-10.25</f>
        <v>1225.9000000000001</v>
      </c>
      <c r="AM113" s="2636"/>
      <c r="AN113" s="2636">
        <f t="shared" si="21"/>
        <v>1664.6000000000001</v>
      </c>
      <c r="AO113" s="2399"/>
      <c r="AP113" s="5960">
        <f t="shared" si="26"/>
        <v>6100.7999999999993</v>
      </c>
      <c r="AQ113" s="3454"/>
      <c r="AR113" s="158"/>
      <c r="AS113" s="853"/>
      <c r="AT113" s="6113">
        <f t="shared" si="27"/>
        <v>6100.7999999999993</v>
      </c>
      <c r="AU113" s="3454"/>
      <c r="AV113" s="158"/>
      <c r="AW113" s="853"/>
      <c r="AX113" s="6251">
        <f t="shared" si="28"/>
        <v>6100.7999999999993</v>
      </c>
      <c r="AY113" s="3454"/>
      <c r="AZ113" s="158">
        <v>912.24999999999977</v>
      </c>
      <c r="BA113" s="2636"/>
      <c r="BB113" s="2636">
        <f t="shared" si="20"/>
        <v>912.24999999999977</v>
      </c>
      <c r="BC113" s="662"/>
      <c r="BD113" s="662">
        <f t="shared" si="22"/>
        <v>2576.85</v>
      </c>
      <c r="BE113" s="2399"/>
      <c r="BF113" s="6421">
        <f t="shared" si="23"/>
        <v>7013.0499999999993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6.5" thickBot="1" x14ac:dyDescent="0.3">
      <c r="A114" s="2631"/>
      <c r="B114" s="851" t="s">
        <v>865</v>
      </c>
      <c r="C114" s="3129" t="s">
        <v>978</v>
      </c>
      <c r="D114" s="3130" t="s">
        <v>50</v>
      </c>
      <c r="E114" s="1726"/>
      <c r="F114" s="3132"/>
      <c r="G114" s="1726"/>
      <c r="H114" s="7209"/>
      <c r="I114" s="3465"/>
      <c r="J114" s="43">
        <f t="shared" si="19"/>
        <v>0</v>
      </c>
      <c r="K114" s="1726"/>
      <c r="L114" s="4603"/>
      <c r="M114" s="904"/>
      <c r="N114" s="4594">
        <f t="shared" si="34"/>
        <v>0</v>
      </c>
      <c r="O114" s="1726"/>
      <c r="P114" s="4791"/>
      <c r="Q114" s="853"/>
      <c r="R114" s="4773">
        <f t="shared" si="35"/>
        <v>0</v>
      </c>
      <c r="S114" s="1726"/>
      <c r="T114" s="4945"/>
      <c r="U114" s="853"/>
      <c r="V114" s="4938">
        <f t="shared" si="36"/>
        <v>0</v>
      </c>
      <c r="W114" s="1726"/>
      <c r="X114" s="5082"/>
      <c r="Y114" s="2632"/>
      <c r="Z114" s="2636">
        <f t="shared" si="29"/>
        <v>0</v>
      </c>
      <c r="AA114" s="662"/>
      <c r="AB114" s="662">
        <f t="shared" si="30"/>
        <v>0</v>
      </c>
      <c r="AC114" s="1726"/>
      <c r="AD114" s="5368"/>
      <c r="AE114" s="853"/>
      <c r="AF114" s="5359">
        <f t="shared" si="33"/>
        <v>0</v>
      </c>
      <c r="AG114" s="1726"/>
      <c r="AH114" s="5555"/>
      <c r="AI114" s="853"/>
      <c r="AJ114" s="5535">
        <f t="shared" si="25"/>
        <v>0</v>
      </c>
      <c r="AK114" s="1726"/>
      <c r="AL114" s="5964"/>
      <c r="AM114" s="2636"/>
      <c r="AN114" s="2636">
        <f t="shared" si="21"/>
        <v>0</v>
      </c>
      <c r="AO114" s="2399"/>
      <c r="AP114" s="5960">
        <f t="shared" si="26"/>
        <v>0</v>
      </c>
      <c r="AQ114" s="1726"/>
      <c r="AR114" s="6117"/>
      <c r="AS114" s="853"/>
      <c r="AT114" s="6113">
        <f t="shared" si="27"/>
        <v>0</v>
      </c>
      <c r="AU114" s="1726"/>
      <c r="AV114" s="6264"/>
      <c r="AW114" s="853"/>
      <c r="AX114" s="6251">
        <f t="shared" si="28"/>
        <v>0</v>
      </c>
      <c r="AY114" s="1726"/>
      <c r="AZ114" s="6436"/>
      <c r="BA114" s="2636"/>
      <c r="BB114" s="2636">
        <f t="shared" si="20"/>
        <v>0</v>
      </c>
      <c r="BC114" s="662"/>
      <c r="BD114" s="662">
        <f t="shared" si="22"/>
        <v>0</v>
      </c>
      <c r="BE114" s="2399"/>
      <c r="BF114" s="6421">
        <f t="shared" si="23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ht="16.5" thickBot="1" x14ac:dyDescent="0.3">
      <c r="B115" s="851" t="s">
        <v>865</v>
      </c>
      <c r="C115" s="3129" t="s">
        <v>1040</v>
      </c>
      <c r="D115" s="3130" t="s">
        <v>50</v>
      </c>
      <c r="E115" s="854"/>
      <c r="F115" s="3132">
        <v>606.80000000000007</v>
      </c>
      <c r="G115" s="854"/>
      <c r="H115" s="7209">
        <f>922.5-32.8</f>
        <v>889.7</v>
      </c>
      <c r="I115" s="3465"/>
      <c r="J115" s="43">
        <f t="shared" si="19"/>
        <v>1496.5</v>
      </c>
      <c r="K115" s="854"/>
      <c r="L115" s="4603"/>
      <c r="M115" s="904"/>
      <c r="N115" s="4594">
        <f t="shared" si="34"/>
        <v>1496.5</v>
      </c>
      <c r="O115" s="854"/>
      <c r="P115" s="4791">
        <v>1006.55</v>
      </c>
      <c r="Q115" s="853"/>
      <c r="R115" s="4773">
        <f t="shared" si="35"/>
        <v>2503.0500000000002</v>
      </c>
      <c r="S115" s="854"/>
      <c r="T115" s="4945"/>
      <c r="U115" s="853"/>
      <c r="V115" s="4938">
        <f t="shared" si="36"/>
        <v>2503.0500000000002</v>
      </c>
      <c r="W115" s="854"/>
      <c r="X115" s="5082">
        <v>489.95000000000005</v>
      </c>
      <c r="Y115" s="575"/>
      <c r="Z115" s="2636">
        <f t="shared" si="29"/>
        <v>1496.5</v>
      </c>
      <c r="AA115" s="662"/>
      <c r="AB115" s="662">
        <f t="shared" si="30"/>
        <v>2993</v>
      </c>
      <c r="AC115" s="854"/>
      <c r="AD115" s="5368"/>
      <c r="AE115" s="853"/>
      <c r="AF115" s="5359">
        <f t="shared" si="33"/>
        <v>2993</v>
      </c>
      <c r="AG115" s="854"/>
      <c r="AH115" s="5555">
        <v>627.30000000000007</v>
      </c>
      <c r="AI115" s="853"/>
      <c r="AJ115" s="5535">
        <f t="shared" si="25"/>
        <v>3620.3</v>
      </c>
      <c r="AK115" s="854"/>
      <c r="AL115" s="5964">
        <v>528.9</v>
      </c>
      <c r="AM115" s="2636"/>
      <c r="AN115" s="2636">
        <f t="shared" si="21"/>
        <v>1156.2</v>
      </c>
      <c r="AO115" s="2399"/>
      <c r="AP115" s="5960">
        <f t="shared" si="26"/>
        <v>4149.2</v>
      </c>
      <c r="AQ115" s="854"/>
      <c r="AR115" s="6117"/>
      <c r="AS115" s="853"/>
      <c r="AT115" s="6113">
        <f t="shared" si="27"/>
        <v>4149.2</v>
      </c>
      <c r="AU115" s="854"/>
      <c r="AV115" s="6264"/>
      <c r="AW115" s="853"/>
      <c r="AX115" s="6251">
        <f t="shared" si="28"/>
        <v>4149.2</v>
      </c>
      <c r="AY115" s="854"/>
      <c r="AZ115" s="6436">
        <v>313.65000000000003</v>
      </c>
      <c r="BA115" s="2636"/>
      <c r="BB115" s="2636">
        <f t="shared" si="20"/>
        <v>313.65000000000003</v>
      </c>
      <c r="BC115" s="662"/>
      <c r="BD115" s="662">
        <f t="shared" si="22"/>
        <v>1469.8500000000001</v>
      </c>
      <c r="BE115" s="2399"/>
      <c r="BF115" s="6421">
        <f t="shared" si="23"/>
        <v>4462.8499999999995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s="4712" customFormat="1" ht="16.5" thickBot="1" x14ac:dyDescent="0.3">
      <c r="B116" s="4817" t="s">
        <v>865</v>
      </c>
      <c r="C116" s="5086" t="s">
        <v>1475</v>
      </c>
      <c r="D116" s="5087" t="s">
        <v>50</v>
      </c>
      <c r="E116" s="5088"/>
      <c r="F116" s="1218"/>
      <c r="G116" s="5088"/>
      <c r="H116" s="1218"/>
      <c r="I116" s="4848"/>
      <c r="J116" s="43">
        <f t="shared" si="19"/>
        <v>0</v>
      </c>
      <c r="K116" s="5088"/>
      <c r="L116" s="1218"/>
      <c r="M116" s="3420"/>
      <c r="N116" s="5081"/>
      <c r="O116" s="5088"/>
      <c r="P116" s="1218"/>
      <c r="Q116" s="3465"/>
      <c r="R116" s="5079"/>
      <c r="S116" s="5088"/>
      <c r="T116" s="1218"/>
      <c r="U116" s="3465"/>
      <c r="V116" s="5075">
        <f t="shared" si="36"/>
        <v>0</v>
      </c>
      <c r="W116" s="5088"/>
      <c r="X116" s="1218">
        <v>248.05</v>
      </c>
      <c r="Y116" s="3135"/>
      <c r="Z116" s="2636">
        <f t="shared" ref="Z116" si="39">P116+T116+X116</f>
        <v>248.05</v>
      </c>
      <c r="AA116" s="662"/>
      <c r="AB116" s="662">
        <f t="shared" ref="AB116" si="40">N116+Z116</f>
        <v>248.05</v>
      </c>
      <c r="AC116" s="5088"/>
      <c r="AD116" s="1218"/>
      <c r="AE116" s="3465"/>
      <c r="AF116" s="5359">
        <f t="shared" si="33"/>
        <v>248.05</v>
      </c>
      <c r="AG116" s="5088"/>
      <c r="AH116" s="1218"/>
      <c r="AI116" s="3465"/>
      <c r="AJ116" s="5535">
        <f t="shared" si="25"/>
        <v>248.05</v>
      </c>
      <c r="AK116" s="5088"/>
      <c r="AL116" s="1218"/>
      <c r="AM116" s="3135"/>
      <c r="AN116" s="2636">
        <f t="shared" si="21"/>
        <v>0</v>
      </c>
      <c r="AO116" s="5079"/>
      <c r="AP116" s="5960">
        <f t="shared" si="26"/>
        <v>248.05</v>
      </c>
      <c r="AQ116" s="5088"/>
      <c r="AR116" s="1218"/>
      <c r="AS116" s="3465"/>
      <c r="AT116" s="6113">
        <f t="shared" si="27"/>
        <v>248.05</v>
      </c>
      <c r="AU116" s="5088"/>
      <c r="AV116" s="1218"/>
      <c r="AW116" s="3465"/>
      <c r="AX116" s="6251">
        <f t="shared" si="28"/>
        <v>248.05</v>
      </c>
      <c r="AY116" s="5088"/>
      <c r="AZ116" s="1218"/>
      <c r="BA116" s="3135"/>
      <c r="BB116" s="2636">
        <f t="shared" si="20"/>
        <v>0</v>
      </c>
      <c r="BC116" s="5084"/>
      <c r="BD116" s="662">
        <f t="shared" si="22"/>
        <v>0</v>
      </c>
      <c r="BE116" s="5079"/>
      <c r="BF116" s="6421">
        <f t="shared" si="23"/>
        <v>248.05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6.5" thickBot="1" x14ac:dyDescent="0.3">
      <c r="B117" s="3456" t="s">
        <v>865</v>
      </c>
      <c r="C117" s="3457" t="s">
        <v>1477</v>
      </c>
      <c r="D117" s="3458" t="s">
        <v>50</v>
      </c>
      <c r="E117" s="3469"/>
      <c r="F117" s="109">
        <v>143.5</v>
      </c>
      <c r="G117" s="3469"/>
      <c r="H117" s="109"/>
      <c r="I117" s="3467"/>
      <c r="J117" s="43">
        <f t="shared" si="19"/>
        <v>143.5</v>
      </c>
      <c r="K117" s="3469"/>
      <c r="L117" s="109"/>
      <c r="M117" s="904"/>
      <c r="N117" s="4594">
        <f t="shared" si="34"/>
        <v>143.5</v>
      </c>
      <c r="O117" s="3469"/>
      <c r="P117" s="109"/>
      <c r="Q117" s="853"/>
      <c r="R117" s="4773">
        <f t="shared" si="35"/>
        <v>143.5</v>
      </c>
      <c r="S117" s="3469"/>
      <c r="T117" s="109"/>
      <c r="U117" s="853"/>
      <c r="V117" s="4938">
        <f t="shared" si="36"/>
        <v>143.5</v>
      </c>
      <c r="W117" s="3469"/>
      <c r="X117" s="109">
        <f>963.5-2.05</f>
        <v>961.45</v>
      </c>
      <c r="Y117" s="575"/>
      <c r="Z117" s="2636">
        <f t="shared" si="29"/>
        <v>961.45</v>
      </c>
      <c r="AA117" s="662"/>
      <c r="AB117" s="662">
        <f t="shared" si="30"/>
        <v>1104.95</v>
      </c>
      <c r="AC117" s="3469"/>
      <c r="AD117" s="109"/>
      <c r="AE117" s="853"/>
      <c r="AF117" s="5359">
        <f t="shared" si="33"/>
        <v>1104.95</v>
      </c>
      <c r="AG117" s="3469"/>
      <c r="AH117" s="109"/>
      <c r="AI117" s="853"/>
      <c r="AJ117" s="5535">
        <f t="shared" si="25"/>
        <v>1104.95</v>
      </c>
      <c r="AK117" s="3469"/>
      <c r="AL117" s="109"/>
      <c r="AM117" s="2636"/>
      <c r="AN117" s="2636">
        <f t="shared" si="21"/>
        <v>0</v>
      </c>
      <c r="AO117" s="2399"/>
      <c r="AP117" s="5960">
        <f t="shared" si="26"/>
        <v>1104.95</v>
      </c>
      <c r="AQ117" s="3469"/>
      <c r="AR117" s="109"/>
      <c r="AS117" s="853"/>
      <c r="AT117" s="6113">
        <f t="shared" si="27"/>
        <v>1104.95</v>
      </c>
      <c r="AU117" s="3469"/>
      <c r="AV117" s="109"/>
      <c r="AW117" s="853"/>
      <c r="AX117" s="6251">
        <f t="shared" si="28"/>
        <v>1104.95</v>
      </c>
      <c r="AY117" s="3469"/>
      <c r="AZ117" s="109"/>
      <c r="BA117" s="2636"/>
      <c r="BB117" s="2636">
        <f t="shared" ref="BB117:BB149" si="41">AR117+AV117+AZ117</f>
        <v>0</v>
      </c>
      <c r="BC117" s="662"/>
      <c r="BD117" s="662">
        <f t="shared" si="22"/>
        <v>0</v>
      </c>
      <c r="BE117" s="2399"/>
      <c r="BF117" s="6421">
        <f t="shared" si="23"/>
        <v>1104.95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ht="15.75" x14ac:dyDescent="0.25">
      <c r="B118" s="3452" t="s">
        <v>873</v>
      </c>
      <c r="C118" s="3453" t="s">
        <v>1275</v>
      </c>
      <c r="D118" s="3454" t="s">
        <v>50</v>
      </c>
      <c r="E118" s="3463"/>
      <c r="F118" s="158"/>
      <c r="G118" s="3463"/>
      <c r="H118" s="158"/>
      <c r="I118" s="3464"/>
      <c r="J118" s="43">
        <f t="shared" ref="J118:J119" si="42">+F118+H118</f>
        <v>0</v>
      </c>
      <c r="K118" s="3463"/>
      <c r="L118" s="158"/>
      <c r="M118" s="904"/>
      <c r="N118" s="4594">
        <f t="shared" si="34"/>
        <v>0</v>
      </c>
      <c r="O118" s="3463"/>
      <c r="P118" s="158"/>
      <c r="Q118" s="853"/>
      <c r="R118" s="4773">
        <f t="shared" si="35"/>
        <v>0</v>
      </c>
      <c r="S118" s="3463"/>
      <c r="T118" s="158"/>
      <c r="U118" s="853"/>
      <c r="V118" s="4938">
        <f t="shared" si="36"/>
        <v>0</v>
      </c>
      <c r="W118" s="3463"/>
      <c r="X118" s="158"/>
      <c r="Y118" s="575"/>
      <c r="Z118" s="2636">
        <f t="shared" si="29"/>
        <v>0</v>
      </c>
      <c r="AA118" s="662"/>
      <c r="AB118" s="662">
        <f t="shared" si="30"/>
        <v>0</v>
      </c>
      <c r="AC118" s="3463"/>
      <c r="AD118" s="158"/>
      <c r="AE118" s="853"/>
      <c r="AF118" s="5359">
        <f t="shared" si="33"/>
        <v>0</v>
      </c>
      <c r="AG118" s="3463"/>
      <c r="AH118" s="158"/>
      <c r="AI118" s="853"/>
      <c r="AJ118" s="5535">
        <f t="shared" si="25"/>
        <v>0</v>
      </c>
      <c r="AK118" s="3463"/>
      <c r="AL118" s="158"/>
      <c r="AM118" s="2636"/>
      <c r="AN118" s="2636">
        <f t="shared" si="21"/>
        <v>0</v>
      </c>
      <c r="AO118" s="2399"/>
      <c r="AP118" s="5960">
        <f t="shared" si="26"/>
        <v>0</v>
      </c>
      <c r="AQ118" s="3463"/>
      <c r="AR118" s="158"/>
      <c r="AS118" s="853"/>
      <c r="AT118" s="6113">
        <f t="shared" si="27"/>
        <v>0</v>
      </c>
      <c r="AU118" s="3463"/>
      <c r="AV118" s="158"/>
      <c r="AW118" s="853"/>
      <c r="AX118" s="6251">
        <f t="shared" si="28"/>
        <v>0</v>
      </c>
      <c r="AY118" s="3463"/>
      <c r="AZ118" s="158"/>
      <c r="BA118" s="2636"/>
      <c r="BB118" s="2636">
        <f t="shared" si="41"/>
        <v>0</v>
      </c>
      <c r="BC118" s="662"/>
      <c r="BD118" s="662">
        <f t="shared" si="22"/>
        <v>0</v>
      </c>
      <c r="BE118" s="2399"/>
      <c r="BF118" s="2399">
        <f t="shared" ref="BF118:BF149" si="43">+AX118+AZ118</f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1:66" ht="16.5" thickBot="1" x14ac:dyDescent="0.3">
      <c r="B119" s="3456" t="s">
        <v>873</v>
      </c>
      <c r="C119" s="3457" t="s">
        <v>877</v>
      </c>
      <c r="D119" s="3458" t="s">
        <v>50</v>
      </c>
      <c r="E119" s="3466"/>
      <c r="F119" s="109"/>
      <c r="G119" s="3466"/>
      <c r="H119" s="109"/>
      <c r="I119" s="3467"/>
      <c r="J119" s="44">
        <f t="shared" si="42"/>
        <v>0</v>
      </c>
      <c r="K119" s="3466"/>
      <c r="L119" s="109"/>
      <c r="M119" s="904"/>
      <c r="N119" s="4594">
        <f t="shared" si="34"/>
        <v>0</v>
      </c>
      <c r="O119" s="3466"/>
      <c r="P119" s="109"/>
      <c r="Q119" s="853"/>
      <c r="R119" s="4773">
        <f t="shared" si="35"/>
        <v>0</v>
      </c>
      <c r="S119" s="3466"/>
      <c r="T119" s="109"/>
      <c r="U119" s="853"/>
      <c r="V119" s="4938">
        <f t="shared" si="36"/>
        <v>0</v>
      </c>
      <c r="W119" s="3466"/>
      <c r="X119" s="109"/>
      <c r="Y119" s="575"/>
      <c r="Z119" s="2636">
        <f t="shared" si="29"/>
        <v>0</v>
      </c>
      <c r="AA119" s="662"/>
      <c r="AB119" s="662">
        <f t="shared" si="30"/>
        <v>0</v>
      </c>
      <c r="AC119" s="3466"/>
      <c r="AD119" s="109"/>
      <c r="AE119" s="853"/>
      <c r="AF119" s="5359">
        <f t="shared" si="33"/>
        <v>0</v>
      </c>
      <c r="AG119" s="3466"/>
      <c r="AH119" s="109"/>
      <c r="AI119" s="853"/>
      <c r="AJ119" s="5535">
        <f t="shared" si="25"/>
        <v>0</v>
      </c>
      <c r="AK119" s="3466"/>
      <c r="AL119" s="109"/>
      <c r="AM119" s="2636"/>
      <c r="AN119" s="2636">
        <f t="shared" si="21"/>
        <v>0</v>
      </c>
      <c r="AO119" s="2399"/>
      <c r="AP119" s="5960">
        <f t="shared" si="26"/>
        <v>0</v>
      </c>
      <c r="AQ119" s="3466"/>
      <c r="AR119" s="109"/>
      <c r="AS119" s="853"/>
      <c r="AT119" s="6113">
        <f t="shared" si="27"/>
        <v>0</v>
      </c>
      <c r="AU119" s="3466"/>
      <c r="AV119" s="109"/>
      <c r="AW119" s="853"/>
      <c r="AX119" s="6251">
        <f t="shared" si="28"/>
        <v>0</v>
      </c>
      <c r="AY119" s="3466"/>
      <c r="AZ119" s="109"/>
      <c r="BA119" s="2636"/>
      <c r="BB119" s="2636">
        <f t="shared" si="41"/>
        <v>0</v>
      </c>
      <c r="BC119" s="662"/>
      <c r="BD119" s="662">
        <f t="shared" si="22"/>
        <v>0</v>
      </c>
      <c r="BE119" s="2399"/>
      <c r="BF119" s="2399">
        <f t="shared" si="43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1:66" ht="16.5" thickBot="1" x14ac:dyDescent="0.3">
      <c r="A120" s="2191"/>
      <c r="B120" s="3502" t="s">
        <v>1072</v>
      </c>
      <c r="C120" s="2191"/>
      <c r="D120" s="2191"/>
      <c r="E120" s="2191"/>
      <c r="F120" s="2191"/>
      <c r="G120" s="5172"/>
      <c r="H120" s="5172"/>
      <c r="I120" s="2191"/>
      <c r="J120" s="3427"/>
      <c r="K120" s="3427"/>
      <c r="L120" s="3427"/>
      <c r="M120" s="2191"/>
      <c r="N120" s="4594">
        <f t="shared" si="34"/>
        <v>0</v>
      </c>
      <c r="O120" s="4712"/>
      <c r="P120" s="4712"/>
      <c r="Q120" s="2191"/>
      <c r="R120" s="4773">
        <f t="shared" si="35"/>
        <v>0</v>
      </c>
      <c r="S120" s="4712"/>
      <c r="T120" s="4712"/>
      <c r="U120" s="4712"/>
      <c r="V120" s="4938">
        <f t="shared" si="36"/>
        <v>0</v>
      </c>
      <c r="W120" s="4712"/>
      <c r="X120" s="4712"/>
      <c r="Y120" s="2366"/>
      <c r="Z120" s="2636"/>
      <c r="AA120" s="662"/>
      <c r="AB120" s="662"/>
      <c r="AC120" s="5172"/>
      <c r="AD120" s="5172"/>
      <c r="AE120" s="2631"/>
      <c r="AF120" s="5359"/>
      <c r="AG120" s="5172"/>
      <c r="AH120" s="5172"/>
      <c r="AI120" s="5172"/>
      <c r="AJ120" s="5535"/>
      <c r="AK120" s="5172"/>
      <c r="AL120" s="5172"/>
      <c r="AM120" s="2744"/>
      <c r="AN120" s="2636">
        <f t="shared" si="21"/>
        <v>0</v>
      </c>
      <c r="AO120" s="2399"/>
      <c r="AP120" s="5960">
        <f t="shared" si="26"/>
        <v>0</v>
      </c>
      <c r="AQ120" s="5172"/>
      <c r="AR120" s="5172"/>
      <c r="AS120" s="2809"/>
      <c r="AT120" s="6113">
        <f t="shared" ref="AT120:AT140" si="44">+AP120+AR120</f>
        <v>0</v>
      </c>
      <c r="AU120" s="5172"/>
      <c r="AV120" s="5172"/>
      <c r="AW120" s="5172"/>
      <c r="AX120" s="6251">
        <f t="shared" si="28"/>
        <v>0</v>
      </c>
      <c r="AY120" s="5172"/>
      <c r="AZ120" s="5172"/>
      <c r="BB120" s="2636">
        <f t="shared" si="41"/>
        <v>0</v>
      </c>
      <c r="BC120" s="662"/>
      <c r="BD120" s="662">
        <f t="shared" si="22"/>
        <v>0</v>
      </c>
      <c r="BE120" s="2399"/>
      <c r="BF120" s="2399">
        <f t="shared" si="43"/>
        <v>0</v>
      </c>
      <c r="BG120" s="26"/>
      <c r="BH120" s="26"/>
      <c r="BI120" s="26"/>
      <c r="BJ120" s="26"/>
      <c r="BK120" s="26"/>
      <c r="BL120" s="26"/>
      <c r="BM120" s="26"/>
      <c r="BN120" s="26"/>
    </row>
    <row r="121" spans="1:66" ht="15.75" x14ac:dyDescent="0.25">
      <c r="B121" s="3503" t="s">
        <v>1038</v>
      </c>
      <c r="C121" s="3504" t="s">
        <v>1073</v>
      </c>
      <c r="D121" s="3505" t="s">
        <v>50</v>
      </c>
      <c r="E121" s="3463"/>
      <c r="F121" s="158">
        <v>6.15</v>
      </c>
      <c r="G121" s="3463"/>
      <c r="H121" s="158">
        <v>4.0999999999999996</v>
      </c>
      <c r="I121" s="3506"/>
      <c r="J121" s="43">
        <f t="shared" ref="J121:J149" si="45">+F121+H121</f>
        <v>10.25</v>
      </c>
      <c r="K121" s="3463"/>
      <c r="L121" s="3474"/>
      <c r="M121" s="904"/>
      <c r="N121" s="4594">
        <f t="shared" si="34"/>
        <v>10.25</v>
      </c>
      <c r="O121" s="3463"/>
      <c r="P121" s="3474"/>
      <c r="Q121" s="266"/>
      <c r="R121" s="4773">
        <f t="shared" si="35"/>
        <v>10.25</v>
      </c>
      <c r="S121" s="3463"/>
      <c r="T121" s="3474">
        <v>2.0499999999999998</v>
      </c>
      <c r="U121" s="266"/>
      <c r="V121" s="4938">
        <f t="shared" si="36"/>
        <v>12.3</v>
      </c>
      <c r="W121" s="3463"/>
      <c r="X121" s="3474"/>
      <c r="Y121" s="575"/>
      <c r="Z121" s="2636">
        <f t="shared" si="29"/>
        <v>2.0499999999999998</v>
      </c>
      <c r="AA121" s="662"/>
      <c r="AB121" s="662">
        <f t="shared" si="30"/>
        <v>12.3</v>
      </c>
      <c r="AC121" s="3463"/>
      <c r="AD121" s="3474">
        <v>2.0499999999999998</v>
      </c>
      <c r="AE121" s="266"/>
      <c r="AF121" s="5359">
        <f t="shared" si="33"/>
        <v>14.350000000000001</v>
      </c>
      <c r="AG121" s="3463"/>
      <c r="AH121" s="3474"/>
      <c r="AI121" s="266"/>
      <c r="AJ121" s="5535">
        <f t="shared" ref="AJ121:AJ133" si="46">+AF121+AH121</f>
        <v>14.350000000000001</v>
      </c>
      <c r="AK121" s="3463"/>
      <c r="AL121" s="3474">
        <v>16.399999999999999</v>
      </c>
      <c r="AM121" s="2636"/>
      <c r="AN121" s="2636">
        <f t="shared" si="21"/>
        <v>18.45</v>
      </c>
      <c r="AO121" s="2399"/>
      <c r="AP121" s="5960">
        <f t="shared" si="26"/>
        <v>30.75</v>
      </c>
      <c r="AQ121" s="3463"/>
      <c r="AR121" s="3474"/>
      <c r="AS121" s="266"/>
      <c r="AT121" s="6113">
        <f t="shared" si="44"/>
        <v>30.75</v>
      </c>
      <c r="AU121" s="3463"/>
      <c r="AV121" s="3474"/>
      <c r="AW121" s="266"/>
      <c r="AX121" s="6251">
        <f t="shared" si="28"/>
        <v>30.75</v>
      </c>
      <c r="AY121" s="3463"/>
      <c r="AZ121" s="3474"/>
      <c r="BA121" s="2636"/>
      <c r="BB121" s="2636">
        <f t="shared" si="41"/>
        <v>0</v>
      </c>
      <c r="BC121" s="662"/>
      <c r="BD121" s="662">
        <f t="shared" si="22"/>
        <v>18.45</v>
      </c>
      <c r="BE121" s="2399"/>
      <c r="BF121" s="2399">
        <f t="shared" si="43"/>
        <v>30.75</v>
      </c>
      <c r="BG121" s="26"/>
      <c r="BH121" s="26"/>
      <c r="BI121" s="26"/>
      <c r="BJ121" s="26"/>
      <c r="BK121" s="26"/>
      <c r="BL121" s="26"/>
      <c r="BM121" s="26"/>
      <c r="BN121" s="26"/>
    </row>
    <row r="122" spans="1:66" ht="15.75" x14ac:dyDescent="0.25">
      <c r="B122" s="1640" t="s">
        <v>1037</v>
      </c>
      <c r="C122" s="3507" t="s">
        <v>1073</v>
      </c>
      <c r="D122" s="3508" t="s">
        <v>50</v>
      </c>
      <c r="E122" s="854"/>
      <c r="F122" s="7291">
        <v>82</v>
      </c>
      <c r="G122" s="854"/>
      <c r="H122" s="7291">
        <v>36.9</v>
      </c>
      <c r="I122" s="3509"/>
      <c r="J122" s="39">
        <f t="shared" si="45"/>
        <v>118.9</v>
      </c>
      <c r="K122" s="854"/>
      <c r="L122" s="3471">
        <v>8.1999999999999993</v>
      </c>
      <c r="M122" s="904"/>
      <c r="N122" s="4594">
        <f t="shared" si="34"/>
        <v>127.10000000000001</v>
      </c>
      <c r="O122" s="854"/>
      <c r="P122" s="3471"/>
      <c r="Q122" s="266"/>
      <c r="R122" s="4773">
        <f t="shared" si="35"/>
        <v>127.10000000000001</v>
      </c>
      <c r="S122" s="854"/>
      <c r="T122" s="3471">
        <v>16.399999999999999</v>
      </c>
      <c r="U122" s="266"/>
      <c r="V122" s="4938">
        <f t="shared" si="36"/>
        <v>143.5</v>
      </c>
      <c r="W122" s="854"/>
      <c r="X122" s="3471">
        <f>16.4+4.1</f>
        <v>20.5</v>
      </c>
      <c r="Y122" s="575"/>
      <c r="Z122" s="2636">
        <f t="shared" si="29"/>
        <v>36.9</v>
      </c>
      <c r="AA122" s="662"/>
      <c r="AB122" s="662">
        <f t="shared" si="30"/>
        <v>164</v>
      </c>
      <c r="AC122" s="854"/>
      <c r="AD122" s="3471">
        <v>6.15</v>
      </c>
      <c r="AE122" s="266"/>
      <c r="AF122" s="5359">
        <f t="shared" si="33"/>
        <v>170.15</v>
      </c>
      <c r="AG122" s="854"/>
      <c r="AH122" s="3471">
        <v>26.65</v>
      </c>
      <c r="AI122" s="266"/>
      <c r="AJ122" s="5535">
        <f t="shared" si="46"/>
        <v>196.8</v>
      </c>
      <c r="AK122" s="854"/>
      <c r="AL122" s="3471">
        <v>45.1</v>
      </c>
      <c r="AM122" s="2636"/>
      <c r="AN122" s="2636">
        <f t="shared" si="21"/>
        <v>77.900000000000006</v>
      </c>
      <c r="AO122" s="2399"/>
      <c r="AP122" s="5960">
        <f t="shared" si="26"/>
        <v>241.9</v>
      </c>
      <c r="AQ122" s="854"/>
      <c r="AR122" s="3471">
        <v>71.75</v>
      </c>
      <c r="AS122" s="266"/>
      <c r="AT122" s="6113">
        <f t="shared" si="44"/>
        <v>313.64999999999998</v>
      </c>
      <c r="AU122" s="854"/>
      <c r="AV122" s="3471">
        <v>79.95</v>
      </c>
      <c r="AW122" s="266"/>
      <c r="AX122" s="6251">
        <f t="shared" si="28"/>
        <v>393.59999999999997</v>
      </c>
      <c r="AY122" s="854"/>
      <c r="AZ122" s="3471"/>
      <c r="BA122" s="2636"/>
      <c r="BB122" s="2636">
        <f t="shared" si="41"/>
        <v>151.69999999999999</v>
      </c>
      <c r="BC122" s="662"/>
      <c r="BD122" s="662">
        <f t="shared" si="22"/>
        <v>229.6</v>
      </c>
      <c r="BE122" s="2399"/>
      <c r="BF122" s="6482">
        <f t="shared" si="43"/>
        <v>393.59999999999997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ht="15.75" x14ac:dyDescent="0.25">
      <c r="B123" s="1640" t="s">
        <v>1036</v>
      </c>
      <c r="C123" s="3507" t="s">
        <v>1073</v>
      </c>
      <c r="D123" s="3508" t="s">
        <v>50</v>
      </c>
      <c r="E123" s="854"/>
      <c r="F123" s="7291"/>
      <c r="G123" s="854"/>
      <c r="H123" s="7291"/>
      <c r="I123" s="3509"/>
      <c r="J123" s="39">
        <f t="shared" si="45"/>
        <v>0</v>
      </c>
      <c r="K123" s="854"/>
      <c r="L123" s="3471"/>
      <c r="M123" s="904"/>
      <c r="N123" s="4594">
        <f t="shared" si="34"/>
        <v>0</v>
      </c>
      <c r="O123" s="854"/>
      <c r="P123" s="3471"/>
      <c r="Q123" s="266"/>
      <c r="R123" s="4773">
        <f t="shared" si="35"/>
        <v>0</v>
      </c>
      <c r="S123" s="854"/>
      <c r="T123" s="3471"/>
      <c r="U123" s="266"/>
      <c r="V123" s="4938">
        <f t="shared" si="36"/>
        <v>0</v>
      </c>
      <c r="W123" s="854"/>
      <c r="X123" s="3471"/>
      <c r="Y123" s="575"/>
      <c r="Z123" s="2636">
        <f t="shared" si="29"/>
        <v>0</v>
      </c>
      <c r="AA123" s="662"/>
      <c r="AB123" s="662">
        <f t="shared" si="30"/>
        <v>0</v>
      </c>
      <c r="AC123" s="854"/>
      <c r="AD123" s="3471"/>
      <c r="AE123" s="266"/>
      <c r="AF123" s="5359">
        <f t="shared" si="33"/>
        <v>0</v>
      </c>
      <c r="AG123" s="854"/>
      <c r="AH123" s="3471"/>
      <c r="AI123" s="266"/>
      <c r="AJ123" s="5535">
        <f t="shared" si="46"/>
        <v>0</v>
      </c>
      <c r="AK123" s="854"/>
      <c r="AL123" s="3471"/>
      <c r="AM123" s="2636"/>
      <c r="AN123" s="2636">
        <f t="shared" si="21"/>
        <v>0</v>
      </c>
      <c r="AO123" s="2399"/>
      <c r="AP123" s="5960">
        <f t="shared" si="26"/>
        <v>0</v>
      </c>
      <c r="AQ123" s="854"/>
      <c r="AR123" s="3471"/>
      <c r="AS123" s="266"/>
      <c r="AT123" s="6113">
        <f t="shared" si="44"/>
        <v>0</v>
      </c>
      <c r="AU123" s="854"/>
      <c r="AV123" s="3471"/>
      <c r="AW123" s="266"/>
      <c r="AX123" s="6251">
        <f t="shared" si="28"/>
        <v>0</v>
      </c>
      <c r="AY123" s="854"/>
      <c r="AZ123" s="3471"/>
      <c r="BA123" s="2636"/>
      <c r="BB123" s="2636">
        <f t="shared" si="41"/>
        <v>0</v>
      </c>
      <c r="BC123" s="662"/>
      <c r="BD123" s="662">
        <f t="shared" si="22"/>
        <v>0</v>
      </c>
      <c r="BE123" s="2399"/>
      <c r="BF123" s="6482">
        <f t="shared" si="43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1:66" ht="15.75" x14ac:dyDescent="0.25">
      <c r="B124" s="1640" t="s">
        <v>1034</v>
      </c>
      <c r="C124" s="3507" t="s">
        <v>1073</v>
      </c>
      <c r="D124" s="3508" t="s">
        <v>50</v>
      </c>
      <c r="E124" s="854"/>
      <c r="F124" s="7291">
        <v>4.0999999999999996</v>
      </c>
      <c r="G124" s="854"/>
      <c r="H124" s="7291">
        <v>12.3</v>
      </c>
      <c r="I124" s="3509"/>
      <c r="J124" s="39">
        <f t="shared" si="45"/>
        <v>16.399999999999999</v>
      </c>
      <c r="K124" s="854"/>
      <c r="L124" s="3471">
        <v>2.0499999999999998</v>
      </c>
      <c r="M124" s="904"/>
      <c r="N124" s="4594">
        <f t="shared" si="34"/>
        <v>18.45</v>
      </c>
      <c r="O124" s="854"/>
      <c r="P124" s="3471"/>
      <c r="Q124" s="266"/>
      <c r="R124" s="4773">
        <f t="shared" si="35"/>
        <v>18.45</v>
      </c>
      <c r="S124" s="854"/>
      <c r="T124" s="3471"/>
      <c r="U124" s="266"/>
      <c r="V124" s="4938">
        <f t="shared" si="36"/>
        <v>18.45</v>
      </c>
      <c r="W124" s="854"/>
      <c r="X124" s="3471">
        <v>2.0499999999999998</v>
      </c>
      <c r="Y124" s="575"/>
      <c r="Z124" s="2636">
        <f t="shared" si="29"/>
        <v>2.0499999999999998</v>
      </c>
      <c r="AA124" s="662"/>
      <c r="AB124" s="662">
        <f t="shared" si="30"/>
        <v>20.5</v>
      </c>
      <c r="AC124" s="854"/>
      <c r="AD124" s="3471">
        <v>6.15</v>
      </c>
      <c r="AE124" s="266"/>
      <c r="AF124" s="5359">
        <f t="shared" si="33"/>
        <v>26.65</v>
      </c>
      <c r="AG124" s="854"/>
      <c r="AH124" s="3471">
        <v>4.0999999999999996</v>
      </c>
      <c r="AI124" s="266"/>
      <c r="AJ124" s="5535">
        <f t="shared" si="46"/>
        <v>30.75</v>
      </c>
      <c r="AK124" s="854"/>
      <c r="AL124" s="3471">
        <v>2.0499999999999998</v>
      </c>
      <c r="AM124" s="2636"/>
      <c r="AN124" s="2636">
        <f t="shared" si="21"/>
        <v>12.3</v>
      </c>
      <c r="AO124" s="2399"/>
      <c r="AP124" s="5960">
        <f t="shared" si="26"/>
        <v>32.799999999999997</v>
      </c>
      <c r="AQ124" s="854"/>
      <c r="AR124" s="3471">
        <f>4.1</f>
        <v>4.0999999999999996</v>
      </c>
      <c r="AS124" s="266"/>
      <c r="AT124" s="6113">
        <f t="shared" si="44"/>
        <v>36.9</v>
      </c>
      <c r="AU124" s="854"/>
      <c r="AV124" s="3471"/>
      <c r="AW124" s="266"/>
      <c r="AX124" s="6251">
        <f t="shared" si="28"/>
        <v>36.9</v>
      </c>
      <c r="AY124" s="854"/>
      <c r="AZ124" s="3471"/>
      <c r="BA124" s="2636"/>
      <c r="BB124" s="2636">
        <f t="shared" si="41"/>
        <v>4.0999999999999996</v>
      </c>
      <c r="BC124" s="662"/>
      <c r="BD124" s="662">
        <f t="shared" si="22"/>
        <v>16.399999999999999</v>
      </c>
      <c r="BE124" s="2399"/>
      <c r="BF124" s="6482">
        <f t="shared" si="43"/>
        <v>36.9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5.75" x14ac:dyDescent="0.25">
      <c r="A125" s="1728"/>
      <c r="B125" s="1640" t="s">
        <v>1035</v>
      </c>
      <c r="C125" s="3507" t="s">
        <v>1073</v>
      </c>
      <c r="D125" s="3508" t="s">
        <v>50</v>
      </c>
      <c r="E125" s="854"/>
      <c r="F125" s="7291"/>
      <c r="G125" s="854"/>
      <c r="H125" s="7291"/>
      <c r="I125" s="3509"/>
      <c r="J125" s="39">
        <f t="shared" si="45"/>
        <v>0</v>
      </c>
      <c r="K125" s="854"/>
      <c r="L125" s="3471"/>
      <c r="M125" s="904"/>
      <c r="N125" s="4594">
        <f t="shared" si="34"/>
        <v>0</v>
      </c>
      <c r="O125" s="854"/>
      <c r="P125" s="3471"/>
      <c r="Q125" s="266"/>
      <c r="R125" s="4773">
        <f t="shared" si="35"/>
        <v>0</v>
      </c>
      <c r="S125" s="854"/>
      <c r="T125" s="3471"/>
      <c r="U125" s="266"/>
      <c r="V125" s="4938">
        <f t="shared" si="36"/>
        <v>0</v>
      </c>
      <c r="W125" s="854"/>
      <c r="X125" s="3471"/>
      <c r="Y125" s="575"/>
      <c r="Z125" s="2636">
        <f t="shared" si="29"/>
        <v>0</v>
      </c>
      <c r="AA125" s="662"/>
      <c r="AB125" s="662">
        <f t="shared" si="30"/>
        <v>0</v>
      </c>
      <c r="AC125" s="854"/>
      <c r="AD125" s="3471"/>
      <c r="AE125" s="266"/>
      <c r="AF125" s="5359">
        <f t="shared" si="33"/>
        <v>0</v>
      </c>
      <c r="AG125" s="854"/>
      <c r="AH125" s="3471"/>
      <c r="AI125" s="266"/>
      <c r="AJ125" s="5535">
        <f t="shared" si="46"/>
        <v>0</v>
      </c>
      <c r="AK125" s="854"/>
      <c r="AL125" s="3471"/>
      <c r="AM125" s="2636"/>
      <c r="AN125" s="2636">
        <f t="shared" si="21"/>
        <v>0</v>
      </c>
      <c r="AO125" s="2399"/>
      <c r="AP125" s="5960">
        <f t="shared" si="26"/>
        <v>0</v>
      </c>
      <c r="AQ125" s="854"/>
      <c r="AR125" s="3471"/>
      <c r="AS125" s="266"/>
      <c r="AT125" s="6113">
        <f t="shared" si="44"/>
        <v>0</v>
      </c>
      <c r="AU125" s="854"/>
      <c r="AV125" s="3471"/>
      <c r="AW125" s="266"/>
      <c r="AX125" s="6251">
        <f t="shared" si="28"/>
        <v>0</v>
      </c>
      <c r="AY125" s="854"/>
      <c r="AZ125" s="3471"/>
      <c r="BA125" s="2636"/>
      <c r="BB125" s="2636">
        <f t="shared" si="41"/>
        <v>0</v>
      </c>
      <c r="BC125" s="662"/>
      <c r="BD125" s="662">
        <f t="shared" si="22"/>
        <v>0</v>
      </c>
      <c r="BE125" s="2399"/>
      <c r="BF125" s="6482">
        <f t="shared" si="43"/>
        <v>0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ht="15.75" x14ac:dyDescent="0.25">
      <c r="B126" s="1640" t="s">
        <v>1033</v>
      </c>
      <c r="C126" s="3507" t="s">
        <v>1073</v>
      </c>
      <c r="D126" s="3508" t="s">
        <v>50</v>
      </c>
      <c r="E126" s="854"/>
      <c r="F126" s="7291">
        <v>6.15</v>
      </c>
      <c r="G126" s="854"/>
      <c r="H126" s="7291"/>
      <c r="I126" s="3509"/>
      <c r="J126" s="39">
        <f t="shared" si="45"/>
        <v>6.15</v>
      </c>
      <c r="K126" s="854"/>
      <c r="L126" s="3471"/>
      <c r="M126" s="904"/>
      <c r="N126" s="4594">
        <f t="shared" si="34"/>
        <v>6.15</v>
      </c>
      <c r="O126" s="854"/>
      <c r="P126" s="3471"/>
      <c r="Q126" s="266"/>
      <c r="R126" s="4773">
        <f t="shared" si="35"/>
        <v>6.15</v>
      </c>
      <c r="S126" s="854"/>
      <c r="T126" s="3471"/>
      <c r="U126" s="266"/>
      <c r="V126" s="4938">
        <f t="shared" si="36"/>
        <v>6.15</v>
      </c>
      <c r="W126" s="854"/>
      <c r="X126" s="3471">
        <v>24.6</v>
      </c>
      <c r="Y126" s="575"/>
      <c r="Z126" s="2636">
        <f t="shared" si="29"/>
        <v>24.6</v>
      </c>
      <c r="AA126" s="662"/>
      <c r="AB126" s="662">
        <f t="shared" si="30"/>
        <v>30.75</v>
      </c>
      <c r="AC126" s="854"/>
      <c r="AD126" s="3471"/>
      <c r="AE126" s="266"/>
      <c r="AF126" s="5359">
        <f t="shared" si="33"/>
        <v>30.75</v>
      </c>
      <c r="AG126" s="854"/>
      <c r="AH126" s="3471"/>
      <c r="AI126" s="266"/>
      <c r="AJ126" s="5535">
        <f t="shared" si="46"/>
        <v>30.75</v>
      </c>
      <c r="AK126" s="854"/>
      <c r="AL126" s="3471"/>
      <c r="AM126" s="2636"/>
      <c r="AN126" s="2636">
        <f t="shared" si="21"/>
        <v>0</v>
      </c>
      <c r="AO126" s="2399"/>
      <c r="AP126" s="5960">
        <f t="shared" si="26"/>
        <v>30.75</v>
      </c>
      <c r="AQ126" s="854"/>
      <c r="AR126" s="3471">
        <v>4.0999999999999996</v>
      </c>
      <c r="AS126" s="266"/>
      <c r="AT126" s="6113">
        <f t="shared" si="44"/>
        <v>34.85</v>
      </c>
      <c r="AU126" s="854"/>
      <c r="AV126" s="3471"/>
      <c r="AW126" s="266"/>
      <c r="AX126" s="6251">
        <f t="shared" si="28"/>
        <v>34.85</v>
      </c>
      <c r="AY126" s="854"/>
      <c r="AZ126" s="3471"/>
      <c r="BA126" s="2636"/>
      <c r="BB126" s="2636">
        <f t="shared" si="41"/>
        <v>4.0999999999999996</v>
      </c>
      <c r="BC126" s="662"/>
      <c r="BD126" s="662">
        <f t="shared" si="22"/>
        <v>4.0999999999999996</v>
      </c>
      <c r="BE126" s="2399"/>
      <c r="BF126" s="6482">
        <f t="shared" si="43"/>
        <v>34.85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s="5172" customFormat="1" ht="15.75" x14ac:dyDescent="0.25">
      <c r="B127" s="1640" t="s">
        <v>2007</v>
      </c>
      <c r="C127" s="3507" t="s">
        <v>1073</v>
      </c>
      <c r="D127" s="3508" t="s">
        <v>50</v>
      </c>
      <c r="E127" s="854"/>
      <c r="F127" s="5386"/>
      <c r="G127" s="854"/>
      <c r="H127" s="5386">
        <v>2.0499999999999998</v>
      </c>
      <c r="I127" s="5391"/>
      <c r="J127" s="39">
        <f t="shared" si="45"/>
        <v>2.0499999999999998</v>
      </c>
      <c r="K127" s="854"/>
      <c r="L127" s="5390"/>
      <c r="M127" s="5392"/>
      <c r="N127" s="5227"/>
      <c r="O127" s="854"/>
      <c r="P127" s="5390"/>
      <c r="Q127" s="5393"/>
      <c r="R127" s="5225"/>
      <c r="S127" s="854"/>
      <c r="T127" s="5390"/>
      <c r="U127" s="5393"/>
      <c r="V127" s="5225"/>
      <c r="W127" s="854"/>
      <c r="X127" s="5390"/>
      <c r="Y127" s="5394"/>
      <c r="Z127" s="5394"/>
      <c r="AA127" s="5395"/>
      <c r="AB127" s="5395"/>
      <c r="AC127" s="854"/>
      <c r="AD127" s="5390">
        <v>6.15</v>
      </c>
      <c r="AE127" s="5393"/>
      <c r="AF127" s="5456">
        <f t="shared" si="33"/>
        <v>6.15</v>
      </c>
      <c r="AG127" s="854"/>
      <c r="AH127" s="5390"/>
      <c r="AI127" s="5393"/>
      <c r="AJ127" s="5535">
        <f t="shared" si="46"/>
        <v>6.15</v>
      </c>
      <c r="AK127" s="854"/>
      <c r="AL127" s="5390"/>
      <c r="AM127" s="5394"/>
      <c r="AN127" s="2636">
        <f t="shared" si="21"/>
        <v>6.15</v>
      </c>
      <c r="AO127" s="5225"/>
      <c r="AP127" s="5960">
        <f t="shared" si="26"/>
        <v>6.15</v>
      </c>
      <c r="AQ127" s="854"/>
      <c r="AR127" s="5390">
        <v>2.0499999999999998</v>
      </c>
      <c r="AS127" s="5393"/>
      <c r="AT127" s="6113">
        <f t="shared" si="44"/>
        <v>8.1999999999999993</v>
      </c>
      <c r="AU127" s="854"/>
      <c r="AV127" s="5390"/>
      <c r="AW127" s="5393"/>
      <c r="AX127" s="6251">
        <f t="shared" si="28"/>
        <v>8.1999999999999993</v>
      </c>
      <c r="AY127" s="854"/>
      <c r="AZ127" s="5390"/>
      <c r="BA127" s="5394"/>
      <c r="BB127" s="5394">
        <f t="shared" si="41"/>
        <v>2.0499999999999998</v>
      </c>
      <c r="BC127" s="5395"/>
      <c r="BD127" s="662">
        <f t="shared" si="22"/>
        <v>8.1999999999999993</v>
      </c>
      <c r="BE127" s="5225"/>
      <c r="BF127" s="6482">
        <f t="shared" si="43"/>
        <v>8.1999999999999993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5.75" x14ac:dyDescent="0.25">
      <c r="B128" s="1640" t="s">
        <v>1032</v>
      </c>
      <c r="C128" s="3507" t="s">
        <v>1073</v>
      </c>
      <c r="D128" s="3508" t="s">
        <v>50</v>
      </c>
      <c r="E128" s="854"/>
      <c r="F128" s="7291"/>
      <c r="G128" s="854"/>
      <c r="H128" s="7291">
        <v>266.5</v>
      </c>
      <c r="I128" s="3509"/>
      <c r="J128" s="39">
        <f t="shared" si="45"/>
        <v>266.5</v>
      </c>
      <c r="K128" s="854"/>
      <c r="L128" s="3471"/>
      <c r="M128" s="904"/>
      <c r="N128" s="4594">
        <f t="shared" si="34"/>
        <v>266.5</v>
      </c>
      <c r="O128" s="854"/>
      <c r="P128" s="3471"/>
      <c r="Q128" s="266"/>
      <c r="R128" s="4773">
        <f t="shared" si="35"/>
        <v>266.5</v>
      </c>
      <c r="S128" s="854"/>
      <c r="T128" s="3471"/>
      <c r="U128" s="266"/>
      <c r="V128" s="4938">
        <f t="shared" si="36"/>
        <v>266.5</v>
      </c>
      <c r="W128" s="854"/>
      <c r="X128" s="3471"/>
      <c r="Y128" s="575"/>
      <c r="Z128" s="2636">
        <f t="shared" si="29"/>
        <v>0</v>
      </c>
      <c r="AA128" s="662"/>
      <c r="AB128" s="662">
        <f t="shared" si="30"/>
        <v>266.5</v>
      </c>
      <c r="AC128" s="854"/>
      <c r="AD128" s="3471">
        <v>43.05</v>
      </c>
      <c r="AE128" s="266"/>
      <c r="AF128" s="5359">
        <f t="shared" si="33"/>
        <v>309.55</v>
      </c>
      <c r="AG128" s="854"/>
      <c r="AH128" s="3471"/>
      <c r="AI128" s="266"/>
      <c r="AJ128" s="5535">
        <f t="shared" si="46"/>
        <v>309.55</v>
      </c>
      <c r="AK128" s="854"/>
      <c r="AL128" s="3471"/>
      <c r="AM128" s="2636"/>
      <c r="AN128" s="2636">
        <f t="shared" si="21"/>
        <v>43.05</v>
      </c>
      <c r="AO128" s="2399"/>
      <c r="AP128" s="5960">
        <f t="shared" si="26"/>
        <v>309.55</v>
      </c>
      <c r="AQ128" s="854"/>
      <c r="AR128" s="3471"/>
      <c r="AS128" s="266"/>
      <c r="AT128" s="6113">
        <f t="shared" si="44"/>
        <v>309.55</v>
      </c>
      <c r="AU128" s="854"/>
      <c r="AV128" s="3471"/>
      <c r="AW128" s="266"/>
      <c r="AX128" s="6251">
        <f t="shared" si="28"/>
        <v>309.55</v>
      </c>
      <c r="AY128" s="854"/>
      <c r="AZ128" s="3471"/>
      <c r="BA128" s="2636"/>
      <c r="BB128" s="2636">
        <f t="shared" si="41"/>
        <v>0</v>
      </c>
      <c r="BC128" s="662"/>
      <c r="BD128" s="662">
        <f t="shared" si="22"/>
        <v>43.05</v>
      </c>
      <c r="BE128" s="2399"/>
      <c r="BF128" s="6482">
        <f t="shared" si="43"/>
        <v>309.55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5.75" x14ac:dyDescent="0.25">
      <c r="B129" s="1640" t="s">
        <v>1361</v>
      </c>
      <c r="C129" s="3507" t="s">
        <v>1073</v>
      </c>
      <c r="D129" s="3508" t="s">
        <v>50</v>
      </c>
      <c r="E129" s="854"/>
      <c r="F129" s="7291"/>
      <c r="G129" s="854"/>
      <c r="H129" s="7291"/>
      <c r="I129" s="3509"/>
      <c r="J129" s="39">
        <f t="shared" si="45"/>
        <v>0</v>
      </c>
      <c r="K129" s="854"/>
      <c r="L129" s="3471"/>
      <c r="M129" s="904"/>
      <c r="N129" s="4594">
        <f t="shared" si="34"/>
        <v>0</v>
      </c>
      <c r="O129" s="854"/>
      <c r="P129" s="3471"/>
      <c r="Q129" s="266"/>
      <c r="R129" s="4773">
        <f t="shared" si="35"/>
        <v>0</v>
      </c>
      <c r="S129" s="854"/>
      <c r="T129" s="3471"/>
      <c r="U129" s="266"/>
      <c r="V129" s="4938">
        <f t="shared" si="36"/>
        <v>0</v>
      </c>
      <c r="W129" s="854"/>
      <c r="X129" s="3471"/>
      <c r="Y129" s="575"/>
      <c r="Z129" s="2636">
        <f t="shared" si="29"/>
        <v>0</v>
      </c>
      <c r="AA129" s="662"/>
      <c r="AB129" s="662">
        <f t="shared" si="30"/>
        <v>0</v>
      </c>
      <c r="AC129" s="854"/>
      <c r="AD129" s="3471"/>
      <c r="AE129" s="266"/>
      <c r="AF129" s="5359">
        <f t="shared" si="33"/>
        <v>0</v>
      </c>
      <c r="AG129" s="854"/>
      <c r="AH129" s="3471"/>
      <c r="AI129" s="266"/>
      <c r="AJ129" s="5535">
        <f t="shared" si="46"/>
        <v>0</v>
      </c>
      <c r="AK129" s="854"/>
      <c r="AL129" s="3471"/>
      <c r="AM129" s="2636"/>
      <c r="AN129" s="2636">
        <f t="shared" si="21"/>
        <v>0</v>
      </c>
      <c r="AO129" s="2399"/>
      <c r="AP129" s="5960">
        <f t="shared" si="26"/>
        <v>0</v>
      </c>
      <c r="AQ129" s="854"/>
      <c r="AR129" s="3471"/>
      <c r="AS129" s="266"/>
      <c r="AT129" s="6113">
        <f t="shared" si="44"/>
        <v>0</v>
      </c>
      <c r="AU129" s="854"/>
      <c r="AV129" s="3471"/>
      <c r="AW129" s="266"/>
      <c r="AX129" s="6251">
        <f t="shared" si="28"/>
        <v>0</v>
      </c>
      <c r="AY129" s="854"/>
      <c r="AZ129" s="3471"/>
      <c r="BA129" s="2636"/>
      <c r="BB129" s="2636">
        <f t="shared" si="41"/>
        <v>0</v>
      </c>
      <c r="BC129" s="662"/>
      <c r="BD129" s="662">
        <f t="shared" si="22"/>
        <v>0</v>
      </c>
      <c r="BE129" s="2399"/>
      <c r="BF129" s="6482">
        <f t="shared" si="43"/>
        <v>0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ht="15.75" x14ac:dyDescent="0.25">
      <c r="B130" s="1640" t="s">
        <v>1031</v>
      </c>
      <c r="C130" s="3510" t="s">
        <v>1073</v>
      </c>
      <c r="D130" s="3508" t="s">
        <v>50</v>
      </c>
      <c r="E130" s="854"/>
      <c r="F130" s="7291">
        <v>79.95</v>
      </c>
      <c r="G130" s="854"/>
      <c r="H130" s="7291"/>
      <c r="I130" s="3509"/>
      <c r="J130" s="39">
        <f t="shared" si="45"/>
        <v>79.95</v>
      </c>
      <c r="K130" s="854"/>
      <c r="L130" s="3471"/>
      <c r="M130" s="904"/>
      <c r="N130" s="4594">
        <f t="shared" si="34"/>
        <v>79.95</v>
      </c>
      <c r="O130" s="854"/>
      <c r="P130" s="3471"/>
      <c r="Q130" s="266"/>
      <c r="R130" s="4773">
        <f t="shared" si="35"/>
        <v>79.95</v>
      </c>
      <c r="S130" s="854"/>
      <c r="T130" s="3471"/>
      <c r="U130" s="266"/>
      <c r="V130" s="4938">
        <f t="shared" si="36"/>
        <v>79.95</v>
      </c>
      <c r="W130" s="854"/>
      <c r="X130" s="3471"/>
      <c r="Y130" s="575"/>
      <c r="Z130" s="2636">
        <f t="shared" si="29"/>
        <v>0</v>
      </c>
      <c r="AA130" s="662"/>
      <c r="AB130" s="662">
        <f t="shared" si="30"/>
        <v>79.95</v>
      </c>
      <c r="AC130" s="854"/>
      <c r="AD130" s="3471"/>
      <c r="AE130" s="266"/>
      <c r="AF130" s="5359">
        <f t="shared" si="33"/>
        <v>79.95</v>
      </c>
      <c r="AG130" s="854"/>
      <c r="AH130" s="3471"/>
      <c r="AI130" s="266"/>
      <c r="AJ130" s="5535">
        <f t="shared" si="46"/>
        <v>79.95</v>
      </c>
      <c r="AK130" s="854"/>
      <c r="AL130" s="3471">
        <v>98.4</v>
      </c>
      <c r="AM130" s="2636"/>
      <c r="AN130" s="2636">
        <f t="shared" si="21"/>
        <v>98.4</v>
      </c>
      <c r="AO130" s="2399"/>
      <c r="AP130" s="5960">
        <f t="shared" si="26"/>
        <v>178.35000000000002</v>
      </c>
      <c r="AQ130" s="854"/>
      <c r="AR130" s="3471"/>
      <c r="AS130" s="266"/>
      <c r="AT130" s="6113">
        <f t="shared" si="44"/>
        <v>178.35000000000002</v>
      </c>
      <c r="AU130" s="854"/>
      <c r="AV130" s="3471"/>
      <c r="AW130" s="266"/>
      <c r="AX130" s="6251">
        <f t="shared" si="28"/>
        <v>178.35000000000002</v>
      </c>
      <c r="AY130" s="854"/>
      <c r="AZ130" s="3471"/>
      <c r="BA130" s="2636"/>
      <c r="BB130" s="2636">
        <f t="shared" si="41"/>
        <v>0</v>
      </c>
      <c r="BC130" s="662"/>
      <c r="BD130" s="662">
        <f t="shared" si="22"/>
        <v>98.4</v>
      </c>
      <c r="BE130" s="2399"/>
      <c r="BF130" s="6482">
        <f t="shared" si="43"/>
        <v>178.35000000000002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5.75" x14ac:dyDescent="0.25">
      <c r="B131" s="1640" t="s">
        <v>1340</v>
      </c>
      <c r="C131" s="3510" t="s">
        <v>1073</v>
      </c>
      <c r="D131" s="3508" t="s">
        <v>50</v>
      </c>
      <c r="E131" s="854"/>
      <c r="F131" s="7291"/>
      <c r="G131" s="854"/>
      <c r="H131" s="7291"/>
      <c r="I131" s="3509"/>
      <c r="J131" s="39">
        <f t="shared" si="45"/>
        <v>0</v>
      </c>
      <c r="K131" s="854"/>
      <c r="L131" s="3471"/>
      <c r="M131" s="904"/>
      <c r="N131" s="4594">
        <f t="shared" si="34"/>
        <v>0</v>
      </c>
      <c r="O131" s="854"/>
      <c r="P131" s="3471"/>
      <c r="Q131" s="266"/>
      <c r="R131" s="4773">
        <f t="shared" si="35"/>
        <v>0</v>
      </c>
      <c r="S131" s="854"/>
      <c r="T131" s="3471"/>
      <c r="U131" s="266"/>
      <c r="V131" s="4938">
        <f t="shared" si="36"/>
        <v>0</v>
      </c>
      <c r="W131" s="854"/>
      <c r="X131" s="3471"/>
      <c r="Y131" s="575"/>
      <c r="Z131" s="2636">
        <f t="shared" si="29"/>
        <v>0</v>
      </c>
      <c r="AA131" s="662"/>
      <c r="AB131" s="662">
        <f t="shared" si="30"/>
        <v>0</v>
      </c>
      <c r="AC131" s="854"/>
      <c r="AD131" s="3471"/>
      <c r="AE131" s="266"/>
      <c r="AF131" s="5359">
        <f t="shared" si="33"/>
        <v>0</v>
      </c>
      <c r="AG131" s="854"/>
      <c r="AH131" s="3471"/>
      <c r="AI131" s="266"/>
      <c r="AJ131" s="5535">
        <f t="shared" si="46"/>
        <v>0</v>
      </c>
      <c r="AK131" s="854"/>
      <c r="AL131" s="3471"/>
      <c r="AM131" s="2636"/>
      <c r="AN131" s="2636">
        <f t="shared" si="21"/>
        <v>0</v>
      </c>
      <c r="AO131" s="2399"/>
      <c r="AP131" s="5960">
        <f t="shared" si="26"/>
        <v>0</v>
      </c>
      <c r="AQ131" s="854"/>
      <c r="AR131" s="3471"/>
      <c r="AS131" s="266"/>
      <c r="AT131" s="6113">
        <f t="shared" si="44"/>
        <v>0</v>
      </c>
      <c r="AU131" s="854"/>
      <c r="AV131" s="3471"/>
      <c r="AW131" s="266"/>
      <c r="AX131" s="6251">
        <f t="shared" si="28"/>
        <v>0</v>
      </c>
      <c r="AY131" s="854"/>
      <c r="AZ131" s="3471"/>
      <c r="BA131" s="2636"/>
      <c r="BB131" s="2636">
        <f t="shared" si="41"/>
        <v>0</v>
      </c>
      <c r="BC131" s="662"/>
      <c r="BD131" s="662">
        <f t="shared" si="22"/>
        <v>0</v>
      </c>
      <c r="BE131" s="2399"/>
      <c r="BF131" s="2399">
        <f t="shared" si="43"/>
        <v>0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5.75" x14ac:dyDescent="0.25">
      <c r="B132" s="1640" t="s">
        <v>1335</v>
      </c>
      <c r="C132" s="3510" t="s">
        <v>1073</v>
      </c>
      <c r="D132" s="3508" t="s">
        <v>50</v>
      </c>
      <c r="E132" s="854"/>
      <c r="F132" s="7291">
        <v>26.65</v>
      </c>
      <c r="G132" s="854"/>
      <c r="H132" s="7291"/>
      <c r="I132" s="3509"/>
      <c r="J132" s="39">
        <f t="shared" si="45"/>
        <v>26.65</v>
      </c>
      <c r="K132" s="854"/>
      <c r="L132" s="3471"/>
      <c r="M132" s="904"/>
      <c r="N132" s="4594">
        <f t="shared" si="34"/>
        <v>26.65</v>
      </c>
      <c r="O132" s="854"/>
      <c r="P132" s="3471"/>
      <c r="Q132" s="266"/>
      <c r="R132" s="4773">
        <f t="shared" si="35"/>
        <v>26.65</v>
      </c>
      <c r="S132" s="854"/>
      <c r="T132" s="3471"/>
      <c r="U132" s="266"/>
      <c r="V132" s="4938">
        <f t="shared" si="36"/>
        <v>26.65</v>
      </c>
      <c r="W132" s="854"/>
      <c r="X132" s="3471">
        <f>6.15+51.25</f>
        <v>57.4</v>
      </c>
      <c r="Y132" s="575"/>
      <c r="Z132" s="2636">
        <f t="shared" si="29"/>
        <v>57.4</v>
      </c>
      <c r="AA132" s="662"/>
      <c r="AB132" s="662">
        <f t="shared" si="30"/>
        <v>84.05</v>
      </c>
      <c r="AC132" s="854"/>
      <c r="AD132" s="3471"/>
      <c r="AE132" s="266"/>
      <c r="AF132" s="5359">
        <f t="shared" si="33"/>
        <v>84.05</v>
      </c>
      <c r="AG132" s="854"/>
      <c r="AH132" s="3471"/>
      <c r="AI132" s="266"/>
      <c r="AJ132" s="5535">
        <f t="shared" si="46"/>
        <v>84.05</v>
      </c>
      <c r="AK132" s="854"/>
      <c r="AL132" s="3471"/>
      <c r="AM132" s="2636"/>
      <c r="AN132" s="2636">
        <f t="shared" si="21"/>
        <v>0</v>
      </c>
      <c r="AO132" s="2399"/>
      <c r="AP132" s="5960">
        <f t="shared" si="26"/>
        <v>84.05</v>
      </c>
      <c r="AQ132" s="854"/>
      <c r="AR132" s="3471"/>
      <c r="AS132" s="266"/>
      <c r="AT132" s="6113">
        <f t="shared" si="44"/>
        <v>84.05</v>
      </c>
      <c r="AU132" s="854"/>
      <c r="AV132" s="3471"/>
      <c r="AW132" s="266"/>
      <c r="AX132" s="6251">
        <f t="shared" si="28"/>
        <v>84.05</v>
      </c>
      <c r="AY132" s="854"/>
      <c r="AZ132" s="3471"/>
      <c r="BA132" s="2636"/>
      <c r="BB132" s="2636">
        <f t="shared" si="41"/>
        <v>0</v>
      </c>
      <c r="BC132" s="662"/>
      <c r="BD132" s="662">
        <f t="shared" si="22"/>
        <v>0</v>
      </c>
      <c r="BE132" s="2399"/>
      <c r="BF132" s="2399">
        <f t="shared" si="43"/>
        <v>84.05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B133" s="3511" t="s">
        <v>1104</v>
      </c>
      <c r="C133" s="3512" t="s">
        <v>1073</v>
      </c>
      <c r="D133" s="3513" t="s">
        <v>50</v>
      </c>
      <c r="E133" s="3466"/>
      <c r="F133" s="109">
        <v>14.35</v>
      </c>
      <c r="G133" s="3466"/>
      <c r="H133" s="109">
        <v>32.799999999999997</v>
      </c>
      <c r="I133" s="3514"/>
      <c r="J133" s="44">
        <f t="shared" si="45"/>
        <v>47.15</v>
      </c>
      <c r="K133" s="3466"/>
      <c r="L133" s="3472"/>
      <c r="M133" s="904"/>
      <c r="N133" s="4594">
        <f t="shared" si="34"/>
        <v>47.15</v>
      </c>
      <c r="O133" s="3466"/>
      <c r="P133" s="3472"/>
      <c r="Q133" s="266"/>
      <c r="R133" s="4773">
        <f t="shared" si="35"/>
        <v>47.15</v>
      </c>
      <c r="S133" s="3466"/>
      <c r="T133" s="3472"/>
      <c r="U133" s="266"/>
      <c r="V133" s="4938">
        <f t="shared" si="36"/>
        <v>47.15</v>
      </c>
      <c r="W133" s="3466"/>
      <c r="X133" s="3472">
        <v>2.0499999999999998</v>
      </c>
      <c r="Y133" s="575"/>
      <c r="Z133" s="2636">
        <f t="shared" si="29"/>
        <v>2.0499999999999998</v>
      </c>
      <c r="AA133" s="662"/>
      <c r="AB133" s="662">
        <f t="shared" si="30"/>
        <v>49.199999999999996</v>
      </c>
      <c r="AC133" s="3466"/>
      <c r="AD133" s="3472"/>
      <c r="AE133" s="266"/>
      <c r="AF133" s="5359">
        <f t="shared" si="33"/>
        <v>49.199999999999996</v>
      </c>
      <c r="AG133" s="3466"/>
      <c r="AH133" s="3472"/>
      <c r="AI133" s="266"/>
      <c r="AJ133" s="5535">
        <f t="shared" si="46"/>
        <v>49.199999999999996</v>
      </c>
      <c r="AK133" s="3466"/>
      <c r="AL133" s="3472">
        <v>10.25</v>
      </c>
      <c r="AM133" s="2636"/>
      <c r="AN133" s="2636">
        <f t="shared" si="21"/>
        <v>10.25</v>
      </c>
      <c r="AO133" s="2399"/>
      <c r="AP133" s="5960">
        <f t="shared" si="26"/>
        <v>59.449999999999996</v>
      </c>
      <c r="AQ133" s="3466"/>
      <c r="AR133" s="3472"/>
      <c r="AS133" s="266"/>
      <c r="AT133" s="6113">
        <f t="shared" si="44"/>
        <v>59.449999999999996</v>
      </c>
      <c r="AU133" s="3466"/>
      <c r="AV133" s="3472"/>
      <c r="AW133" s="266"/>
      <c r="AX133" s="6251">
        <f t="shared" si="28"/>
        <v>59.449999999999996</v>
      </c>
      <c r="AY133" s="3466"/>
      <c r="AZ133" s="3472"/>
      <c r="BA133" s="2636"/>
      <c r="BB133" s="2636">
        <f t="shared" si="41"/>
        <v>0</v>
      </c>
      <c r="BC133" s="662"/>
      <c r="BD133" s="662">
        <f t="shared" si="22"/>
        <v>10.25</v>
      </c>
      <c r="BE133" s="2399"/>
      <c r="BF133" s="2399">
        <f t="shared" si="43"/>
        <v>59.449999999999996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6.5" thickBot="1" x14ac:dyDescent="0.3">
      <c r="A134" s="2191"/>
      <c r="B134" s="3502" t="s">
        <v>829</v>
      </c>
      <c r="C134" s="1651"/>
      <c r="D134" s="2191"/>
      <c r="E134" s="2191"/>
      <c r="F134" s="2191"/>
      <c r="G134" s="5172"/>
      <c r="H134" s="5172"/>
      <c r="I134" s="2191"/>
      <c r="J134" s="3427"/>
      <c r="K134" s="3427"/>
      <c r="L134" s="3427"/>
      <c r="M134" s="533"/>
      <c r="N134" s="4594">
        <f t="shared" si="34"/>
        <v>0</v>
      </c>
      <c r="O134" s="4712"/>
      <c r="P134" s="4712"/>
      <c r="Q134" s="2191"/>
      <c r="R134" s="4773">
        <f t="shared" si="35"/>
        <v>0</v>
      </c>
      <c r="S134" s="4712"/>
      <c r="T134" s="4712"/>
      <c r="U134" s="4712"/>
      <c r="V134" s="4938">
        <f t="shared" si="36"/>
        <v>0</v>
      </c>
      <c r="W134" s="4712"/>
      <c r="X134" s="4712"/>
      <c r="Y134" s="2191"/>
      <c r="Z134" s="2636">
        <f t="shared" si="29"/>
        <v>0</v>
      </c>
      <c r="AA134" s="662"/>
      <c r="AB134" s="662">
        <f t="shared" si="30"/>
        <v>0</v>
      </c>
      <c r="AC134" s="5172"/>
      <c r="AD134" s="5172"/>
      <c r="AE134" s="2631"/>
      <c r="AF134" s="5359"/>
      <c r="AG134" s="5172"/>
      <c r="AH134" s="5172"/>
      <c r="AI134" s="5172"/>
      <c r="AJ134" s="5535"/>
      <c r="AK134" s="5172"/>
      <c r="AL134" s="5172"/>
      <c r="AM134" s="2744"/>
      <c r="AN134" s="2636">
        <f t="shared" si="21"/>
        <v>0</v>
      </c>
      <c r="AO134" s="2399"/>
      <c r="AP134" s="5960">
        <f t="shared" si="26"/>
        <v>0</v>
      </c>
      <c r="AQ134" s="5172"/>
      <c r="AR134" s="5172"/>
      <c r="AS134" s="2809"/>
      <c r="AT134" s="6113">
        <f t="shared" si="44"/>
        <v>0</v>
      </c>
      <c r="AU134" s="5172"/>
      <c r="AV134" s="5172"/>
      <c r="AW134" s="5172"/>
      <c r="AX134" s="6251">
        <f t="shared" si="28"/>
        <v>0</v>
      </c>
      <c r="AY134" s="5172"/>
      <c r="AZ134" s="5172"/>
      <c r="BB134" s="2636">
        <f t="shared" si="41"/>
        <v>0</v>
      </c>
      <c r="BC134" s="662"/>
      <c r="BD134" s="662">
        <f t="shared" si="22"/>
        <v>0</v>
      </c>
      <c r="BE134" s="2399"/>
      <c r="BF134" s="2399">
        <f t="shared" si="4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5.75" x14ac:dyDescent="0.25">
      <c r="B135" s="3486" t="s">
        <v>1038</v>
      </c>
      <c r="C135" s="3487"/>
      <c r="D135" s="3488" t="s">
        <v>50</v>
      </c>
      <c r="E135" s="3489"/>
      <c r="F135" s="158">
        <v>14.35</v>
      </c>
      <c r="G135" s="3489"/>
      <c r="H135" s="158">
        <v>6.15</v>
      </c>
      <c r="I135" s="3490"/>
      <c r="J135" s="43">
        <f t="shared" si="45"/>
        <v>20.5</v>
      </c>
      <c r="K135" s="3489"/>
      <c r="L135" s="1452"/>
      <c r="M135" s="1498"/>
      <c r="N135" s="6695">
        <f t="shared" si="34"/>
        <v>20.5</v>
      </c>
      <c r="O135" s="3489"/>
      <c r="P135" s="1452">
        <v>6.15</v>
      </c>
      <c r="Q135" s="266"/>
      <c r="R135" s="6696">
        <f t="shared" ref="R135:R149" si="47">+N135+P135</f>
        <v>26.65</v>
      </c>
      <c r="S135" s="3489"/>
      <c r="T135" s="3474">
        <v>4.0999999999999996</v>
      </c>
      <c r="U135" s="266"/>
      <c r="V135" s="6696">
        <f t="shared" si="36"/>
        <v>30.75</v>
      </c>
      <c r="W135" s="3489"/>
      <c r="X135" s="3474">
        <v>2.0499999999999998</v>
      </c>
      <c r="Y135" s="2636"/>
      <c r="Z135" s="2636">
        <f t="shared" si="29"/>
        <v>12.3</v>
      </c>
      <c r="AA135" s="662"/>
      <c r="AB135" s="662">
        <f t="shared" si="30"/>
        <v>32.799999999999997</v>
      </c>
      <c r="AC135" s="3489"/>
      <c r="AD135" s="3474">
        <v>14.36</v>
      </c>
      <c r="AE135" s="266"/>
      <c r="AF135" s="6696">
        <f t="shared" si="33"/>
        <v>47.16</v>
      </c>
      <c r="AG135" s="3489"/>
      <c r="AH135" s="3474">
        <v>2.0499999999999998</v>
      </c>
      <c r="AI135" s="266"/>
      <c r="AJ135" s="6696">
        <f t="shared" ref="AJ135:AJ149" si="48">+AF135+AH135</f>
        <v>49.209999999999994</v>
      </c>
      <c r="AK135" s="3489"/>
      <c r="AL135" s="3474">
        <v>24.6</v>
      </c>
      <c r="AM135" s="2636"/>
      <c r="AN135" s="2636">
        <f t="shared" si="21"/>
        <v>41.010000000000005</v>
      </c>
      <c r="AO135" s="6696"/>
      <c r="AP135" s="6696">
        <f t="shared" si="26"/>
        <v>73.81</v>
      </c>
      <c r="AQ135" s="3489"/>
      <c r="AR135" s="3474">
        <v>6.15</v>
      </c>
      <c r="AS135" s="266"/>
      <c r="AT135" s="6696">
        <f t="shared" si="44"/>
        <v>79.960000000000008</v>
      </c>
      <c r="AU135" s="3489"/>
      <c r="AV135" s="3474">
        <v>16.399999999999999</v>
      </c>
      <c r="AW135" s="266"/>
      <c r="AX135" s="6696">
        <f t="shared" si="28"/>
        <v>96.360000000000014</v>
      </c>
      <c r="AY135" s="3489"/>
      <c r="AZ135" s="158">
        <v>4.0999999999999996</v>
      </c>
      <c r="BA135" s="2636"/>
      <c r="BB135" s="2636">
        <f t="shared" si="41"/>
        <v>26.65</v>
      </c>
      <c r="BC135" s="662"/>
      <c r="BD135" s="662">
        <f t="shared" si="22"/>
        <v>67.66</v>
      </c>
      <c r="BE135" s="6696"/>
      <c r="BF135" s="2206">
        <f t="shared" si="43"/>
        <v>100.46000000000001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5.75" x14ac:dyDescent="0.25">
      <c r="B136" s="1641" t="s">
        <v>1037</v>
      </c>
      <c r="C136" s="3491"/>
      <c r="D136" s="3492" t="s">
        <v>50</v>
      </c>
      <c r="E136" s="856"/>
      <c r="F136" s="7291">
        <v>90.22</v>
      </c>
      <c r="G136" s="856"/>
      <c r="H136" s="7291">
        <v>79.95</v>
      </c>
      <c r="I136" s="3493"/>
      <c r="J136" s="39">
        <f t="shared" si="45"/>
        <v>170.17000000000002</v>
      </c>
      <c r="K136" s="856"/>
      <c r="L136" s="3470">
        <f>84.05+2.05</f>
        <v>86.1</v>
      </c>
      <c r="M136" s="1498"/>
      <c r="N136" s="6695">
        <f t="shared" si="34"/>
        <v>256.27</v>
      </c>
      <c r="O136" s="856"/>
      <c r="P136" s="3470">
        <v>65.599999999999994</v>
      </c>
      <c r="Q136" s="266"/>
      <c r="R136" s="6696">
        <f t="shared" si="47"/>
        <v>321.87</v>
      </c>
      <c r="S136" s="856"/>
      <c r="T136" s="3471">
        <v>67.649999999999991</v>
      </c>
      <c r="U136" s="266"/>
      <c r="V136" s="6696">
        <f t="shared" si="36"/>
        <v>389.52</v>
      </c>
      <c r="W136" s="856"/>
      <c r="X136" s="3471">
        <v>51.25</v>
      </c>
      <c r="Y136" s="2636"/>
      <c r="Z136" s="2636">
        <f t="shared" si="29"/>
        <v>184.5</v>
      </c>
      <c r="AA136" s="662"/>
      <c r="AB136" s="662">
        <f t="shared" si="30"/>
        <v>440.77</v>
      </c>
      <c r="AC136" s="856"/>
      <c r="AD136" s="3471">
        <f>28.7+2.05</f>
        <v>30.75</v>
      </c>
      <c r="AE136" s="266"/>
      <c r="AF136" s="6696">
        <f t="shared" si="33"/>
        <v>471.52</v>
      </c>
      <c r="AG136" s="856"/>
      <c r="AH136" s="3471">
        <v>36.9</v>
      </c>
      <c r="AI136" s="266"/>
      <c r="AJ136" s="6696">
        <f t="shared" si="48"/>
        <v>508.41999999999996</v>
      </c>
      <c r="AK136" s="856"/>
      <c r="AL136" s="3471">
        <v>45.1</v>
      </c>
      <c r="AM136" s="2636"/>
      <c r="AN136" s="2636">
        <f t="shared" si="21"/>
        <v>112.75</v>
      </c>
      <c r="AO136" s="6696"/>
      <c r="AP136" s="6696">
        <f t="shared" si="26"/>
        <v>553.52</v>
      </c>
      <c r="AQ136" s="856"/>
      <c r="AR136" s="3471">
        <v>20.5</v>
      </c>
      <c r="AS136" s="266"/>
      <c r="AT136" s="6696">
        <f t="shared" si="44"/>
        <v>574.02</v>
      </c>
      <c r="AU136" s="856"/>
      <c r="AV136" s="3471">
        <v>30.75</v>
      </c>
      <c r="AW136" s="266"/>
      <c r="AX136" s="6696">
        <f t="shared" si="28"/>
        <v>604.77</v>
      </c>
      <c r="AY136" s="856"/>
      <c r="AZ136" s="6697">
        <v>104.55</v>
      </c>
      <c r="BA136" s="2636"/>
      <c r="BB136" s="2636">
        <f t="shared" si="41"/>
        <v>155.80000000000001</v>
      </c>
      <c r="BC136" s="662"/>
      <c r="BD136" s="662">
        <f t="shared" si="22"/>
        <v>268.55</v>
      </c>
      <c r="BE136" s="6696"/>
      <c r="BF136" s="6696">
        <f t="shared" si="43"/>
        <v>709.31999999999994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5.75" x14ac:dyDescent="0.25">
      <c r="B137" s="1641" t="s">
        <v>1036</v>
      </c>
      <c r="C137" s="3491"/>
      <c r="D137" s="3492" t="s">
        <v>50</v>
      </c>
      <c r="E137" s="856"/>
      <c r="F137" s="7291"/>
      <c r="G137" s="856"/>
      <c r="H137" s="7291"/>
      <c r="I137" s="3493"/>
      <c r="J137" s="39">
        <f t="shared" si="45"/>
        <v>0</v>
      </c>
      <c r="K137" s="856"/>
      <c r="L137" s="6697"/>
      <c r="M137" s="1498"/>
      <c r="N137" s="6695">
        <f t="shared" si="34"/>
        <v>0</v>
      </c>
      <c r="O137" s="856"/>
      <c r="P137" s="6697"/>
      <c r="Q137" s="266"/>
      <c r="R137" s="6696">
        <f t="shared" si="47"/>
        <v>0</v>
      </c>
      <c r="S137" s="856"/>
      <c r="T137" s="3471"/>
      <c r="U137" s="266"/>
      <c r="V137" s="6696">
        <f t="shared" si="36"/>
        <v>0</v>
      </c>
      <c r="W137" s="856"/>
      <c r="X137" s="3471"/>
      <c r="Y137" s="2636"/>
      <c r="Z137" s="2636">
        <f t="shared" si="29"/>
        <v>0</v>
      </c>
      <c r="AA137" s="662"/>
      <c r="AB137" s="662">
        <f t="shared" si="30"/>
        <v>0</v>
      </c>
      <c r="AC137" s="856"/>
      <c r="AD137" s="3471"/>
      <c r="AE137" s="266"/>
      <c r="AF137" s="6696">
        <f t="shared" si="33"/>
        <v>0</v>
      </c>
      <c r="AG137" s="856"/>
      <c r="AH137" s="3471"/>
      <c r="AI137" s="266"/>
      <c r="AJ137" s="6696">
        <f t="shared" si="48"/>
        <v>0</v>
      </c>
      <c r="AK137" s="856"/>
      <c r="AL137" s="3471"/>
      <c r="AM137" s="2636"/>
      <c r="AN137" s="2636">
        <f t="shared" si="21"/>
        <v>0</v>
      </c>
      <c r="AO137" s="6696"/>
      <c r="AP137" s="6696">
        <f t="shared" si="26"/>
        <v>0</v>
      </c>
      <c r="AQ137" s="856"/>
      <c r="AR137" s="3471"/>
      <c r="AS137" s="266"/>
      <c r="AT137" s="6696">
        <f t="shared" si="44"/>
        <v>0</v>
      </c>
      <c r="AU137" s="856"/>
      <c r="AV137" s="3471"/>
      <c r="AW137" s="266"/>
      <c r="AX137" s="6696">
        <f t="shared" si="28"/>
        <v>0</v>
      </c>
      <c r="AY137" s="856"/>
      <c r="AZ137" s="3471"/>
      <c r="BA137" s="2636"/>
      <c r="BB137" s="2636">
        <f t="shared" si="41"/>
        <v>0</v>
      </c>
      <c r="BC137" s="662"/>
      <c r="BD137" s="662">
        <f t="shared" si="22"/>
        <v>0</v>
      </c>
      <c r="BE137" s="6696"/>
      <c r="BF137" s="6696">
        <f t="shared" si="4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5.75" x14ac:dyDescent="0.25">
      <c r="B138" s="1641" t="s">
        <v>1034</v>
      </c>
      <c r="C138" s="3491"/>
      <c r="D138" s="3492" t="s">
        <v>50</v>
      </c>
      <c r="E138" s="856"/>
      <c r="F138" s="7291">
        <v>30.75</v>
      </c>
      <c r="G138" s="856"/>
      <c r="H138" s="7291">
        <v>16.399999999999999</v>
      </c>
      <c r="I138" s="3493"/>
      <c r="J138" s="39">
        <f t="shared" si="45"/>
        <v>47.15</v>
      </c>
      <c r="K138" s="856"/>
      <c r="L138" s="3470">
        <v>22.55</v>
      </c>
      <c r="M138" s="1498"/>
      <c r="N138" s="6695">
        <f t="shared" si="34"/>
        <v>69.7</v>
      </c>
      <c r="O138" s="856"/>
      <c r="P138" s="3470">
        <f>4.1+6.15</f>
        <v>10.25</v>
      </c>
      <c r="Q138" s="266"/>
      <c r="R138" s="6696">
        <f t="shared" si="47"/>
        <v>79.95</v>
      </c>
      <c r="S138" s="856"/>
      <c r="T138" s="3471">
        <v>55.349999999999994</v>
      </c>
      <c r="U138" s="266"/>
      <c r="V138" s="6696">
        <f t="shared" si="36"/>
        <v>135.30000000000001</v>
      </c>
      <c r="W138" s="856"/>
      <c r="X138" s="3471">
        <f>6.15+2.05</f>
        <v>8.1999999999999993</v>
      </c>
      <c r="Y138" s="2636"/>
      <c r="Z138" s="2636">
        <f t="shared" si="29"/>
        <v>73.8</v>
      </c>
      <c r="AA138" s="662"/>
      <c r="AB138" s="662">
        <f t="shared" si="30"/>
        <v>143.5</v>
      </c>
      <c r="AC138" s="856"/>
      <c r="AD138" s="3471">
        <f>38.95+8.2</f>
        <v>47.150000000000006</v>
      </c>
      <c r="AE138" s="266"/>
      <c r="AF138" s="6696">
        <f t="shared" si="33"/>
        <v>190.65</v>
      </c>
      <c r="AG138" s="856"/>
      <c r="AH138" s="3471">
        <v>34.849999999999994</v>
      </c>
      <c r="AI138" s="266"/>
      <c r="AJ138" s="6696">
        <f t="shared" si="48"/>
        <v>225.5</v>
      </c>
      <c r="AK138" s="856"/>
      <c r="AL138" s="3471">
        <f>20.5+6.15</f>
        <v>26.65</v>
      </c>
      <c r="AM138" s="2636"/>
      <c r="AN138" s="2636">
        <f t="shared" si="21"/>
        <v>108.65</v>
      </c>
      <c r="AO138" s="6696"/>
      <c r="AP138" s="6696">
        <f t="shared" si="26"/>
        <v>252.15</v>
      </c>
      <c r="AQ138" s="856"/>
      <c r="AR138" s="3471">
        <f>30.75+4.1</f>
        <v>34.85</v>
      </c>
      <c r="AS138" s="266"/>
      <c r="AT138" s="6696">
        <f t="shared" si="44"/>
        <v>287</v>
      </c>
      <c r="AU138" s="856"/>
      <c r="AV138" s="3471">
        <v>38.950000000000003</v>
      </c>
      <c r="AW138" s="266"/>
      <c r="AX138" s="6696">
        <f t="shared" si="28"/>
        <v>325.95</v>
      </c>
      <c r="AY138" s="856"/>
      <c r="AZ138" s="6697">
        <v>112.75</v>
      </c>
      <c r="BA138" s="2636"/>
      <c r="BB138" s="2636">
        <f t="shared" si="41"/>
        <v>186.55</v>
      </c>
      <c r="BC138" s="662"/>
      <c r="BD138" s="662">
        <f t="shared" ref="BD138:BD148" si="49">AN138+BB138</f>
        <v>295.20000000000005</v>
      </c>
      <c r="BE138" s="6696"/>
      <c r="BF138" s="6696">
        <f t="shared" si="43"/>
        <v>438.7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5.75" x14ac:dyDescent="0.25">
      <c r="B139" s="1641" t="s">
        <v>1125</v>
      </c>
      <c r="C139" s="3491"/>
      <c r="D139" s="3492" t="s">
        <v>50</v>
      </c>
      <c r="E139" s="856"/>
      <c r="F139" s="7291"/>
      <c r="G139" s="856"/>
      <c r="H139" s="7291"/>
      <c r="I139" s="3493"/>
      <c r="J139" s="39">
        <f t="shared" si="45"/>
        <v>0</v>
      </c>
      <c r="K139" s="856"/>
      <c r="L139" s="3470"/>
      <c r="M139" s="1498"/>
      <c r="N139" s="6695">
        <f t="shared" si="34"/>
        <v>0</v>
      </c>
      <c r="O139" s="856"/>
      <c r="P139" s="3470"/>
      <c r="Q139" s="266"/>
      <c r="R139" s="6696">
        <f t="shared" si="47"/>
        <v>0</v>
      </c>
      <c r="S139" s="856"/>
      <c r="T139" s="3470"/>
      <c r="U139" s="266"/>
      <c r="V139" s="6696">
        <f t="shared" si="36"/>
        <v>0</v>
      </c>
      <c r="W139" s="856"/>
      <c r="X139" s="3470"/>
      <c r="Y139" s="2636"/>
      <c r="Z139" s="2636">
        <f t="shared" si="29"/>
        <v>0</v>
      </c>
      <c r="AA139" s="662"/>
      <c r="AB139" s="662">
        <f t="shared" si="30"/>
        <v>0</v>
      </c>
      <c r="AC139" s="856"/>
      <c r="AD139" s="3221"/>
      <c r="AE139" s="266"/>
      <c r="AF139" s="6696">
        <f t="shared" si="33"/>
        <v>0</v>
      </c>
      <c r="AG139" s="856"/>
      <c r="AH139" s="3470"/>
      <c r="AI139" s="266"/>
      <c r="AJ139" s="6696">
        <f t="shared" si="48"/>
        <v>0</v>
      </c>
      <c r="AK139" s="856"/>
      <c r="AL139" s="3470"/>
      <c r="AM139" s="2636"/>
      <c r="AN139" s="2636">
        <f t="shared" si="21"/>
        <v>0</v>
      </c>
      <c r="AO139" s="6696"/>
      <c r="AP139" s="6696">
        <f t="shared" si="26"/>
        <v>0</v>
      </c>
      <c r="AQ139" s="856"/>
      <c r="AR139" s="3470"/>
      <c r="AS139" s="266"/>
      <c r="AT139" s="6696">
        <f t="shared" si="44"/>
        <v>0</v>
      </c>
      <c r="AU139" s="856"/>
      <c r="AV139" s="3470"/>
      <c r="AW139" s="266"/>
      <c r="AX139" s="6696">
        <f t="shared" ref="AX139:AX149" si="50">+AT139+AV139</f>
        <v>0</v>
      </c>
      <c r="AY139" s="856"/>
      <c r="AZ139" s="3470"/>
      <c r="BA139" s="2636"/>
      <c r="BB139" s="2636">
        <f t="shared" si="41"/>
        <v>0</v>
      </c>
      <c r="BC139" s="662"/>
      <c r="BD139" s="662">
        <f t="shared" si="49"/>
        <v>0</v>
      </c>
      <c r="BE139" s="6696"/>
      <c r="BF139" s="6696">
        <f t="shared" si="43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5.75" x14ac:dyDescent="0.25">
      <c r="B140" s="1641" t="s">
        <v>1126</v>
      </c>
      <c r="C140" s="3491"/>
      <c r="D140" s="3492" t="s">
        <v>50</v>
      </c>
      <c r="E140" s="856"/>
      <c r="F140" s="7291"/>
      <c r="G140" s="856"/>
      <c r="H140" s="7291"/>
      <c r="I140" s="3493"/>
      <c r="J140" s="39">
        <f t="shared" si="45"/>
        <v>0</v>
      </c>
      <c r="K140" s="856"/>
      <c r="L140" s="3470"/>
      <c r="M140" s="1498"/>
      <c r="N140" s="6695">
        <f t="shared" si="34"/>
        <v>0</v>
      </c>
      <c r="O140" s="856"/>
      <c r="P140" s="3470"/>
      <c r="Q140" s="266"/>
      <c r="R140" s="6696">
        <f t="shared" si="47"/>
        <v>0</v>
      </c>
      <c r="S140" s="856"/>
      <c r="T140" s="3470"/>
      <c r="U140" s="266"/>
      <c r="V140" s="6696">
        <f t="shared" si="36"/>
        <v>0</v>
      </c>
      <c r="W140" s="856"/>
      <c r="X140" s="3470"/>
      <c r="Y140" s="2636"/>
      <c r="Z140" s="2636">
        <f t="shared" si="29"/>
        <v>0</v>
      </c>
      <c r="AA140" s="662"/>
      <c r="AB140" s="662">
        <f t="shared" si="30"/>
        <v>0</v>
      </c>
      <c r="AC140" s="856"/>
      <c r="AD140" s="3470"/>
      <c r="AE140" s="266"/>
      <c r="AF140" s="6696">
        <f t="shared" si="33"/>
        <v>0</v>
      </c>
      <c r="AG140" s="856"/>
      <c r="AH140" s="3470"/>
      <c r="AI140" s="266"/>
      <c r="AJ140" s="6696">
        <f t="shared" si="48"/>
        <v>0</v>
      </c>
      <c r="AK140" s="856"/>
      <c r="AL140" s="3470"/>
      <c r="AM140" s="2636"/>
      <c r="AN140" s="2636">
        <f t="shared" ref="AN140:AN149" si="51">AD140+AH140+AL140</f>
        <v>0</v>
      </c>
      <c r="AO140" s="6696"/>
      <c r="AP140" s="6696">
        <f t="shared" si="26"/>
        <v>0</v>
      </c>
      <c r="AQ140" s="856"/>
      <c r="AR140" s="3470"/>
      <c r="AS140" s="266"/>
      <c r="AT140" s="6696">
        <f t="shared" si="44"/>
        <v>0</v>
      </c>
      <c r="AU140" s="856"/>
      <c r="AV140" s="3470"/>
      <c r="AW140" s="266"/>
      <c r="AX140" s="6696">
        <f t="shared" si="50"/>
        <v>0</v>
      </c>
      <c r="AY140" s="856"/>
      <c r="AZ140" s="3470"/>
      <c r="BA140" s="2636"/>
      <c r="BB140" s="2636">
        <f t="shared" si="41"/>
        <v>0</v>
      </c>
      <c r="BC140" s="662"/>
      <c r="BD140" s="662">
        <f t="shared" si="49"/>
        <v>0</v>
      </c>
      <c r="BE140" s="6696"/>
      <c r="BF140" s="6696">
        <f t="shared" si="4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5.75" x14ac:dyDescent="0.25">
      <c r="B141" s="1641" t="s">
        <v>1276</v>
      </c>
      <c r="C141" s="3491"/>
      <c r="D141" s="3492" t="s">
        <v>50</v>
      </c>
      <c r="E141" s="856"/>
      <c r="F141" s="6697"/>
      <c r="G141" s="856"/>
      <c r="H141" s="7209"/>
      <c r="I141" s="3493"/>
      <c r="J141" s="39">
        <f t="shared" si="45"/>
        <v>0</v>
      </c>
      <c r="K141" s="856"/>
      <c r="L141" s="6697"/>
      <c r="M141" s="1498"/>
      <c r="N141" s="6695">
        <f t="shared" si="34"/>
        <v>0</v>
      </c>
      <c r="O141" s="856"/>
      <c r="P141" s="6697"/>
      <c r="Q141" s="266"/>
      <c r="R141" s="6696">
        <f t="shared" si="47"/>
        <v>0</v>
      </c>
      <c r="S141" s="856"/>
      <c r="T141" s="6697"/>
      <c r="U141" s="266"/>
      <c r="V141" s="6696">
        <f t="shared" si="36"/>
        <v>0</v>
      </c>
      <c r="W141" s="856"/>
      <c r="X141" s="6697"/>
      <c r="Y141" s="2636"/>
      <c r="Z141" s="2636">
        <f t="shared" si="29"/>
        <v>0</v>
      </c>
      <c r="AA141" s="662"/>
      <c r="AB141" s="662">
        <f t="shared" si="30"/>
        <v>0</v>
      </c>
      <c r="AC141" s="856"/>
      <c r="AD141" s="6697"/>
      <c r="AE141" s="266"/>
      <c r="AF141" s="6696">
        <f t="shared" si="33"/>
        <v>0</v>
      </c>
      <c r="AG141" s="856"/>
      <c r="AH141" s="6697"/>
      <c r="AI141" s="266"/>
      <c r="AJ141" s="6696">
        <f t="shared" si="48"/>
        <v>0</v>
      </c>
      <c r="AK141" s="856"/>
      <c r="AL141" s="6697"/>
      <c r="AM141" s="2636"/>
      <c r="AN141" s="2636">
        <f t="shared" si="51"/>
        <v>0</v>
      </c>
      <c r="AO141" s="6696"/>
      <c r="AP141" s="6696">
        <f t="shared" ref="AP141:AP149" si="52">AJ141+AL141</f>
        <v>0</v>
      </c>
      <c r="AQ141" s="856"/>
      <c r="AR141" s="6697"/>
      <c r="AS141" s="266"/>
      <c r="AT141" s="6696">
        <f t="shared" ref="AT141:AT149" si="53">+AP141+AR141</f>
        <v>0</v>
      </c>
      <c r="AU141" s="856"/>
      <c r="AV141" s="6697"/>
      <c r="AW141" s="266"/>
      <c r="AX141" s="6696">
        <f t="shared" si="50"/>
        <v>0</v>
      </c>
      <c r="AY141" s="856"/>
      <c r="AZ141" s="6697"/>
      <c r="BA141" s="2636"/>
      <c r="BB141" s="2636">
        <f t="shared" si="41"/>
        <v>0</v>
      </c>
      <c r="BC141" s="662"/>
      <c r="BD141" s="662">
        <f t="shared" si="49"/>
        <v>0</v>
      </c>
      <c r="BE141" s="6696"/>
      <c r="BF141" s="6696">
        <f t="shared" si="43"/>
        <v>0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ht="15.75" x14ac:dyDescent="0.25">
      <c r="B142" s="1641" t="s">
        <v>1033</v>
      </c>
      <c r="C142" s="3491"/>
      <c r="D142" s="3492" t="s">
        <v>50</v>
      </c>
      <c r="E142" s="856"/>
      <c r="F142" s="6697"/>
      <c r="G142" s="856"/>
      <c r="H142" s="7209">
        <v>2.0499999999999998</v>
      </c>
      <c r="I142" s="3493"/>
      <c r="J142" s="39">
        <f t="shared" si="45"/>
        <v>2.0499999999999998</v>
      </c>
      <c r="K142" s="856"/>
      <c r="L142" s="6697"/>
      <c r="M142" s="1498"/>
      <c r="N142" s="6695">
        <f t="shared" si="34"/>
        <v>2.0499999999999998</v>
      </c>
      <c r="O142" s="856"/>
      <c r="P142" s="6697"/>
      <c r="Q142" s="266"/>
      <c r="R142" s="6696">
        <f t="shared" si="47"/>
        <v>2.0499999999999998</v>
      </c>
      <c r="S142" s="856"/>
      <c r="T142" s="6697"/>
      <c r="U142" s="266"/>
      <c r="V142" s="6696">
        <f t="shared" si="36"/>
        <v>2.0499999999999998</v>
      </c>
      <c r="W142" s="856"/>
      <c r="X142" s="6697">
        <v>32.799999999999997</v>
      </c>
      <c r="Y142" s="2636"/>
      <c r="Z142" s="2636">
        <f t="shared" si="29"/>
        <v>32.799999999999997</v>
      </c>
      <c r="AA142" s="662"/>
      <c r="AB142" s="662">
        <f t="shared" si="30"/>
        <v>34.849999999999994</v>
      </c>
      <c r="AC142" s="856"/>
      <c r="AD142" s="6697"/>
      <c r="AE142" s="266"/>
      <c r="AF142" s="6696">
        <f t="shared" si="33"/>
        <v>34.849999999999994</v>
      </c>
      <c r="AG142" s="856"/>
      <c r="AH142" s="6697"/>
      <c r="AI142" s="266"/>
      <c r="AJ142" s="6696">
        <f t="shared" si="48"/>
        <v>34.849999999999994</v>
      </c>
      <c r="AK142" s="856"/>
      <c r="AL142" s="6697"/>
      <c r="AM142" s="2636"/>
      <c r="AN142" s="2636">
        <f t="shared" si="51"/>
        <v>0</v>
      </c>
      <c r="AO142" s="6696"/>
      <c r="AP142" s="6696">
        <f t="shared" si="52"/>
        <v>34.849999999999994</v>
      </c>
      <c r="AQ142" s="856"/>
      <c r="AR142" s="6697"/>
      <c r="AS142" s="266"/>
      <c r="AT142" s="6696">
        <f t="shared" si="53"/>
        <v>34.849999999999994</v>
      </c>
      <c r="AU142" s="856"/>
      <c r="AV142" s="6697"/>
      <c r="AW142" s="266"/>
      <c r="AX142" s="6696">
        <f t="shared" si="50"/>
        <v>34.849999999999994</v>
      </c>
      <c r="AY142" s="856"/>
      <c r="AZ142" s="6697">
        <v>22.55</v>
      </c>
      <c r="BA142" s="2636"/>
      <c r="BB142" s="2636">
        <f t="shared" si="41"/>
        <v>22.55</v>
      </c>
      <c r="BC142" s="662"/>
      <c r="BD142" s="662">
        <f t="shared" si="49"/>
        <v>22.55</v>
      </c>
      <c r="BE142" s="6696"/>
      <c r="BF142" s="6696">
        <f t="shared" si="43"/>
        <v>57.399999999999991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s="5172" customFormat="1" ht="15.75" x14ac:dyDescent="0.25">
      <c r="B143" s="1641" t="s">
        <v>2007</v>
      </c>
      <c r="C143" s="3491"/>
      <c r="D143" s="3492" t="s">
        <v>50</v>
      </c>
      <c r="E143" s="856"/>
      <c r="F143" s="5386"/>
      <c r="G143" s="856"/>
      <c r="H143" s="5386">
        <v>4.0999999999999996</v>
      </c>
      <c r="I143" s="5396"/>
      <c r="J143" s="39">
        <f t="shared" si="45"/>
        <v>4.0999999999999996</v>
      </c>
      <c r="K143" s="856"/>
      <c r="L143" s="5386"/>
      <c r="M143" s="5397"/>
      <c r="N143" s="5227"/>
      <c r="O143" s="856"/>
      <c r="P143" s="5386"/>
      <c r="Q143" s="5393"/>
      <c r="R143" s="5225"/>
      <c r="S143" s="856"/>
      <c r="T143" s="5386"/>
      <c r="U143" s="5393"/>
      <c r="V143" s="5225"/>
      <c r="W143" s="856"/>
      <c r="X143" s="5386"/>
      <c r="Y143" s="5394"/>
      <c r="Z143" s="5394"/>
      <c r="AA143" s="5395"/>
      <c r="AB143" s="662">
        <f t="shared" si="30"/>
        <v>0</v>
      </c>
      <c r="AC143" s="856"/>
      <c r="AD143" s="5390">
        <v>9.23</v>
      </c>
      <c r="AE143" s="5393"/>
      <c r="AF143" s="6696">
        <f t="shared" si="33"/>
        <v>9.23</v>
      </c>
      <c r="AG143" s="856"/>
      <c r="AH143" s="5390"/>
      <c r="AI143" s="5393"/>
      <c r="AJ143" s="6696">
        <f t="shared" si="48"/>
        <v>9.23</v>
      </c>
      <c r="AK143" s="856"/>
      <c r="AL143" s="5390"/>
      <c r="AM143" s="5394"/>
      <c r="AN143" s="2636">
        <f t="shared" si="51"/>
        <v>9.23</v>
      </c>
      <c r="AO143" s="5225"/>
      <c r="AP143" s="6696">
        <f t="shared" si="52"/>
        <v>9.23</v>
      </c>
      <c r="AQ143" s="856"/>
      <c r="AR143" s="5390">
        <v>2.0499999999999998</v>
      </c>
      <c r="AS143" s="5393"/>
      <c r="AT143" s="6696">
        <f t="shared" si="53"/>
        <v>11.280000000000001</v>
      </c>
      <c r="AU143" s="856"/>
      <c r="AV143" s="5390"/>
      <c r="AW143" s="5393"/>
      <c r="AX143" s="6696">
        <f t="shared" si="50"/>
        <v>11.280000000000001</v>
      </c>
      <c r="AY143" s="856"/>
      <c r="AZ143" s="5386">
        <v>10.25</v>
      </c>
      <c r="BA143" s="5394"/>
      <c r="BB143" s="2636">
        <f t="shared" si="41"/>
        <v>12.3</v>
      </c>
      <c r="BC143" s="5395"/>
      <c r="BD143" s="662">
        <f t="shared" si="49"/>
        <v>21.53</v>
      </c>
      <c r="BE143" s="5225"/>
      <c r="BF143" s="6696">
        <f t="shared" si="43"/>
        <v>21.53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5.75" x14ac:dyDescent="0.25">
      <c r="B144" s="1641" t="s">
        <v>1032</v>
      </c>
      <c r="C144" s="3491"/>
      <c r="D144" s="3492" t="s">
        <v>50</v>
      </c>
      <c r="E144" s="856"/>
      <c r="F144" s="6697"/>
      <c r="G144" s="856"/>
      <c r="H144" s="7209">
        <v>2.0499999999999998</v>
      </c>
      <c r="I144" s="3493"/>
      <c r="J144" s="39">
        <f t="shared" si="45"/>
        <v>2.0499999999999998</v>
      </c>
      <c r="K144" s="856"/>
      <c r="L144" s="6697"/>
      <c r="M144" s="1498"/>
      <c r="N144" s="6695">
        <f t="shared" si="34"/>
        <v>2.0499999999999998</v>
      </c>
      <c r="O144" s="856"/>
      <c r="P144" s="6697"/>
      <c r="Q144" s="266"/>
      <c r="R144" s="6696">
        <f t="shared" si="47"/>
        <v>2.0499999999999998</v>
      </c>
      <c r="S144" s="856"/>
      <c r="T144" s="6697"/>
      <c r="U144" s="266"/>
      <c r="V144" s="6696">
        <f t="shared" si="36"/>
        <v>2.0499999999999998</v>
      </c>
      <c r="W144" s="856"/>
      <c r="X144" s="6697"/>
      <c r="Y144" s="2636"/>
      <c r="Z144" s="2636">
        <f t="shared" si="29"/>
        <v>0</v>
      </c>
      <c r="AA144" s="662"/>
      <c r="AB144" s="662">
        <f t="shared" si="30"/>
        <v>2.0499999999999998</v>
      </c>
      <c r="AC144" s="856"/>
      <c r="AD144" s="6697"/>
      <c r="AE144" s="266"/>
      <c r="AF144" s="6696">
        <f t="shared" si="33"/>
        <v>2.0499999999999998</v>
      </c>
      <c r="AG144" s="856"/>
      <c r="AH144" s="6697"/>
      <c r="AI144" s="266"/>
      <c r="AJ144" s="6696">
        <f t="shared" si="48"/>
        <v>2.0499999999999998</v>
      </c>
      <c r="AK144" s="856"/>
      <c r="AL144" s="6697"/>
      <c r="AM144" s="2636"/>
      <c r="AN144" s="2636">
        <f t="shared" si="51"/>
        <v>0</v>
      </c>
      <c r="AO144" s="6696"/>
      <c r="AP144" s="6696">
        <f t="shared" si="52"/>
        <v>2.0499999999999998</v>
      </c>
      <c r="AQ144" s="856"/>
      <c r="AR144" s="6697"/>
      <c r="AS144" s="266"/>
      <c r="AT144" s="6696">
        <f t="shared" si="53"/>
        <v>2.0499999999999998</v>
      </c>
      <c r="AU144" s="856"/>
      <c r="AV144" s="6697"/>
      <c r="AW144" s="266"/>
      <c r="AX144" s="6696">
        <f t="shared" si="50"/>
        <v>2.0499999999999998</v>
      </c>
      <c r="AY144" s="856"/>
      <c r="AZ144" s="6697"/>
      <c r="BA144" s="2636"/>
      <c r="BB144" s="2636">
        <f t="shared" si="41"/>
        <v>0</v>
      </c>
      <c r="BC144" s="662"/>
      <c r="BD144" s="662">
        <f t="shared" si="49"/>
        <v>0</v>
      </c>
      <c r="BE144" s="6696"/>
      <c r="BF144" s="6696">
        <f t="shared" si="43"/>
        <v>2.0499999999999998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5.75" x14ac:dyDescent="0.25">
      <c r="B145" s="1641" t="s">
        <v>1361</v>
      </c>
      <c r="C145" s="3491"/>
      <c r="D145" s="3492" t="s">
        <v>50</v>
      </c>
      <c r="E145" s="856"/>
      <c r="F145" s="6697">
        <v>4.0999999999999996</v>
      </c>
      <c r="G145" s="856"/>
      <c r="H145" s="7209"/>
      <c r="I145" s="3493"/>
      <c r="J145" s="39">
        <f t="shared" si="45"/>
        <v>4.0999999999999996</v>
      </c>
      <c r="K145" s="856"/>
      <c r="L145" s="6697"/>
      <c r="M145" s="1498"/>
      <c r="N145" s="6695">
        <f t="shared" si="34"/>
        <v>4.0999999999999996</v>
      </c>
      <c r="O145" s="856"/>
      <c r="P145" s="6697"/>
      <c r="Q145" s="266"/>
      <c r="R145" s="6696">
        <f t="shared" si="47"/>
        <v>4.0999999999999996</v>
      </c>
      <c r="S145" s="856"/>
      <c r="T145" s="6697"/>
      <c r="U145" s="266"/>
      <c r="V145" s="6696">
        <f t="shared" si="36"/>
        <v>4.0999999999999996</v>
      </c>
      <c r="W145" s="856"/>
      <c r="X145" s="6697">
        <v>2.0499999999999998</v>
      </c>
      <c r="Y145" s="2636"/>
      <c r="Z145" s="2636">
        <f t="shared" si="29"/>
        <v>2.0499999999999998</v>
      </c>
      <c r="AA145" s="662"/>
      <c r="AB145" s="662">
        <f t="shared" si="30"/>
        <v>6.1499999999999995</v>
      </c>
      <c r="AC145" s="856"/>
      <c r="AD145" s="6697"/>
      <c r="AE145" s="266"/>
      <c r="AF145" s="6696">
        <f t="shared" si="33"/>
        <v>6.1499999999999995</v>
      </c>
      <c r="AG145" s="856"/>
      <c r="AH145" s="6697"/>
      <c r="AI145" s="266"/>
      <c r="AJ145" s="6696">
        <f t="shared" si="48"/>
        <v>6.1499999999999995</v>
      </c>
      <c r="AK145" s="856"/>
      <c r="AL145" s="6697"/>
      <c r="AM145" s="2636"/>
      <c r="AN145" s="2636">
        <f t="shared" si="51"/>
        <v>0</v>
      </c>
      <c r="AO145" s="6696"/>
      <c r="AP145" s="6696">
        <f t="shared" si="52"/>
        <v>6.1499999999999995</v>
      </c>
      <c r="AQ145" s="856"/>
      <c r="AR145" s="6697"/>
      <c r="AS145" s="266"/>
      <c r="AT145" s="6696">
        <f t="shared" si="53"/>
        <v>6.1499999999999995</v>
      </c>
      <c r="AU145" s="856"/>
      <c r="AV145" s="6697"/>
      <c r="AW145" s="266"/>
      <c r="AX145" s="6696">
        <f t="shared" si="50"/>
        <v>6.1499999999999995</v>
      </c>
      <c r="AY145" s="856"/>
      <c r="AZ145" s="6697"/>
      <c r="BA145" s="2636"/>
      <c r="BB145" s="2636">
        <f t="shared" si="41"/>
        <v>0</v>
      </c>
      <c r="BC145" s="662"/>
      <c r="BD145" s="662">
        <f t="shared" si="49"/>
        <v>0</v>
      </c>
      <c r="BE145" s="6696"/>
      <c r="BF145" s="6696">
        <f t="shared" si="43"/>
        <v>6.1499999999999995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5.75" customHeight="1" x14ac:dyDescent="0.25">
      <c r="B146" s="1641" t="s">
        <v>1031</v>
      </c>
      <c r="C146" s="3491"/>
      <c r="D146" s="3492" t="s">
        <v>50</v>
      </c>
      <c r="E146" s="856"/>
      <c r="F146" s="6697"/>
      <c r="G146" s="856"/>
      <c r="H146" s="7209"/>
      <c r="I146" s="3493"/>
      <c r="J146" s="39">
        <f t="shared" si="45"/>
        <v>0</v>
      </c>
      <c r="K146" s="856"/>
      <c r="L146" s="6697"/>
      <c r="M146" s="1498"/>
      <c r="N146" s="6695">
        <f t="shared" si="34"/>
        <v>0</v>
      </c>
      <c r="O146" s="856"/>
      <c r="P146" s="6697"/>
      <c r="Q146" s="266"/>
      <c r="R146" s="6696">
        <f t="shared" si="47"/>
        <v>0</v>
      </c>
      <c r="S146" s="856"/>
      <c r="T146" s="6697"/>
      <c r="U146" s="266"/>
      <c r="V146" s="6696">
        <f t="shared" si="36"/>
        <v>0</v>
      </c>
      <c r="W146" s="856"/>
      <c r="X146" s="6697"/>
      <c r="Y146" s="2636"/>
      <c r="Z146" s="2636">
        <f t="shared" si="29"/>
        <v>0</v>
      </c>
      <c r="AA146" s="662"/>
      <c r="AB146" s="662">
        <f t="shared" si="30"/>
        <v>0</v>
      </c>
      <c r="AC146" s="856"/>
      <c r="AD146" s="6697"/>
      <c r="AE146" s="266"/>
      <c r="AF146" s="6696">
        <f t="shared" si="33"/>
        <v>0</v>
      </c>
      <c r="AG146" s="856"/>
      <c r="AH146" s="6697"/>
      <c r="AI146" s="266"/>
      <c r="AJ146" s="6696">
        <f t="shared" si="48"/>
        <v>0</v>
      </c>
      <c r="AK146" s="856"/>
      <c r="AL146" s="6697"/>
      <c r="AM146" s="2636"/>
      <c r="AN146" s="2636">
        <f t="shared" si="51"/>
        <v>0</v>
      </c>
      <c r="AO146" s="6696"/>
      <c r="AP146" s="6696">
        <f t="shared" si="52"/>
        <v>0</v>
      </c>
      <c r="AQ146" s="856"/>
      <c r="AR146" s="6697">
        <v>6.1499999999999995</v>
      </c>
      <c r="AS146" s="266"/>
      <c r="AT146" s="6696">
        <f t="shared" si="53"/>
        <v>6.1499999999999995</v>
      </c>
      <c r="AU146" s="856"/>
      <c r="AV146" s="6697"/>
      <c r="AW146" s="266"/>
      <c r="AX146" s="6696">
        <f t="shared" si="50"/>
        <v>6.1499999999999995</v>
      </c>
      <c r="AY146" s="856"/>
      <c r="AZ146" s="6697"/>
      <c r="BA146" s="2636"/>
      <c r="BB146" s="2636">
        <f t="shared" si="41"/>
        <v>6.1499999999999995</v>
      </c>
      <c r="BC146" s="662"/>
      <c r="BD146" s="662">
        <f t="shared" si="49"/>
        <v>6.1499999999999995</v>
      </c>
      <c r="BE146" s="6696"/>
      <c r="BF146" s="6696">
        <f t="shared" si="43"/>
        <v>6.1499999999999995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5.75" customHeight="1" x14ac:dyDescent="0.25">
      <c r="B147" s="1641" t="s">
        <v>1299</v>
      </c>
      <c r="C147" s="3491"/>
      <c r="D147" s="3492" t="s">
        <v>50</v>
      </c>
      <c r="E147" s="3494"/>
      <c r="F147" s="6697"/>
      <c r="G147" s="3494"/>
      <c r="H147" s="7209"/>
      <c r="I147" s="3495"/>
      <c r="J147" s="39">
        <f t="shared" si="45"/>
        <v>0</v>
      </c>
      <c r="K147" s="3494"/>
      <c r="L147" s="6697"/>
      <c r="M147" s="1499"/>
      <c r="N147" s="6695">
        <f t="shared" si="34"/>
        <v>0</v>
      </c>
      <c r="O147" s="3494"/>
      <c r="P147" s="6697"/>
      <c r="Q147" s="1724"/>
      <c r="R147" s="6696">
        <f t="shared" si="47"/>
        <v>0</v>
      </c>
      <c r="S147" s="3494"/>
      <c r="T147" s="6697"/>
      <c r="U147" s="1724"/>
      <c r="V147" s="6696">
        <f t="shared" si="36"/>
        <v>0</v>
      </c>
      <c r="W147" s="3494"/>
      <c r="X147" s="6697"/>
      <c r="Y147" s="857"/>
      <c r="Z147" s="2636">
        <f t="shared" si="29"/>
        <v>0</v>
      </c>
      <c r="AA147" s="662"/>
      <c r="AB147" s="662">
        <f t="shared" si="30"/>
        <v>0</v>
      </c>
      <c r="AC147" s="3494"/>
      <c r="AD147" s="6697"/>
      <c r="AE147" s="266"/>
      <c r="AF147" s="6696">
        <f t="shared" ref="AF147:AF149" si="54">+AB147+AD147</f>
        <v>0</v>
      </c>
      <c r="AG147" s="3494"/>
      <c r="AH147" s="6697"/>
      <c r="AI147" s="266"/>
      <c r="AJ147" s="6696">
        <f t="shared" si="48"/>
        <v>0</v>
      </c>
      <c r="AK147" s="3494"/>
      <c r="AL147" s="6697"/>
      <c r="AM147" s="857"/>
      <c r="AN147" s="2636">
        <f t="shared" si="51"/>
        <v>0</v>
      </c>
      <c r="AO147" s="6696"/>
      <c r="AP147" s="6696">
        <f t="shared" si="52"/>
        <v>0</v>
      </c>
      <c r="AQ147" s="3494"/>
      <c r="AR147" s="6697"/>
      <c r="AS147" s="266"/>
      <c r="AT147" s="6696">
        <f t="shared" si="53"/>
        <v>0</v>
      </c>
      <c r="AU147" s="3494"/>
      <c r="AV147" s="6697"/>
      <c r="AW147" s="266"/>
      <c r="AX147" s="6696">
        <f t="shared" si="50"/>
        <v>0</v>
      </c>
      <c r="AY147" s="3494"/>
      <c r="AZ147" s="6697"/>
      <c r="BA147" s="857"/>
      <c r="BB147" s="2636">
        <f t="shared" si="41"/>
        <v>0</v>
      </c>
      <c r="BC147" s="662"/>
      <c r="BD147" s="662">
        <f t="shared" si="49"/>
        <v>0</v>
      </c>
      <c r="BE147" s="6696"/>
      <c r="BF147" s="6696">
        <f t="shared" si="43"/>
        <v>0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5.75" customHeight="1" x14ac:dyDescent="0.25">
      <c r="B148" s="1641" t="s">
        <v>1335</v>
      </c>
      <c r="C148" s="3491"/>
      <c r="D148" s="3496" t="s">
        <v>50</v>
      </c>
      <c r="E148" s="3494"/>
      <c r="F148" s="6697">
        <v>4.0999999999999996</v>
      </c>
      <c r="G148" s="3494"/>
      <c r="H148" s="7209">
        <v>4.0999999999999996</v>
      </c>
      <c r="I148" s="3495"/>
      <c r="J148" s="39">
        <f t="shared" si="45"/>
        <v>8.1999999999999993</v>
      </c>
      <c r="K148" s="3494"/>
      <c r="L148" s="6697"/>
      <c r="M148" s="1499"/>
      <c r="N148" s="6695">
        <f t="shared" si="34"/>
        <v>8.1999999999999993</v>
      </c>
      <c r="O148" s="3494"/>
      <c r="P148" s="6697"/>
      <c r="Q148" s="1725"/>
      <c r="R148" s="6696">
        <f t="shared" si="47"/>
        <v>8.1999999999999993</v>
      </c>
      <c r="S148" s="3494"/>
      <c r="T148" s="6697"/>
      <c r="U148" s="1725"/>
      <c r="V148" s="6696">
        <f t="shared" si="36"/>
        <v>8.1999999999999993</v>
      </c>
      <c r="W148" s="3494"/>
      <c r="X148" s="6697">
        <v>2.0499999999999998</v>
      </c>
      <c r="Y148" s="857"/>
      <c r="Z148" s="2636">
        <f t="shared" si="29"/>
        <v>2.0499999999999998</v>
      </c>
      <c r="AA148" s="662"/>
      <c r="AB148" s="662">
        <f t="shared" si="30"/>
        <v>10.25</v>
      </c>
      <c r="AC148" s="3494"/>
      <c r="AD148" s="6697"/>
      <c r="AE148" s="603"/>
      <c r="AF148" s="6696">
        <f t="shared" si="54"/>
        <v>10.25</v>
      </c>
      <c r="AG148" s="3494"/>
      <c r="AH148" s="6697"/>
      <c r="AI148" s="603"/>
      <c r="AJ148" s="6696">
        <f t="shared" si="48"/>
        <v>10.25</v>
      </c>
      <c r="AK148" s="3494"/>
      <c r="AL148" s="6697"/>
      <c r="AM148" s="857"/>
      <c r="AN148" s="2636">
        <f t="shared" si="51"/>
        <v>0</v>
      </c>
      <c r="AO148" s="6696"/>
      <c r="AP148" s="6696">
        <f t="shared" si="52"/>
        <v>10.25</v>
      </c>
      <c r="AQ148" s="3494"/>
      <c r="AR148" s="6697"/>
      <c r="AS148" s="603"/>
      <c r="AT148" s="6696">
        <f t="shared" si="53"/>
        <v>10.25</v>
      </c>
      <c r="AU148" s="3494"/>
      <c r="AV148" s="6697"/>
      <c r="AW148" s="603"/>
      <c r="AX148" s="6696">
        <f t="shared" si="50"/>
        <v>10.25</v>
      </c>
      <c r="AY148" s="3494"/>
      <c r="AZ148" s="6697">
        <v>30.75</v>
      </c>
      <c r="BA148" s="857"/>
      <c r="BB148" s="2636">
        <f t="shared" si="41"/>
        <v>30.75</v>
      </c>
      <c r="BC148" s="662"/>
      <c r="BD148" s="662">
        <f t="shared" si="49"/>
        <v>30.75</v>
      </c>
      <c r="BE148" s="6696"/>
      <c r="BF148" s="6696">
        <f t="shared" si="43"/>
        <v>41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">
      <c r="B149" s="3497" t="s">
        <v>1104</v>
      </c>
      <c r="C149" s="3498"/>
      <c r="D149" s="3499" t="s">
        <v>50</v>
      </c>
      <c r="E149" s="3500"/>
      <c r="F149" s="109"/>
      <c r="G149" s="3500"/>
      <c r="H149" s="109"/>
      <c r="I149" s="3501"/>
      <c r="J149" s="44">
        <f t="shared" si="45"/>
        <v>0</v>
      </c>
      <c r="K149" s="3500"/>
      <c r="L149" s="109"/>
      <c r="M149" s="1499"/>
      <c r="N149" s="4594">
        <f t="shared" si="34"/>
        <v>0</v>
      </c>
      <c r="O149" s="3500"/>
      <c r="P149" s="109">
        <v>4.0999999999999996</v>
      </c>
      <c r="Q149" s="1639"/>
      <c r="R149" s="2399">
        <f t="shared" si="47"/>
        <v>4.0999999999999996</v>
      </c>
      <c r="S149" s="3500"/>
      <c r="T149" s="109"/>
      <c r="U149" s="1639"/>
      <c r="V149" s="4938">
        <f t="shared" si="36"/>
        <v>4.0999999999999996</v>
      </c>
      <c r="W149" s="3500"/>
      <c r="X149" s="109"/>
      <c r="Y149" s="857"/>
      <c r="Z149" s="2636">
        <f t="shared" si="29"/>
        <v>4.0999999999999996</v>
      </c>
      <c r="AA149" s="662"/>
      <c r="AB149" s="662">
        <f t="shared" si="30"/>
        <v>4.0999999999999996</v>
      </c>
      <c r="AC149" s="3500"/>
      <c r="AD149" s="109"/>
      <c r="AE149" s="1639"/>
      <c r="AF149" s="5359">
        <f t="shared" si="54"/>
        <v>4.0999999999999996</v>
      </c>
      <c r="AG149" s="3500"/>
      <c r="AH149" s="109">
        <v>2.0499999999999998</v>
      </c>
      <c r="AI149" s="1639"/>
      <c r="AJ149" s="5535">
        <f t="shared" si="48"/>
        <v>6.1499999999999995</v>
      </c>
      <c r="AK149" s="3500"/>
      <c r="AL149" s="109">
        <v>2.0499999999999998</v>
      </c>
      <c r="AM149" s="857"/>
      <c r="AN149" s="2636">
        <f t="shared" si="51"/>
        <v>4.0999999999999996</v>
      </c>
      <c r="AO149" s="2399"/>
      <c r="AP149" s="5960">
        <f t="shared" si="52"/>
        <v>8.1999999999999993</v>
      </c>
      <c r="AQ149" s="3500"/>
      <c r="AR149" s="109"/>
      <c r="AS149" s="1639"/>
      <c r="AT149" s="6113">
        <f t="shared" si="53"/>
        <v>8.1999999999999993</v>
      </c>
      <c r="AU149" s="3500"/>
      <c r="AV149" s="109"/>
      <c r="AW149" s="1639"/>
      <c r="AX149" s="6251">
        <f t="shared" si="50"/>
        <v>8.1999999999999993</v>
      </c>
      <c r="AY149" s="3500"/>
      <c r="AZ149" s="109"/>
      <c r="BA149" s="857"/>
      <c r="BB149" s="2636">
        <f t="shared" si="41"/>
        <v>0</v>
      </c>
      <c r="BC149" s="662"/>
      <c r="BD149" s="662">
        <f t="shared" ref="BD149" si="55">AN149+BB149</f>
        <v>4.0999999999999996</v>
      </c>
      <c r="BE149" s="2399"/>
      <c r="BF149" s="2399">
        <f t="shared" si="4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x14ac:dyDescent="0.25">
      <c r="A150" s="87"/>
      <c r="B150" s="3484" t="s">
        <v>300</v>
      </c>
      <c r="C150" s="3484"/>
      <c r="D150" s="116" t="s">
        <v>50</v>
      </c>
      <c r="E150" s="3485">
        <f>+E151</f>
        <v>42500</v>
      </c>
      <c r="F150" s="3485">
        <f>SUM(F7:F149)</f>
        <v>36887.700000000004</v>
      </c>
      <c r="G150" s="3485">
        <f>+G151</f>
        <v>44000</v>
      </c>
      <c r="H150" s="3485">
        <f>SUM(H7:H149)</f>
        <v>39489.15</v>
      </c>
      <c r="I150" s="3485">
        <f>+I151</f>
        <v>86500</v>
      </c>
      <c r="J150" s="3485">
        <f>SUM(J7:J149)</f>
        <v>76376.849999999977</v>
      </c>
      <c r="K150" s="3485">
        <f>+K151</f>
        <v>30000</v>
      </c>
      <c r="L150" s="3485">
        <f>SUM(L7:L149)</f>
        <v>38419.050000000003</v>
      </c>
      <c r="M150" s="1140">
        <f>+M151</f>
        <v>116500</v>
      </c>
      <c r="N150" s="1140">
        <f>SUM(N7:N149)</f>
        <v>112134.99999999999</v>
      </c>
      <c r="O150" s="3485">
        <f>+O151</f>
        <v>25000</v>
      </c>
      <c r="P150" s="3485">
        <f>SUM(P7:P149)</f>
        <v>42127.500000000015</v>
      </c>
      <c r="Q150" s="1140">
        <f>+Q151</f>
        <v>141500</v>
      </c>
      <c r="R150" s="1140">
        <f>SUM(R7:R149)</f>
        <v>154186.65000000002</v>
      </c>
      <c r="S150" s="3485">
        <f>+S151</f>
        <v>45500</v>
      </c>
      <c r="T150" s="3485">
        <f>SUM(T7:T149)</f>
        <v>41686.75</v>
      </c>
      <c r="U150" s="1140">
        <f>+U151</f>
        <v>187000</v>
      </c>
      <c r="V150" s="1140">
        <f>SUM(V7:V149)</f>
        <v>195873.40000000002</v>
      </c>
      <c r="W150" s="3485">
        <f>+W151</f>
        <v>44000</v>
      </c>
      <c r="X150" s="3485">
        <f>SUM(X7:X149)</f>
        <v>43045.900000000009</v>
      </c>
      <c r="Y150" s="1140">
        <f>+Y151</f>
        <v>114500</v>
      </c>
      <c r="Z150" s="1140">
        <f>SUM(Z7:Z149)</f>
        <v>126860.15000000004</v>
      </c>
      <c r="AA150" s="1140">
        <f>+AA151</f>
        <v>231000</v>
      </c>
      <c r="AB150" s="1140">
        <f>SUM(AB7:AB149)</f>
        <v>238995.15000000005</v>
      </c>
      <c r="AC150" s="3485">
        <f>+AC151</f>
        <v>45500</v>
      </c>
      <c r="AD150" s="3485">
        <f>SUM(AD7:AD149)</f>
        <v>42486.250000000007</v>
      </c>
      <c r="AE150" s="1140">
        <f>+AE151</f>
        <v>276500</v>
      </c>
      <c r="AF150" s="1140">
        <f>SUM(AF7:AF149)</f>
        <v>281481.40000000002</v>
      </c>
      <c r="AG150" s="3485">
        <f>+AG151</f>
        <v>44000</v>
      </c>
      <c r="AH150" s="3485">
        <f>SUM(AH7:AH149)</f>
        <v>20057.200000000004</v>
      </c>
      <c r="AI150" s="1140">
        <f>+AI151</f>
        <v>320500</v>
      </c>
      <c r="AJ150" s="1140">
        <f>SUM(AJ7:AJ149)</f>
        <v>301538.59999999998</v>
      </c>
      <c r="AK150" s="3485">
        <f>+AK151</f>
        <v>45500</v>
      </c>
      <c r="AL150" s="3485">
        <f>SUM(AL7:AL149)</f>
        <v>39298.500000000015</v>
      </c>
      <c r="AM150" s="1140">
        <f>+AM151</f>
        <v>135000</v>
      </c>
      <c r="AN150" s="1140">
        <f>SUM(AN7:AN149)</f>
        <v>101841.95000000001</v>
      </c>
      <c r="AO150" s="1140">
        <f>+AO151</f>
        <v>366000</v>
      </c>
      <c r="AP150" s="1140">
        <f>SUM(AP7:AP149)</f>
        <v>340837.10000000021</v>
      </c>
      <c r="AQ150" s="3485">
        <f>+AQ151</f>
        <v>45500</v>
      </c>
      <c r="AR150" s="3485">
        <f>SUM(AR7:AR149)</f>
        <v>40366.549999999996</v>
      </c>
      <c r="AS150" s="1140">
        <f>+AS151</f>
        <v>411500</v>
      </c>
      <c r="AT150" s="1140">
        <f>SUM(AT7:AT149)</f>
        <v>381203.65000000026</v>
      </c>
      <c r="AU150" s="3485">
        <f>+AU151</f>
        <v>40500</v>
      </c>
      <c r="AV150" s="3485">
        <f>SUM(AV7:AV149)</f>
        <v>34421.449999999997</v>
      </c>
      <c r="AW150" s="1140">
        <f>+AW151</f>
        <v>452000</v>
      </c>
      <c r="AX150" s="1140">
        <f>SUM(AX7:AX149)</f>
        <v>415625.10000000015</v>
      </c>
      <c r="AY150" s="3485">
        <f>+AY151</f>
        <v>45500</v>
      </c>
      <c r="AZ150" s="3485">
        <f>SUM(AZ7:AZ149)</f>
        <v>43357.500000000015</v>
      </c>
      <c r="BA150" s="1140">
        <f>+BA151</f>
        <v>131500</v>
      </c>
      <c r="BB150" s="1140">
        <f>SUM(BB7:BB149)</f>
        <v>118145.50000000003</v>
      </c>
      <c r="BC150" s="1140">
        <f>+BC151</f>
        <v>266500</v>
      </c>
      <c r="BD150" s="1140">
        <f>SUM(BD7:BD149)</f>
        <v>219987.45000000004</v>
      </c>
      <c r="BE150" s="1140">
        <f>+BE151</f>
        <v>497500</v>
      </c>
      <c r="BF150" s="1140">
        <f>SUM(BF7:BF149)</f>
        <v>458982.60000000009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x14ac:dyDescent="0.25">
      <c r="B151" s="858" t="s">
        <v>824</v>
      </c>
      <c r="C151" s="858"/>
      <c r="D151" s="859" t="s">
        <v>50</v>
      </c>
      <c r="E151" s="1140">
        <f>+'Maj Production Summ'!E30</f>
        <v>42500</v>
      </c>
      <c r="F151" s="1140">
        <f>+SUM(F7:F133)</f>
        <v>36744.180000000008</v>
      </c>
      <c r="G151" s="1140">
        <f>+'Maj Production Summ'!G30</f>
        <v>44000</v>
      </c>
      <c r="H151" s="1140">
        <f>+SUM(H7:H133)</f>
        <v>39374.35</v>
      </c>
      <c r="I151" s="1140">
        <f>+'Maj Production Summ'!I30</f>
        <v>86500</v>
      </c>
      <c r="J151" s="1140">
        <f>+SUM(J7:J133)</f>
        <v>76118.52999999997</v>
      </c>
      <c r="K151" s="1140">
        <f>+'Maj Production Summ'!K30</f>
        <v>30000</v>
      </c>
      <c r="L151" s="1140">
        <f>+SUM(L7:L133)</f>
        <v>38310.400000000001</v>
      </c>
      <c r="M151" s="1140">
        <f>+'Maj Production Summ'!M30</f>
        <v>116500</v>
      </c>
      <c r="N151" s="1140">
        <f>+SUM(N7:N133)</f>
        <v>111772.12999999998</v>
      </c>
      <c r="O151" s="1140">
        <f>+'Maj Production Summ'!O30</f>
        <v>25000</v>
      </c>
      <c r="P151" s="1140">
        <f>+SUM(P7:P133)</f>
        <v>42041.400000000016</v>
      </c>
      <c r="Q151" s="1140">
        <f>+'Maj Production Summ'!Q30</f>
        <v>141500</v>
      </c>
      <c r="R151" s="1140">
        <f>+SUM(R7:R133)</f>
        <v>153737.68000000002</v>
      </c>
      <c r="S151" s="1140">
        <f>+'Maj Production Summ'!S30</f>
        <v>45500</v>
      </c>
      <c r="T151" s="1140">
        <f>+SUM(T7:T133)</f>
        <v>41559.65</v>
      </c>
      <c r="U151" s="1140">
        <f>+'Maj Production Summ'!U30</f>
        <v>187000</v>
      </c>
      <c r="V151" s="1140">
        <f>+SUM(V7:V133)</f>
        <v>195297.33000000005</v>
      </c>
      <c r="W151" s="1140">
        <f>+'Maj Production Summ'!W30</f>
        <v>44000</v>
      </c>
      <c r="X151" s="1140">
        <f>+SUM(X7:X133)</f>
        <v>42947.5</v>
      </c>
      <c r="Y151" s="1140">
        <f>+'Maj Production Summ'!Y30</f>
        <v>114500</v>
      </c>
      <c r="Z151" s="1140">
        <f>+SUM(Z7:Z133)</f>
        <v>126548.55000000002</v>
      </c>
      <c r="AA151" s="1140">
        <f>+'Maj Production Summ'!AA30</f>
        <v>231000</v>
      </c>
      <c r="AB151" s="1140">
        <f>+SUM(AB7:AB133)</f>
        <v>238320.68000000008</v>
      </c>
      <c r="AC151" s="1140">
        <f>+'Maj Production Summ'!AC30</f>
        <v>45500</v>
      </c>
      <c r="AD151" s="1140">
        <f>+SUM(AD7:AD133)</f>
        <v>42384.76</v>
      </c>
      <c r="AE151" s="1140">
        <f>+'Maj Production Summ'!AE30</f>
        <v>276500</v>
      </c>
      <c r="AF151" s="1140">
        <f>+SUM(AF7:AF133)</f>
        <v>280705.44000000006</v>
      </c>
      <c r="AG151" s="1140">
        <f>+'Maj Production Summ'!AG30</f>
        <v>44000</v>
      </c>
      <c r="AH151" s="1140">
        <f>+SUM(AH7:AH133)</f>
        <v>19981.350000000006</v>
      </c>
      <c r="AI151" s="1140">
        <f>+'Maj Production Summ'!AI30</f>
        <v>320500</v>
      </c>
      <c r="AJ151" s="1140">
        <f>+SUM(AJ7:AJ133)</f>
        <v>300686.78999999998</v>
      </c>
      <c r="AK151" s="1140">
        <f>+'Maj Production Summ'!AK30</f>
        <v>45500</v>
      </c>
      <c r="AL151" s="1140">
        <f>+SUM(AL7:AL133)</f>
        <v>39200.100000000013</v>
      </c>
      <c r="AM151" s="1140">
        <f>+'Maj Production Summ'!AM30</f>
        <v>135000</v>
      </c>
      <c r="AN151" s="1140">
        <f>+SUM(AN7:AN133)</f>
        <v>101566.21000000002</v>
      </c>
      <c r="AO151" s="1140">
        <f>+'Maj Production Summ'!AO30</f>
        <v>366000</v>
      </c>
      <c r="AP151" s="1140">
        <f>+SUM(AP7:AP133)</f>
        <v>339886.89000000019</v>
      </c>
      <c r="AQ151" s="1140">
        <f>+'Maj Production Summ'!AQ30</f>
        <v>45500</v>
      </c>
      <c r="AR151" s="1140">
        <f>+SUM(AR7:AR133)</f>
        <v>40296.849999999991</v>
      </c>
      <c r="AS151" s="1140">
        <f>+'Maj Production Summ'!AS30</f>
        <v>411500</v>
      </c>
      <c r="AT151" s="1140">
        <f>+SUM(AT7:AT133)</f>
        <v>380183.74000000017</v>
      </c>
      <c r="AU151" s="1140">
        <f>+'Maj Production Summ'!AU30</f>
        <v>40500</v>
      </c>
      <c r="AV151" s="1140">
        <f>+SUM(AV7:AV133)</f>
        <v>34335.35</v>
      </c>
      <c r="AW151" s="1140">
        <f>+'Maj Production Summ'!AW30</f>
        <v>452000</v>
      </c>
      <c r="AX151" s="1140">
        <f>+SUM(AX7:AX133)</f>
        <v>414519.09000000008</v>
      </c>
      <c r="AY151" s="1140">
        <f>+'Maj Production Summ'!AY30</f>
        <v>45500</v>
      </c>
      <c r="AZ151" s="1140">
        <f>+SUM(AZ7:AZ133)</f>
        <v>43072.55000000001</v>
      </c>
      <c r="BA151" s="1140">
        <f>+'Maj Production Summ'!BA30</f>
        <v>131500</v>
      </c>
      <c r="BB151" s="1140">
        <f>+SUM(BB7:BB133)</f>
        <v>117704.75000000003</v>
      </c>
      <c r="BC151" s="1140">
        <f>+'Maj Production Summ'!BC30</f>
        <v>266500</v>
      </c>
      <c r="BD151" s="1140">
        <f>+SUM(BD7:BD133)</f>
        <v>219270.96000000005</v>
      </c>
      <c r="BE151" s="1140">
        <f>+'Maj Production Summ'!BE30</f>
        <v>497500</v>
      </c>
      <c r="BF151" s="1140">
        <f>+SUM(BF7:BF133)</f>
        <v>457591.63999999996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x14ac:dyDescent="0.25">
      <c r="A152" s="149"/>
      <c r="B152" s="860" t="s">
        <v>823</v>
      </c>
      <c r="C152" s="860"/>
      <c r="D152" s="861" t="s">
        <v>50</v>
      </c>
      <c r="E152" s="1140"/>
      <c r="F152" s="815">
        <f>+SUM(F135:F149)</f>
        <v>143.51999999999998</v>
      </c>
      <c r="G152" s="1140"/>
      <c r="H152" s="815">
        <f>+SUM(H135:H149)</f>
        <v>114.79999999999998</v>
      </c>
      <c r="I152" s="1140"/>
      <c r="J152" s="815">
        <f>+SUM(J135:J149)</f>
        <v>258.32000000000005</v>
      </c>
      <c r="K152" s="1140"/>
      <c r="L152" s="815">
        <f>+SUM(L135:L149)</f>
        <v>108.64999999999999</v>
      </c>
      <c r="M152" s="1140"/>
      <c r="N152" s="815">
        <f>+SUM(N135:N149)</f>
        <v>362.87</v>
      </c>
      <c r="O152" s="1140"/>
      <c r="P152" s="815">
        <f>+SUM(P135:P149)</f>
        <v>86.1</v>
      </c>
      <c r="Q152" s="1140"/>
      <c r="R152" s="815">
        <f>+SUM(R135:R149)</f>
        <v>448.97</v>
      </c>
      <c r="S152" s="1140"/>
      <c r="T152" s="815">
        <f>+SUM(T135:T149)</f>
        <v>127.09999999999998</v>
      </c>
      <c r="U152" s="1140"/>
      <c r="V152" s="815">
        <f>+SUM(V135:V149)</f>
        <v>576.06999999999994</v>
      </c>
      <c r="W152" s="1140"/>
      <c r="X152" s="815">
        <f>+SUM(X135:X149)</f>
        <v>98.399999999999991</v>
      </c>
      <c r="Y152" s="1140"/>
      <c r="Z152" s="815">
        <f>+SUM(Z135:Z149)</f>
        <v>311.60000000000008</v>
      </c>
      <c r="AA152" s="1140"/>
      <c r="AB152" s="815">
        <f>+SUM(AB135:AB149)</f>
        <v>674.46999999999991</v>
      </c>
      <c r="AC152" s="1140"/>
      <c r="AD152" s="815">
        <f>+SUM(AD135:AD149)</f>
        <v>101.49000000000001</v>
      </c>
      <c r="AE152" s="1140"/>
      <c r="AF152" s="815">
        <f>+SUM(AF135:AF149)</f>
        <v>775.95999999999992</v>
      </c>
      <c r="AG152" s="1140"/>
      <c r="AH152" s="815">
        <f>+SUM(AH135:AH149)</f>
        <v>75.84999999999998</v>
      </c>
      <c r="AI152" s="1140"/>
      <c r="AJ152" s="815">
        <f>+SUM(AJ135:AJ149)</f>
        <v>851.81</v>
      </c>
      <c r="AK152" s="1140"/>
      <c r="AL152" s="815">
        <f>+SUM(AL135:AL149)</f>
        <v>98.399999999999991</v>
      </c>
      <c r="AM152" s="1140"/>
      <c r="AN152" s="815">
        <f>+SUM(AN135:AN149)</f>
        <v>275.74</v>
      </c>
      <c r="AO152" s="1140"/>
      <c r="AP152" s="815">
        <f>+SUM(AP135:AP149)</f>
        <v>950.20999999999992</v>
      </c>
      <c r="AQ152" s="1140"/>
      <c r="AR152" s="815">
        <f>+SUM(AR135:AR149)</f>
        <v>69.7</v>
      </c>
      <c r="AS152" s="1140"/>
      <c r="AT152" s="815">
        <f>+SUM(AT135:AT149)</f>
        <v>1019.91</v>
      </c>
      <c r="AU152" s="1140"/>
      <c r="AV152" s="815">
        <f>+SUM(AV135:AV149)</f>
        <v>86.1</v>
      </c>
      <c r="AW152" s="1140"/>
      <c r="AX152" s="815">
        <f>+SUM(AX135:AX149)</f>
        <v>1106.01</v>
      </c>
      <c r="AY152" s="1140"/>
      <c r="AZ152" s="815">
        <f>+SUM(AZ135:AZ149)</f>
        <v>284.95</v>
      </c>
      <c r="BA152" s="1140"/>
      <c r="BB152" s="815">
        <f>+SUM(BB135:BB149)</f>
        <v>440.75</v>
      </c>
      <c r="BC152" s="1140"/>
      <c r="BD152" s="815">
        <f>+SUM(BD135:BD149)</f>
        <v>716.49</v>
      </c>
      <c r="BE152" s="1140"/>
      <c r="BF152" s="1140">
        <f>+SUM(BF135:BF149)</f>
        <v>1390.9600000000003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x14ac:dyDescent="0.25">
      <c r="B153" s="812" t="s">
        <v>314</v>
      </c>
      <c r="C153" s="812"/>
      <c r="D153" s="806" t="s">
        <v>49</v>
      </c>
      <c r="E153" s="815">
        <f t="shared" ref="E153:AF153" si="56">+E151*100/E5</f>
        <v>96</v>
      </c>
      <c r="F153" s="815">
        <f t="shared" si="56"/>
        <v>95.812540022738901</v>
      </c>
      <c r="G153" s="815">
        <f t="shared" ref="G153:H153" si="57">+G151*100/G5</f>
        <v>96</v>
      </c>
      <c r="H153" s="815">
        <f t="shared" si="57"/>
        <v>95.667534001835477</v>
      </c>
      <c r="I153" s="815">
        <f t="shared" si="56"/>
        <v>96</v>
      </c>
      <c r="J153" s="815">
        <f t="shared" si="56"/>
        <v>95.737476932696083</v>
      </c>
      <c r="K153" s="815">
        <f t="shared" si="56"/>
        <v>96</v>
      </c>
      <c r="L153" s="815">
        <f t="shared" si="56"/>
        <v>95.828319866939381</v>
      </c>
      <c r="M153" s="815">
        <f t="shared" si="56"/>
        <v>96</v>
      </c>
      <c r="N153" s="815">
        <f t="shared" si="56"/>
        <v>93.544342315921426</v>
      </c>
      <c r="O153" s="815">
        <f t="shared" si="56"/>
        <v>96</v>
      </c>
      <c r="P153" s="815">
        <f t="shared" si="56"/>
        <v>95.980373534772824</v>
      </c>
      <c r="Q153" s="815">
        <f t="shared" si="56"/>
        <v>96</v>
      </c>
      <c r="R153" s="815">
        <f t="shared" si="56"/>
        <v>94.151357873346072</v>
      </c>
      <c r="S153" s="815">
        <f t="shared" si="56"/>
        <v>96</v>
      </c>
      <c r="T153" s="815">
        <f t="shared" si="56"/>
        <v>95.889415039186275</v>
      </c>
      <c r="U153" s="815">
        <f t="shared" si="56"/>
        <v>95.999999999999986</v>
      </c>
      <c r="V153" s="815">
        <f t="shared" si="56"/>
        <v>94.515922005478942</v>
      </c>
      <c r="W153" s="815">
        <f t="shared" si="56"/>
        <v>96</v>
      </c>
      <c r="X153" s="815">
        <f t="shared" si="56"/>
        <v>96.019246283514676</v>
      </c>
      <c r="Y153" s="815">
        <f t="shared" si="56"/>
        <v>95.999999999999986</v>
      </c>
      <c r="Z153" s="815">
        <f t="shared" si="56"/>
        <v>95.963663668491378</v>
      </c>
      <c r="AA153" s="815">
        <f t="shared" si="56"/>
        <v>96</v>
      </c>
      <c r="AB153" s="815">
        <f t="shared" si="56"/>
        <v>94.813608939752058</v>
      </c>
      <c r="AC153" s="815">
        <f t="shared" si="56"/>
        <v>96</v>
      </c>
      <c r="AD153" s="3260">
        <f t="shared" si="56"/>
        <v>95.917021134700391</v>
      </c>
      <c r="AE153" s="815">
        <f t="shared" si="56"/>
        <v>96</v>
      </c>
      <c r="AF153" s="815">
        <f t="shared" si="56"/>
        <v>94.978587193048597</v>
      </c>
      <c r="AG153" s="815">
        <f t="shared" ref="AG153:AJ153" si="58">+AG151*100/AG5</f>
        <v>96</v>
      </c>
      <c r="AH153" s="3260">
        <f t="shared" si="58"/>
        <v>95.589763343773882</v>
      </c>
      <c r="AI153" s="815">
        <f t="shared" si="58"/>
        <v>96.000000000000014</v>
      </c>
      <c r="AJ153" s="815">
        <f t="shared" si="58"/>
        <v>95.018958774110928</v>
      </c>
      <c r="AK153" s="815">
        <f t="shared" ref="AK153:AL153" si="59">+AK151*100/AK5</f>
        <v>96</v>
      </c>
      <c r="AL153" s="3260">
        <f t="shared" si="59"/>
        <v>95.504190674215039</v>
      </c>
      <c r="AM153" s="815">
        <f t="shared" ref="AM153:BF153" si="60">+AM151*100/AM5</f>
        <v>96</v>
      </c>
      <c r="AN153" s="815">
        <f t="shared" si="60"/>
        <v>95.69292018289876</v>
      </c>
      <c r="AO153" s="815">
        <f t="shared" si="60"/>
        <v>96.000000000000014</v>
      </c>
      <c r="AP153" s="815">
        <f t="shared" si="60"/>
        <v>95.074670229640006</v>
      </c>
      <c r="AQ153" s="815">
        <f t="shared" si="60"/>
        <v>96</v>
      </c>
      <c r="AR153" s="3260">
        <f t="shared" si="60"/>
        <v>96.131407927563089</v>
      </c>
      <c r="AS153" s="815">
        <f t="shared" si="60"/>
        <v>96.000000000000014</v>
      </c>
      <c r="AT153" s="815">
        <f t="shared" si="60"/>
        <v>95.185575094230515</v>
      </c>
      <c r="AU153" s="815">
        <f t="shared" ref="AU153:AX153" si="61">+AU151*100/AU5</f>
        <v>96</v>
      </c>
      <c r="AV153" s="815">
        <f t="shared" si="61"/>
        <v>95.760199382221273</v>
      </c>
      <c r="AW153" s="815">
        <f t="shared" si="61"/>
        <v>96.000000000000014</v>
      </c>
      <c r="AX153" s="815">
        <f t="shared" si="61"/>
        <v>95.232910154618921</v>
      </c>
      <c r="AY153" s="815">
        <f t="shared" ref="AY153:AZ153" si="62">+AY151*100/AY5</f>
        <v>96</v>
      </c>
      <c r="AZ153" s="815">
        <f t="shared" si="62"/>
        <v>95.419404264602818</v>
      </c>
      <c r="BA153" s="815">
        <f t="shared" si="60"/>
        <v>95.999999999999986</v>
      </c>
      <c r="BB153" s="815">
        <f t="shared" si="60"/>
        <v>95.761638869331975</v>
      </c>
      <c r="BC153" s="815">
        <f t="shared" si="60"/>
        <v>96</v>
      </c>
      <c r="BD153" s="815">
        <f t="shared" si="60"/>
        <v>95.729796138600832</v>
      </c>
      <c r="BE153" s="815">
        <f t="shared" si="60"/>
        <v>96.000000000000014</v>
      </c>
      <c r="BF153" s="815">
        <f t="shared" si="60"/>
        <v>95.25043353477335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x14ac:dyDescent="0.25">
      <c r="A154" s="149"/>
      <c r="B154" s="862" t="s">
        <v>817</v>
      </c>
      <c r="C154" s="862"/>
      <c r="D154" s="814" t="s">
        <v>50</v>
      </c>
      <c r="E154" s="457"/>
      <c r="F154" s="457">
        <f>+'Value added steel '!G38</f>
        <v>35403.480000000003</v>
      </c>
      <c r="G154" s="1971"/>
      <c r="H154" s="1971">
        <f>+'Value added steel '!I38</f>
        <v>36549.449999999997</v>
      </c>
      <c r="I154" s="1971"/>
      <c r="J154" s="1971">
        <f>+'Value added steel '!K38</f>
        <v>71952.930000000008</v>
      </c>
      <c r="K154" s="1971"/>
      <c r="L154" s="1971">
        <f>+'Value added steel '!M38</f>
        <v>36891.800000000003</v>
      </c>
      <c r="M154" s="1971"/>
      <c r="N154" s="1971">
        <f>+'Value added steel '!O38</f>
        <v>108844.73000000003</v>
      </c>
      <c r="O154" s="1971"/>
      <c r="P154" s="1971">
        <f>+'Value added steel '!Q38</f>
        <v>35795.05000000001</v>
      </c>
      <c r="Q154" s="1971"/>
      <c r="R154" s="1971">
        <f>+'Value added steel '!S38</f>
        <v>143350.33000000002</v>
      </c>
      <c r="S154" s="1971"/>
      <c r="T154" s="1971">
        <f>+'Value added steel '!U38</f>
        <v>40928.25</v>
      </c>
      <c r="U154" s="1971"/>
      <c r="V154" s="1971">
        <f>+'Value added steel '!W38</f>
        <v>184278.58000000007</v>
      </c>
      <c r="W154" s="1971"/>
      <c r="X154" s="1971">
        <f>+'Value added steel '!Y38</f>
        <v>40813.449999999997</v>
      </c>
      <c r="Y154" s="1971"/>
      <c r="Z154" s="1971">
        <f>+'Value added steel '!AA38</f>
        <v>117536.75</v>
      </c>
      <c r="AA154" s="1971"/>
      <c r="AB154" s="1971">
        <f>+'Value added steel '!AC38</f>
        <v>226381.48</v>
      </c>
      <c r="AC154" s="1971"/>
      <c r="AD154" s="1971">
        <f>+'Value added steel '!AE38</f>
        <v>40696.590000000004</v>
      </c>
      <c r="AE154" s="1971"/>
      <c r="AF154" s="1971">
        <f>+'Value added steel '!AG38</f>
        <v>267078.07</v>
      </c>
      <c r="AG154" s="1971"/>
      <c r="AH154" s="1971">
        <f>+'Value added steel '!AI38</f>
        <v>19950.600000000002</v>
      </c>
      <c r="AI154" s="1971"/>
      <c r="AJ154" s="1971">
        <f>+'Value added steel '!AK38</f>
        <v>287028.67000000004</v>
      </c>
      <c r="AK154" s="1971"/>
      <c r="AL154" s="1971">
        <f>+'Value added steel '!AM38</f>
        <v>38943.850000000006</v>
      </c>
      <c r="AM154" s="1971"/>
      <c r="AN154" s="1971">
        <f>+'Value added steel '!AO38</f>
        <v>99591.040000000037</v>
      </c>
      <c r="AO154" s="1971"/>
      <c r="AP154" s="1971">
        <f>+'Value added steel '!AQ38</f>
        <v>325972.52</v>
      </c>
      <c r="AQ154" s="1971"/>
      <c r="AR154" s="1971">
        <f>+'Value added steel '!AS38</f>
        <v>38226.35</v>
      </c>
      <c r="AS154" s="1971"/>
      <c r="AT154" s="1971">
        <v>38230.449999999997</v>
      </c>
      <c r="AU154" s="1971"/>
      <c r="AV154" s="1971">
        <f>+'Value added steel '!AW38</f>
        <v>33443.600000000006</v>
      </c>
      <c r="AW154" s="1971"/>
      <c r="AX154" s="1971">
        <v>38230.449999999997</v>
      </c>
      <c r="AY154" s="1971"/>
      <c r="AZ154" s="1971">
        <f>+'Value added steel '!BA38</f>
        <v>41645.750000000022</v>
      </c>
      <c r="BA154" s="1971"/>
      <c r="BB154" s="1971">
        <f>+'Value added steel '!BC38</f>
        <v>113315.69999999998</v>
      </c>
      <c r="BC154" s="1971"/>
      <c r="BD154" s="1971">
        <f>+'Value added steel '!BE38</f>
        <v>212906.74000000005</v>
      </c>
      <c r="BE154" s="1971"/>
      <c r="BF154" s="1971">
        <f>+'Value added steel '!BG38</f>
        <v>439288.21999999986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x14ac:dyDescent="0.25">
      <c r="A155" s="149"/>
      <c r="B155" s="862" t="s">
        <v>818</v>
      </c>
      <c r="C155" s="862"/>
      <c r="D155" s="814" t="s">
        <v>49</v>
      </c>
      <c r="E155" s="623"/>
      <c r="F155" s="623">
        <f>+F154/F151</f>
        <v>0.96351258893245129</v>
      </c>
      <c r="G155" s="623"/>
      <c r="H155" s="623">
        <f>+H154/H151</f>
        <v>0.92825532357994478</v>
      </c>
      <c r="I155" s="623"/>
      <c r="J155" s="623">
        <f>+J154/J151</f>
        <v>0.9452748233577295</v>
      </c>
      <c r="K155" s="623"/>
      <c r="L155" s="623">
        <f>+L154/L151</f>
        <v>0.96297089041095896</v>
      </c>
      <c r="M155" s="623"/>
      <c r="N155" s="623">
        <f>+N154/N151</f>
        <v>0.97380921344166971</v>
      </c>
      <c r="O155" s="623"/>
      <c r="P155" s="623">
        <f>+P154/P151</f>
        <v>0.85142383460113114</v>
      </c>
      <c r="Q155" s="623"/>
      <c r="R155" s="4843">
        <f>+R154/R151</f>
        <v>0.9324345859778812</v>
      </c>
      <c r="S155" s="623"/>
      <c r="T155" s="623">
        <f>+T154/T151</f>
        <v>0.9848073792729245</v>
      </c>
      <c r="U155" s="623"/>
      <c r="V155" s="4843">
        <f>+V154/V151</f>
        <v>0.94357961780634703</v>
      </c>
      <c r="W155" s="623"/>
      <c r="X155" s="623">
        <f>+X154/X151</f>
        <v>0.95031026252983286</v>
      </c>
      <c r="Y155" s="623"/>
      <c r="Z155" s="623">
        <f>+Z154/Z151</f>
        <v>0.92878780515462234</v>
      </c>
      <c r="AA155" s="623"/>
      <c r="AB155" s="623">
        <f>+AB154/AB151</f>
        <v>0.94990279483928941</v>
      </c>
      <c r="AC155" s="623"/>
      <c r="AD155" s="623">
        <f>+AD154/AD151</f>
        <v>0.96017035368372972</v>
      </c>
      <c r="AE155" s="623"/>
      <c r="AF155" s="623">
        <f>+AF154/AF151</f>
        <v>0.95145313179537938</v>
      </c>
      <c r="AG155" s="623"/>
      <c r="AH155" s="623">
        <f>+AH154/AH151</f>
        <v>0.9984610649430592</v>
      </c>
      <c r="AI155" s="623"/>
      <c r="AJ155" s="623">
        <f>+AJ154/AJ151</f>
        <v>0.95457692038948594</v>
      </c>
      <c r="AK155" s="623"/>
      <c r="AL155" s="623">
        <f>+AL154/AL151</f>
        <v>0.9934630268800333</v>
      </c>
      <c r="AM155" s="623"/>
      <c r="AN155" s="623">
        <f>+AN154/AN151</f>
        <v>0.98055288269592822</v>
      </c>
      <c r="AO155" s="623"/>
      <c r="AP155" s="623">
        <f>+AP154/AP151</f>
        <v>0.9590617631647983</v>
      </c>
      <c r="AQ155" s="623"/>
      <c r="AR155" s="623">
        <f>+AR154/AR151</f>
        <v>0.94861881263671988</v>
      </c>
      <c r="AS155" s="623"/>
      <c r="AT155" s="623">
        <v>0.94862403987995336</v>
      </c>
      <c r="AU155" s="623"/>
      <c r="AV155" s="623">
        <f>+AV154/AV151</f>
        <v>0.97402822455574234</v>
      </c>
      <c r="AW155" s="623"/>
      <c r="AX155" s="623">
        <v>0.94862403987995336</v>
      </c>
      <c r="AY155" s="623"/>
      <c r="AZ155" s="623">
        <f>+AZ154/AZ151</f>
        <v>0.96687449431250327</v>
      </c>
      <c r="BA155" s="623"/>
      <c r="BB155" s="623">
        <f>+BB154/BB151</f>
        <v>0.9627113604166353</v>
      </c>
      <c r="BC155" s="623"/>
      <c r="BD155" s="623">
        <f>+BD154/BD151</f>
        <v>0.97097554550771337</v>
      </c>
      <c r="BE155" s="623"/>
      <c r="BF155" s="623">
        <f>+BF154/BF151</f>
        <v>0.96000053672309205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9.5" thickBot="1" x14ac:dyDescent="0.3">
      <c r="A156" s="149"/>
      <c r="B156" s="863" t="s">
        <v>53</v>
      </c>
      <c r="C156" s="273"/>
      <c r="D156" s="272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2"/>
      <c r="Z156" s="272"/>
      <c r="AA156" s="272"/>
      <c r="AB156" s="272"/>
      <c r="AC156" s="273"/>
      <c r="AD156" s="273"/>
      <c r="AE156" s="273"/>
      <c r="AF156" s="273"/>
      <c r="AG156" s="273"/>
      <c r="AH156" s="273"/>
      <c r="AI156" s="273"/>
      <c r="AJ156" s="273"/>
      <c r="AK156" s="273"/>
      <c r="AL156" s="273"/>
      <c r="AM156" s="272"/>
      <c r="AN156" s="272"/>
      <c r="AO156" s="273"/>
      <c r="AP156" s="273"/>
      <c r="AQ156" s="273"/>
      <c r="AR156" s="273"/>
      <c r="AS156" s="273"/>
      <c r="AT156" s="273"/>
      <c r="AU156" s="273"/>
      <c r="AV156" s="273"/>
      <c r="AW156" s="273"/>
      <c r="AX156" s="273"/>
      <c r="AY156" s="273"/>
      <c r="AZ156" s="273"/>
      <c r="BA156" s="272"/>
      <c r="BB156" s="272"/>
      <c r="BC156" s="272"/>
      <c r="BD156" s="272"/>
      <c r="BE156" s="273"/>
      <c r="BF156" s="273"/>
      <c r="BG156" s="26"/>
      <c r="BH156" s="26"/>
      <c r="BI156" s="26"/>
      <c r="BJ156" s="26"/>
      <c r="BK156" s="26"/>
      <c r="BL156" s="26"/>
      <c r="BM156" s="26"/>
      <c r="BN156" s="26"/>
    </row>
    <row r="157" spans="1:66" x14ac:dyDescent="0.25">
      <c r="B157" s="864" t="s">
        <v>93</v>
      </c>
      <c r="C157" s="865"/>
      <c r="D157" s="759" t="s">
        <v>221</v>
      </c>
      <c r="E157" s="820">
        <f>+E2*24</f>
        <v>720</v>
      </c>
      <c r="F157" s="820">
        <f>+F2*24</f>
        <v>720</v>
      </c>
      <c r="G157" s="820">
        <f>+G2*24</f>
        <v>744</v>
      </c>
      <c r="H157" s="820">
        <f>+H2*24</f>
        <v>744</v>
      </c>
      <c r="I157" s="867">
        <f>+E157+G157</f>
        <v>1464</v>
      </c>
      <c r="J157" s="43">
        <f>+F157+H157</f>
        <v>1464</v>
      </c>
      <c r="K157" s="820">
        <f>+K2*24</f>
        <v>720</v>
      </c>
      <c r="L157" s="820">
        <f>+L2*24</f>
        <v>720</v>
      </c>
      <c r="M157" s="782">
        <f>+E157+G157+K157</f>
        <v>2184</v>
      </c>
      <c r="N157" s="2374">
        <f>+F157+H157+L157</f>
        <v>2184</v>
      </c>
      <c r="O157" s="820">
        <f>+O2*24</f>
        <v>744</v>
      </c>
      <c r="P157" s="820">
        <f>+P2*24</f>
        <v>744</v>
      </c>
      <c r="Q157" s="783">
        <f>+M157+O157</f>
        <v>2928</v>
      </c>
      <c r="R157" s="783">
        <f>+N157+P157</f>
        <v>2928</v>
      </c>
      <c r="S157" s="820">
        <f>+S2*24</f>
        <v>744</v>
      </c>
      <c r="T157" s="820">
        <f>+T2*24</f>
        <v>744</v>
      </c>
      <c r="U157" s="4938">
        <f>+Q157+S157</f>
        <v>3672</v>
      </c>
      <c r="V157" s="4938">
        <f>+R157+T157</f>
        <v>3672</v>
      </c>
      <c r="W157" s="820">
        <f>+W2*24</f>
        <v>720</v>
      </c>
      <c r="X157" s="820">
        <f>+X2*24</f>
        <v>720</v>
      </c>
      <c r="Y157" s="2603">
        <f>O157+S157+W157</f>
        <v>2208</v>
      </c>
      <c r="Z157" s="529">
        <f>P157+T157+X157</f>
        <v>2208</v>
      </c>
      <c r="AA157" s="2694">
        <f>M157+Y157</f>
        <v>4392</v>
      </c>
      <c r="AB157" s="2691">
        <f>N157+Z157</f>
        <v>4392</v>
      </c>
      <c r="AC157" s="820">
        <f>+AC2*24</f>
        <v>744</v>
      </c>
      <c r="AD157" s="820">
        <f>+AD2*24</f>
        <v>744</v>
      </c>
      <c r="AE157" s="2399">
        <f>+AA157+AC157</f>
        <v>5136</v>
      </c>
      <c r="AF157" s="2399">
        <f>+AB157+AD157</f>
        <v>5136</v>
      </c>
      <c r="AG157" s="820">
        <f>+AG2*24</f>
        <v>720</v>
      </c>
      <c r="AH157" s="820">
        <f>+AH2*24</f>
        <v>720</v>
      </c>
      <c r="AI157" s="5535">
        <f>+AE157+AG157</f>
        <v>5856</v>
      </c>
      <c r="AJ157" s="5535">
        <f>+AF157+AH157</f>
        <v>5856</v>
      </c>
      <c r="AK157" s="820">
        <f>+AK2*24</f>
        <v>744</v>
      </c>
      <c r="AL157" s="820">
        <f>+AL2*24</f>
        <v>744</v>
      </c>
      <c r="AM157" s="2736">
        <f>AC157+AG157+AK157</f>
        <v>2208</v>
      </c>
      <c r="AN157" s="529">
        <f>AD157+AH157+AL157</f>
        <v>2208</v>
      </c>
      <c r="AO157" s="2399">
        <f t="shared" ref="AO157" si="63">AI157+AK157</f>
        <v>6600</v>
      </c>
      <c r="AP157" s="2399">
        <f t="shared" ref="AP157" si="64">AJ157+AL157</f>
        <v>6600</v>
      </c>
      <c r="AQ157" s="820">
        <f>+AQ2*24</f>
        <v>744</v>
      </c>
      <c r="AR157" s="820">
        <f>+AR2*24</f>
        <v>744</v>
      </c>
      <c r="AS157" s="2399">
        <f>+AO157+AQ157</f>
        <v>7344</v>
      </c>
      <c r="AT157" s="2399">
        <f>+AP157+AR157</f>
        <v>7344</v>
      </c>
      <c r="AU157" s="820">
        <f>+AU2*24</f>
        <v>672</v>
      </c>
      <c r="AV157" s="820">
        <f>+AV2*24</f>
        <v>672</v>
      </c>
      <c r="AW157" s="6251">
        <f>+AS157+AU157</f>
        <v>8016</v>
      </c>
      <c r="AX157" s="6251">
        <f>+AT157+AV157</f>
        <v>8016</v>
      </c>
      <c r="AY157" s="820">
        <f>+AY2*24</f>
        <v>744</v>
      </c>
      <c r="AZ157" s="820">
        <f>+AZ2*24</f>
        <v>744</v>
      </c>
      <c r="BA157" s="3048">
        <f>AQ157+AU157+AY157</f>
        <v>2160</v>
      </c>
      <c r="BB157" s="529">
        <f>AR157+AV157+AZ157</f>
        <v>2160</v>
      </c>
      <c r="BC157" s="3047">
        <f>AM157+BA157</f>
        <v>4368</v>
      </c>
      <c r="BD157" s="3047">
        <f>AN157+BB157</f>
        <v>4368</v>
      </c>
      <c r="BE157" s="2399">
        <f>+AW157+AY157</f>
        <v>8760</v>
      </c>
      <c r="BF157" s="2399">
        <f>+AX157+AZ157</f>
        <v>8760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B158" s="9" t="s">
        <v>303</v>
      </c>
      <c r="C158" s="868"/>
      <c r="D158" s="3479" t="s">
        <v>49</v>
      </c>
      <c r="E158" s="3470">
        <f t="shared" ref="E158:Z158" si="65">+E159/E157*100</f>
        <v>85</v>
      </c>
      <c r="F158" s="3470">
        <f t="shared" si="65"/>
        <v>75.400462962962976</v>
      </c>
      <c r="G158" s="3470">
        <f t="shared" ref="G158:H158" si="66">+G159/G157*100</f>
        <v>85.000000000000014</v>
      </c>
      <c r="H158" s="3470">
        <f t="shared" si="66"/>
        <v>80.533154121863788</v>
      </c>
      <c r="I158" s="869">
        <f t="shared" si="65"/>
        <v>85.000000000000014</v>
      </c>
      <c r="J158" s="107">
        <f t="shared" si="65"/>
        <v>78.00887978142076</v>
      </c>
      <c r="K158" s="3470">
        <f t="shared" si="65"/>
        <v>63.333333333333329</v>
      </c>
      <c r="L158" s="3470">
        <f t="shared" si="65"/>
        <v>81.247685185185176</v>
      </c>
      <c r="M158" s="870">
        <f t="shared" si="65"/>
        <v>77.857142857142861</v>
      </c>
      <c r="N158" s="353">
        <f t="shared" si="65"/>
        <v>79.07661782661782</v>
      </c>
      <c r="O158" s="3470">
        <f t="shared" ref="O158:P158" si="67">+O159/O157*100</f>
        <v>51.612903225806448</v>
      </c>
      <c r="P158" s="3470">
        <f t="shared" si="67"/>
        <v>81.494175627240139</v>
      </c>
      <c r="Q158" s="869">
        <f t="shared" si="65"/>
        <v>71.188524590163937</v>
      </c>
      <c r="R158" s="266">
        <f t="shared" si="65"/>
        <v>79.69091530054645</v>
      </c>
      <c r="S158" s="3470">
        <f t="shared" si="65"/>
        <v>89.354838709677409</v>
      </c>
      <c r="T158" s="3470">
        <f t="shared" si="65"/>
        <v>85.37634408602149</v>
      </c>
      <c r="U158" s="869">
        <f t="shared" ref="U158:X158" si="68">+U159/U157*100</f>
        <v>74.869281045751634</v>
      </c>
      <c r="V158" s="266">
        <f t="shared" si="68"/>
        <v>80.842864923747271</v>
      </c>
      <c r="W158" s="3470">
        <f t="shared" si="68"/>
        <v>88.999999999999986</v>
      </c>
      <c r="X158" s="3470">
        <f t="shared" si="68"/>
        <v>83.064814814814824</v>
      </c>
      <c r="Y158" s="870">
        <f t="shared" si="65"/>
        <v>76.521739130434767</v>
      </c>
      <c r="Z158" s="356">
        <f t="shared" si="65"/>
        <v>83.31446256038646</v>
      </c>
      <c r="AA158" s="466">
        <f t="shared" ref="AA158:AF158" si="69">+AA159/AA157*100</f>
        <v>77.185792349726782</v>
      </c>
      <c r="AB158" s="466">
        <f t="shared" si="69"/>
        <v>81.207119004250146</v>
      </c>
      <c r="AC158" s="3470">
        <f t="shared" si="69"/>
        <v>89.354838709677409</v>
      </c>
      <c r="AD158" s="3470">
        <f t="shared" si="69"/>
        <v>84.209229390681003</v>
      </c>
      <c r="AE158" s="869">
        <f t="shared" si="69"/>
        <v>78.948598130841134</v>
      </c>
      <c r="AF158" s="266">
        <f t="shared" si="69"/>
        <v>81.642004153686401</v>
      </c>
      <c r="AG158" s="3470">
        <f t="shared" ref="AG158:AJ158" si="70">+AG159/AG157*100</f>
        <v>88.999999999999986</v>
      </c>
      <c r="AH158" s="3470">
        <f t="shared" si="70"/>
        <v>44.652777777777779</v>
      </c>
      <c r="AI158" s="869">
        <f t="shared" si="70"/>
        <v>80.184426229508205</v>
      </c>
      <c r="AJ158" s="266">
        <f t="shared" si="70"/>
        <v>77.094148451730419</v>
      </c>
      <c r="AK158" s="3470">
        <f t="shared" ref="AK158:AL158" si="71">+AK159/AK157*100</f>
        <v>89.354838709677409</v>
      </c>
      <c r="AL158" s="3470">
        <f t="shared" si="71"/>
        <v>82.605286738351282</v>
      </c>
      <c r="AM158" s="870">
        <f t="shared" ref="AM158:AT158" si="72">+AM159/AM157*100</f>
        <v>89.239130434782595</v>
      </c>
      <c r="AN158" s="356">
        <f t="shared" si="72"/>
        <v>70.76992753623189</v>
      </c>
      <c r="AO158" s="869">
        <f t="shared" si="72"/>
        <v>81.218181818181819</v>
      </c>
      <c r="AP158" s="266">
        <f t="shared" si="72"/>
        <v>77.715404040404053</v>
      </c>
      <c r="AQ158" s="3470">
        <f t="shared" si="72"/>
        <v>89.354838709677409</v>
      </c>
      <c r="AR158" s="3470">
        <f t="shared" si="72"/>
        <v>80.866935483870961</v>
      </c>
      <c r="AS158" s="869">
        <f t="shared" si="72"/>
        <v>82.042483660130728</v>
      </c>
      <c r="AT158" s="266">
        <f t="shared" si="72"/>
        <v>78.034676833696452</v>
      </c>
      <c r="AU158" s="3470">
        <f t="shared" ref="AU158:AX158" si="73">+AU159/AU157*100</f>
        <v>88.214285714285708</v>
      </c>
      <c r="AV158" s="3470">
        <f t="shared" si="73"/>
        <v>82.353670634920618</v>
      </c>
      <c r="AW158" s="869">
        <f t="shared" si="73"/>
        <v>82.559880239520965</v>
      </c>
      <c r="AX158" s="266">
        <f t="shared" si="73"/>
        <v>78.39674817032602</v>
      </c>
      <c r="AY158" s="3470">
        <f t="shared" ref="AY158:AZ158" si="74">+AY159/AY157*100</f>
        <v>89.354838709677409</v>
      </c>
      <c r="AZ158" s="3470">
        <f t="shared" si="74"/>
        <v>85.230734767025098</v>
      </c>
      <c r="BA158" s="870">
        <f t="shared" ref="BA158:BD158" si="75">+BA159/BA157*100</f>
        <v>88.999999999999986</v>
      </c>
      <c r="BB158" s="356">
        <f t="shared" si="75"/>
        <v>82.832561728395063</v>
      </c>
      <c r="BC158" s="466">
        <f t="shared" si="75"/>
        <v>89.12087912087911</v>
      </c>
      <c r="BD158" s="466">
        <f t="shared" si="75"/>
        <v>76.734966422466428</v>
      </c>
      <c r="BE158" s="869">
        <f t="shared" ref="BE158:BF158" si="76">+BE159/BE157*100</f>
        <v>83.136986301369873</v>
      </c>
      <c r="BF158" s="266">
        <f t="shared" si="76"/>
        <v>78.977168949771681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x14ac:dyDescent="0.25">
      <c r="B159" s="9" t="s">
        <v>302</v>
      </c>
      <c r="C159" s="868"/>
      <c r="D159" s="3479" t="s">
        <v>221</v>
      </c>
      <c r="E159" s="3202">
        <v>612</v>
      </c>
      <c r="F159" s="3202">
        <v>542.88333333333344</v>
      </c>
      <c r="G159" s="7205">
        <v>632.40000000000009</v>
      </c>
      <c r="H159" s="7205">
        <v>599.16666666666652</v>
      </c>
      <c r="I159" s="673">
        <f>+E159+G159</f>
        <v>1244.4000000000001</v>
      </c>
      <c r="J159" s="39">
        <f>+F159+H159</f>
        <v>1142.05</v>
      </c>
      <c r="K159" s="4602">
        <v>456</v>
      </c>
      <c r="L159" s="4602">
        <v>584.98333333333323</v>
      </c>
      <c r="M159" s="2374">
        <f>+E159+G159+K159</f>
        <v>1700.4</v>
      </c>
      <c r="N159" s="2374">
        <f>+F159+H159+L159</f>
        <v>1727.0333333333333</v>
      </c>
      <c r="O159" s="4790">
        <v>384</v>
      </c>
      <c r="P159" s="4790">
        <v>606.31666666666661</v>
      </c>
      <c r="Q159" s="783">
        <f>+M159+O159</f>
        <v>2084.4</v>
      </c>
      <c r="R159" s="783">
        <f>+N159+P159</f>
        <v>2333.35</v>
      </c>
      <c r="S159" s="4943">
        <v>664.8</v>
      </c>
      <c r="T159" s="4943">
        <v>635.19999999999993</v>
      </c>
      <c r="U159" s="4938">
        <f>+Q159+S159</f>
        <v>2749.2</v>
      </c>
      <c r="V159" s="4938">
        <f>+R159+T159</f>
        <v>2968.5499999999997</v>
      </c>
      <c r="W159" s="5080">
        <v>640.79999999999995</v>
      </c>
      <c r="X159" s="5080">
        <v>598.06666666666672</v>
      </c>
      <c r="Y159" s="2603">
        <f>O159+S159+W159</f>
        <v>1689.6</v>
      </c>
      <c r="Z159" s="529">
        <f>P159+T159+X159</f>
        <v>1839.583333333333</v>
      </c>
      <c r="AA159" s="2694">
        <f>M159+Y159</f>
        <v>3390</v>
      </c>
      <c r="AB159" s="2691">
        <f>N159+Z159</f>
        <v>3566.6166666666663</v>
      </c>
      <c r="AC159" s="5365">
        <v>664.8</v>
      </c>
      <c r="AD159" s="5365">
        <v>626.51666666666665</v>
      </c>
      <c r="AE159" s="2399">
        <f>+AA159+AC159</f>
        <v>4054.8</v>
      </c>
      <c r="AF159" s="2399">
        <f>+AB159+AD159</f>
        <v>4193.1333333333332</v>
      </c>
      <c r="AG159" s="5552">
        <v>640.79999999999995</v>
      </c>
      <c r="AH159" s="5552">
        <v>321.5</v>
      </c>
      <c r="AI159" s="5535">
        <f>+AE159+AG159</f>
        <v>4695.6000000000004</v>
      </c>
      <c r="AJ159" s="5535">
        <f>+AF159+AH159</f>
        <v>4514.6333333333332</v>
      </c>
      <c r="AK159" s="5961">
        <v>664.8</v>
      </c>
      <c r="AL159" s="5961">
        <v>614.58333333333348</v>
      </c>
      <c r="AM159" s="2736">
        <f>AC159+AG159+AK159</f>
        <v>1970.3999999999999</v>
      </c>
      <c r="AN159" s="529">
        <f>AD159+AH159+AL159</f>
        <v>1562.6000000000001</v>
      </c>
      <c r="AO159" s="2399">
        <f t="shared" ref="AO159:AP159" si="77">AI159+AK159</f>
        <v>5360.4000000000005</v>
      </c>
      <c r="AP159" s="2399">
        <f t="shared" si="77"/>
        <v>5129.2166666666672</v>
      </c>
      <c r="AQ159" s="6114">
        <v>664.8</v>
      </c>
      <c r="AR159" s="6114">
        <v>601.65</v>
      </c>
      <c r="AS159" s="2399">
        <f>+AO159+AQ159</f>
        <v>6025.2000000000007</v>
      </c>
      <c r="AT159" s="2399">
        <f>+AP159+AR159</f>
        <v>5730.8666666666668</v>
      </c>
      <c r="AU159" s="6258">
        <v>592.79999999999995</v>
      </c>
      <c r="AV159" s="6258">
        <v>553.41666666666652</v>
      </c>
      <c r="AW159" s="6251">
        <f>+AS159+AU159</f>
        <v>6618.0000000000009</v>
      </c>
      <c r="AX159" s="6251">
        <f>+AT159+AV159</f>
        <v>6284.2833333333328</v>
      </c>
      <c r="AY159" s="6433">
        <v>664.8</v>
      </c>
      <c r="AZ159" s="6433">
        <v>634.11666666666667</v>
      </c>
      <c r="BA159" s="3048">
        <f>AQ159+AU159+AY159</f>
        <v>1922.3999999999999</v>
      </c>
      <c r="BB159" s="529">
        <f>AR159+AV159+AZ159</f>
        <v>1789.1833333333334</v>
      </c>
      <c r="BC159" s="3047">
        <f>AM159+BA159</f>
        <v>3892.7999999999997</v>
      </c>
      <c r="BD159" s="3047">
        <f>AN159+BB159</f>
        <v>3351.7833333333338</v>
      </c>
      <c r="BE159" s="2399">
        <f>+AW159+AY159</f>
        <v>7282.8000000000011</v>
      </c>
      <c r="BF159" s="2399">
        <f>+AX159+AZ159</f>
        <v>6918.4</v>
      </c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B160" s="9" t="s">
        <v>304</v>
      </c>
      <c r="C160" s="868"/>
      <c r="D160" s="3479" t="s">
        <v>49</v>
      </c>
      <c r="E160" s="3473">
        <f t="shared" ref="E160:AD160" si="78">+E161/E159*100</f>
        <v>87.5</v>
      </c>
      <c r="F160" s="3473">
        <f t="shared" si="78"/>
        <v>86.375218739446765</v>
      </c>
      <c r="G160" s="3473">
        <f t="shared" ref="G160:H160" si="79">+G161/G159*100</f>
        <v>87.499999999999986</v>
      </c>
      <c r="H160" s="3473">
        <f t="shared" si="79"/>
        <v>88.984700973574448</v>
      </c>
      <c r="I160" s="869">
        <f t="shared" si="78"/>
        <v>87.499999999999986</v>
      </c>
      <c r="J160" s="107">
        <f t="shared" si="78"/>
        <v>87.744261051033973</v>
      </c>
      <c r="K160" s="3473">
        <f t="shared" si="78"/>
        <v>85.833333333333343</v>
      </c>
      <c r="L160" s="3473">
        <f t="shared" si="78"/>
        <v>85.877090515399317</v>
      </c>
      <c r="M160" s="870">
        <f t="shared" si="78"/>
        <v>87.053046342037163</v>
      </c>
      <c r="N160" s="353">
        <f t="shared" si="78"/>
        <v>87.111810233348152</v>
      </c>
      <c r="O160" s="3473">
        <f t="shared" ref="O160:P160" si="80">+O161/O159*100</f>
        <v>85.833333333333343</v>
      </c>
      <c r="P160" s="3473">
        <f t="shared" si="80"/>
        <v>86.060639379862053</v>
      </c>
      <c r="Q160" s="869">
        <f t="shared" si="78"/>
        <v>86.828343887929378</v>
      </c>
      <c r="R160" s="266">
        <f t="shared" si="78"/>
        <v>86.83866543810403</v>
      </c>
      <c r="S160" s="3473">
        <f t="shared" si="78"/>
        <v>85.833333333333343</v>
      </c>
      <c r="T160" s="3473">
        <f t="shared" si="78"/>
        <v>91.136649874055408</v>
      </c>
      <c r="U160" s="869">
        <f t="shared" ref="U160:X160" si="81">+U161/U159*100</f>
        <v>86.587734613705805</v>
      </c>
      <c r="V160" s="266">
        <f t="shared" si="81"/>
        <v>87.758333192973026</v>
      </c>
      <c r="W160" s="3473">
        <f t="shared" si="81"/>
        <v>85.833333333333343</v>
      </c>
      <c r="X160" s="3473">
        <f t="shared" si="81"/>
        <v>89.736372756660316</v>
      </c>
      <c r="Y160" s="870">
        <f t="shared" si="78"/>
        <v>85.833333333333343</v>
      </c>
      <c r="Z160" s="356">
        <f t="shared" si="78"/>
        <v>89.00838052095132</v>
      </c>
      <c r="AA160" s="466">
        <f t="shared" si="78"/>
        <v>86.445132743362834</v>
      </c>
      <c r="AB160" s="466">
        <f t="shared" si="78"/>
        <v>88.090019953550751</v>
      </c>
      <c r="AC160" s="3473">
        <f t="shared" si="78"/>
        <v>85.833333333333343</v>
      </c>
      <c r="AD160" s="3473">
        <f t="shared" si="78"/>
        <v>88.890957942060581</v>
      </c>
      <c r="AE160" s="869">
        <f t="shared" ref="AE160:AH160" si="82">+AE161/AE159*100</f>
        <v>86.344825885370412</v>
      </c>
      <c r="AF160" s="266">
        <f t="shared" si="82"/>
        <v>88.209692036186155</v>
      </c>
      <c r="AG160" s="3473">
        <f t="shared" si="82"/>
        <v>85.833333333333343</v>
      </c>
      <c r="AH160" s="3473">
        <f t="shared" si="82"/>
        <v>82.317262830482107</v>
      </c>
      <c r="AI160" s="869">
        <f t="shared" ref="AI160:AL160" si="83">+AI161/AI159*100</f>
        <v>86.275023426186209</v>
      </c>
      <c r="AJ160" s="266">
        <f t="shared" si="83"/>
        <v>87.790075236822489</v>
      </c>
      <c r="AK160" s="3473">
        <f t="shared" si="83"/>
        <v>85.833333333333343</v>
      </c>
      <c r="AL160" s="3473">
        <f t="shared" si="83"/>
        <v>83.777627118644034</v>
      </c>
      <c r="AM160" s="870">
        <f t="shared" ref="AM160:AT160" si="84">+AM161/AM159*100</f>
        <v>85.833333333333329</v>
      </c>
      <c r="AN160" s="356">
        <f t="shared" si="84"/>
        <v>85.527326251119902</v>
      </c>
      <c r="AO160" s="869">
        <f t="shared" si="84"/>
        <v>86.220244757853877</v>
      </c>
      <c r="AP160" s="266">
        <f t="shared" si="84"/>
        <v>87.309303239935915</v>
      </c>
      <c r="AQ160" s="3473">
        <f t="shared" si="84"/>
        <v>85.833333333333343</v>
      </c>
      <c r="AR160" s="3473">
        <f t="shared" si="84"/>
        <v>88.013518380010524</v>
      </c>
      <c r="AS160" s="869">
        <f t="shared" si="84"/>
        <v>86.17755427205735</v>
      </c>
      <c r="AT160" s="266">
        <f t="shared" si="84"/>
        <v>87.38323464746459</v>
      </c>
      <c r="AU160" s="3473">
        <f t="shared" ref="AU160:AX160" si="85">+AU161/AU159*100</f>
        <v>85.833333333333343</v>
      </c>
      <c r="AV160" s="3473">
        <f t="shared" si="85"/>
        <v>89.43532600511972</v>
      </c>
      <c r="AW160" s="869">
        <f t="shared" si="85"/>
        <v>86.146721063765469</v>
      </c>
      <c r="AX160" s="266">
        <f t="shared" si="85"/>
        <v>87.563949217227091</v>
      </c>
      <c r="AY160" s="3473">
        <f t="shared" ref="AY160:AZ160" si="86">+AY161/AY159*100</f>
        <v>85.833333333333343</v>
      </c>
      <c r="AZ160" s="3473">
        <f t="shared" si="86"/>
        <v>87.499671458984935</v>
      </c>
      <c r="BA160" s="870">
        <f t="shared" ref="BA160:BD160" si="87">+BA161/BA159*100</f>
        <v>85.833333333333343</v>
      </c>
      <c r="BB160" s="356">
        <f t="shared" si="87"/>
        <v>88.271185177594973</v>
      </c>
      <c r="BC160" s="466">
        <f t="shared" si="87"/>
        <v>85.833333333333329</v>
      </c>
      <c r="BD160" s="466">
        <f t="shared" si="87"/>
        <v>86.991999283963239</v>
      </c>
      <c r="BE160" s="869">
        <f t="shared" ref="BE160:BF160" si="88">+BE161/BE159*100</f>
        <v>86.118113912231536</v>
      </c>
      <c r="BF160" s="266">
        <f t="shared" si="88"/>
        <v>87.558057739747127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9" t="s">
        <v>305</v>
      </c>
      <c r="C161" s="868"/>
      <c r="D161" s="3479" t="s">
        <v>221</v>
      </c>
      <c r="E161" s="3202">
        <v>535.5</v>
      </c>
      <c r="F161" s="3202">
        <v>468.91666666666669</v>
      </c>
      <c r="G161" s="7205">
        <v>553.35</v>
      </c>
      <c r="H161" s="7205">
        <v>533.16666666666674</v>
      </c>
      <c r="I161" s="673">
        <f>+E161+G161</f>
        <v>1088.8499999999999</v>
      </c>
      <c r="J161" s="39">
        <f>+F161+H161</f>
        <v>1002.0833333333335</v>
      </c>
      <c r="K161" s="4602">
        <v>391.40000000000003</v>
      </c>
      <c r="L161" s="4602">
        <v>502.36666666666667</v>
      </c>
      <c r="M161" s="2374">
        <f>+E161+G161+K161</f>
        <v>1480.25</v>
      </c>
      <c r="N161" s="2374">
        <f>+F161+H161+L161</f>
        <v>1504.4500000000003</v>
      </c>
      <c r="O161" s="4790">
        <v>329.6</v>
      </c>
      <c r="P161" s="4790">
        <v>521.80000000000018</v>
      </c>
      <c r="Q161" s="783">
        <f>+M161+O161</f>
        <v>1809.85</v>
      </c>
      <c r="R161" s="783">
        <f>+N161+P161</f>
        <v>2026.2500000000005</v>
      </c>
      <c r="S161" s="4943">
        <v>570.62</v>
      </c>
      <c r="T161" s="4943">
        <v>578.89999999999986</v>
      </c>
      <c r="U161" s="4938">
        <f>+Q161+S161</f>
        <v>2380.4699999999998</v>
      </c>
      <c r="V161" s="4938">
        <f>+R161+T161</f>
        <v>2605.1500000000005</v>
      </c>
      <c r="W161" s="5080">
        <v>550.02</v>
      </c>
      <c r="X161" s="5080">
        <v>536.68333333333317</v>
      </c>
      <c r="Y161" s="2603">
        <f>O161+S161+W161</f>
        <v>1450.24</v>
      </c>
      <c r="Z161" s="529">
        <f>P161+T161+X161</f>
        <v>1637.3833333333332</v>
      </c>
      <c r="AA161" s="2694">
        <f>M161+Y161</f>
        <v>2930.49</v>
      </c>
      <c r="AB161" s="2691">
        <f>N161+Z161</f>
        <v>3141.8333333333335</v>
      </c>
      <c r="AC161" s="5365">
        <v>570.62</v>
      </c>
      <c r="AD161" s="5365">
        <v>556.91666666666652</v>
      </c>
      <c r="AE161" s="2399">
        <f>+AA161+AC161</f>
        <v>3501.1099999999997</v>
      </c>
      <c r="AF161" s="2399">
        <f>+AB161+AD161</f>
        <v>3698.75</v>
      </c>
      <c r="AG161" s="5552">
        <v>550.02</v>
      </c>
      <c r="AH161" s="5552">
        <v>264.64999999999998</v>
      </c>
      <c r="AI161" s="5535">
        <f>+AE161+AG161</f>
        <v>4051.1299999999997</v>
      </c>
      <c r="AJ161" s="5535">
        <f>+AF161+AH161</f>
        <v>3963.4</v>
      </c>
      <c r="AK161" s="5961">
        <v>570.62</v>
      </c>
      <c r="AL161" s="5961">
        <v>514.88333333333321</v>
      </c>
      <c r="AM161" s="2736">
        <f>AC161+AG161+AK161</f>
        <v>1691.2599999999998</v>
      </c>
      <c r="AN161" s="529">
        <f>AD161+AH161+AL161</f>
        <v>1336.4499999999998</v>
      </c>
      <c r="AO161" s="2399">
        <f t="shared" ref="AO161:AP161" si="89">AI161+AK161</f>
        <v>4621.75</v>
      </c>
      <c r="AP161" s="2399">
        <f t="shared" si="89"/>
        <v>4478.2833333333328</v>
      </c>
      <c r="AQ161" s="6114">
        <v>570.62</v>
      </c>
      <c r="AR161" s="6114">
        <v>529.5333333333333</v>
      </c>
      <c r="AS161" s="2399">
        <f>+AO161+AQ161</f>
        <v>5192.37</v>
      </c>
      <c r="AT161" s="2399">
        <f>+AP161+AR161</f>
        <v>5007.8166666666657</v>
      </c>
      <c r="AU161" s="6258">
        <v>508.82</v>
      </c>
      <c r="AV161" s="6258">
        <v>494.94999999999993</v>
      </c>
      <c r="AW161" s="6251">
        <f>+AS161+AU161</f>
        <v>5701.19</v>
      </c>
      <c r="AX161" s="6251">
        <f>+AT161+AV161</f>
        <v>5502.7666666666655</v>
      </c>
      <c r="AY161" s="6433">
        <v>570.62</v>
      </c>
      <c r="AZ161" s="6433">
        <v>554.84999999999991</v>
      </c>
      <c r="BA161" s="3048">
        <f>AQ161+AU161+AY161</f>
        <v>1650.06</v>
      </c>
      <c r="BB161" s="529">
        <f>AR161+AV161+AZ161</f>
        <v>1579.333333333333</v>
      </c>
      <c r="BC161" s="3047">
        <f>AM161+BA161</f>
        <v>3341.3199999999997</v>
      </c>
      <c r="BD161" s="3047">
        <f>AN161+BB161</f>
        <v>2915.7833333333328</v>
      </c>
      <c r="BE161" s="2399">
        <f>+AW161+AY161</f>
        <v>6271.8099999999995</v>
      </c>
      <c r="BF161" s="2399">
        <f>+AX161+AZ161</f>
        <v>6057.616666666665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B162" s="9" t="s">
        <v>511</v>
      </c>
      <c r="C162" s="868"/>
      <c r="D162" s="3479" t="s">
        <v>510</v>
      </c>
      <c r="E162" s="3473">
        <f t="shared" ref="E162:AD162" si="90">+E161/(E159/24)</f>
        <v>21</v>
      </c>
      <c r="F162" s="3221">
        <f t="shared" si="90"/>
        <v>20.730052497467224</v>
      </c>
      <c r="G162" s="3473">
        <f t="shared" ref="G162:H162" si="91">+G161/(G159/24)</f>
        <v>20.999999999999996</v>
      </c>
      <c r="H162" s="3221">
        <f t="shared" si="91"/>
        <v>21.356328233657866</v>
      </c>
      <c r="I162" s="869">
        <f t="shared" si="90"/>
        <v>20.999999999999996</v>
      </c>
      <c r="J162" s="107">
        <f t="shared" si="90"/>
        <v>21.058622652248154</v>
      </c>
      <c r="K162" s="3473">
        <f t="shared" si="90"/>
        <v>20.6</v>
      </c>
      <c r="L162" s="3221">
        <f t="shared" si="90"/>
        <v>20.610501723695837</v>
      </c>
      <c r="M162" s="870">
        <f t="shared" si="90"/>
        <v>20.892731122088918</v>
      </c>
      <c r="N162" s="353">
        <f t="shared" si="90"/>
        <v>20.906834456003555</v>
      </c>
      <c r="O162" s="3473">
        <f t="shared" ref="O162:P162" si="92">+O161/(O159/24)</f>
        <v>20.6</v>
      </c>
      <c r="P162" s="3221">
        <f t="shared" si="92"/>
        <v>20.65455345116689</v>
      </c>
      <c r="Q162" s="869">
        <f t="shared" si="90"/>
        <v>20.838802533103049</v>
      </c>
      <c r="R162" s="266">
        <f t="shared" si="90"/>
        <v>20.84127970514497</v>
      </c>
      <c r="S162" s="3473">
        <f t="shared" si="90"/>
        <v>20.6</v>
      </c>
      <c r="T162" s="3221">
        <f t="shared" si="90"/>
        <v>21.872795969773296</v>
      </c>
      <c r="U162" s="869">
        <f t="shared" ref="U162:X162" si="93">+U161/(U159/24)</f>
        <v>20.781056307289393</v>
      </c>
      <c r="V162" s="266">
        <f t="shared" si="93"/>
        <v>21.061999966313529</v>
      </c>
      <c r="W162" s="3473">
        <f t="shared" si="93"/>
        <v>20.6</v>
      </c>
      <c r="X162" s="3221">
        <f t="shared" si="93"/>
        <v>21.536729461598476</v>
      </c>
      <c r="Y162" s="870">
        <f t="shared" si="90"/>
        <v>20.6</v>
      </c>
      <c r="Z162" s="356">
        <f t="shared" si="90"/>
        <v>21.362011325028316</v>
      </c>
      <c r="AA162" s="466">
        <f t="shared" si="90"/>
        <v>20.746831858407077</v>
      </c>
      <c r="AB162" s="466">
        <f t="shared" si="90"/>
        <v>21.141604788852185</v>
      </c>
      <c r="AC162" s="3473">
        <f t="shared" si="90"/>
        <v>20.6</v>
      </c>
      <c r="AD162" s="3221">
        <f t="shared" si="90"/>
        <v>21.33382990609454</v>
      </c>
      <c r="AE162" s="869">
        <f t="shared" ref="AE162:AH162" si="94">+AE161/(AE159/24)</f>
        <v>20.722758212488898</v>
      </c>
      <c r="AF162" s="266">
        <f t="shared" si="94"/>
        <v>21.170326088684678</v>
      </c>
      <c r="AG162" s="3473">
        <f t="shared" si="94"/>
        <v>20.6</v>
      </c>
      <c r="AH162" s="3221">
        <f t="shared" si="94"/>
        <v>19.756143079315706</v>
      </c>
      <c r="AI162" s="869">
        <f t="shared" ref="AI162:AL162" si="95">+AI161/(AI159/24)</f>
        <v>20.706005622284689</v>
      </c>
      <c r="AJ162" s="266">
        <f t="shared" si="95"/>
        <v>21.069618056837395</v>
      </c>
      <c r="AK162" s="3473">
        <f t="shared" si="95"/>
        <v>20.6</v>
      </c>
      <c r="AL162" s="3221">
        <f t="shared" si="95"/>
        <v>20.106630508474566</v>
      </c>
      <c r="AM162" s="870">
        <f t="shared" ref="AM162:AT162" si="96">+AM161/(AM159/24)</f>
        <v>20.599999999999998</v>
      </c>
      <c r="AN162" s="356">
        <f t="shared" si="96"/>
        <v>20.526558300268778</v>
      </c>
      <c r="AO162" s="869">
        <f t="shared" si="96"/>
        <v>20.692858741884933</v>
      </c>
      <c r="AP162" s="266">
        <f t="shared" si="96"/>
        <v>20.954232777584618</v>
      </c>
      <c r="AQ162" s="3473">
        <f t="shared" si="96"/>
        <v>20.6</v>
      </c>
      <c r="AR162" s="3221">
        <f t="shared" si="96"/>
        <v>21.123244411202528</v>
      </c>
      <c r="AS162" s="869">
        <f t="shared" si="96"/>
        <v>20.682613025293762</v>
      </c>
      <c r="AT162" s="266">
        <f t="shared" si="96"/>
        <v>20.971976315391501</v>
      </c>
      <c r="AU162" s="3473">
        <f t="shared" ref="AU162:AX162" si="97">+AU161/(AU159/24)</f>
        <v>20.6</v>
      </c>
      <c r="AV162" s="3473">
        <f t="shared" si="97"/>
        <v>21.464478241228733</v>
      </c>
      <c r="AW162" s="869">
        <f t="shared" si="97"/>
        <v>20.675213055303711</v>
      </c>
      <c r="AX162" s="266">
        <f t="shared" si="97"/>
        <v>21.0153478121345</v>
      </c>
      <c r="AY162" s="3473">
        <f t="shared" ref="AY162:AZ162" si="98">+AY161/(AY159/24)</f>
        <v>20.6</v>
      </c>
      <c r="AZ162" s="3473">
        <f t="shared" si="98"/>
        <v>20.999921150156382</v>
      </c>
      <c r="BA162" s="870">
        <f t="shared" ref="BA162:BD162" si="99">+BA161/(BA159/24)</f>
        <v>20.6</v>
      </c>
      <c r="BB162" s="356">
        <f t="shared" si="99"/>
        <v>21.185084442622792</v>
      </c>
      <c r="BC162" s="466">
        <f t="shared" si="99"/>
        <v>20.6</v>
      </c>
      <c r="BD162" s="466">
        <f t="shared" si="99"/>
        <v>20.878079828151179</v>
      </c>
      <c r="BE162" s="869">
        <f t="shared" ref="BE162:BF162" si="100">+BE161/(BE159/24)</f>
        <v>20.668347338935568</v>
      </c>
      <c r="BF162" s="266">
        <f t="shared" si="100"/>
        <v>21.01393385753931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A163" s="1548">
        <v>0.28799999999999998</v>
      </c>
      <c r="B163" s="9" t="s">
        <v>306</v>
      </c>
      <c r="C163" s="868"/>
      <c r="D163" s="3479" t="s">
        <v>1097</v>
      </c>
      <c r="E163" s="3480">
        <v>0.28799999999999992</v>
      </c>
      <c r="F163" s="3225">
        <v>0.35699999999999998</v>
      </c>
      <c r="G163" s="3480">
        <v>0.28800000000000003</v>
      </c>
      <c r="H163" s="3225">
        <v>0.35299999999999998</v>
      </c>
      <c r="I163" s="871">
        <f>+((E163*E5)+(G163*G5))/I5</f>
        <v>0.28799999999999998</v>
      </c>
      <c r="J163" s="3481">
        <f>+((F163*F5)+(H163*H5))/J5</f>
        <v>0.35492938004711455</v>
      </c>
      <c r="K163" s="3480">
        <v>0.28799999999999998</v>
      </c>
      <c r="L163" s="3225">
        <v>0.33800000000000002</v>
      </c>
      <c r="M163" s="872">
        <f>+((E163*E5)+(G163*G5)+(K163*K5))/M5</f>
        <v>0.28799999999999998</v>
      </c>
      <c r="N163" s="872">
        <f>+((F163*F5)+(H163*H5)+(L163*L5))/N5</f>
        <v>0.349265058931436</v>
      </c>
      <c r="O163" s="3480">
        <v>0.28799999999999992</v>
      </c>
      <c r="P163" s="3225">
        <v>0.32900000000000001</v>
      </c>
      <c r="Q163" s="871">
        <f>+((M163*M5)+(O163*O5))/Q5</f>
        <v>0.28799999999999998</v>
      </c>
      <c r="R163" s="871">
        <f>+((N163*N5)+(P163*P5))/R5</f>
        <v>0.34382894099760641</v>
      </c>
      <c r="S163" s="3480">
        <v>0.28799999999999987</v>
      </c>
      <c r="T163" s="3225">
        <v>0.378</v>
      </c>
      <c r="U163" s="871">
        <f>+((Q163*Q5)+(S163*S5))/U5</f>
        <v>0.28799999999999992</v>
      </c>
      <c r="V163" s="871">
        <f>+((R163*R5)+(T163*T5))/V5</f>
        <v>0.35099645120044054</v>
      </c>
      <c r="W163" s="3480">
        <v>0.28799999999999992</v>
      </c>
      <c r="X163" s="3225">
        <v>0.34499999999999997</v>
      </c>
      <c r="Y163" s="872">
        <f>+((O163*O5)+(S163*S5)+(W163*W5))/Y5</f>
        <v>0.28799999999999987</v>
      </c>
      <c r="Z163" s="872">
        <f>+((P163*P5)+(T163*T5)+(X163*X5))/Z5</f>
        <v>0.35053135620391146</v>
      </c>
      <c r="AA163" s="663">
        <f>+((M163*M5)+(Y163*Y5))/AA5</f>
        <v>0.28799999999999992</v>
      </c>
      <c r="AB163" s="663">
        <f>+((N163*N5)+(Z163*Z5))/AB5</f>
        <v>0.34992940592365906</v>
      </c>
      <c r="AC163" s="3480">
        <v>0.28799999999999998</v>
      </c>
      <c r="AD163" s="3225">
        <v>0.34</v>
      </c>
      <c r="AE163" s="871">
        <f>+((AA163*AA5)+(AC163*AC5))/AE5</f>
        <v>0.28799999999999998</v>
      </c>
      <c r="AF163" s="871">
        <f>+((AB163*AB5)+(AD163*AD5))/AF5</f>
        <v>0.34844479658812938</v>
      </c>
      <c r="AG163" s="3480">
        <v>0.28799999999999998</v>
      </c>
      <c r="AH163" s="3225">
        <v>0.36</v>
      </c>
      <c r="AI163" s="871">
        <f>+((AE163*AE5)+(AG163*AG5))/AI5</f>
        <v>0.28799999999999998</v>
      </c>
      <c r="AJ163" s="871">
        <f>+((AF163*AF5)+(AH163*AH5))/AJ5</f>
        <v>0.34920808198576975</v>
      </c>
      <c r="AK163" s="3480">
        <v>0.28799999999999998</v>
      </c>
      <c r="AL163" s="3225">
        <v>0.29499999999999998</v>
      </c>
      <c r="AM163" s="872">
        <f>+((AC163*AC5)+(AG163*AG5)+(AK163*AK5))/AM5</f>
        <v>0.28799999999999998</v>
      </c>
      <c r="AN163" s="872">
        <f>+((AD163*AD5)+(AH163*AH5)+(AL163*AL5))/AN5</f>
        <v>0.32653654443786734</v>
      </c>
      <c r="AO163" s="871">
        <f>+((AK163*AK5)+(AI163*AI5))/AO5</f>
        <v>0.28799999999999998</v>
      </c>
      <c r="AP163" s="871">
        <f>+((AL163*AL5)+(AJ163*AJ5))/AP5</f>
        <v>0.34298423077521467</v>
      </c>
      <c r="AQ163" s="3480">
        <v>0.28799999999999998</v>
      </c>
      <c r="AR163" s="3225">
        <v>0.31900000000000001</v>
      </c>
      <c r="AS163" s="871">
        <f>+((AO163*AO5)+(AQ163*AQ5))/AS5</f>
        <v>0.28799999999999998</v>
      </c>
      <c r="AT163" s="871">
        <f>+((AP163*AP5)+(AR163*AR5))/AT5</f>
        <v>0.3404670802357182</v>
      </c>
      <c r="AU163" s="3480">
        <v>0.28799999999999992</v>
      </c>
      <c r="AV163" s="3225">
        <v>0.37</v>
      </c>
      <c r="AW163" s="871">
        <f>+((AS163*AS5)+(AU163*AU5))/AW5</f>
        <v>0.28799999999999998</v>
      </c>
      <c r="AX163" s="871">
        <f>+((AT163*AT5)+(AV163*AV5))/AX5</f>
        <v>0.34289987427123814</v>
      </c>
      <c r="AY163" s="3480">
        <v>0.28799999999999992</v>
      </c>
      <c r="AZ163" s="3225">
        <v>0.37</v>
      </c>
      <c r="BA163" s="872">
        <f>+((AQ163*AQ5)+(AU163*AU5)+(AY163*AY5))/BA5</f>
        <v>0.28799999999999992</v>
      </c>
      <c r="BB163" s="872">
        <f>+((AR163*AR5)+(AV163*AV5)+(AZ163*AZ5))/BB5</f>
        <v>0.35260703782054592</v>
      </c>
      <c r="BC163" s="663">
        <f>+((AM163*AM5)+(BA163*BA5))/BC5</f>
        <v>0.28799999999999998</v>
      </c>
      <c r="BD163" s="663">
        <f>+((AN163*AN5)+(BB163*BB5))/BD5</f>
        <v>0.34052654350522976</v>
      </c>
      <c r="BE163" s="871">
        <f>+((AW163*AW5)+(AY163*AY5))/BE5</f>
        <v>0.28799999999999998</v>
      </c>
      <c r="BF163" s="871">
        <f>+((AX163*AX5)+(AZ163*AZ5))/BF5</f>
        <v>0.34544625927728279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307</v>
      </c>
      <c r="C164" s="868"/>
      <c r="D164" s="3479" t="s">
        <v>213</v>
      </c>
      <c r="E164" s="3202">
        <f>+'POWER DISTRIBUTION'!I26</f>
        <v>7362131.9332452696</v>
      </c>
      <c r="F164" s="3202">
        <f>+'POWER DISTRIBUTION'!J26</f>
        <v>6448268.6666666623</v>
      </c>
      <c r="G164" s="7205">
        <f>+'POWER DISTRIBUTION'!K26</f>
        <v>7621971.8838303965</v>
      </c>
      <c r="H164" s="7205">
        <f>+'POWER DISTRIBUTION'!L26</f>
        <v>6901113.0000000075</v>
      </c>
      <c r="I164" s="673">
        <f>+E164+G164</f>
        <v>14984103.817075666</v>
      </c>
      <c r="J164" s="39">
        <f>+F164+H164</f>
        <v>13349381.66666667</v>
      </c>
      <c r="K164" s="4602">
        <f>+'POWER DISTRIBUTION'!O26</f>
        <v>5197687.5000000009</v>
      </c>
      <c r="L164" s="4602">
        <f>+'POWER DISTRIBUTION'!P26</f>
        <v>6678198.3333333302</v>
      </c>
      <c r="M164" s="2374">
        <f>+E164+G164+K164</f>
        <v>20181791.317075666</v>
      </c>
      <c r="N164" s="2374">
        <f>+F164+H164+L164</f>
        <v>20027580</v>
      </c>
      <c r="O164" s="4790">
        <f>+'POWER DISTRIBUTION'!S26</f>
        <v>4240206.2500000009</v>
      </c>
      <c r="P164" s="4790">
        <f>+'POWER DISTRIBUTION'!T26</f>
        <v>6986601.6666666707</v>
      </c>
      <c r="Q164" s="783">
        <f>+M164+O164</f>
        <v>24421997.567075666</v>
      </c>
      <c r="R164" s="783">
        <f>+N164+P164</f>
        <v>27014181.666666672</v>
      </c>
      <c r="S164" s="4943">
        <f>+'POWER DISTRIBUTION'!W26</f>
        <v>7446359.3750000009</v>
      </c>
      <c r="T164" s="4943">
        <f>+'POWER DISTRIBUTION'!X26</f>
        <v>7920856.666666666</v>
      </c>
      <c r="U164" s="4938">
        <f>+Q164+S164</f>
        <v>31868356.942075666</v>
      </c>
      <c r="V164" s="4938">
        <f>+R164+T164</f>
        <v>34935038.333333336</v>
      </c>
      <c r="W164" s="5080">
        <f>+'POWER DISTRIBUTION'!AA26</f>
        <v>7200875.0000000009</v>
      </c>
      <c r="X164" s="5080">
        <f>+'POWER DISTRIBUTION'!AB26</f>
        <v>7163542</v>
      </c>
      <c r="Y164" s="2603">
        <f>O164+S164+W164</f>
        <v>18887440.625000004</v>
      </c>
      <c r="Z164" s="529">
        <f>P164+T164+X164</f>
        <v>22071000.333333336</v>
      </c>
      <c r="AA164" s="2694">
        <f>M164+Y164</f>
        <v>39069231.94207567</v>
      </c>
      <c r="AB164" s="2691">
        <f>N164+Z164</f>
        <v>42098580.333333336</v>
      </c>
      <c r="AC164" s="5365">
        <f>+'POWER DISTRIBUTION'!AG26</f>
        <v>7446359.3750000009</v>
      </c>
      <c r="AD164" s="5365">
        <f>+'POWER DISTRIBUTION'!AH26</f>
        <v>7646136.6666666782</v>
      </c>
      <c r="AE164" s="2399">
        <f>+AA164+AC164</f>
        <v>46515591.31707567</v>
      </c>
      <c r="AF164" s="2399">
        <f>+AB164+AD164</f>
        <v>49744717.000000015</v>
      </c>
      <c r="AG164" s="5552">
        <f>+'POWER DISTRIBUTION'!AK26</f>
        <v>7200875.0000000009</v>
      </c>
      <c r="AH164" s="5552">
        <f>+'POWER DISTRIBUTION'!AL26</f>
        <v>3903411.3333333209</v>
      </c>
      <c r="AI164" s="5535">
        <f>+AE164+AG164</f>
        <v>53716466.31707567</v>
      </c>
      <c r="AJ164" s="5535">
        <f>+AF164+AH164</f>
        <v>53648128.333333336</v>
      </c>
      <c r="AK164" s="5961">
        <f>+'POWER DISTRIBUTION'!AO26</f>
        <v>7446359.3750000009</v>
      </c>
      <c r="AL164" s="5961">
        <f>+'POWER DISTRIBUTION'!AP26</f>
        <v>6955442.6666666605</v>
      </c>
      <c r="AM164" s="2736">
        <f>AC164+AG164+AK164</f>
        <v>22093593.750000004</v>
      </c>
      <c r="AN164" s="529">
        <f>AD164+AH164+AL164</f>
        <v>18504990.66666666</v>
      </c>
      <c r="AO164" s="2399">
        <f t="shared" ref="AO164:AP164" si="101">AI164+AK164</f>
        <v>61162825.69207567</v>
      </c>
      <c r="AP164" s="2399">
        <f t="shared" si="101"/>
        <v>60603571</v>
      </c>
      <c r="AQ164" s="6114">
        <f>+'POWER DISTRIBUTION'!AU26</f>
        <v>7446359.3750000009</v>
      </c>
      <c r="AR164" s="6114">
        <f>+'POWER DISTRIBUTION'!AV26</f>
        <v>7131146.0000000056</v>
      </c>
      <c r="AS164" s="2399">
        <f>+AO164+AQ164</f>
        <v>68609185.06707567</v>
      </c>
      <c r="AT164" s="2399">
        <f>+AP164+AR164</f>
        <v>67734717</v>
      </c>
      <c r="AU164" s="6258">
        <f>+'POWER DISTRIBUTION'!AY26</f>
        <v>6628078.1250000019</v>
      </c>
      <c r="AV164" s="6258">
        <f>+'POWER DISTRIBUTION'!AZ26</f>
        <v>6484069.0000000009</v>
      </c>
      <c r="AW164" s="6251">
        <f>+AS164+AU164</f>
        <v>75237263.19207567</v>
      </c>
      <c r="AX164" s="6251">
        <f>+AT164+AV164</f>
        <v>74218786</v>
      </c>
      <c r="AY164" s="6433">
        <f>+'POWER DISTRIBUTION'!BC26</f>
        <v>7446359.3750000009</v>
      </c>
      <c r="AZ164" s="6433">
        <f>+'POWER DISTRIBUTION'!BD26</f>
        <v>7313674.9999999972</v>
      </c>
      <c r="BA164" s="3048">
        <f>AQ164+AU164+AY164</f>
        <v>21520796.875000004</v>
      </c>
      <c r="BB164" s="529">
        <f>AR164+AV164+AZ164</f>
        <v>20928890.000000004</v>
      </c>
      <c r="BC164" s="3047">
        <f>AM164+BA164</f>
        <v>43614390.625000007</v>
      </c>
      <c r="BD164" s="3047">
        <f>AN164+BB164</f>
        <v>39433880.666666664</v>
      </c>
      <c r="BE164" s="2399">
        <f>+AW164+AY164</f>
        <v>82683622.56707567</v>
      </c>
      <c r="BF164" s="2399">
        <f>+AX164+AZ164</f>
        <v>81532461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25">
      <c r="B165" s="9" t="s">
        <v>308</v>
      </c>
      <c r="C165" s="868"/>
      <c r="D165" s="3479" t="s">
        <v>2309</v>
      </c>
      <c r="E165" s="3473">
        <f>+E164/E151</f>
        <v>173.2266337234181</v>
      </c>
      <c r="F165" s="3473">
        <f t="shared" ref="F165:BF165" si="102">+F164/F151</f>
        <v>175.49088499639021</v>
      </c>
      <c r="G165" s="3473">
        <f t="shared" si="102"/>
        <v>173.2266337234181</v>
      </c>
      <c r="H165" s="3473">
        <f t="shared" si="102"/>
        <v>175.26925523849937</v>
      </c>
      <c r="I165" s="3755">
        <f>+I164/I151</f>
        <v>173.2266337234181</v>
      </c>
      <c r="J165" s="3755">
        <f>+J164/J151</f>
        <v>175.3762410633347</v>
      </c>
      <c r="K165" s="3473">
        <f t="shared" si="102"/>
        <v>173.25625000000002</v>
      </c>
      <c r="L165" s="3473">
        <f t="shared" si="102"/>
        <v>174.31815729758316</v>
      </c>
      <c r="M165" s="3473">
        <f t="shared" si="102"/>
        <v>173.23426023240916</v>
      </c>
      <c r="N165" s="3473">
        <f t="shared" si="102"/>
        <v>179.18223442641744</v>
      </c>
      <c r="O165" s="3473">
        <f t="shared" si="102"/>
        <v>169.60825000000003</v>
      </c>
      <c r="P165" s="3473">
        <f t="shared" si="102"/>
        <v>166.18384893620737</v>
      </c>
      <c r="Q165" s="3473">
        <f t="shared" si="102"/>
        <v>172.59362238216019</v>
      </c>
      <c r="R165" s="3473">
        <f t="shared" si="102"/>
        <v>175.71607472329924</v>
      </c>
      <c r="S165" s="3473">
        <f t="shared" si="102"/>
        <v>163.65625000000003</v>
      </c>
      <c r="T165" s="3473">
        <f t="shared" si="102"/>
        <v>190.59007153974267</v>
      </c>
      <c r="U165" s="3473">
        <f t="shared" si="102"/>
        <v>170.41902108061853</v>
      </c>
      <c r="V165" s="3473">
        <f t="shared" si="102"/>
        <v>178.88129004801718</v>
      </c>
      <c r="W165" s="3473">
        <f t="shared" si="102"/>
        <v>163.65625000000003</v>
      </c>
      <c r="X165" s="3473">
        <f t="shared" si="102"/>
        <v>166.79764829151873</v>
      </c>
      <c r="Y165" s="3473">
        <f t="shared" si="102"/>
        <v>164.95581331877733</v>
      </c>
      <c r="Z165" s="3473">
        <f t="shared" si="102"/>
        <v>174.40737435026583</v>
      </c>
      <c r="AA165" s="3473">
        <f t="shared" si="102"/>
        <v>169.13087420811979</v>
      </c>
      <c r="AB165" s="3473">
        <f t="shared" si="102"/>
        <v>176.6467783380499</v>
      </c>
      <c r="AC165" s="3473">
        <f t="shared" si="102"/>
        <v>163.65625000000003</v>
      </c>
      <c r="AD165" s="3473">
        <f t="shared" si="102"/>
        <v>180.39825320862209</v>
      </c>
      <c r="AE165" s="3473">
        <f t="shared" si="102"/>
        <v>168.22998668020134</v>
      </c>
      <c r="AF165" s="3473">
        <f t="shared" si="102"/>
        <v>177.21322750282289</v>
      </c>
      <c r="AG165" s="3473">
        <f t="shared" si="102"/>
        <v>163.65625000000003</v>
      </c>
      <c r="AH165" s="3473">
        <f t="shared" si="102"/>
        <v>195.35273309027266</v>
      </c>
      <c r="AI165" s="3473">
        <f t="shared" si="102"/>
        <v>167.60207899243579</v>
      </c>
      <c r="AJ165" s="3473">
        <f t="shared" si="102"/>
        <v>178.41864065040349</v>
      </c>
      <c r="AK165" s="3473">
        <f t="shared" si="102"/>
        <v>163.65625000000003</v>
      </c>
      <c r="AL165" s="3473">
        <f t="shared" si="102"/>
        <v>177.43430926621764</v>
      </c>
      <c r="AM165" s="3473">
        <f t="shared" si="102"/>
        <v>163.65625000000003</v>
      </c>
      <c r="AN165" s="3473">
        <f t="shared" si="102"/>
        <v>182.19632953387406</v>
      </c>
      <c r="AO165" s="3473">
        <f t="shared" si="102"/>
        <v>167.11154560676414</v>
      </c>
      <c r="AP165" s="3473">
        <f t="shared" si="102"/>
        <v>178.30511497516119</v>
      </c>
      <c r="AQ165" s="3473">
        <f t="shared" si="102"/>
        <v>163.65625000000003</v>
      </c>
      <c r="AR165" s="3473">
        <f t="shared" si="102"/>
        <v>176.96534592654282</v>
      </c>
      <c r="AS165" s="3473">
        <f t="shared" si="102"/>
        <v>166.72948983493481</v>
      </c>
      <c r="AT165" s="3473">
        <f t="shared" si="102"/>
        <v>178.16310871159291</v>
      </c>
      <c r="AU165" s="3473">
        <f t="shared" si="102"/>
        <v>163.65625000000006</v>
      </c>
      <c r="AV165" s="3473">
        <f t="shared" si="102"/>
        <v>188.84528627201999</v>
      </c>
      <c r="AW165" s="3473">
        <f t="shared" si="102"/>
        <v>166.45412210636209</v>
      </c>
      <c r="AX165" s="3473">
        <f t="shared" si="102"/>
        <v>179.04793238834907</v>
      </c>
      <c r="AY165" s="3473">
        <f t="shared" si="102"/>
        <v>163.65625000000003</v>
      </c>
      <c r="AZ165" s="3473">
        <f t="shared" si="102"/>
        <v>169.79897869989114</v>
      </c>
      <c r="BA165" s="3473">
        <f t="shared" si="102"/>
        <v>163.65625000000003</v>
      </c>
      <c r="BB165" s="3473">
        <f t="shared" si="102"/>
        <v>177.80837221947286</v>
      </c>
      <c r="BC165" s="3473">
        <f t="shared" si="102"/>
        <v>163.65625000000003</v>
      </c>
      <c r="BD165" s="3473">
        <f t="shared" si="102"/>
        <v>179.84087207292134</v>
      </c>
      <c r="BE165" s="3473">
        <f t="shared" si="102"/>
        <v>166.19823631572999</v>
      </c>
      <c r="BF165" s="3473">
        <f t="shared" si="102"/>
        <v>178.17733951608034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ht="15" customHeight="1" x14ac:dyDescent="0.25">
      <c r="B166" s="9" t="s">
        <v>309</v>
      </c>
      <c r="C166" s="868"/>
      <c r="D166" s="3479" t="s">
        <v>301</v>
      </c>
      <c r="E166" s="3470">
        <f>EMD!D35/(EMD!D3*24)</f>
        <v>1.2757452008111396</v>
      </c>
      <c r="F166" s="3470">
        <f>EMD!E35/(EMD!E3*24)</f>
        <v>1.7189975872297982</v>
      </c>
      <c r="G166" s="3470">
        <f>EMD!F35/(EMD!F3*24)</f>
        <v>1.9192660357190869</v>
      </c>
      <c r="H166" s="3470">
        <f>EMD!G35/(EMD!G3*24)</f>
        <v>1.4005629876394965</v>
      </c>
      <c r="I166" s="869">
        <f t="shared" ref="I166:J169" si="103">+((E166*E$2)+(G166*G$2))/I$2</f>
        <v>1.6027803792069815</v>
      </c>
      <c r="J166" s="107">
        <f t="shared" si="103"/>
        <v>1.5571701677658745</v>
      </c>
      <c r="K166" s="3470">
        <f>EMD!J35/(EMD!J3*24)</f>
        <v>1.8233204151125852</v>
      </c>
      <c r="L166" s="3470">
        <f>EMD!K35/(EMD!K3*24)</f>
        <v>2.5606932798095201</v>
      </c>
      <c r="M166" s="870">
        <f t="shared" ref="M166:N169" si="104">+((E166*E$2)+(G166*G$2)+(K166*K$2))/M$2</f>
        <v>1.6754858855494883</v>
      </c>
      <c r="N166" s="870">
        <f t="shared" si="104"/>
        <v>1.8880019629450981</v>
      </c>
      <c r="O166" s="3470">
        <f>EMD!N35/(EMD!N3*24)</f>
        <v>1.5516848091962936</v>
      </c>
      <c r="P166" s="3470">
        <f>EMD!O35/(EMD!O3*24)</f>
        <v>2.0310041348189491</v>
      </c>
      <c r="Q166" s="869">
        <f t="shared" ref="Q166:R169" si="105">+((M166*M$2)+(O166*O$2))/Q$2</f>
        <v>1.6440282350007258</v>
      </c>
      <c r="R166" s="869">
        <f t="shared" si="105"/>
        <v>1.9243385803884538</v>
      </c>
      <c r="S166" s="3470">
        <f>EMD!R35/(EMD!R3*24)</f>
        <v>1.7659927869282106</v>
      </c>
      <c r="T166" s="3470">
        <f>EMD!S35/(EMD!S3*24)</f>
        <v>2.3045758334058508</v>
      </c>
      <c r="U166" s="869">
        <f t="shared" ref="U166:U169" si="106">+((Q166*Q$2)+(S166*S$2))/U$2</f>
        <v>1.6687400069598894</v>
      </c>
      <c r="V166" s="869">
        <f t="shared" ref="V166:V169" si="107">+((R166*R$2)+(T166*T$2))/V$2</f>
        <v>2.0013801153135473</v>
      </c>
      <c r="W166" s="3470">
        <f>EMD!V35/(EMD!V3*24)</f>
        <v>1.7578062449480338</v>
      </c>
      <c r="X166" s="3470">
        <f>EMD!W35/(EMD!W3*24)</f>
        <v>1.754584154336482</v>
      </c>
      <c r="Y166" s="870">
        <f t="shared" ref="Y166:Z169" si="108">+((O166*O$2)+(S166*S$2)+(W166*W$2))/Y$2</f>
        <v>1.6911107916119636</v>
      </c>
      <c r="Z166" s="870">
        <f t="shared" si="108"/>
        <v>2.033048952663731</v>
      </c>
      <c r="AA166" s="2257">
        <f t="shared" ref="AA166:AB169" si="109">+((M166*M$2)+(Y166*Y$2))/AA$2</f>
        <v>1.6833410295808968</v>
      </c>
      <c r="AB166" s="2257">
        <f t="shared" si="109"/>
        <v>1.960921761055012</v>
      </c>
      <c r="AC166" s="3470">
        <f>EMD!AB35/(EMD!AB3*24)</f>
        <v>1.7133014887068458</v>
      </c>
      <c r="AD166" s="3470">
        <f>EMD!AC35/(EMD!AC3*24)</f>
        <v>1.8153052440638444</v>
      </c>
      <c r="AE166" s="869">
        <f t="shared" ref="AE166:AE169" si="110">+((AA166*AA$2)+(AC166*AC$2))/AE$2</f>
        <v>1.6876810960897961</v>
      </c>
      <c r="AF166" s="869">
        <f t="shared" ref="AF166:AF169" si="111">+((AB166*AB$2)+(AD166*AD$2))/AF$2</f>
        <v>1.9398277796217123</v>
      </c>
      <c r="AG166" s="3470">
        <f>EMD!AF35/(EMD!AF3*24)</f>
        <v>1.7143906573882697</v>
      </c>
      <c r="AH166" s="3470">
        <f>EMD!AG35/(EMD!AG3*24)</f>
        <v>1.7159274167408449</v>
      </c>
      <c r="AI166" s="869">
        <f t="shared" ref="AI166:AI169" si="112">+((AE166*AE$2)+(AG166*AG$2))/AI$2</f>
        <v>1.6909650585445264</v>
      </c>
      <c r="AJ166" s="869">
        <f t="shared" ref="AJ166:AJ169" si="113">+((AF166*AF$2)+(AH166*AH$2))/AJ$2</f>
        <v>1.912299046480622</v>
      </c>
      <c r="AK166" s="3470">
        <f>EMD!AJ35/(EMD!AJ3*24)</f>
        <v>1.7133014887068458</v>
      </c>
      <c r="AL166" s="3470">
        <f>EMD!AK35/(EMD!AK3*24)</f>
        <v>1.4570039749590724</v>
      </c>
      <c r="AM166" s="870">
        <f t="shared" ref="AM166:AM169" si="114">+((AC166*AC$2)+(AG166*AG$2)+(AK166*AK$2))/AM$2</f>
        <v>1.7136566524073102</v>
      </c>
      <c r="AN166" s="870">
        <f t="shared" ref="AN166:AN169" si="115">+((AD166*AD$2)+(AH166*AH$2)+(AL166*AL$2))/AN$2</f>
        <v>1.6621674814340845</v>
      </c>
      <c r="AO166" s="869">
        <f t="shared" ref="AO166:AP169" si="116">+((AK166*AK$2)+(AI166*AI$2))/AO$2</f>
        <v>1.693482983399188</v>
      </c>
      <c r="AP166" s="869">
        <f t="shared" si="116"/>
        <v>1.8609748747818293</v>
      </c>
      <c r="AQ166" s="3470">
        <f>EMD!AP35/(EMD!AP3*24)</f>
        <v>1.7133014887068458</v>
      </c>
      <c r="AR166" s="3470">
        <f>EMD!AQ35/(EMD!AQ3*24)</f>
        <v>1.1249193548387098</v>
      </c>
      <c r="AS166" s="869">
        <f t="shared" ref="AS166:AS169" si="117">+((AO166*AO$2)+(AQ166*AQ$2))/AS$2</f>
        <v>1.6954907404728394</v>
      </c>
      <c r="AT166" s="869">
        <f t="shared" ref="AT166:AT169" si="118">+((AP166*AP$2)+(AR166*AR$2))/AT$2</f>
        <v>1.7864071587091603</v>
      </c>
      <c r="AU166" s="3470">
        <f>EMD!AT35/(EMD!AT3*24)</f>
        <v>1.7015268009643851</v>
      </c>
      <c r="AV166" s="3470">
        <f>EMD!AU35/(EMD!AU3*24)</f>
        <v>1.4086205918757468</v>
      </c>
      <c r="AW166" s="869">
        <f t="shared" ref="AW166:AW169" si="119">+((AS166*AS$2)+(AU166*AU$2))/AW$2</f>
        <v>1.6959967575200348</v>
      </c>
      <c r="AX166" s="869">
        <f t="shared" ref="AX166:AX169" si="120">+((AT166*AT$2)+(AV166*AV$2))/AX$2</f>
        <v>1.754736428555461</v>
      </c>
      <c r="AY166" s="3470">
        <f>EMD!AX35/(EMD!AX3*24)</f>
        <v>1.6540788928699905</v>
      </c>
      <c r="AZ166" s="3470">
        <f>EMD!AY35/(EMD!AY3*24)</f>
        <v>1.9064298786676024</v>
      </c>
      <c r="BA166" s="870">
        <f t="shared" ref="BA166:BA169" si="121">+((AQ166*AQ$2)+(AU166*AU$2)+(AY166*AY$2))/BA$2</f>
        <v>1.6892393583987191</v>
      </c>
      <c r="BB166" s="870">
        <f t="shared" ref="BB166:BB169" si="122">+((AR166*AR$2)+(AV166*AV$2)+(AZ166*AZ$2))/BB$2</f>
        <v>1.4823689201246288</v>
      </c>
      <c r="BC166" s="2257">
        <f t="shared" ref="BC166:BD169" si="123">+((AM166*AM$2)+(BA166*BA$2))/BC$2</f>
        <v>0.84846014870508824</v>
      </c>
      <c r="BD166" s="2257">
        <f t="shared" si="123"/>
        <v>0.7844729071319243</v>
      </c>
      <c r="BE166" s="869">
        <f t="shared" ref="BE166:BE169" si="124">+((AW166*AW$2)+(AY166*AY$2))/BE$2</f>
        <v>1.6924366101114008</v>
      </c>
      <c r="BF166" s="869">
        <f t="shared" ref="BF166:BF169" si="125">+((AX166*AX$2)+(AZ166*AZ$2))/BF$2</f>
        <v>1.7676199818526566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25">
      <c r="B167" s="9" t="s">
        <v>310</v>
      </c>
      <c r="C167" s="868"/>
      <c r="D167" s="3479" t="s">
        <v>301</v>
      </c>
      <c r="E167" s="3471">
        <f>+EMD!D65/(EMD!D3*24)</f>
        <v>2.5369070631268515</v>
      </c>
      <c r="F167" s="3471">
        <f>+EMD!E65/(EMD!E3*24)</f>
        <v>2.8579587439569933</v>
      </c>
      <c r="G167" s="3471">
        <f>+EMD!F65/(EMD!F3*24)</f>
        <v>3.5003978181423614</v>
      </c>
      <c r="H167" s="3471">
        <f>+EMD!G65/(EMD!G3*24)</f>
        <v>2.7043918087332703</v>
      </c>
      <c r="I167" s="795">
        <f t="shared" si="103"/>
        <v>3.0265499058396514</v>
      </c>
      <c r="J167" s="3482">
        <f t="shared" si="103"/>
        <v>2.7799165309744458</v>
      </c>
      <c r="K167" s="3471">
        <f>+EMD!J65/(EMD!J3*24)</f>
        <v>3.0102938151070551</v>
      </c>
      <c r="L167" s="3471">
        <f>+EMD!K65/(EMD!K3*24)</f>
        <v>3.2640084252249366</v>
      </c>
      <c r="M167" s="870">
        <f t="shared" si="104"/>
        <v>3.0211907550486861</v>
      </c>
      <c r="N167" s="870">
        <f t="shared" si="104"/>
        <v>2.9395072653427392</v>
      </c>
      <c r="O167" s="3471">
        <f>+EMD!N65/(EMD!N3*24)</f>
        <v>2.3845698100267745</v>
      </c>
      <c r="P167" s="3471">
        <f>+EMD!O65/(EMD!O3*24)</f>
        <v>4.3488077105202141</v>
      </c>
      <c r="Q167" s="869">
        <f t="shared" si="105"/>
        <v>2.8594264165595118</v>
      </c>
      <c r="R167" s="869">
        <f t="shared" si="105"/>
        <v>3.2976081981337368</v>
      </c>
      <c r="S167" s="3471">
        <f>+EMD!R65/(EMD!R3*24)</f>
        <v>4.9009040923005767</v>
      </c>
      <c r="T167" s="3471">
        <f>+EMD!S65/(EMD!S3*24)</f>
        <v>4.5631205214344952</v>
      </c>
      <c r="U167" s="869">
        <f t="shared" si="106"/>
        <v>3.27305914824561</v>
      </c>
      <c r="V167" s="869">
        <f t="shared" si="107"/>
        <v>3.5540191917436945</v>
      </c>
      <c r="W167" s="3471">
        <f>+EMD!V65/(EMD!V3*24)</f>
        <v>4.9009682121094276</v>
      </c>
      <c r="X167" s="3471">
        <f>+EMD!W65/(EMD!W3*24)</f>
        <v>3.9072456355611589</v>
      </c>
      <c r="Y167" s="870">
        <f t="shared" si="108"/>
        <v>4.0530297536459861</v>
      </c>
      <c r="Z167" s="870">
        <f t="shared" si="108"/>
        <v>4.2770341767112035</v>
      </c>
      <c r="AA167" s="2257">
        <f t="shared" si="109"/>
        <v>3.539929486583941</v>
      </c>
      <c r="AB167" s="2257">
        <f t="shared" si="109"/>
        <v>3.6119251661399998</v>
      </c>
      <c r="AC167" s="3471">
        <f>+EMD!AB65/(EMD!AB3*24)</f>
        <v>4.9288408410064264</v>
      </c>
      <c r="AD167" s="3471">
        <f>+EMD!AC65/(EMD!AC3*24)</f>
        <v>3.2510078488659868</v>
      </c>
      <c r="AE167" s="869">
        <f t="shared" si="110"/>
        <v>3.7411269257759829</v>
      </c>
      <c r="AF167" s="869">
        <f t="shared" si="111"/>
        <v>3.559642751020867</v>
      </c>
      <c r="AG167" s="3471">
        <f>+EMD!AF65/(EMD!AF3*24)</f>
        <v>4.923987010288938</v>
      </c>
      <c r="AH167" s="3471">
        <f>+EMD!AG65/(EMD!AG3*24)</f>
        <v>0.17953476730427537</v>
      </c>
      <c r="AI167" s="869">
        <f t="shared" si="112"/>
        <v>3.8865605427242973</v>
      </c>
      <c r="AJ167" s="869">
        <f t="shared" si="113"/>
        <v>3.1440557038425978</v>
      </c>
      <c r="AK167" s="3471">
        <f>+EMD!AJ65/(EMD!AJ3*24)</f>
        <v>4.9288408410064264</v>
      </c>
      <c r="AL167" s="3471">
        <f>+EMD!AK65/(EMD!AK3*24)</f>
        <v>3.2671266458293875</v>
      </c>
      <c r="AM167" s="870">
        <f t="shared" si="114"/>
        <v>4.9272580701202884</v>
      </c>
      <c r="AN167" s="870">
        <f t="shared" si="115"/>
        <v>2.2548718734204876</v>
      </c>
      <c r="AO167" s="869">
        <f t="shared" si="116"/>
        <v>4.0040539581670096</v>
      </c>
      <c r="AP167" s="869">
        <f t="shared" si="116"/>
        <v>3.1579291554847448</v>
      </c>
      <c r="AQ167" s="3471">
        <f>+EMD!AP65/(EMD!AP3*24)</f>
        <v>4.9288408410064264</v>
      </c>
      <c r="AR167" s="3471">
        <f>+EMD!AQ65/(EMD!AQ3*24)</f>
        <v>3.354005376344086</v>
      </c>
      <c r="AS167" s="869">
        <f t="shared" si="117"/>
        <v>4.0977415181932253</v>
      </c>
      <c r="AT167" s="869">
        <f t="shared" si="118"/>
        <v>3.1777930863561159</v>
      </c>
      <c r="AU167" s="3470">
        <f>+EMD!AT65/(EMD!AT3*24)</f>
        <v>4.8503202328845321</v>
      </c>
      <c r="AV167" s="3470">
        <f>+EMD!AU65/(EMD!AU3*24)</f>
        <v>3.3426503126887104</v>
      </c>
      <c r="AW167" s="869">
        <f t="shared" si="119"/>
        <v>4.1608319493649519</v>
      </c>
      <c r="AX167" s="869">
        <f t="shared" si="120"/>
        <v>3.1916134526354951</v>
      </c>
      <c r="AY167" s="3470">
        <f>+EMD!AX65/(EMD!AX3*24)</f>
        <v>4.9602404616923996</v>
      </c>
      <c r="AZ167" s="3470">
        <f>+EMD!AY65/(EMD!AY3*24)</f>
        <v>3.9783913040750165</v>
      </c>
      <c r="BA167" s="870">
        <f t="shared" si="121"/>
        <v>4.9152276322714501</v>
      </c>
      <c r="BB167" s="870">
        <f t="shared" si="122"/>
        <v>3.565538953869734</v>
      </c>
      <c r="BC167" s="2257">
        <f t="shared" si="123"/>
        <v>2.453912957138348</v>
      </c>
      <c r="BD167" s="2257">
        <f t="shared" si="123"/>
        <v>1.4475252553505777</v>
      </c>
      <c r="BE167" s="869">
        <f t="shared" si="124"/>
        <v>4.2287269189050916</v>
      </c>
      <c r="BF167" s="869">
        <f t="shared" si="125"/>
        <v>3.2584356811139203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s="5172" customFormat="1" x14ac:dyDescent="0.25">
      <c r="B168" s="9" t="s">
        <v>2150</v>
      </c>
      <c r="C168" s="868"/>
      <c r="D168" s="3479" t="s">
        <v>301</v>
      </c>
      <c r="E168" s="3471">
        <f>+EMD!D91/(EMD!D3*24)</f>
        <v>2.0930194700807765</v>
      </c>
      <c r="F168" s="3471">
        <f>+EMD!E91/(EMD!E3*24)</f>
        <v>1.9470027966705756</v>
      </c>
      <c r="G168" s="3471">
        <f>+EMD!F91/(EMD!F3*24)</f>
        <v>0.59358743372755263</v>
      </c>
      <c r="H168" s="3471">
        <f>+EMD!G91/(EMD!G3*24)</f>
        <v>2.6168685584345672</v>
      </c>
      <c r="I168" s="795">
        <f t="shared" ref="I168" si="126">+((E168*E$2)+(G168*G$2))/I$2</f>
        <v>1.331013025376679</v>
      </c>
      <c r="J168" s="3482">
        <f t="shared" ref="J168" si="127">+((F168*F$2)+(H168*H$2))/J$2</f>
        <v>2.2874263805178505</v>
      </c>
      <c r="K168" s="3471">
        <f>+EMD!J91/(EMD!J3*24)</f>
        <v>0</v>
      </c>
      <c r="L168" s="3471">
        <f>+EMD!K91/(EMD!K3*24)</f>
        <v>0.1744053931174071</v>
      </c>
      <c r="M168" s="870">
        <f t="shared" ref="M168" si="128">+((E168*E$2)+(G168*G$2)+(K168*K$2))/M$2</f>
        <v>0.89221752250524644</v>
      </c>
      <c r="N168" s="870">
        <f t="shared" ref="N168" si="129">+((F168*F$2)+(H168*H$2)+(L168*L$2))/N$2</f>
        <v>1.5908260550012208</v>
      </c>
      <c r="O168" s="3471">
        <f>+EMD!N91/(EMD!N3*24)</f>
        <v>0</v>
      </c>
      <c r="P168" s="3471">
        <f>+EMD!O91/(EMD!O3*24)</f>
        <v>0.25369424523504164</v>
      </c>
      <c r="Q168" s="869">
        <f t="shared" ref="Q168" si="130">+((M168*M$2)+(O168*O$2))/Q$2</f>
        <v>0.66550651268833949</v>
      </c>
      <c r="R168" s="869">
        <f t="shared" ref="R168" si="131">+((N168*N$2)+(P168*P$2))/R$2</f>
        <v>1.2510630541589949</v>
      </c>
      <c r="S168" s="3471">
        <f>+EMD!R91/(EMD!R3*24)</f>
        <v>0</v>
      </c>
      <c r="T168" s="3471">
        <f>+EMD!S91/(EMD!S3*24)</f>
        <v>0.62680636735545192</v>
      </c>
      <c r="U168" s="869">
        <f t="shared" ref="U168" si="132">+((Q168*Q$2)+(S168*S$2))/U$2</f>
        <v>0.5306653238429897</v>
      </c>
      <c r="V168" s="869">
        <f t="shared" ref="V168" si="133">+((R168*R$2)+(T168*T$2))/V$2</f>
        <v>1.1245796731726563</v>
      </c>
      <c r="W168" s="3471">
        <f>+EMD!V91/(EMD!V3*24)</f>
        <v>0</v>
      </c>
      <c r="X168" s="3471">
        <f>+EMD!W91/(EMD!W3*24)</f>
        <v>1.9033554319391663</v>
      </c>
      <c r="Y168" s="870">
        <f t="shared" ref="Y168" si="134">+((O168*O$2)+(S168*S$2)+(W168*W$2))/Y$2</f>
        <v>0</v>
      </c>
      <c r="Z168" s="870">
        <f t="shared" ref="Z168" si="135">+((P168*P$2)+(T168*T$2)+(X168*X$2))/Z$2</f>
        <v>0.91734980378782927</v>
      </c>
      <c r="AA168" s="2257">
        <f t="shared" ref="AA168" si="136">+((M168*M$2)+(Y168*Y$2))/AA$2</f>
        <v>0.44367100845889301</v>
      </c>
      <c r="AB168" s="2257">
        <f t="shared" ref="AB168" si="137">+((N168*N$2)+(Z168*Z$2))/AB$2</f>
        <v>1.2522478303474938</v>
      </c>
      <c r="AC168" s="3471">
        <f>+EMD!AB91/(EMD!AB3*24)</f>
        <v>0</v>
      </c>
      <c r="AD168" s="3471">
        <f>+EMD!AC91/(EMD!AC3*24)</f>
        <v>1.9850359595859424</v>
      </c>
      <c r="AE168" s="869">
        <f t="shared" ref="AE168" si="138">+((AA168*AA$2)+(AC168*AC$2))/AE$2</f>
        <v>0.37940090910269825</v>
      </c>
      <c r="AF168" s="869">
        <f t="shared" ref="AF168" si="139">+((AB168*AB$2)+(AD168*AD$2))/AF$2</f>
        <v>1.3583993817792317</v>
      </c>
      <c r="AG168" s="3471">
        <f>+EMD!AF91/(EMD!AF3*24)</f>
        <v>0</v>
      </c>
      <c r="AH168" s="3471">
        <f>+EMD!AG91/(EMD!AG3*24)</f>
        <v>0.10842859049519199</v>
      </c>
      <c r="AI168" s="869">
        <f t="shared" ref="AI168" si="140">+((AE168*AE$2)+(AG168*AG$2))/AI$2</f>
        <v>0.33275325634416975</v>
      </c>
      <c r="AJ168" s="869">
        <f t="shared" ref="AJ168" si="141">+((AF168*AF$2)+(AH168*AH$2))/AJ$2</f>
        <v>1.2047144484246366</v>
      </c>
      <c r="AK168" s="3471">
        <f>+EMD!AJ91/(EMD!AJ3*24)</f>
        <v>0</v>
      </c>
      <c r="AL168" s="3471">
        <f>+EMD!AK91/(EMD!AK3*24)</f>
        <v>0.86059399234798206</v>
      </c>
      <c r="AM168" s="870">
        <f t="shared" ref="AM168" si="142">+((AC168*AC$2)+(AG168*AG$2)+(AK168*AK$2))/AM$2</f>
        <v>0</v>
      </c>
      <c r="AN168" s="870">
        <f t="shared" ref="AN168" si="143">+((AD168*AD$2)+(AH168*AH$2)+(AL168*AL$2))/AN$2</f>
        <v>0.9942107198348632</v>
      </c>
      <c r="AO168" s="869">
        <f t="shared" ref="AO168" si="144">+((AK168*AK$2)+(AI168*AI$2))/AO$2</f>
        <v>0.29524288926537245</v>
      </c>
      <c r="AP168" s="869">
        <f t="shared" ref="AP168" si="145">+((AL168*AL$2)+(AJ168*AJ$2))/AP$2</f>
        <v>1.1659226879214499</v>
      </c>
      <c r="AQ168" s="3471">
        <f>+EMD!AP91/(EMD!AP3*24)</f>
        <v>0</v>
      </c>
      <c r="AR168" s="3471">
        <f>+EMD!AQ91/(EMD!AQ3*24)</f>
        <v>1.8096774193548388</v>
      </c>
      <c r="AS168" s="869">
        <f t="shared" ref="AS168" si="146">+((AO168*AO$2)+(AQ168*AQ$2))/AS$2</f>
        <v>0.26533266192149485</v>
      </c>
      <c r="AT168" s="869">
        <f t="shared" ref="AT168" si="147">+((AP168*AP$2)+(AR168*AR$2))/AT$2</f>
        <v>1.2311396705176429</v>
      </c>
      <c r="AU168" s="3470">
        <f>+EMD!AT91/(EMD!AT3*24)</f>
        <v>0</v>
      </c>
      <c r="AV168" s="3470">
        <f>+EMD!AU91/(EMD!AU3*24)</f>
        <v>2.2452563625692821</v>
      </c>
      <c r="AW168" s="869">
        <f t="shared" si="119"/>
        <v>0.24308920523346533</v>
      </c>
      <c r="AX168" s="869">
        <f t="shared" si="120"/>
        <v>1.3161554411087986</v>
      </c>
      <c r="AY168" s="3470">
        <f>+EMD!AX91/(EMD!AX3*24)</f>
        <v>0</v>
      </c>
      <c r="AZ168" s="3470">
        <f>+EMD!AY91/(EMD!AY3*24)</f>
        <v>1.9286132556154405</v>
      </c>
      <c r="BA168" s="870">
        <f>+EMD!AZ91/(EMD!AZ3*24)</f>
        <v>0</v>
      </c>
      <c r="BB168" s="870">
        <f>+EMD!BA91/(EMD!BA3*24)</f>
        <v>1.9861576564002061</v>
      </c>
      <c r="BC168" s="2257">
        <f>+EMD!BB91/(EMD!BB3*24)</f>
        <v>0</v>
      </c>
      <c r="BD168" s="2257">
        <f>+EMD!BC91/(EMD!BC3*24)</f>
        <v>1.4847339302243185</v>
      </c>
      <c r="BE168" s="869">
        <f>+EMD!BD91/(EMD!BD3*24)</f>
        <v>0</v>
      </c>
      <c r="BF168" s="869">
        <f>+EMD!BE91/(EMD!BE3*24)</f>
        <v>1.3681724061764859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25">
      <c r="B169" s="9" t="s">
        <v>623</v>
      </c>
      <c r="C169" s="868"/>
      <c r="D169" s="3479" t="s">
        <v>301</v>
      </c>
      <c r="E169" s="3471">
        <f>+EMD!D104/(EMD!D3*24)</f>
        <v>0.77671820308815032</v>
      </c>
      <c r="F169" s="3471">
        <f>+EMD!E104/(EMD!E3*24)</f>
        <v>0.72887849082236555</v>
      </c>
      <c r="G169" s="3471">
        <f>+EMD!F104/(EMD!F3*24)</f>
        <v>0.68181870632457209</v>
      </c>
      <c r="H169" s="3471">
        <f>+EMD!G104/(EMD!G3*24)</f>
        <v>0.82305615540625088</v>
      </c>
      <c r="I169" s="795">
        <f t="shared" si="103"/>
        <v>0.72849058997879079</v>
      </c>
      <c r="J169" s="3482">
        <f t="shared" si="103"/>
        <v>0.7767392711846679</v>
      </c>
      <c r="K169" s="3471">
        <f>+EMD!J104/(EMD!J3*24)</f>
        <v>0.26842658610689035</v>
      </c>
      <c r="L169" s="3471">
        <f>+EMD!K104/(EMD!K3*24)</f>
        <v>0.63548301733749279</v>
      </c>
      <c r="M169" s="870">
        <f t="shared" si="104"/>
        <v>0.5768211381528896</v>
      </c>
      <c r="N169" s="870">
        <f t="shared" si="104"/>
        <v>0.73017127541087401</v>
      </c>
      <c r="O169" s="3471">
        <f>+EMD!N104/(EMD!N3*24)</f>
        <v>0.17829442620155245</v>
      </c>
      <c r="P169" s="3471">
        <f>+EMD!O104/(EMD!O3*24)</f>
        <v>0.84180942161742467</v>
      </c>
      <c r="Q169" s="869">
        <f t="shared" si="105"/>
        <v>0.4755561539685334</v>
      </c>
      <c r="R169" s="869">
        <f t="shared" si="105"/>
        <v>0.7585383453486042</v>
      </c>
      <c r="S169" s="3471">
        <f>+EMD!R104/(EMD!R3*24)</f>
        <v>0.82158238344402346</v>
      </c>
      <c r="T169" s="3471">
        <f>+EMD!S104/(EMD!S3*24)</f>
        <v>0.91399060068921834</v>
      </c>
      <c r="U169" s="869">
        <f t="shared" si="106"/>
        <v>0.54566604360082227</v>
      </c>
      <c r="V169" s="869">
        <f t="shared" si="107"/>
        <v>0.79003520754180057</v>
      </c>
      <c r="W169" s="3471">
        <f>+EMD!V104/(EMD!V3*24)</f>
        <v>0.8242187402214487</v>
      </c>
      <c r="X169" s="3471">
        <f>+EMD!W104/(EMD!W3*24)</f>
        <v>0.90915276572945425</v>
      </c>
      <c r="Y169" s="870">
        <f t="shared" si="108"/>
        <v>0.60568199245278598</v>
      </c>
      <c r="Z169" s="870">
        <f t="shared" si="108"/>
        <v>0.88809112677597357</v>
      </c>
      <c r="AA169" s="2257">
        <f t="shared" si="109"/>
        <v>0.59133042009600689</v>
      </c>
      <c r="AB169" s="2257">
        <f t="shared" si="109"/>
        <v>0.8095626760971536</v>
      </c>
      <c r="AC169" s="3471">
        <f>+EMD!AB104/(EMD!AB3*24)</f>
        <v>0.84633693295953794</v>
      </c>
      <c r="AD169" s="3471">
        <f>+EMD!AC104/(EMD!AC3*24)</f>
        <v>0.77610504898599497</v>
      </c>
      <c r="AE169" s="795">
        <f t="shared" si="110"/>
        <v>0.62827061588464927</v>
      </c>
      <c r="AF169" s="869">
        <f t="shared" si="111"/>
        <v>0.80471601048759323</v>
      </c>
      <c r="AG169" s="3471">
        <f>+EMD!AF104/(EMD!AF3*24)</f>
        <v>0.84461552960170216</v>
      </c>
      <c r="AH169" s="3471">
        <f>+EMD!AG104/(EMD!AG3*24)</f>
        <v>0.37507023947061896</v>
      </c>
      <c r="AI169" s="795">
        <f t="shared" si="112"/>
        <v>0.65487040035805744</v>
      </c>
      <c r="AJ169" s="869">
        <f t="shared" si="113"/>
        <v>0.75189071077239145</v>
      </c>
      <c r="AK169" s="3471">
        <f>+EMD!AJ104/(EMD!AJ3*24)</f>
        <v>0.84633693295953794</v>
      </c>
      <c r="AL169" s="3471">
        <f>+EMD!AK104/(EMD!AK3*24)</f>
        <v>0.74012228729899621</v>
      </c>
      <c r="AM169" s="870">
        <f t="shared" si="114"/>
        <v>0.845775605777635</v>
      </c>
      <c r="AN169" s="870">
        <f t="shared" si="115"/>
        <v>0.63320820227123154</v>
      </c>
      <c r="AO169" s="869">
        <f t="shared" si="116"/>
        <v>0.67645390039676989</v>
      </c>
      <c r="AP169" s="869">
        <f t="shared" si="116"/>
        <v>0.75056408848993594</v>
      </c>
      <c r="AQ169" s="3471">
        <f>+EMD!AP104/(EMD!AP3*24)</f>
        <v>0.84633693295953794</v>
      </c>
      <c r="AR169" s="3471">
        <f>+EMD!AQ104/(EMD!AQ3*24)</f>
        <v>0.89453494623655916</v>
      </c>
      <c r="AS169" s="869">
        <f t="shared" si="117"/>
        <v>0.69366427297665811</v>
      </c>
      <c r="AT169" s="869">
        <f t="shared" si="118"/>
        <v>0.76514937146426709</v>
      </c>
      <c r="AU169" s="3470">
        <f>+EMD!AT104/(EMD!AT3*24)</f>
        <v>0.82789057548052813</v>
      </c>
      <c r="AV169" s="3470">
        <f>+EMD!AU104/(EMD!AU3*24)</f>
        <v>0.86446101871579173</v>
      </c>
      <c r="AW169" s="869">
        <f t="shared" si="119"/>
        <v>0.70491677737818015</v>
      </c>
      <c r="AX169" s="869">
        <f t="shared" si="120"/>
        <v>0.77347489877876607</v>
      </c>
      <c r="AY169" s="3470">
        <f>+EMD!AX104/(EMD!AX3*24)</f>
        <v>0.8741599081104211</v>
      </c>
      <c r="AZ169" s="3470">
        <f>+EMD!AY104/(EMD!AY3*24)</f>
        <v>0.93345893818654824</v>
      </c>
      <c r="BA169" s="870">
        <f t="shared" si="121"/>
        <v>0.85018153540692798</v>
      </c>
      <c r="BB169" s="870">
        <f t="shared" si="122"/>
        <v>0.89858576601287221</v>
      </c>
      <c r="BC169" s="2257">
        <f t="shared" si="123"/>
        <v>0.42281559977579714</v>
      </c>
      <c r="BD169" s="2257">
        <f t="shared" si="123"/>
        <v>0.38117225630167623</v>
      </c>
      <c r="BE169" s="869">
        <f t="shared" si="124"/>
        <v>0.71929085149516492</v>
      </c>
      <c r="BF169" s="869">
        <f t="shared" si="125"/>
        <v>0.7870625843175092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ht="15.75" thickBot="1" x14ac:dyDescent="0.3">
      <c r="B170" s="12" t="s">
        <v>312</v>
      </c>
      <c r="C170" s="874"/>
      <c r="D170" s="750" t="s">
        <v>551</v>
      </c>
      <c r="E170" s="3472">
        <f>+E151/E161</f>
        <v>79.365079365079367</v>
      </c>
      <c r="F170" s="3472">
        <f t="shared" ref="F170:AB170" si="148">+F151/F161</f>
        <v>78.359722765239042</v>
      </c>
      <c r="G170" s="3472">
        <f>+G151/G161</f>
        <v>79.51567723863738</v>
      </c>
      <c r="H170" s="3472">
        <f t="shared" ref="H170" si="149">+H151/H161</f>
        <v>73.849984370115649</v>
      </c>
      <c r="I170" s="3483">
        <f t="shared" si="148"/>
        <v>79.441612710658035</v>
      </c>
      <c r="J170" s="164">
        <f t="shared" si="148"/>
        <v>75.960279417879377</v>
      </c>
      <c r="K170" s="3472">
        <f>+K151/K161</f>
        <v>76.647930505876332</v>
      </c>
      <c r="L170" s="3472">
        <f t="shared" ref="L170" si="150">+L151/L161</f>
        <v>76.259836772609646</v>
      </c>
      <c r="M170" s="873">
        <f>+M151/M161</f>
        <v>78.702921803749362</v>
      </c>
      <c r="N170" s="377">
        <f>+N151/N161</f>
        <v>74.294346771245273</v>
      </c>
      <c r="O170" s="3472">
        <f>+O151/O161</f>
        <v>75.849514563106794</v>
      </c>
      <c r="P170" s="3472">
        <f t="shared" ref="P170" si="151">+P151/P161</f>
        <v>80.569950172479878</v>
      </c>
      <c r="Q170" s="795">
        <f t="shared" si="148"/>
        <v>78.183274857032359</v>
      </c>
      <c r="R170" s="375">
        <f t="shared" si="148"/>
        <v>75.873006785934606</v>
      </c>
      <c r="S170" s="3472">
        <f>+S151/S161</f>
        <v>79.737829028074728</v>
      </c>
      <c r="T170" s="3472">
        <f t="shared" ref="T170:V170" si="152">+T151/T161</f>
        <v>71.79072378649164</v>
      </c>
      <c r="U170" s="795">
        <f t="shared" si="152"/>
        <v>78.555915428465809</v>
      </c>
      <c r="V170" s="2206">
        <f t="shared" si="152"/>
        <v>74.965867608391079</v>
      </c>
      <c r="W170" s="3472">
        <f>+W151/W161</f>
        <v>79.997091014872183</v>
      </c>
      <c r="X170" s="3472">
        <f t="shared" ref="X170" si="153">+X151/X161</f>
        <v>80.023912300860246</v>
      </c>
      <c r="Y170" s="873">
        <f t="shared" si="148"/>
        <v>78.952449249779349</v>
      </c>
      <c r="Z170" s="2258">
        <f t="shared" si="148"/>
        <v>77.287063709373712</v>
      </c>
      <c r="AA170" s="796">
        <f t="shared" si="148"/>
        <v>78.826407870356164</v>
      </c>
      <c r="AB170" s="493">
        <f t="shared" si="148"/>
        <v>75.8540172935123</v>
      </c>
      <c r="AC170" s="3472">
        <f>+AC151/AC161</f>
        <v>79.737829028074728</v>
      </c>
      <c r="AD170" s="3472">
        <f t="shared" ref="AD170" si="154">+AD151/AD161</f>
        <v>76.106108035313511</v>
      </c>
      <c r="AE170" s="795">
        <f t="shared" ref="AE170:AF170" si="155">+AE151/AE161</f>
        <v>78.974953657554323</v>
      </c>
      <c r="AF170" s="2206">
        <f t="shared" si="155"/>
        <v>75.89197431564719</v>
      </c>
      <c r="AG170" s="3472">
        <f>+AG151/AG161</f>
        <v>79.997091014872183</v>
      </c>
      <c r="AH170" s="3472">
        <f t="shared" ref="AH170:AJ170" si="156">+AH151/AH161</f>
        <v>75.501039108256222</v>
      </c>
      <c r="AI170" s="795">
        <f t="shared" si="156"/>
        <v>79.113728762098489</v>
      </c>
      <c r="AJ170" s="2206">
        <f t="shared" si="156"/>
        <v>75.865870212443852</v>
      </c>
      <c r="AK170" s="3472">
        <f>+AK151/AK161</f>
        <v>79.737829028074728</v>
      </c>
      <c r="AL170" s="3472">
        <f t="shared" ref="AL170" si="157">+AL151/AL161</f>
        <v>76.133946201404896</v>
      </c>
      <c r="AM170" s="873">
        <f t="shared" ref="AM170:AP170" si="158">+AM151/AM161</f>
        <v>79.822144436692184</v>
      </c>
      <c r="AN170" s="2258">
        <f t="shared" si="158"/>
        <v>75.997014478656169</v>
      </c>
      <c r="AO170" s="795">
        <f t="shared" si="158"/>
        <v>79.19078271217613</v>
      </c>
      <c r="AP170" s="2206">
        <f t="shared" si="158"/>
        <v>75.896691812711026</v>
      </c>
      <c r="AQ170" s="3472">
        <f>+AQ151/AQ161</f>
        <v>79.737829028074728</v>
      </c>
      <c r="AR170" s="3472">
        <f t="shared" ref="AR170" si="159">+AR151/AR161</f>
        <v>76.098797683494894</v>
      </c>
      <c r="AS170" s="795">
        <f t="shared" ref="AS170:AT170" si="160">+AS151/AS161</f>
        <v>79.250900841041755</v>
      </c>
      <c r="AT170" s="2206">
        <f t="shared" si="160"/>
        <v>75.918062761882311</v>
      </c>
      <c r="AU170" s="3472">
        <f>+AU151/AU161</f>
        <v>79.595927833025428</v>
      </c>
      <c r="AV170" s="3472">
        <f t="shared" ref="AV170:AX170" si="161">+AV151/AV161</f>
        <v>69.371350641478941</v>
      </c>
      <c r="AW170" s="795">
        <f t="shared" si="161"/>
        <v>79.281693821816148</v>
      </c>
      <c r="AX170" s="2206">
        <f t="shared" si="161"/>
        <v>75.329214395183058</v>
      </c>
      <c r="AY170" s="3472">
        <f>+AY151/AY161</f>
        <v>79.737829028074728</v>
      </c>
      <c r="AZ170" s="3472">
        <f t="shared" ref="AZ170" si="162">+AZ151/AZ161</f>
        <v>77.629179057402936</v>
      </c>
      <c r="BA170" s="873">
        <f t="shared" ref="BA170:BF170" si="163">+BA151/BA161</f>
        <v>79.694071730724943</v>
      </c>
      <c r="BB170" s="2258">
        <f t="shared" si="163"/>
        <v>74.528123680878039</v>
      </c>
      <c r="BC170" s="796">
        <f t="shared" si="163"/>
        <v>79.758897681155958</v>
      </c>
      <c r="BD170" s="2257">
        <f t="shared" si="163"/>
        <v>75.201390135298155</v>
      </c>
      <c r="BE170" s="795">
        <f t="shared" si="163"/>
        <v>79.32319378297494</v>
      </c>
      <c r="BF170" s="2206">
        <f t="shared" si="163"/>
        <v>75.539880646128722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ht="15.75" thickBot="1" x14ac:dyDescent="0.3">
      <c r="B171" s="1053"/>
      <c r="C171" s="1054"/>
      <c r="D171" s="1054"/>
      <c r="E171" s="1054"/>
      <c r="F171" s="1054"/>
      <c r="G171" s="1054"/>
      <c r="H171" s="1054"/>
      <c r="I171" s="1054"/>
      <c r="J171" s="1054"/>
      <c r="K171" s="1054"/>
      <c r="L171" s="1054"/>
      <c r="M171" s="1054"/>
      <c r="N171" s="1054"/>
      <c r="O171" s="1054"/>
      <c r="P171" s="1054"/>
      <c r="Q171" s="1054"/>
      <c r="R171" s="1054"/>
      <c r="S171" s="1054"/>
      <c r="T171" s="1054"/>
      <c r="U171" s="1054"/>
      <c r="V171" s="1054"/>
      <c r="W171" s="1054"/>
      <c r="X171" s="1054"/>
      <c r="Y171" s="1055"/>
      <c r="Z171" s="1055"/>
      <c r="AA171" s="1055"/>
      <c r="AB171" s="1055"/>
      <c r="AC171" s="1054"/>
      <c r="AD171" s="1054"/>
      <c r="AE171" s="1054"/>
      <c r="AF171" s="1054"/>
      <c r="AG171" s="1054"/>
      <c r="AH171" s="1054"/>
      <c r="AI171" s="1054"/>
      <c r="AJ171" s="1054"/>
      <c r="AK171" s="1054"/>
      <c r="AL171" s="1054"/>
      <c r="AM171" s="1055"/>
      <c r="AN171" s="1055"/>
      <c r="AO171" s="1054"/>
      <c r="AP171" s="1054"/>
      <c r="AQ171" s="1054"/>
      <c r="AR171" s="1054"/>
      <c r="AS171" s="1054"/>
      <c r="AT171" s="1054"/>
      <c r="AU171" s="1054"/>
      <c r="AV171" s="1054"/>
      <c r="AW171" s="1054"/>
      <c r="AX171" s="1054"/>
      <c r="AY171" s="1054"/>
      <c r="AZ171" s="1054"/>
      <c r="BA171" s="1055"/>
      <c r="BB171" s="1055"/>
      <c r="BC171" s="1055"/>
      <c r="BD171" s="1055"/>
      <c r="BE171" s="1054"/>
      <c r="BF171" s="1054"/>
      <c r="BG171" s="26"/>
      <c r="BH171" s="26"/>
      <c r="BI171" s="26"/>
      <c r="BJ171" s="26"/>
      <c r="BK171" s="26"/>
      <c r="BL171" s="26"/>
      <c r="BM171" s="26"/>
      <c r="BN171" s="26"/>
    </row>
    <row r="172" spans="1:66" ht="15.75" thickBot="1" x14ac:dyDescent="0.3">
      <c r="B172" s="1056" t="s">
        <v>802</v>
      </c>
      <c r="C172" s="1057"/>
      <c r="D172" s="820" t="s">
        <v>50</v>
      </c>
      <c r="E172" s="1057"/>
      <c r="F172" s="1058">
        <v>304.28999999999985</v>
      </c>
      <c r="G172" s="1057"/>
      <c r="H172" s="1058">
        <v>426.4199999999999</v>
      </c>
      <c r="I172" s="1059"/>
      <c r="J172" s="1060">
        <f>+F172+H172</f>
        <v>730.70999999999981</v>
      </c>
      <c r="K172" s="1057"/>
      <c r="L172" s="1058">
        <v>351.89999999999992</v>
      </c>
      <c r="M172" s="1061"/>
      <c r="N172" s="618">
        <f>+F172+H172+L172</f>
        <v>1082.6099999999997</v>
      </c>
      <c r="O172" s="1057"/>
      <c r="P172" s="1058">
        <v>351.89999999999986</v>
      </c>
      <c r="Q172" s="1059"/>
      <c r="R172" s="373">
        <f>+N172+P172</f>
        <v>1434.5099999999995</v>
      </c>
      <c r="S172" s="1057"/>
      <c r="T172" s="1058">
        <v>345.68999999999988</v>
      </c>
      <c r="U172" s="1059"/>
      <c r="V172" s="373">
        <f>+R172+T172</f>
        <v>1780.1999999999994</v>
      </c>
      <c r="W172" s="1057"/>
      <c r="X172" s="1058">
        <v>331.19999999999993</v>
      </c>
      <c r="Y172" s="1062"/>
      <c r="Z172" s="73">
        <f>P172+T172+X172</f>
        <v>1028.7899999999995</v>
      </c>
      <c r="AA172" s="1063"/>
      <c r="AB172" s="458">
        <f>N172+Z172</f>
        <v>2111.3999999999992</v>
      </c>
      <c r="AC172" s="1057"/>
      <c r="AD172" s="1058">
        <v>368.46</v>
      </c>
      <c r="AE172" s="1059"/>
      <c r="AF172" s="373">
        <f>+AB172+AD172</f>
        <v>2479.8599999999992</v>
      </c>
      <c r="AG172" s="1057"/>
      <c r="AH172" s="1058">
        <v>215.27999999999994</v>
      </c>
      <c r="AI172" s="1059"/>
      <c r="AJ172" s="373">
        <f>+AF172+AH172</f>
        <v>2695.139999999999</v>
      </c>
      <c r="AK172" s="1057"/>
      <c r="AL172" s="1058">
        <v>509.21999999999974</v>
      </c>
      <c r="AM172" s="1062"/>
      <c r="AN172" s="73">
        <f>AD172+AH172+AL172</f>
        <v>1092.9599999999996</v>
      </c>
      <c r="AO172" s="1059"/>
      <c r="AP172" s="373">
        <f>+AL172+AJ172</f>
        <v>3204.3599999999988</v>
      </c>
      <c r="AQ172" s="1057"/>
      <c r="AR172" s="1058">
        <v>285.6599999999998</v>
      </c>
      <c r="AS172" s="1059"/>
      <c r="AT172" s="373">
        <f>+AP172+AR172</f>
        <v>3490.0199999999986</v>
      </c>
      <c r="AU172" s="1057"/>
      <c r="AV172" s="1058">
        <v>320.84999999999997</v>
      </c>
      <c r="AW172" s="1059"/>
      <c r="AX172" s="373">
        <f>+AT172+AV172</f>
        <v>3810.8699999999985</v>
      </c>
      <c r="AY172" s="1057"/>
      <c r="AZ172" s="1058">
        <v>420.20999999999987</v>
      </c>
      <c r="BA172" s="1062"/>
      <c r="BB172" s="73">
        <f>AR172+AV172+AZ172</f>
        <v>1026.7199999999996</v>
      </c>
      <c r="BC172" s="1063"/>
      <c r="BD172" s="458">
        <f>AN172+BB172</f>
        <v>2119.6799999999994</v>
      </c>
      <c r="BE172" s="1059"/>
      <c r="BF172" s="373">
        <f>+AX172+AZ172</f>
        <v>4231.0799999999981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25">
      <c r="B173" s="1064" t="s">
        <v>803</v>
      </c>
      <c r="C173" s="271"/>
      <c r="D173" s="159" t="s">
        <v>50</v>
      </c>
      <c r="E173" s="271"/>
      <c r="F173" s="366">
        <v>506.07000000000244</v>
      </c>
      <c r="G173" s="271"/>
      <c r="H173" s="366">
        <v>542.17499999999973</v>
      </c>
      <c r="I173" s="875"/>
      <c r="J173" s="367">
        <f>+F173+H173</f>
        <v>1048.2450000000022</v>
      </c>
      <c r="K173" s="271"/>
      <c r="L173" s="366">
        <v>523.43599999999935</v>
      </c>
      <c r="M173" s="876"/>
      <c r="N173" s="2374">
        <f>+F173+H173+L173</f>
        <v>1571.6810000000014</v>
      </c>
      <c r="O173" s="271"/>
      <c r="P173" s="366">
        <v>576.52099999999973</v>
      </c>
      <c r="Q173" s="875"/>
      <c r="R173" s="2373">
        <f>+N173+P173</f>
        <v>2148.2020000000011</v>
      </c>
      <c r="S173" s="271"/>
      <c r="T173" s="366">
        <v>571.93199999999979</v>
      </c>
      <c r="U173" s="875"/>
      <c r="V173" s="4938">
        <f>+R173+T173</f>
        <v>2720.1340000000009</v>
      </c>
      <c r="W173" s="271"/>
      <c r="X173" s="366">
        <v>590.469999999999</v>
      </c>
      <c r="Y173" s="877"/>
      <c r="Z173" s="69">
        <f>P173+T173+X173</f>
        <v>1738.9229999999984</v>
      </c>
      <c r="AA173" s="878"/>
      <c r="AB173" s="454">
        <f>N173+Z173</f>
        <v>3310.6039999999998</v>
      </c>
      <c r="AC173" s="271"/>
      <c r="AD173" s="366">
        <v>582.98</v>
      </c>
      <c r="AE173" s="875"/>
      <c r="AF173" s="2399">
        <f>+AB173+AD173</f>
        <v>3893.5839999999998</v>
      </c>
      <c r="AG173" s="271"/>
      <c r="AH173" s="366">
        <v>275.33799999999979</v>
      </c>
      <c r="AI173" s="875"/>
      <c r="AJ173" s="5535">
        <f>+AF173+AH173</f>
        <v>4168.9219999999996</v>
      </c>
      <c r="AK173" s="271"/>
      <c r="AL173" s="366">
        <v>539.83999999999946</v>
      </c>
      <c r="AM173" s="877"/>
      <c r="AN173" s="69">
        <f>AD173+AH173+AL173</f>
        <v>1398.1579999999992</v>
      </c>
      <c r="AO173" s="875"/>
      <c r="AP173" s="373">
        <f>+AL173+AJ173</f>
        <v>4708.7619999999988</v>
      </c>
      <c r="AQ173" s="271"/>
      <c r="AR173" s="366">
        <v>553.60499999999934</v>
      </c>
      <c r="AS173" s="875"/>
      <c r="AT173" s="2399">
        <f>+AP173+AR173</f>
        <v>5262.3669999999984</v>
      </c>
      <c r="AU173" s="271"/>
      <c r="AV173" s="366">
        <v>504.07099999999929</v>
      </c>
      <c r="AW173" s="875"/>
      <c r="AX173" s="6251">
        <f>+AT173+AV173</f>
        <v>5766.4379999999974</v>
      </c>
      <c r="AY173" s="271"/>
      <c r="AZ173" s="366">
        <v>595.05399999999952</v>
      </c>
      <c r="BA173" s="877"/>
      <c r="BB173" s="69">
        <f>AR173+AV173+AZ173</f>
        <v>1652.7299999999982</v>
      </c>
      <c r="BC173" s="878"/>
      <c r="BD173" s="454">
        <f>AN173+BB173</f>
        <v>3050.8879999999972</v>
      </c>
      <c r="BE173" s="875"/>
      <c r="BF173" s="2399">
        <f>+AX173+AZ173</f>
        <v>6361.4919999999966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x14ac:dyDescent="0.25">
      <c r="B174" s="1065" t="s">
        <v>826</v>
      </c>
      <c r="C174" s="642"/>
      <c r="D174" s="205" t="s">
        <v>50</v>
      </c>
      <c r="E174" s="642"/>
      <c r="F174" s="397">
        <f>SUM(F172:F173)</f>
        <v>810.36000000000229</v>
      </c>
      <c r="G174" s="642"/>
      <c r="H174" s="397">
        <f>SUM(H172:H173)</f>
        <v>968.59499999999957</v>
      </c>
      <c r="I174" s="875"/>
      <c r="J174" s="367">
        <f>SUM(J172:J173)</f>
        <v>1778.955000000002</v>
      </c>
      <c r="K174" s="642"/>
      <c r="L174" s="397">
        <f>SUM(L172:L173)</f>
        <v>875.33599999999933</v>
      </c>
      <c r="M174" s="876"/>
      <c r="N174" s="446">
        <f>SUM(N172:N173)</f>
        <v>2654.2910000000011</v>
      </c>
      <c r="O174" s="642"/>
      <c r="P174" s="397">
        <f>SUM(P172:P173)</f>
        <v>928.42099999999959</v>
      </c>
      <c r="Q174" s="875"/>
      <c r="R174" s="367">
        <f>SUM(R172:R173)</f>
        <v>3582.7120000000004</v>
      </c>
      <c r="S174" s="642"/>
      <c r="T174" s="397">
        <f>SUM(T172:T173)</f>
        <v>917.62199999999962</v>
      </c>
      <c r="U174" s="875"/>
      <c r="V174" s="367">
        <f>SUM(V172:V173)</f>
        <v>4500.3340000000007</v>
      </c>
      <c r="W174" s="642"/>
      <c r="X174" s="397">
        <f>SUM(X172:X173)</f>
        <v>921.66999999999894</v>
      </c>
      <c r="Y174" s="877"/>
      <c r="Z174" s="69">
        <f>SUM(Z172:Z173)</f>
        <v>2767.7129999999979</v>
      </c>
      <c r="AA174" s="878"/>
      <c r="AB174" s="454">
        <f>SUM(AB172:AB173)</f>
        <v>5422.003999999999</v>
      </c>
      <c r="AC174" s="642"/>
      <c r="AD174" s="397">
        <f>SUM(AD172:AD173)</f>
        <v>951.44</v>
      </c>
      <c r="AE174" s="875"/>
      <c r="AF174" s="367">
        <f>SUM(AF172:AF173)</f>
        <v>6373.4439999999995</v>
      </c>
      <c r="AG174" s="642"/>
      <c r="AH174" s="397">
        <f>SUM(AH172:AH173)</f>
        <v>490.61799999999971</v>
      </c>
      <c r="AI174" s="875"/>
      <c r="AJ174" s="367">
        <f>SUM(AJ172:AJ173)</f>
        <v>6864.0619999999981</v>
      </c>
      <c r="AK174" s="642"/>
      <c r="AL174" s="397">
        <f>SUM(AL172:AL173)</f>
        <v>1049.0599999999993</v>
      </c>
      <c r="AM174" s="877"/>
      <c r="AN174" s="69">
        <f>SUM(AN172:AN173)</f>
        <v>2491.1179999999986</v>
      </c>
      <c r="AO174" s="875"/>
      <c r="AP174" s="367">
        <f>SUM(AP172:AP173)</f>
        <v>7913.1219999999976</v>
      </c>
      <c r="AQ174" s="642"/>
      <c r="AR174" s="397">
        <f>SUM(AR172:AR173)</f>
        <v>839.26499999999919</v>
      </c>
      <c r="AS174" s="875"/>
      <c r="AT174" s="367">
        <f>SUM(AT172:AT173)</f>
        <v>8752.386999999997</v>
      </c>
      <c r="AU174" s="642"/>
      <c r="AV174" s="397">
        <f>SUM(AV172:AV173)</f>
        <v>824.92099999999925</v>
      </c>
      <c r="AW174" s="875"/>
      <c r="AX174" s="367">
        <f>SUM(AX172:AX173)</f>
        <v>9577.3079999999954</v>
      </c>
      <c r="AY174" s="642"/>
      <c r="AZ174" s="397">
        <f>SUM(AZ172:AZ173)</f>
        <v>1015.2639999999994</v>
      </c>
      <c r="BA174" s="877"/>
      <c r="BB174" s="69">
        <f>SUM(BB172:BB173)</f>
        <v>2679.449999999998</v>
      </c>
      <c r="BC174" s="878"/>
      <c r="BD174" s="454">
        <f>SUM(BD172:BD173)</f>
        <v>5170.5679999999966</v>
      </c>
      <c r="BE174" s="875"/>
      <c r="BF174" s="367">
        <f>SUM(BF172:BF173)</f>
        <v>10592.571999999995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25">
      <c r="B175" s="1065" t="s">
        <v>822</v>
      </c>
      <c r="C175" s="642"/>
      <c r="D175" s="205" t="s">
        <v>49</v>
      </c>
      <c r="E175" s="642"/>
      <c r="F175" s="442">
        <f>+F174/F5</f>
        <v>2.1130598079158902E-2</v>
      </c>
      <c r="G175" s="642"/>
      <c r="H175" s="442">
        <f>+H174/H5</f>
        <v>2.3533872964635046E-2</v>
      </c>
      <c r="I175" s="875"/>
      <c r="J175" s="439">
        <f>+J174/J5</f>
        <v>2.2374665311692778E-2</v>
      </c>
      <c r="K175" s="642"/>
      <c r="L175" s="442">
        <f>+L174/L5</f>
        <v>2.1895354316072708E-2</v>
      </c>
      <c r="M175" s="876"/>
      <c r="N175" s="440">
        <f>+N174/N5</f>
        <v>2.221429491502663E-2</v>
      </c>
      <c r="O175" s="642"/>
      <c r="P175" s="442">
        <f>+P174/P5</f>
        <v>2.1195819924533253E-2</v>
      </c>
      <c r="Q175" s="875"/>
      <c r="R175" s="439">
        <f>+R174/R5</f>
        <v>2.1941088200962279E-2</v>
      </c>
      <c r="S175" s="642"/>
      <c r="T175" s="442">
        <f>+T174/T5</f>
        <v>2.1172035088622775E-2</v>
      </c>
      <c r="U175" s="875"/>
      <c r="V175" s="439">
        <f>+V174/V5</f>
        <v>2.1779776371884094E-2</v>
      </c>
      <c r="W175" s="642"/>
      <c r="X175" s="442">
        <f>+X174/X5</f>
        <v>2.0606102502387071E-2</v>
      </c>
      <c r="Y175" s="877"/>
      <c r="Z175" s="440">
        <f>+Z174/Z5</f>
        <v>2.0987982830535084E-2</v>
      </c>
      <c r="AA175" s="878"/>
      <c r="AB175" s="2416">
        <f>+AB174/AB5</f>
        <v>2.1570925650504655E-2</v>
      </c>
      <c r="AC175" s="642"/>
      <c r="AD175" s="442">
        <f>+AD174/AD5</f>
        <v>2.1531156620539869E-2</v>
      </c>
      <c r="AE175" s="875"/>
      <c r="AF175" s="439">
        <f>+AF174/AF5</f>
        <v>2.1564979527080492E-2</v>
      </c>
      <c r="AG175" s="642"/>
      <c r="AH175" s="442">
        <f>+AH174/AH5</f>
        <v>2.3470915885160721E-2</v>
      </c>
      <c r="AI175" s="875"/>
      <c r="AJ175" s="439">
        <f>+AJ174/AJ5</f>
        <v>2.1690877214823483E-2</v>
      </c>
      <c r="AK175" s="642"/>
      <c r="AL175" s="442">
        <f>+AL174/AL5</f>
        <v>2.5558512929480262E-2</v>
      </c>
      <c r="AM175" s="877"/>
      <c r="AN175" s="440">
        <f>+AN174/AN5</f>
        <v>2.347063614367241E-2</v>
      </c>
      <c r="AO175" s="875"/>
      <c r="AP175" s="439">
        <f>+AP174/AP5</f>
        <v>2.2134936261793112E-2</v>
      </c>
      <c r="AQ175" s="642"/>
      <c r="AR175" s="442">
        <f>+AR174/AR5</f>
        <v>2.0021348089075495E-2</v>
      </c>
      <c r="AS175" s="875"/>
      <c r="AT175" s="439">
        <f>+AT174/AT5</f>
        <v>2.1913114696653423E-2</v>
      </c>
      <c r="AU175" s="642"/>
      <c r="AV175" s="442">
        <f>+AV174/AV5</f>
        <v>2.3006784388270772E-2</v>
      </c>
      <c r="AW175" s="875"/>
      <c r="AX175" s="439">
        <f>+AX174/AX5</f>
        <v>2.2003206469625138E-2</v>
      </c>
      <c r="AY175" s="642"/>
      <c r="AZ175" s="442">
        <f>+AZ174/AZ5</f>
        <v>2.2491328247642092E-2</v>
      </c>
      <c r="BA175" s="877"/>
      <c r="BB175" s="440">
        <f>+BB174/BB5</f>
        <v>2.1799334629097916E-2</v>
      </c>
      <c r="BC175" s="878"/>
      <c r="BD175" s="2416">
        <f>+BD174/BD5</f>
        <v>2.2573779061339113E-2</v>
      </c>
      <c r="BE175" s="875"/>
      <c r="BF175" s="439">
        <f>+BF174/BF5</f>
        <v>2.2049071422028183E-2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ht="15.75" thickBot="1" x14ac:dyDescent="0.3">
      <c r="B176" s="1065" t="s">
        <v>825</v>
      </c>
      <c r="C176" s="642"/>
      <c r="D176" s="205" t="s">
        <v>50</v>
      </c>
      <c r="E176" s="642"/>
      <c r="F176" s="443">
        <f>+F152</f>
        <v>143.51999999999998</v>
      </c>
      <c r="G176" s="642"/>
      <c r="H176" s="443">
        <f>+H152</f>
        <v>114.79999999999998</v>
      </c>
      <c r="I176" s="875"/>
      <c r="J176" s="444">
        <f>+J152</f>
        <v>258.32000000000005</v>
      </c>
      <c r="K176" s="642"/>
      <c r="L176" s="443">
        <f>+L152</f>
        <v>108.64999999999999</v>
      </c>
      <c r="M176" s="876"/>
      <c r="N176" s="445">
        <f>+N152</f>
        <v>362.87</v>
      </c>
      <c r="O176" s="642"/>
      <c r="P176" s="443">
        <f>+P152</f>
        <v>86.1</v>
      </c>
      <c r="Q176" s="875"/>
      <c r="R176" s="444">
        <f>+R152</f>
        <v>448.97</v>
      </c>
      <c r="S176" s="642"/>
      <c r="T176" s="443">
        <f>+T152</f>
        <v>127.09999999999998</v>
      </c>
      <c r="U176" s="875"/>
      <c r="V176" s="444">
        <f>+V152</f>
        <v>576.06999999999994</v>
      </c>
      <c r="W176" s="642"/>
      <c r="X176" s="443">
        <f>+X152</f>
        <v>98.399999999999991</v>
      </c>
      <c r="Y176" s="877"/>
      <c r="Z176" s="445">
        <f>+Z152</f>
        <v>311.60000000000008</v>
      </c>
      <c r="AA176" s="878"/>
      <c r="AB176" s="2417">
        <f>+AB152</f>
        <v>674.46999999999991</v>
      </c>
      <c r="AC176" s="642"/>
      <c r="AD176" s="443">
        <f>+AD152</f>
        <v>101.49000000000001</v>
      </c>
      <c r="AE176" s="875"/>
      <c r="AF176" s="444">
        <f>+AF152</f>
        <v>775.95999999999992</v>
      </c>
      <c r="AG176" s="642"/>
      <c r="AH176" s="443">
        <f>+AH152</f>
        <v>75.84999999999998</v>
      </c>
      <c r="AI176" s="875"/>
      <c r="AJ176" s="444">
        <f>+AJ152</f>
        <v>851.81</v>
      </c>
      <c r="AK176" s="642"/>
      <c r="AL176" s="443">
        <f>+AL152</f>
        <v>98.399999999999991</v>
      </c>
      <c r="AM176" s="877"/>
      <c r="AN176" s="445">
        <f>+AN152</f>
        <v>275.74</v>
      </c>
      <c r="AO176" s="875"/>
      <c r="AP176" s="444">
        <f>+AP152</f>
        <v>950.20999999999992</v>
      </c>
      <c r="AQ176" s="642"/>
      <c r="AR176" s="443">
        <f>+AR152</f>
        <v>69.7</v>
      </c>
      <c r="AS176" s="875"/>
      <c r="AT176" s="444">
        <f>+AT152</f>
        <v>1019.91</v>
      </c>
      <c r="AU176" s="642"/>
      <c r="AV176" s="443">
        <f>+AV152</f>
        <v>86.1</v>
      </c>
      <c r="AW176" s="875"/>
      <c r="AX176" s="444">
        <f>+AX152</f>
        <v>1106.01</v>
      </c>
      <c r="AY176" s="642"/>
      <c r="AZ176" s="443">
        <f>+AZ152</f>
        <v>284.95</v>
      </c>
      <c r="BA176" s="877"/>
      <c r="BB176" s="445">
        <f>+BB152</f>
        <v>440.75</v>
      </c>
      <c r="BC176" s="878"/>
      <c r="BD176" s="2417">
        <f>+BD152</f>
        <v>716.49</v>
      </c>
      <c r="BE176" s="875"/>
      <c r="BF176" s="444">
        <f>+BF152</f>
        <v>1390.9600000000003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ht="15.75" thickBot="1" x14ac:dyDescent="0.3">
      <c r="B177" s="1066" t="s">
        <v>804</v>
      </c>
      <c r="C177" s="929"/>
      <c r="D177" s="894" t="s">
        <v>50</v>
      </c>
      <c r="E177" s="1067"/>
      <c r="F177" s="1068">
        <v>652.01400000000024</v>
      </c>
      <c r="G177" s="1067"/>
      <c r="H177" s="1068">
        <v>699.73900000000003</v>
      </c>
      <c r="I177" s="1069"/>
      <c r="J177" s="1070">
        <f>+F177+H177</f>
        <v>1351.7530000000002</v>
      </c>
      <c r="K177" s="1067"/>
      <c r="L177" s="1068">
        <v>683.77500000000032</v>
      </c>
      <c r="M177" s="1071"/>
      <c r="N177" s="488">
        <f>+F177+H177+L177</f>
        <v>2035.5280000000005</v>
      </c>
      <c r="O177" s="1067"/>
      <c r="P177" s="1068">
        <v>746.15899999999999</v>
      </c>
      <c r="Q177" s="1069"/>
      <c r="R177" s="589">
        <f>+N177+P177</f>
        <v>2781.6870000000004</v>
      </c>
      <c r="S177" s="1067"/>
      <c r="T177" s="1068">
        <v>736.85600000000022</v>
      </c>
      <c r="U177" s="1069"/>
      <c r="V177" s="589">
        <f>+R177+T177</f>
        <v>3518.5430000000006</v>
      </c>
      <c r="W177" s="1067"/>
      <c r="X177" s="1068">
        <v>760.44200000000023</v>
      </c>
      <c r="Y177" s="1072"/>
      <c r="Z177" s="74">
        <f>P177+T177+X177</f>
        <v>2243.4570000000003</v>
      </c>
      <c r="AA177" s="1073"/>
      <c r="AB177" s="459">
        <f>N177+Z177</f>
        <v>4278.9850000000006</v>
      </c>
      <c r="AC177" s="1067"/>
      <c r="AD177" s="1068">
        <v>751.29</v>
      </c>
      <c r="AE177" s="1069"/>
      <c r="AF177" s="589">
        <f>+AB177+AD177</f>
        <v>5030.2750000000005</v>
      </c>
      <c r="AG177" s="1067"/>
      <c r="AH177" s="1068">
        <v>355.41399999999993</v>
      </c>
      <c r="AI177" s="1069"/>
      <c r="AJ177" s="589">
        <f>+AF177+AH177</f>
        <v>5385.6890000000003</v>
      </c>
      <c r="AK177" s="1067"/>
      <c r="AL177" s="1068">
        <v>697.86400000000026</v>
      </c>
      <c r="AM177" s="1072"/>
      <c r="AN177" s="74">
        <f>AD177+AH177+AL177</f>
        <v>1804.5680000000002</v>
      </c>
      <c r="AO177" s="1069"/>
      <c r="AP177" s="373">
        <f>+AL177+AJ177</f>
        <v>6083.5530000000008</v>
      </c>
      <c r="AQ177" s="1067"/>
      <c r="AR177" s="1068">
        <v>712.69100000000049</v>
      </c>
      <c r="AS177" s="1069"/>
      <c r="AT177" s="589">
        <f>+AP177+AR177</f>
        <v>6796.2440000000015</v>
      </c>
      <c r="AU177" s="1067"/>
      <c r="AV177" s="1068">
        <v>609.08300000000008</v>
      </c>
      <c r="AW177" s="1069"/>
      <c r="AX177" s="589">
        <f>+AT177+AV177</f>
        <v>7405.3270000000011</v>
      </c>
      <c r="AY177" s="1067"/>
      <c r="AZ177" s="1068">
        <v>767.47800000000007</v>
      </c>
      <c r="BA177" s="1072"/>
      <c r="BB177" s="74">
        <f>AR177+AV177+AZ177</f>
        <v>2089.2520000000004</v>
      </c>
      <c r="BC177" s="1073"/>
      <c r="BD177" s="459">
        <f>AN177+BB177</f>
        <v>3893.8200000000006</v>
      </c>
      <c r="BE177" s="1069"/>
      <c r="BF177" s="589">
        <f>+AX177+AZ177</f>
        <v>8172.8050000000012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x14ac:dyDescent="0.25"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Q178" s="154"/>
      <c r="R178" s="154"/>
      <c r="S178" s="154"/>
      <c r="T178" s="154"/>
      <c r="U178" s="154"/>
      <c r="V178" s="154"/>
      <c r="W178" s="154"/>
      <c r="X178" s="1805"/>
      <c r="Y178" s="622"/>
      <c r="Z178" s="622"/>
      <c r="AA178" s="622"/>
      <c r="AB178" s="622"/>
      <c r="AC178" s="154"/>
      <c r="AD178" s="1805"/>
      <c r="AE178" s="154"/>
      <c r="AF178" s="154"/>
      <c r="AG178" s="154"/>
      <c r="AH178" s="1805"/>
      <c r="AI178" s="154"/>
      <c r="AJ178" s="154"/>
      <c r="AK178" s="154"/>
      <c r="AL178" s="1805"/>
      <c r="AM178" s="622"/>
      <c r="AN178" s="622"/>
      <c r="AO178" s="154"/>
      <c r="AP178" s="154"/>
      <c r="AQ178" s="154"/>
      <c r="AR178" s="1805"/>
      <c r="AS178" s="154"/>
      <c r="AT178" s="154"/>
      <c r="AU178" s="154"/>
      <c r="AV178" s="1805"/>
      <c r="AW178" s="154"/>
      <c r="AX178" s="154"/>
      <c r="AY178" s="154"/>
      <c r="AZ178" s="1805"/>
      <c r="BA178" s="622"/>
      <c r="BB178" s="622"/>
      <c r="BC178" s="622"/>
      <c r="BD178" s="622"/>
      <c r="BE178" s="154"/>
      <c r="BF178" s="154"/>
      <c r="BG178" s="26"/>
      <c r="BH178" s="26"/>
      <c r="BI178" s="26"/>
      <c r="BJ178" s="26"/>
      <c r="BK178" s="26"/>
      <c r="BL178" s="26"/>
      <c r="BM178" s="26"/>
      <c r="BN178" s="26"/>
    </row>
    <row r="179" spans="2:66" ht="19.5" thickBot="1" x14ac:dyDescent="0.35">
      <c r="B179" s="884" t="s">
        <v>827</v>
      </c>
      <c r="C179" s="88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Q179" s="154"/>
      <c r="R179" s="154"/>
      <c r="S179" s="154"/>
      <c r="T179" s="154"/>
      <c r="U179" s="154"/>
      <c r="V179" s="154"/>
      <c r="W179" s="154"/>
      <c r="X179" s="1805"/>
      <c r="Y179" s="622"/>
      <c r="Z179" s="622"/>
      <c r="AA179" s="622"/>
      <c r="AB179" s="622"/>
      <c r="AC179" s="154"/>
      <c r="AD179" s="1805"/>
      <c r="AE179" s="154"/>
      <c r="AF179" s="154"/>
      <c r="AG179" s="154"/>
      <c r="AH179" s="1805"/>
      <c r="AI179" s="154"/>
      <c r="AJ179" s="154"/>
      <c r="AK179" s="154"/>
      <c r="AL179" s="1805"/>
      <c r="AM179" s="622"/>
      <c r="AN179" s="622"/>
      <c r="AO179" s="154"/>
      <c r="AP179" s="154"/>
      <c r="AQ179" s="154"/>
      <c r="AR179" s="1805"/>
      <c r="AS179" s="154"/>
      <c r="AT179" s="154"/>
      <c r="AU179" s="154"/>
      <c r="AV179" s="1805"/>
      <c r="AW179" s="154"/>
      <c r="AX179" s="154"/>
      <c r="AY179" s="154"/>
      <c r="AZ179" s="1805"/>
      <c r="BA179" s="622"/>
      <c r="BB179" s="622"/>
      <c r="BC179" s="622"/>
      <c r="BD179" s="622"/>
      <c r="BE179" s="154"/>
      <c r="BF179" s="154"/>
      <c r="BG179" s="26"/>
      <c r="BH179" s="26"/>
      <c r="BI179" s="26"/>
      <c r="BJ179" s="26"/>
      <c r="BK179" s="26"/>
      <c r="BL179" s="26"/>
      <c r="BM179" s="26"/>
      <c r="BN179" s="26"/>
    </row>
    <row r="180" spans="2:66" x14ac:dyDescent="0.25">
      <c r="B180" s="1056" t="s">
        <v>828</v>
      </c>
      <c r="C180" s="1057"/>
      <c r="D180" s="820" t="s">
        <v>50</v>
      </c>
      <c r="E180" s="1074"/>
      <c r="F180" s="1058">
        <f>+F5</f>
        <v>38350.074000000022</v>
      </c>
      <c r="G180" s="1074"/>
      <c r="H180" s="1058">
        <f>+H5</f>
        <v>41157.484000000004</v>
      </c>
      <c r="I180" s="1075"/>
      <c r="J180" s="1060">
        <f>+J5</f>
        <v>79507.558000000019</v>
      </c>
      <c r="K180" s="1074"/>
      <c r="L180" s="1058">
        <f>+L5</f>
        <v>39978.160999999986</v>
      </c>
      <c r="M180" s="1076"/>
      <c r="N180" s="1077">
        <f>+N5</f>
        <v>119485.71900000001</v>
      </c>
      <c r="O180" s="1074"/>
      <c r="P180" s="1058">
        <f>+P5</f>
        <v>43802.080000000002</v>
      </c>
      <c r="Q180" s="1075"/>
      <c r="R180" s="1060">
        <f>+R5</f>
        <v>163287.799</v>
      </c>
      <c r="S180" s="1074"/>
      <c r="T180" s="1058">
        <f>+T5</f>
        <v>43341.227999999988</v>
      </c>
      <c r="U180" s="1075"/>
      <c r="V180" s="1060">
        <f>+V5</f>
        <v>206629.027</v>
      </c>
      <c r="W180" s="1562"/>
      <c r="X180" s="1809">
        <f>+X5</f>
        <v>44728.012000000002</v>
      </c>
      <c r="Y180" s="1078"/>
      <c r="Z180" s="1077">
        <f>+Z5</f>
        <v>131871.32</v>
      </c>
      <c r="AA180" s="1079"/>
      <c r="AB180" s="1080">
        <f>+AB5</f>
        <v>251357.03900000002</v>
      </c>
      <c r="AC180" s="1562"/>
      <c r="AD180" s="1809">
        <f>+AD5</f>
        <v>44188.986999999994</v>
      </c>
      <c r="AE180" s="1075"/>
      <c r="AF180" s="1060">
        <f>+AF5</f>
        <v>295546.02600000001</v>
      </c>
      <c r="AG180" s="1562"/>
      <c r="AH180" s="1809">
        <f>+AH5</f>
        <v>20903.231999999993</v>
      </c>
      <c r="AI180" s="1075"/>
      <c r="AJ180" s="1060">
        <f>+AJ5</f>
        <v>316449.25800000003</v>
      </c>
      <c r="AK180" s="1562"/>
      <c r="AL180" s="1809">
        <f>+AL5</f>
        <v>41045.423999999992</v>
      </c>
      <c r="AM180" s="1078"/>
      <c r="AN180" s="1077">
        <f>+AN5</f>
        <v>106137.64299999998</v>
      </c>
      <c r="AO180" s="1075"/>
      <c r="AP180" s="1060">
        <f>+AP5</f>
        <v>357494.68200000003</v>
      </c>
      <c r="AQ180" s="1562"/>
      <c r="AR180" s="1809">
        <f>+AR5</f>
        <v>41918.505999999979</v>
      </c>
      <c r="AS180" s="1075"/>
      <c r="AT180" s="1060">
        <f>+AT5</f>
        <v>399413.18800000002</v>
      </c>
      <c r="AU180" s="1562"/>
      <c r="AV180" s="1809">
        <f>+AV5</f>
        <v>35855.553999999982</v>
      </c>
      <c r="AW180" s="1075"/>
      <c r="AX180" s="1060">
        <f>+AX5</f>
        <v>435268.74200000003</v>
      </c>
      <c r="AY180" s="1562"/>
      <c r="AZ180" s="1809">
        <f>+AZ5</f>
        <v>45140.241999999977</v>
      </c>
      <c r="BA180" s="1078"/>
      <c r="BB180" s="1077">
        <f>+BB5</f>
        <v>122914.30199999994</v>
      </c>
      <c r="BC180" s="1079"/>
      <c r="BD180" s="1080">
        <f>+BD5</f>
        <v>229051.94499999992</v>
      </c>
      <c r="BE180" s="1075"/>
      <c r="BF180" s="1060">
        <f>+BF5</f>
        <v>480408.984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ht="30" x14ac:dyDescent="0.25">
      <c r="B181" s="1082" t="s">
        <v>834</v>
      </c>
      <c r="C181" s="885"/>
      <c r="D181" s="159" t="s">
        <v>50</v>
      </c>
      <c r="E181" s="879"/>
      <c r="F181" s="366">
        <f>+F174</f>
        <v>810.36000000000229</v>
      </c>
      <c r="G181" s="879"/>
      <c r="H181" s="366">
        <f>+H174</f>
        <v>968.59499999999957</v>
      </c>
      <c r="I181" s="880"/>
      <c r="J181" s="367">
        <f>+J174</f>
        <v>1778.955000000002</v>
      </c>
      <c r="K181" s="879"/>
      <c r="L181" s="366">
        <f>+L174</f>
        <v>875.33599999999933</v>
      </c>
      <c r="M181" s="881"/>
      <c r="N181" s="446">
        <f>+N174</f>
        <v>2654.2910000000011</v>
      </c>
      <c r="O181" s="879"/>
      <c r="P181" s="366">
        <f>+P174</f>
        <v>928.42099999999959</v>
      </c>
      <c r="Q181" s="880"/>
      <c r="R181" s="367">
        <f>+R174</f>
        <v>3582.7120000000004</v>
      </c>
      <c r="S181" s="879"/>
      <c r="T181" s="366">
        <f>+T174</f>
        <v>917.62199999999962</v>
      </c>
      <c r="U181" s="880"/>
      <c r="V181" s="367">
        <f>+V174</f>
        <v>4500.3340000000007</v>
      </c>
      <c r="W181" s="1563"/>
      <c r="X181" s="1810">
        <f>+X174</f>
        <v>921.66999999999894</v>
      </c>
      <c r="Y181" s="882"/>
      <c r="Z181" s="446">
        <f>+Z174</f>
        <v>2767.7129999999979</v>
      </c>
      <c r="AA181" s="883"/>
      <c r="AB181" s="470">
        <f>+AB174</f>
        <v>5422.003999999999</v>
      </c>
      <c r="AC181" s="1563"/>
      <c r="AD181" s="1810">
        <f>+AD174</f>
        <v>951.44</v>
      </c>
      <c r="AE181" s="880"/>
      <c r="AF181" s="367">
        <f>+AF174</f>
        <v>6373.4439999999995</v>
      </c>
      <c r="AG181" s="1563"/>
      <c r="AH181" s="1810">
        <f>+AH174</f>
        <v>490.61799999999971</v>
      </c>
      <c r="AI181" s="880"/>
      <c r="AJ181" s="367">
        <f>+AJ174</f>
        <v>6864.0619999999981</v>
      </c>
      <c r="AK181" s="1563"/>
      <c r="AL181" s="1810">
        <f>+AL174</f>
        <v>1049.0599999999993</v>
      </c>
      <c r="AM181" s="882"/>
      <c r="AN181" s="446">
        <f>+AN174</f>
        <v>2491.1179999999986</v>
      </c>
      <c r="AO181" s="880"/>
      <c r="AP181" s="367">
        <f>+AP174</f>
        <v>7913.1219999999976</v>
      </c>
      <c r="AQ181" s="1563"/>
      <c r="AR181" s="1810">
        <f>+AR174</f>
        <v>839.26499999999919</v>
      </c>
      <c r="AS181" s="880"/>
      <c r="AT181" s="367">
        <f>+AT174</f>
        <v>8752.386999999997</v>
      </c>
      <c r="AU181" s="1563"/>
      <c r="AV181" s="1810">
        <f>+AV174</f>
        <v>824.92099999999925</v>
      </c>
      <c r="AW181" s="880"/>
      <c r="AX181" s="367">
        <f>+AX174</f>
        <v>9577.3079999999954</v>
      </c>
      <c r="AY181" s="1563"/>
      <c r="AZ181" s="1810">
        <f>+AZ174</f>
        <v>1015.2639999999994</v>
      </c>
      <c r="BA181" s="882"/>
      <c r="BB181" s="446">
        <f>+BB174</f>
        <v>2679.449999999998</v>
      </c>
      <c r="BC181" s="883"/>
      <c r="BD181" s="470">
        <f>+BD174</f>
        <v>5170.5679999999966</v>
      </c>
      <c r="BE181" s="880"/>
      <c r="BF181" s="367">
        <f>+BF174</f>
        <v>10592.571999999995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25">
      <c r="B182" s="1064" t="s">
        <v>804</v>
      </c>
      <c r="C182" s="271"/>
      <c r="D182" s="159" t="s">
        <v>50</v>
      </c>
      <c r="E182" s="879"/>
      <c r="F182" s="366">
        <f>+F177</f>
        <v>652.01400000000024</v>
      </c>
      <c r="G182" s="879"/>
      <c r="H182" s="366">
        <f>+H177</f>
        <v>699.73900000000003</v>
      </c>
      <c r="I182" s="880"/>
      <c r="J182" s="367">
        <f>+J177</f>
        <v>1351.7530000000002</v>
      </c>
      <c r="K182" s="879"/>
      <c r="L182" s="366">
        <f>+L177</f>
        <v>683.77500000000032</v>
      </c>
      <c r="M182" s="881"/>
      <c r="N182" s="446">
        <f>+N177</f>
        <v>2035.5280000000005</v>
      </c>
      <c r="O182" s="879"/>
      <c r="P182" s="366">
        <f>+P177</f>
        <v>746.15899999999999</v>
      </c>
      <c r="Q182" s="880"/>
      <c r="R182" s="367">
        <f>+R177</f>
        <v>2781.6870000000004</v>
      </c>
      <c r="S182" s="879"/>
      <c r="T182" s="366">
        <f>+T177</f>
        <v>736.85600000000022</v>
      </c>
      <c r="U182" s="880"/>
      <c r="V182" s="367">
        <f>+V177</f>
        <v>3518.5430000000006</v>
      </c>
      <c r="W182" s="1563"/>
      <c r="X182" s="1810">
        <f>+X177</f>
        <v>760.44200000000023</v>
      </c>
      <c r="Y182" s="882"/>
      <c r="Z182" s="446">
        <f>+Z177</f>
        <v>2243.4570000000003</v>
      </c>
      <c r="AA182" s="883"/>
      <c r="AB182" s="470">
        <f>+AB177</f>
        <v>4278.9850000000006</v>
      </c>
      <c r="AC182" s="1563"/>
      <c r="AD182" s="1810">
        <f>+AD177</f>
        <v>751.29</v>
      </c>
      <c r="AE182" s="880"/>
      <c r="AF182" s="367">
        <f>+AF177</f>
        <v>5030.2750000000005</v>
      </c>
      <c r="AG182" s="1563"/>
      <c r="AH182" s="1810">
        <f>+AH177</f>
        <v>355.41399999999993</v>
      </c>
      <c r="AI182" s="880"/>
      <c r="AJ182" s="367">
        <f>+AJ177</f>
        <v>5385.6890000000003</v>
      </c>
      <c r="AK182" s="1563"/>
      <c r="AL182" s="1810">
        <f>+AL177</f>
        <v>697.86400000000026</v>
      </c>
      <c r="AM182" s="882"/>
      <c r="AN182" s="446">
        <f>+AN177</f>
        <v>1804.5680000000002</v>
      </c>
      <c r="AO182" s="880"/>
      <c r="AP182" s="367">
        <f>+AP177</f>
        <v>6083.5530000000008</v>
      </c>
      <c r="AQ182" s="1563"/>
      <c r="AR182" s="1810">
        <f>+AR177</f>
        <v>712.69100000000049</v>
      </c>
      <c r="AS182" s="880"/>
      <c r="AT182" s="367">
        <f>+AT177</f>
        <v>6796.2440000000015</v>
      </c>
      <c r="AU182" s="1563"/>
      <c r="AV182" s="1810">
        <f>+AV177</f>
        <v>609.08300000000008</v>
      </c>
      <c r="AW182" s="880"/>
      <c r="AX182" s="367">
        <f>+AX177</f>
        <v>7405.3270000000011</v>
      </c>
      <c r="AY182" s="1563"/>
      <c r="AZ182" s="1810">
        <f>+AZ177</f>
        <v>767.47800000000007</v>
      </c>
      <c r="BA182" s="882"/>
      <c r="BB182" s="446">
        <f>+BB177</f>
        <v>2089.2520000000004</v>
      </c>
      <c r="BC182" s="883"/>
      <c r="BD182" s="470">
        <f>+BD177</f>
        <v>3893.8200000000006</v>
      </c>
      <c r="BE182" s="880"/>
      <c r="BF182" s="367">
        <f>+BF177</f>
        <v>8172.8050000000012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25">
      <c r="B183" s="1064" t="s">
        <v>832</v>
      </c>
      <c r="C183" s="271"/>
      <c r="D183" s="159" t="s">
        <v>50</v>
      </c>
      <c r="E183" s="879"/>
      <c r="F183" s="366">
        <f>+F150</f>
        <v>36887.700000000004</v>
      </c>
      <c r="G183" s="879"/>
      <c r="H183" s="366">
        <f>+H150</f>
        <v>39489.15</v>
      </c>
      <c r="I183" s="880"/>
      <c r="J183" s="367">
        <f>+J150</f>
        <v>76376.849999999977</v>
      </c>
      <c r="K183" s="879"/>
      <c r="L183" s="366">
        <f>+L150</f>
        <v>38419.050000000003</v>
      </c>
      <c r="M183" s="881"/>
      <c r="N183" s="446">
        <f>+N150</f>
        <v>112134.99999999999</v>
      </c>
      <c r="O183" s="879"/>
      <c r="P183" s="366">
        <f>+P150</f>
        <v>42127.500000000015</v>
      </c>
      <c r="Q183" s="880"/>
      <c r="R183" s="367">
        <f>+R150</f>
        <v>154186.65000000002</v>
      </c>
      <c r="S183" s="879"/>
      <c r="T183" s="366">
        <f>+T150</f>
        <v>41686.75</v>
      </c>
      <c r="U183" s="880"/>
      <c r="V183" s="367">
        <f>+V150</f>
        <v>195873.40000000002</v>
      </c>
      <c r="W183" s="1563"/>
      <c r="X183" s="1810">
        <f>+X150</f>
        <v>43045.900000000009</v>
      </c>
      <c r="Y183" s="882"/>
      <c r="Z183" s="446">
        <f>+Z150</f>
        <v>126860.15000000004</v>
      </c>
      <c r="AA183" s="883"/>
      <c r="AB183" s="470">
        <f>+AB150</f>
        <v>238995.15000000005</v>
      </c>
      <c r="AC183" s="1563"/>
      <c r="AD183" s="1810">
        <f>+AD150</f>
        <v>42486.250000000007</v>
      </c>
      <c r="AE183" s="880"/>
      <c r="AF183" s="367">
        <f>+AF150</f>
        <v>281481.40000000002</v>
      </c>
      <c r="AG183" s="1563"/>
      <c r="AH183" s="1810">
        <f>+AH150</f>
        <v>20057.200000000004</v>
      </c>
      <c r="AI183" s="880"/>
      <c r="AJ183" s="367">
        <f>+AJ150</f>
        <v>301538.59999999998</v>
      </c>
      <c r="AK183" s="1563"/>
      <c r="AL183" s="1810">
        <f>+AL150</f>
        <v>39298.500000000015</v>
      </c>
      <c r="AM183" s="882"/>
      <c r="AN183" s="446">
        <f>+AN150</f>
        <v>101841.95000000001</v>
      </c>
      <c r="AO183" s="880"/>
      <c r="AP183" s="367">
        <f>+AP150</f>
        <v>340837.10000000021</v>
      </c>
      <c r="AQ183" s="1563"/>
      <c r="AR183" s="1810">
        <f>+AR150</f>
        <v>40366.549999999996</v>
      </c>
      <c r="AS183" s="880"/>
      <c r="AT183" s="367">
        <f>+AT150</f>
        <v>381203.65000000026</v>
      </c>
      <c r="AU183" s="1563"/>
      <c r="AV183" s="1810">
        <f>+AV150</f>
        <v>34421.449999999997</v>
      </c>
      <c r="AW183" s="880"/>
      <c r="AX183" s="367">
        <f>+AX150</f>
        <v>415625.10000000015</v>
      </c>
      <c r="AY183" s="1563"/>
      <c r="AZ183" s="1810">
        <f>+AZ150</f>
        <v>43357.500000000015</v>
      </c>
      <c r="BA183" s="882"/>
      <c r="BB183" s="446">
        <f>+BB150</f>
        <v>118145.50000000003</v>
      </c>
      <c r="BC183" s="883"/>
      <c r="BD183" s="470">
        <f>+BD150</f>
        <v>219987.45000000004</v>
      </c>
      <c r="BE183" s="880"/>
      <c r="BF183" s="367">
        <f>+BF150</f>
        <v>458982.60000000009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x14ac:dyDescent="0.25">
      <c r="B184" s="1064" t="s">
        <v>829</v>
      </c>
      <c r="C184" s="271"/>
      <c r="D184" s="159" t="s">
        <v>50</v>
      </c>
      <c r="E184" s="879"/>
      <c r="F184" s="366">
        <f>+F152</f>
        <v>143.51999999999998</v>
      </c>
      <c r="G184" s="879"/>
      <c r="H184" s="366">
        <f>+H152</f>
        <v>114.79999999999998</v>
      </c>
      <c r="I184" s="880"/>
      <c r="J184" s="367">
        <f>+J152</f>
        <v>258.32000000000005</v>
      </c>
      <c r="K184" s="879"/>
      <c r="L184" s="366">
        <f>+L152</f>
        <v>108.64999999999999</v>
      </c>
      <c r="M184" s="881"/>
      <c r="N184" s="446">
        <f>+N152</f>
        <v>362.87</v>
      </c>
      <c r="O184" s="879"/>
      <c r="P184" s="366">
        <f>+P152</f>
        <v>86.1</v>
      </c>
      <c r="Q184" s="880"/>
      <c r="R184" s="367">
        <f>+R152</f>
        <v>448.97</v>
      </c>
      <c r="S184" s="879"/>
      <c r="T184" s="366">
        <f>+T152</f>
        <v>127.09999999999998</v>
      </c>
      <c r="U184" s="880"/>
      <c r="V184" s="367">
        <f>+V152</f>
        <v>576.06999999999994</v>
      </c>
      <c r="W184" s="1563"/>
      <c r="X184" s="1810">
        <f>+X152</f>
        <v>98.399999999999991</v>
      </c>
      <c r="Y184" s="882"/>
      <c r="Z184" s="446">
        <f>+Z152</f>
        <v>311.60000000000008</v>
      </c>
      <c r="AA184" s="883"/>
      <c r="AB184" s="470">
        <f>+AB152</f>
        <v>674.46999999999991</v>
      </c>
      <c r="AC184" s="1563"/>
      <c r="AD184" s="1810">
        <f>+AD152</f>
        <v>101.49000000000001</v>
      </c>
      <c r="AE184" s="880"/>
      <c r="AF184" s="367">
        <f>+AF152</f>
        <v>775.95999999999992</v>
      </c>
      <c r="AG184" s="1563"/>
      <c r="AH184" s="1810">
        <f>+AH152</f>
        <v>75.84999999999998</v>
      </c>
      <c r="AI184" s="880"/>
      <c r="AJ184" s="367">
        <f>+AJ152</f>
        <v>851.81</v>
      </c>
      <c r="AK184" s="1563"/>
      <c r="AL184" s="1810">
        <f>+AL152</f>
        <v>98.399999999999991</v>
      </c>
      <c r="AM184" s="882"/>
      <c r="AN184" s="446">
        <f>+AN152</f>
        <v>275.74</v>
      </c>
      <c r="AO184" s="880"/>
      <c r="AP184" s="367">
        <f>+AP152</f>
        <v>950.20999999999992</v>
      </c>
      <c r="AQ184" s="1563"/>
      <c r="AR184" s="1810">
        <f>+AR152</f>
        <v>69.7</v>
      </c>
      <c r="AS184" s="880"/>
      <c r="AT184" s="367">
        <f>+AT152</f>
        <v>1019.91</v>
      </c>
      <c r="AU184" s="1563"/>
      <c r="AV184" s="1810">
        <f>+AV152</f>
        <v>86.1</v>
      </c>
      <c r="AW184" s="880"/>
      <c r="AX184" s="367">
        <f>+AX152</f>
        <v>1106.01</v>
      </c>
      <c r="AY184" s="1563"/>
      <c r="AZ184" s="1810">
        <f>+AZ152</f>
        <v>284.95</v>
      </c>
      <c r="BA184" s="882"/>
      <c r="BB184" s="446">
        <f>+BB152</f>
        <v>440.75</v>
      </c>
      <c r="BC184" s="883"/>
      <c r="BD184" s="470">
        <f>+BD152</f>
        <v>716.49</v>
      </c>
      <c r="BE184" s="880"/>
      <c r="BF184" s="367">
        <f>+BF152</f>
        <v>1390.9600000000003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.75" thickBot="1" x14ac:dyDescent="0.3">
      <c r="B185" s="1066" t="s">
        <v>830</v>
      </c>
      <c r="C185" s="929"/>
      <c r="D185" s="894" t="s">
        <v>50</v>
      </c>
      <c r="E185" s="1067"/>
      <c r="F185" s="1068">
        <f>+F183-F184</f>
        <v>36744.180000000008</v>
      </c>
      <c r="G185" s="1067"/>
      <c r="H185" s="1068">
        <f>+H183-H184</f>
        <v>39374.35</v>
      </c>
      <c r="I185" s="1069"/>
      <c r="J185" s="1070">
        <f>+J183-J184</f>
        <v>76118.52999999997</v>
      </c>
      <c r="K185" s="1067"/>
      <c r="L185" s="1068">
        <f>+L183-L184</f>
        <v>38310.400000000001</v>
      </c>
      <c r="M185" s="1071"/>
      <c r="N185" s="1083">
        <f>+N183-N184</f>
        <v>111772.12999999999</v>
      </c>
      <c r="O185" s="1067"/>
      <c r="P185" s="1068">
        <f>+P183-P184</f>
        <v>42041.400000000016</v>
      </c>
      <c r="Q185" s="1069"/>
      <c r="R185" s="1070">
        <f>+R183-R184</f>
        <v>153737.68000000002</v>
      </c>
      <c r="S185" s="1067"/>
      <c r="T185" s="1068">
        <f>+T183-T184</f>
        <v>41559.65</v>
      </c>
      <c r="U185" s="1069"/>
      <c r="V185" s="1070">
        <f>+V183-V184</f>
        <v>195297.33000000002</v>
      </c>
      <c r="W185" s="1561"/>
      <c r="X185" s="1811">
        <f>+X183-X184</f>
        <v>42947.500000000007</v>
      </c>
      <c r="Y185" s="1072"/>
      <c r="Z185" s="1083">
        <f>+Z183-Z184</f>
        <v>126548.55000000003</v>
      </c>
      <c r="AA185" s="1073"/>
      <c r="AB185" s="1084">
        <f>+AB183-AB184</f>
        <v>238320.68000000005</v>
      </c>
      <c r="AC185" s="1561"/>
      <c r="AD185" s="1811">
        <f>+AD183-AD184</f>
        <v>42384.760000000009</v>
      </c>
      <c r="AE185" s="1069"/>
      <c r="AF185" s="1070">
        <f>+AF183-AF184</f>
        <v>280705.44</v>
      </c>
      <c r="AG185" s="1561"/>
      <c r="AH185" s="1811">
        <f>+AH183-AH184</f>
        <v>19981.350000000006</v>
      </c>
      <c r="AI185" s="1069"/>
      <c r="AJ185" s="1070">
        <f>+AJ183-AJ184</f>
        <v>300686.78999999998</v>
      </c>
      <c r="AK185" s="1561"/>
      <c r="AL185" s="1811">
        <f>+AL183-AL184</f>
        <v>39200.100000000013</v>
      </c>
      <c r="AM185" s="1072"/>
      <c r="AN185" s="1083">
        <f>+AN183-AN184</f>
        <v>101566.21</v>
      </c>
      <c r="AO185" s="1069"/>
      <c r="AP185" s="1070">
        <f>+AP183-AP184</f>
        <v>339886.89000000019</v>
      </c>
      <c r="AQ185" s="1561"/>
      <c r="AR185" s="1811">
        <f>+AR183-AR184</f>
        <v>40296.85</v>
      </c>
      <c r="AS185" s="1069"/>
      <c r="AT185" s="1070">
        <f>+AT183-AT184</f>
        <v>380183.74000000028</v>
      </c>
      <c r="AU185" s="1561"/>
      <c r="AV185" s="1811">
        <f>+AV183-AV184</f>
        <v>34335.35</v>
      </c>
      <c r="AW185" s="1069"/>
      <c r="AX185" s="1070">
        <f>+AX183-AX184</f>
        <v>414519.09000000014</v>
      </c>
      <c r="AY185" s="1561"/>
      <c r="AZ185" s="1811">
        <f>+AZ183-AZ184</f>
        <v>43072.550000000017</v>
      </c>
      <c r="BA185" s="1072"/>
      <c r="BB185" s="1083">
        <f>+BB183-BB184</f>
        <v>117704.75000000003</v>
      </c>
      <c r="BC185" s="1073"/>
      <c r="BD185" s="1084">
        <f>+BD183-BD184</f>
        <v>219270.96000000005</v>
      </c>
      <c r="BE185" s="1069"/>
      <c r="BF185" s="1070">
        <f>+BF183-BF184</f>
        <v>457591.64000000007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ht="15.75" thickBot="1" x14ac:dyDescent="0.3"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Q186" s="154"/>
      <c r="R186" s="154"/>
      <c r="S186" s="154"/>
      <c r="T186" s="154"/>
      <c r="U186" s="154"/>
      <c r="V186" s="154"/>
      <c r="W186" s="154"/>
      <c r="X186" s="1805"/>
      <c r="Y186" s="622"/>
      <c r="Z186" s="622"/>
      <c r="AA186" s="622"/>
      <c r="AB186" s="622"/>
      <c r="AC186" s="154"/>
      <c r="AD186" s="1805"/>
      <c r="AE186" s="154"/>
      <c r="AF186" s="154"/>
      <c r="AG186" s="154"/>
      <c r="AH186" s="1805"/>
      <c r="AI186" s="154"/>
      <c r="AJ186" s="154"/>
      <c r="AK186" s="154"/>
      <c r="AL186" s="1805"/>
      <c r="AM186" s="622"/>
      <c r="AN186" s="622"/>
      <c r="AO186" s="154"/>
      <c r="AP186" s="154"/>
      <c r="AQ186" s="154"/>
      <c r="AR186" s="1805"/>
      <c r="AS186" s="154"/>
      <c r="AT186" s="154"/>
      <c r="AU186" s="154"/>
      <c r="AV186" s="1805"/>
      <c r="AW186" s="154"/>
      <c r="AX186" s="154"/>
      <c r="AY186" s="154"/>
      <c r="AZ186" s="1805"/>
      <c r="BA186" s="622"/>
      <c r="BB186" s="622"/>
      <c r="BC186" s="622"/>
      <c r="BD186" s="622"/>
      <c r="BE186" s="154"/>
      <c r="BF186" s="154"/>
      <c r="BG186" s="26"/>
      <c r="BH186" s="26"/>
      <c r="BI186" s="26"/>
      <c r="BJ186" s="26"/>
      <c r="BK186" s="26"/>
      <c r="BL186" s="26"/>
      <c r="BM186" s="26"/>
      <c r="BN186" s="26"/>
    </row>
    <row r="187" spans="2:66" ht="15.75" thickBot="1" x14ac:dyDescent="0.3">
      <c r="B187" s="792" t="s">
        <v>835</v>
      </c>
      <c r="C187" s="1085"/>
      <c r="D187" s="789" t="s">
        <v>50</v>
      </c>
      <c r="E187" s="1086"/>
      <c r="F187" s="1086">
        <f>+F180-F181-F182-F183</f>
        <v>0</v>
      </c>
      <c r="G187" s="1086"/>
      <c r="H187" s="1086">
        <f>+H180-H181-H182-H183</f>
        <v>0</v>
      </c>
      <c r="I187" s="1087"/>
      <c r="J187" s="1087">
        <f>+J180-J181-J182-J183</f>
        <v>0</v>
      </c>
      <c r="K187" s="1086"/>
      <c r="L187" s="1086">
        <f>+L180-L181-L182-L183</f>
        <v>0</v>
      </c>
      <c r="M187" s="1088"/>
      <c r="N187" s="1088">
        <f>+N180-N181-N182-N183</f>
        <v>2660.9000000000233</v>
      </c>
      <c r="O187" s="1086"/>
      <c r="P187" s="1086">
        <f>+P180-P181-P182-P183</f>
        <v>0</v>
      </c>
      <c r="Q187" s="1087"/>
      <c r="R187" s="1087">
        <f>+R180-R181-R182-R183</f>
        <v>2736.7499999999709</v>
      </c>
      <c r="S187" s="1086"/>
      <c r="T187" s="1086">
        <f>+T180-T181-T182-T183</f>
        <v>0</v>
      </c>
      <c r="U187" s="1087"/>
      <c r="V187" s="1087">
        <f>+V180-V181-V182-V183</f>
        <v>2736.7499999999709</v>
      </c>
      <c r="W187" s="1564"/>
      <c r="X187" s="1812">
        <f>+X180-X181-X182-X183</f>
        <v>0</v>
      </c>
      <c r="Y187" s="1089"/>
      <c r="Z187" s="1088">
        <f>+Z180-Z181-Z182-Z183</f>
        <v>0</v>
      </c>
      <c r="AA187" s="1090"/>
      <c r="AB187" s="1091">
        <f>+AB180-AB181-AB182-AB183</f>
        <v>2660.8999999999942</v>
      </c>
      <c r="AC187" s="1564"/>
      <c r="AD187" s="1812">
        <f>+AD180-AD181-AD182-AD183</f>
        <v>6.9999999832361937E-3</v>
      </c>
      <c r="AE187" s="1087"/>
      <c r="AF187" s="1087">
        <f>+AF180-AF181-AF182-AF183</f>
        <v>2660.9069999999483</v>
      </c>
      <c r="AG187" s="1564"/>
      <c r="AH187" s="1812">
        <f>+AH180-AH181-AH182-AH183</f>
        <v>0</v>
      </c>
      <c r="AI187" s="1087"/>
      <c r="AJ187" s="1087">
        <f>+AJ180-AJ181-AJ182-AJ183</f>
        <v>2660.9070000000647</v>
      </c>
      <c r="AK187" s="1564"/>
      <c r="AL187" s="1812">
        <f>+AL180-AL181-AL182-AL183</f>
        <v>0</v>
      </c>
      <c r="AM187" s="1089"/>
      <c r="AN187" s="1088">
        <f>+AN180-AN181-AN182-AN183</f>
        <v>6.9999999686842784E-3</v>
      </c>
      <c r="AO187" s="1087"/>
      <c r="AP187" s="1087">
        <f>+AP180-AP181-AP182-AP183</f>
        <v>2660.9069999998319</v>
      </c>
      <c r="AQ187" s="1564"/>
      <c r="AR187" s="1812">
        <f>+AR180-AR181-AR182-AR183</f>
        <v>0</v>
      </c>
      <c r="AS187" s="1087"/>
      <c r="AT187" s="1087">
        <f>+AT180-AT181-AT182-AT183</f>
        <v>2660.9069999997737</v>
      </c>
      <c r="AU187" s="1564"/>
      <c r="AV187" s="1812">
        <f>+AV180-AV181-AV182-AV183</f>
        <v>9.9999999983992893E-2</v>
      </c>
      <c r="AW187" s="1087"/>
      <c r="AX187" s="1087">
        <f>+AX180-AX181-AX182-AX183</f>
        <v>2661.0069999998668</v>
      </c>
      <c r="AY187" s="1564"/>
      <c r="AZ187" s="1812">
        <f>+AZ180-AZ181-AZ182-AZ183</f>
        <v>0</v>
      </c>
      <c r="BA187" s="1089"/>
      <c r="BB187" s="1088">
        <f>+BB180-BB181-BB182-BB183</f>
        <v>9.9999999918509275E-2</v>
      </c>
      <c r="BC187" s="1090"/>
      <c r="BD187" s="1091">
        <f>+BD180-BD181-BD182-BD183</f>
        <v>0.10699999987264164</v>
      </c>
      <c r="BE187" s="1087"/>
      <c r="BF187" s="1087">
        <f>+BF180-BF181-BF182-BF183</f>
        <v>2661.006999999925</v>
      </c>
      <c r="BG187" s="26"/>
      <c r="BH187" s="26"/>
      <c r="BI187" s="26"/>
      <c r="BJ187" s="26"/>
      <c r="BK187" s="26"/>
      <c r="BL187" s="26"/>
      <c r="BM187" s="26"/>
      <c r="BN187" s="26"/>
    </row>
    <row r="188" spans="2:66" ht="15.75" thickBot="1" x14ac:dyDescent="0.3">
      <c r="B188" s="149"/>
      <c r="C188" s="149"/>
      <c r="D188" s="149"/>
      <c r="E188" s="149"/>
      <c r="F188" s="149"/>
      <c r="G188" s="149"/>
      <c r="H188" s="149"/>
      <c r="I188" s="203"/>
      <c r="J188" s="154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203"/>
      <c r="X188" s="1805"/>
      <c r="Y188" s="149"/>
      <c r="Z188" s="149"/>
      <c r="AA188" s="149"/>
      <c r="AB188" s="149"/>
      <c r="AC188" s="203"/>
      <c r="AD188" s="1805"/>
      <c r="AE188" s="149"/>
      <c r="AF188" s="149"/>
      <c r="AG188" s="203"/>
      <c r="AH188" s="1805"/>
      <c r="AI188" s="149"/>
      <c r="AJ188" s="149"/>
      <c r="AK188" s="203"/>
      <c r="AL188" s="1805"/>
      <c r="AM188" s="149"/>
      <c r="AN188" s="149"/>
      <c r="AO188" s="26"/>
      <c r="AP188" s="26"/>
      <c r="AQ188" s="203"/>
      <c r="AR188" s="1805"/>
      <c r="AS188" s="26"/>
      <c r="AT188" s="26"/>
      <c r="AU188" s="203"/>
      <c r="AV188" s="1805"/>
      <c r="AW188" s="26"/>
      <c r="AX188" s="26"/>
      <c r="AY188" s="203"/>
      <c r="AZ188" s="1805"/>
      <c r="BA188" s="149"/>
      <c r="BB188" s="149"/>
      <c r="BC188" s="149"/>
      <c r="BD188" s="149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</row>
    <row r="189" spans="2:66" ht="15.75" thickBot="1" x14ac:dyDescent="0.3">
      <c r="B189" s="642" t="s">
        <v>1168</v>
      </c>
      <c r="C189" s="441"/>
      <c r="D189" s="441"/>
      <c r="E189" s="441"/>
      <c r="F189" s="3410">
        <f>+F150</f>
        <v>36887.700000000004</v>
      </c>
      <c r="G189" s="441"/>
      <c r="H189" s="3410">
        <f>+H150</f>
        <v>39489.15</v>
      </c>
      <c r="I189" s="1216"/>
      <c r="J189" s="397">
        <f>+J150</f>
        <v>76376.849999999977</v>
      </c>
      <c r="K189" s="441"/>
      <c r="L189" s="3410">
        <f>+L150</f>
        <v>38419.050000000003</v>
      </c>
      <c r="M189" s="617"/>
      <c r="N189" s="446">
        <f>+N150</f>
        <v>112134.99999999999</v>
      </c>
      <c r="O189" s="441"/>
      <c r="P189" s="3410">
        <f>+P150</f>
        <v>42127.500000000015</v>
      </c>
      <c r="Q189" s="616"/>
      <c r="R189" s="367">
        <f>+R150</f>
        <v>154186.65000000002</v>
      </c>
      <c r="S189" s="441"/>
      <c r="T189" s="3410">
        <f>+T150</f>
        <v>41686.75</v>
      </c>
      <c r="U189" s="616"/>
      <c r="V189" s="367">
        <f>+V150</f>
        <v>195873.40000000002</v>
      </c>
      <c r="W189" s="1216"/>
      <c r="X189" s="1810">
        <f>+X150</f>
        <v>43045.900000000009</v>
      </c>
      <c r="Y189" s="1089"/>
      <c r="Z189" s="446">
        <f>+Z150</f>
        <v>126860.15000000004</v>
      </c>
      <c r="AA189" s="1090"/>
      <c r="AB189" s="470">
        <f>+AB150</f>
        <v>238995.15000000005</v>
      </c>
      <c r="AC189" s="1216"/>
      <c r="AD189" s="1810">
        <f>+AD150</f>
        <v>42486.250000000007</v>
      </c>
      <c r="AE189" s="367"/>
      <c r="AF189" s="367">
        <f>+AF150</f>
        <v>281481.40000000002</v>
      </c>
      <c r="AG189" s="1216"/>
      <c r="AH189" s="1810">
        <f>+AH150</f>
        <v>20057.200000000004</v>
      </c>
      <c r="AI189" s="367"/>
      <c r="AJ189" s="367">
        <f>+AJ150</f>
        <v>301538.59999999998</v>
      </c>
      <c r="AK189" s="1216"/>
      <c r="AL189" s="1810">
        <f>+AL150</f>
        <v>39298.500000000015</v>
      </c>
      <c r="AM189" s="1089"/>
      <c r="AN189" s="446">
        <f>+AN150</f>
        <v>101841.95000000001</v>
      </c>
      <c r="AO189" s="367"/>
      <c r="AP189" s="367">
        <f>+AP150</f>
        <v>340837.10000000021</v>
      </c>
      <c r="AQ189" s="1216"/>
      <c r="AR189" s="1810">
        <f>+AR150</f>
        <v>40366.549999999996</v>
      </c>
      <c r="AS189" s="367"/>
      <c r="AT189" s="367">
        <f>+AT150</f>
        <v>381203.65000000026</v>
      </c>
      <c r="AU189" s="1216"/>
      <c r="AV189" s="1810">
        <f>+AV150</f>
        <v>34421.449999999997</v>
      </c>
      <c r="AW189" s="367"/>
      <c r="AX189" s="367">
        <f>+AX150</f>
        <v>415625.10000000015</v>
      </c>
      <c r="AY189" s="1216"/>
      <c r="AZ189" s="1810">
        <f>+AZ150</f>
        <v>43357.500000000015</v>
      </c>
      <c r="BA189" s="1089"/>
      <c r="BB189" s="446">
        <f>+BB150</f>
        <v>118145.50000000003</v>
      </c>
      <c r="BC189" s="1090"/>
      <c r="BD189" s="470">
        <f>+BD150</f>
        <v>219987.45000000004</v>
      </c>
      <c r="BE189" s="367"/>
      <c r="BF189" s="367">
        <f>+BF150</f>
        <v>458982.60000000009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25">
      <c r="E190"/>
      <c r="F190" s="2909"/>
      <c r="G190" s="5172"/>
      <c r="H190" s="5172"/>
      <c r="I190" s="2909"/>
      <c r="J190" s="2909"/>
      <c r="K190" s="3427"/>
      <c r="L190" s="3427"/>
      <c r="M190" s="2909"/>
      <c r="N190" s="2909"/>
      <c r="O190" s="4712"/>
      <c r="P190" s="4712"/>
      <c r="Q190" s="2909"/>
      <c r="R190" s="2909"/>
      <c r="S190" s="4712"/>
      <c r="T190" s="4712"/>
      <c r="U190" s="4712"/>
      <c r="V190" s="4712"/>
      <c r="W190" s="2909"/>
      <c r="X190" s="2909"/>
      <c r="Y190" s="2909"/>
      <c r="Z190" s="2909"/>
      <c r="AA190" s="2909"/>
      <c r="AB190" s="2909"/>
      <c r="AC190" s="5172"/>
      <c r="AD190" s="5172"/>
      <c r="AG190" s="5172"/>
      <c r="AH190" s="5172"/>
      <c r="AI190" s="5172"/>
      <c r="AJ190" s="5172"/>
      <c r="AK190" s="5172"/>
      <c r="AL190" s="5172"/>
      <c r="AM190" s="2744"/>
      <c r="AN190" s="2744"/>
      <c r="AO190" s="2744"/>
      <c r="AP190" s="2744"/>
      <c r="AQ190" s="5172"/>
      <c r="AR190" s="5172"/>
      <c r="AU190" s="5172"/>
      <c r="AV190" s="5172"/>
      <c r="AW190" s="5172"/>
      <c r="AX190" s="5172"/>
      <c r="AY190" s="5172"/>
      <c r="AZ190" s="5172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25">
      <c r="E191"/>
      <c r="F191"/>
      <c r="G191" s="5172"/>
      <c r="H191" s="5172"/>
      <c r="K191" s="3427"/>
      <c r="L191" s="3427"/>
      <c r="O191" s="4712"/>
      <c r="P191" s="4712"/>
      <c r="S191" s="4712"/>
      <c r="T191" s="4712"/>
      <c r="U191" s="87"/>
      <c r="V191" s="93"/>
      <c r="AC191" s="5172"/>
      <c r="AD191" s="5172"/>
      <c r="AG191" s="5172"/>
      <c r="AH191" s="5172"/>
      <c r="AI191" s="5172"/>
      <c r="AJ191" s="5172"/>
      <c r="AK191" s="5172"/>
      <c r="AL191" s="5172"/>
      <c r="AM191" s="2744"/>
      <c r="AN191" s="2744"/>
      <c r="AO191" s="2744"/>
      <c r="AP191" s="2744"/>
      <c r="AQ191" s="5172"/>
      <c r="AR191" s="5172"/>
      <c r="AU191" s="5172"/>
      <c r="AV191" s="5172"/>
      <c r="AW191" s="5172"/>
      <c r="AX191" s="5172"/>
      <c r="AY191" s="5172"/>
      <c r="AZ191" s="5172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25">
      <c r="B192" s="1653" t="s">
        <v>1305</v>
      </c>
      <c r="C192" s="1653"/>
      <c r="D192" s="1653"/>
      <c r="E192" s="1653"/>
      <c r="F192" s="1654">
        <f>+SUM(F7:F119)+SUM(F121:F133)</f>
        <v>36744.180000000008</v>
      </c>
      <c r="G192" s="1653"/>
      <c r="H192" s="1654">
        <f>+SUM(H7:H119)+SUM(H121:H133)</f>
        <v>39374.349999999991</v>
      </c>
      <c r="I192" s="1655"/>
      <c r="J192" s="1654">
        <f>+SUM(J7:J119)+SUM(J121:J133)</f>
        <v>76118.53</v>
      </c>
      <c r="K192" s="1653"/>
      <c r="L192" s="1654">
        <f>+SUM(L7:L119)+SUM(L121:L133)</f>
        <v>38310.400000000001</v>
      </c>
      <c r="M192" s="1655"/>
      <c r="N192" s="1654">
        <f>+SUM(N7:N117)+SUM(N121:N133)</f>
        <v>111772.12999999999</v>
      </c>
      <c r="O192" s="1653"/>
      <c r="P192" s="1654">
        <f>+SUM(P7:P119)+SUM(P121:P133)</f>
        <v>42041.400000000016</v>
      </c>
      <c r="Q192" s="1655"/>
      <c r="R192" s="1656"/>
      <c r="S192" s="1653"/>
      <c r="T192" s="1654">
        <f>+SUM(T7:T119)+SUM(T121:T133)</f>
        <v>41559.649999999994</v>
      </c>
      <c r="U192" s="1655"/>
      <c r="V192" s="1654">
        <f>+SUM(V7:V119)+SUM(V121:V133)</f>
        <v>195297.33000000005</v>
      </c>
      <c r="W192" s="1653"/>
      <c r="X192" s="1654">
        <f>+SUM(X7:X117)+SUM(X121:X133)</f>
        <v>42947.499999999993</v>
      </c>
      <c r="Y192" s="1653"/>
      <c r="Z192" s="1654">
        <f>+SUM(Z7:Z117)+SUM(Z121:Z133)</f>
        <v>126548.55000000002</v>
      </c>
      <c r="AA192" s="1654"/>
      <c r="AB192" s="1654">
        <f>+SUM(AB7:AB117)+SUM(AB121:AB133)</f>
        <v>238320.68000000008</v>
      </c>
      <c r="AC192" s="1653"/>
      <c r="AD192" s="1654">
        <f>+SUM(AD7:AD117)+SUM(AD121:AD133)</f>
        <v>42384.759999999995</v>
      </c>
      <c r="AF192" s="1654">
        <f>+SUM(AF8:AF117)+SUM(AF121:AF133)</f>
        <v>280705.44</v>
      </c>
      <c r="AG192" s="1653"/>
      <c r="AH192" s="1654">
        <f>+SUM(AH7:AH117)+SUM(AH121:AH133)</f>
        <v>19981.350000000006</v>
      </c>
      <c r="AI192" s="5172"/>
      <c r="AJ192" s="1654">
        <f>+SUM(AJ8:AJ117)+SUM(AJ121:AJ133)</f>
        <v>300686.78999999998</v>
      </c>
      <c r="AK192" s="1653"/>
      <c r="AL192" s="1654">
        <f>+SUM(AL7:AL117)+SUM(AL121:AL133)</f>
        <v>39200.100000000006</v>
      </c>
      <c r="AM192" s="1653"/>
      <c r="AN192" s="1654">
        <f>+SUM(AN7:AN117)+SUM(AN121:AN133)</f>
        <v>101566.21000000004</v>
      </c>
      <c r="AO192" s="2744"/>
      <c r="AP192" s="1654">
        <f>+SUM(AP8:AP117)+SUM(AP121:AP133)</f>
        <v>339886.89000000019</v>
      </c>
      <c r="AQ192" s="1653"/>
      <c r="AR192" s="1654">
        <f>+SUM(AR7:AR117)+SUM(AR121:AR133)</f>
        <v>40296.849999999991</v>
      </c>
      <c r="AT192" s="1654">
        <f>+SUM(AT7:AT117)+SUM(AT121:AT133)</f>
        <v>380183.74000000017</v>
      </c>
      <c r="AU192" s="1653"/>
      <c r="AV192" s="1654">
        <f>+SUM(AV7:AV117)+SUM(AV121:AV133)</f>
        <v>34335.35</v>
      </c>
      <c r="AW192" s="5172"/>
      <c r="AX192" s="1654">
        <f>+SUM(AX7:AX117)+SUM(AX121:AX133)</f>
        <v>414519.09000000014</v>
      </c>
      <c r="AY192" s="1653"/>
      <c r="AZ192" s="1654">
        <f>+SUM(AZ7:AZ117)+SUM(AZ121:AZ133)</f>
        <v>43072.55000000001</v>
      </c>
      <c r="BA192" s="1653"/>
      <c r="BB192" s="1654">
        <f>+SUM(BB7:BB117)+SUM(BB121:BB133)</f>
        <v>117704.75000000001</v>
      </c>
      <c r="BC192" s="1654"/>
      <c r="BD192" s="1654">
        <f>+SUM(BD7:BD117)+SUM(BD121:BD133)</f>
        <v>219270.96000000005</v>
      </c>
      <c r="BE192" s="1654"/>
      <c r="BF192" s="1654">
        <f>+SUM(BF7:BF117)+SUM(BF121:BF133)</f>
        <v>457591.64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x14ac:dyDescent="0.25">
      <c r="B193" s="1653" t="s">
        <v>630</v>
      </c>
      <c r="C193" s="1653"/>
      <c r="D193" s="1653"/>
      <c r="E193" s="1655"/>
      <c r="F193" s="1657">
        <f>+F151-F192</f>
        <v>0</v>
      </c>
      <c r="G193" s="1655"/>
      <c r="H193" s="1657">
        <f>+H151-H192</f>
        <v>0</v>
      </c>
      <c r="I193" s="1655"/>
      <c r="J193" s="1657">
        <f>+J151-J192</f>
        <v>0</v>
      </c>
      <c r="K193" s="1655"/>
      <c r="L193" s="1657">
        <f>+L151-L192</f>
        <v>0</v>
      </c>
      <c r="M193" s="1655"/>
      <c r="N193" s="1657">
        <f>+N151-N192</f>
        <v>0</v>
      </c>
      <c r="O193" s="1655"/>
      <c r="P193" s="1657">
        <f>+P151-P192</f>
        <v>0</v>
      </c>
      <c r="Q193" s="1655"/>
      <c r="R193" s="1656"/>
      <c r="S193" s="1655"/>
      <c r="T193" s="1657">
        <f>+T151-T192</f>
        <v>0</v>
      </c>
      <c r="U193" s="1655"/>
      <c r="V193" s="1657">
        <f>+V151-V192</f>
        <v>0</v>
      </c>
      <c r="W193" s="1653"/>
      <c r="X193" s="1657">
        <f>+X151-X192</f>
        <v>0</v>
      </c>
      <c r="Y193" s="1653"/>
      <c r="Z193" s="1657">
        <f>+Z151-Z192</f>
        <v>0</v>
      </c>
      <c r="AA193" s="1657"/>
      <c r="AB193" s="1657">
        <f>+AB151-AB192</f>
        <v>0</v>
      </c>
      <c r="AC193" s="1653"/>
      <c r="AD193" s="1657">
        <f>+AD151-AD192</f>
        <v>0</v>
      </c>
      <c r="AF193" s="1657">
        <f>+AF151-AF192</f>
        <v>0</v>
      </c>
      <c r="AG193" s="1653"/>
      <c r="AH193" s="1657">
        <f>+AH151-AH192</f>
        <v>0</v>
      </c>
      <c r="AI193" s="5172"/>
      <c r="AJ193" s="1657">
        <f>+AJ151-AJ192</f>
        <v>0</v>
      </c>
      <c r="AK193" s="1653"/>
      <c r="AL193" s="1657">
        <f>+AL151-AL192</f>
        <v>0</v>
      </c>
      <c r="AM193" s="1653"/>
      <c r="AN193" s="1657">
        <f>+AN151-AN192</f>
        <v>0</v>
      </c>
      <c r="AO193" s="2744"/>
      <c r="AP193" s="1657">
        <f>+AP151-AP192</f>
        <v>0</v>
      </c>
      <c r="AQ193" s="1653"/>
      <c r="AR193" s="1657">
        <f>+AR151-AR192</f>
        <v>0</v>
      </c>
      <c r="AT193" s="1657">
        <f>+AT151-AT192</f>
        <v>0</v>
      </c>
      <c r="AU193" s="1653"/>
      <c r="AV193" s="1657">
        <f>+AV151-AV192</f>
        <v>0</v>
      </c>
      <c r="AW193" s="5172"/>
      <c r="AX193" s="1657">
        <f>+AX151-AX192</f>
        <v>0</v>
      </c>
      <c r="AY193" s="1653"/>
      <c r="AZ193" s="1657">
        <f>+AZ151-AZ192</f>
        <v>0</v>
      </c>
      <c r="BA193" s="1653"/>
      <c r="BB193" s="1657">
        <f>+BB151-BB192</f>
        <v>0</v>
      </c>
      <c r="BC193" s="1657"/>
      <c r="BD193" s="1657">
        <f>+BD151-BD192</f>
        <v>0</v>
      </c>
      <c r="BE193" s="1657"/>
      <c r="BF193" s="1657">
        <f>+BF151-BF192</f>
        <v>0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x14ac:dyDescent="0.25">
      <c r="AK194" s="2744"/>
      <c r="AL194" s="2744"/>
      <c r="AM194" s="2744"/>
      <c r="AN194" s="2744"/>
      <c r="AO194" s="2744"/>
      <c r="AP194" s="2744"/>
    </row>
    <row r="195" spans="2:66" x14ac:dyDescent="0.25">
      <c r="C195" s="279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813"/>
      <c r="U195" s="117"/>
      <c r="V195" s="117"/>
      <c r="W195" s="117"/>
      <c r="X195" s="117"/>
      <c r="Y195" s="117"/>
      <c r="Z195" s="117"/>
      <c r="AA195" s="117"/>
      <c r="AB195" s="117"/>
      <c r="AK195" s="2744"/>
      <c r="AL195" s="2744"/>
      <c r="AM195" s="117"/>
      <c r="AN195" s="117"/>
      <c r="AO195" s="2744"/>
      <c r="AP195" s="2744"/>
    </row>
    <row r="196" spans="2:66" x14ac:dyDescent="0.25"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813"/>
      <c r="U196" s="117"/>
      <c r="V196" s="117"/>
      <c r="W196" s="117"/>
      <c r="X196" s="117"/>
      <c r="Y196" s="117"/>
      <c r="Z196" s="117"/>
      <c r="AA196" s="117"/>
      <c r="AB196" s="117"/>
    </row>
    <row r="197" spans="2:66" x14ac:dyDescent="0.25"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</row>
    <row r="199" spans="2:66" x14ac:dyDescent="0.25">
      <c r="B199" s="3219"/>
      <c r="C199" s="3251"/>
    </row>
    <row r="200" spans="2:66" x14ac:dyDescent="0.25">
      <c r="C200" s="279"/>
    </row>
    <row r="201" spans="2:66" x14ac:dyDescent="0.25">
      <c r="E201" s="6700"/>
      <c r="F201" s="6700"/>
      <c r="G201" s="6700"/>
      <c r="H201" s="6700"/>
      <c r="I201" s="6700"/>
      <c r="J201" s="6700"/>
      <c r="K201" s="6700"/>
      <c r="L201" s="6700"/>
      <c r="M201" s="6700"/>
      <c r="N201" s="6700"/>
      <c r="O201" s="6700"/>
      <c r="P201" s="6700"/>
      <c r="Q201" s="6700"/>
      <c r="R201" s="6700"/>
      <c r="S201" s="6700"/>
      <c r="T201" s="6700"/>
      <c r="U201" s="6700"/>
      <c r="V201" s="6700"/>
      <c r="W201" s="6700"/>
      <c r="X201" s="6700"/>
      <c r="Y201" s="6700"/>
      <c r="Z201" s="6700"/>
      <c r="AA201" s="6700"/>
      <c r="AB201" s="6700"/>
      <c r="AC201" s="6700"/>
      <c r="AD201" s="6700"/>
      <c r="AE201" s="6700"/>
      <c r="AF201" s="6700"/>
      <c r="AG201" s="6700"/>
      <c r="AH201" s="6700"/>
      <c r="AI201" s="6700"/>
      <c r="AJ201" s="6700"/>
      <c r="AK201" s="6700"/>
      <c r="AL201" s="6700"/>
      <c r="AM201" s="6700"/>
      <c r="AN201" s="6700"/>
      <c r="AO201" s="6700"/>
      <c r="AP201" s="6700"/>
      <c r="AQ201" s="6700"/>
      <c r="AR201" s="6700"/>
      <c r="AS201" s="6700"/>
      <c r="AT201" s="6700"/>
      <c r="AU201" s="6700"/>
      <c r="AV201" s="6700"/>
      <c r="AW201" s="6700"/>
      <c r="AX201" s="6700"/>
      <c r="AY201" s="6700"/>
      <c r="AZ201" s="6700"/>
      <c r="BA201" s="6700"/>
      <c r="BB201" s="6700"/>
      <c r="BC201" s="6700"/>
      <c r="BD201" s="6700"/>
      <c r="BE201" s="6700"/>
      <c r="BF201" s="6700"/>
    </row>
    <row r="202" spans="2:66" x14ac:dyDescent="0.25">
      <c r="C202" s="1652"/>
    </row>
    <row r="203" spans="2:66" x14ac:dyDescent="0.25">
      <c r="C203" s="3252"/>
    </row>
    <row r="204" spans="2:66" x14ac:dyDescent="0.25">
      <c r="C204" s="3252"/>
    </row>
  </sheetData>
  <autoFilter ref="C3:C170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95"/>
  <sheetViews>
    <sheetView topLeftCell="A86" zoomScaleNormal="100" workbookViewId="0">
      <pane xSplit="4" topLeftCell="E1" activePane="topRight" state="frozen"/>
      <selection pane="topRight" activeCell="BG5" sqref="BG5:BJ91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customWidth="1"/>
    <col min="10" max="10" width="9.42578125" customWidth="1"/>
    <col min="11" max="12" width="8.7109375" hidden="1" customWidth="1"/>
    <col min="13" max="13" width="13.42578125" hidden="1" customWidth="1"/>
    <col min="14" max="14" width="9" hidden="1" customWidth="1"/>
    <col min="15" max="15" width="9.140625" hidden="1" customWidth="1"/>
    <col min="16" max="16" width="8" hidden="1" customWidth="1"/>
    <col min="17" max="17" width="12.140625" hidden="1" customWidth="1"/>
    <col min="18" max="18" width="9.42578125" hidden="1" customWidth="1"/>
    <col min="19" max="19" width="8.85546875" hidden="1" customWidth="1"/>
    <col min="20" max="20" width="11.28515625" hidden="1" customWidth="1"/>
    <col min="21" max="22" width="9" hidden="1" customWidth="1"/>
    <col min="23" max="23" width="8.7109375" hidden="1" customWidth="1"/>
    <col min="24" max="24" width="9.5703125" hidden="1" customWidth="1"/>
    <col min="25" max="25" width="9.28515625" hidden="1" customWidth="1"/>
    <col min="26" max="26" width="9" hidden="1" customWidth="1"/>
    <col min="27" max="27" width="9.28515625" hidden="1" customWidth="1"/>
    <col min="28" max="28" width="9" hidden="1" customWidth="1"/>
    <col min="29" max="29" width="8.85546875" hidden="1" customWidth="1"/>
    <col min="30" max="30" width="9.5703125" hidden="1" customWidth="1"/>
    <col min="31" max="48" width="8.85546875" hidden="1" customWidth="1"/>
    <col min="49" max="49" width="9" hidden="1" customWidth="1"/>
    <col min="50" max="52" width="8.85546875" hidden="1" customWidth="1"/>
    <col min="53" max="56" width="8.85546875" style="3056" hidden="1" customWidth="1"/>
    <col min="57" max="58" width="8.85546875" hidden="1" customWidth="1"/>
  </cols>
  <sheetData>
    <row r="1" spans="1:66" ht="22.5" x14ac:dyDescent="0.3">
      <c r="B1" s="389" t="s">
        <v>95</v>
      </c>
      <c r="C1" s="389"/>
      <c r="D1" s="45"/>
      <c r="E1" s="45"/>
      <c r="F1" s="5494"/>
      <c r="G1" s="45"/>
      <c r="H1" s="599"/>
      <c r="I1" s="45"/>
      <c r="J1" s="45"/>
      <c r="K1" s="154"/>
      <c r="L1" s="599"/>
      <c r="M1" s="93"/>
      <c r="N1" s="93"/>
      <c r="O1" s="154"/>
      <c r="P1" s="1604"/>
      <c r="Q1" s="93"/>
      <c r="R1" s="117"/>
      <c r="S1" s="93"/>
      <c r="T1" s="1805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1805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805">
        <v>31</v>
      </c>
      <c r="AE2" s="93">
        <f>+AA2+AC2</f>
        <v>214</v>
      </c>
      <c r="AF2" s="93">
        <f>+AB2+AD2</f>
        <v>214</v>
      </c>
      <c r="AG2" s="93">
        <v>30</v>
      </c>
      <c r="AH2" s="1805">
        <v>30</v>
      </c>
      <c r="AI2" s="93">
        <f>+AE2+AG2</f>
        <v>244</v>
      </c>
      <c r="AJ2" s="93">
        <f>+AF2+AH2</f>
        <v>244</v>
      </c>
      <c r="AK2" s="93">
        <v>31</v>
      </c>
      <c r="AL2" s="1805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805">
        <v>31</v>
      </c>
      <c r="AS2" s="93">
        <f>+AO2+AQ2</f>
        <v>306</v>
      </c>
      <c r="AT2" s="93">
        <f>+AP2+AR2</f>
        <v>306</v>
      </c>
      <c r="AU2" s="93">
        <v>28</v>
      </c>
      <c r="AV2" s="1805">
        <v>28</v>
      </c>
      <c r="AW2" s="93">
        <f>+AS2+AU2</f>
        <v>334</v>
      </c>
      <c r="AX2" s="93">
        <f>+AT2+AV2</f>
        <v>334</v>
      </c>
      <c r="AY2" s="93">
        <v>31</v>
      </c>
      <c r="AZ2" s="1805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440" t="s">
        <v>171</v>
      </c>
      <c r="C3" s="7716" t="s">
        <v>850</v>
      </c>
      <c r="D3" s="7375" t="s">
        <v>172</v>
      </c>
      <c r="E3" s="7364" t="s">
        <v>2254</v>
      </c>
      <c r="F3" s="7443"/>
      <c r="G3" s="7364" t="s">
        <v>2306</v>
      </c>
      <c r="H3" s="7364"/>
      <c r="I3" s="7362" t="s">
        <v>14</v>
      </c>
      <c r="J3" s="7363"/>
      <c r="K3" s="7370" t="s">
        <v>1903</v>
      </c>
      <c r="L3" s="7377"/>
      <c r="M3" s="7383" t="s">
        <v>637</v>
      </c>
      <c r="N3" s="7372"/>
      <c r="O3" s="7364" t="s">
        <v>1937</v>
      </c>
      <c r="P3" s="7364"/>
      <c r="Q3" s="7362" t="s">
        <v>17</v>
      </c>
      <c r="R3" s="7363"/>
      <c r="S3" s="7364" t="s">
        <v>1961</v>
      </c>
      <c r="T3" s="7364"/>
      <c r="U3" s="7362" t="s">
        <v>18</v>
      </c>
      <c r="V3" s="7363"/>
      <c r="W3" s="7364" t="s">
        <v>1983</v>
      </c>
      <c r="X3" s="7364"/>
      <c r="Y3" s="7383" t="s">
        <v>660</v>
      </c>
      <c r="Z3" s="7372"/>
      <c r="AA3" s="7354" t="s">
        <v>657</v>
      </c>
      <c r="AB3" s="7355"/>
      <c r="AC3" s="7364" t="s">
        <v>2002</v>
      </c>
      <c r="AD3" s="7364"/>
      <c r="AE3" s="7362" t="s">
        <v>24</v>
      </c>
      <c r="AF3" s="7363"/>
      <c r="AG3" s="7364" t="s">
        <v>2018</v>
      </c>
      <c r="AH3" s="7364"/>
      <c r="AI3" s="7362" t="s">
        <v>27</v>
      </c>
      <c r="AJ3" s="7363"/>
      <c r="AK3" s="7364" t="s">
        <v>2033</v>
      </c>
      <c r="AL3" s="7364"/>
      <c r="AM3" s="7383" t="s">
        <v>662</v>
      </c>
      <c r="AN3" s="7372"/>
      <c r="AO3" s="7362" t="s">
        <v>1683</v>
      </c>
      <c r="AP3" s="7363"/>
      <c r="AQ3" s="7364" t="s">
        <v>2137</v>
      </c>
      <c r="AR3" s="7364"/>
      <c r="AS3" s="7362" t="s">
        <v>28</v>
      </c>
      <c r="AT3" s="7363"/>
      <c r="AU3" s="7364" t="s">
        <v>2151</v>
      </c>
      <c r="AV3" s="7364"/>
      <c r="AW3" s="7362" t="s">
        <v>30</v>
      </c>
      <c r="AX3" s="7363"/>
      <c r="AY3" s="7364" t="s">
        <v>2163</v>
      </c>
      <c r="AZ3" s="7364"/>
      <c r="BA3" s="7383" t="s">
        <v>663</v>
      </c>
      <c r="BB3" s="7372"/>
      <c r="BC3" s="7354" t="s">
        <v>671</v>
      </c>
      <c r="BD3" s="7355"/>
      <c r="BE3" s="7362" t="s">
        <v>1765</v>
      </c>
      <c r="BF3" s="7363"/>
    </row>
    <row r="4" spans="1:66" ht="15.75" thickBot="1" x14ac:dyDescent="0.3">
      <c r="B4" s="7694"/>
      <c r="C4" s="7717"/>
      <c r="D4" s="7376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807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5" t="s">
        <v>173</v>
      </c>
      <c r="Z4" s="170" t="s">
        <v>174</v>
      </c>
      <c r="AA4" s="706" t="s">
        <v>173</v>
      </c>
      <c r="AB4" s="467" t="s">
        <v>174</v>
      </c>
      <c r="AC4" s="232" t="s">
        <v>173</v>
      </c>
      <c r="AD4" s="1807" t="s">
        <v>174</v>
      </c>
      <c r="AE4" s="2630" t="s">
        <v>173</v>
      </c>
      <c r="AF4" s="163" t="s">
        <v>174</v>
      </c>
      <c r="AG4" s="232" t="s">
        <v>173</v>
      </c>
      <c r="AH4" s="1807" t="s">
        <v>174</v>
      </c>
      <c r="AI4" s="2669" t="s">
        <v>173</v>
      </c>
      <c r="AJ4" s="163" t="s">
        <v>174</v>
      </c>
      <c r="AK4" s="232" t="s">
        <v>173</v>
      </c>
      <c r="AL4" s="1807" t="s">
        <v>174</v>
      </c>
      <c r="AM4" s="2739" t="s">
        <v>173</v>
      </c>
      <c r="AN4" s="170" t="s">
        <v>174</v>
      </c>
      <c r="AO4" s="2741" t="s">
        <v>173</v>
      </c>
      <c r="AP4" s="163" t="s">
        <v>174</v>
      </c>
      <c r="AQ4" s="232" t="s">
        <v>173</v>
      </c>
      <c r="AR4" s="1807" t="s">
        <v>174</v>
      </c>
      <c r="AS4" s="2808" t="s">
        <v>173</v>
      </c>
      <c r="AT4" s="163" t="s">
        <v>174</v>
      </c>
      <c r="AU4" s="232" t="s">
        <v>173</v>
      </c>
      <c r="AV4" s="1807" t="s">
        <v>174</v>
      </c>
      <c r="AW4" s="2845" t="s">
        <v>173</v>
      </c>
      <c r="AX4" s="163" t="s">
        <v>174</v>
      </c>
      <c r="AY4" s="232" t="s">
        <v>173</v>
      </c>
      <c r="AZ4" s="1807" t="s">
        <v>174</v>
      </c>
      <c r="BA4" s="3051" t="s">
        <v>173</v>
      </c>
      <c r="BB4" s="170" t="s">
        <v>174</v>
      </c>
      <c r="BC4" s="3054" t="s">
        <v>173</v>
      </c>
      <c r="BD4" s="467" t="s">
        <v>174</v>
      </c>
      <c r="BE4" s="3055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3" t="s">
        <v>50</v>
      </c>
      <c r="E5" s="886">
        <v>78756.476683937828</v>
      </c>
      <c r="F5" s="577">
        <v>69436.443999999974</v>
      </c>
      <c r="G5" s="886">
        <v>81865.284974093272</v>
      </c>
      <c r="H5" s="577">
        <v>78924.165999999954</v>
      </c>
      <c r="I5" s="887">
        <f>+E5+G5</f>
        <v>160621.76165803109</v>
      </c>
      <c r="J5" s="576">
        <f>+F5+H5</f>
        <v>148360.60999999993</v>
      </c>
      <c r="K5" s="886">
        <v>49740.932642487045</v>
      </c>
      <c r="L5" s="577">
        <v>51547.775999999991</v>
      </c>
      <c r="M5" s="665">
        <f>+E5+G5+K5</f>
        <v>210362.69430051814</v>
      </c>
      <c r="N5" s="665">
        <f>+F5+H5+L5</f>
        <v>199908.38599999991</v>
      </c>
      <c r="O5" s="886">
        <v>38860.103626943004</v>
      </c>
      <c r="P5" s="577">
        <v>72806.330999999962</v>
      </c>
      <c r="Q5" s="887">
        <f>+M5+O5</f>
        <v>249222.79792746116</v>
      </c>
      <c r="R5" s="887">
        <f>+N5+P5</f>
        <v>272714.71699999989</v>
      </c>
      <c r="S5" s="886">
        <v>82901.554404145078</v>
      </c>
      <c r="T5" s="577">
        <v>73856.81799999997</v>
      </c>
      <c r="U5" s="887">
        <f>+Q5+S5</f>
        <v>332124.35233160621</v>
      </c>
      <c r="V5" s="887">
        <f>+R5+T5</f>
        <v>346571.53499999986</v>
      </c>
      <c r="W5" s="886">
        <v>80310.880829015543</v>
      </c>
      <c r="X5" s="577">
        <v>73231.073999999993</v>
      </c>
      <c r="Y5" s="665">
        <f>+O5+S5+W5</f>
        <v>202072.53886010364</v>
      </c>
      <c r="Z5" s="665">
        <f>+P5+T5+X5</f>
        <v>219894.22299999991</v>
      </c>
      <c r="AA5" s="666">
        <f>+M5+Y5</f>
        <v>412435.23316062178</v>
      </c>
      <c r="AB5" s="666">
        <f>+N5+Z5</f>
        <v>419802.60899999982</v>
      </c>
      <c r="AC5" s="886">
        <v>82901.554404145078</v>
      </c>
      <c r="AD5" s="577">
        <v>69381.48</v>
      </c>
      <c r="AE5" s="887">
        <f>+AA5+AC5</f>
        <v>495336.78756476683</v>
      </c>
      <c r="AF5" s="887">
        <f>+AB5+AD5</f>
        <v>489184.0889999998</v>
      </c>
      <c r="AG5" s="886">
        <v>80310.880829015543</v>
      </c>
      <c r="AH5" s="577">
        <v>3338.0060000000003</v>
      </c>
      <c r="AI5" s="887">
        <f>+AE5+AG5</f>
        <v>575647.66839378234</v>
      </c>
      <c r="AJ5" s="887">
        <f>+AF5+AH5</f>
        <v>492522.0949999998</v>
      </c>
      <c r="AK5" s="886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7">
        <f>AI5+AK5</f>
        <v>658549.22279792745</v>
      </c>
      <c r="AP5" s="887">
        <f>AJ5+AL5</f>
        <v>565869.43899999978</v>
      </c>
      <c r="AQ5" s="886">
        <v>82901.554404145078</v>
      </c>
      <c r="AR5" s="577">
        <v>72892.833999999901</v>
      </c>
      <c r="AS5" s="887">
        <f>+AO5+AQ5</f>
        <v>741450.77720207255</v>
      </c>
      <c r="AT5" s="887">
        <f>+AP5+AR5</f>
        <v>638762.2729999997</v>
      </c>
      <c r="AU5" s="886">
        <v>75129.533678756474</v>
      </c>
      <c r="AV5" s="577">
        <v>68607.755999999979</v>
      </c>
      <c r="AW5" s="887">
        <f>+AS5+AU5</f>
        <v>816580.310880829</v>
      </c>
      <c r="AX5" s="887">
        <f>+AT5+AV5</f>
        <v>707370.02899999963</v>
      </c>
      <c r="AY5" s="886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7">
        <f>+AW5+AY5</f>
        <v>899481.8652849741</v>
      </c>
      <c r="BF5" s="887">
        <f>+AX5+AZ5</f>
        <v>788310.86099999957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68" t="s">
        <v>313</v>
      </c>
      <c r="C6" s="3569"/>
      <c r="D6" s="3569"/>
      <c r="E6" s="3570"/>
      <c r="F6" s="3571"/>
      <c r="G6" s="3570"/>
      <c r="H6" s="3571"/>
      <c r="I6" s="3570"/>
      <c r="J6" s="3570"/>
      <c r="K6" s="3570"/>
      <c r="L6" s="3571"/>
      <c r="M6" s="578"/>
      <c r="N6" s="578"/>
      <c r="O6" s="3570"/>
      <c r="P6" s="3571"/>
      <c r="Q6" s="578"/>
      <c r="R6" s="578"/>
      <c r="S6" s="3570"/>
      <c r="T6" s="3571"/>
      <c r="U6" s="578"/>
      <c r="V6" s="578"/>
      <c r="W6" s="3570"/>
      <c r="X6" s="3571"/>
      <c r="Y6" s="578"/>
      <c r="Z6" s="578"/>
      <c r="AA6" s="578"/>
      <c r="AB6" s="588"/>
      <c r="AC6" s="3570"/>
      <c r="AD6" s="3571"/>
      <c r="AE6" s="578"/>
      <c r="AF6" s="578"/>
      <c r="AG6" s="3570"/>
      <c r="AH6" s="3571"/>
      <c r="AI6" s="578"/>
      <c r="AJ6" s="578"/>
      <c r="AK6" s="3570"/>
      <c r="AL6" s="3571"/>
      <c r="AM6" s="578"/>
      <c r="AN6" s="578"/>
      <c r="AO6" s="578"/>
      <c r="AP6" s="578"/>
      <c r="AQ6" s="3570"/>
      <c r="AR6" s="3571"/>
      <c r="AS6" s="578"/>
      <c r="AT6" s="578"/>
      <c r="AU6" s="3570"/>
      <c r="AV6" s="3571"/>
      <c r="AW6" s="578"/>
      <c r="AX6" s="578"/>
      <c r="AY6" s="3570"/>
      <c r="AZ6" s="3571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74" t="s">
        <v>858</v>
      </c>
      <c r="C7" s="3575" t="s">
        <v>1044</v>
      </c>
      <c r="D7" s="759" t="s">
        <v>50</v>
      </c>
      <c r="E7" s="3576"/>
      <c r="F7" s="275"/>
      <c r="G7" s="3576"/>
      <c r="H7" s="275"/>
      <c r="I7" s="373"/>
      <c r="J7" s="6672">
        <f t="shared" ref="J7:J40" si="0">+F7+H7</f>
        <v>0</v>
      </c>
      <c r="K7" s="6656"/>
      <c r="L7" s="275"/>
      <c r="M7" s="782"/>
      <c r="N7" s="782">
        <f t="shared" ref="N7:N40" si="1">+F7+H7+L7</f>
        <v>0</v>
      </c>
      <c r="O7" s="3576"/>
      <c r="P7" s="275"/>
      <c r="Q7" s="783"/>
      <c r="R7" s="783">
        <f t="shared" ref="R7:R39" si="2">+N7+P7</f>
        <v>0</v>
      </c>
      <c r="S7" s="3576"/>
      <c r="T7" s="275"/>
      <c r="U7" s="4938"/>
      <c r="V7" s="4938">
        <f t="shared" ref="V7:V40" si="3">+R7+T7</f>
        <v>0</v>
      </c>
      <c r="W7" s="3576"/>
      <c r="X7" s="275"/>
      <c r="Y7" s="802"/>
      <c r="Z7" s="782">
        <f t="shared" ref="Z7:Z40" si="4">+P7+T7+X7</f>
        <v>0</v>
      </c>
      <c r="AA7" s="522"/>
      <c r="AB7" s="662">
        <f t="shared" ref="AB7:AB40" si="5">+N7+Z7</f>
        <v>0</v>
      </c>
      <c r="AC7" s="3576"/>
      <c r="AD7" s="275"/>
      <c r="AE7" s="2399"/>
      <c r="AF7" s="2399">
        <f t="shared" ref="AF7:AF40" si="6">+AB7+AD7</f>
        <v>0</v>
      </c>
      <c r="AG7" s="3576"/>
      <c r="AH7" s="275"/>
      <c r="AI7" s="5535"/>
      <c r="AJ7" s="5535">
        <f t="shared" ref="AJ7:AJ40" si="7">+AF7+AH7</f>
        <v>0</v>
      </c>
      <c r="AK7" s="3576"/>
      <c r="AL7" s="275"/>
      <c r="AM7" s="802"/>
      <c r="AN7" s="2736">
        <f t="shared" ref="AN7:AN40" si="8">+AD7+AH7+AL7</f>
        <v>0</v>
      </c>
      <c r="AO7" s="2399"/>
      <c r="AP7" s="2399">
        <f t="shared" ref="AP7:AP40" si="9">AJ7+AL7</f>
        <v>0</v>
      </c>
      <c r="AQ7" s="3576"/>
      <c r="AR7" s="275"/>
      <c r="AS7" s="2399"/>
      <c r="AT7" s="2399">
        <f t="shared" ref="AT7:AT40" si="10">+AP7+AR7</f>
        <v>0</v>
      </c>
      <c r="AU7" s="3576"/>
      <c r="AV7" s="275"/>
      <c r="AW7" s="6273"/>
      <c r="AX7" s="6273">
        <f t="shared" ref="AX7:AX40" si="11">+AT7+AV7</f>
        <v>0</v>
      </c>
      <c r="AY7" s="3576"/>
      <c r="AZ7" s="275"/>
      <c r="BA7" s="802"/>
      <c r="BB7" s="3048">
        <f t="shared" ref="BB7:BB40" si="12">+AR7+AV7+AZ7</f>
        <v>0</v>
      </c>
      <c r="BC7" s="522"/>
      <c r="BD7" s="662">
        <f t="shared" ref="BD7:BD40" si="13">+AN7+BB7</f>
        <v>0</v>
      </c>
      <c r="BE7" s="2399"/>
      <c r="BF7" s="2399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8" t="s">
        <v>858</v>
      </c>
      <c r="C8" s="3577" t="s">
        <v>1045</v>
      </c>
      <c r="D8" s="3479" t="s">
        <v>50</v>
      </c>
      <c r="E8" s="3578"/>
      <c r="F8" s="3202"/>
      <c r="G8" s="3578"/>
      <c r="H8" s="7205"/>
      <c r="I8" s="3133"/>
      <c r="J8" s="6672">
        <f t="shared" si="0"/>
        <v>0</v>
      </c>
      <c r="K8" s="6657"/>
      <c r="L8" s="4602"/>
      <c r="M8" s="782"/>
      <c r="N8" s="4594">
        <f t="shared" si="1"/>
        <v>0</v>
      </c>
      <c r="O8" s="3578"/>
      <c r="P8" s="4790"/>
      <c r="Q8" s="783"/>
      <c r="R8" s="4854">
        <f t="shared" si="2"/>
        <v>0</v>
      </c>
      <c r="S8" s="3578"/>
      <c r="T8" s="4943"/>
      <c r="U8" s="4938"/>
      <c r="V8" s="4938">
        <f t="shared" si="3"/>
        <v>0</v>
      </c>
      <c r="W8" s="3578"/>
      <c r="X8" s="5080"/>
      <c r="Y8" s="802"/>
      <c r="Z8" s="5069">
        <f t="shared" si="4"/>
        <v>0</v>
      </c>
      <c r="AA8" s="522"/>
      <c r="AB8" s="662">
        <f t="shared" si="5"/>
        <v>0</v>
      </c>
      <c r="AC8" s="3578"/>
      <c r="AD8" s="5365"/>
      <c r="AE8" s="2399"/>
      <c r="AF8" s="5359">
        <f t="shared" si="6"/>
        <v>0</v>
      </c>
      <c r="AG8" s="3578"/>
      <c r="AH8" s="5552"/>
      <c r="AI8" s="5535"/>
      <c r="AJ8" s="5535">
        <f t="shared" si="7"/>
        <v>0</v>
      </c>
      <c r="AK8" s="3578"/>
      <c r="AL8" s="5961"/>
      <c r="AM8" s="802"/>
      <c r="AN8" s="5955">
        <f t="shared" si="8"/>
        <v>0</v>
      </c>
      <c r="AO8" s="2399"/>
      <c r="AP8" s="5960">
        <f t="shared" si="9"/>
        <v>0</v>
      </c>
      <c r="AQ8" s="3578"/>
      <c r="AR8" s="6114"/>
      <c r="AS8" s="2399"/>
      <c r="AT8" s="2399">
        <f t="shared" si="10"/>
        <v>0</v>
      </c>
      <c r="AU8" s="3578"/>
      <c r="AV8" s="6279"/>
      <c r="AW8" s="6273"/>
      <c r="AX8" s="6488">
        <f t="shared" si="11"/>
        <v>0</v>
      </c>
      <c r="AY8" s="3578"/>
      <c r="AZ8" s="6433">
        <v>3802.0499999999997</v>
      </c>
      <c r="BA8" s="802"/>
      <c r="BB8" s="3048">
        <f t="shared" si="12"/>
        <v>3802.0499999999997</v>
      </c>
      <c r="BC8" s="522"/>
      <c r="BD8" s="662">
        <f t="shared" si="13"/>
        <v>3802.0499999999997</v>
      </c>
      <c r="BE8" s="2399"/>
      <c r="BF8" s="2399">
        <f t="shared" ref="BF8:BF40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79" t="s">
        <v>858</v>
      </c>
      <c r="C9" s="3580" t="s">
        <v>1014</v>
      </c>
      <c r="D9" s="750" t="s">
        <v>50</v>
      </c>
      <c r="E9" s="3581"/>
      <c r="F9" s="234"/>
      <c r="G9" s="3581"/>
      <c r="H9" s="234"/>
      <c r="I9" s="589"/>
      <c r="J9" s="6672">
        <f t="shared" si="0"/>
        <v>0</v>
      </c>
      <c r="K9" s="6658"/>
      <c r="L9" s="234"/>
      <c r="M9" s="782"/>
      <c r="N9" s="6643">
        <f t="shared" si="1"/>
        <v>0</v>
      </c>
      <c r="O9" s="3581"/>
      <c r="P9" s="234"/>
      <c r="Q9" s="783"/>
      <c r="R9" s="4854">
        <f t="shared" si="2"/>
        <v>0</v>
      </c>
      <c r="S9" s="3581"/>
      <c r="T9" s="234"/>
      <c r="U9" s="4938"/>
      <c r="V9" s="4938">
        <f t="shared" si="3"/>
        <v>0</v>
      </c>
      <c r="W9" s="3581"/>
      <c r="X9" s="234"/>
      <c r="Y9" s="802"/>
      <c r="Z9" s="5069">
        <f t="shared" si="4"/>
        <v>0</v>
      </c>
      <c r="AA9" s="522"/>
      <c r="AB9" s="662">
        <f t="shared" si="5"/>
        <v>0</v>
      </c>
      <c r="AC9" s="3581"/>
      <c r="AD9" s="234"/>
      <c r="AE9" s="2399"/>
      <c r="AF9" s="5359">
        <f t="shared" si="6"/>
        <v>0</v>
      </c>
      <c r="AG9" s="3581"/>
      <c r="AH9" s="234"/>
      <c r="AI9" s="5535"/>
      <c r="AJ9" s="5535">
        <f t="shared" si="7"/>
        <v>0</v>
      </c>
      <c r="AK9" s="3581"/>
      <c r="AL9" s="234"/>
      <c r="AM9" s="802"/>
      <c r="AN9" s="5955">
        <f t="shared" si="8"/>
        <v>0</v>
      </c>
      <c r="AO9" s="2399"/>
      <c r="AP9" s="5960">
        <f t="shared" si="9"/>
        <v>0</v>
      </c>
      <c r="AQ9" s="3581"/>
      <c r="AR9" s="234"/>
      <c r="AS9" s="2399"/>
      <c r="AT9" s="2399">
        <f t="shared" si="10"/>
        <v>0</v>
      </c>
      <c r="AU9" s="3581"/>
      <c r="AV9" s="234"/>
      <c r="AW9" s="6273"/>
      <c r="AX9" s="6488">
        <f t="shared" si="11"/>
        <v>0</v>
      </c>
      <c r="AY9" s="3581"/>
      <c r="AZ9" s="234"/>
      <c r="BA9" s="802"/>
      <c r="BB9" s="3048">
        <f t="shared" si="12"/>
        <v>0</v>
      </c>
      <c r="BC9" s="522"/>
      <c r="BD9" s="662">
        <f t="shared" si="13"/>
        <v>0</v>
      </c>
      <c r="BE9" s="2399"/>
      <c r="BF9" s="2399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5172" customFormat="1" ht="16.5" thickBot="1" x14ac:dyDescent="0.3">
      <c r="A10" s="149"/>
      <c r="B10" s="6467" t="s">
        <v>2170</v>
      </c>
      <c r="C10" s="6468" t="s">
        <v>1044</v>
      </c>
      <c r="D10" s="826" t="s">
        <v>50</v>
      </c>
      <c r="E10" s="6469"/>
      <c r="F10" s="2444"/>
      <c r="G10" s="6469"/>
      <c r="H10" s="2444"/>
      <c r="I10" s="4207"/>
      <c r="J10" s="6672">
        <f t="shared" si="0"/>
        <v>0</v>
      </c>
      <c r="K10" s="6659"/>
      <c r="L10" s="2444"/>
      <c r="M10" s="6456"/>
      <c r="N10" s="6643">
        <f t="shared" si="1"/>
        <v>0</v>
      </c>
      <c r="O10" s="6469"/>
      <c r="P10" s="2444"/>
      <c r="Q10" s="6454"/>
      <c r="R10" s="6454"/>
      <c r="S10" s="6469"/>
      <c r="T10" s="2444"/>
      <c r="U10" s="6454"/>
      <c r="V10" s="6454"/>
      <c r="W10" s="6469"/>
      <c r="X10" s="2444"/>
      <c r="Y10" s="6470"/>
      <c r="Z10" s="6456"/>
      <c r="AA10" s="6471"/>
      <c r="AB10" s="6458"/>
      <c r="AC10" s="6469"/>
      <c r="AD10" s="2444"/>
      <c r="AE10" s="6454"/>
      <c r="AF10" s="6454"/>
      <c r="AG10" s="6469"/>
      <c r="AH10" s="2444"/>
      <c r="AI10" s="6454"/>
      <c r="AJ10" s="6454"/>
      <c r="AK10" s="6469"/>
      <c r="AL10" s="2444"/>
      <c r="AM10" s="6470"/>
      <c r="AN10" s="6456"/>
      <c r="AO10" s="6454"/>
      <c r="AP10" s="6454"/>
      <c r="AQ10" s="6469"/>
      <c r="AR10" s="2444"/>
      <c r="AS10" s="6454"/>
      <c r="AT10" s="6454"/>
      <c r="AU10" s="6469"/>
      <c r="AV10" s="2444"/>
      <c r="AW10" s="6454"/>
      <c r="AX10" s="6488">
        <f t="shared" si="11"/>
        <v>0</v>
      </c>
      <c r="AY10" s="6469"/>
      <c r="AZ10" s="2444">
        <f>3161.57-34.5</f>
        <v>3127.07</v>
      </c>
      <c r="BA10" s="6470"/>
      <c r="BB10" s="6449">
        <f t="shared" si="12"/>
        <v>3127.07</v>
      </c>
      <c r="BC10" s="6471"/>
      <c r="BD10" s="662">
        <f t="shared" si="13"/>
        <v>3127.07</v>
      </c>
      <c r="BE10" s="6454"/>
      <c r="BF10" s="6450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74" t="s">
        <v>857</v>
      </c>
      <c r="C11" s="3575" t="s">
        <v>1044</v>
      </c>
      <c r="D11" s="759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6672">
        <f t="shared" si="0"/>
        <v>10557.695000000007</v>
      </c>
      <c r="K11" s="6660"/>
      <c r="L11" s="275">
        <v>7011.320000000017</v>
      </c>
      <c r="M11" s="782"/>
      <c r="N11" s="4594">
        <f t="shared" si="1"/>
        <v>17569.015000000025</v>
      </c>
      <c r="O11" s="158"/>
      <c r="P11" s="275">
        <f>7269.975-2.27</f>
        <v>7267.7049999999999</v>
      </c>
      <c r="Q11" s="783"/>
      <c r="R11" s="4854">
        <f t="shared" si="2"/>
        <v>24836.720000000023</v>
      </c>
      <c r="S11" s="158"/>
      <c r="T11" s="275">
        <v>7027.5580000000036</v>
      </c>
      <c r="U11" s="4938"/>
      <c r="V11" s="4938">
        <f t="shared" si="3"/>
        <v>31864.278000000028</v>
      </c>
      <c r="W11" s="158"/>
      <c r="X11" s="275">
        <v>4685.095000000003</v>
      </c>
      <c r="Y11" s="802"/>
      <c r="Z11" s="5069">
        <f t="shared" si="4"/>
        <v>18980.358000000007</v>
      </c>
      <c r="AA11" s="522"/>
      <c r="AB11" s="662">
        <f t="shared" si="5"/>
        <v>36549.373000000036</v>
      </c>
      <c r="AC11" s="158"/>
      <c r="AD11" s="275">
        <v>11458.67</v>
      </c>
      <c r="AE11" s="2399"/>
      <c r="AF11" s="5359">
        <f t="shared" si="6"/>
        <v>48008.043000000034</v>
      </c>
      <c r="AG11" s="158"/>
      <c r="AH11" s="275"/>
      <c r="AI11" s="5535"/>
      <c r="AJ11" s="5535">
        <f t="shared" si="7"/>
        <v>48008.043000000034</v>
      </c>
      <c r="AK11" s="158"/>
      <c r="AL11" s="275">
        <v>5603.1950000000061</v>
      </c>
      <c r="AM11" s="802"/>
      <c r="AN11" s="5955">
        <f t="shared" si="8"/>
        <v>17061.865000000005</v>
      </c>
      <c r="AO11" s="2399"/>
      <c r="AP11" s="5960">
        <f t="shared" si="9"/>
        <v>53611.238000000041</v>
      </c>
      <c r="AQ11" s="158"/>
      <c r="AR11" s="275">
        <v>5935.1350000000057</v>
      </c>
      <c r="AS11" s="2399"/>
      <c r="AT11" s="2399">
        <f t="shared" si="10"/>
        <v>59546.373000000051</v>
      </c>
      <c r="AU11" s="158"/>
      <c r="AV11" s="275">
        <v>5905.9600000000064</v>
      </c>
      <c r="AW11" s="6273"/>
      <c r="AX11" s="6488">
        <f t="shared" si="11"/>
        <v>65452.333000000057</v>
      </c>
      <c r="AY11" s="158"/>
      <c r="AZ11" s="275">
        <v>5147.265000000004</v>
      </c>
      <c r="BA11" s="802"/>
      <c r="BB11" s="6449">
        <f t="shared" si="12"/>
        <v>16988.360000000015</v>
      </c>
      <c r="BC11" s="522"/>
      <c r="BD11" s="662">
        <f t="shared" si="13"/>
        <v>34050.22500000002</v>
      </c>
      <c r="BE11" s="2399"/>
      <c r="BF11" s="2399">
        <f t="shared" si="14"/>
        <v>70599.598000000056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8" t="s">
        <v>857</v>
      </c>
      <c r="C12" s="3577" t="s">
        <v>1045</v>
      </c>
      <c r="D12" s="3479" t="s">
        <v>50</v>
      </c>
      <c r="E12" s="3132"/>
      <c r="F12" s="3202">
        <v>5074.1500000000015</v>
      </c>
      <c r="G12" s="7209"/>
      <c r="H12" s="7205">
        <v>10903.48000000002</v>
      </c>
      <c r="I12" s="3133"/>
      <c r="J12" s="6672">
        <f t="shared" si="0"/>
        <v>15977.630000000021</v>
      </c>
      <c r="K12" s="6661"/>
      <c r="L12" s="4602">
        <v>3098.1749999999997</v>
      </c>
      <c r="M12" s="782"/>
      <c r="N12" s="4594">
        <f t="shared" si="1"/>
        <v>19075.805000000022</v>
      </c>
      <c r="O12" s="4791"/>
      <c r="P12" s="4790">
        <v>3728.0350000000003</v>
      </c>
      <c r="Q12" s="783"/>
      <c r="R12" s="4854">
        <f t="shared" si="2"/>
        <v>22803.840000000022</v>
      </c>
      <c r="S12" s="4945"/>
      <c r="T12" s="4943">
        <v>5551.8970000000018</v>
      </c>
      <c r="U12" s="4938"/>
      <c r="V12" s="4938">
        <f t="shared" si="3"/>
        <v>28355.737000000023</v>
      </c>
      <c r="W12" s="5082"/>
      <c r="X12" s="5080">
        <f>10022.255-24.13</f>
        <v>9998.125</v>
      </c>
      <c r="Y12" s="802"/>
      <c r="Z12" s="5069">
        <f t="shared" si="4"/>
        <v>19278.057000000001</v>
      </c>
      <c r="AA12" s="522"/>
      <c r="AB12" s="662">
        <f t="shared" si="5"/>
        <v>38353.862000000023</v>
      </c>
      <c r="AC12" s="5368"/>
      <c r="AD12" s="5436">
        <v>7562.41</v>
      </c>
      <c r="AE12" s="2399"/>
      <c r="AF12" s="5359">
        <f t="shared" si="6"/>
        <v>45916.272000000026</v>
      </c>
      <c r="AG12" s="5555"/>
      <c r="AH12" s="5552"/>
      <c r="AI12" s="5535"/>
      <c r="AJ12" s="5535">
        <f t="shared" si="7"/>
        <v>45916.272000000026</v>
      </c>
      <c r="AK12" s="5964"/>
      <c r="AL12" s="5961">
        <v>7036.6150000000025</v>
      </c>
      <c r="AM12" s="802"/>
      <c r="AN12" s="5955">
        <f t="shared" si="8"/>
        <v>14599.025000000001</v>
      </c>
      <c r="AO12" s="2399"/>
      <c r="AP12" s="5960">
        <f t="shared" si="9"/>
        <v>52952.887000000032</v>
      </c>
      <c r="AQ12" s="6117"/>
      <c r="AR12" s="6114">
        <v>3977.5249999999987</v>
      </c>
      <c r="AS12" s="2399"/>
      <c r="AT12" s="2399">
        <f t="shared" si="10"/>
        <v>56930.412000000033</v>
      </c>
      <c r="AU12" s="6280"/>
      <c r="AV12" s="6279">
        <v>4997.0800000000027</v>
      </c>
      <c r="AW12" s="6273"/>
      <c r="AX12" s="6488">
        <f t="shared" si="11"/>
        <v>61927.492000000035</v>
      </c>
      <c r="AY12" s="6436"/>
      <c r="AZ12" s="6433">
        <v>7862.2250000000022</v>
      </c>
      <c r="BA12" s="802"/>
      <c r="BB12" s="3048">
        <f t="shared" si="12"/>
        <v>16836.830000000002</v>
      </c>
      <c r="BC12" s="522"/>
      <c r="BD12" s="662">
        <f t="shared" si="13"/>
        <v>31435.855000000003</v>
      </c>
      <c r="BE12" s="2399"/>
      <c r="BF12" s="2399">
        <f t="shared" si="14"/>
        <v>69789.717000000033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8" t="s">
        <v>857</v>
      </c>
      <c r="C13" s="3577" t="s">
        <v>1014</v>
      </c>
      <c r="D13" s="3479" t="s">
        <v>50</v>
      </c>
      <c r="E13" s="3132"/>
      <c r="F13" s="3202"/>
      <c r="G13" s="7209"/>
      <c r="H13" s="7205"/>
      <c r="I13" s="3133"/>
      <c r="J13" s="6672">
        <f t="shared" si="0"/>
        <v>0</v>
      </c>
      <c r="K13" s="6661"/>
      <c r="L13" s="4602"/>
      <c r="M13" s="782"/>
      <c r="N13" s="4594">
        <f t="shared" si="1"/>
        <v>0</v>
      </c>
      <c r="O13" s="4791"/>
      <c r="P13" s="4790"/>
      <c r="Q13" s="783"/>
      <c r="R13" s="4854">
        <f t="shared" si="2"/>
        <v>0</v>
      </c>
      <c r="S13" s="4945"/>
      <c r="T13" s="4943"/>
      <c r="U13" s="4938"/>
      <c r="V13" s="4938">
        <f t="shared" si="3"/>
        <v>0</v>
      </c>
      <c r="W13" s="5082"/>
      <c r="X13" s="5080">
        <v>646.2199999999998</v>
      </c>
      <c r="Y13" s="802"/>
      <c r="Z13" s="5069">
        <f t="shared" si="4"/>
        <v>646.2199999999998</v>
      </c>
      <c r="AA13" s="522"/>
      <c r="AB13" s="662">
        <f t="shared" si="5"/>
        <v>646.2199999999998</v>
      </c>
      <c r="AC13" s="5368"/>
      <c r="AD13" s="5365"/>
      <c r="AE13" s="2399"/>
      <c r="AF13" s="5359">
        <f t="shared" si="6"/>
        <v>646.2199999999998</v>
      </c>
      <c r="AG13" s="5555"/>
      <c r="AH13" s="5552"/>
      <c r="AI13" s="5535"/>
      <c r="AJ13" s="5535">
        <f t="shared" si="7"/>
        <v>646.2199999999998</v>
      </c>
      <c r="AK13" s="5964"/>
      <c r="AL13" s="5961"/>
      <c r="AM13" s="802"/>
      <c r="AN13" s="5955">
        <f t="shared" si="8"/>
        <v>0</v>
      </c>
      <c r="AO13" s="2399"/>
      <c r="AP13" s="5960">
        <f t="shared" si="9"/>
        <v>646.2199999999998</v>
      </c>
      <c r="AQ13" s="6117"/>
      <c r="AR13" s="6114"/>
      <c r="AS13" s="2399"/>
      <c r="AT13" s="2399">
        <f t="shared" si="10"/>
        <v>646.2199999999998</v>
      </c>
      <c r="AU13" s="6280"/>
      <c r="AV13" s="6279"/>
      <c r="AW13" s="6273"/>
      <c r="AX13" s="6488">
        <f t="shared" si="11"/>
        <v>646.2199999999998</v>
      </c>
      <c r="AY13" s="6436"/>
      <c r="AZ13" s="6433"/>
      <c r="BA13" s="802"/>
      <c r="BB13" s="3048">
        <f t="shared" si="12"/>
        <v>0</v>
      </c>
      <c r="BC13" s="522"/>
      <c r="BD13" s="662">
        <f t="shared" si="13"/>
        <v>0</v>
      </c>
      <c r="BE13" s="2399"/>
      <c r="BF13" s="2399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8" t="s">
        <v>857</v>
      </c>
      <c r="C14" s="3577" t="s">
        <v>1046</v>
      </c>
      <c r="D14" s="3479" t="s">
        <v>50</v>
      </c>
      <c r="E14" s="3132"/>
      <c r="F14" s="3202"/>
      <c r="G14" s="7209"/>
      <c r="H14" s="7205"/>
      <c r="I14" s="3133"/>
      <c r="J14" s="6672">
        <f t="shared" si="0"/>
        <v>0</v>
      </c>
      <c r="K14" s="6661"/>
      <c r="L14" s="4602">
        <v>781.19</v>
      </c>
      <c r="M14" s="782"/>
      <c r="N14" s="4594">
        <f t="shared" si="1"/>
        <v>781.19</v>
      </c>
      <c r="O14" s="4791"/>
      <c r="P14" s="4790"/>
      <c r="Q14" s="783"/>
      <c r="R14" s="4854">
        <f t="shared" si="2"/>
        <v>781.19</v>
      </c>
      <c r="S14" s="4945"/>
      <c r="T14" s="4943"/>
      <c r="U14" s="4938"/>
      <c r="V14" s="4938">
        <f t="shared" si="3"/>
        <v>781.19</v>
      </c>
      <c r="W14" s="5082"/>
      <c r="X14" s="5080">
        <v>1519.4350000000002</v>
      </c>
      <c r="Y14" s="802"/>
      <c r="Z14" s="5069">
        <f t="shared" si="4"/>
        <v>1519.4350000000002</v>
      </c>
      <c r="AA14" s="522"/>
      <c r="AB14" s="662">
        <f t="shared" si="5"/>
        <v>2300.625</v>
      </c>
      <c r="AC14" s="5368"/>
      <c r="AD14" s="5365"/>
      <c r="AE14" s="2399"/>
      <c r="AF14" s="5359">
        <f t="shared" si="6"/>
        <v>2300.625</v>
      </c>
      <c r="AG14" s="5555"/>
      <c r="AH14" s="5552"/>
      <c r="AI14" s="5535"/>
      <c r="AJ14" s="5535">
        <f t="shared" si="7"/>
        <v>2300.625</v>
      </c>
      <c r="AK14" s="5964"/>
      <c r="AL14" s="5961">
        <v>1032.2749999999999</v>
      </c>
      <c r="AM14" s="802"/>
      <c r="AN14" s="5955">
        <f t="shared" si="8"/>
        <v>1032.2749999999999</v>
      </c>
      <c r="AO14" s="2399"/>
      <c r="AP14" s="5960">
        <f t="shared" si="9"/>
        <v>3332.8999999999996</v>
      </c>
      <c r="AQ14" s="6117"/>
      <c r="AR14" s="6114">
        <v>977.50999999999976</v>
      </c>
      <c r="AS14" s="2399"/>
      <c r="AT14" s="2399">
        <f t="shared" si="10"/>
        <v>4310.41</v>
      </c>
      <c r="AU14" s="6280"/>
      <c r="AV14" s="6279"/>
      <c r="AW14" s="6273"/>
      <c r="AX14" s="6488">
        <f t="shared" si="11"/>
        <v>4310.41</v>
      </c>
      <c r="AY14" s="6436"/>
      <c r="AZ14" s="6433"/>
      <c r="BA14" s="802"/>
      <c r="BB14" s="3048">
        <f t="shared" si="12"/>
        <v>977.50999999999976</v>
      </c>
      <c r="BC14" s="522"/>
      <c r="BD14" s="662">
        <f t="shared" si="13"/>
        <v>2009.7849999999996</v>
      </c>
      <c r="BE14" s="2399"/>
      <c r="BF14" s="2399">
        <f t="shared" si="14"/>
        <v>4310.41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79" t="s">
        <v>857</v>
      </c>
      <c r="C15" s="3580" t="s">
        <v>1149</v>
      </c>
      <c r="D15" s="750" t="s">
        <v>50</v>
      </c>
      <c r="E15" s="109"/>
      <c r="F15" s="234">
        <v>5058.57</v>
      </c>
      <c r="G15" s="109"/>
      <c r="H15" s="234">
        <v>2936.62</v>
      </c>
      <c r="I15" s="589"/>
      <c r="J15" s="6672">
        <f t="shared" si="0"/>
        <v>7995.19</v>
      </c>
      <c r="K15" s="6662"/>
      <c r="L15" s="234"/>
      <c r="M15" s="782"/>
      <c r="N15" s="4594">
        <f t="shared" si="1"/>
        <v>7995.19</v>
      </c>
      <c r="O15" s="109"/>
      <c r="P15" s="234"/>
      <c r="Q15" s="783"/>
      <c r="R15" s="4854">
        <f t="shared" si="2"/>
        <v>7995.19</v>
      </c>
      <c r="S15" s="109"/>
      <c r="T15" s="234"/>
      <c r="U15" s="4938"/>
      <c r="V15" s="4938">
        <f t="shared" si="3"/>
        <v>7995.19</v>
      </c>
      <c r="W15" s="109"/>
      <c r="X15" s="234"/>
      <c r="Y15" s="802"/>
      <c r="Z15" s="5069">
        <f t="shared" si="4"/>
        <v>0</v>
      </c>
      <c r="AA15" s="522"/>
      <c r="AB15" s="662">
        <f t="shared" si="5"/>
        <v>7995.19</v>
      </c>
      <c r="AC15" s="109"/>
      <c r="AD15" s="234"/>
      <c r="AE15" s="2399"/>
      <c r="AF15" s="5359">
        <f t="shared" si="6"/>
        <v>7995.19</v>
      </c>
      <c r="AG15" s="109"/>
      <c r="AH15" s="234"/>
      <c r="AI15" s="5535"/>
      <c r="AJ15" s="5535">
        <f t="shared" si="7"/>
        <v>7995.19</v>
      </c>
      <c r="AK15" s="109"/>
      <c r="AL15" s="234">
        <v>3042.9599999999991</v>
      </c>
      <c r="AM15" s="802"/>
      <c r="AN15" s="5955">
        <f t="shared" si="8"/>
        <v>3042.9599999999991</v>
      </c>
      <c r="AO15" s="2399"/>
      <c r="AP15" s="5960">
        <f t="shared" si="9"/>
        <v>11038.149999999998</v>
      </c>
      <c r="AQ15" s="109"/>
      <c r="AR15" s="234">
        <v>3615.5599999999995</v>
      </c>
      <c r="AS15" s="2399"/>
      <c r="AT15" s="2399">
        <f t="shared" si="10"/>
        <v>14653.709999999997</v>
      </c>
      <c r="AU15" s="109"/>
      <c r="AV15" s="234">
        <v>3969.3449999999993</v>
      </c>
      <c r="AW15" s="6273"/>
      <c r="AX15" s="6488">
        <f t="shared" si="11"/>
        <v>18623.054999999997</v>
      </c>
      <c r="AY15" s="109"/>
      <c r="AZ15" s="234">
        <v>5505.8849999999993</v>
      </c>
      <c r="BA15" s="802"/>
      <c r="BB15" s="3048">
        <f t="shared" si="12"/>
        <v>13090.789999999997</v>
      </c>
      <c r="BC15" s="522"/>
      <c r="BD15" s="662">
        <f t="shared" si="13"/>
        <v>16133.749999999996</v>
      </c>
      <c r="BE15" s="2399"/>
      <c r="BF15" s="2399">
        <f t="shared" si="14"/>
        <v>24128.939999999995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72" t="s">
        <v>950</v>
      </c>
      <c r="C16" s="3573" t="s">
        <v>1044</v>
      </c>
      <c r="D16" s="60" t="s">
        <v>50</v>
      </c>
      <c r="E16" s="1205"/>
      <c r="F16" s="1309"/>
      <c r="G16" s="7207"/>
      <c r="H16" s="6405"/>
      <c r="I16" s="2402"/>
      <c r="J16" s="6672">
        <f t="shared" si="0"/>
        <v>0</v>
      </c>
      <c r="K16" s="6663"/>
      <c r="L16" s="4597"/>
      <c r="M16" s="782"/>
      <c r="N16" s="4594">
        <f t="shared" si="1"/>
        <v>0</v>
      </c>
      <c r="O16" s="1205"/>
      <c r="P16" s="4772"/>
      <c r="Q16" s="783"/>
      <c r="R16" s="4854">
        <f t="shared" si="2"/>
        <v>0</v>
      </c>
      <c r="S16" s="1205"/>
      <c r="T16" s="4937"/>
      <c r="U16" s="4938"/>
      <c r="V16" s="4938">
        <f t="shared" si="3"/>
        <v>0</v>
      </c>
      <c r="W16" s="1205"/>
      <c r="X16" s="5072"/>
      <c r="Y16" s="802"/>
      <c r="Z16" s="5069">
        <f t="shared" si="4"/>
        <v>0</v>
      </c>
      <c r="AA16" s="522"/>
      <c r="AB16" s="662">
        <f t="shared" si="5"/>
        <v>0</v>
      </c>
      <c r="AC16" s="1205"/>
      <c r="AD16" s="5355"/>
      <c r="AE16" s="2399"/>
      <c r="AF16" s="5359">
        <f t="shared" si="6"/>
        <v>0</v>
      </c>
      <c r="AG16" s="5560"/>
      <c r="AH16" s="5534"/>
      <c r="AI16" s="5535"/>
      <c r="AJ16" s="5535">
        <f t="shared" si="7"/>
        <v>0</v>
      </c>
      <c r="AK16" s="5963"/>
      <c r="AL16" s="5958"/>
      <c r="AM16" s="802"/>
      <c r="AN16" s="5955">
        <f t="shared" si="8"/>
        <v>0</v>
      </c>
      <c r="AO16" s="2399"/>
      <c r="AP16" s="5960">
        <f t="shared" si="9"/>
        <v>0</v>
      </c>
      <c r="AQ16" s="6116"/>
      <c r="AR16" s="6110"/>
      <c r="AS16" s="2399"/>
      <c r="AT16" s="2399">
        <f t="shared" si="10"/>
        <v>0</v>
      </c>
      <c r="AU16" s="6278"/>
      <c r="AV16" s="6275">
        <v>2372.199999999998</v>
      </c>
      <c r="AW16" s="6273"/>
      <c r="AX16" s="6273">
        <f t="shared" si="11"/>
        <v>2372.199999999998</v>
      </c>
      <c r="AY16" s="6441"/>
      <c r="AZ16" s="6405"/>
      <c r="BA16" s="802"/>
      <c r="BB16" s="3048">
        <f t="shared" si="12"/>
        <v>2372.199999999998</v>
      </c>
      <c r="BC16" s="522"/>
      <c r="BD16" s="662">
        <f t="shared" si="13"/>
        <v>2372.199999999998</v>
      </c>
      <c r="BE16" s="2399"/>
      <c r="BF16" s="2399">
        <f t="shared" si="14"/>
        <v>2372.199999999998</v>
      </c>
      <c r="BG16" s="26"/>
      <c r="BH16" s="26"/>
      <c r="BI16" s="26"/>
      <c r="BJ16" s="26"/>
      <c r="BK16" s="26"/>
      <c r="BL16" s="26"/>
      <c r="BM16" s="26"/>
      <c r="BN16" s="26"/>
    </row>
    <row r="17" spans="1:66" ht="15" customHeight="1" x14ac:dyDescent="0.25">
      <c r="A17" s="1798"/>
      <c r="B17" s="888" t="s">
        <v>1578</v>
      </c>
      <c r="C17" s="3577" t="s">
        <v>1044</v>
      </c>
      <c r="D17" s="3479" t="s">
        <v>50</v>
      </c>
      <c r="E17" s="3132"/>
      <c r="F17" s="3202">
        <v>1808.4699999999996</v>
      </c>
      <c r="G17" s="7209"/>
      <c r="H17" s="7205"/>
      <c r="I17" s="3133"/>
      <c r="J17" s="6672">
        <f t="shared" si="0"/>
        <v>1808.4699999999996</v>
      </c>
      <c r="K17" s="6661"/>
      <c r="L17" s="4602"/>
      <c r="M17" s="1797"/>
      <c r="N17" s="4594">
        <f t="shared" si="1"/>
        <v>1808.4699999999996</v>
      </c>
      <c r="O17" s="4791"/>
      <c r="P17" s="4790"/>
      <c r="Q17" s="1796"/>
      <c r="R17" s="4854">
        <f t="shared" si="2"/>
        <v>1808.4699999999996</v>
      </c>
      <c r="S17" s="4945"/>
      <c r="T17" s="4943">
        <v>3505.1300000000024</v>
      </c>
      <c r="U17" s="4938"/>
      <c r="V17" s="4938">
        <f t="shared" si="3"/>
        <v>5313.6000000000022</v>
      </c>
      <c r="W17" s="5082"/>
      <c r="X17" s="5080"/>
      <c r="Y17" s="802"/>
      <c r="Z17" s="5069">
        <f t="shared" si="4"/>
        <v>3505.1300000000024</v>
      </c>
      <c r="AA17" s="522"/>
      <c r="AB17" s="662">
        <f t="shared" si="5"/>
        <v>5313.6000000000022</v>
      </c>
      <c r="AC17" s="5368"/>
      <c r="AD17" s="5436">
        <v>2569.52</v>
      </c>
      <c r="AE17" s="2399"/>
      <c r="AF17" s="5359">
        <f t="shared" si="6"/>
        <v>7883.1200000000026</v>
      </c>
      <c r="AG17" s="5555"/>
      <c r="AH17" s="5552"/>
      <c r="AI17" s="5535"/>
      <c r="AJ17" s="5535">
        <f t="shared" si="7"/>
        <v>7883.1200000000026</v>
      </c>
      <c r="AK17" s="5964"/>
      <c r="AL17" s="5961"/>
      <c r="AM17" s="802"/>
      <c r="AN17" s="5955">
        <f t="shared" si="8"/>
        <v>2569.52</v>
      </c>
      <c r="AO17" s="2399"/>
      <c r="AP17" s="5960">
        <f t="shared" si="9"/>
        <v>7883.1200000000026</v>
      </c>
      <c r="AQ17" s="6117"/>
      <c r="AR17" s="6114"/>
      <c r="AS17" s="2399"/>
      <c r="AT17" s="2399">
        <f t="shared" si="10"/>
        <v>7883.1200000000026</v>
      </c>
      <c r="AU17" s="6280"/>
      <c r="AV17" s="6279"/>
      <c r="AW17" s="6273"/>
      <c r="AX17" s="6273">
        <f t="shared" si="11"/>
        <v>7883.1200000000026</v>
      </c>
      <c r="AY17" s="6436"/>
      <c r="AZ17" s="6433"/>
      <c r="BA17" s="802"/>
      <c r="BB17" s="3048">
        <f t="shared" si="12"/>
        <v>0</v>
      </c>
      <c r="BC17" s="522"/>
      <c r="BD17" s="662">
        <f t="shared" si="13"/>
        <v>2569.52</v>
      </c>
      <c r="BE17" s="2399"/>
      <c r="BF17" s="2399">
        <f t="shared" si="14"/>
        <v>7883.1200000000026</v>
      </c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thickBot="1" x14ac:dyDescent="0.3">
      <c r="A18" s="1798"/>
      <c r="B18" s="3582" t="s">
        <v>1578</v>
      </c>
      <c r="C18" s="3583" t="s">
        <v>1045</v>
      </c>
      <c r="D18" s="3584" t="s">
        <v>50</v>
      </c>
      <c r="E18" s="3477"/>
      <c r="F18" s="3516">
        <v>4663.2450000000026</v>
      </c>
      <c r="G18" s="7208"/>
      <c r="H18" s="3516"/>
      <c r="I18" s="3478"/>
      <c r="J18" s="6672">
        <f t="shared" si="0"/>
        <v>4663.2450000000026</v>
      </c>
      <c r="K18" s="6664"/>
      <c r="L18" s="3516"/>
      <c r="M18" s="1797"/>
      <c r="N18" s="4594">
        <f t="shared" si="1"/>
        <v>4663.2450000000026</v>
      </c>
      <c r="O18" s="3477"/>
      <c r="P18" s="3516"/>
      <c r="Q18" s="1796"/>
      <c r="R18" s="4854">
        <f t="shared" si="2"/>
        <v>4663.2450000000026</v>
      </c>
      <c r="S18" s="3477"/>
      <c r="T18" s="3516">
        <v>2057.2699999999995</v>
      </c>
      <c r="U18" s="4938"/>
      <c r="V18" s="4938">
        <f t="shared" si="3"/>
        <v>6720.5150000000021</v>
      </c>
      <c r="W18" s="3477"/>
      <c r="X18" s="3516">
        <v>4144.6649999999981</v>
      </c>
      <c r="Y18" s="802"/>
      <c r="Z18" s="5069">
        <f t="shared" si="4"/>
        <v>6201.9349999999977</v>
      </c>
      <c r="AA18" s="522"/>
      <c r="AB18" s="662">
        <f t="shared" si="5"/>
        <v>10865.18</v>
      </c>
      <c r="AC18" s="3477"/>
      <c r="AD18" s="3516">
        <v>535.79</v>
      </c>
      <c r="AE18" s="2399"/>
      <c r="AF18" s="5359">
        <f t="shared" si="6"/>
        <v>11400.970000000001</v>
      </c>
      <c r="AG18" s="3477"/>
      <c r="AH18" s="3516"/>
      <c r="AI18" s="5535"/>
      <c r="AJ18" s="5535">
        <f t="shared" si="7"/>
        <v>11400.970000000001</v>
      </c>
      <c r="AK18" s="3477"/>
      <c r="AL18" s="3516"/>
      <c r="AM18" s="802"/>
      <c r="AN18" s="5955">
        <f t="shared" si="8"/>
        <v>535.79</v>
      </c>
      <c r="AO18" s="2399"/>
      <c r="AP18" s="5960">
        <f t="shared" si="9"/>
        <v>11400.970000000001</v>
      </c>
      <c r="AQ18" s="6118"/>
      <c r="AR18" s="3516"/>
      <c r="AS18" s="2399"/>
      <c r="AT18" s="2399">
        <f t="shared" si="10"/>
        <v>11400.970000000001</v>
      </c>
      <c r="AU18" s="6281"/>
      <c r="AV18" s="3516"/>
      <c r="AW18" s="6273"/>
      <c r="AX18" s="6273">
        <f t="shared" si="11"/>
        <v>11400.970000000001</v>
      </c>
      <c r="AY18" s="6442"/>
      <c r="AZ18" s="3516"/>
      <c r="BA18" s="802"/>
      <c r="BB18" s="3048">
        <f t="shared" si="12"/>
        <v>0</v>
      </c>
      <c r="BC18" s="522"/>
      <c r="BD18" s="662">
        <f t="shared" si="13"/>
        <v>535.79</v>
      </c>
      <c r="BE18" s="2399"/>
      <c r="BF18" s="2399">
        <f t="shared" si="14"/>
        <v>11400.970000000001</v>
      </c>
      <c r="BG18" s="26"/>
      <c r="BH18" s="26"/>
      <c r="BI18" s="26"/>
      <c r="BJ18" s="26"/>
      <c r="BK18" s="26"/>
      <c r="BL18" s="26"/>
      <c r="BM18" s="26"/>
      <c r="BN18" s="26"/>
    </row>
    <row r="19" spans="1:66" s="2749" customFormat="1" ht="15" customHeight="1" thickBot="1" x14ac:dyDescent="0.3">
      <c r="B19" s="3585" t="s">
        <v>1585</v>
      </c>
      <c r="C19" s="3586" t="s">
        <v>1127</v>
      </c>
      <c r="D19" s="3587" t="s">
        <v>50</v>
      </c>
      <c r="E19" s="3588"/>
      <c r="F19" s="3589"/>
      <c r="G19" s="3588"/>
      <c r="H19" s="3589"/>
      <c r="I19" s="3590"/>
      <c r="J19" s="6672">
        <f t="shared" si="0"/>
        <v>0</v>
      </c>
      <c r="K19" s="6665"/>
      <c r="L19" s="3589"/>
      <c r="M19" s="2746"/>
      <c r="N19" s="4594">
        <f t="shared" si="1"/>
        <v>0</v>
      </c>
      <c r="O19" s="3588"/>
      <c r="P19" s="3589"/>
      <c r="Q19" s="2399"/>
      <c r="R19" s="4854">
        <f t="shared" si="2"/>
        <v>0</v>
      </c>
      <c r="S19" s="3588"/>
      <c r="T19" s="3589"/>
      <c r="U19" s="4938"/>
      <c r="V19" s="4938">
        <f t="shared" si="3"/>
        <v>0</v>
      </c>
      <c r="W19" s="3588"/>
      <c r="X19" s="3589"/>
      <c r="Y19" s="802"/>
      <c r="Z19" s="5069">
        <f t="shared" si="4"/>
        <v>0</v>
      </c>
      <c r="AA19" s="522"/>
      <c r="AB19" s="662">
        <f t="shared" si="5"/>
        <v>0</v>
      </c>
      <c r="AC19" s="3588"/>
      <c r="AD19" s="3589"/>
      <c r="AE19" s="2399"/>
      <c r="AF19" s="5359">
        <f t="shared" si="6"/>
        <v>0</v>
      </c>
      <c r="AG19" s="3588"/>
      <c r="AH19" s="3589"/>
      <c r="AI19" s="5535"/>
      <c r="AJ19" s="5535">
        <f t="shared" si="7"/>
        <v>0</v>
      </c>
      <c r="AK19" s="3588"/>
      <c r="AL19" s="3589"/>
      <c r="AM19" s="802"/>
      <c r="AN19" s="5955">
        <f t="shared" si="8"/>
        <v>0</v>
      </c>
      <c r="AO19" s="2399"/>
      <c r="AP19" s="5960">
        <f t="shared" si="9"/>
        <v>0</v>
      </c>
      <c r="AQ19" s="3588"/>
      <c r="AR19" s="3589"/>
      <c r="AS19" s="2399"/>
      <c r="AT19" s="2399">
        <f t="shared" si="10"/>
        <v>0</v>
      </c>
      <c r="AU19" s="3588"/>
      <c r="AV19" s="3589"/>
      <c r="AW19" s="6273"/>
      <c r="AX19" s="6273">
        <f t="shared" si="11"/>
        <v>0</v>
      </c>
      <c r="AY19" s="3588"/>
      <c r="AZ19" s="3589"/>
      <c r="BA19" s="802"/>
      <c r="BB19" s="3048">
        <f t="shared" si="12"/>
        <v>0</v>
      </c>
      <c r="BC19" s="522"/>
      <c r="BD19" s="662">
        <f t="shared" si="13"/>
        <v>0</v>
      </c>
      <c r="BE19" s="2399"/>
      <c r="BF19" s="2399">
        <f t="shared" si="14"/>
        <v>0</v>
      </c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x14ac:dyDescent="0.25">
      <c r="B20" s="3572" t="s">
        <v>859</v>
      </c>
      <c r="C20" s="3573" t="s">
        <v>1044</v>
      </c>
      <c r="D20" s="60" t="s">
        <v>50</v>
      </c>
      <c r="E20" s="1205"/>
      <c r="F20" s="1309"/>
      <c r="G20" s="7207"/>
      <c r="H20" s="6405">
        <v>2016.3700000000003</v>
      </c>
      <c r="I20" s="2402"/>
      <c r="J20" s="6672">
        <f t="shared" si="0"/>
        <v>2016.3700000000003</v>
      </c>
      <c r="K20" s="6663"/>
      <c r="L20" s="4597"/>
      <c r="M20" s="782"/>
      <c r="N20" s="4594">
        <f t="shared" si="1"/>
        <v>2016.3700000000003</v>
      </c>
      <c r="O20" s="1205"/>
      <c r="P20" s="4772">
        <v>3306.7650000000008</v>
      </c>
      <c r="Q20" s="783"/>
      <c r="R20" s="4854">
        <f t="shared" si="2"/>
        <v>5323.1350000000011</v>
      </c>
      <c r="S20" s="1205"/>
      <c r="T20" s="4937">
        <v>2574.6550000000002</v>
      </c>
      <c r="U20" s="4938"/>
      <c r="V20" s="4938">
        <f t="shared" si="3"/>
        <v>7897.7900000000009</v>
      </c>
      <c r="W20" s="1205"/>
      <c r="X20" s="5072"/>
      <c r="Y20" s="802"/>
      <c r="Z20" s="5069">
        <f t="shared" si="4"/>
        <v>5881.420000000001</v>
      </c>
      <c r="AA20" s="522"/>
      <c r="AB20" s="662">
        <f t="shared" si="5"/>
        <v>7897.7900000000009</v>
      </c>
      <c r="AC20" s="1205"/>
      <c r="AD20" s="5355"/>
      <c r="AE20" s="2399"/>
      <c r="AF20" s="5359">
        <f t="shared" si="6"/>
        <v>7897.7900000000009</v>
      </c>
      <c r="AG20" s="5560"/>
      <c r="AH20" s="5534"/>
      <c r="AI20" s="5535"/>
      <c r="AJ20" s="5535">
        <f t="shared" si="7"/>
        <v>7897.7900000000009</v>
      </c>
      <c r="AK20" s="5963"/>
      <c r="AL20" s="5958"/>
      <c r="AM20" s="802"/>
      <c r="AN20" s="5955">
        <f t="shared" si="8"/>
        <v>0</v>
      </c>
      <c r="AO20" s="2399"/>
      <c r="AP20" s="5960">
        <f t="shared" si="9"/>
        <v>7897.7900000000009</v>
      </c>
      <c r="AQ20" s="6116"/>
      <c r="AR20" s="6110">
        <v>1830.1849999999999</v>
      </c>
      <c r="AS20" s="2399"/>
      <c r="AT20" s="2399">
        <f t="shared" si="10"/>
        <v>9727.9750000000004</v>
      </c>
      <c r="AU20" s="6278"/>
      <c r="AV20" s="6275"/>
      <c r="AW20" s="6273"/>
      <c r="AX20" s="6273">
        <f t="shared" si="11"/>
        <v>9727.9750000000004</v>
      </c>
      <c r="AY20" s="6441"/>
      <c r="AZ20" s="6405"/>
      <c r="BA20" s="802"/>
      <c r="BB20" s="3048">
        <f t="shared" si="12"/>
        <v>1830.1849999999999</v>
      </c>
      <c r="BC20" s="522"/>
      <c r="BD20" s="662">
        <f t="shared" si="13"/>
        <v>1830.1849999999999</v>
      </c>
      <c r="BE20" s="2399"/>
      <c r="BF20" s="2399">
        <f t="shared" si="14"/>
        <v>9727.9750000000004</v>
      </c>
      <c r="BG20" s="26"/>
      <c r="BH20" s="26"/>
      <c r="BI20" s="26"/>
      <c r="BJ20" s="26"/>
      <c r="BK20" s="26"/>
      <c r="BL20" s="26"/>
      <c r="BM20" s="26"/>
      <c r="BN20" s="26"/>
    </row>
    <row r="21" spans="1:66" ht="15" customHeight="1" x14ac:dyDescent="0.25">
      <c r="B21" s="888" t="s">
        <v>859</v>
      </c>
      <c r="C21" s="3577" t="s">
        <v>1045</v>
      </c>
      <c r="D21" s="3479" t="s">
        <v>50</v>
      </c>
      <c r="E21" s="3132"/>
      <c r="F21" s="3202"/>
      <c r="G21" s="7209"/>
      <c r="H21" s="7205">
        <v>5116.5899999999983</v>
      </c>
      <c r="I21" s="3133"/>
      <c r="J21" s="6672">
        <f t="shared" si="0"/>
        <v>5116.5899999999983</v>
      </c>
      <c r="K21" s="6661"/>
      <c r="L21" s="4602"/>
      <c r="M21" s="782"/>
      <c r="N21" s="4594">
        <f t="shared" si="1"/>
        <v>5116.5899999999983</v>
      </c>
      <c r="O21" s="4791"/>
      <c r="P21" s="4790">
        <v>1231.0899999999999</v>
      </c>
      <c r="Q21" s="783"/>
      <c r="R21" s="4854">
        <f t="shared" si="2"/>
        <v>6347.6799999999985</v>
      </c>
      <c r="S21" s="4945"/>
      <c r="T21" s="4943">
        <v>1036.8150000000001</v>
      </c>
      <c r="U21" s="4938"/>
      <c r="V21" s="4938">
        <f t="shared" si="3"/>
        <v>7384.494999999999</v>
      </c>
      <c r="W21" s="5082"/>
      <c r="X21" s="5080"/>
      <c r="Y21" s="802"/>
      <c r="Z21" s="5069">
        <f t="shared" si="4"/>
        <v>2267.9049999999997</v>
      </c>
      <c r="AA21" s="522"/>
      <c r="AB21" s="662">
        <f t="shared" si="5"/>
        <v>7384.4949999999981</v>
      </c>
      <c r="AC21" s="5368"/>
      <c r="AD21" s="5365"/>
      <c r="AE21" s="2399"/>
      <c r="AF21" s="5359">
        <f t="shared" si="6"/>
        <v>7384.4949999999981</v>
      </c>
      <c r="AG21" s="5555"/>
      <c r="AH21" s="5552"/>
      <c r="AI21" s="5535"/>
      <c r="AJ21" s="5535">
        <f t="shared" si="7"/>
        <v>7384.4949999999981</v>
      </c>
      <c r="AK21" s="5964"/>
      <c r="AL21" s="5961"/>
      <c r="AM21" s="802"/>
      <c r="AN21" s="5955">
        <f t="shared" si="8"/>
        <v>0</v>
      </c>
      <c r="AO21" s="2399"/>
      <c r="AP21" s="5960">
        <f t="shared" si="9"/>
        <v>7384.4949999999981</v>
      </c>
      <c r="AQ21" s="6117"/>
      <c r="AR21" s="6114">
        <v>3836.4199999999996</v>
      </c>
      <c r="AS21" s="2399"/>
      <c r="AT21" s="2399">
        <f t="shared" si="10"/>
        <v>11220.914999999997</v>
      </c>
      <c r="AU21" s="6280"/>
      <c r="AV21" s="6279"/>
      <c r="AW21" s="6273"/>
      <c r="AX21" s="6273">
        <f t="shared" si="11"/>
        <v>11220.914999999997</v>
      </c>
      <c r="AY21" s="6436"/>
      <c r="AZ21" s="6433"/>
      <c r="BA21" s="802"/>
      <c r="BB21" s="3048">
        <f t="shared" si="12"/>
        <v>3836.4199999999996</v>
      </c>
      <c r="BC21" s="522"/>
      <c r="BD21" s="662">
        <f t="shared" si="13"/>
        <v>3836.4199999999996</v>
      </c>
      <c r="BE21" s="2399"/>
      <c r="BF21" s="2399">
        <f t="shared" si="14"/>
        <v>11220.914999999997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888" t="s">
        <v>859</v>
      </c>
      <c r="C22" s="3577" t="s">
        <v>1149</v>
      </c>
      <c r="D22" s="3479" t="s">
        <v>50</v>
      </c>
      <c r="E22" s="3132"/>
      <c r="F22" s="3202"/>
      <c r="G22" s="7209"/>
      <c r="H22" s="7205"/>
      <c r="I22" s="3133"/>
      <c r="J22" s="6672">
        <f t="shared" si="0"/>
        <v>0</v>
      </c>
      <c r="K22" s="6661"/>
      <c r="L22" s="4602"/>
      <c r="M22" s="782"/>
      <c r="N22" s="4594">
        <f t="shared" si="1"/>
        <v>0</v>
      </c>
      <c r="O22" s="4791"/>
      <c r="P22" s="4790">
        <v>209.00499999999997</v>
      </c>
      <c r="Q22" s="783"/>
      <c r="R22" s="4854">
        <f t="shared" si="2"/>
        <v>209.00499999999997</v>
      </c>
      <c r="S22" s="4945"/>
      <c r="T22" s="4943"/>
      <c r="U22" s="4938"/>
      <c r="V22" s="4938">
        <f t="shared" si="3"/>
        <v>209.00499999999997</v>
      </c>
      <c r="W22" s="5082"/>
      <c r="X22" s="5080"/>
      <c r="Y22" s="802"/>
      <c r="Z22" s="5069">
        <f t="shared" si="4"/>
        <v>209.00499999999997</v>
      </c>
      <c r="AA22" s="522"/>
      <c r="AB22" s="662">
        <f t="shared" si="5"/>
        <v>209.00499999999997</v>
      </c>
      <c r="AC22" s="5368"/>
      <c r="AD22" s="5365"/>
      <c r="AE22" s="2399"/>
      <c r="AF22" s="5359">
        <f t="shared" si="6"/>
        <v>209.00499999999997</v>
      </c>
      <c r="AG22" s="5555"/>
      <c r="AH22" s="5552"/>
      <c r="AI22" s="5535"/>
      <c r="AJ22" s="5535">
        <f t="shared" si="7"/>
        <v>209.00499999999997</v>
      </c>
      <c r="AK22" s="5964"/>
      <c r="AL22" s="5961"/>
      <c r="AM22" s="802"/>
      <c r="AN22" s="5955">
        <f t="shared" si="8"/>
        <v>0</v>
      </c>
      <c r="AO22" s="2399"/>
      <c r="AP22" s="5960">
        <f t="shared" si="9"/>
        <v>209.00499999999997</v>
      </c>
      <c r="AQ22" s="6117"/>
      <c r="AR22" s="6114"/>
      <c r="AS22" s="2399"/>
      <c r="AT22" s="2399">
        <f t="shared" si="10"/>
        <v>209.00499999999997</v>
      </c>
      <c r="AU22" s="6280"/>
      <c r="AV22" s="6279"/>
      <c r="AW22" s="6273"/>
      <c r="AX22" s="6273">
        <f t="shared" si="11"/>
        <v>209.00499999999997</v>
      </c>
      <c r="AY22" s="6436"/>
      <c r="AZ22" s="6433"/>
      <c r="BA22" s="802"/>
      <c r="BB22" s="3048">
        <f t="shared" si="12"/>
        <v>0</v>
      </c>
      <c r="BC22" s="522"/>
      <c r="BD22" s="662">
        <f t="shared" si="13"/>
        <v>0</v>
      </c>
      <c r="BE22" s="2399"/>
      <c r="BF22" s="2399">
        <f t="shared" si="14"/>
        <v>209.00499999999997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8" t="s">
        <v>859</v>
      </c>
      <c r="C23" s="3577" t="s">
        <v>1046</v>
      </c>
      <c r="D23" s="3479" t="s">
        <v>50</v>
      </c>
      <c r="E23" s="3132"/>
      <c r="F23" s="3202"/>
      <c r="G23" s="7209"/>
      <c r="H23" s="7205"/>
      <c r="I23" s="3133"/>
      <c r="J23" s="6672">
        <f t="shared" si="0"/>
        <v>0</v>
      </c>
      <c r="K23" s="6661"/>
      <c r="L23" s="4602"/>
      <c r="M23" s="782"/>
      <c r="N23" s="4594">
        <f t="shared" si="1"/>
        <v>0</v>
      </c>
      <c r="O23" s="4791"/>
      <c r="P23" s="4790">
        <v>721.88499999999988</v>
      </c>
      <c r="Q23" s="783"/>
      <c r="R23" s="4854">
        <f t="shared" si="2"/>
        <v>721.88499999999988</v>
      </c>
      <c r="S23" s="4945"/>
      <c r="T23" s="4943"/>
      <c r="U23" s="4938"/>
      <c r="V23" s="4938">
        <f t="shared" si="3"/>
        <v>721.88499999999988</v>
      </c>
      <c r="W23" s="5082"/>
      <c r="X23" s="5080"/>
      <c r="Y23" s="802"/>
      <c r="Z23" s="5069">
        <f t="shared" si="4"/>
        <v>721.88499999999988</v>
      </c>
      <c r="AA23" s="522"/>
      <c r="AB23" s="662">
        <f t="shared" si="5"/>
        <v>721.88499999999988</v>
      </c>
      <c r="AC23" s="5368"/>
      <c r="AD23" s="5365"/>
      <c r="AE23" s="2399"/>
      <c r="AF23" s="5359">
        <f t="shared" si="6"/>
        <v>721.88499999999988</v>
      </c>
      <c r="AG23" s="5555"/>
      <c r="AH23" s="5552"/>
      <c r="AI23" s="5535"/>
      <c r="AJ23" s="5535">
        <f t="shared" si="7"/>
        <v>721.88499999999988</v>
      </c>
      <c r="AK23" s="5964"/>
      <c r="AL23" s="5961"/>
      <c r="AM23" s="802"/>
      <c r="AN23" s="5955">
        <f t="shared" si="8"/>
        <v>0</v>
      </c>
      <c r="AO23" s="2399"/>
      <c r="AP23" s="5960">
        <f t="shared" si="9"/>
        <v>721.88499999999988</v>
      </c>
      <c r="AQ23" s="6117"/>
      <c r="AR23" s="6114">
        <v>834.36</v>
      </c>
      <c r="AS23" s="2399"/>
      <c r="AT23" s="2399">
        <f t="shared" si="10"/>
        <v>1556.2449999999999</v>
      </c>
      <c r="AU23" s="6280"/>
      <c r="AV23" s="6279"/>
      <c r="AW23" s="6273"/>
      <c r="AX23" s="6273">
        <f t="shared" si="11"/>
        <v>1556.2449999999999</v>
      </c>
      <c r="AY23" s="6436"/>
      <c r="AZ23" s="6433"/>
      <c r="BA23" s="802"/>
      <c r="BB23" s="3048">
        <f t="shared" si="12"/>
        <v>834.36</v>
      </c>
      <c r="BC23" s="522"/>
      <c r="BD23" s="662">
        <f t="shared" si="13"/>
        <v>834.36</v>
      </c>
      <c r="BE23" s="2399"/>
      <c r="BF23" s="2399">
        <f t="shared" si="14"/>
        <v>1556.2449999999999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thickBot="1" x14ac:dyDescent="0.3">
      <c r="B24" s="3582" t="s">
        <v>859</v>
      </c>
      <c r="C24" s="3583" t="s">
        <v>1127</v>
      </c>
      <c r="D24" s="3584" t="s">
        <v>50</v>
      </c>
      <c r="E24" s="3477"/>
      <c r="F24" s="3516"/>
      <c r="G24" s="7208"/>
      <c r="H24" s="3516">
        <v>137.01500000000001</v>
      </c>
      <c r="I24" s="3478"/>
      <c r="J24" s="6672">
        <f t="shared" si="0"/>
        <v>137.01500000000001</v>
      </c>
      <c r="K24" s="6664"/>
      <c r="L24" s="3516"/>
      <c r="M24" s="782"/>
      <c r="N24" s="4594">
        <f t="shared" si="1"/>
        <v>137.01500000000001</v>
      </c>
      <c r="O24" s="3477"/>
      <c r="P24" s="3516"/>
      <c r="Q24" s="783"/>
      <c r="R24" s="4854">
        <f t="shared" si="2"/>
        <v>137.01500000000001</v>
      </c>
      <c r="S24" s="3477"/>
      <c r="T24" s="3516"/>
      <c r="U24" s="4938"/>
      <c r="V24" s="4938">
        <f t="shared" si="3"/>
        <v>137.01500000000001</v>
      </c>
      <c r="W24" s="3477"/>
      <c r="X24" s="3516"/>
      <c r="Y24" s="802"/>
      <c r="Z24" s="5069">
        <f t="shared" si="4"/>
        <v>0</v>
      </c>
      <c r="AA24" s="522"/>
      <c r="AB24" s="662">
        <f t="shared" si="5"/>
        <v>137.01500000000001</v>
      </c>
      <c r="AC24" s="3477"/>
      <c r="AD24" s="3516"/>
      <c r="AE24" s="2399"/>
      <c r="AF24" s="5359">
        <f t="shared" si="6"/>
        <v>137.01500000000001</v>
      </c>
      <c r="AG24" s="3477"/>
      <c r="AH24" s="3516"/>
      <c r="AI24" s="5535"/>
      <c r="AJ24" s="5535">
        <f t="shared" si="7"/>
        <v>137.01500000000001</v>
      </c>
      <c r="AK24" s="3477"/>
      <c r="AL24" s="3516"/>
      <c r="AM24" s="802"/>
      <c r="AN24" s="5955">
        <f t="shared" si="8"/>
        <v>0</v>
      </c>
      <c r="AO24" s="2399"/>
      <c r="AP24" s="5960">
        <f t="shared" si="9"/>
        <v>137.01500000000001</v>
      </c>
      <c r="AQ24" s="6118"/>
      <c r="AR24" s="3516"/>
      <c r="AS24" s="2399"/>
      <c r="AT24" s="2399">
        <f t="shared" si="10"/>
        <v>137.01500000000001</v>
      </c>
      <c r="AU24" s="6281"/>
      <c r="AV24" s="3516"/>
      <c r="AW24" s="6273"/>
      <c r="AX24" s="6273">
        <f t="shared" si="11"/>
        <v>137.01500000000001</v>
      </c>
      <c r="AY24" s="6442"/>
      <c r="AZ24" s="3516"/>
      <c r="BA24" s="802"/>
      <c r="BB24" s="3048">
        <f t="shared" si="12"/>
        <v>0</v>
      </c>
      <c r="BC24" s="522"/>
      <c r="BD24" s="662">
        <f t="shared" si="13"/>
        <v>0</v>
      </c>
      <c r="BE24" s="2399"/>
      <c r="BF24" s="2399">
        <f t="shared" si="14"/>
        <v>137.01500000000001</v>
      </c>
      <c r="BG24" s="26"/>
      <c r="BH24" s="26"/>
      <c r="BI24" s="26"/>
      <c r="BJ24" s="26"/>
      <c r="BK24" s="26"/>
      <c r="BL24" s="26"/>
      <c r="BM24" s="26"/>
      <c r="BN24" s="26"/>
    </row>
    <row r="25" spans="1:66" ht="15.75" x14ac:dyDescent="0.25">
      <c r="B25" s="3574" t="s">
        <v>860</v>
      </c>
      <c r="C25" s="3575" t="s">
        <v>1044</v>
      </c>
      <c r="D25" s="759" t="s">
        <v>50</v>
      </c>
      <c r="E25" s="275"/>
      <c r="F25" s="275">
        <v>2571.4500000000003</v>
      </c>
      <c r="G25" s="275"/>
      <c r="H25" s="275">
        <v>3124.4149999999986</v>
      </c>
      <c r="I25" s="373"/>
      <c r="J25" s="6672">
        <f t="shared" si="0"/>
        <v>5695.8649999999989</v>
      </c>
      <c r="K25" s="6666"/>
      <c r="L25" s="275">
        <v>5218.8400000000029</v>
      </c>
      <c r="M25" s="782"/>
      <c r="N25" s="4594">
        <f t="shared" si="1"/>
        <v>10914.705000000002</v>
      </c>
      <c r="O25" s="275"/>
      <c r="P25" s="275">
        <v>8777.7050000000163</v>
      </c>
      <c r="Q25" s="783"/>
      <c r="R25" s="4854">
        <f t="shared" si="2"/>
        <v>19692.410000000018</v>
      </c>
      <c r="S25" s="275"/>
      <c r="T25" s="275">
        <v>11006.190000000013</v>
      </c>
      <c r="U25" s="4938"/>
      <c r="V25" s="4938">
        <f t="shared" si="3"/>
        <v>30698.600000000031</v>
      </c>
      <c r="W25" s="275"/>
      <c r="X25" s="275">
        <v>8126.0550000000085</v>
      </c>
      <c r="Y25" s="802"/>
      <c r="Z25" s="5069">
        <f t="shared" si="4"/>
        <v>27909.950000000037</v>
      </c>
      <c r="AA25" s="522"/>
      <c r="AB25" s="662">
        <f t="shared" si="5"/>
        <v>38824.655000000042</v>
      </c>
      <c r="AC25" s="275"/>
      <c r="AD25" s="275">
        <v>3028.65</v>
      </c>
      <c r="AE25" s="2399"/>
      <c r="AF25" s="5359">
        <f t="shared" si="6"/>
        <v>41853.305000000044</v>
      </c>
      <c r="AG25" s="275"/>
      <c r="AH25" s="275">
        <v>1674.8249999999998</v>
      </c>
      <c r="AI25" s="5535"/>
      <c r="AJ25" s="5535">
        <f t="shared" si="7"/>
        <v>43528.130000000041</v>
      </c>
      <c r="AK25" s="275"/>
      <c r="AL25" s="275">
        <f>3084.065-5.41</f>
        <v>3078.6550000000002</v>
      </c>
      <c r="AM25" s="802"/>
      <c r="AN25" s="5955">
        <f t="shared" si="8"/>
        <v>7782.130000000001</v>
      </c>
      <c r="AO25" s="2399"/>
      <c r="AP25" s="5960">
        <f t="shared" si="9"/>
        <v>46606.78500000004</v>
      </c>
      <c r="AQ25" s="275"/>
      <c r="AR25" s="275">
        <v>1118.6149999999998</v>
      </c>
      <c r="AS25" s="2399"/>
      <c r="AT25" s="2399">
        <f t="shared" si="10"/>
        <v>47725.400000000038</v>
      </c>
      <c r="AU25" s="275"/>
      <c r="AV25" s="275">
        <v>6324.470000000003</v>
      </c>
      <c r="AW25" s="6273"/>
      <c r="AX25" s="6273">
        <f t="shared" si="11"/>
        <v>54049.870000000039</v>
      </c>
      <c r="AY25" s="275"/>
      <c r="AZ25" s="275">
        <v>5320.2250000000004</v>
      </c>
      <c r="BA25" s="802"/>
      <c r="BB25" s="3048">
        <f t="shared" si="12"/>
        <v>12763.310000000003</v>
      </c>
      <c r="BC25" s="522"/>
      <c r="BD25" s="662">
        <f t="shared" si="13"/>
        <v>20545.440000000002</v>
      </c>
      <c r="BE25" s="2399"/>
      <c r="BF25" s="2399">
        <f t="shared" si="14"/>
        <v>59370.095000000038</v>
      </c>
      <c r="BG25" s="26"/>
      <c r="BH25" s="26"/>
      <c r="BI25" s="26"/>
      <c r="BJ25" s="26"/>
      <c r="BK25" s="26"/>
      <c r="BL25" s="26"/>
      <c r="BM25" s="26"/>
      <c r="BN25" s="26"/>
    </row>
    <row r="26" spans="1:66" ht="15.75" x14ac:dyDescent="0.25">
      <c r="B26" s="888" t="s">
        <v>860</v>
      </c>
      <c r="C26" s="3577" t="s">
        <v>1045</v>
      </c>
      <c r="D26" s="3479" t="s">
        <v>50</v>
      </c>
      <c r="E26" s="3202"/>
      <c r="F26" s="3202">
        <v>9303.1850000000104</v>
      </c>
      <c r="G26" s="7205"/>
      <c r="H26" s="7205">
        <v>2761.84</v>
      </c>
      <c r="I26" s="3133"/>
      <c r="J26" s="6672">
        <f t="shared" si="0"/>
        <v>12065.025000000011</v>
      </c>
      <c r="K26" s="6667"/>
      <c r="L26" s="4602">
        <v>2022.5049999999999</v>
      </c>
      <c r="M26" s="782"/>
      <c r="N26" s="4594">
        <f t="shared" si="1"/>
        <v>14087.53000000001</v>
      </c>
      <c r="O26" s="4790"/>
      <c r="P26" s="4790">
        <v>4640.1050000000041</v>
      </c>
      <c r="Q26" s="783"/>
      <c r="R26" s="4854">
        <f t="shared" si="2"/>
        <v>18727.635000000013</v>
      </c>
      <c r="S26" s="4943"/>
      <c r="T26" s="4943">
        <v>3946.8500000000008</v>
      </c>
      <c r="U26" s="4938"/>
      <c r="V26" s="4938">
        <f t="shared" si="3"/>
        <v>22674.485000000015</v>
      </c>
      <c r="W26" s="5080"/>
      <c r="X26" s="5080">
        <v>2088.15</v>
      </c>
      <c r="Y26" s="802"/>
      <c r="Z26" s="5069">
        <f t="shared" si="4"/>
        <v>10675.105000000005</v>
      </c>
      <c r="AA26" s="522"/>
      <c r="AB26" s="662">
        <f t="shared" si="5"/>
        <v>24762.635000000017</v>
      </c>
      <c r="AC26" s="5365"/>
      <c r="AD26" s="5436">
        <v>1443.77</v>
      </c>
      <c r="AE26" s="2399"/>
      <c r="AF26" s="5359">
        <f t="shared" si="6"/>
        <v>26206.405000000017</v>
      </c>
      <c r="AG26" s="5552"/>
      <c r="AH26" s="5552"/>
      <c r="AI26" s="5535"/>
      <c r="AJ26" s="5535">
        <f t="shared" si="7"/>
        <v>26206.405000000017</v>
      </c>
      <c r="AK26" s="5961"/>
      <c r="AL26" s="5961">
        <v>6709.5900000000147</v>
      </c>
      <c r="AM26" s="802"/>
      <c r="AN26" s="5955">
        <f t="shared" si="8"/>
        <v>8153.3600000000151</v>
      </c>
      <c r="AO26" s="2399"/>
      <c r="AP26" s="5960">
        <f t="shared" si="9"/>
        <v>32915.995000000032</v>
      </c>
      <c r="AQ26" s="6114"/>
      <c r="AR26" s="6114">
        <v>5290.4000000000024</v>
      </c>
      <c r="AS26" s="2399"/>
      <c r="AT26" s="2399">
        <f t="shared" si="10"/>
        <v>38206.395000000033</v>
      </c>
      <c r="AU26" s="6279"/>
      <c r="AV26" s="6279">
        <v>5712.6700000000083</v>
      </c>
      <c r="AW26" s="6273"/>
      <c r="AX26" s="6273">
        <f t="shared" si="11"/>
        <v>43919.065000000039</v>
      </c>
      <c r="AY26" s="6433"/>
      <c r="AZ26" s="6433">
        <v>11248.450000000015</v>
      </c>
      <c r="BA26" s="802"/>
      <c r="BB26" s="3048">
        <f t="shared" si="12"/>
        <v>22251.520000000026</v>
      </c>
      <c r="BC26" s="522"/>
      <c r="BD26" s="662">
        <f t="shared" si="13"/>
        <v>30404.880000000041</v>
      </c>
      <c r="BE26" s="2399"/>
      <c r="BF26" s="2399">
        <f t="shared" si="14"/>
        <v>55167.515000000058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888" t="s">
        <v>860</v>
      </c>
      <c r="C27" s="3577" t="s">
        <v>1149</v>
      </c>
      <c r="D27" s="3479" t="s">
        <v>50</v>
      </c>
      <c r="E27" s="3202"/>
      <c r="F27" s="3202">
        <v>14295.540000000015</v>
      </c>
      <c r="G27" s="7205"/>
      <c r="H27" s="7205">
        <v>8564.9000000000124</v>
      </c>
      <c r="I27" s="3133"/>
      <c r="J27" s="6672">
        <f t="shared" si="0"/>
        <v>22860.440000000028</v>
      </c>
      <c r="K27" s="6667"/>
      <c r="L27" s="4602">
        <f>8812.40000000001-7.49</f>
        <v>8804.9100000000108</v>
      </c>
      <c r="M27" s="782"/>
      <c r="N27" s="4594">
        <f t="shared" si="1"/>
        <v>31665.350000000039</v>
      </c>
      <c r="O27" s="4790"/>
      <c r="P27" s="4790">
        <f>4977.53-1.43</f>
        <v>4976.0999999999995</v>
      </c>
      <c r="Q27" s="783"/>
      <c r="R27" s="4854">
        <f t="shared" si="2"/>
        <v>36641.450000000041</v>
      </c>
      <c r="S27" s="4943"/>
      <c r="T27" s="4943">
        <v>7993.5050000000101</v>
      </c>
      <c r="U27" s="4938"/>
      <c r="V27" s="4938">
        <f t="shared" si="3"/>
        <v>44634.955000000053</v>
      </c>
      <c r="W27" s="5080"/>
      <c r="X27" s="5080">
        <v>10034.310000000018</v>
      </c>
      <c r="Y27" s="802"/>
      <c r="Z27" s="5069">
        <f t="shared" si="4"/>
        <v>23003.91500000003</v>
      </c>
      <c r="AA27" s="522"/>
      <c r="AB27" s="662">
        <f t="shared" si="5"/>
        <v>54669.265000000072</v>
      </c>
      <c r="AC27" s="5365"/>
      <c r="AD27" s="5436">
        <v>11021.86</v>
      </c>
      <c r="AE27" s="2399"/>
      <c r="AF27" s="5359">
        <f t="shared" si="6"/>
        <v>65691.125000000073</v>
      </c>
      <c r="AG27" s="5552"/>
      <c r="AH27" s="5552"/>
      <c r="AI27" s="5535"/>
      <c r="AJ27" s="5535">
        <f t="shared" si="7"/>
        <v>65691.125000000073</v>
      </c>
      <c r="AK27" s="5961"/>
      <c r="AL27" s="5961">
        <v>11115.110000000017</v>
      </c>
      <c r="AM27" s="802"/>
      <c r="AN27" s="5955">
        <f t="shared" si="8"/>
        <v>22136.970000000016</v>
      </c>
      <c r="AO27" s="2399"/>
      <c r="AP27" s="5960">
        <f t="shared" si="9"/>
        <v>76806.235000000088</v>
      </c>
      <c r="AQ27" s="6114"/>
      <c r="AR27" s="6114">
        <v>10765.540000000045</v>
      </c>
      <c r="AS27" s="2399"/>
      <c r="AT27" s="2399">
        <f t="shared" si="10"/>
        <v>87571.77500000014</v>
      </c>
      <c r="AU27" s="6279"/>
      <c r="AV27" s="6279">
        <v>12197.285000000036</v>
      </c>
      <c r="AW27" s="6273"/>
      <c r="AX27" s="6273">
        <f t="shared" si="11"/>
        <v>99769.060000000172</v>
      </c>
      <c r="AY27" s="6433"/>
      <c r="AZ27" s="6433">
        <v>12472.825000000019</v>
      </c>
      <c r="BA27" s="802"/>
      <c r="BB27" s="3048">
        <f t="shared" si="12"/>
        <v>35435.650000000096</v>
      </c>
      <c r="BC27" s="522"/>
      <c r="BD27" s="662">
        <f t="shared" si="13"/>
        <v>57572.620000000112</v>
      </c>
      <c r="BE27" s="2399"/>
      <c r="BF27" s="2399">
        <f t="shared" si="14"/>
        <v>112241.88500000018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8" t="s">
        <v>860</v>
      </c>
      <c r="C28" s="3577" t="s">
        <v>1014</v>
      </c>
      <c r="D28" s="3479" t="s">
        <v>50</v>
      </c>
      <c r="E28" s="3202"/>
      <c r="F28" s="3202"/>
      <c r="G28" s="7205"/>
      <c r="H28" s="7205"/>
      <c r="I28" s="3133"/>
      <c r="J28" s="6672">
        <f t="shared" si="0"/>
        <v>0</v>
      </c>
      <c r="K28" s="6667"/>
      <c r="L28" s="4602"/>
      <c r="M28" s="782"/>
      <c r="N28" s="4594">
        <f t="shared" si="1"/>
        <v>0</v>
      </c>
      <c r="O28" s="4790"/>
      <c r="P28" s="4790"/>
      <c r="Q28" s="783"/>
      <c r="R28" s="4854">
        <f t="shared" si="2"/>
        <v>0</v>
      </c>
      <c r="S28" s="4943"/>
      <c r="T28" s="4943"/>
      <c r="U28" s="4938"/>
      <c r="V28" s="4938">
        <f t="shared" si="3"/>
        <v>0</v>
      </c>
      <c r="W28" s="5080"/>
      <c r="X28" s="5080"/>
      <c r="Y28" s="802"/>
      <c r="Z28" s="5069">
        <f t="shared" si="4"/>
        <v>0</v>
      </c>
      <c r="AA28" s="522"/>
      <c r="AB28" s="662">
        <f t="shared" si="5"/>
        <v>0</v>
      </c>
      <c r="AC28" s="5365"/>
      <c r="AD28" s="5436">
        <f>1042.88-16.8</f>
        <v>1026.0800000000002</v>
      </c>
      <c r="AE28" s="2399"/>
      <c r="AF28" s="5359">
        <f t="shared" si="6"/>
        <v>1026.0800000000002</v>
      </c>
      <c r="AG28" s="5552"/>
      <c r="AH28" s="5552"/>
      <c r="AI28" s="5535"/>
      <c r="AJ28" s="5535">
        <f t="shared" si="7"/>
        <v>1026.0800000000002</v>
      </c>
      <c r="AK28" s="5961"/>
      <c r="AL28" s="5961"/>
      <c r="AM28" s="802"/>
      <c r="AN28" s="5955">
        <f t="shared" si="8"/>
        <v>1026.0800000000002</v>
      </c>
      <c r="AO28" s="2399"/>
      <c r="AP28" s="5960">
        <f t="shared" si="9"/>
        <v>1026.0800000000002</v>
      </c>
      <c r="AQ28" s="6114"/>
      <c r="AR28" s="6114"/>
      <c r="AS28" s="2399"/>
      <c r="AT28" s="2399">
        <f t="shared" si="10"/>
        <v>1026.0800000000002</v>
      </c>
      <c r="AU28" s="6279"/>
      <c r="AV28" s="6279">
        <v>1224.9549999999997</v>
      </c>
      <c r="AW28" s="6273"/>
      <c r="AX28" s="6273">
        <f t="shared" si="11"/>
        <v>2251.0349999999999</v>
      </c>
      <c r="AY28" s="6433"/>
      <c r="AZ28" s="6433"/>
      <c r="BA28" s="802"/>
      <c r="BB28" s="3048">
        <f t="shared" si="12"/>
        <v>1224.9549999999997</v>
      </c>
      <c r="BC28" s="522"/>
      <c r="BD28" s="662">
        <f t="shared" si="13"/>
        <v>2251.0349999999999</v>
      </c>
      <c r="BE28" s="2399"/>
      <c r="BF28" s="2399">
        <f t="shared" si="14"/>
        <v>2251.0349999999999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8" t="s">
        <v>860</v>
      </c>
      <c r="C29" s="3577" t="s">
        <v>1046</v>
      </c>
      <c r="D29" s="3479" t="s">
        <v>50</v>
      </c>
      <c r="E29" s="3202"/>
      <c r="F29" s="3202">
        <v>1294.6199999999992</v>
      </c>
      <c r="G29" s="7205"/>
      <c r="H29" s="7205"/>
      <c r="I29" s="3133"/>
      <c r="J29" s="6672">
        <f t="shared" si="0"/>
        <v>1294.6199999999992</v>
      </c>
      <c r="K29" s="6667"/>
      <c r="L29" s="4602"/>
      <c r="M29" s="782"/>
      <c r="N29" s="4594">
        <f t="shared" si="1"/>
        <v>1294.6199999999992</v>
      </c>
      <c r="O29" s="4790"/>
      <c r="P29" s="4790">
        <v>1633.9549999999997</v>
      </c>
      <c r="Q29" s="783"/>
      <c r="R29" s="4854">
        <f t="shared" si="2"/>
        <v>2928.5749999999989</v>
      </c>
      <c r="S29" s="4943"/>
      <c r="T29" s="4943"/>
      <c r="U29" s="4938"/>
      <c r="V29" s="4938">
        <f t="shared" si="3"/>
        <v>2928.5749999999989</v>
      </c>
      <c r="W29" s="5080"/>
      <c r="X29" s="5080"/>
      <c r="Y29" s="802"/>
      <c r="Z29" s="5069">
        <f t="shared" si="4"/>
        <v>1633.9549999999997</v>
      </c>
      <c r="AA29" s="522"/>
      <c r="AB29" s="662">
        <f t="shared" si="5"/>
        <v>2928.5749999999989</v>
      </c>
      <c r="AC29" s="5365"/>
      <c r="AD29" s="5365"/>
      <c r="AE29" s="2399"/>
      <c r="AF29" s="5359">
        <f t="shared" si="6"/>
        <v>2928.5749999999989</v>
      </c>
      <c r="AG29" s="5552"/>
      <c r="AH29" s="5552"/>
      <c r="AI29" s="5535"/>
      <c r="AJ29" s="5535">
        <f t="shared" si="7"/>
        <v>2928.5749999999989</v>
      </c>
      <c r="AK29" s="5961"/>
      <c r="AL29" s="5961"/>
      <c r="AM29" s="802"/>
      <c r="AN29" s="5955">
        <f t="shared" si="8"/>
        <v>0</v>
      </c>
      <c r="AO29" s="2399"/>
      <c r="AP29" s="5960">
        <f t="shared" si="9"/>
        <v>2928.5749999999989</v>
      </c>
      <c r="AQ29" s="6114"/>
      <c r="AR29" s="6114"/>
      <c r="AS29" s="2399"/>
      <c r="AT29" s="2399">
        <f t="shared" si="10"/>
        <v>2928.5749999999989</v>
      </c>
      <c r="AU29" s="6279"/>
      <c r="AV29" s="6279">
        <v>1799.5999999999995</v>
      </c>
      <c r="AW29" s="6273"/>
      <c r="AX29" s="6273">
        <f t="shared" si="11"/>
        <v>4728.1749999999984</v>
      </c>
      <c r="AY29" s="6433"/>
      <c r="AZ29" s="6433"/>
      <c r="BA29" s="802"/>
      <c r="BB29" s="3048">
        <f t="shared" si="12"/>
        <v>1799.5999999999995</v>
      </c>
      <c r="BC29" s="522"/>
      <c r="BD29" s="662">
        <f t="shared" si="13"/>
        <v>1799.5999999999995</v>
      </c>
      <c r="BE29" s="2399"/>
      <c r="BF29" s="2399">
        <f t="shared" si="14"/>
        <v>4728.1749999999984</v>
      </c>
      <c r="BG29" s="26"/>
      <c r="BH29" s="26"/>
      <c r="BI29" s="26"/>
      <c r="BJ29" s="26"/>
      <c r="BK29" s="26"/>
      <c r="BL29" s="26"/>
      <c r="BM29" s="26"/>
      <c r="BN29" s="26"/>
    </row>
    <row r="30" spans="1:66" s="2749" customFormat="1" ht="16.5" thickBot="1" x14ac:dyDescent="0.3">
      <c r="B30" s="3579" t="s">
        <v>860</v>
      </c>
      <c r="C30" s="3580" t="s">
        <v>1127</v>
      </c>
      <c r="D30" s="750" t="s">
        <v>50</v>
      </c>
      <c r="E30" s="234"/>
      <c r="F30" s="234"/>
      <c r="G30" s="234"/>
      <c r="H30" s="234"/>
      <c r="I30" s="589"/>
      <c r="J30" s="6672">
        <f t="shared" si="0"/>
        <v>0</v>
      </c>
      <c r="K30" s="6668"/>
      <c r="L30" s="234"/>
      <c r="M30" s="2746"/>
      <c r="N30" s="4594">
        <f t="shared" si="1"/>
        <v>0</v>
      </c>
      <c r="O30" s="234"/>
      <c r="P30" s="234"/>
      <c r="Q30" s="2399"/>
      <c r="R30" s="4854">
        <f t="shared" si="2"/>
        <v>0</v>
      </c>
      <c r="S30" s="234"/>
      <c r="T30" s="234"/>
      <c r="U30" s="4938"/>
      <c r="V30" s="4938">
        <f t="shared" si="3"/>
        <v>0</v>
      </c>
      <c r="W30" s="234"/>
      <c r="X30" s="234"/>
      <c r="Y30" s="802"/>
      <c r="Z30" s="5069">
        <f t="shared" si="4"/>
        <v>0</v>
      </c>
      <c r="AA30" s="522"/>
      <c r="AB30" s="662">
        <f t="shared" si="5"/>
        <v>0</v>
      </c>
      <c r="AC30" s="234"/>
      <c r="AD30" s="234"/>
      <c r="AE30" s="2399"/>
      <c r="AF30" s="5359">
        <f t="shared" si="6"/>
        <v>0</v>
      </c>
      <c r="AG30" s="234"/>
      <c r="AH30" s="234"/>
      <c r="AI30" s="5535"/>
      <c r="AJ30" s="5535">
        <f t="shared" si="7"/>
        <v>0</v>
      </c>
      <c r="AK30" s="234"/>
      <c r="AL30" s="234"/>
      <c r="AM30" s="802"/>
      <c r="AN30" s="5955">
        <f t="shared" si="8"/>
        <v>0</v>
      </c>
      <c r="AO30" s="2399"/>
      <c r="AP30" s="5960">
        <f t="shared" si="9"/>
        <v>0</v>
      </c>
      <c r="AQ30" s="234"/>
      <c r="AR30" s="234"/>
      <c r="AS30" s="2399"/>
      <c r="AT30" s="2399">
        <f t="shared" si="10"/>
        <v>0</v>
      </c>
      <c r="AU30" s="234"/>
      <c r="AV30" s="234"/>
      <c r="AW30" s="6273"/>
      <c r="AX30" s="6273">
        <f t="shared" si="11"/>
        <v>0</v>
      </c>
      <c r="AY30" s="234"/>
      <c r="AZ30" s="234"/>
      <c r="BA30" s="802"/>
      <c r="BB30" s="3048">
        <f t="shared" si="12"/>
        <v>0</v>
      </c>
      <c r="BC30" s="522"/>
      <c r="BD30" s="662">
        <f t="shared" si="13"/>
        <v>0</v>
      </c>
      <c r="BE30" s="2399"/>
      <c r="BF30" s="2399">
        <f t="shared" si="14"/>
        <v>0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3572" t="s">
        <v>861</v>
      </c>
      <c r="C31" s="3573" t="s">
        <v>1044</v>
      </c>
      <c r="D31" s="60" t="s">
        <v>50</v>
      </c>
      <c r="E31" s="1309"/>
      <c r="F31" s="1309"/>
      <c r="G31" s="6405"/>
      <c r="H31" s="6405">
        <v>5288.4400000000078</v>
      </c>
      <c r="I31" s="2402"/>
      <c r="J31" s="6672">
        <f t="shared" si="0"/>
        <v>5288.4400000000078</v>
      </c>
      <c r="K31" s="6669"/>
      <c r="L31" s="4597">
        <v>3333.3500000000004</v>
      </c>
      <c r="M31" s="782"/>
      <c r="N31" s="4594">
        <f t="shared" si="1"/>
        <v>8621.7900000000081</v>
      </c>
      <c r="O31" s="4772"/>
      <c r="P31" s="4772">
        <v>7020.4850000000079</v>
      </c>
      <c r="Q31" s="783"/>
      <c r="R31" s="4854">
        <f t="shared" si="2"/>
        <v>15642.275000000016</v>
      </c>
      <c r="S31" s="4937"/>
      <c r="T31" s="4937">
        <v>7498.5080000000053</v>
      </c>
      <c r="U31" s="4938"/>
      <c r="V31" s="4938">
        <f t="shared" si="3"/>
        <v>23140.783000000021</v>
      </c>
      <c r="W31" s="5072"/>
      <c r="X31" s="5072">
        <v>5789.6100000000069</v>
      </c>
      <c r="Y31" s="802"/>
      <c r="Z31" s="5069">
        <f t="shared" si="4"/>
        <v>20308.603000000021</v>
      </c>
      <c r="AA31" s="522"/>
      <c r="AB31" s="662">
        <f t="shared" si="5"/>
        <v>28930.393000000029</v>
      </c>
      <c r="AC31" s="5355"/>
      <c r="AD31" s="5433">
        <v>1799.6</v>
      </c>
      <c r="AE31" s="2399"/>
      <c r="AF31" s="5359">
        <f t="shared" si="6"/>
        <v>30729.993000000028</v>
      </c>
      <c r="AG31" s="5534"/>
      <c r="AH31" s="5534"/>
      <c r="AI31" s="5535"/>
      <c r="AJ31" s="5535">
        <f t="shared" si="7"/>
        <v>30729.993000000028</v>
      </c>
      <c r="AK31" s="5958"/>
      <c r="AL31" s="5958">
        <v>3885.4999999999991</v>
      </c>
      <c r="AM31" s="802"/>
      <c r="AN31" s="5955">
        <f t="shared" si="8"/>
        <v>5685.0999999999985</v>
      </c>
      <c r="AO31" s="2399"/>
      <c r="AP31" s="5960">
        <f t="shared" si="9"/>
        <v>34615.493000000024</v>
      </c>
      <c r="AQ31" s="6110"/>
      <c r="AR31" s="6110">
        <v>2505.1249999999982</v>
      </c>
      <c r="AS31" s="2399"/>
      <c r="AT31" s="2399">
        <f t="shared" si="10"/>
        <v>37120.618000000024</v>
      </c>
      <c r="AU31" s="6275"/>
      <c r="AV31" s="6275">
        <v>4476.5049999999992</v>
      </c>
      <c r="AW31" s="6273"/>
      <c r="AX31" s="6273">
        <f t="shared" si="11"/>
        <v>41597.123000000021</v>
      </c>
      <c r="AY31" s="6405"/>
      <c r="AZ31" s="6405">
        <v>2640.17</v>
      </c>
      <c r="BA31" s="802"/>
      <c r="BB31" s="3048">
        <f t="shared" si="12"/>
        <v>9621.7999999999975</v>
      </c>
      <c r="BC31" s="522"/>
      <c r="BD31" s="662">
        <f t="shared" si="13"/>
        <v>15306.899999999996</v>
      </c>
      <c r="BE31" s="2399"/>
      <c r="BF31" s="2399">
        <f t="shared" si="14"/>
        <v>44237.29300000002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B32" s="888" t="s">
        <v>861</v>
      </c>
      <c r="C32" s="3577" t="s">
        <v>1045</v>
      </c>
      <c r="D32" s="3479" t="s">
        <v>50</v>
      </c>
      <c r="E32" s="3202"/>
      <c r="F32" s="3202">
        <v>2634.3349999999991</v>
      </c>
      <c r="G32" s="7205"/>
      <c r="H32" s="7205">
        <v>5431.1950000000006</v>
      </c>
      <c r="I32" s="3133"/>
      <c r="J32" s="6672">
        <f t="shared" si="0"/>
        <v>8065.53</v>
      </c>
      <c r="K32" s="6667"/>
      <c r="L32" s="4602">
        <v>1216.7749999999996</v>
      </c>
      <c r="M32" s="782"/>
      <c r="N32" s="4594">
        <f t="shared" si="1"/>
        <v>9282.3050000000003</v>
      </c>
      <c r="O32" s="4790"/>
      <c r="P32" s="4790">
        <v>4577.3750000000009</v>
      </c>
      <c r="Q32" s="783"/>
      <c r="R32" s="4854">
        <f t="shared" si="2"/>
        <v>13859.68</v>
      </c>
      <c r="S32" s="4943"/>
      <c r="T32" s="4943">
        <v>3642.1450000000013</v>
      </c>
      <c r="U32" s="4938"/>
      <c r="V32" s="4938">
        <f t="shared" si="3"/>
        <v>17501.825000000001</v>
      </c>
      <c r="W32" s="5080"/>
      <c r="X32" s="5080">
        <f>4999.825-9.74</f>
        <v>4990.085</v>
      </c>
      <c r="Y32" s="802"/>
      <c r="Z32" s="5069">
        <f t="shared" si="4"/>
        <v>13209.605000000003</v>
      </c>
      <c r="AA32" s="522"/>
      <c r="AB32" s="662">
        <f t="shared" si="5"/>
        <v>22491.910000000003</v>
      </c>
      <c r="AC32" s="5365"/>
      <c r="AD32" s="5436">
        <v>2449.91</v>
      </c>
      <c r="AE32" s="2399"/>
      <c r="AF32" s="5359">
        <f t="shared" si="6"/>
        <v>24941.820000000003</v>
      </c>
      <c r="AG32" s="5552"/>
      <c r="AH32" s="5552"/>
      <c r="AI32" s="5535"/>
      <c r="AJ32" s="5535">
        <f t="shared" si="7"/>
        <v>24941.820000000003</v>
      </c>
      <c r="AK32" s="5961"/>
      <c r="AL32" s="5961">
        <v>4785.2999999999965</v>
      </c>
      <c r="AM32" s="802"/>
      <c r="AN32" s="5955">
        <f t="shared" si="8"/>
        <v>7235.2099999999964</v>
      </c>
      <c r="AO32" s="2399"/>
      <c r="AP32" s="5960">
        <f t="shared" si="9"/>
        <v>29727.119999999999</v>
      </c>
      <c r="AQ32" s="6114"/>
      <c r="AR32" s="6114">
        <v>4404.9299999999994</v>
      </c>
      <c r="AS32" s="2399"/>
      <c r="AT32" s="2399">
        <f t="shared" si="10"/>
        <v>34132.049999999996</v>
      </c>
      <c r="AU32" s="6279"/>
      <c r="AV32" s="6279">
        <v>2836.46</v>
      </c>
      <c r="AW32" s="6273"/>
      <c r="AX32" s="6273">
        <f t="shared" si="11"/>
        <v>36968.509999999995</v>
      </c>
      <c r="AY32" s="6433"/>
      <c r="AZ32" s="6433">
        <v>1729.2950000000003</v>
      </c>
      <c r="BA32" s="802"/>
      <c r="BB32" s="3048">
        <f t="shared" si="12"/>
        <v>8970.6849999999995</v>
      </c>
      <c r="BC32" s="522"/>
      <c r="BD32" s="662">
        <f t="shared" si="13"/>
        <v>16205.894999999997</v>
      </c>
      <c r="BE32" s="2399"/>
      <c r="BF32" s="2399">
        <f t="shared" si="14"/>
        <v>38697.804999999993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888" t="s">
        <v>861</v>
      </c>
      <c r="C33" s="3577" t="s">
        <v>1149</v>
      </c>
      <c r="D33" s="3479" t="s">
        <v>50</v>
      </c>
      <c r="E33" s="3202"/>
      <c r="F33" s="3202">
        <v>3836.4199999999996</v>
      </c>
      <c r="G33" s="7205"/>
      <c r="H33" s="7205">
        <v>8096.2000000000035</v>
      </c>
      <c r="I33" s="3133"/>
      <c r="J33" s="6672">
        <f t="shared" si="0"/>
        <v>11932.620000000003</v>
      </c>
      <c r="K33" s="6667"/>
      <c r="L33" s="4602">
        <v>8108.4250000000102</v>
      </c>
      <c r="M33" s="782"/>
      <c r="N33" s="4594">
        <f t="shared" si="1"/>
        <v>20041.045000000013</v>
      </c>
      <c r="O33" s="4790"/>
      <c r="P33" s="4790">
        <f>9233.17500000002-11.3</f>
        <v>9221.87500000002</v>
      </c>
      <c r="Q33" s="783"/>
      <c r="R33" s="4854">
        <f t="shared" si="2"/>
        <v>29262.920000000035</v>
      </c>
      <c r="S33" s="4943"/>
      <c r="T33" s="4943">
        <v>6638.0700000000061</v>
      </c>
      <c r="U33" s="4938"/>
      <c r="V33" s="4938">
        <f t="shared" si="3"/>
        <v>35900.990000000042</v>
      </c>
      <c r="W33" s="5080"/>
      <c r="X33" s="5080">
        <f>13182.07-7.58</f>
        <v>13174.49</v>
      </c>
      <c r="Y33" s="802"/>
      <c r="Z33" s="5069">
        <f t="shared" si="4"/>
        <v>29034.435000000027</v>
      </c>
      <c r="AA33" s="522"/>
      <c r="AB33" s="662">
        <f t="shared" si="5"/>
        <v>49075.48000000004</v>
      </c>
      <c r="AC33" s="5365"/>
      <c r="AD33" s="5436">
        <v>15172.55</v>
      </c>
      <c r="AE33" s="2399"/>
      <c r="AF33" s="5359">
        <f t="shared" si="6"/>
        <v>64248.030000000042</v>
      </c>
      <c r="AG33" s="5552"/>
      <c r="AH33" s="5552"/>
      <c r="AI33" s="5535"/>
      <c r="AJ33" s="5535">
        <f t="shared" si="7"/>
        <v>64248.030000000042</v>
      </c>
      <c r="AK33" s="5961"/>
      <c r="AL33" s="5961">
        <v>10141.085000000015</v>
      </c>
      <c r="AM33" s="802"/>
      <c r="AN33" s="5955">
        <f t="shared" si="8"/>
        <v>25313.635000000017</v>
      </c>
      <c r="AO33" s="2399"/>
      <c r="AP33" s="5960">
        <f t="shared" si="9"/>
        <v>74389.115000000063</v>
      </c>
      <c r="AQ33" s="6114"/>
      <c r="AR33" s="6114">
        <v>11311.77000000003</v>
      </c>
      <c r="AS33" s="2399"/>
      <c r="AT33" s="2399">
        <f t="shared" si="10"/>
        <v>85700.885000000097</v>
      </c>
      <c r="AU33" s="6279"/>
      <c r="AV33" s="6279">
        <v>8294.9450000000033</v>
      </c>
      <c r="AW33" s="6273"/>
      <c r="AX33" s="6273">
        <f t="shared" si="11"/>
        <v>93995.830000000104</v>
      </c>
      <c r="AY33" s="6433"/>
      <c r="AZ33" s="6433">
        <v>12979.250000000018</v>
      </c>
      <c r="BA33" s="802"/>
      <c r="BB33" s="3048">
        <f t="shared" si="12"/>
        <v>32585.965000000051</v>
      </c>
      <c r="BC33" s="522"/>
      <c r="BD33" s="662">
        <f t="shared" si="13"/>
        <v>57899.600000000064</v>
      </c>
      <c r="BE33" s="2399"/>
      <c r="BF33" s="2399">
        <f t="shared" si="14"/>
        <v>106975.08000000012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8" t="s">
        <v>861</v>
      </c>
      <c r="C34" s="3577" t="s">
        <v>1046</v>
      </c>
      <c r="D34" s="3479" t="s">
        <v>50</v>
      </c>
      <c r="E34" s="3202"/>
      <c r="F34" s="3202"/>
      <c r="G34" s="7205"/>
      <c r="H34" s="7205">
        <v>603.27499999999998</v>
      </c>
      <c r="I34" s="3133"/>
      <c r="J34" s="6672">
        <f t="shared" si="0"/>
        <v>603.27499999999998</v>
      </c>
      <c r="K34" s="6667"/>
      <c r="L34" s="4602">
        <v>756.64999999999986</v>
      </c>
      <c r="M34" s="782"/>
      <c r="N34" s="4594">
        <f t="shared" si="1"/>
        <v>1359.9249999999997</v>
      </c>
      <c r="O34" s="4790"/>
      <c r="P34" s="4790"/>
      <c r="Q34" s="783"/>
      <c r="R34" s="4854">
        <f t="shared" si="2"/>
        <v>1359.9249999999997</v>
      </c>
      <c r="S34" s="4943"/>
      <c r="T34" s="4943"/>
      <c r="U34" s="4938"/>
      <c r="V34" s="4938">
        <f t="shared" si="3"/>
        <v>1359.9249999999997</v>
      </c>
      <c r="W34" s="5080"/>
      <c r="X34" s="5080"/>
      <c r="Y34" s="802"/>
      <c r="Z34" s="5069">
        <f t="shared" si="4"/>
        <v>0</v>
      </c>
      <c r="AA34" s="522"/>
      <c r="AB34" s="662">
        <f t="shared" si="5"/>
        <v>1359.9249999999997</v>
      </c>
      <c r="AC34" s="5365"/>
      <c r="AD34" s="5365"/>
      <c r="AE34" s="2399"/>
      <c r="AF34" s="5359">
        <f t="shared" si="6"/>
        <v>1359.9249999999997</v>
      </c>
      <c r="AG34" s="5552"/>
      <c r="AH34" s="5552"/>
      <c r="AI34" s="5535"/>
      <c r="AJ34" s="5535">
        <f t="shared" si="7"/>
        <v>1359.9249999999997</v>
      </c>
      <c r="AK34" s="5961"/>
      <c r="AL34" s="5961"/>
      <c r="AM34" s="802"/>
      <c r="AN34" s="5955">
        <f t="shared" si="8"/>
        <v>0</v>
      </c>
      <c r="AO34" s="2399"/>
      <c r="AP34" s="5960">
        <f t="shared" si="9"/>
        <v>1359.9249999999997</v>
      </c>
      <c r="AQ34" s="6114"/>
      <c r="AR34" s="6114"/>
      <c r="AS34" s="2399"/>
      <c r="AT34" s="2399">
        <f t="shared" si="10"/>
        <v>1359.9249999999997</v>
      </c>
      <c r="AU34" s="6279"/>
      <c r="AV34" s="6279"/>
      <c r="AW34" s="6273"/>
      <c r="AX34" s="6273">
        <f t="shared" si="11"/>
        <v>1359.9249999999997</v>
      </c>
      <c r="AY34" s="6433"/>
      <c r="AZ34" s="6433"/>
      <c r="BA34" s="802"/>
      <c r="BB34" s="3048">
        <f t="shared" si="12"/>
        <v>0</v>
      </c>
      <c r="BC34" s="522"/>
      <c r="BD34" s="662">
        <f t="shared" si="13"/>
        <v>0</v>
      </c>
      <c r="BE34" s="2399"/>
      <c r="BF34" s="2399">
        <f t="shared" si="14"/>
        <v>1359.9249999999997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B35" s="3582" t="s">
        <v>861</v>
      </c>
      <c r="C35" s="3583" t="s">
        <v>1014</v>
      </c>
      <c r="D35" s="3584" t="s">
        <v>50</v>
      </c>
      <c r="E35" s="3516"/>
      <c r="F35" s="3516"/>
      <c r="G35" s="3516"/>
      <c r="H35" s="3516"/>
      <c r="I35" s="3478"/>
      <c r="J35" s="6672">
        <f t="shared" si="0"/>
        <v>0</v>
      </c>
      <c r="K35" s="6670"/>
      <c r="L35" s="3516"/>
      <c r="M35" s="782"/>
      <c r="N35" s="4594">
        <f t="shared" si="1"/>
        <v>0</v>
      </c>
      <c r="O35" s="3516"/>
      <c r="P35" s="3516"/>
      <c r="Q35" s="783"/>
      <c r="R35" s="4854">
        <f t="shared" si="2"/>
        <v>0</v>
      </c>
      <c r="S35" s="3516"/>
      <c r="T35" s="3516"/>
      <c r="U35" s="4938"/>
      <c r="V35" s="4938">
        <f t="shared" si="3"/>
        <v>0</v>
      </c>
      <c r="W35" s="3516"/>
      <c r="X35" s="3516"/>
      <c r="Y35" s="802"/>
      <c r="Z35" s="5069">
        <f t="shared" si="4"/>
        <v>0</v>
      </c>
      <c r="AA35" s="522"/>
      <c r="AB35" s="662">
        <f t="shared" si="5"/>
        <v>0</v>
      </c>
      <c r="AC35" s="3516"/>
      <c r="AD35" s="3516">
        <v>509.21</v>
      </c>
      <c r="AE35" s="2399"/>
      <c r="AF35" s="5359">
        <f t="shared" si="6"/>
        <v>509.21</v>
      </c>
      <c r="AG35" s="3516"/>
      <c r="AH35" s="3516"/>
      <c r="AI35" s="5535"/>
      <c r="AJ35" s="5535">
        <f t="shared" si="7"/>
        <v>509.21</v>
      </c>
      <c r="AK35" s="3516"/>
      <c r="AL35" s="3516"/>
      <c r="AM35" s="802"/>
      <c r="AN35" s="5955">
        <f t="shared" si="8"/>
        <v>509.21</v>
      </c>
      <c r="AO35" s="2399"/>
      <c r="AP35" s="5960">
        <f t="shared" si="9"/>
        <v>509.21</v>
      </c>
      <c r="AQ35" s="3516"/>
      <c r="AR35" s="3516">
        <v>730.06499999999994</v>
      </c>
      <c r="AS35" s="2399"/>
      <c r="AT35" s="2399">
        <f t="shared" si="10"/>
        <v>1239.2749999999999</v>
      </c>
      <c r="AU35" s="3516"/>
      <c r="AV35" s="3516"/>
      <c r="AW35" s="6273"/>
      <c r="AX35" s="6273">
        <f t="shared" si="11"/>
        <v>1239.2749999999999</v>
      </c>
      <c r="AY35" s="3516"/>
      <c r="AZ35" s="3516"/>
      <c r="BA35" s="802"/>
      <c r="BB35" s="3048">
        <f t="shared" si="12"/>
        <v>730.06499999999994</v>
      </c>
      <c r="BC35" s="522"/>
      <c r="BD35" s="662">
        <f t="shared" si="13"/>
        <v>1239.2749999999999</v>
      </c>
      <c r="BE35" s="2399"/>
      <c r="BF35" s="2399">
        <f t="shared" si="14"/>
        <v>1239.2749999999999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3574" t="s">
        <v>862</v>
      </c>
      <c r="C36" s="3575" t="s">
        <v>1044</v>
      </c>
      <c r="D36" s="759" t="s">
        <v>50</v>
      </c>
      <c r="E36" s="275"/>
      <c r="F36" s="275">
        <v>1484.6699999999998</v>
      </c>
      <c r="G36" s="275"/>
      <c r="H36" s="275">
        <v>1982.0050000000001</v>
      </c>
      <c r="I36" s="373"/>
      <c r="J36" s="6672">
        <f t="shared" si="0"/>
        <v>3466.6750000000002</v>
      </c>
      <c r="K36" s="6666"/>
      <c r="L36" s="275">
        <v>2261.7700000000004</v>
      </c>
      <c r="M36" s="782"/>
      <c r="N36" s="4594">
        <f t="shared" si="1"/>
        <v>5728.4450000000006</v>
      </c>
      <c r="O36" s="275"/>
      <c r="P36" s="275">
        <v>2204.5100000000002</v>
      </c>
      <c r="Q36" s="783"/>
      <c r="R36" s="4854">
        <f t="shared" si="2"/>
        <v>7932.9550000000008</v>
      </c>
      <c r="S36" s="275"/>
      <c r="T36" s="275">
        <v>1601.2349999999999</v>
      </c>
      <c r="U36" s="4938"/>
      <c r="V36" s="4938">
        <f t="shared" si="3"/>
        <v>9534.19</v>
      </c>
      <c r="W36" s="275"/>
      <c r="X36" s="275">
        <v>1785.2850000000005</v>
      </c>
      <c r="Y36" s="802"/>
      <c r="Z36" s="5069">
        <f t="shared" si="4"/>
        <v>5591.0300000000007</v>
      </c>
      <c r="AA36" s="522"/>
      <c r="AB36" s="662">
        <f t="shared" si="5"/>
        <v>11319.475000000002</v>
      </c>
      <c r="AC36" s="275"/>
      <c r="AD36" s="275"/>
      <c r="AE36" s="2399"/>
      <c r="AF36" s="5359">
        <f t="shared" si="6"/>
        <v>11319.475000000002</v>
      </c>
      <c r="AG36" s="275"/>
      <c r="AH36" s="275"/>
      <c r="AI36" s="5535"/>
      <c r="AJ36" s="5535">
        <f t="shared" si="7"/>
        <v>11319.475000000002</v>
      </c>
      <c r="AK36" s="275"/>
      <c r="AL36" s="275">
        <v>2241.3200000000006</v>
      </c>
      <c r="AM36" s="802"/>
      <c r="AN36" s="5955">
        <f t="shared" si="8"/>
        <v>2241.3200000000006</v>
      </c>
      <c r="AO36" s="2399"/>
      <c r="AP36" s="5960">
        <f t="shared" si="9"/>
        <v>13560.795000000002</v>
      </c>
      <c r="AQ36" s="275"/>
      <c r="AR36" s="275">
        <v>1548.0650000000001</v>
      </c>
      <c r="AS36" s="2399"/>
      <c r="AT36" s="2399">
        <f t="shared" si="10"/>
        <v>15108.860000000002</v>
      </c>
      <c r="AU36" s="275"/>
      <c r="AV36" s="275">
        <v>1419.2300000000002</v>
      </c>
      <c r="AW36" s="6273"/>
      <c r="AX36" s="6273">
        <f t="shared" si="11"/>
        <v>16528.090000000004</v>
      </c>
      <c r="AY36" s="275"/>
      <c r="AZ36" s="275"/>
      <c r="BA36" s="802"/>
      <c r="BB36" s="3048">
        <f t="shared" si="12"/>
        <v>2967.2950000000001</v>
      </c>
      <c r="BC36" s="522"/>
      <c r="BD36" s="662">
        <f t="shared" si="13"/>
        <v>5208.6150000000007</v>
      </c>
      <c r="BE36" s="2399"/>
      <c r="BF36" s="2399">
        <f t="shared" si="14"/>
        <v>16528.090000000004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customHeight="1" x14ac:dyDescent="0.25">
      <c r="B37" s="888" t="s">
        <v>862</v>
      </c>
      <c r="C37" s="3577" t="s">
        <v>1045</v>
      </c>
      <c r="D37" s="3479" t="s">
        <v>50</v>
      </c>
      <c r="E37" s="3202"/>
      <c r="F37" s="3202">
        <v>1803.6899999999996</v>
      </c>
      <c r="G37" s="7205"/>
      <c r="H37" s="7205">
        <v>2044.0000000000002</v>
      </c>
      <c r="I37" s="3133"/>
      <c r="J37" s="6672">
        <f t="shared" si="0"/>
        <v>3847.6899999999996</v>
      </c>
      <c r="K37" s="6667"/>
      <c r="L37" s="4602"/>
      <c r="M37" s="782"/>
      <c r="N37" s="4594">
        <f t="shared" si="1"/>
        <v>3847.6899999999996</v>
      </c>
      <c r="O37" s="4790"/>
      <c r="P37" s="4790">
        <v>694.78500000000008</v>
      </c>
      <c r="Q37" s="783"/>
      <c r="R37" s="4854">
        <f t="shared" si="2"/>
        <v>4542.4749999999995</v>
      </c>
      <c r="S37" s="4943"/>
      <c r="T37" s="4943">
        <v>98.16</v>
      </c>
      <c r="U37" s="4938"/>
      <c r="V37" s="4938">
        <f t="shared" si="3"/>
        <v>4640.6349999999993</v>
      </c>
      <c r="W37" s="5080"/>
      <c r="X37" s="5080">
        <v>2098.17</v>
      </c>
      <c r="Y37" s="802"/>
      <c r="Z37" s="5069">
        <f t="shared" si="4"/>
        <v>2891.1150000000002</v>
      </c>
      <c r="AA37" s="522"/>
      <c r="AB37" s="662">
        <f t="shared" si="5"/>
        <v>6738.8050000000003</v>
      </c>
      <c r="AC37" s="5365"/>
      <c r="AD37" s="5365"/>
      <c r="AE37" s="2399"/>
      <c r="AF37" s="5359">
        <f t="shared" si="6"/>
        <v>6738.8050000000003</v>
      </c>
      <c r="AG37" s="5552"/>
      <c r="AH37" s="5552"/>
      <c r="AI37" s="5535"/>
      <c r="AJ37" s="5535">
        <f t="shared" si="7"/>
        <v>6738.8050000000003</v>
      </c>
      <c r="AK37" s="5961"/>
      <c r="AL37" s="5961">
        <v>629.8599999999999</v>
      </c>
      <c r="AM37" s="802"/>
      <c r="AN37" s="5955">
        <f t="shared" si="8"/>
        <v>629.8599999999999</v>
      </c>
      <c r="AO37" s="2399"/>
      <c r="AP37" s="5960">
        <f t="shared" si="9"/>
        <v>7368.665</v>
      </c>
      <c r="AQ37" s="6114"/>
      <c r="AR37" s="6114">
        <v>1572.605</v>
      </c>
      <c r="AS37" s="2399"/>
      <c r="AT37" s="2399">
        <f t="shared" si="10"/>
        <v>8941.27</v>
      </c>
      <c r="AU37" s="6279"/>
      <c r="AV37" s="6279"/>
      <c r="AW37" s="6273"/>
      <c r="AX37" s="6273">
        <f t="shared" si="11"/>
        <v>8941.27</v>
      </c>
      <c r="AY37" s="6433"/>
      <c r="AZ37" s="6433">
        <v>1848.6800000000003</v>
      </c>
      <c r="BA37" s="802"/>
      <c r="BB37" s="3048">
        <f t="shared" si="12"/>
        <v>3421.2850000000003</v>
      </c>
      <c r="BC37" s="522"/>
      <c r="BD37" s="662">
        <f t="shared" si="13"/>
        <v>4051.1450000000004</v>
      </c>
      <c r="BE37" s="2399"/>
      <c r="BF37" s="2399">
        <f t="shared" si="14"/>
        <v>10789.95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25">
      <c r="B38" s="888" t="s">
        <v>862</v>
      </c>
      <c r="C38" s="3577" t="s">
        <v>1149</v>
      </c>
      <c r="D38" s="3479" t="s">
        <v>50</v>
      </c>
      <c r="E38" s="3202"/>
      <c r="F38" s="3202">
        <v>8355.6899999999987</v>
      </c>
      <c r="G38" s="7205"/>
      <c r="H38" s="7205">
        <v>9685.2300000000105</v>
      </c>
      <c r="I38" s="3133"/>
      <c r="J38" s="6672">
        <f t="shared" si="0"/>
        <v>18040.920000000009</v>
      </c>
      <c r="K38" s="6667"/>
      <c r="L38" s="4602">
        <f>7064.53800000001-2.48</f>
        <v>7062.05800000001</v>
      </c>
      <c r="M38" s="782"/>
      <c r="N38" s="4594">
        <f t="shared" si="1"/>
        <v>25102.978000000017</v>
      </c>
      <c r="O38" s="4790"/>
      <c r="P38" s="4790">
        <f>9887.57500000002-1.82</f>
        <v>9885.755000000021</v>
      </c>
      <c r="Q38" s="783"/>
      <c r="R38" s="4854">
        <f t="shared" si="2"/>
        <v>34988.733000000037</v>
      </c>
      <c r="S38" s="4943"/>
      <c r="T38" s="4987">
        <v>6986.1550000000079</v>
      </c>
      <c r="U38" s="4938"/>
      <c r="V38" s="4938">
        <f t="shared" si="3"/>
        <v>41974.888000000043</v>
      </c>
      <c r="W38" s="5080"/>
      <c r="X38" s="5080">
        <v>1404.9149999999997</v>
      </c>
      <c r="Y38" s="802"/>
      <c r="Z38" s="5069">
        <f t="shared" si="4"/>
        <v>18276.82500000003</v>
      </c>
      <c r="AA38" s="522"/>
      <c r="AB38" s="662">
        <f t="shared" si="5"/>
        <v>43379.803000000044</v>
      </c>
      <c r="AC38" s="5365"/>
      <c r="AD38" s="5436">
        <v>8169.78</v>
      </c>
      <c r="AE38" s="2399"/>
      <c r="AF38" s="5359">
        <f t="shared" si="6"/>
        <v>51549.583000000042</v>
      </c>
      <c r="AG38" s="5552"/>
      <c r="AH38" s="5552">
        <v>1494.8950000000002</v>
      </c>
      <c r="AI38" s="5535"/>
      <c r="AJ38" s="5535">
        <f t="shared" si="7"/>
        <v>53044.478000000039</v>
      </c>
      <c r="AK38" s="5961"/>
      <c r="AL38" s="5961">
        <v>9599.7750000000106</v>
      </c>
      <c r="AM38" s="802"/>
      <c r="AN38" s="5955">
        <f t="shared" si="8"/>
        <v>19264.450000000012</v>
      </c>
      <c r="AO38" s="2399"/>
      <c r="AP38" s="5960">
        <f t="shared" si="9"/>
        <v>62644.253000000048</v>
      </c>
      <c r="AQ38" s="6114"/>
      <c r="AR38" s="6114">
        <v>9831.3050000000112</v>
      </c>
      <c r="AS38" s="2399"/>
      <c r="AT38" s="2399">
        <f t="shared" si="10"/>
        <v>72475.558000000063</v>
      </c>
      <c r="AU38" s="6279"/>
      <c r="AV38" s="6279">
        <v>4459.2950000000001</v>
      </c>
      <c r="AW38" s="6273"/>
      <c r="AX38" s="6273">
        <f t="shared" si="11"/>
        <v>76934.853000000061</v>
      </c>
      <c r="AY38" s="6433"/>
      <c r="AZ38" s="6433">
        <v>4327.2199999999993</v>
      </c>
      <c r="BA38" s="802"/>
      <c r="BB38" s="3048">
        <f t="shared" si="12"/>
        <v>18617.820000000011</v>
      </c>
      <c r="BC38" s="522"/>
      <c r="BD38" s="662">
        <f t="shared" si="13"/>
        <v>37882.270000000019</v>
      </c>
      <c r="BE38" s="2399"/>
      <c r="BF38" s="2399">
        <f t="shared" si="14"/>
        <v>81262.073000000062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thickBot="1" x14ac:dyDescent="0.3">
      <c r="B39" s="3579" t="s">
        <v>862</v>
      </c>
      <c r="C39" s="3580" t="s">
        <v>1046</v>
      </c>
      <c r="D39" s="750" t="s">
        <v>50</v>
      </c>
      <c r="E39" s="234"/>
      <c r="F39" s="234">
        <v>1637.7850000000005</v>
      </c>
      <c r="G39" s="234"/>
      <c r="H39" s="234"/>
      <c r="I39" s="589"/>
      <c r="J39" s="6672">
        <f t="shared" si="0"/>
        <v>1637.7850000000005</v>
      </c>
      <c r="K39" s="6668"/>
      <c r="L39" s="234"/>
      <c r="M39" s="782"/>
      <c r="N39" s="4594">
        <f t="shared" si="1"/>
        <v>1637.7850000000005</v>
      </c>
      <c r="O39" s="234"/>
      <c r="P39" s="234"/>
      <c r="Q39" s="783"/>
      <c r="R39" s="4854">
        <f t="shared" si="2"/>
        <v>1637.7850000000005</v>
      </c>
      <c r="S39" s="234"/>
      <c r="T39" s="234"/>
      <c r="U39" s="4938"/>
      <c r="V39" s="4938">
        <f t="shared" si="3"/>
        <v>1637.7850000000005</v>
      </c>
      <c r="W39" s="234"/>
      <c r="X39" s="234"/>
      <c r="Y39" s="802"/>
      <c r="Z39" s="5069">
        <f t="shared" si="4"/>
        <v>0</v>
      </c>
      <c r="AA39" s="522"/>
      <c r="AB39" s="662">
        <f t="shared" si="5"/>
        <v>1637.7850000000005</v>
      </c>
      <c r="AC39" s="234"/>
      <c r="AD39" s="234"/>
      <c r="AE39" s="2399"/>
      <c r="AF39" s="5359">
        <f t="shared" si="6"/>
        <v>1637.7850000000005</v>
      </c>
      <c r="AG39" s="234"/>
      <c r="AH39" s="234"/>
      <c r="AI39" s="5535"/>
      <c r="AJ39" s="5535">
        <f t="shared" si="7"/>
        <v>1637.7850000000005</v>
      </c>
      <c r="AK39" s="234"/>
      <c r="AL39" s="234"/>
      <c r="AM39" s="802"/>
      <c r="AN39" s="5955">
        <f t="shared" si="8"/>
        <v>0</v>
      </c>
      <c r="AO39" s="2399"/>
      <c r="AP39" s="5960">
        <f t="shared" si="9"/>
        <v>1637.7850000000005</v>
      </c>
      <c r="AQ39" s="234"/>
      <c r="AR39" s="234"/>
      <c r="AS39" s="2399"/>
      <c r="AT39" s="2399">
        <f t="shared" si="10"/>
        <v>1637.7850000000005</v>
      </c>
      <c r="AU39" s="234"/>
      <c r="AV39" s="234"/>
      <c r="AW39" s="6273"/>
      <c r="AX39" s="6273">
        <f t="shared" si="11"/>
        <v>1637.7850000000005</v>
      </c>
      <c r="AY39" s="234"/>
      <c r="AZ39" s="234"/>
      <c r="BA39" s="802"/>
      <c r="BB39" s="3048">
        <f t="shared" si="12"/>
        <v>0</v>
      </c>
      <c r="BC39" s="522"/>
      <c r="BD39" s="662">
        <f t="shared" si="13"/>
        <v>0</v>
      </c>
      <c r="BE39" s="2399"/>
      <c r="BF39" s="2399">
        <f t="shared" si="14"/>
        <v>1637.7850000000005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B40" s="3594" t="s">
        <v>863</v>
      </c>
      <c r="C40" s="3595" t="s">
        <v>1044</v>
      </c>
      <c r="D40" s="831" t="s">
        <v>50</v>
      </c>
      <c r="E40" s="3596"/>
      <c r="F40" s="3596"/>
      <c r="G40" s="3596"/>
      <c r="H40" s="3596"/>
      <c r="I40" s="3597"/>
      <c r="J40" s="6672">
        <f t="shared" si="0"/>
        <v>0</v>
      </c>
      <c r="K40" s="6671"/>
      <c r="L40" s="3596"/>
      <c r="M40" s="782"/>
      <c r="N40" s="4594">
        <f t="shared" si="1"/>
        <v>0</v>
      </c>
      <c r="O40" s="3596"/>
      <c r="P40" s="3596"/>
      <c r="Q40" s="783"/>
      <c r="R40" s="1727">
        <f t="shared" ref="R40" si="15">+N40+P40</f>
        <v>0</v>
      </c>
      <c r="S40" s="3596"/>
      <c r="T40" s="3596"/>
      <c r="U40" s="4938"/>
      <c r="V40" s="4938">
        <f t="shared" si="3"/>
        <v>0</v>
      </c>
      <c r="W40" s="3596"/>
      <c r="X40" s="3596"/>
      <c r="Y40" s="802"/>
      <c r="Z40" s="5069">
        <f t="shared" si="4"/>
        <v>0</v>
      </c>
      <c r="AA40" s="522"/>
      <c r="AB40" s="662">
        <f t="shared" si="5"/>
        <v>0</v>
      </c>
      <c r="AC40" s="3596"/>
      <c r="AD40" s="3596"/>
      <c r="AE40" s="2399"/>
      <c r="AF40" s="5359">
        <f t="shared" si="6"/>
        <v>0</v>
      </c>
      <c r="AG40" s="3596"/>
      <c r="AH40" s="3596"/>
      <c r="AI40" s="5535"/>
      <c r="AJ40" s="5535">
        <f t="shared" si="7"/>
        <v>0</v>
      </c>
      <c r="AK40" s="3596"/>
      <c r="AL40" s="3596">
        <v>1729.39</v>
      </c>
      <c r="AM40" s="802"/>
      <c r="AN40" s="5955">
        <f t="shared" si="8"/>
        <v>1729.39</v>
      </c>
      <c r="AO40" s="2399"/>
      <c r="AP40" s="5960">
        <f t="shared" si="9"/>
        <v>1729.39</v>
      </c>
      <c r="AQ40" s="3596"/>
      <c r="AR40" s="3596"/>
      <c r="AS40" s="2399"/>
      <c r="AT40" s="2399">
        <f t="shared" si="10"/>
        <v>1729.39</v>
      </c>
      <c r="AU40" s="3596"/>
      <c r="AV40" s="3596"/>
      <c r="AW40" s="6273"/>
      <c r="AX40" s="6273">
        <f t="shared" si="11"/>
        <v>1729.39</v>
      </c>
      <c r="AY40" s="3596"/>
      <c r="AZ40" s="3596"/>
      <c r="BA40" s="802"/>
      <c r="BB40" s="3048">
        <f t="shared" si="12"/>
        <v>0</v>
      </c>
      <c r="BC40" s="522"/>
      <c r="BD40" s="662">
        <f t="shared" si="13"/>
        <v>1729.39</v>
      </c>
      <c r="BE40" s="2399"/>
      <c r="BF40" s="2399">
        <f t="shared" si="14"/>
        <v>1729.39</v>
      </c>
      <c r="BG40" s="26"/>
      <c r="BH40" s="26"/>
      <c r="BI40" s="26"/>
      <c r="BJ40" s="26"/>
      <c r="BK40" s="26"/>
      <c r="BL40" s="26"/>
      <c r="BM40" s="26"/>
      <c r="BN40" s="26"/>
    </row>
    <row r="41" spans="1:66" ht="15.75" x14ac:dyDescent="0.25">
      <c r="A41" s="149"/>
      <c r="B41" s="3591" t="s">
        <v>829</v>
      </c>
      <c r="C41" s="3592"/>
      <c r="D41" s="3593"/>
      <c r="E41" s="1309"/>
      <c r="F41" s="1309"/>
      <c r="G41" s="6405"/>
      <c r="H41" s="6405"/>
      <c r="I41" s="1309"/>
      <c r="J41" s="1309"/>
      <c r="K41" s="4597"/>
      <c r="L41" s="4597"/>
      <c r="M41" s="1137"/>
      <c r="N41" s="1137"/>
      <c r="O41" s="4772"/>
      <c r="P41" s="4772"/>
      <c r="Q41" s="1137"/>
      <c r="R41" s="1137"/>
      <c r="S41" s="4937"/>
      <c r="T41" s="4937"/>
      <c r="U41" s="4942"/>
      <c r="V41" s="4942"/>
      <c r="W41" s="5072"/>
      <c r="X41" s="5072"/>
      <c r="Y41" s="1140"/>
      <c r="Z41" s="1137"/>
      <c r="AA41" s="1140"/>
      <c r="AB41" s="596"/>
      <c r="AC41" s="5355"/>
      <c r="AD41" s="5355"/>
      <c r="AE41" s="2400"/>
      <c r="AF41" s="2400"/>
      <c r="AG41" s="5534"/>
      <c r="AH41" s="5534"/>
      <c r="AI41" s="5543"/>
      <c r="AJ41" s="5543"/>
      <c r="AK41" s="5958"/>
      <c r="AL41" s="5958"/>
      <c r="AM41" s="1140"/>
      <c r="AN41" s="2400"/>
      <c r="AO41" s="2400"/>
      <c r="AP41" s="2400"/>
      <c r="AQ41" s="6110"/>
      <c r="AR41" s="6110"/>
      <c r="AS41" s="2400"/>
      <c r="AT41" s="2400"/>
      <c r="AU41" s="6275"/>
      <c r="AV41" s="6275"/>
      <c r="AW41" s="6270"/>
      <c r="AX41" s="6270"/>
      <c r="AY41" s="6405"/>
      <c r="AZ41" s="6405"/>
      <c r="BA41" s="1140"/>
      <c r="BB41" s="2400"/>
      <c r="BC41" s="1140"/>
      <c r="BD41" s="596"/>
      <c r="BE41" s="2400"/>
      <c r="BF41" s="2400"/>
      <c r="BG41" s="26"/>
      <c r="BH41" s="26"/>
      <c r="BI41" s="26"/>
      <c r="BJ41" s="26"/>
      <c r="BK41" s="26"/>
      <c r="BL41" s="26"/>
      <c r="BM41" s="26"/>
      <c r="BN41" s="26"/>
    </row>
    <row r="42" spans="1:66" ht="15" customHeight="1" x14ac:dyDescent="0.25">
      <c r="B42" s="1643" t="s">
        <v>1035</v>
      </c>
      <c r="C42" s="1644"/>
      <c r="D42" s="1642" t="s">
        <v>50</v>
      </c>
      <c r="E42" s="200"/>
      <c r="F42" s="1137"/>
      <c r="G42" s="200"/>
      <c r="H42" s="7204"/>
      <c r="I42" s="783"/>
      <c r="J42" s="2399">
        <f t="shared" ref="J42:J51" si="16">+F42+H42</f>
        <v>0</v>
      </c>
      <c r="K42" s="200"/>
      <c r="L42" s="4599"/>
      <c r="M42" s="782"/>
      <c r="N42" s="2374">
        <f t="shared" ref="N42:N51" si="17">+F42+H42+L42</f>
        <v>0</v>
      </c>
      <c r="O42" s="200"/>
      <c r="P42" s="4778"/>
      <c r="Q42" s="783"/>
      <c r="R42" s="783">
        <f t="shared" ref="R42:R51" si="18">+N42+P42</f>
        <v>0</v>
      </c>
      <c r="S42" s="200"/>
      <c r="T42" s="4942"/>
      <c r="U42" s="4938"/>
      <c r="V42" s="4938">
        <f t="shared" ref="V42:V46" si="19">+R42+T42</f>
        <v>0</v>
      </c>
      <c r="W42" s="200"/>
      <c r="X42" s="5074"/>
      <c r="Y42" s="802"/>
      <c r="Z42" s="2374">
        <f t="shared" ref="Z42:Z51" si="20">+P42+T42+X42</f>
        <v>0</v>
      </c>
      <c r="AA42" s="522"/>
      <c r="AB42" s="662">
        <f t="shared" ref="AB42:AB51" si="21">+N42+Z42</f>
        <v>0</v>
      </c>
      <c r="AC42" s="200"/>
      <c r="AD42" s="5358"/>
      <c r="AE42" s="2399"/>
      <c r="AF42" s="2399">
        <f t="shared" ref="AF42:AF51" si="22">+AB42+AD42</f>
        <v>0</v>
      </c>
      <c r="AG42" s="200"/>
      <c r="AH42" s="5543"/>
      <c r="AI42" s="5535"/>
      <c r="AJ42" s="5535">
        <f t="shared" ref="AJ42:AJ51" si="23">+AF42+AH42</f>
        <v>0</v>
      </c>
      <c r="AK42" s="200"/>
      <c r="AL42" s="5959">
        <v>0.68</v>
      </c>
      <c r="AM42" s="802"/>
      <c r="AN42" s="2736">
        <f t="shared" ref="AN42:AN51" si="24">+AD42+AH42+AL42</f>
        <v>0.68</v>
      </c>
      <c r="AO42" s="2399"/>
      <c r="AP42" s="2399">
        <f t="shared" ref="AP42:AP51" si="25">AJ42+AL42</f>
        <v>0.68</v>
      </c>
      <c r="AQ42" s="200"/>
      <c r="AR42" s="6112"/>
      <c r="AS42" s="2399"/>
      <c r="AT42" s="2399">
        <f t="shared" ref="AT42:AT51" si="26">+AP42+AR42</f>
        <v>0.68</v>
      </c>
      <c r="AU42" s="200"/>
      <c r="AV42" s="6270"/>
      <c r="AW42" s="6273"/>
      <c r="AX42" s="6273">
        <f t="shared" ref="AX42:AX51" si="27">+AT42+AV42</f>
        <v>0.68</v>
      </c>
      <c r="AY42" s="200"/>
      <c r="AZ42" s="6423"/>
      <c r="BA42" s="802"/>
      <c r="BB42" s="3048">
        <f t="shared" ref="BB42:BB50" si="28">+AR42+AV42+AZ42</f>
        <v>0</v>
      </c>
      <c r="BC42" s="522"/>
      <c r="BD42" s="662">
        <f>+AN42+BB42</f>
        <v>0.68</v>
      </c>
      <c r="BE42" s="2399"/>
      <c r="BF42" s="2399">
        <f t="shared" ref="BF42:BF51" si="29">+AX42+AZ42</f>
        <v>0.68</v>
      </c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25">
      <c r="B43" s="1643" t="s">
        <v>1033</v>
      </c>
      <c r="C43" s="1644"/>
      <c r="D43" s="1642" t="s">
        <v>50</v>
      </c>
      <c r="E43" s="200"/>
      <c r="F43" s="1137">
        <v>12.71</v>
      </c>
      <c r="G43" s="200"/>
      <c r="H43" s="7204">
        <v>8.67</v>
      </c>
      <c r="I43" s="783"/>
      <c r="J43" s="2399">
        <f t="shared" si="16"/>
        <v>21.380000000000003</v>
      </c>
      <c r="K43" s="200"/>
      <c r="L43" s="6698">
        <v>7.51</v>
      </c>
      <c r="M43" s="782"/>
      <c r="N43" s="2374">
        <f t="shared" si="17"/>
        <v>28.89</v>
      </c>
      <c r="O43" s="200"/>
      <c r="P43" s="4778">
        <f>35.28+1.82</f>
        <v>37.1</v>
      </c>
      <c r="Q43" s="783"/>
      <c r="R43" s="1727">
        <f t="shared" si="18"/>
        <v>65.990000000000009</v>
      </c>
      <c r="S43" s="200"/>
      <c r="T43" s="191">
        <v>26.15</v>
      </c>
      <c r="U43" s="4938"/>
      <c r="V43" s="4938">
        <f t="shared" si="19"/>
        <v>92.140000000000015</v>
      </c>
      <c r="W43" s="200"/>
      <c r="X43" s="191"/>
      <c r="Y43" s="802"/>
      <c r="Z43" s="2374">
        <f t="shared" si="20"/>
        <v>63.25</v>
      </c>
      <c r="AA43" s="522"/>
      <c r="AB43" s="662">
        <f t="shared" si="21"/>
        <v>92.14</v>
      </c>
      <c r="AC43" s="200"/>
      <c r="AD43" s="191"/>
      <c r="AE43" s="2399"/>
      <c r="AF43" s="5359">
        <f t="shared" si="22"/>
        <v>92.14</v>
      </c>
      <c r="AG43" s="200"/>
      <c r="AH43" s="191"/>
      <c r="AI43" s="5535"/>
      <c r="AJ43" s="5535">
        <f t="shared" si="23"/>
        <v>92.14</v>
      </c>
      <c r="AK43" s="200"/>
      <c r="AL43" s="191">
        <v>1.5</v>
      </c>
      <c r="AM43" s="802"/>
      <c r="AN43" s="5955">
        <f t="shared" si="24"/>
        <v>1.5</v>
      </c>
      <c r="AO43" s="2399"/>
      <c r="AP43" s="5960">
        <f t="shared" si="25"/>
        <v>93.64</v>
      </c>
      <c r="AQ43" s="200"/>
      <c r="AR43" s="191">
        <v>31.73</v>
      </c>
      <c r="AS43" s="2399"/>
      <c r="AT43" s="2399">
        <f t="shared" si="26"/>
        <v>125.37</v>
      </c>
      <c r="AU43" s="200"/>
      <c r="AV43" s="191">
        <v>13.12</v>
      </c>
      <c r="AW43" s="6273"/>
      <c r="AX43" s="6273">
        <f t="shared" si="27"/>
        <v>138.49</v>
      </c>
      <c r="AY43" s="200"/>
      <c r="AZ43" s="191"/>
      <c r="BA43" s="802"/>
      <c r="BB43" s="3048">
        <f t="shared" si="28"/>
        <v>44.85</v>
      </c>
      <c r="BC43" s="522"/>
      <c r="BD43" s="662">
        <f t="shared" ref="BD43:BD50" si="30">+AN43+BB43</f>
        <v>46.35</v>
      </c>
      <c r="BE43" s="2399"/>
      <c r="BF43" s="2399">
        <f t="shared" si="29"/>
        <v>138.49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customHeight="1" x14ac:dyDescent="0.25">
      <c r="B44" s="1645" t="s">
        <v>1032</v>
      </c>
      <c r="C44" s="1646"/>
      <c r="D44" s="1647" t="s">
        <v>50</v>
      </c>
      <c r="E44" s="201"/>
      <c r="F44" s="1137">
        <v>5.7600000000000007</v>
      </c>
      <c r="G44" s="201"/>
      <c r="H44" s="7204">
        <v>12.48</v>
      </c>
      <c r="I44" s="276"/>
      <c r="J44" s="2399">
        <f t="shared" si="16"/>
        <v>18.240000000000002</v>
      </c>
      <c r="K44" s="201"/>
      <c r="L44" s="4599"/>
      <c r="M44" s="1206"/>
      <c r="N44" s="2374">
        <f t="shared" si="17"/>
        <v>18.240000000000002</v>
      </c>
      <c r="O44" s="201"/>
      <c r="P44" s="6698">
        <v>20.86</v>
      </c>
      <c r="Q44" s="276"/>
      <c r="R44" s="1727">
        <f t="shared" si="18"/>
        <v>39.1</v>
      </c>
      <c r="S44" s="201"/>
      <c r="T44" s="191">
        <v>2.552</v>
      </c>
      <c r="U44" s="4939"/>
      <c r="V44" s="4938">
        <f t="shared" si="19"/>
        <v>41.652000000000001</v>
      </c>
      <c r="W44" s="201"/>
      <c r="X44" s="6699">
        <v>31.619999999999997</v>
      </c>
      <c r="Y44" s="889"/>
      <c r="Z44" s="5069">
        <f t="shared" si="20"/>
        <v>55.031999999999996</v>
      </c>
      <c r="AA44" s="522"/>
      <c r="AB44" s="662">
        <f t="shared" si="21"/>
        <v>73.271999999999991</v>
      </c>
      <c r="AC44" s="201"/>
      <c r="AD44" s="191">
        <v>32.03</v>
      </c>
      <c r="AE44" s="2401"/>
      <c r="AF44" s="5359">
        <f t="shared" si="22"/>
        <v>105.30199999999999</v>
      </c>
      <c r="AG44" s="201"/>
      <c r="AH44" s="191"/>
      <c r="AI44" s="5536"/>
      <c r="AJ44" s="5535">
        <f t="shared" si="23"/>
        <v>105.30199999999999</v>
      </c>
      <c r="AK44" s="201"/>
      <c r="AL44" s="191">
        <v>12.34</v>
      </c>
      <c r="AM44" s="889"/>
      <c r="AN44" s="5955">
        <f t="shared" si="24"/>
        <v>44.370000000000005</v>
      </c>
      <c r="AO44" s="2401"/>
      <c r="AP44" s="5960">
        <f t="shared" si="25"/>
        <v>117.642</v>
      </c>
      <c r="AQ44" s="201"/>
      <c r="AR44" s="191">
        <v>19.579999999999998</v>
      </c>
      <c r="AS44" s="2401"/>
      <c r="AT44" s="2399">
        <f t="shared" si="26"/>
        <v>137.22199999999998</v>
      </c>
      <c r="AU44" s="201"/>
      <c r="AV44" s="191">
        <v>15.89</v>
      </c>
      <c r="AW44" s="6271"/>
      <c r="AX44" s="6273">
        <f t="shared" si="27"/>
        <v>153.11199999999997</v>
      </c>
      <c r="AY44" s="201"/>
      <c r="AZ44" s="191">
        <v>19.47</v>
      </c>
      <c r="BA44" s="889"/>
      <c r="BB44" s="3048">
        <f t="shared" si="28"/>
        <v>54.94</v>
      </c>
      <c r="BC44" s="522"/>
      <c r="BD44" s="662">
        <f t="shared" si="30"/>
        <v>99.31</v>
      </c>
      <c r="BE44" s="2401"/>
      <c r="BF44" s="2399">
        <f t="shared" si="29"/>
        <v>172.58199999999997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x14ac:dyDescent="0.25">
      <c r="B45" s="1643" t="s">
        <v>1031</v>
      </c>
      <c r="C45" s="1644"/>
      <c r="D45" s="1642" t="s">
        <v>50</v>
      </c>
      <c r="E45" s="200"/>
      <c r="F45" s="1137">
        <v>46.59</v>
      </c>
      <c r="G45" s="200"/>
      <c r="H45" s="7204">
        <v>9.0399999999999991</v>
      </c>
      <c r="I45" s="783"/>
      <c r="J45" s="2399">
        <f t="shared" si="16"/>
        <v>55.63</v>
      </c>
      <c r="K45" s="200"/>
      <c r="L45" s="4599">
        <f>5.64+7.49</f>
        <v>13.129999999999999</v>
      </c>
      <c r="M45" s="782"/>
      <c r="N45" s="2374">
        <f t="shared" si="17"/>
        <v>68.760000000000005</v>
      </c>
      <c r="O45" s="200"/>
      <c r="P45" s="6698">
        <v>7</v>
      </c>
      <c r="Q45" s="783"/>
      <c r="R45" s="1727">
        <f t="shared" si="18"/>
        <v>75.760000000000005</v>
      </c>
      <c r="S45" s="200"/>
      <c r="T45" s="191">
        <v>12.669999999999998</v>
      </c>
      <c r="U45" s="4938"/>
      <c r="V45" s="4938">
        <f t="shared" si="19"/>
        <v>88.43</v>
      </c>
      <c r="W45" s="200"/>
      <c r="X45" s="191">
        <v>44.02</v>
      </c>
      <c r="Y45" s="802"/>
      <c r="Z45" s="5069">
        <f t="shared" si="20"/>
        <v>63.69</v>
      </c>
      <c r="AA45" s="522"/>
      <c r="AB45" s="662">
        <f t="shared" si="21"/>
        <v>132.44999999999999</v>
      </c>
      <c r="AC45" s="200"/>
      <c r="AD45" s="6699">
        <v>83.000000000000014</v>
      </c>
      <c r="AE45" s="2399"/>
      <c r="AF45" s="5359">
        <f t="shared" si="22"/>
        <v>215.45</v>
      </c>
      <c r="AG45" s="200"/>
      <c r="AH45" s="191">
        <v>16.39</v>
      </c>
      <c r="AI45" s="5535"/>
      <c r="AJ45" s="5535">
        <f t="shared" si="23"/>
        <v>231.83999999999997</v>
      </c>
      <c r="AK45" s="200"/>
      <c r="AL45" s="6699">
        <v>76.3</v>
      </c>
      <c r="AM45" s="802"/>
      <c r="AN45" s="5955">
        <f t="shared" si="24"/>
        <v>175.69</v>
      </c>
      <c r="AO45" s="2399"/>
      <c r="AP45" s="5960">
        <f t="shared" si="25"/>
        <v>308.14</v>
      </c>
      <c r="AQ45" s="200"/>
      <c r="AR45" s="191">
        <v>7.54</v>
      </c>
      <c r="AS45" s="2399"/>
      <c r="AT45" s="2399">
        <f t="shared" si="26"/>
        <v>315.68</v>
      </c>
      <c r="AU45" s="200"/>
      <c r="AV45" s="191">
        <v>37.68</v>
      </c>
      <c r="AW45" s="6273"/>
      <c r="AX45" s="6273">
        <f t="shared" si="27"/>
        <v>353.36</v>
      </c>
      <c r="AY45" s="200"/>
      <c r="AZ45" s="191">
        <v>26.13</v>
      </c>
      <c r="BA45" s="802"/>
      <c r="BB45" s="3048">
        <f t="shared" si="28"/>
        <v>71.349999999999994</v>
      </c>
      <c r="BC45" s="522"/>
      <c r="BD45" s="662">
        <f t="shared" si="30"/>
        <v>247.04</v>
      </c>
      <c r="BE45" s="2399"/>
      <c r="BF45" s="2399">
        <f t="shared" si="29"/>
        <v>379.49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x14ac:dyDescent="0.25">
      <c r="B46" s="1643" t="s">
        <v>1335</v>
      </c>
      <c r="C46" s="1644"/>
      <c r="D46" s="1642" t="s">
        <v>50</v>
      </c>
      <c r="E46" s="200"/>
      <c r="F46" s="1137"/>
      <c r="G46" s="200"/>
      <c r="H46" s="7204"/>
      <c r="I46" s="783"/>
      <c r="J46" s="2399">
        <f t="shared" si="16"/>
        <v>0</v>
      </c>
      <c r="K46" s="200"/>
      <c r="L46" s="4599"/>
      <c r="M46" s="782"/>
      <c r="N46" s="2374">
        <f t="shared" si="17"/>
        <v>0</v>
      </c>
      <c r="O46" s="200"/>
      <c r="P46" s="4778">
        <v>5.7200000000000006</v>
      </c>
      <c r="Q46" s="783"/>
      <c r="R46" s="1727">
        <f t="shared" si="18"/>
        <v>5.7200000000000006</v>
      </c>
      <c r="S46" s="200"/>
      <c r="T46" s="191"/>
      <c r="U46" s="4938"/>
      <c r="V46" s="4938">
        <f t="shared" si="19"/>
        <v>5.7200000000000006</v>
      </c>
      <c r="W46" s="200"/>
      <c r="X46" s="191"/>
      <c r="Y46" s="802"/>
      <c r="Z46" s="5069">
        <f t="shared" si="20"/>
        <v>5.7200000000000006</v>
      </c>
      <c r="AA46" s="522"/>
      <c r="AB46" s="662">
        <f t="shared" si="21"/>
        <v>5.7200000000000006</v>
      </c>
      <c r="AC46" s="200"/>
      <c r="AD46" s="191"/>
      <c r="AE46" s="2399"/>
      <c r="AF46" s="5359">
        <f t="shared" si="22"/>
        <v>5.7200000000000006</v>
      </c>
      <c r="AG46" s="200"/>
      <c r="AH46" s="191"/>
      <c r="AI46" s="5535"/>
      <c r="AJ46" s="5535">
        <f t="shared" si="23"/>
        <v>5.7200000000000006</v>
      </c>
      <c r="AK46" s="200"/>
      <c r="AL46" s="191"/>
      <c r="AM46" s="802"/>
      <c r="AN46" s="5955">
        <f t="shared" si="24"/>
        <v>0</v>
      </c>
      <c r="AO46" s="2399"/>
      <c r="AP46" s="5960">
        <f t="shared" si="25"/>
        <v>5.7200000000000006</v>
      </c>
      <c r="AQ46" s="200"/>
      <c r="AR46" s="191">
        <v>45.08</v>
      </c>
      <c r="AS46" s="2399"/>
      <c r="AT46" s="2399">
        <f t="shared" si="26"/>
        <v>50.8</v>
      </c>
      <c r="AU46" s="200"/>
      <c r="AV46" s="191"/>
      <c r="AW46" s="6273"/>
      <c r="AX46" s="6273">
        <f t="shared" si="27"/>
        <v>50.8</v>
      </c>
      <c r="AY46" s="200"/>
      <c r="AZ46" s="191"/>
      <c r="BA46" s="802"/>
      <c r="BB46" s="3048">
        <f t="shared" si="28"/>
        <v>45.08</v>
      </c>
      <c r="BC46" s="522"/>
      <c r="BD46" s="662">
        <f t="shared" si="30"/>
        <v>45.08</v>
      </c>
      <c r="BE46" s="2399"/>
      <c r="BF46" s="2399">
        <f t="shared" si="29"/>
        <v>50.8</v>
      </c>
      <c r="BG46" s="26"/>
      <c r="BH46" s="26"/>
      <c r="BI46" s="26"/>
      <c r="BJ46" s="26"/>
      <c r="BK46" s="26"/>
      <c r="BL46" s="26"/>
      <c r="BM46" s="26"/>
      <c r="BN46" s="26"/>
    </row>
    <row r="47" spans="1:66" s="2749" customFormat="1" ht="15.75" x14ac:dyDescent="0.25">
      <c r="B47" s="1643" t="s">
        <v>1687</v>
      </c>
      <c r="C47" s="1644"/>
      <c r="D47" s="1642" t="s">
        <v>50</v>
      </c>
      <c r="E47" s="200"/>
      <c r="F47" s="2400"/>
      <c r="G47" s="200"/>
      <c r="H47" s="7204"/>
      <c r="I47" s="2399"/>
      <c r="J47" s="2399">
        <f t="shared" si="16"/>
        <v>0</v>
      </c>
      <c r="K47" s="200"/>
      <c r="L47" s="4599"/>
      <c r="M47" s="2746"/>
      <c r="N47" s="4594">
        <f t="shared" si="17"/>
        <v>0</v>
      </c>
      <c r="O47" s="200"/>
      <c r="P47" s="4778"/>
      <c r="Q47" s="2399"/>
      <c r="R47" s="2399"/>
      <c r="S47" s="200"/>
      <c r="T47" s="191"/>
      <c r="U47" s="4938"/>
      <c r="V47" s="4938"/>
      <c r="W47" s="200"/>
      <c r="X47" s="191"/>
      <c r="Y47" s="802"/>
      <c r="Z47" s="5069">
        <f t="shared" si="20"/>
        <v>0</v>
      </c>
      <c r="AA47" s="522"/>
      <c r="AB47" s="662">
        <f t="shared" si="21"/>
        <v>0</v>
      </c>
      <c r="AC47" s="200"/>
      <c r="AD47" s="191"/>
      <c r="AE47" s="2399"/>
      <c r="AF47" s="5359">
        <f t="shared" si="22"/>
        <v>0</v>
      </c>
      <c r="AG47" s="200"/>
      <c r="AH47" s="191"/>
      <c r="AI47" s="5535"/>
      <c r="AJ47" s="5535">
        <f t="shared" si="23"/>
        <v>0</v>
      </c>
      <c r="AK47" s="200"/>
      <c r="AL47" s="191"/>
      <c r="AM47" s="802"/>
      <c r="AN47" s="5955">
        <f t="shared" si="24"/>
        <v>0</v>
      </c>
      <c r="AO47" s="2399"/>
      <c r="AP47" s="5960">
        <f t="shared" si="25"/>
        <v>0</v>
      </c>
      <c r="AQ47" s="200"/>
      <c r="AR47" s="191"/>
      <c r="AS47" s="2399"/>
      <c r="AT47" s="2399">
        <f t="shared" si="26"/>
        <v>0</v>
      </c>
      <c r="AU47" s="200"/>
      <c r="AV47" s="191"/>
      <c r="AW47" s="6273"/>
      <c r="AX47" s="6273">
        <f t="shared" si="27"/>
        <v>0</v>
      </c>
      <c r="AY47" s="200"/>
      <c r="AZ47" s="191"/>
      <c r="BA47" s="802"/>
      <c r="BB47" s="3048">
        <f t="shared" si="28"/>
        <v>0</v>
      </c>
      <c r="BC47" s="522"/>
      <c r="BD47" s="662">
        <f t="shared" si="30"/>
        <v>0</v>
      </c>
      <c r="BE47" s="2399"/>
      <c r="BF47" s="2399">
        <f t="shared" si="29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43" t="s">
        <v>1277</v>
      </c>
      <c r="C48" s="1644"/>
      <c r="D48" s="1642" t="s">
        <v>50</v>
      </c>
      <c r="E48" s="200"/>
      <c r="F48" s="1137">
        <v>17.07</v>
      </c>
      <c r="G48" s="200"/>
      <c r="H48" s="7204"/>
      <c r="I48" s="783"/>
      <c r="J48" s="2399">
        <f t="shared" si="16"/>
        <v>17.07</v>
      </c>
      <c r="K48" s="200"/>
      <c r="L48" s="4599"/>
      <c r="M48" s="782"/>
      <c r="N48" s="4594">
        <f t="shared" si="17"/>
        <v>17.07</v>
      </c>
      <c r="O48" s="200"/>
      <c r="P48" s="4778"/>
      <c r="Q48" s="783"/>
      <c r="R48" s="1727">
        <f t="shared" si="18"/>
        <v>17.07</v>
      </c>
      <c r="S48" s="200"/>
      <c r="T48" s="191"/>
      <c r="U48" s="4938"/>
      <c r="V48" s="4938">
        <f t="shared" ref="V48:V51" si="31">+R48+T48</f>
        <v>17.07</v>
      </c>
      <c r="W48" s="200"/>
      <c r="X48" s="191">
        <v>0.55000000000000004</v>
      </c>
      <c r="Y48" s="802"/>
      <c r="Z48" s="5069">
        <f t="shared" si="20"/>
        <v>0.55000000000000004</v>
      </c>
      <c r="AA48" s="522"/>
      <c r="AB48" s="662">
        <f t="shared" si="21"/>
        <v>17.62</v>
      </c>
      <c r="AC48" s="200"/>
      <c r="AD48" s="191">
        <v>39.9</v>
      </c>
      <c r="AE48" s="2399"/>
      <c r="AF48" s="5359">
        <f t="shared" si="22"/>
        <v>57.519999999999996</v>
      </c>
      <c r="AG48" s="200"/>
      <c r="AH48" s="191"/>
      <c r="AI48" s="5535"/>
      <c r="AJ48" s="5535">
        <f t="shared" si="23"/>
        <v>57.519999999999996</v>
      </c>
      <c r="AK48" s="200"/>
      <c r="AL48" s="191"/>
      <c r="AM48" s="802"/>
      <c r="AN48" s="5955">
        <f t="shared" si="24"/>
        <v>39.9</v>
      </c>
      <c r="AO48" s="2399"/>
      <c r="AP48" s="5960">
        <f t="shared" si="25"/>
        <v>57.519999999999996</v>
      </c>
      <c r="AQ48" s="200"/>
      <c r="AR48" s="191"/>
      <c r="AS48" s="2399"/>
      <c r="AT48" s="2399">
        <f t="shared" si="26"/>
        <v>57.519999999999996</v>
      </c>
      <c r="AU48" s="200"/>
      <c r="AV48" s="191"/>
      <c r="AW48" s="6273"/>
      <c r="AX48" s="6273">
        <f t="shared" si="27"/>
        <v>57.519999999999996</v>
      </c>
      <c r="AY48" s="200"/>
      <c r="AZ48" s="191"/>
      <c r="BA48" s="802"/>
      <c r="BB48" s="3048">
        <f t="shared" si="28"/>
        <v>0</v>
      </c>
      <c r="BC48" s="522"/>
      <c r="BD48" s="662">
        <f t="shared" si="30"/>
        <v>39.9</v>
      </c>
      <c r="BE48" s="2399"/>
      <c r="BF48" s="2399">
        <f t="shared" si="29"/>
        <v>57.519999999999996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B49" s="1643" t="s">
        <v>1386</v>
      </c>
      <c r="C49" s="1644"/>
      <c r="D49" s="1642" t="s">
        <v>50</v>
      </c>
      <c r="E49" s="200"/>
      <c r="F49" s="1137"/>
      <c r="G49" s="200"/>
      <c r="H49" s="7204"/>
      <c r="I49" s="783"/>
      <c r="J49" s="2399">
        <f t="shared" si="16"/>
        <v>0</v>
      </c>
      <c r="K49" s="200"/>
      <c r="L49" s="4599"/>
      <c r="M49" s="782"/>
      <c r="N49" s="2374">
        <f t="shared" si="17"/>
        <v>0</v>
      </c>
      <c r="O49" s="200"/>
      <c r="P49" s="4778"/>
      <c r="Q49" s="783"/>
      <c r="R49" s="1727">
        <f t="shared" si="18"/>
        <v>0</v>
      </c>
      <c r="S49" s="200"/>
      <c r="T49" s="191"/>
      <c r="U49" s="4938"/>
      <c r="V49" s="4938">
        <f t="shared" si="31"/>
        <v>0</v>
      </c>
      <c r="W49" s="200"/>
      <c r="X49" s="191"/>
      <c r="Y49" s="802"/>
      <c r="Z49" s="2374">
        <f t="shared" si="20"/>
        <v>0</v>
      </c>
      <c r="AA49" s="522"/>
      <c r="AB49" s="662">
        <f t="shared" si="21"/>
        <v>0</v>
      </c>
      <c r="AC49" s="200"/>
      <c r="AD49" s="191"/>
      <c r="AE49" s="2399"/>
      <c r="AF49" s="5359">
        <f t="shared" si="22"/>
        <v>0</v>
      </c>
      <c r="AG49" s="200"/>
      <c r="AH49" s="191"/>
      <c r="AI49" s="5535"/>
      <c r="AJ49" s="5535">
        <f t="shared" si="23"/>
        <v>0</v>
      </c>
      <c r="AK49" s="200"/>
      <c r="AL49" s="191"/>
      <c r="AM49" s="802"/>
      <c r="AN49" s="5955">
        <f t="shared" si="24"/>
        <v>0</v>
      </c>
      <c r="AO49" s="2399"/>
      <c r="AP49" s="5960">
        <f t="shared" si="25"/>
        <v>0</v>
      </c>
      <c r="AQ49" s="200"/>
      <c r="AR49" s="191"/>
      <c r="AS49" s="2399"/>
      <c r="AT49" s="2399">
        <f t="shared" si="26"/>
        <v>0</v>
      </c>
      <c r="AU49" s="200"/>
      <c r="AV49" s="191"/>
      <c r="AW49" s="6273"/>
      <c r="AX49" s="6273">
        <f t="shared" si="27"/>
        <v>0</v>
      </c>
      <c r="AY49" s="200"/>
      <c r="AZ49" s="191"/>
      <c r="BA49" s="802"/>
      <c r="BB49" s="3048">
        <f t="shared" si="28"/>
        <v>0</v>
      </c>
      <c r="BC49" s="522"/>
      <c r="BD49" s="662">
        <f t="shared" si="30"/>
        <v>0</v>
      </c>
      <c r="BE49" s="2399"/>
      <c r="BF49" s="2399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43" t="s">
        <v>1050</v>
      </c>
      <c r="C50" s="1644"/>
      <c r="D50" s="1642" t="s">
        <v>50</v>
      </c>
      <c r="E50" s="200"/>
      <c r="F50" s="1137">
        <v>2.2999999999999998</v>
      </c>
      <c r="G50" s="200"/>
      <c r="H50" s="7204">
        <v>1.1000000000000001</v>
      </c>
      <c r="I50" s="783"/>
      <c r="J50" s="2399">
        <f t="shared" si="16"/>
        <v>3.4</v>
      </c>
      <c r="K50" s="200"/>
      <c r="L50" s="4599">
        <v>19.39</v>
      </c>
      <c r="M50" s="782"/>
      <c r="N50" s="2374">
        <f t="shared" si="17"/>
        <v>22.79</v>
      </c>
      <c r="O50" s="200"/>
      <c r="P50" s="4778">
        <v>2.27</v>
      </c>
      <c r="Q50" s="783"/>
      <c r="R50" s="1727">
        <f t="shared" si="18"/>
        <v>25.06</v>
      </c>
      <c r="S50" s="200"/>
      <c r="T50" s="191">
        <v>7.5200000000000005</v>
      </c>
      <c r="U50" s="4938"/>
      <c r="V50" s="4938">
        <f t="shared" si="31"/>
        <v>32.58</v>
      </c>
      <c r="W50" s="200"/>
      <c r="X50" s="6699">
        <v>44.870000000000005</v>
      </c>
      <c r="Y50" s="802"/>
      <c r="Z50" s="2374">
        <f t="shared" si="20"/>
        <v>54.660000000000004</v>
      </c>
      <c r="AA50" s="522"/>
      <c r="AB50" s="662">
        <f t="shared" si="21"/>
        <v>77.45</v>
      </c>
      <c r="AC50" s="200"/>
      <c r="AD50" s="191">
        <v>1.51</v>
      </c>
      <c r="AE50" s="2399"/>
      <c r="AF50" s="5359">
        <f t="shared" si="22"/>
        <v>78.960000000000008</v>
      </c>
      <c r="AG50" s="200"/>
      <c r="AH50" s="191"/>
      <c r="AI50" s="5535"/>
      <c r="AJ50" s="5535">
        <f t="shared" si="23"/>
        <v>78.960000000000008</v>
      </c>
      <c r="AK50" s="200"/>
      <c r="AL50" s="191">
        <v>2.83</v>
      </c>
      <c r="AM50" s="802"/>
      <c r="AN50" s="5955">
        <f t="shared" si="24"/>
        <v>4.34</v>
      </c>
      <c r="AO50" s="2399"/>
      <c r="AP50" s="5960">
        <f t="shared" si="25"/>
        <v>81.790000000000006</v>
      </c>
      <c r="AQ50" s="200"/>
      <c r="AR50" s="191">
        <v>1.5</v>
      </c>
      <c r="AS50" s="2399"/>
      <c r="AT50" s="2399">
        <f t="shared" si="26"/>
        <v>83.29</v>
      </c>
      <c r="AU50" s="200"/>
      <c r="AV50" s="191">
        <v>0.9</v>
      </c>
      <c r="AW50" s="6273"/>
      <c r="AX50" s="6273">
        <f t="shared" si="27"/>
        <v>84.190000000000012</v>
      </c>
      <c r="AY50" s="200"/>
      <c r="AZ50" s="191">
        <v>2.1</v>
      </c>
      <c r="BA50" s="802"/>
      <c r="BB50" s="3048">
        <f t="shared" si="28"/>
        <v>4.5</v>
      </c>
      <c r="BC50" s="522"/>
      <c r="BD50" s="662">
        <f t="shared" si="30"/>
        <v>8.84</v>
      </c>
      <c r="BE50" s="2399"/>
      <c r="BF50" s="2399">
        <f t="shared" si="29"/>
        <v>86.29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B51" s="1643" t="s">
        <v>1049</v>
      </c>
      <c r="C51" s="1644"/>
      <c r="D51" s="1642" t="s">
        <v>50</v>
      </c>
      <c r="E51" s="1137"/>
      <c r="F51" s="1137"/>
      <c r="G51" s="7204"/>
      <c r="H51" s="7204"/>
      <c r="I51" s="783"/>
      <c r="J51" s="2399">
        <f t="shared" si="16"/>
        <v>0</v>
      </c>
      <c r="K51" s="4599"/>
      <c r="L51" s="4599"/>
      <c r="M51" s="782"/>
      <c r="N51" s="2374">
        <f t="shared" si="17"/>
        <v>0</v>
      </c>
      <c r="O51" s="4778"/>
      <c r="P51" s="4778"/>
      <c r="Q51" s="783"/>
      <c r="R51" s="1727">
        <f t="shared" si="18"/>
        <v>0</v>
      </c>
      <c r="S51" s="4942"/>
      <c r="T51" s="4942"/>
      <c r="U51" s="4938"/>
      <c r="V51" s="4938">
        <f t="shared" si="31"/>
        <v>0</v>
      </c>
      <c r="W51" s="5074"/>
      <c r="X51" s="5074"/>
      <c r="Y51" s="802"/>
      <c r="Z51" s="2374">
        <f t="shared" si="20"/>
        <v>0</v>
      </c>
      <c r="AA51" s="522"/>
      <c r="AB51" s="662">
        <f t="shared" si="21"/>
        <v>0</v>
      </c>
      <c r="AC51" s="5358"/>
      <c r="AD51" s="5358"/>
      <c r="AE51" s="2399"/>
      <c r="AF51" s="5359">
        <f t="shared" si="22"/>
        <v>0</v>
      </c>
      <c r="AG51" s="5543"/>
      <c r="AH51" s="5543"/>
      <c r="AI51" s="5535"/>
      <c r="AJ51" s="5535">
        <f t="shared" si="23"/>
        <v>0</v>
      </c>
      <c r="AK51" s="5959"/>
      <c r="AL51" s="5959"/>
      <c r="AM51" s="802"/>
      <c r="AN51" s="5955">
        <f t="shared" si="24"/>
        <v>0</v>
      </c>
      <c r="AO51" s="2399"/>
      <c r="AP51" s="5960">
        <f t="shared" si="25"/>
        <v>0</v>
      </c>
      <c r="AQ51" s="6112"/>
      <c r="AR51" s="6112"/>
      <c r="AS51" s="2399"/>
      <c r="AT51" s="2399">
        <f t="shared" si="26"/>
        <v>0</v>
      </c>
      <c r="AU51" s="6270"/>
      <c r="AV51" s="6270"/>
      <c r="AW51" s="6273"/>
      <c r="AX51" s="6273">
        <f t="shared" si="27"/>
        <v>0</v>
      </c>
      <c r="AY51" s="6423"/>
      <c r="AZ51" s="6698">
        <v>36.15</v>
      </c>
      <c r="BA51" s="802"/>
      <c r="BB51" s="3048">
        <f t="shared" ref="BB51" si="32">+AR51+AV51+AZ51</f>
        <v>36.15</v>
      </c>
      <c r="BC51" s="522"/>
      <c r="BD51" s="662">
        <f>+AN51+BB51</f>
        <v>36.15</v>
      </c>
      <c r="BE51" s="2399"/>
      <c r="BF51" s="2399">
        <f t="shared" si="29"/>
        <v>36.15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149"/>
      <c r="B52" s="3598" t="s">
        <v>300</v>
      </c>
      <c r="C52" s="3605"/>
      <c r="D52" s="3606" t="s">
        <v>50</v>
      </c>
      <c r="E52" s="3607">
        <f>+E53</f>
        <v>76000</v>
      </c>
      <c r="F52" s="3607">
        <f>SUM(F7:F51)</f>
        <v>66979.885000000038</v>
      </c>
      <c r="G52" s="3607">
        <f>+G53</f>
        <v>79000</v>
      </c>
      <c r="H52" s="3607">
        <f>SUM(H7:H51)</f>
        <v>76206.925000000061</v>
      </c>
      <c r="I52" s="3430">
        <f>+I53</f>
        <v>155000</v>
      </c>
      <c r="J52" s="3430">
        <f>SUM(J7:J51)</f>
        <v>143186.81000000008</v>
      </c>
      <c r="K52" s="3607">
        <f>+K53</f>
        <v>48000</v>
      </c>
      <c r="L52" s="3607">
        <f>SUM(L7:L51)</f>
        <v>49715.998000000058</v>
      </c>
      <c r="M52" s="802">
        <f>+M53</f>
        <v>203000</v>
      </c>
      <c r="N52" s="802">
        <f>SUM(N7:N51)</f>
        <v>192902.80800000019</v>
      </c>
      <c r="O52" s="3607">
        <f>+O53</f>
        <v>37500</v>
      </c>
      <c r="P52" s="3607">
        <f>SUM(P7:P51)</f>
        <v>70170.085000000094</v>
      </c>
      <c r="Q52" s="1140">
        <f>+Q53</f>
        <v>240500</v>
      </c>
      <c r="R52" s="1140">
        <f>SUM(R7:R51)</f>
        <v>263072.89300000016</v>
      </c>
      <c r="S52" s="3607">
        <f>+S53</f>
        <v>80000</v>
      </c>
      <c r="T52" s="5004">
        <f>SUM(T7:T51)</f>
        <v>71213.035000000062</v>
      </c>
      <c r="U52" s="1140">
        <f>+U53</f>
        <v>320500</v>
      </c>
      <c r="V52" s="1140">
        <f>SUM(V7:V51)</f>
        <v>334285.92800000025</v>
      </c>
      <c r="W52" s="3607">
        <f>+W53</f>
        <v>77500</v>
      </c>
      <c r="X52" s="5004">
        <f>SUM(X7:X51)</f>
        <v>70605.670000000027</v>
      </c>
      <c r="Y52" s="802">
        <f>+Y53</f>
        <v>195000</v>
      </c>
      <c r="Z52" s="802">
        <f>SUM(Z7:Z51)</f>
        <v>211988.79000000018</v>
      </c>
      <c r="AA52" s="522">
        <f>+AA53</f>
        <v>398000</v>
      </c>
      <c r="AB52" s="522">
        <f>SUM(AB7:AB51)</f>
        <v>404891.59800000029</v>
      </c>
      <c r="AC52" s="3607">
        <f>+AC53</f>
        <v>80000</v>
      </c>
      <c r="AD52" s="3607">
        <f>SUM(AD7:AD51)</f>
        <v>66904.240000000005</v>
      </c>
      <c r="AE52" s="1140">
        <f>+AE53</f>
        <v>478000</v>
      </c>
      <c r="AF52" s="1140">
        <f>SUM(AF7:AF51)</f>
        <v>471795.8380000004</v>
      </c>
      <c r="AG52" s="3607">
        <f>+AG53</f>
        <v>77500</v>
      </c>
      <c r="AH52" s="3607">
        <f>SUM(AH7:AH51)</f>
        <v>3186.11</v>
      </c>
      <c r="AI52" s="1140">
        <f>+AI53</f>
        <v>555500</v>
      </c>
      <c r="AJ52" s="1140">
        <f>SUM(AJ7:AJ51)</f>
        <v>474981.94800000038</v>
      </c>
      <c r="AK52" s="3607">
        <f>+AK53</f>
        <v>80000</v>
      </c>
      <c r="AL52" s="3607">
        <f>SUM(AL7:AL51)</f>
        <v>70724.280000000057</v>
      </c>
      <c r="AM52" s="802">
        <f>+AM53</f>
        <v>237500</v>
      </c>
      <c r="AN52" s="802">
        <f>SUM(AN7:AN51)</f>
        <v>140814.63000000006</v>
      </c>
      <c r="AO52" s="1140">
        <f>+AO53</f>
        <v>635500</v>
      </c>
      <c r="AP52" s="1140">
        <f>SUM(AP7:AP51)</f>
        <v>545706.22800000047</v>
      </c>
      <c r="AQ52" s="3607">
        <f>+AQ53</f>
        <v>80000</v>
      </c>
      <c r="AR52" s="3607">
        <f>SUM(AR7:AR51)</f>
        <v>70190.5450000001</v>
      </c>
      <c r="AS52" s="1140">
        <f>+AS53</f>
        <v>715500</v>
      </c>
      <c r="AT52" s="1140">
        <f>SUM(AT7:AT51)</f>
        <v>615896.77300000074</v>
      </c>
      <c r="AU52" s="3607">
        <f>+AU53</f>
        <v>72500</v>
      </c>
      <c r="AV52" s="3607">
        <f>SUM(AV7:AV51)</f>
        <v>66057.59000000004</v>
      </c>
      <c r="AW52" s="1140">
        <f>+AW53</f>
        <v>788000</v>
      </c>
      <c r="AX52" s="1140">
        <f>SUM(AX7:AX51)</f>
        <v>681954.36300000059</v>
      </c>
      <c r="AY52" s="3607">
        <f>+AY53</f>
        <v>80000</v>
      </c>
      <c r="AZ52" s="3607">
        <f>SUM(AZ7:AZ51)</f>
        <v>78094.460000000079</v>
      </c>
      <c r="BA52" s="802">
        <f>+BA53</f>
        <v>232500</v>
      </c>
      <c r="BB52" s="802">
        <f>SUM(BB7:BB51)</f>
        <v>214342.59500000018</v>
      </c>
      <c r="BC52" s="522">
        <f>+BC53</f>
        <v>470000</v>
      </c>
      <c r="BD52" s="522">
        <f>SUM(BD7:BD51)</f>
        <v>355157.22500000033</v>
      </c>
      <c r="BE52" s="256">
        <f>AW52+AY52</f>
        <v>868000</v>
      </c>
      <c r="BF52" s="256">
        <f>SUM(BF7:BF51)</f>
        <v>760048.82300000079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149"/>
      <c r="B53" s="908" t="s">
        <v>824</v>
      </c>
      <c r="C53" s="908"/>
      <c r="D53" s="909" t="s">
        <v>50</v>
      </c>
      <c r="E53" s="2557">
        <f>+'Maj Production Summ'!E31</f>
        <v>76000</v>
      </c>
      <c r="F53" s="2557">
        <f>SUM(F7:F40)</f>
        <v>66895.455000000031</v>
      </c>
      <c r="G53" s="2557">
        <f>+'Maj Production Summ'!G31</f>
        <v>79000</v>
      </c>
      <c r="H53" s="2557">
        <f>SUM(H7:H40)</f>
        <v>76175.635000000068</v>
      </c>
      <c r="I53" s="1190">
        <f>+'Maj Production Summ'!I31</f>
        <v>155000</v>
      </c>
      <c r="J53" s="41">
        <f>SUM(J7:J40)</f>
        <v>143071.09000000008</v>
      </c>
      <c r="K53" s="2557">
        <f>+'Maj Production Summ'!K31</f>
        <v>48000</v>
      </c>
      <c r="L53" s="2557">
        <f>SUM(L7:L40)</f>
        <v>49675.968000000059</v>
      </c>
      <c r="M53" s="802">
        <f>+'Maj Production Summ'!M31</f>
        <v>203000</v>
      </c>
      <c r="N53" s="802">
        <f>SUM(N7:N40)</f>
        <v>192747.05800000016</v>
      </c>
      <c r="O53" s="2557">
        <f>+'Maj Production Summ'!O31</f>
        <v>37500</v>
      </c>
      <c r="P53" s="2557">
        <f>SUM(P7:P40)</f>
        <v>70097.135000000082</v>
      </c>
      <c r="Q53" s="1140">
        <f>+'Maj Production Summ'!Q31</f>
        <v>240500</v>
      </c>
      <c r="R53" s="1140">
        <f>SUM(R7:R40)</f>
        <v>262844.1930000002</v>
      </c>
      <c r="S53" s="2557">
        <f>+'Maj Production Summ'!S31</f>
        <v>80000</v>
      </c>
      <c r="T53" s="3601">
        <f>SUM(T7:T40)</f>
        <v>71164.143000000069</v>
      </c>
      <c r="U53" s="1140">
        <f>+'Maj Production Summ'!U31</f>
        <v>320500</v>
      </c>
      <c r="V53" s="1140">
        <f>SUM(V7:V40)</f>
        <v>334008.33600000024</v>
      </c>
      <c r="W53" s="2557">
        <f>+'Maj Production Summ'!W31</f>
        <v>77500</v>
      </c>
      <c r="X53" s="3601">
        <f>SUM(X7:X40)</f>
        <v>70484.61000000003</v>
      </c>
      <c r="Y53" s="802">
        <f>+'Maj Production Summ'!Y31</f>
        <v>195000</v>
      </c>
      <c r="Z53" s="802">
        <f>SUM(Z7:Z40)</f>
        <v>211745.88800000018</v>
      </c>
      <c r="AA53" s="522">
        <f>+'Maj Production Summ'!AA31</f>
        <v>398000</v>
      </c>
      <c r="AB53" s="522">
        <f>SUM(AB7:AB40)</f>
        <v>404492.94600000029</v>
      </c>
      <c r="AC53" s="2557">
        <f>+'Maj Production Summ'!AC31</f>
        <v>80000</v>
      </c>
      <c r="AD53" s="2557">
        <f>SUM(AD7:AD40)</f>
        <v>66747.800000000017</v>
      </c>
      <c r="AE53" s="1140">
        <f>+'Maj Production Summ'!AE31</f>
        <v>478000</v>
      </c>
      <c r="AF53" s="1140">
        <f>SUM(AF7:AF40)</f>
        <v>471240.74600000033</v>
      </c>
      <c r="AG53" s="2557">
        <f>+'Maj Production Summ'!AG31</f>
        <v>77500</v>
      </c>
      <c r="AH53" s="2557">
        <f>SUM(AH7:AH40)</f>
        <v>3169.7200000000003</v>
      </c>
      <c r="AI53" s="1140">
        <f>+'Maj Production Summ'!AI31</f>
        <v>555500</v>
      </c>
      <c r="AJ53" s="1140">
        <f>SUM(AJ7:AJ40)</f>
        <v>474410.46600000031</v>
      </c>
      <c r="AK53" s="2557">
        <f>+'Maj Production Summ'!AK31</f>
        <v>80000</v>
      </c>
      <c r="AL53" s="2557">
        <f>SUM(AL7:AL40)</f>
        <v>70630.630000000063</v>
      </c>
      <c r="AM53" s="802">
        <f>+'Maj Production Summ'!AM31</f>
        <v>237500</v>
      </c>
      <c r="AN53" s="802">
        <f>SUM(AN7:AN40)</f>
        <v>140548.15000000008</v>
      </c>
      <c r="AO53" s="1140">
        <f>+'Maj Production Summ'!AO31</f>
        <v>635500</v>
      </c>
      <c r="AP53" s="1140">
        <f>SUM(AP7:AP40)</f>
        <v>545041.09600000037</v>
      </c>
      <c r="AQ53" s="2557">
        <f>+'Maj Production Summ'!AQ31</f>
        <v>80000</v>
      </c>
      <c r="AR53" s="2557">
        <f>SUM(AR7:AR40)</f>
        <v>70085.115000000107</v>
      </c>
      <c r="AS53" s="1140">
        <f>+'Maj Production Summ'!AS31</f>
        <v>715500</v>
      </c>
      <c r="AT53" s="1140">
        <f>SUM(AT7:AT40)</f>
        <v>615126.21100000059</v>
      </c>
      <c r="AU53" s="2557">
        <f>+'Maj Production Summ'!AU31</f>
        <v>72500</v>
      </c>
      <c r="AV53" s="2557">
        <f>SUM(AV7:AV40)</f>
        <v>65990.000000000058</v>
      </c>
      <c r="AW53" s="1140">
        <f>+'Maj Production Summ'!AW31</f>
        <v>788000</v>
      </c>
      <c r="AX53" s="1140">
        <f>SUM(AX7:AX40)</f>
        <v>681116.21100000059</v>
      </c>
      <c r="AY53" s="2557">
        <f>+'Maj Production Summ'!AY31</f>
        <v>80000</v>
      </c>
      <c r="AZ53" s="2557">
        <f>SUM(AZ7:AZ40)</f>
        <v>78010.610000000073</v>
      </c>
      <c r="BA53" s="802">
        <f>+'Maj Production Summ'!BA31</f>
        <v>232500</v>
      </c>
      <c r="BB53" s="802">
        <f>SUM(BB7:BB40)</f>
        <v>214085.72500000018</v>
      </c>
      <c r="BC53" s="522">
        <f>+'Maj Production Summ'!BC31</f>
        <v>470000</v>
      </c>
      <c r="BD53" s="522">
        <f>SUM(BD7:BD40)</f>
        <v>354633.87500000029</v>
      </c>
      <c r="BE53" s="256">
        <f>AW53+AY53</f>
        <v>868000</v>
      </c>
      <c r="BF53" s="256">
        <f>SUM(BF7:BF40)</f>
        <v>759126.82100000058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149"/>
      <c r="B54" s="3604" t="s">
        <v>823</v>
      </c>
      <c r="C54" s="3608"/>
      <c r="D54" s="3609" t="s">
        <v>50</v>
      </c>
      <c r="E54" s="3610"/>
      <c r="F54" s="3611">
        <f>+SUM(F42:F51)</f>
        <v>84.429999999999993</v>
      </c>
      <c r="G54" s="3610"/>
      <c r="H54" s="3611">
        <f>+SUM(H42:H51)</f>
        <v>31.29</v>
      </c>
      <c r="I54" s="3431"/>
      <c r="J54" s="3612">
        <f>+SUM(J42:J51)</f>
        <v>115.72</v>
      </c>
      <c r="K54" s="3610"/>
      <c r="L54" s="3611">
        <f>+SUM(L42:L51)</f>
        <v>40.03</v>
      </c>
      <c r="M54" s="802"/>
      <c r="N54" s="817">
        <f>+SUM(N42:N51)</f>
        <v>155.75</v>
      </c>
      <c r="O54" s="3610"/>
      <c r="P54" s="3611">
        <f>+SUM(P42:P51)</f>
        <v>72.95</v>
      </c>
      <c r="Q54" s="1140"/>
      <c r="R54" s="815">
        <f>+SUM(R42:R51)</f>
        <v>228.70000000000002</v>
      </c>
      <c r="S54" s="3610"/>
      <c r="T54" s="3611">
        <f>+SUM(T42:T51)</f>
        <v>48.892000000000003</v>
      </c>
      <c r="U54" s="1140"/>
      <c r="V54" s="815">
        <f>+SUM(V42:V51)</f>
        <v>277.59200000000004</v>
      </c>
      <c r="W54" s="3610"/>
      <c r="X54" s="3611">
        <f>+SUM(X42:X51)</f>
        <v>121.06</v>
      </c>
      <c r="Y54" s="802"/>
      <c r="Z54" s="817">
        <f>+SUM(Z42:Z51)</f>
        <v>242.90199999999999</v>
      </c>
      <c r="AA54" s="522"/>
      <c r="AB54" s="818">
        <f>+SUM(AB42:AB51)</f>
        <v>398.65199999999999</v>
      </c>
      <c r="AC54" s="3610"/>
      <c r="AD54" s="3611">
        <f>+SUM(AD42:AD51)</f>
        <v>156.44</v>
      </c>
      <c r="AE54" s="1140"/>
      <c r="AF54" s="815">
        <f>+SUM(AF42:AF51)</f>
        <v>555.09199999999998</v>
      </c>
      <c r="AG54" s="3610"/>
      <c r="AH54" s="3611">
        <f>+SUM(AH42:AH51)</f>
        <v>16.39</v>
      </c>
      <c r="AI54" s="1140"/>
      <c r="AJ54" s="815">
        <f>+SUM(AJ42:AJ51)</f>
        <v>571.48199999999997</v>
      </c>
      <c r="AK54" s="3610"/>
      <c r="AL54" s="3611">
        <f>+SUM(AL42:AL51)</f>
        <v>93.649999999999991</v>
      </c>
      <c r="AM54" s="802"/>
      <c r="AN54" s="817">
        <f>+SUM(AN42:AN51)</f>
        <v>266.47999999999996</v>
      </c>
      <c r="AO54" s="1140"/>
      <c r="AP54" s="815">
        <f>+SUM(AP42:AP51)</f>
        <v>665.13199999999995</v>
      </c>
      <c r="AQ54" s="3610"/>
      <c r="AR54" s="3611">
        <f>+SUM(AR42:AR51)</f>
        <v>105.43</v>
      </c>
      <c r="AS54" s="1140"/>
      <c r="AT54" s="815">
        <f>+SUM(AT42:AT51)</f>
        <v>770.5619999999999</v>
      </c>
      <c r="AU54" s="3610"/>
      <c r="AV54" s="3611">
        <f>+SUM(AV42:AV51)</f>
        <v>67.59</v>
      </c>
      <c r="AW54" s="1140"/>
      <c r="AX54" s="815">
        <f>+SUM(AX42:AX51)</f>
        <v>838.15200000000004</v>
      </c>
      <c r="AY54" s="3610"/>
      <c r="AZ54" s="3611">
        <f>+SUM(AZ42:AZ51)</f>
        <v>83.85</v>
      </c>
      <c r="BA54" s="802"/>
      <c r="BB54" s="817">
        <f>+SUM(BB42:BB51)</f>
        <v>256.86999999999995</v>
      </c>
      <c r="BC54" s="522"/>
      <c r="BD54" s="818">
        <f>+SUM(BD42:BD51)</f>
        <v>523.34999999999991</v>
      </c>
      <c r="BE54" s="256"/>
      <c r="BF54" s="816">
        <f>+SUM(BF42:BF51)</f>
        <v>922.00199999999984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7090" t="s">
        <v>315</v>
      </c>
      <c r="C55" s="3178"/>
      <c r="D55" s="7091" t="s">
        <v>49</v>
      </c>
      <c r="E55" s="7092">
        <f t="shared" ref="E55:AJ55" si="33">+E53/E5*100</f>
        <v>96.5</v>
      </c>
      <c r="F55" s="7092">
        <f t="shared" si="33"/>
        <v>96.340554248429044</v>
      </c>
      <c r="G55" s="7092">
        <f t="shared" ref="G55:H55" si="34">+G53/G5*100</f>
        <v>96.499999999999986</v>
      </c>
      <c r="H55" s="7092">
        <f t="shared" si="34"/>
        <v>96.517503903684087</v>
      </c>
      <c r="I55" s="3602">
        <f t="shared" si="33"/>
        <v>96.5</v>
      </c>
      <c r="J55" s="3603">
        <f t="shared" si="33"/>
        <v>96.434687077655013</v>
      </c>
      <c r="K55" s="3601">
        <f t="shared" si="33"/>
        <v>96.500000000000014</v>
      </c>
      <c r="L55" s="3601">
        <f t="shared" si="33"/>
        <v>96.368789993966118</v>
      </c>
      <c r="M55" s="817">
        <f t="shared" si="33"/>
        <v>96.5</v>
      </c>
      <c r="N55" s="817">
        <f t="shared" si="33"/>
        <v>96.417695053573311</v>
      </c>
      <c r="O55" s="3601">
        <f t="shared" si="33"/>
        <v>96.5</v>
      </c>
      <c r="P55" s="3601">
        <f t="shared" si="33"/>
        <v>96.278900525834928</v>
      </c>
      <c r="Q55" s="815">
        <f t="shared" si="33"/>
        <v>96.5</v>
      </c>
      <c r="R55" s="815">
        <f t="shared" si="33"/>
        <v>96.380641239834631</v>
      </c>
      <c r="S55" s="3601">
        <f t="shared" si="33"/>
        <v>96.5</v>
      </c>
      <c r="T55" s="3601">
        <f t="shared" si="33"/>
        <v>96.354195762942425</v>
      </c>
      <c r="U55" s="815">
        <f t="shared" si="33"/>
        <v>96.500000000000014</v>
      </c>
      <c r="V55" s="815">
        <f t="shared" si="33"/>
        <v>96.375005523751497</v>
      </c>
      <c r="W55" s="3601">
        <f t="shared" si="33"/>
        <v>96.5</v>
      </c>
      <c r="X55" s="3601">
        <f t="shared" si="33"/>
        <v>96.249592078903603</v>
      </c>
      <c r="Y55" s="817">
        <f t="shared" si="33"/>
        <v>96.5</v>
      </c>
      <c r="Z55" s="2582">
        <f t="shared" si="33"/>
        <v>96.29442970859688</v>
      </c>
      <c r="AA55" s="818">
        <f t="shared" si="33"/>
        <v>96.5</v>
      </c>
      <c r="AB55" s="818">
        <f t="shared" si="33"/>
        <v>96.353128191254399</v>
      </c>
      <c r="AC55" s="3601">
        <f t="shared" si="33"/>
        <v>96.5</v>
      </c>
      <c r="AD55" s="3601">
        <f t="shared" si="33"/>
        <v>96.204059065906378</v>
      </c>
      <c r="AE55" s="815">
        <f t="shared" si="33"/>
        <v>96.500000000000014</v>
      </c>
      <c r="AF55" s="815">
        <f t="shared" si="33"/>
        <v>96.331985564640988</v>
      </c>
      <c r="AG55" s="3601">
        <f t="shared" si="33"/>
        <v>96.5</v>
      </c>
      <c r="AH55" s="3601">
        <f t="shared" si="33"/>
        <v>94.958487192653337</v>
      </c>
      <c r="AI55" s="815">
        <f t="shared" si="33"/>
        <v>96.500000000000014</v>
      </c>
      <c r="AJ55" s="815">
        <f t="shared" si="33"/>
        <v>96.322676853715677</v>
      </c>
      <c r="AK55" s="3601">
        <f t="shared" ref="AK55:BF55" si="35">+AK53/AK5*100</f>
        <v>96.5</v>
      </c>
      <c r="AL55" s="3601">
        <f t="shared" si="35"/>
        <v>96.296097647380492</v>
      </c>
      <c r="AM55" s="817">
        <f t="shared" si="35"/>
        <v>96.5</v>
      </c>
      <c r="AN55" s="2582">
        <f t="shared" si="35"/>
        <v>96.22181161869544</v>
      </c>
      <c r="AO55" s="815">
        <f t="shared" si="35"/>
        <v>96.5</v>
      </c>
      <c r="AP55" s="815">
        <f t="shared" si="35"/>
        <v>96.319231687647402</v>
      </c>
      <c r="AQ55" s="3601">
        <f t="shared" si="35"/>
        <v>96.5</v>
      </c>
      <c r="AR55" s="6164">
        <f t="shared" si="35"/>
        <v>96.148154975014705</v>
      </c>
      <c r="AS55" s="815">
        <f t="shared" si="35"/>
        <v>96.5</v>
      </c>
      <c r="AT55" s="815">
        <f t="shared" si="35"/>
        <v>96.299709140774652</v>
      </c>
      <c r="AU55" s="6164">
        <f t="shared" si="35"/>
        <v>96.500000000000014</v>
      </c>
      <c r="AV55" s="6164">
        <f t="shared" si="35"/>
        <v>96.184460544082043</v>
      </c>
      <c r="AW55" s="815">
        <f t="shared" si="35"/>
        <v>96.5</v>
      </c>
      <c r="AX55" s="815">
        <f t="shared" si="35"/>
        <v>96.288531189664099</v>
      </c>
      <c r="AY55" s="6164">
        <f t="shared" si="35"/>
        <v>96.5</v>
      </c>
      <c r="AZ55" s="6164">
        <f t="shared" si="35"/>
        <v>96.379797529138472</v>
      </c>
      <c r="BA55" s="817">
        <f t="shared" si="35"/>
        <v>96.5</v>
      </c>
      <c r="BB55" s="2582">
        <f t="shared" si="35"/>
        <v>96.243641618151642</v>
      </c>
      <c r="BC55" s="818">
        <f t="shared" si="35"/>
        <v>96.5</v>
      </c>
      <c r="BD55" s="818">
        <f t="shared" si="35"/>
        <v>96.234988789342083</v>
      </c>
      <c r="BE55" s="816">
        <f t="shared" si="35"/>
        <v>96.5</v>
      </c>
      <c r="BF55" s="816">
        <f t="shared" si="35"/>
        <v>96.297902078505174</v>
      </c>
      <c r="BG55" s="26"/>
      <c r="BH55" s="26"/>
      <c r="BI55" s="26"/>
      <c r="BJ55" s="26"/>
      <c r="BK55" s="26"/>
      <c r="BL55" s="26"/>
      <c r="BM55" s="26"/>
      <c r="BN55" s="26"/>
    </row>
    <row r="56" spans="1:66" x14ac:dyDescent="0.25">
      <c r="A56" s="149"/>
      <c r="B56" s="891" t="s">
        <v>817</v>
      </c>
      <c r="C56" s="3966"/>
      <c r="D56" s="7059" t="s">
        <v>50</v>
      </c>
      <c r="E56" s="2432"/>
      <c r="F56" s="7097">
        <f>+SUM(F7:F40)</f>
        <v>66895.455000000031</v>
      </c>
      <c r="G56" s="2432"/>
      <c r="H56" s="7097">
        <f>+SUM(H7:H40)</f>
        <v>76175.635000000068</v>
      </c>
      <c r="I56" s="3600"/>
      <c r="J56" s="3600">
        <f>+SUM(J7:J40)</f>
        <v>143071.09000000008</v>
      </c>
      <c r="K56" s="3599"/>
      <c r="L56" s="3599">
        <f>+SUM(L7:L40)</f>
        <v>49675.968000000059</v>
      </c>
      <c r="M56" s="378"/>
      <c r="N56" s="378">
        <f>+SUM(N7:N40)</f>
        <v>192747.05800000016</v>
      </c>
      <c r="O56" s="3599"/>
      <c r="P56" s="3599">
        <f>+SUM(P7:P40)</f>
        <v>70097.135000000082</v>
      </c>
      <c r="Q56" s="457"/>
      <c r="R56" s="457">
        <f>+SUM(R7:R40)</f>
        <v>262844.1930000002</v>
      </c>
      <c r="S56" s="3599"/>
      <c r="T56" s="3599">
        <f>+SUM(T7:T40)</f>
        <v>71164.143000000069</v>
      </c>
      <c r="U56" s="1971"/>
      <c r="V56" s="1971">
        <f>+SUM(V7:V40)</f>
        <v>334008.33600000024</v>
      </c>
      <c r="W56" s="3599"/>
      <c r="X56" s="3599">
        <f>+SUM(X7:X40)</f>
        <v>70484.61000000003</v>
      </c>
      <c r="Y56" s="378"/>
      <c r="Z56" s="378">
        <f>+SUM(Z7:Z40)</f>
        <v>211745.88800000018</v>
      </c>
      <c r="AA56" s="544"/>
      <c r="AB56" s="544">
        <f>+SUM(AB7:AB40)</f>
        <v>404492.94600000029</v>
      </c>
      <c r="AC56" s="3599"/>
      <c r="AD56" s="3599">
        <f>+SUM(AD7:AD40)</f>
        <v>66747.800000000017</v>
      </c>
      <c r="AE56" s="1971"/>
      <c r="AF56" s="1971">
        <f>+SUM(AF7:AF40)</f>
        <v>471240.74600000033</v>
      </c>
      <c r="AG56" s="3599"/>
      <c r="AH56" s="3599">
        <f>+SUM(AH7:AH40)</f>
        <v>3169.7200000000003</v>
      </c>
      <c r="AI56" s="1971"/>
      <c r="AJ56" s="1971">
        <f>+SUM(AJ7:AJ40)</f>
        <v>474410.46600000031</v>
      </c>
      <c r="AK56" s="3599"/>
      <c r="AL56" s="3599">
        <f>+SUM(AL7:AL40)</f>
        <v>70630.630000000063</v>
      </c>
      <c r="AM56" s="378"/>
      <c r="AN56" s="378">
        <f>+SUM(AN7:AN40)</f>
        <v>140548.15000000008</v>
      </c>
      <c r="AO56" s="1971"/>
      <c r="AP56" s="1971">
        <f>+SUM(AP7:AP40)</f>
        <v>545041.09600000037</v>
      </c>
      <c r="AQ56" s="3599"/>
      <c r="AR56" s="3599">
        <f>+SUM(AR7:AR40)</f>
        <v>70085.115000000107</v>
      </c>
      <c r="AS56" s="1971"/>
      <c r="AT56" s="1971">
        <f>+SUM(AT7:AT40)</f>
        <v>615126.21100000059</v>
      </c>
      <c r="AU56" s="3599"/>
      <c r="AV56" s="3599">
        <f>+SUM(AV7:AV40)</f>
        <v>65990.000000000058</v>
      </c>
      <c r="AW56" s="1971"/>
      <c r="AX56" s="1971">
        <f>+SUM(AX7:AX40)</f>
        <v>681116.21100000059</v>
      </c>
      <c r="AY56" s="3599"/>
      <c r="AZ56" s="3599">
        <f>+SUM(AZ7:AZ40)</f>
        <v>78010.610000000073</v>
      </c>
      <c r="BA56" s="378"/>
      <c r="BB56" s="378">
        <f>+SUM(BB7:BB40)</f>
        <v>214085.72500000018</v>
      </c>
      <c r="BC56" s="544"/>
      <c r="BD56" s="544">
        <f>+SUM(BD7:BD40)</f>
        <v>354633.87500000029</v>
      </c>
      <c r="BE56" s="6489"/>
      <c r="BF56" s="6489">
        <f>+SUM(BF7:BF40)</f>
        <v>759126.82100000058</v>
      </c>
      <c r="BG56" s="26"/>
      <c r="BH56" s="26"/>
      <c r="BI56" s="26"/>
      <c r="BJ56" s="26"/>
      <c r="BK56" s="26"/>
      <c r="BL56" s="26"/>
      <c r="BM56" s="26"/>
      <c r="BN56" s="26"/>
    </row>
    <row r="57" spans="1:66" x14ac:dyDescent="0.25">
      <c r="A57" s="149"/>
      <c r="B57" s="7098" t="s">
        <v>816</v>
      </c>
      <c r="C57" s="7094"/>
      <c r="D57" s="7095" t="s">
        <v>49</v>
      </c>
      <c r="E57" s="7096"/>
      <c r="F57" s="7099">
        <f>+F56/F53</f>
        <v>1</v>
      </c>
      <c r="G57" s="7096"/>
      <c r="H57" s="7099">
        <f>+H56/H53</f>
        <v>1</v>
      </c>
      <c r="I57" s="1552"/>
      <c r="J57" s="1552">
        <f>+J56/J53</f>
        <v>1</v>
      </c>
      <c r="K57" s="1706"/>
      <c r="L57" s="623">
        <f>+L56/L53</f>
        <v>1</v>
      </c>
      <c r="M57" s="1500"/>
      <c r="N57" s="1500">
        <f>+N56/N53</f>
        <v>1</v>
      </c>
      <c r="O57" s="1706"/>
      <c r="P57" s="623">
        <f>+P56/P53</f>
        <v>1</v>
      </c>
      <c r="Q57" s="623"/>
      <c r="R57" s="623">
        <f>+R56/R53</f>
        <v>1</v>
      </c>
      <c r="S57" s="1706"/>
      <c r="T57" s="623">
        <f>+T56/T53</f>
        <v>1</v>
      </c>
      <c r="U57" s="623"/>
      <c r="V57" s="623">
        <f>+V56/V53</f>
        <v>1</v>
      </c>
      <c r="W57" s="1706"/>
      <c r="X57" s="623">
        <f>+X56/X53</f>
        <v>1</v>
      </c>
      <c r="Y57" s="1500"/>
      <c r="Z57" s="1500">
        <f>+Z56/Z53</f>
        <v>1</v>
      </c>
      <c r="AA57" s="1623"/>
      <c r="AB57" s="1623">
        <f>+AB56/AB53</f>
        <v>1</v>
      </c>
      <c r="AC57" s="1706"/>
      <c r="AD57" s="623">
        <f>+AD56/AD53</f>
        <v>1</v>
      </c>
      <c r="AE57" s="623"/>
      <c r="AF57" s="623">
        <f>+AF56/AF53</f>
        <v>1</v>
      </c>
      <c r="AG57" s="1706"/>
      <c r="AH57" s="623">
        <f>+AH56/AH53</f>
        <v>1</v>
      </c>
      <c r="AI57" s="623"/>
      <c r="AJ57" s="623">
        <f>+AJ56/AJ53</f>
        <v>1</v>
      </c>
      <c r="AK57" s="1706"/>
      <c r="AL57" s="623">
        <f>+AL56/AL53</f>
        <v>1</v>
      </c>
      <c r="AM57" s="1500"/>
      <c r="AN57" s="1500">
        <f>+AN56/AN53</f>
        <v>1</v>
      </c>
      <c r="AO57" s="623"/>
      <c r="AP57" s="623">
        <f>+AP56/AP53</f>
        <v>1</v>
      </c>
      <c r="AQ57" s="1706"/>
      <c r="AR57" s="623">
        <f>+AR56/AR53</f>
        <v>1</v>
      </c>
      <c r="AS57" s="623"/>
      <c r="AT57" s="623">
        <f>+AT56/AT53</f>
        <v>1</v>
      </c>
      <c r="AU57" s="1706"/>
      <c r="AV57" s="623">
        <f>+AV56/AV53</f>
        <v>1</v>
      </c>
      <c r="AW57" s="623"/>
      <c r="AX57" s="623">
        <f>+AX56/AX53</f>
        <v>1</v>
      </c>
      <c r="AY57" s="1706"/>
      <c r="AZ57" s="623">
        <f>+AZ56/AZ53</f>
        <v>1</v>
      </c>
      <c r="BA57" s="1500"/>
      <c r="BB57" s="1500">
        <f>+BB56/BB53</f>
        <v>1</v>
      </c>
      <c r="BC57" s="1623"/>
      <c r="BD57" s="1623">
        <f>+BD56/BD53</f>
        <v>1</v>
      </c>
      <c r="BE57" s="1552"/>
      <c r="BF57" s="1552">
        <f>+BF56/BF53</f>
        <v>1</v>
      </c>
      <c r="BG57" s="26"/>
      <c r="BH57" s="26"/>
      <c r="BI57" s="26"/>
      <c r="BJ57" s="26"/>
      <c r="BK57" s="26"/>
      <c r="BL57" s="26"/>
      <c r="BM57" s="26"/>
      <c r="BN57" s="26"/>
    </row>
    <row r="58" spans="1:66" ht="15.75" thickBot="1" x14ac:dyDescent="0.3">
      <c r="A58" s="149"/>
      <c r="B58" s="7098" t="s">
        <v>1495</v>
      </c>
      <c r="C58" s="7094"/>
      <c r="D58" s="7095" t="s">
        <v>49</v>
      </c>
      <c r="E58" s="7096"/>
      <c r="F58" s="7099">
        <f>F59/F61</f>
        <v>0.44306562699111018</v>
      </c>
      <c r="G58" s="7096"/>
      <c r="H58" s="7099">
        <f>H59/H61</f>
        <v>0.43944534986240613</v>
      </c>
      <c r="I58" s="1702"/>
      <c r="J58" s="1701">
        <f>J59/J61</f>
        <v>0.44114053531852021</v>
      </c>
      <c r="K58" s="1707"/>
      <c r="L58" s="1701">
        <f>L59/L61</f>
        <v>0.25462717058222678</v>
      </c>
      <c r="M58" s="1703"/>
      <c r="N58" s="2132">
        <f>N59/N61</f>
        <v>0.39301940693421039</v>
      </c>
      <c r="O58" s="1707"/>
      <c r="P58" s="1701">
        <f>P59/P61</f>
        <v>0.46993318485523383</v>
      </c>
      <c r="Q58" s="1701"/>
      <c r="R58" s="1701">
        <f>R59/R61</f>
        <v>0.41356345993386695</v>
      </c>
      <c r="S58" s="1707"/>
      <c r="T58" s="1701">
        <f>T59/T61</f>
        <v>0.45030391233627259</v>
      </c>
      <c r="U58" s="1701"/>
      <c r="V58" s="1701">
        <f>V59/V61</f>
        <v>0.42139118063704178</v>
      </c>
      <c r="W58" s="1707"/>
      <c r="X58" s="1701">
        <f>X59/X61</f>
        <v>0.41514916141653002</v>
      </c>
      <c r="Y58" s="1703"/>
      <c r="Z58" s="1703">
        <f>Z59/Z61</f>
        <v>0.44509805800128383</v>
      </c>
      <c r="AA58" s="1704"/>
      <c r="AB58" s="1705">
        <f>AB59/AB61</f>
        <v>0.42030214816301947</v>
      </c>
      <c r="AC58" s="1707"/>
      <c r="AD58" s="1701">
        <f>AD59/AD61</f>
        <v>0.39324545951527667</v>
      </c>
      <c r="AE58" s="1701"/>
      <c r="AF58" s="2133">
        <f>AF59/AF61</f>
        <v>0.41646494318720229</v>
      </c>
      <c r="AG58" s="1707"/>
      <c r="AH58" s="1701">
        <f>AH59/AH61</f>
        <v>0.29197994987468673</v>
      </c>
      <c r="AI58" s="1701"/>
      <c r="AJ58" s="2133">
        <f>AJ59/AJ61</f>
        <v>0.41561502724993798</v>
      </c>
      <c r="AK58" s="1707"/>
      <c r="AL58" s="1701">
        <f>AL59/AL61</f>
        <v>0.36963014013324147</v>
      </c>
      <c r="AM58" s="1703"/>
      <c r="AN58" s="1703">
        <f>AN59/AN61</f>
        <v>0.3790557494303925</v>
      </c>
      <c r="AO58" s="1701"/>
      <c r="AP58" s="2133">
        <f>AP59/AP61</f>
        <v>0.40965277415799783</v>
      </c>
      <c r="AQ58" s="1707"/>
      <c r="AR58" s="1701">
        <f>AR59/AR61</f>
        <v>0.37997800416763139</v>
      </c>
      <c r="AS58" s="1701"/>
      <c r="AT58" s="1701">
        <f>AT59/AT61</f>
        <v>0.40627041149575444</v>
      </c>
      <c r="AU58" s="1707"/>
      <c r="AV58" s="1701">
        <f>AV59/AV61</f>
        <v>0.36794824625950456</v>
      </c>
      <c r="AW58" s="1701"/>
      <c r="AX58" s="6379">
        <f>AX59/AX61</f>
        <v>0.40254769861267475</v>
      </c>
      <c r="AY58" s="1707"/>
      <c r="AZ58" s="1701">
        <f>AZ59/AZ61</f>
        <v>0.48070266753415747</v>
      </c>
      <c r="BA58" s="1500"/>
      <c r="BB58" s="1500">
        <f>BB59/BB61</f>
        <v>0.41291562887691419</v>
      </c>
      <c r="BC58" s="1623"/>
      <c r="BD58" s="1623">
        <f>BD59/BD61</f>
        <v>0.39949353774744339</v>
      </c>
      <c r="BE58" s="1552"/>
      <c r="BF58" s="1552">
        <f>BF59/BF61</f>
        <v>0.41057354902332843</v>
      </c>
      <c r="BG58" s="26"/>
      <c r="BH58" s="26"/>
      <c r="BI58" s="26"/>
      <c r="BJ58" s="26"/>
      <c r="BK58" s="26"/>
      <c r="BL58" s="26"/>
      <c r="BM58" s="26"/>
      <c r="BN58" s="26"/>
    </row>
    <row r="59" spans="1:66" s="5172" customFormat="1" ht="15.75" hidden="1" x14ac:dyDescent="0.25">
      <c r="A59" s="149"/>
      <c r="B59" s="7098" t="s">
        <v>2046</v>
      </c>
      <c r="C59" s="7094"/>
      <c r="D59" s="7095" t="s">
        <v>354</v>
      </c>
      <c r="E59" s="7096"/>
      <c r="F59" s="7100">
        <v>14603</v>
      </c>
      <c r="G59" s="7096"/>
      <c r="H59" s="7100">
        <v>16448</v>
      </c>
      <c r="I59" s="1702"/>
      <c r="J59" s="6584">
        <f t="shared" ref="J59:J61" si="36">+F59+H59</f>
        <v>31051</v>
      </c>
      <c r="K59" s="1707"/>
      <c r="L59" s="3607">
        <v>6232</v>
      </c>
      <c r="M59" s="1703"/>
      <c r="N59" s="6017">
        <f t="shared" ref="N59:N61" si="37">+F59+H59+L59</f>
        <v>37283</v>
      </c>
      <c r="O59" s="1707"/>
      <c r="P59" s="3607">
        <v>16247</v>
      </c>
      <c r="Q59" s="1701"/>
      <c r="R59" s="6018">
        <f t="shared" ref="R59:R61" si="38">+N59+P59</f>
        <v>53530</v>
      </c>
      <c r="S59" s="1707"/>
      <c r="T59" s="3607">
        <v>15780</v>
      </c>
      <c r="U59" s="1701"/>
      <c r="V59" s="6018">
        <f t="shared" ref="V59:V61" si="39">+R59+T59</f>
        <v>69310</v>
      </c>
      <c r="W59" s="1707"/>
      <c r="X59" s="3607">
        <v>14431</v>
      </c>
      <c r="Y59" s="1703"/>
      <c r="Z59" s="6017">
        <f t="shared" ref="Z59:Z61" si="40">+P59+T59+X59</f>
        <v>46458</v>
      </c>
      <c r="AA59" s="1704"/>
      <c r="AB59" s="662">
        <f t="shared" ref="AB59:AB61" si="41">+N59+Z59</f>
        <v>83741</v>
      </c>
      <c r="AC59" s="1707"/>
      <c r="AD59" s="3607">
        <v>12948</v>
      </c>
      <c r="AE59" s="1701"/>
      <c r="AF59" s="6018">
        <f t="shared" ref="AF59:AF61" si="42">+AB59+AD59</f>
        <v>96689</v>
      </c>
      <c r="AG59" s="1707"/>
      <c r="AH59" s="3607">
        <v>466</v>
      </c>
      <c r="AI59" s="1701"/>
      <c r="AJ59" s="6018">
        <f t="shared" ref="AJ59:AJ61" si="43">+AF59+AH59</f>
        <v>97155</v>
      </c>
      <c r="AK59" s="1707"/>
      <c r="AL59" s="3607">
        <v>12872</v>
      </c>
      <c r="AM59" s="1703"/>
      <c r="AN59" s="6017">
        <f t="shared" ref="AN59:AN61" si="44">+AD59+AH59+AL59</f>
        <v>26286</v>
      </c>
      <c r="AO59" s="1701"/>
      <c r="AP59" s="6018">
        <f t="shared" ref="AP59:AP61" si="45">AJ59+AL59</f>
        <v>110027</v>
      </c>
      <c r="AQ59" s="1707"/>
      <c r="AR59" s="3607">
        <v>13129</v>
      </c>
      <c r="AS59" s="1701"/>
      <c r="AT59" s="6113">
        <f t="shared" ref="AT59:AT61" si="46">+AP59+AR59</f>
        <v>123156</v>
      </c>
      <c r="AU59" s="1707"/>
      <c r="AV59" s="3607">
        <v>12001</v>
      </c>
      <c r="AW59" s="1701"/>
      <c r="AX59" s="6273">
        <f t="shared" ref="AX59:AX61" si="47">+AT59+AV59</f>
        <v>135157</v>
      </c>
      <c r="AY59" s="1707"/>
      <c r="AZ59" s="3607">
        <v>18471</v>
      </c>
      <c r="BA59" s="1703"/>
      <c r="BB59" s="6486">
        <f t="shared" ref="BB59:BB61" si="48">+AR59+AV59+AZ59</f>
        <v>43601</v>
      </c>
      <c r="BC59" s="1704"/>
      <c r="BD59" s="662">
        <f t="shared" ref="BD59:BD61" si="49">+AN59+BB59</f>
        <v>69887</v>
      </c>
      <c r="BE59" s="1702"/>
      <c r="BF59" s="6488">
        <f t="shared" ref="BF59:BF61" si="50">+AX59+AZ59</f>
        <v>153628</v>
      </c>
      <c r="BG59" s="26"/>
      <c r="BH59" s="26"/>
      <c r="BI59" s="26"/>
      <c r="BJ59" s="26"/>
      <c r="BK59" s="26"/>
      <c r="BL59" s="26"/>
      <c r="BM59" s="26"/>
      <c r="BN59" s="26"/>
    </row>
    <row r="60" spans="1:66" s="5172" customFormat="1" ht="15.75" hidden="1" x14ac:dyDescent="0.25">
      <c r="A60" s="149"/>
      <c r="B60" s="7098" t="s">
        <v>2047</v>
      </c>
      <c r="C60" s="7094"/>
      <c r="D60" s="7095" t="s">
        <v>354</v>
      </c>
      <c r="E60" s="7096"/>
      <c r="F60" s="7100">
        <v>18356</v>
      </c>
      <c r="G60" s="7096"/>
      <c r="H60" s="7100">
        <v>20981</v>
      </c>
      <c r="I60" s="1702"/>
      <c r="J60" s="6584">
        <f t="shared" si="36"/>
        <v>39337</v>
      </c>
      <c r="K60" s="1707"/>
      <c r="L60" s="3607">
        <v>18243</v>
      </c>
      <c r="M60" s="1703"/>
      <c r="N60" s="6017">
        <f t="shared" si="37"/>
        <v>57580</v>
      </c>
      <c r="O60" s="1707"/>
      <c r="P60" s="3607">
        <v>18326</v>
      </c>
      <c r="Q60" s="1701"/>
      <c r="R60" s="6018">
        <f t="shared" si="38"/>
        <v>75906</v>
      </c>
      <c r="S60" s="1707"/>
      <c r="T60" s="3607">
        <v>19263</v>
      </c>
      <c r="U60" s="1701"/>
      <c r="V60" s="6018">
        <f t="shared" si="39"/>
        <v>95169</v>
      </c>
      <c r="W60" s="1707"/>
      <c r="X60" s="3607">
        <v>20330</v>
      </c>
      <c r="Y60" s="1703"/>
      <c r="Z60" s="6017">
        <f t="shared" si="40"/>
        <v>57919</v>
      </c>
      <c r="AA60" s="1704"/>
      <c r="AB60" s="662">
        <f t="shared" si="41"/>
        <v>115499</v>
      </c>
      <c r="AC60" s="1707"/>
      <c r="AD60" s="3607">
        <v>19978</v>
      </c>
      <c r="AE60" s="1701"/>
      <c r="AF60" s="6018">
        <f t="shared" si="42"/>
        <v>135477</v>
      </c>
      <c r="AG60" s="1707"/>
      <c r="AH60" s="3607">
        <v>1130</v>
      </c>
      <c r="AI60" s="1701"/>
      <c r="AJ60" s="6018">
        <f t="shared" si="43"/>
        <v>136607</v>
      </c>
      <c r="AK60" s="1707"/>
      <c r="AL60" s="3607">
        <v>21952</v>
      </c>
      <c r="AM60" s="1703"/>
      <c r="AN60" s="6017">
        <f t="shared" si="44"/>
        <v>43060</v>
      </c>
      <c r="AO60" s="1701"/>
      <c r="AP60" s="6018">
        <f t="shared" si="45"/>
        <v>158559</v>
      </c>
      <c r="AQ60" s="1707"/>
      <c r="AR60" s="3607">
        <v>21423</v>
      </c>
      <c r="AS60" s="1701"/>
      <c r="AT60" s="6113">
        <f t="shared" si="46"/>
        <v>179982</v>
      </c>
      <c r="AU60" s="1707"/>
      <c r="AV60" s="3607">
        <v>20615</v>
      </c>
      <c r="AW60" s="1701"/>
      <c r="AX60" s="6273">
        <f t="shared" si="47"/>
        <v>200597</v>
      </c>
      <c r="AY60" s="1707"/>
      <c r="AZ60" s="3607">
        <v>19954</v>
      </c>
      <c r="BA60" s="1703"/>
      <c r="BB60" s="6486">
        <f t="shared" si="48"/>
        <v>61992</v>
      </c>
      <c r="BC60" s="1704"/>
      <c r="BD60" s="662">
        <f t="shared" si="49"/>
        <v>105052</v>
      </c>
      <c r="BE60" s="1702"/>
      <c r="BF60" s="6488">
        <f t="shared" si="50"/>
        <v>220551</v>
      </c>
      <c r="BG60" s="26"/>
      <c r="BH60" s="26"/>
      <c r="BI60" s="26"/>
      <c r="BJ60" s="26"/>
      <c r="BK60" s="26"/>
      <c r="BL60" s="26"/>
      <c r="BM60" s="26"/>
      <c r="BN60" s="26"/>
    </row>
    <row r="61" spans="1:66" s="5172" customFormat="1" ht="16.5" hidden="1" thickBot="1" x14ac:dyDescent="0.3">
      <c r="A61" s="149"/>
      <c r="B61" s="7101" t="s">
        <v>2048</v>
      </c>
      <c r="C61" s="7102"/>
      <c r="D61" s="7103" t="s">
        <v>354</v>
      </c>
      <c r="E61" s="7104"/>
      <c r="F61" s="7105">
        <f>F59+F60</f>
        <v>32959</v>
      </c>
      <c r="G61" s="7104"/>
      <c r="H61" s="7105">
        <f>H59+H60</f>
        <v>37429</v>
      </c>
      <c r="I61" s="1702"/>
      <c r="J61" s="6584">
        <f t="shared" si="36"/>
        <v>70388</v>
      </c>
      <c r="K61" s="1707"/>
      <c r="L61" s="3607">
        <f>L59+L60</f>
        <v>24475</v>
      </c>
      <c r="M61" s="1703"/>
      <c r="N61" s="6017">
        <f t="shared" si="37"/>
        <v>94863</v>
      </c>
      <c r="O61" s="1707"/>
      <c r="P61" s="3607">
        <f>P59+P60</f>
        <v>34573</v>
      </c>
      <c r="Q61" s="1701"/>
      <c r="R61" s="6018">
        <f t="shared" si="38"/>
        <v>129436</v>
      </c>
      <c r="S61" s="1707"/>
      <c r="T61" s="3607">
        <f>T59+T60</f>
        <v>35043</v>
      </c>
      <c r="U61" s="1701"/>
      <c r="V61" s="6018">
        <f t="shared" si="39"/>
        <v>164479</v>
      </c>
      <c r="W61" s="1707"/>
      <c r="X61" s="3607">
        <f>X59+X60</f>
        <v>34761</v>
      </c>
      <c r="Y61" s="1703"/>
      <c r="Z61" s="6017">
        <f t="shared" si="40"/>
        <v>104377</v>
      </c>
      <c r="AA61" s="1704"/>
      <c r="AB61" s="662">
        <f t="shared" si="41"/>
        <v>199240</v>
      </c>
      <c r="AC61" s="1707"/>
      <c r="AD61" s="3607">
        <f>AD59+AD60</f>
        <v>32926</v>
      </c>
      <c r="AE61" s="1701"/>
      <c r="AF61" s="6018">
        <f t="shared" si="42"/>
        <v>232166</v>
      </c>
      <c r="AG61" s="1707"/>
      <c r="AH61" s="3607">
        <f>AH59+AH60</f>
        <v>1596</v>
      </c>
      <c r="AI61" s="1701"/>
      <c r="AJ61" s="6018">
        <f t="shared" si="43"/>
        <v>233762</v>
      </c>
      <c r="AK61" s="1707"/>
      <c r="AL61" s="3607">
        <f>AL59+AL60</f>
        <v>34824</v>
      </c>
      <c r="AM61" s="1703"/>
      <c r="AN61" s="6017">
        <f t="shared" si="44"/>
        <v>69346</v>
      </c>
      <c r="AO61" s="1701"/>
      <c r="AP61" s="6018">
        <f t="shared" si="45"/>
        <v>268586</v>
      </c>
      <c r="AQ61" s="1707"/>
      <c r="AR61" s="3607">
        <f>AR59+AR60</f>
        <v>34552</v>
      </c>
      <c r="AS61" s="1701"/>
      <c r="AT61" s="6113">
        <f t="shared" si="46"/>
        <v>303138</v>
      </c>
      <c r="AU61" s="1707"/>
      <c r="AV61" s="3607">
        <f>AV59+AV60</f>
        <v>32616</v>
      </c>
      <c r="AW61" s="1701"/>
      <c r="AX61" s="6273">
        <f t="shared" si="47"/>
        <v>335754</v>
      </c>
      <c r="AY61" s="1707"/>
      <c r="AZ61" s="3607">
        <f>AZ59+AZ60</f>
        <v>38425</v>
      </c>
      <c r="BA61" s="1703"/>
      <c r="BB61" s="6486">
        <f t="shared" si="48"/>
        <v>105593</v>
      </c>
      <c r="BC61" s="1704"/>
      <c r="BD61" s="662">
        <f t="shared" si="49"/>
        <v>174939</v>
      </c>
      <c r="BE61" s="1702"/>
      <c r="BF61" s="6488">
        <f t="shared" si="50"/>
        <v>374179</v>
      </c>
      <c r="BG61" s="26"/>
      <c r="BH61" s="26"/>
      <c r="BI61" s="26"/>
      <c r="BJ61" s="26"/>
      <c r="BK61" s="26"/>
      <c r="BL61" s="26"/>
      <c r="BM61" s="26"/>
      <c r="BN61" s="26"/>
    </row>
    <row r="62" spans="1:66" ht="18.75" x14ac:dyDescent="0.25">
      <c r="A62" s="149"/>
      <c r="B62" s="1700" t="s">
        <v>53</v>
      </c>
      <c r="C62" s="1708"/>
      <c r="D62" s="1708"/>
      <c r="E62" s="7093"/>
      <c r="F62" s="7093"/>
      <c r="G62" s="7093"/>
      <c r="H62" s="7093"/>
      <c r="I62" s="591"/>
      <c r="J62" s="591"/>
      <c r="K62" s="4595"/>
      <c r="L62" s="4759"/>
      <c r="M62" s="591"/>
      <c r="N62" s="591"/>
      <c r="O62" s="4769"/>
      <c r="P62" s="4769"/>
      <c r="Q62" s="591"/>
      <c r="R62" s="591"/>
      <c r="S62" s="4936"/>
      <c r="T62" s="4936"/>
      <c r="U62" s="4936"/>
      <c r="V62" s="4936"/>
      <c r="W62" s="5071"/>
      <c r="X62" s="5071"/>
      <c r="Y62" s="591"/>
      <c r="Z62" s="591"/>
      <c r="AA62" s="591"/>
      <c r="AB62" s="592"/>
      <c r="AC62" s="5353"/>
      <c r="AD62" s="5353"/>
      <c r="AE62" s="591"/>
      <c r="AF62" s="591"/>
      <c r="AG62" s="5531"/>
      <c r="AH62" s="5531"/>
      <c r="AI62" s="5531"/>
      <c r="AJ62" s="5531"/>
      <c r="AK62" s="5956"/>
      <c r="AL62" s="5956"/>
      <c r="AM62" s="591"/>
      <c r="AN62" s="591"/>
      <c r="AO62" s="591"/>
      <c r="AP62" s="591"/>
      <c r="AQ62" s="6108"/>
      <c r="AR62" s="6108"/>
      <c r="AS62" s="591"/>
      <c r="AT62" s="591"/>
      <c r="AU62" s="6268"/>
      <c r="AV62" s="6268"/>
      <c r="AW62" s="6268"/>
      <c r="AX62" s="6268"/>
      <c r="AY62" s="6418"/>
      <c r="AZ62" s="6418"/>
      <c r="BA62" s="3053"/>
      <c r="BB62" s="3053"/>
      <c r="BC62" s="3053"/>
      <c r="BD62" s="592"/>
      <c r="BE62" s="3053"/>
      <c r="BF62" s="3053"/>
      <c r="BG62" s="26"/>
      <c r="BH62" s="26"/>
      <c r="BI62" s="26"/>
      <c r="BJ62" s="26"/>
      <c r="BK62" s="26"/>
      <c r="BL62" s="26"/>
      <c r="BM62" s="26"/>
      <c r="BN62" s="26"/>
    </row>
    <row r="63" spans="1:66" x14ac:dyDescent="0.25">
      <c r="B63" s="9" t="s">
        <v>93</v>
      </c>
      <c r="C63" s="777"/>
      <c r="D63" s="159" t="s">
        <v>221</v>
      </c>
      <c r="E63" s="159">
        <f>+E2*24</f>
        <v>720</v>
      </c>
      <c r="F63" s="159">
        <f>+F2*24</f>
        <v>720</v>
      </c>
      <c r="G63" s="7202">
        <f>+G2*24</f>
        <v>744</v>
      </c>
      <c r="H63" s="7202">
        <f>+H2*24</f>
        <v>744</v>
      </c>
      <c r="I63" s="590">
        <f>+E63+G63</f>
        <v>1464</v>
      </c>
      <c r="J63" s="590">
        <f>+F63+H63</f>
        <v>1464</v>
      </c>
      <c r="K63" s="4598">
        <f>+K2*24</f>
        <v>720</v>
      </c>
      <c r="L63" s="4598">
        <f>+L2*24</f>
        <v>720</v>
      </c>
      <c r="M63" s="948">
        <f>+E63+G63+K63</f>
        <v>2184</v>
      </c>
      <c r="N63" s="948">
        <f>+F63+H63+L63</f>
        <v>2184</v>
      </c>
      <c r="O63" s="4777">
        <f>+O2*24</f>
        <v>744</v>
      </c>
      <c r="P63" s="4777">
        <f>+P2*24</f>
        <v>744</v>
      </c>
      <c r="Q63" s="590">
        <f>+M63+O63</f>
        <v>2928</v>
      </c>
      <c r="R63" s="590">
        <f>+N63+P63</f>
        <v>2928</v>
      </c>
      <c r="S63" s="4941">
        <f>+S2*24</f>
        <v>744</v>
      </c>
      <c r="T63" s="4941">
        <f>+T2*24</f>
        <v>744</v>
      </c>
      <c r="U63" s="4940">
        <f>+Q63+S63</f>
        <v>3672</v>
      </c>
      <c r="V63" s="4940">
        <f>+R63+T63</f>
        <v>3672</v>
      </c>
      <c r="W63" s="5073">
        <f>+W2*24</f>
        <v>720</v>
      </c>
      <c r="X63" s="5073">
        <f>+X2*24</f>
        <v>720</v>
      </c>
      <c r="Y63" s="782">
        <f>+O63+S63+W63</f>
        <v>2208</v>
      </c>
      <c r="Z63" s="2374">
        <f>+P63+T63+X63</f>
        <v>2208</v>
      </c>
      <c r="AA63" s="465">
        <f>+M63+Y63</f>
        <v>4392</v>
      </c>
      <c r="AB63" s="454">
        <f>+N63+Z63</f>
        <v>4392</v>
      </c>
      <c r="AC63" s="5356">
        <f>+AC2*24</f>
        <v>744</v>
      </c>
      <c r="AD63" s="5356">
        <f>+AD2*24</f>
        <v>744</v>
      </c>
      <c r="AE63" s="590">
        <f>+AA63+AC63</f>
        <v>5136</v>
      </c>
      <c r="AF63" s="590">
        <f>+AB63+AD63</f>
        <v>5136</v>
      </c>
      <c r="AG63" s="5542">
        <f>+AG2*24</f>
        <v>720</v>
      </c>
      <c r="AH63" s="5542">
        <f>+AH2*24</f>
        <v>720</v>
      </c>
      <c r="AI63" s="5539">
        <f>+AE63+AG63</f>
        <v>5856</v>
      </c>
      <c r="AJ63" s="5539">
        <f>+AF63+AH63</f>
        <v>5856</v>
      </c>
      <c r="AK63" s="5957">
        <f>+AK2*24</f>
        <v>744</v>
      </c>
      <c r="AL63" s="5957">
        <f>+AL2*24</f>
        <v>744</v>
      </c>
      <c r="AM63" s="2736">
        <f>+AC63+AG63+AK63</f>
        <v>2208</v>
      </c>
      <c r="AN63" s="2736">
        <f>+AD63+AH63+AL63</f>
        <v>2208</v>
      </c>
      <c r="AO63" s="2399">
        <f t="shared" ref="AO63" si="51">AI63+AK63</f>
        <v>6600</v>
      </c>
      <c r="AP63" s="2399">
        <f t="shared" ref="AP63" si="52">AJ63+AL63</f>
        <v>6600</v>
      </c>
      <c r="AQ63" s="6109">
        <f>+AQ2*24</f>
        <v>744</v>
      </c>
      <c r="AR63" s="6109">
        <f>+AR2*24</f>
        <v>744</v>
      </c>
      <c r="AS63" s="590">
        <f>+AO63+AQ63</f>
        <v>7344</v>
      </c>
      <c r="AT63" s="590">
        <f>+AP63+AR63</f>
        <v>7344</v>
      </c>
      <c r="AU63" s="6269">
        <f>+AU2*24</f>
        <v>672</v>
      </c>
      <c r="AV63" s="6269">
        <f>+AV2*24</f>
        <v>672</v>
      </c>
      <c r="AW63" s="6272">
        <f>+AS63+AU63</f>
        <v>8016</v>
      </c>
      <c r="AX63" s="6272">
        <f>+AT63+AV63</f>
        <v>8016</v>
      </c>
      <c r="AY63" s="6419">
        <f>+AY2*24</f>
        <v>744</v>
      </c>
      <c r="AZ63" s="6419">
        <f>+AZ2*24</f>
        <v>744</v>
      </c>
      <c r="BA63" s="3048">
        <f>+AQ63+AU63+AY63</f>
        <v>2160</v>
      </c>
      <c r="BB63" s="3048">
        <f>+AR63+AV63+AZ63</f>
        <v>2160</v>
      </c>
      <c r="BC63" s="3047">
        <f t="shared" ref="BC63" si="53">+AM63+BA63</f>
        <v>4368</v>
      </c>
      <c r="BD63" s="454">
        <f t="shared" ref="BD63" si="54">+AN63+BB63</f>
        <v>4368</v>
      </c>
      <c r="BE63" s="590">
        <f>+AW63+AY63</f>
        <v>8760</v>
      </c>
      <c r="BF63" s="590">
        <f>+AX63+AZ63</f>
        <v>8760</v>
      </c>
      <c r="BG63" s="26"/>
      <c r="BH63" s="26"/>
      <c r="BI63" s="26"/>
      <c r="BJ63" s="26"/>
      <c r="BK63" s="26"/>
      <c r="BL63" s="26"/>
      <c r="BM63" s="26"/>
      <c r="BN63" s="26"/>
    </row>
    <row r="64" spans="1:66" x14ac:dyDescent="0.25">
      <c r="B64" s="9" t="s">
        <v>303</v>
      </c>
      <c r="C64" s="777"/>
      <c r="D64" s="159" t="s">
        <v>49</v>
      </c>
      <c r="E64" s="102">
        <f t="shared" ref="E64:AD64" si="55">+E65/E63*100</f>
        <v>90</v>
      </c>
      <c r="F64" s="102">
        <f t="shared" si="55"/>
        <v>81.256944444444457</v>
      </c>
      <c r="G64" s="102">
        <f t="shared" ref="G64:H64" si="56">+G65/G63*100</f>
        <v>90.322580645161281</v>
      </c>
      <c r="H64" s="102">
        <f t="shared" si="56"/>
        <v>89.128584229390682</v>
      </c>
      <c r="I64" s="266">
        <f t="shared" si="55"/>
        <v>90.163934426229503</v>
      </c>
      <c r="J64" s="266">
        <f t="shared" si="55"/>
        <v>85.257285974499098</v>
      </c>
      <c r="K64" s="102">
        <f t="shared" si="55"/>
        <v>56.666666666666664</v>
      </c>
      <c r="L64" s="102">
        <f t="shared" si="55"/>
        <v>64.442129629629633</v>
      </c>
      <c r="M64" s="353">
        <f t="shared" si="55"/>
        <v>79.120879120879124</v>
      </c>
      <c r="N64" s="353">
        <f t="shared" si="55"/>
        <v>78.395146520146525</v>
      </c>
      <c r="O64" s="102">
        <f t="shared" ref="O64:P64" si="57">+O65/O63*100</f>
        <v>54.838709677419352</v>
      </c>
      <c r="P64" s="102">
        <f t="shared" si="57"/>
        <v>84.932795698924707</v>
      </c>
      <c r="Q64" s="266">
        <f t="shared" si="55"/>
        <v>72.950819672131146</v>
      </c>
      <c r="R64" s="266">
        <f t="shared" si="55"/>
        <v>80.056352459016395</v>
      </c>
      <c r="S64" s="102">
        <f t="shared" si="55"/>
        <v>93.548387096774192</v>
      </c>
      <c r="T64" s="102">
        <f t="shared" si="55"/>
        <v>84.397401433691769</v>
      </c>
      <c r="U64" s="266">
        <f t="shared" ref="U64:X64" si="58">+U65/U63*100</f>
        <v>77.124183006535958</v>
      </c>
      <c r="V64" s="266">
        <f t="shared" si="58"/>
        <v>80.935911401597693</v>
      </c>
      <c r="W64" s="102">
        <f t="shared" si="58"/>
        <v>93.333333333333329</v>
      </c>
      <c r="X64" s="102">
        <f t="shared" si="58"/>
        <v>87.381944444444443</v>
      </c>
      <c r="Y64" s="353">
        <f t="shared" si="55"/>
        <v>80.434782608695656</v>
      </c>
      <c r="Z64" s="353">
        <f t="shared" si="55"/>
        <v>85.551026570048307</v>
      </c>
      <c r="AA64" s="466">
        <f t="shared" si="55"/>
        <v>79.78142076502732</v>
      </c>
      <c r="AB64" s="474">
        <f t="shared" si="55"/>
        <v>81.992638129933212</v>
      </c>
      <c r="AC64" s="102">
        <f t="shared" si="55"/>
        <v>93.548387096774192</v>
      </c>
      <c r="AD64" s="102">
        <f t="shared" si="55"/>
        <v>89.021057347670236</v>
      </c>
      <c r="AE64" s="266">
        <f t="shared" ref="AE64:AH64" si="59">+AE65/AE63*100</f>
        <v>81.775700934579447</v>
      </c>
      <c r="AF64" s="266">
        <f t="shared" si="59"/>
        <v>83.010773624091385</v>
      </c>
      <c r="AG64" s="102">
        <f t="shared" si="59"/>
        <v>93.333333333333329</v>
      </c>
      <c r="AH64" s="102">
        <f t="shared" si="59"/>
        <v>5.7430555555555545</v>
      </c>
      <c r="AI64" s="266">
        <f t="shared" ref="AI64:AL64" si="60">+AI65/AI63*100</f>
        <v>83.196721311475414</v>
      </c>
      <c r="AJ64" s="266">
        <f t="shared" si="60"/>
        <v>73.51064435336977</v>
      </c>
      <c r="AK64" s="102">
        <f t="shared" si="60"/>
        <v>93.548387096774192</v>
      </c>
      <c r="AL64" s="102">
        <f t="shared" si="60"/>
        <v>88.333333333333343</v>
      </c>
      <c r="AM64" s="353">
        <f t="shared" ref="AM64:AT64" si="61">+AM65/AM63*100</f>
        <v>93.478260869565219</v>
      </c>
      <c r="AN64" s="353">
        <f t="shared" si="61"/>
        <v>61.633454106280197</v>
      </c>
      <c r="AO64" s="266">
        <f t="shared" si="61"/>
        <v>84.36363636363636</v>
      </c>
      <c r="AP64" s="266">
        <f t="shared" si="61"/>
        <v>75.181565656565667</v>
      </c>
      <c r="AQ64" s="102">
        <f t="shared" si="61"/>
        <v>93.548387096774192</v>
      </c>
      <c r="AR64" s="102">
        <f t="shared" si="61"/>
        <v>85.763888888888886</v>
      </c>
      <c r="AS64" s="266">
        <f t="shared" si="61"/>
        <v>85.294117647058826</v>
      </c>
      <c r="AT64" s="266">
        <f t="shared" si="61"/>
        <v>76.253631082062455</v>
      </c>
      <c r="AU64" s="102">
        <f t="shared" ref="AU64:AX64" si="62">+AU65/AU63*100</f>
        <v>92.857142857142861</v>
      </c>
      <c r="AV64" s="102">
        <f t="shared" si="62"/>
        <v>87.976190476190467</v>
      </c>
      <c r="AW64" s="266">
        <f t="shared" si="62"/>
        <v>85.928143712574851</v>
      </c>
      <c r="AX64" s="266">
        <f t="shared" si="62"/>
        <v>77.23636061210911</v>
      </c>
      <c r="AY64" s="102">
        <f t="shared" ref="AY64:AZ64" si="63">+AY65/AY63*100</f>
        <v>93.548387096774192</v>
      </c>
      <c r="AZ64" s="102">
        <f t="shared" si="63"/>
        <v>89.3010752688172</v>
      </c>
      <c r="BA64" s="353">
        <f t="shared" ref="BA64:BD64" si="64">+BA65/BA63*100</f>
        <v>93.333333333333329</v>
      </c>
      <c r="BB64" s="353">
        <f t="shared" si="64"/>
        <v>87.670524691358025</v>
      </c>
      <c r="BC64" s="466">
        <f t="shared" si="64"/>
        <v>93.406593406593402</v>
      </c>
      <c r="BD64" s="474">
        <f t="shared" si="64"/>
        <v>74.508928571428584</v>
      </c>
      <c r="BE64" s="266">
        <f t="shared" ref="BE64:BF64" si="65">+BE65/BE63*100</f>
        <v>86.575342465753423</v>
      </c>
      <c r="BF64" s="266">
        <f t="shared" si="65"/>
        <v>78.261035007610346</v>
      </c>
      <c r="BG64" s="26"/>
      <c r="BH64" s="26"/>
      <c r="BI64" s="26"/>
      <c r="BJ64" s="26"/>
      <c r="BK64" s="26"/>
      <c r="BL64" s="26"/>
      <c r="BM64" s="26"/>
      <c r="BN64" s="26"/>
    </row>
    <row r="65" spans="1:66" x14ac:dyDescent="0.25">
      <c r="B65" s="9" t="s">
        <v>302</v>
      </c>
      <c r="C65" s="777"/>
      <c r="D65" s="159" t="s">
        <v>221</v>
      </c>
      <c r="E65" s="205">
        <v>648</v>
      </c>
      <c r="F65" s="1137">
        <v>585.05000000000007</v>
      </c>
      <c r="G65" s="205">
        <v>672</v>
      </c>
      <c r="H65" s="7204">
        <v>663.11666666666667</v>
      </c>
      <c r="I65" s="590">
        <f>+E65+G65</f>
        <v>1320</v>
      </c>
      <c r="J65" s="2399">
        <f>+F65+H65</f>
        <v>1248.1666666666667</v>
      </c>
      <c r="K65" s="205">
        <v>408</v>
      </c>
      <c r="L65" s="4599">
        <v>463.98333333333335</v>
      </c>
      <c r="M65" s="948">
        <f>+E65+G65+K65</f>
        <v>1728</v>
      </c>
      <c r="N65" s="782">
        <f>+F65+H65+L65</f>
        <v>1712.15</v>
      </c>
      <c r="O65" s="205">
        <v>408</v>
      </c>
      <c r="P65" s="4778">
        <v>631.89999999999986</v>
      </c>
      <c r="Q65" s="590">
        <f>+M65+O65</f>
        <v>2136</v>
      </c>
      <c r="R65" s="783">
        <f>+N65+P65</f>
        <v>2344.0500000000002</v>
      </c>
      <c r="S65" s="205">
        <v>696</v>
      </c>
      <c r="T65" s="4942">
        <v>627.91666666666674</v>
      </c>
      <c r="U65" s="4940">
        <f>+Q65+S65</f>
        <v>2832</v>
      </c>
      <c r="V65" s="4938">
        <f>+R65+T65</f>
        <v>2971.9666666666672</v>
      </c>
      <c r="W65" s="205">
        <v>672</v>
      </c>
      <c r="X65" s="5074">
        <v>629.15</v>
      </c>
      <c r="Y65" s="2374">
        <f>+O65+S65+W65</f>
        <v>1776</v>
      </c>
      <c r="Z65" s="2374">
        <f>+P65+T65+X65</f>
        <v>1888.9666666666667</v>
      </c>
      <c r="AA65" s="465">
        <f>+M65+Y65</f>
        <v>3504</v>
      </c>
      <c r="AB65" s="454">
        <f>+N65+Z65</f>
        <v>3601.1166666666668</v>
      </c>
      <c r="AC65" s="205">
        <v>696</v>
      </c>
      <c r="AD65" s="5358">
        <v>662.31666666666661</v>
      </c>
      <c r="AE65" s="590">
        <f>+AA65+AC65</f>
        <v>4200</v>
      </c>
      <c r="AF65" s="2399">
        <f>+AB65+AD65</f>
        <v>4263.4333333333334</v>
      </c>
      <c r="AG65" s="205">
        <v>672</v>
      </c>
      <c r="AH65" s="5543">
        <v>41.349999999999994</v>
      </c>
      <c r="AI65" s="5539">
        <f>+AE65+AG65</f>
        <v>4872</v>
      </c>
      <c r="AJ65" s="5535">
        <f>+AF65+AH65</f>
        <v>4304.7833333333338</v>
      </c>
      <c r="AK65" s="205">
        <v>696</v>
      </c>
      <c r="AL65" s="5959">
        <v>657.2</v>
      </c>
      <c r="AM65" s="2736">
        <f>+AC65+AG65+AK65</f>
        <v>2064</v>
      </c>
      <c r="AN65" s="2736">
        <f>+AD65+AH65+AL65</f>
        <v>1360.8666666666668</v>
      </c>
      <c r="AO65" s="2399">
        <f t="shared" ref="AO65" si="66">AI65+AK65</f>
        <v>5568</v>
      </c>
      <c r="AP65" s="2399">
        <f t="shared" ref="AP65" si="67">AJ65+AL65</f>
        <v>4961.9833333333336</v>
      </c>
      <c r="AQ65" s="205">
        <v>696</v>
      </c>
      <c r="AR65" s="6112">
        <v>638.08333333333326</v>
      </c>
      <c r="AS65" s="590">
        <f>+AO65+AQ65</f>
        <v>6264</v>
      </c>
      <c r="AT65" s="2399">
        <f>+AP65+AR65</f>
        <v>5600.0666666666666</v>
      </c>
      <c r="AU65" s="205">
        <v>624</v>
      </c>
      <c r="AV65" s="6270">
        <v>591.19999999999993</v>
      </c>
      <c r="AW65" s="6272">
        <f>+AS65+AU65</f>
        <v>6888</v>
      </c>
      <c r="AX65" s="6273">
        <f>+AT65+AV65</f>
        <v>6191.2666666666664</v>
      </c>
      <c r="AY65" s="205">
        <v>696</v>
      </c>
      <c r="AZ65" s="6423">
        <v>664.4</v>
      </c>
      <c r="BA65" s="3048">
        <f>+AQ65+AU65+AY65</f>
        <v>2016</v>
      </c>
      <c r="BB65" s="3048">
        <f>+AR65+AV65+AZ65</f>
        <v>1893.6833333333334</v>
      </c>
      <c r="BC65" s="3047">
        <f t="shared" ref="BC65" si="68">+AM65+BA65</f>
        <v>4080</v>
      </c>
      <c r="BD65" s="454">
        <f t="shared" ref="BD65" si="69">+AN65+BB65</f>
        <v>3254.55</v>
      </c>
      <c r="BE65" s="590">
        <f>+AW65+AY65</f>
        <v>7584</v>
      </c>
      <c r="BF65" s="2399">
        <f>+AX65+AZ65</f>
        <v>6855.6666666666661</v>
      </c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304</v>
      </c>
      <c r="C66" s="777"/>
      <c r="D66" s="159" t="s">
        <v>49</v>
      </c>
      <c r="E66" s="191">
        <f t="shared" ref="E66:AD66" si="70">+E67/E65*100</f>
        <v>85.416666666666657</v>
      </c>
      <c r="F66" s="191">
        <f t="shared" si="70"/>
        <v>89.026578924878208</v>
      </c>
      <c r="G66" s="191">
        <f t="shared" ref="G66:H66" si="71">+G67/G65*100</f>
        <v>85.416666666666657</v>
      </c>
      <c r="H66" s="191">
        <f t="shared" si="71"/>
        <v>89.292985145901909</v>
      </c>
      <c r="I66" s="266">
        <f t="shared" si="70"/>
        <v>85.416666666666657</v>
      </c>
      <c r="J66" s="266">
        <f t="shared" si="70"/>
        <v>89.168113232741348</v>
      </c>
      <c r="K66" s="191">
        <f t="shared" si="70"/>
        <v>83.333333333333343</v>
      </c>
      <c r="L66" s="191">
        <f t="shared" si="70"/>
        <v>83.857178777973346</v>
      </c>
      <c r="M66" s="353">
        <f t="shared" si="70"/>
        <v>84.924768518518519</v>
      </c>
      <c r="N66" s="353">
        <f t="shared" si="70"/>
        <v>87.728878894956637</v>
      </c>
      <c r="O66" s="191">
        <f t="shared" ref="O66:P66" si="72">+O67/O65*100</f>
        <v>83.333333333333343</v>
      </c>
      <c r="P66" s="191">
        <f t="shared" si="72"/>
        <v>87.487471646357548</v>
      </c>
      <c r="Q66" s="266">
        <f t="shared" si="70"/>
        <v>84.620786516853926</v>
      </c>
      <c r="R66" s="266">
        <f t="shared" si="70"/>
        <v>87.663801255661483</v>
      </c>
      <c r="S66" s="191">
        <f t="shared" si="70"/>
        <v>83.333333333333343</v>
      </c>
      <c r="T66" s="191">
        <f t="shared" si="70"/>
        <v>89.146648971466476</v>
      </c>
      <c r="U66" s="266">
        <f t="shared" ref="U66:X66" si="73">+U67/U65*100</f>
        <v>84.304378531073439</v>
      </c>
      <c r="V66" s="266">
        <f t="shared" si="73"/>
        <v>87.977097096198904</v>
      </c>
      <c r="W66" s="191">
        <f t="shared" si="73"/>
        <v>83.333333333333343</v>
      </c>
      <c r="X66" s="191">
        <f t="shared" si="73"/>
        <v>88.383798246311173</v>
      </c>
      <c r="Y66" s="353">
        <f t="shared" si="70"/>
        <v>83.333333333333343</v>
      </c>
      <c r="Z66" s="353">
        <f t="shared" si="70"/>
        <v>88.337539042510002</v>
      </c>
      <c r="AA66" s="466">
        <f t="shared" si="70"/>
        <v>84.118150684931507</v>
      </c>
      <c r="AB66" s="474">
        <f t="shared" si="70"/>
        <v>88.048151730713144</v>
      </c>
      <c r="AC66" s="191">
        <f t="shared" si="70"/>
        <v>83.333333333333343</v>
      </c>
      <c r="AD66" s="191">
        <f t="shared" si="70"/>
        <v>79.715141296962656</v>
      </c>
      <c r="AE66" s="266">
        <f>+AE67/AE65*100</f>
        <v>83.988095238095241</v>
      </c>
      <c r="AF66" s="266">
        <f t="shared" ref="AF66:AH66" si="74">+AF67/AF65*100</f>
        <v>86.753633612972308</v>
      </c>
      <c r="AG66" s="191">
        <f t="shared" si="74"/>
        <v>83.333333333333343</v>
      </c>
      <c r="AH66" s="191">
        <f t="shared" si="74"/>
        <v>72.067714631197106</v>
      </c>
      <c r="AI66" s="266">
        <f t="shared" ref="AI66:AL66" si="75">+AI67/AI65*100</f>
        <v>83.89778325123153</v>
      </c>
      <c r="AJ66" s="266">
        <f t="shared" si="75"/>
        <v>86.61256664098461</v>
      </c>
      <c r="AK66" s="191">
        <f t="shared" si="75"/>
        <v>83.333333333333343</v>
      </c>
      <c r="AL66" s="191">
        <f t="shared" si="75"/>
        <v>87.548184215865277</v>
      </c>
      <c r="AM66" s="353">
        <f t="shared" ref="AM66:AT66" si="76">+AM67/AM65*100</f>
        <v>83.333333333333343</v>
      </c>
      <c r="AN66" s="353">
        <f t="shared" si="76"/>
        <v>83.265566060843568</v>
      </c>
      <c r="AO66" s="266">
        <f t="shared" si="76"/>
        <v>83.827227011494259</v>
      </c>
      <c r="AP66" s="266">
        <f t="shared" si="76"/>
        <v>86.736486418401228</v>
      </c>
      <c r="AQ66" s="191">
        <f t="shared" si="76"/>
        <v>83.333333333333343</v>
      </c>
      <c r="AR66" s="191">
        <f t="shared" si="76"/>
        <v>87.271777458534686</v>
      </c>
      <c r="AS66" s="266">
        <f t="shared" si="76"/>
        <v>83.772349936143044</v>
      </c>
      <c r="AT66" s="266">
        <f t="shared" si="76"/>
        <v>86.797478601445206</v>
      </c>
      <c r="AU66" s="191">
        <f t="shared" ref="AU66:AX66" si="77">+AU67/AU65*100</f>
        <v>83.333333333333343</v>
      </c>
      <c r="AV66" s="191">
        <f t="shared" si="77"/>
        <v>84.796459179070823</v>
      </c>
      <c r="AW66" s="266">
        <f t="shared" si="77"/>
        <v>83.732578397212549</v>
      </c>
      <c r="AX66" s="266">
        <f t="shared" si="77"/>
        <v>86.606402567056818</v>
      </c>
      <c r="AY66" s="191">
        <f t="shared" ref="AY66:AZ66" si="78">+AY67/AY65*100</f>
        <v>83.333333333333343</v>
      </c>
      <c r="AZ66" s="191">
        <f t="shared" si="78"/>
        <v>87.801023479831429</v>
      </c>
      <c r="BA66" s="353">
        <f t="shared" ref="BA66:BD66" si="79">+BA67/BA65*100</f>
        <v>83.333333333333343</v>
      </c>
      <c r="BB66" s="353">
        <f t="shared" si="79"/>
        <v>86.684679768704726</v>
      </c>
      <c r="BC66" s="466">
        <f t="shared" si="79"/>
        <v>83.333333333333343</v>
      </c>
      <c r="BD66" s="474">
        <f t="shared" si="79"/>
        <v>85.25500197159873</v>
      </c>
      <c r="BE66" s="266">
        <f t="shared" ref="BE66:BF66" si="80">+BE67/BE65*100</f>
        <v>83.695938818565395</v>
      </c>
      <c r="BF66" s="266">
        <f t="shared" si="80"/>
        <v>86.722176301842765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305</v>
      </c>
      <c r="C67" s="777"/>
      <c r="D67" s="159" t="s">
        <v>221</v>
      </c>
      <c r="E67" s="1137">
        <v>553.5</v>
      </c>
      <c r="F67" s="1137">
        <v>520.85</v>
      </c>
      <c r="G67" s="7204">
        <v>574</v>
      </c>
      <c r="H67" s="7204">
        <v>592.11666666666656</v>
      </c>
      <c r="I67" s="783">
        <f>+E67+G67</f>
        <v>1127.5</v>
      </c>
      <c r="J67" s="2399">
        <f>+F67+H67</f>
        <v>1112.9666666666667</v>
      </c>
      <c r="K67" s="4599">
        <v>340</v>
      </c>
      <c r="L67" s="4599">
        <v>389.08333333333331</v>
      </c>
      <c r="M67" s="948">
        <f>+E67+G67+K67</f>
        <v>1467.5</v>
      </c>
      <c r="N67" s="2374">
        <f>+F67+H67+L67</f>
        <v>1502.05</v>
      </c>
      <c r="O67" s="4778">
        <v>340</v>
      </c>
      <c r="P67" s="4778">
        <v>552.83333333333326</v>
      </c>
      <c r="Q67" s="590">
        <f>+M67+O67</f>
        <v>1807.5</v>
      </c>
      <c r="R67" s="783">
        <f>+N67+P67</f>
        <v>2054.8833333333332</v>
      </c>
      <c r="S67" s="4942">
        <v>580</v>
      </c>
      <c r="T67" s="4942">
        <v>559.76666666666665</v>
      </c>
      <c r="U67" s="4940">
        <f>+Q67+S67</f>
        <v>2387.5</v>
      </c>
      <c r="V67" s="4938">
        <f>+R67+T67</f>
        <v>2614.6499999999996</v>
      </c>
      <c r="W67" s="5074">
        <v>560</v>
      </c>
      <c r="X67" s="5074">
        <v>556.06666666666672</v>
      </c>
      <c r="Y67" s="2374">
        <f>+O67+S67+W67</f>
        <v>1480</v>
      </c>
      <c r="Z67" s="2374">
        <f>+P67+T67+X67</f>
        <v>1668.6666666666665</v>
      </c>
      <c r="AA67" s="465">
        <f>+M67+Y67</f>
        <v>2947.5</v>
      </c>
      <c r="AB67" s="454">
        <f>+N67+Z67</f>
        <v>3170.7166666666662</v>
      </c>
      <c r="AC67" s="5358">
        <v>580</v>
      </c>
      <c r="AD67" s="5358">
        <v>527.96666666666647</v>
      </c>
      <c r="AE67" s="590">
        <f>+AA67+AC67</f>
        <v>3527.5</v>
      </c>
      <c r="AF67" s="2399">
        <f>+AB67+AD67</f>
        <v>3698.6833333333325</v>
      </c>
      <c r="AG67" s="5543">
        <v>560</v>
      </c>
      <c r="AH67" s="5543">
        <v>29.8</v>
      </c>
      <c r="AI67" s="5539">
        <f>+AE67+AG67</f>
        <v>4087.5</v>
      </c>
      <c r="AJ67" s="5535">
        <f>+AF67+AH67</f>
        <v>3728.4833333333327</v>
      </c>
      <c r="AK67" s="5959">
        <v>580</v>
      </c>
      <c r="AL67" s="5959">
        <v>575.36666666666667</v>
      </c>
      <c r="AM67" s="2736">
        <f>+AC67+AG67+AK67</f>
        <v>1720</v>
      </c>
      <c r="AN67" s="2736">
        <f>+AD67+AH67+AL67</f>
        <v>1133.1333333333332</v>
      </c>
      <c r="AO67" s="2399">
        <f t="shared" ref="AO67:AP67" si="81">AI67+AK67</f>
        <v>4667.5</v>
      </c>
      <c r="AP67" s="2399">
        <f t="shared" si="81"/>
        <v>4303.8499999999995</v>
      </c>
      <c r="AQ67" s="6112">
        <v>580</v>
      </c>
      <c r="AR67" s="6112">
        <v>556.86666666666667</v>
      </c>
      <c r="AS67" s="590">
        <f>+AO67+AQ67</f>
        <v>5247.5</v>
      </c>
      <c r="AT67" s="2399">
        <f>+AP67+AR67</f>
        <v>4860.7166666666662</v>
      </c>
      <c r="AU67" s="6270">
        <v>520</v>
      </c>
      <c r="AV67" s="6270">
        <v>501.31666666666666</v>
      </c>
      <c r="AW67" s="6272">
        <f>+AS67+AU67</f>
        <v>5767.5</v>
      </c>
      <c r="AX67" s="6273">
        <f>+AT67+AV67</f>
        <v>5362.0333333333328</v>
      </c>
      <c r="AY67" s="6423">
        <v>580</v>
      </c>
      <c r="AZ67" s="6423">
        <v>583.35</v>
      </c>
      <c r="BA67" s="3048">
        <f>+AQ67+AU67+AY67</f>
        <v>1680</v>
      </c>
      <c r="BB67" s="3048">
        <f>+AR67+AV67+AZ67</f>
        <v>1641.5333333333333</v>
      </c>
      <c r="BC67" s="3047">
        <f t="shared" ref="BC67" si="82">+AM67+BA67</f>
        <v>3400</v>
      </c>
      <c r="BD67" s="454">
        <f t="shared" ref="BD67" si="83">+AN67+BB67</f>
        <v>2774.6666666666665</v>
      </c>
      <c r="BE67" s="590">
        <f>+AW67+AY67</f>
        <v>6347.5</v>
      </c>
      <c r="BF67" s="2399">
        <f>+AX67+AZ67</f>
        <v>5945.3833333333332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511</v>
      </c>
      <c r="C68" s="777"/>
      <c r="D68" s="159" t="s">
        <v>510</v>
      </c>
      <c r="E68" s="191">
        <f t="shared" ref="E68:AD68" si="84">+E67/(E65/24)</f>
        <v>20.5</v>
      </c>
      <c r="F68" s="191">
        <f t="shared" si="84"/>
        <v>21.366378941970773</v>
      </c>
      <c r="G68" s="191">
        <f t="shared" ref="G68:H68" si="85">+G67/(G65/24)</f>
        <v>20.5</v>
      </c>
      <c r="H68" s="191">
        <f t="shared" si="85"/>
        <v>21.430316435016458</v>
      </c>
      <c r="I68" s="266">
        <f t="shared" si="84"/>
        <v>20.5</v>
      </c>
      <c r="J68" s="266">
        <f t="shared" si="84"/>
        <v>21.400347175857924</v>
      </c>
      <c r="K68" s="191">
        <f t="shared" si="84"/>
        <v>20</v>
      </c>
      <c r="L68" s="191">
        <f t="shared" si="84"/>
        <v>20.125722906713602</v>
      </c>
      <c r="M68" s="353">
        <f t="shared" si="84"/>
        <v>20.381944444444443</v>
      </c>
      <c r="N68" s="353">
        <f t="shared" si="84"/>
        <v>21.054930934789589</v>
      </c>
      <c r="O68" s="191">
        <f t="shared" ref="O68:P68" si="86">+O67/(O65/24)</f>
        <v>20</v>
      </c>
      <c r="P68" s="191">
        <f t="shared" si="86"/>
        <v>20.99699319512581</v>
      </c>
      <c r="Q68" s="266">
        <f t="shared" si="84"/>
        <v>20.308988764044944</v>
      </c>
      <c r="R68" s="266">
        <f t="shared" si="84"/>
        <v>21.039312301358759</v>
      </c>
      <c r="S68" s="191">
        <f t="shared" si="84"/>
        <v>20</v>
      </c>
      <c r="T68" s="191">
        <f t="shared" si="84"/>
        <v>21.395195753151956</v>
      </c>
      <c r="U68" s="266">
        <f t="shared" ref="U68:X68" si="87">+U67/(U65/24)</f>
        <v>20.233050847457626</v>
      </c>
      <c r="V68" s="266">
        <f t="shared" si="87"/>
        <v>21.114503303087737</v>
      </c>
      <c r="W68" s="191">
        <f t="shared" si="87"/>
        <v>20</v>
      </c>
      <c r="X68" s="191">
        <f t="shared" si="87"/>
        <v>21.21211157911468</v>
      </c>
      <c r="Y68" s="353">
        <f t="shared" si="84"/>
        <v>20</v>
      </c>
      <c r="Z68" s="353">
        <f t="shared" si="84"/>
        <v>21.201009370202399</v>
      </c>
      <c r="AA68" s="466">
        <f t="shared" si="84"/>
        <v>20.188356164383563</v>
      </c>
      <c r="AB68" s="474">
        <f t="shared" si="84"/>
        <v>21.131556415371154</v>
      </c>
      <c r="AC68" s="191">
        <f t="shared" si="84"/>
        <v>20</v>
      </c>
      <c r="AD68" s="191">
        <f t="shared" si="84"/>
        <v>19.131633911271038</v>
      </c>
      <c r="AE68" s="266">
        <f t="shared" ref="AE68:AH68" si="88">+AE67/(AE65/24)</f>
        <v>20.157142857142858</v>
      </c>
      <c r="AF68" s="266">
        <f t="shared" si="88"/>
        <v>20.820872067113356</v>
      </c>
      <c r="AG68" s="191">
        <f t="shared" si="88"/>
        <v>20</v>
      </c>
      <c r="AH68" s="191">
        <f t="shared" si="88"/>
        <v>17.296251511487306</v>
      </c>
      <c r="AI68" s="266">
        <f t="shared" ref="AI68:AL68" si="89">+AI67/(AI65/24)</f>
        <v>20.135467980295566</v>
      </c>
      <c r="AJ68" s="266">
        <f t="shared" si="89"/>
        <v>20.787015993836309</v>
      </c>
      <c r="AK68" s="191">
        <f t="shared" si="89"/>
        <v>20</v>
      </c>
      <c r="AL68" s="191">
        <f t="shared" si="89"/>
        <v>21.011564211807666</v>
      </c>
      <c r="AM68" s="353">
        <f t="shared" ref="AM68:AT68" si="90">+AM67/(AM65/24)</f>
        <v>20</v>
      </c>
      <c r="AN68" s="353">
        <f t="shared" si="90"/>
        <v>19.983735854602454</v>
      </c>
      <c r="AO68" s="266">
        <f t="shared" si="90"/>
        <v>20.118534482758619</v>
      </c>
      <c r="AP68" s="266">
        <f t="shared" si="90"/>
        <v>20.816756740416295</v>
      </c>
      <c r="AQ68" s="191">
        <f t="shared" si="90"/>
        <v>20</v>
      </c>
      <c r="AR68" s="191">
        <f t="shared" si="90"/>
        <v>20.945226590048325</v>
      </c>
      <c r="AS68" s="266">
        <f t="shared" si="90"/>
        <v>20.10536398467433</v>
      </c>
      <c r="AT68" s="266">
        <f t="shared" si="90"/>
        <v>20.831394864346851</v>
      </c>
      <c r="AU68" s="191">
        <f t="shared" ref="AU68:AX68" si="91">+AU67/(AU65/24)</f>
        <v>20</v>
      </c>
      <c r="AV68" s="191">
        <f t="shared" si="91"/>
        <v>20.351150202976999</v>
      </c>
      <c r="AW68" s="266">
        <f t="shared" si="91"/>
        <v>20.095818815331011</v>
      </c>
      <c r="AX68" s="266">
        <f t="shared" si="91"/>
        <v>20.785536616093637</v>
      </c>
      <c r="AY68" s="191">
        <f t="shared" ref="AY68:AZ68" si="92">+AY67/(AY65/24)</f>
        <v>20</v>
      </c>
      <c r="AZ68" s="191">
        <f t="shared" si="92"/>
        <v>21.072245635159543</v>
      </c>
      <c r="BA68" s="353">
        <f t="shared" ref="BA68:BD68" si="93">+BA67/(BA65/24)</f>
        <v>20</v>
      </c>
      <c r="BB68" s="353">
        <f t="shared" si="93"/>
        <v>20.804323144489135</v>
      </c>
      <c r="BC68" s="466">
        <f t="shared" si="93"/>
        <v>20</v>
      </c>
      <c r="BD68" s="474">
        <f t="shared" si="93"/>
        <v>20.461200473183695</v>
      </c>
      <c r="BE68" s="266">
        <f t="shared" ref="BE68:BF68" si="94">+BE67/(BE65/24)</f>
        <v>20.087025316455698</v>
      </c>
      <c r="BF68" s="266">
        <f t="shared" si="94"/>
        <v>20.813322312442263</v>
      </c>
      <c r="BG68" s="26"/>
      <c r="BH68" s="26"/>
      <c r="BI68" s="26"/>
      <c r="BJ68" s="26"/>
      <c r="BK68" s="26"/>
      <c r="BL68" s="26"/>
      <c r="BM68" s="26"/>
      <c r="BN68" s="26"/>
    </row>
    <row r="69" spans="1:66" ht="14.25" customHeight="1" x14ac:dyDescent="0.25">
      <c r="A69">
        <v>0.28799999999999998</v>
      </c>
      <c r="B69" s="9" t="s">
        <v>306</v>
      </c>
      <c r="C69" s="777"/>
      <c r="D69" s="159" t="s">
        <v>1097</v>
      </c>
      <c r="E69" s="264">
        <v>0.24600000000000005</v>
      </c>
      <c r="F69" s="264">
        <v>0.26800000000000002</v>
      </c>
      <c r="G69" s="264">
        <v>0.24600000000000002</v>
      </c>
      <c r="H69" s="264">
        <v>0.26600000000000001</v>
      </c>
      <c r="I69" s="381">
        <f>+((E69*E5)+(G69*G5))/I5</f>
        <v>0.24600000000000005</v>
      </c>
      <c r="J69" s="381">
        <f>+((F69*F5)+(H69*H5))/J5</f>
        <v>0.26693604958890371</v>
      </c>
      <c r="K69" s="264">
        <v>0.24600000000000011</v>
      </c>
      <c r="L69" s="264">
        <v>0.32300000000000001</v>
      </c>
      <c r="M69" s="382">
        <f>+((E69*E5)+(G69*G5)+(K69*K5))/M5</f>
        <v>0.24600000000000005</v>
      </c>
      <c r="N69" s="382">
        <f>+((F69*F5)+(H69*H5)+(L69*L5))/N5</f>
        <v>0.28139253145688448</v>
      </c>
      <c r="O69" s="264">
        <v>0.24600000000000005</v>
      </c>
      <c r="P69" s="264">
        <v>0.28199999999999997</v>
      </c>
      <c r="Q69" s="381">
        <f>+((M69*M5)+(O69*O5))/Q5</f>
        <v>0.24600000000000005</v>
      </c>
      <c r="R69" s="381">
        <f>+((N69*N5)+(P69*P5))/R5</f>
        <v>0.28155470662773213</v>
      </c>
      <c r="S69" s="264">
        <v>0.24600000000000005</v>
      </c>
      <c r="T69" s="264">
        <v>0.31</v>
      </c>
      <c r="U69" s="381">
        <f>+((Q69*Q5)+(S69*S5))/U5</f>
        <v>0.24600000000000008</v>
      </c>
      <c r="V69" s="381">
        <f>+((R69*R5)+(T69*T5))/V5</f>
        <v>0.28761659758929708</v>
      </c>
      <c r="W69" s="264">
        <v>0.24599999999999997</v>
      </c>
      <c r="X69" s="264">
        <v>0.314</v>
      </c>
      <c r="Y69" s="382">
        <f>+((O69*O5)+(S69*S5)+(W69*W5))/Y5</f>
        <v>0.246</v>
      </c>
      <c r="Z69" s="382">
        <f>+((P69*P5)+(T69*T5)+(X69*X5))/Z5</f>
        <v>0.30206139684715594</v>
      </c>
      <c r="AA69" s="663">
        <f>+((M69*M5)+(Y69*Y5))/AA5</f>
        <v>0.24600000000000005</v>
      </c>
      <c r="AB69" s="663">
        <f>+((N69*N5)+(Z69*Z5))/AB5</f>
        <v>0.29221896273160136</v>
      </c>
      <c r="AC69" s="264">
        <v>0.24600000000000005</v>
      </c>
      <c r="AD69" s="264">
        <v>0.317</v>
      </c>
      <c r="AE69" s="381">
        <f>+((AA69*AA5)+(AC69*AC5))/AE5</f>
        <v>0.24600000000000005</v>
      </c>
      <c r="AF69" s="381">
        <f>+((AB69*AB5)+(AD69*AD5))/AF5</f>
        <v>0.29573368260961574</v>
      </c>
      <c r="AG69" s="264">
        <v>0.24600000000000002</v>
      </c>
      <c r="AH69" s="264">
        <v>0.57799999999999996</v>
      </c>
      <c r="AI69" s="381">
        <f>+((AE69*AE5)+(AG69*AG5))/AI5</f>
        <v>0.24600000000000008</v>
      </c>
      <c r="AJ69" s="381">
        <f>+((AF69*AF5)+(AH69*AH5))/AJ5</f>
        <v>0.2976467067573893</v>
      </c>
      <c r="AK69" s="264">
        <v>0.24600000000000005</v>
      </c>
      <c r="AL69" s="264">
        <v>0.27400000000000002</v>
      </c>
      <c r="AM69" s="382">
        <f>+((AC69*AC5)+(AG69*AG5)+(AK69*AK5))/AM5</f>
        <v>0.24600000000000002</v>
      </c>
      <c r="AN69" s="382">
        <f>+((AD69*AD5)+(AH69*AH5)+(AL69*AL5))/AN5</f>
        <v>0.30137211086185695</v>
      </c>
      <c r="AO69" s="381">
        <f>+((AK69*AK5)+(AI69*AI5))/AO5</f>
        <v>0.24600000000000005</v>
      </c>
      <c r="AP69" s="381">
        <f>+((AL69*AL5)+(AJ69*AJ5))/AP5</f>
        <v>0.29458164790199959</v>
      </c>
      <c r="AQ69" s="264">
        <v>0.24600000000000005</v>
      </c>
      <c r="AR69" s="264">
        <v>0.254</v>
      </c>
      <c r="AS69" s="381">
        <f>+((AO69*AO5)+(AQ69*AQ5))/AS5</f>
        <v>0.24600000000000002</v>
      </c>
      <c r="AT69" s="381">
        <f>+((AP69*AP5)+(AR69*AR5))/AT5</f>
        <v>0.28995064283328459</v>
      </c>
      <c r="AU69" s="264">
        <v>0.24600000000000002</v>
      </c>
      <c r="AV69" s="264">
        <v>0.28799999999999998</v>
      </c>
      <c r="AW69" s="381">
        <f>+((AS69*AS5)+(AU69*AU5))/AW5</f>
        <v>0.24600000000000005</v>
      </c>
      <c r="AX69" s="381">
        <f>+((AT69*AT5)+(AV69*AV5))/AX5</f>
        <v>0.28976145015892385</v>
      </c>
      <c r="AY69" s="264">
        <v>0.246</v>
      </c>
      <c r="AZ69" s="264">
        <v>0.254</v>
      </c>
      <c r="BA69" s="382">
        <f>+((AQ69*AQ5)+(AU69*AU5)+(AY69*AY5))/BA5</f>
        <v>0.24600000000000002</v>
      </c>
      <c r="BB69" s="382">
        <f>+((AR69*AR5)+(AV69*AV5)+(AZ69*AZ5))/BB5</f>
        <v>0.26448664265417254</v>
      </c>
      <c r="BC69" s="663">
        <f>+((AM69*AM5)+(BA69*BA5))/BC5</f>
        <v>0.24600000000000005</v>
      </c>
      <c r="BD69" s="663">
        <f>+((AN69*AN5)+(BB69*BB5))/BD5</f>
        <v>0.27910705721726964</v>
      </c>
      <c r="BE69" s="381">
        <f>+((AW69*AW5)+(AY69*AY5))/BE5</f>
        <v>0.24600000000000005</v>
      </c>
      <c r="BF69" s="381">
        <f>+((AX69*AX5)+(AZ69*AZ5))/BF5</f>
        <v>0.28608959724836269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307</v>
      </c>
      <c r="C70" s="777"/>
      <c r="D70" s="159" t="s">
        <v>213</v>
      </c>
      <c r="E70" s="1137">
        <f>+'POWER DISTRIBUTION'!I27</f>
        <v>6233283.9851005385</v>
      </c>
      <c r="F70" s="1137">
        <f>+'POWER DISTRIBUTION'!J27</f>
        <v>5507826.6666666735</v>
      </c>
      <c r="G70" s="7204">
        <f>+'POWER DISTRIBUTION'!K27</f>
        <v>6479334.6687229276</v>
      </c>
      <c r="H70" s="7204">
        <f>+'POWER DISTRIBUTION'!L27</f>
        <v>6109584.9999999991</v>
      </c>
      <c r="I70" s="7278">
        <f>+E70+G70</f>
        <v>12712618.653823465</v>
      </c>
      <c r="J70" s="7278">
        <f>+F70+H70</f>
        <v>11617411.666666672</v>
      </c>
      <c r="K70" s="4599">
        <f>+'POWER DISTRIBUTION'!O27</f>
        <v>4011233.1606217609</v>
      </c>
      <c r="L70" s="4599">
        <f>+'POWER DISTRIBUTION'!P27</f>
        <v>4746618.3333333274</v>
      </c>
      <c r="M70" s="948">
        <f>+E70+G70+K70</f>
        <v>16723851.814445226</v>
      </c>
      <c r="N70" s="2374">
        <f>+F70+H70+L70</f>
        <v>16364030</v>
      </c>
      <c r="O70" s="4778">
        <f>+'POWER DISTRIBUTION'!S27</f>
        <v>3188225.9067357518</v>
      </c>
      <c r="P70" s="4778">
        <f>+'POWER DISTRIBUTION'!T27</f>
        <v>6111471.6666666679</v>
      </c>
      <c r="Q70" s="783">
        <f>+M70+O70</f>
        <v>19912077.721180975</v>
      </c>
      <c r="R70" s="783">
        <f>+N70+P70</f>
        <v>22475501.666666668</v>
      </c>
      <c r="S70" s="4942">
        <f>+'POWER DISTRIBUTION'!W27</f>
        <v>6325388.6010362692</v>
      </c>
      <c r="T70" s="4942">
        <f>+'POWER DISTRIBUTION'!X27</f>
        <v>6034416.6666666726</v>
      </c>
      <c r="U70" s="4938">
        <f>+Q70+S70</f>
        <v>26237466.322217245</v>
      </c>
      <c r="V70" s="4938">
        <f>+R70+T70</f>
        <v>28509918.33333334</v>
      </c>
      <c r="W70" s="5074">
        <f>+'POWER DISTRIBUTION'!AA27</f>
        <v>6127720.2072538845</v>
      </c>
      <c r="X70" s="5074">
        <f>+'POWER DISTRIBUTION'!AB27</f>
        <v>5988282</v>
      </c>
      <c r="Y70" s="2374">
        <f>+O70+S70+W70</f>
        <v>15641334.715025906</v>
      </c>
      <c r="Z70" s="2374">
        <f>+P70+T70+X70</f>
        <v>18134170.33333334</v>
      </c>
      <c r="AA70" s="465">
        <f>+M70+Y70</f>
        <v>32365186.529471129</v>
      </c>
      <c r="AB70" s="454">
        <f>+N70+Z70</f>
        <v>34498200.333333343</v>
      </c>
      <c r="AC70" s="5358">
        <f>+'POWER DISTRIBUTION'!AG27</f>
        <v>6325388.6010362692</v>
      </c>
      <c r="AD70" s="5358">
        <f>+'POWER DISTRIBUTION'!AH27</f>
        <v>5771476.6666666688</v>
      </c>
      <c r="AE70" s="2399">
        <f>+AA70+AC70</f>
        <v>38690575.130507395</v>
      </c>
      <c r="AF70" s="2399">
        <f>+AB70+AD70</f>
        <v>40269677.000000015</v>
      </c>
      <c r="AG70" s="5543">
        <f>+'POWER DISTRIBUTION'!AK27</f>
        <v>6127720.2072538845</v>
      </c>
      <c r="AH70" s="5543">
        <f>+'POWER DISTRIBUTION'!AL27</f>
        <v>1297988.3333333321</v>
      </c>
      <c r="AI70" s="5535">
        <f>+AE70+AG70</f>
        <v>44818295.337761283</v>
      </c>
      <c r="AJ70" s="5535">
        <f>+AF70+AH70</f>
        <v>41567665.333333343</v>
      </c>
      <c r="AK70" s="5959">
        <f>+'POWER DISTRIBUTION'!AO27</f>
        <v>6325388.6010362692</v>
      </c>
      <c r="AL70" s="5959">
        <f>+'POWER DISTRIBUTION'!AP27</f>
        <v>5964551.6666666651</v>
      </c>
      <c r="AM70" s="2736">
        <f>+AC70+AG70+AK70</f>
        <v>18778497.409326423</v>
      </c>
      <c r="AN70" s="2736">
        <f>+AD70+AH70+AL70</f>
        <v>13034016.666666666</v>
      </c>
      <c r="AO70" s="2399">
        <f t="shared" ref="AO70:AP70" si="95">AI70+AK70</f>
        <v>51143683.938797548</v>
      </c>
      <c r="AP70" s="2399">
        <f t="shared" si="95"/>
        <v>47532217.000000007</v>
      </c>
      <c r="AQ70" s="6112">
        <f>+'POWER DISTRIBUTION'!AU27</f>
        <v>6325388.6010362692</v>
      </c>
      <c r="AR70" s="6112">
        <f>+'POWER DISTRIBUTION'!AV27</f>
        <v>5982429.999999987</v>
      </c>
      <c r="AS70" s="2399">
        <f>+AO70+AQ70</f>
        <v>57469072.539833814</v>
      </c>
      <c r="AT70" s="2399">
        <f>+AP70+AR70</f>
        <v>53514646.999999993</v>
      </c>
      <c r="AU70" s="6270">
        <f>+'POWER DISTRIBUTION'!AY27</f>
        <v>5732383.4196891198</v>
      </c>
      <c r="AV70" s="6270">
        <f>+'POWER DISTRIBUTION'!AZ27</f>
        <v>5421545.0000000056</v>
      </c>
      <c r="AW70" s="6273">
        <f>+AS70+AU70</f>
        <v>63201455.959522933</v>
      </c>
      <c r="AX70" s="6273">
        <f>+AT70+AV70</f>
        <v>58936192</v>
      </c>
      <c r="AY70" s="6423">
        <f>+'POWER DISTRIBUTION'!BC27</f>
        <v>6325388.6010362692</v>
      </c>
      <c r="AZ70" s="6423">
        <f>+'POWER DISTRIBUTION'!BD27</f>
        <v>6017245.0000000037</v>
      </c>
      <c r="BA70" s="3048">
        <f>+AQ70+AU70+AY70</f>
        <v>18383160.621761657</v>
      </c>
      <c r="BB70" s="3048">
        <f>+AR70+AV70+AZ70</f>
        <v>17421219.999999996</v>
      </c>
      <c r="BC70" s="3047">
        <f t="shared" ref="BC70" si="96">+AM70+BA70</f>
        <v>37161658.031088084</v>
      </c>
      <c r="BD70" s="454">
        <f t="shared" ref="BD70" si="97">+AN70+BB70</f>
        <v>30455236.666666664</v>
      </c>
      <c r="BE70" s="2399">
        <f>+AW70+AY70</f>
        <v>69526844.560559198</v>
      </c>
      <c r="BF70" s="2399">
        <f>+AX70+AZ70</f>
        <v>64953437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308</v>
      </c>
      <c r="C71" s="777"/>
      <c r="D71" s="3479" t="s">
        <v>2309</v>
      </c>
      <c r="E71" s="191">
        <f>+E70/E53</f>
        <v>82.016894540796557</v>
      </c>
      <c r="F71" s="191">
        <f t="shared" ref="F71:BF71" si="98">+F70/F53</f>
        <v>82.334841233483957</v>
      </c>
      <c r="G71" s="191">
        <f t="shared" si="98"/>
        <v>82.016894540796557</v>
      </c>
      <c r="H71" s="191">
        <f t="shared" si="98"/>
        <v>80.20392609789198</v>
      </c>
      <c r="I71" s="266">
        <f t="shared" si="98"/>
        <v>82.016894540796542</v>
      </c>
      <c r="J71" s="266">
        <f t="shared" si="98"/>
        <v>81.200273700764171</v>
      </c>
      <c r="K71" s="191">
        <f t="shared" si="98"/>
        <v>83.56735751295335</v>
      </c>
      <c r="L71" s="191">
        <f t="shared" si="98"/>
        <v>95.551602201960549</v>
      </c>
      <c r="M71" s="191">
        <f t="shared" si="98"/>
        <v>82.383506475099637</v>
      </c>
      <c r="N71" s="191">
        <f t="shared" si="98"/>
        <v>84.898987148223995</v>
      </c>
      <c r="O71" s="191">
        <f t="shared" si="98"/>
        <v>85.019357512953377</v>
      </c>
      <c r="P71" s="191">
        <f t="shared" si="98"/>
        <v>87.185755404506338</v>
      </c>
      <c r="Q71" s="191">
        <f t="shared" si="98"/>
        <v>82.79450195917245</v>
      </c>
      <c r="R71" s="191">
        <f t="shared" si="98"/>
        <v>85.508838563789965</v>
      </c>
      <c r="S71" s="191">
        <f t="shared" si="98"/>
        <v>79.067357512953365</v>
      </c>
      <c r="T71" s="191">
        <f t="shared" si="98"/>
        <v>84.795747019206942</v>
      </c>
      <c r="U71" s="191">
        <f t="shared" si="98"/>
        <v>81.864169492097489</v>
      </c>
      <c r="V71" s="191">
        <f t="shared" si="98"/>
        <v>85.356906581317531</v>
      </c>
      <c r="W71" s="191">
        <f t="shared" si="98"/>
        <v>79.06735751295335</v>
      </c>
      <c r="X71" s="191">
        <f t="shared" si="98"/>
        <v>84.958716519818978</v>
      </c>
      <c r="Y71" s="191">
        <f t="shared" si="98"/>
        <v>80.211972897568742</v>
      </c>
      <c r="Z71" s="191">
        <f t="shared" si="98"/>
        <v>85.641192396299687</v>
      </c>
      <c r="AA71" s="191">
        <f t="shared" si="98"/>
        <v>81.31956414439982</v>
      </c>
      <c r="AB71" s="191">
        <f t="shared" si="98"/>
        <v>85.28752027565227</v>
      </c>
      <c r="AC71" s="191">
        <f t="shared" si="98"/>
        <v>79.067357512953365</v>
      </c>
      <c r="AD71" s="191">
        <f t="shared" si="98"/>
        <v>86.466919758653731</v>
      </c>
      <c r="AE71" s="191">
        <f t="shared" si="98"/>
        <v>80.942625796040574</v>
      </c>
      <c r="AF71" s="191">
        <f t="shared" si="98"/>
        <v>85.454573573737591</v>
      </c>
      <c r="AG71" s="191">
        <f t="shared" si="98"/>
        <v>79.06735751295335</v>
      </c>
      <c r="AH71" s="191">
        <f t="shared" si="98"/>
        <v>409.4962120734109</v>
      </c>
      <c r="AI71" s="191">
        <f t="shared" si="98"/>
        <v>80.680999707941098</v>
      </c>
      <c r="AJ71" s="191">
        <f t="shared" si="98"/>
        <v>87.619621219177148</v>
      </c>
      <c r="AK71" s="191">
        <f t="shared" si="98"/>
        <v>79.067357512953365</v>
      </c>
      <c r="AL71" s="191">
        <f t="shared" si="98"/>
        <v>84.44709705501225</v>
      </c>
      <c r="AM71" s="191">
        <f t="shared" si="98"/>
        <v>79.067357512953365</v>
      </c>
      <c r="AN71" s="191">
        <f t="shared" si="98"/>
        <v>92.737020492028236</v>
      </c>
      <c r="AO71" s="191">
        <f t="shared" si="98"/>
        <v>80.47786615074358</v>
      </c>
      <c r="AP71" s="191">
        <f t="shared" si="98"/>
        <v>87.208501063193182</v>
      </c>
      <c r="AQ71" s="191">
        <f t="shared" si="98"/>
        <v>79.067357512953365</v>
      </c>
      <c r="AR71" s="191">
        <f t="shared" si="98"/>
        <v>85.359494665878458</v>
      </c>
      <c r="AS71" s="191">
        <f t="shared" si="98"/>
        <v>80.320157288377104</v>
      </c>
      <c r="AT71" s="191">
        <f t="shared" si="98"/>
        <v>86.997832384677793</v>
      </c>
      <c r="AU71" s="191">
        <f t="shared" si="98"/>
        <v>79.067357512953379</v>
      </c>
      <c r="AV71" s="191">
        <f t="shared" si="98"/>
        <v>82.157069252917125</v>
      </c>
      <c r="AW71" s="191">
        <f t="shared" si="98"/>
        <v>80.204893349648387</v>
      </c>
      <c r="AX71" s="191">
        <f t="shared" si="98"/>
        <v>86.528834651389545</v>
      </c>
      <c r="AY71" s="191">
        <f t="shared" si="98"/>
        <v>79.067357512953365</v>
      </c>
      <c r="AZ71" s="191">
        <f t="shared" si="98"/>
        <v>77.133674509146871</v>
      </c>
      <c r="BA71" s="191">
        <f t="shared" si="98"/>
        <v>79.067357512953365</v>
      </c>
      <c r="BB71" s="191">
        <f t="shared" si="98"/>
        <v>81.374972572318782</v>
      </c>
      <c r="BC71" s="191">
        <f t="shared" si="98"/>
        <v>79.067357512953365</v>
      </c>
      <c r="BD71" s="191">
        <f t="shared" si="98"/>
        <v>85.877968275497196</v>
      </c>
      <c r="BE71" s="191">
        <f t="shared" si="98"/>
        <v>80.100051337049763</v>
      </c>
      <c r="BF71" s="191">
        <f t="shared" si="98"/>
        <v>85.563354110498423</v>
      </c>
      <c r="BG71" s="26"/>
      <c r="BH71" s="26"/>
      <c r="BI71" s="26"/>
      <c r="BJ71" s="26"/>
      <c r="BK71" s="26"/>
      <c r="BL71" s="26"/>
      <c r="BM71" s="26"/>
      <c r="BN71" s="26"/>
    </row>
    <row r="72" spans="1:66" ht="15" customHeight="1" x14ac:dyDescent="0.25">
      <c r="B72" s="9" t="s">
        <v>309</v>
      </c>
      <c r="C72" s="777"/>
      <c r="D72" s="159" t="s">
        <v>301</v>
      </c>
      <c r="E72" s="1139">
        <f>+EMD!D37/(EMD!D3*24)</f>
        <v>1.9385416864260954</v>
      </c>
      <c r="F72" s="1347">
        <f>+EMD!E37/(EMD!E3*24)</f>
        <v>2.2591295740298878</v>
      </c>
      <c r="G72" s="1139">
        <f>+EMD!F37/(EMD!F3*24)</f>
        <v>2.9281689541658613</v>
      </c>
      <c r="H72" s="1347">
        <f>+EMD!G37/(EMD!G3*24)</f>
        <v>2.0312948524864605</v>
      </c>
      <c r="I72" s="375">
        <f t="shared" ref="I72:J75" si="99">+((E72*E$2)+(G72*G$2))/I$2</f>
        <v>2.4414670192118781</v>
      </c>
      <c r="J72" s="375">
        <f t="shared" si="99"/>
        <v>2.1433447155406049</v>
      </c>
      <c r="K72" s="1139">
        <f>+EMD!J37/(EMD!J3*24)</f>
        <v>2.4789599840701677</v>
      </c>
      <c r="L72" s="1347">
        <f>+EMD!K37/(EMD!K3*24)</f>
        <v>2.5581626509193138</v>
      </c>
      <c r="M72" s="377">
        <f t="shared" ref="M72:N75" si="100">+((E72*E$2)+(G72*G$2)+(K72*K$2))/M$2</f>
        <v>2.4538273372970285</v>
      </c>
      <c r="N72" s="377">
        <f t="shared" si="100"/>
        <v>2.2800978810500698</v>
      </c>
      <c r="O72" s="1139">
        <f>+EMD!N37/(EMD!N3*24)</f>
        <v>1.977795145400457</v>
      </c>
      <c r="P72" s="1347">
        <f>+EMD!O37/(EMD!O3*24)</f>
        <v>2.8596535242513612</v>
      </c>
      <c r="Q72" s="375">
        <f t="shared" ref="Q72:R75" si="101">+((M72*M$2)+(O72*O$2))/Q$2</f>
        <v>2.3328683377167523</v>
      </c>
      <c r="R72" s="375">
        <f t="shared" si="101"/>
        <v>2.4273620198962997</v>
      </c>
      <c r="S72" s="1139">
        <f>+EMD!R37/(EMD!R3*24)</f>
        <v>2.6384815082273101</v>
      </c>
      <c r="T72" s="1347">
        <f>+EMD!S37/(EMD!S3*24)</f>
        <v>3.15131794671407</v>
      </c>
      <c r="U72" s="2206">
        <f t="shared" ref="U72:V75" si="102">+((Q72*Q$2)+(S72*S$2))/U$2</f>
        <v>2.3947899604999372</v>
      </c>
      <c r="V72" s="2206">
        <f t="shared" si="102"/>
        <v>2.5740459004933642</v>
      </c>
      <c r="W72" s="1139">
        <f>+EMD!V37/(EMD!V3*24)</f>
        <v>2.6309134919087978</v>
      </c>
      <c r="X72" s="1347">
        <f>+EMD!W37/(EMD!W3*24)</f>
        <v>2.6207146888326682</v>
      </c>
      <c r="Y72" s="377">
        <f t="shared" ref="Y72:Z75" si="103">+((O72*O$2)+(S72*S$2)+(W72*W$2))/Y$2</f>
        <v>2.4133910980404858</v>
      </c>
      <c r="Z72" s="377">
        <f t="shared" si="103"/>
        <v>2.880016915922917</v>
      </c>
      <c r="AA72" s="493">
        <f t="shared" ref="AA72:AB75" si="104">+((M72*M$2)+(Y72*Y$2))/AA$2</f>
        <v>2.4334987361407339</v>
      </c>
      <c r="AB72" s="493">
        <f t="shared" si="104"/>
        <v>2.5816965215325944</v>
      </c>
      <c r="AC72" s="1139">
        <f>+EMD!AB37/(EMD!AB3*24)</f>
        <v>2.5597580745697002</v>
      </c>
      <c r="AD72" s="1347">
        <f>+EMD!AC37/(EMD!AC3*24)</f>
        <v>2.5658897851131868</v>
      </c>
      <c r="AE72" s="2206">
        <f t="shared" ref="AE72:AF75" si="105">+((AA72*AA$2)+(AC72*AC$2))/AE$2</f>
        <v>2.4517886403056779</v>
      </c>
      <c r="AF72" s="2206">
        <f t="shared" si="105"/>
        <v>2.5794067606494093</v>
      </c>
      <c r="AG72" s="1139">
        <f>+EMD!AF37/(EMD!AF3*24)</f>
        <v>2.5659332613524386</v>
      </c>
      <c r="AH72" s="1347">
        <f>+EMD!AG37/(EMD!AG3*24)</f>
        <v>0.47004464823727815</v>
      </c>
      <c r="AI72" s="2206">
        <f t="shared" ref="AI72:AJ75" si="106">+((AE72*AE$2)+(AG72*AG$2))/AI$2</f>
        <v>2.4658228150245418</v>
      </c>
      <c r="AJ72" s="2206">
        <f t="shared" si="106"/>
        <v>2.3200589599429997</v>
      </c>
      <c r="AK72" s="1139">
        <f>+EMD!AJ37/(EMD!AJ3*24)</f>
        <v>2.5597580745697002</v>
      </c>
      <c r="AL72" s="1347">
        <f>+EMD!AK37/(EMD!AK3*24)</f>
        <v>2.3853387398182062</v>
      </c>
      <c r="AM72" s="2258">
        <f t="shared" ref="AM72:AN75" si="107">+((AC72*AC$2)+(AG72*AG$2)+(AK72*AK$2))/AM$2</f>
        <v>2.5617717224336367</v>
      </c>
      <c r="AN72" s="2258">
        <f t="shared" si="107"/>
        <v>1.8216241708694734</v>
      </c>
      <c r="AO72" s="2206">
        <f t="shared" ref="AO72:AP75" si="108">+((AK72*AK$2)+(AI72*AI$2))/AO$2</f>
        <v>2.4764118806459963</v>
      </c>
      <c r="AP72" s="2206">
        <f t="shared" si="108"/>
        <v>2.3274177714925686</v>
      </c>
      <c r="AQ72" s="1139">
        <f>+EMD!AP37/(EMD!AP3*24)</f>
        <v>2.5597580745697002</v>
      </c>
      <c r="AR72" s="1347">
        <f>+EMD!AQ37/(EMD!AQ3*24)</f>
        <v>1.5668951612903226</v>
      </c>
      <c r="AS72" s="2206">
        <f t="shared" ref="AS72:AT75" si="109">+((AO72*AO$2)+(AQ72*AQ$2))/AS$2</f>
        <v>2.4848554493114698</v>
      </c>
      <c r="AT72" s="2206">
        <f t="shared" si="109"/>
        <v>2.2503713632694655</v>
      </c>
      <c r="AU72" s="1139">
        <f>+EMD!AT37/(EMD!AT3*24)</f>
        <v>2.5882624785347073</v>
      </c>
      <c r="AV72" s="1347">
        <f>+EMD!AU37/(EMD!AU3*24)</f>
        <v>2.0877565975569401</v>
      </c>
      <c r="AW72" s="2206">
        <f t="shared" ref="AW72:AW75" si="110">+((AS72*AS$2)+(AU72*AU$2))/AW$2</f>
        <v>2.4935243020607234</v>
      </c>
      <c r="AX72" s="2206">
        <f t="shared" ref="AX72:AX75" si="111">+((AT72*AT$2)+(AV72*AV$2))/AX$2</f>
        <v>2.2367389877007509</v>
      </c>
      <c r="AY72" s="1139">
        <f>+EMD!AX37/(EMD!AX3*24)</f>
        <v>2.4712765557654475</v>
      </c>
      <c r="AZ72" s="1347">
        <f>+EMD!AY37/(EMD!AY3*24)</f>
        <v>2.2807241016418409</v>
      </c>
      <c r="BA72" s="2258">
        <f>+((AQ72*AQ$2)+(AU72*AU$2)+(AY72*AY$2))/BA$2</f>
        <v>2.5381491437706818</v>
      </c>
      <c r="BB72" s="2258">
        <f t="shared" ref="BB72:BB75" si="112">+((AR72*AR$2)+(AV72*AV$2)+(AZ72*AZ$2))/BB$2</f>
        <v>1.9748153542499045</v>
      </c>
      <c r="BC72" s="2257">
        <f t="shared" ref="BC72:BD75" si="113">+((AM72*AM$2)+(BA72*BA$2))/BC$2</f>
        <v>2.5500902274904171</v>
      </c>
      <c r="BD72" s="2257">
        <f t="shared" si="113"/>
        <v>1.8973780527608954</v>
      </c>
      <c r="BE72" s="2206">
        <f t="shared" ref="BE72:BE75" si="114">+((AW72*AW$2)+(AY72*AY$2))/BE$2</f>
        <v>2.4916347674438644</v>
      </c>
      <c r="BF72" s="2206">
        <f t="shared" ref="BF72:BF75" si="115">+((AX72*AX$2)+(AZ72*AZ$2))/BF$2</f>
        <v>2.2404747097067066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310</v>
      </c>
      <c r="C73" s="777"/>
      <c r="D73" s="159" t="s">
        <v>301</v>
      </c>
      <c r="E73" s="1139">
        <f>+EMD!D67/(EMD!D3*24)</f>
        <v>3.854923454411836</v>
      </c>
      <c r="F73" s="1347">
        <f>+EMD!E67/(EMD!E3*24)</f>
        <v>3.910312555159221</v>
      </c>
      <c r="G73" s="1139">
        <f>+EMD!F67/(EMD!F3*24)</f>
        <v>5.3404562095916654</v>
      </c>
      <c r="H73" s="1347">
        <f>+EMD!G67/(EMD!G3*24)</f>
        <v>3.8820114523643721</v>
      </c>
      <c r="I73" s="2206">
        <f t="shared" si="99"/>
        <v>4.609866329995028</v>
      </c>
      <c r="J73" s="2206">
        <f t="shared" si="99"/>
        <v>3.89593002750938</v>
      </c>
      <c r="K73" s="1139">
        <f>+EMD!J67/(EMD!J3*24)</f>
        <v>4.0927517983631674</v>
      </c>
      <c r="L73" s="1347">
        <f>+EMD!K67/(EMD!K3*24)</f>
        <v>4.9477699397780111</v>
      </c>
      <c r="M73" s="377">
        <f t="shared" si="100"/>
        <v>4.4393890118746349</v>
      </c>
      <c r="N73" s="377">
        <f t="shared" si="100"/>
        <v>4.24269043814739</v>
      </c>
      <c r="O73" s="1139">
        <f>+EMD!N67/(EMD!N3*24)</f>
        <v>3.0393998614849043</v>
      </c>
      <c r="P73" s="1347">
        <f>+EMD!O67/(EMD!O3*24)</f>
        <v>6.221684291379022</v>
      </c>
      <c r="Q73" s="375">
        <f t="shared" si="101"/>
        <v>4.0836540638247856</v>
      </c>
      <c r="R73" s="375">
        <f t="shared" si="101"/>
        <v>4.7455495320013288</v>
      </c>
      <c r="S73" s="1139">
        <f>+EMD!R67/(EMD!R3*24)</f>
        <v>7.3221957172446119</v>
      </c>
      <c r="T73" s="1347">
        <f>+EMD!S67/(EMD!S3*24)</f>
        <v>6.4233127737750459</v>
      </c>
      <c r="U73" s="2206">
        <f t="shared" si="102"/>
        <v>4.7398291700732473</v>
      </c>
      <c r="V73" s="2206">
        <f t="shared" si="102"/>
        <v>5.0854884894848924</v>
      </c>
      <c r="W73" s="1139">
        <f>+EMD!V67/(EMD!V3*24)</f>
        <v>7.3352927432772983</v>
      </c>
      <c r="X73" s="1347">
        <f>+EMD!W67/(EMD!W3*24)</f>
        <v>5.8717492582968385</v>
      </c>
      <c r="Y73" s="377">
        <f t="shared" si="103"/>
        <v>5.8833504917275423</v>
      </c>
      <c r="Z73" s="377">
        <f t="shared" si="103"/>
        <v>6.1755150735726208</v>
      </c>
      <c r="AA73" s="493">
        <f t="shared" si="104"/>
        <v>5.1653150017460421</v>
      </c>
      <c r="AB73" s="493">
        <f t="shared" si="104"/>
        <v>5.2143836974868503</v>
      </c>
      <c r="AC73" s="1139">
        <f>+EMD!AB67/(EMD!AB3*24)</f>
        <v>7.3639346164099893</v>
      </c>
      <c r="AD73" s="1347">
        <f>+EMD!AC67/(EMD!AC3*24)</f>
        <v>4.8123354194413981</v>
      </c>
      <c r="AE73" s="2206">
        <f t="shared" si="105"/>
        <v>5.483806628169325</v>
      </c>
      <c r="AF73" s="2206">
        <f t="shared" si="105"/>
        <v>5.1561430590783974</v>
      </c>
      <c r="AG73" s="1139">
        <f>+EMD!AF67/(EMD!AF3*24)</f>
        <v>7.3697450424837943</v>
      </c>
      <c r="AH73" s="1347">
        <f>+EMD!AG67/(EMD!AG3*24)</f>
        <v>0.14568066163997337</v>
      </c>
      <c r="AI73" s="2206">
        <f t="shared" si="106"/>
        <v>5.7156843020604473</v>
      </c>
      <c r="AJ73" s="2206">
        <f t="shared" si="106"/>
        <v>4.5401026003769518</v>
      </c>
      <c r="AK73" s="1139">
        <f>+EMD!AJ67/(EMD!AJ3*24)</f>
        <v>7.3639346164099893</v>
      </c>
      <c r="AL73" s="1347">
        <f>+EMD!AK67/(EMD!AK3*24)</f>
        <v>5.4330271836382149</v>
      </c>
      <c r="AM73" s="2258">
        <f t="shared" si="107"/>
        <v>7.3658293205644911</v>
      </c>
      <c r="AN73" s="2258">
        <f t="shared" si="107"/>
        <v>3.4997463102681219</v>
      </c>
      <c r="AO73" s="2206">
        <f t="shared" si="108"/>
        <v>5.9014870647689417</v>
      </c>
      <c r="AP73" s="2206">
        <f t="shared" si="108"/>
        <v>4.6407595533991302</v>
      </c>
      <c r="AQ73" s="1139">
        <f>+EMD!AP67/(EMD!AP3*24)</f>
        <v>7.3639346164099893</v>
      </c>
      <c r="AR73" s="1347">
        <f>+EMD!AQ67/(EMD!AQ3*24)</f>
        <v>4.6403091397849456</v>
      </c>
      <c r="AS73" s="2206">
        <f t="shared" si="109"/>
        <v>6.0496435160789828</v>
      </c>
      <c r="AT73" s="2206">
        <f t="shared" si="109"/>
        <v>4.6407139232617451</v>
      </c>
      <c r="AU73" s="1139">
        <f>+EMD!AT67/(EMD!AT3*24)</f>
        <v>7.3780218216589377</v>
      </c>
      <c r="AV73" s="1347">
        <f>+EMD!AU67/(EMD!AU3*24)</f>
        <v>4.8707748058961888</v>
      </c>
      <c r="AW73" s="2206">
        <f t="shared" si="110"/>
        <v>6.1610045716365835</v>
      </c>
      <c r="AX73" s="2206">
        <f t="shared" si="111"/>
        <v>4.6600004643209205</v>
      </c>
      <c r="AY73" s="1139">
        <f>+EMD!AX67/(EMD!AX3*24)</f>
        <v>7.4108472194276924</v>
      </c>
      <c r="AZ73" s="1347">
        <f>+EMD!AY67/(EMD!AY3*24)</f>
        <v>4.9440903935913632</v>
      </c>
      <c r="BA73" s="2258">
        <f>+((AQ73*AQ$2)+(AU73*AU$2)+(AY73*AY$2))/BA$2</f>
        <v>7.3844760879713149</v>
      </c>
      <c r="BB73" s="2258">
        <f t="shared" si="112"/>
        <v>4.8166453344417652</v>
      </c>
      <c r="BC73" s="2257">
        <f t="shared" si="113"/>
        <v>7.375050249501931</v>
      </c>
      <c r="BD73" s="2257">
        <f t="shared" si="113"/>
        <v>4.1509601134309122</v>
      </c>
      <c r="BE73" s="2206">
        <f t="shared" si="114"/>
        <v>6.267155591038021</v>
      </c>
      <c r="BF73" s="2206">
        <f t="shared" si="115"/>
        <v>4.684128650094574</v>
      </c>
      <c r="BG73" s="26"/>
      <c r="BH73" s="26"/>
      <c r="BI73" s="26"/>
      <c r="BJ73" s="26"/>
      <c r="BK73" s="26"/>
      <c r="BL73" s="26"/>
      <c r="BM73" s="26"/>
      <c r="BN73" s="26"/>
    </row>
    <row r="74" spans="1:66" s="5172" customFormat="1" x14ac:dyDescent="0.25">
      <c r="B74" s="9" t="s">
        <v>2150</v>
      </c>
      <c r="C74" s="777"/>
      <c r="D74" s="6157" t="s">
        <v>301</v>
      </c>
      <c r="E74" s="1139">
        <f>+EMD!D89/(EMD!D3*24)</f>
        <v>3.1804199542928133</v>
      </c>
      <c r="F74" s="1347">
        <f>+EMD!E89/(EMD!E3*24)</f>
        <v>2.6662570313164009</v>
      </c>
      <c r="G74" s="1139">
        <f>+EMD!F89/(EMD!F3*24)</f>
        <v>0.90561926417500849</v>
      </c>
      <c r="H74" s="1347">
        <f>+EMD!G89/(EMD!G3*24)</f>
        <v>3.8243487432435179</v>
      </c>
      <c r="I74" s="2206">
        <f t="shared" ref="I74" si="116">+((E74*E$2)+(G74*G$2))/I$2</f>
        <v>2.0243737019378631</v>
      </c>
      <c r="J74" s="2206">
        <f t="shared" ref="J74" si="117">+((F74*F$2)+(H74*H$2))/J$2</f>
        <v>3.2547954422957557</v>
      </c>
      <c r="K74" s="1139">
        <f>+EMD!J89/(EMD!J3*24)</f>
        <v>0</v>
      </c>
      <c r="L74" s="1347">
        <f>+EMD!K89/(EMD!K3*24)</f>
        <v>0.32576691402577523</v>
      </c>
      <c r="M74" s="2258">
        <f t="shared" ref="M74" si="118">+((E74*E$2)+(G74*G$2)+(K74*K$2))/M$2</f>
        <v>1.3569977562440623</v>
      </c>
      <c r="N74" s="2258">
        <f t="shared" ref="N74" si="119">+((F74*F$2)+(H74*H$2)+(L74*L$2))/N$2</f>
        <v>2.2891816417671911</v>
      </c>
      <c r="O74" s="1139">
        <f>+EMD!N89/(EMD!N3*24)</f>
        <v>0</v>
      </c>
      <c r="P74" s="1347">
        <f>+EMD!O89/(EMD!O3*24)</f>
        <v>0.41884611564263285</v>
      </c>
      <c r="Q74" s="2206">
        <f t="shared" ref="Q74" si="120">+((M74*M$2)+(O74*O$2))/Q$2</f>
        <v>1.0121868509689318</v>
      </c>
      <c r="R74" s="2206">
        <f t="shared" ref="R74" si="121">+((N74*N$2)+(P74*P$2))/R$2</f>
        <v>1.8139324507027543</v>
      </c>
      <c r="S74" s="1139">
        <f>+EMD!R89/(EMD!R3*24)</f>
        <v>0</v>
      </c>
      <c r="T74" s="1347">
        <f>+EMD!S89/(EMD!S3*24)</f>
        <v>0.95732224816835332</v>
      </c>
      <c r="U74" s="2206">
        <f t="shared" ref="U74" si="122">+((Q74*Q$2)+(S74*S$2))/U$2</f>
        <v>0.80710324064189332</v>
      </c>
      <c r="V74" s="2206">
        <f t="shared" ref="V74" si="123">+((R74*R$2)+(T74*T$2))/V$2</f>
        <v>1.6403709063983984</v>
      </c>
      <c r="W74" s="1139">
        <f>+EMD!V89/(EMD!V3*24)</f>
        <v>0</v>
      </c>
      <c r="X74" s="1347">
        <f>+EMD!W89/(EMD!W3*24)</f>
        <v>2.7813809860847085</v>
      </c>
      <c r="Y74" s="2258">
        <f t="shared" ref="Y74" si="124">+((O74*O$2)+(S74*S$2)+(W74*W$2))/Y$2</f>
        <v>0</v>
      </c>
      <c r="Z74" s="2258">
        <f t="shared" ref="Z74" si="125">+((P74*P$2)+(T74*T$2)+(X74*X$2))/Z$2</f>
        <v>1.3706809658769763</v>
      </c>
      <c r="AA74" s="2257">
        <f t="shared" ref="AA74" si="126">+((M74*M$2)+(Y74*Y$2))/AA$2</f>
        <v>0.67479123397928786</v>
      </c>
      <c r="AB74" s="2257">
        <f t="shared" ref="AB74" si="127">+((N74*N$2)+(Z74*Z$2))/AB$2</f>
        <v>1.8274217391338592</v>
      </c>
      <c r="AC74" s="1139">
        <f>+EMD!AB89/(EMD!AB3*24)</f>
        <v>0</v>
      </c>
      <c r="AD74" s="1347">
        <f>+EMD!AC89/(EMD!AC3*24)</f>
        <v>2.966433793679335</v>
      </c>
      <c r="AE74" s="2206">
        <f t="shared" ref="AE74" si="128">+((AA74*AA$2)+(AC74*AC$2))/AE$2</f>
        <v>0.57704110195425085</v>
      </c>
      <c r="AF74" s="2206">
        <f t="shared" ref="AF74" si="129">+((AB74*AB$2)+(AD74*AD$2))/AF$2</f>
        <v>1.9924188124558673</v>
      </c>
      <c r="AG74" s="1139">
        <f>+EMD!AF89/(EMD!AF3*24)</f>
        <v>0</v>
      </c>
      <c r="AH74" s="1347">
        <f>+EMD!AG89/(EMD!AG3*24)</f>
        <v>7.8999765671547456E-2</v>
      </c>
      <c r="AI74" s="2206">
        <f t="shared" ref="AI74" si="130">+((AE74*AE$2)+(AG74*AG$2))/AI$2</f>
        <v>0.5060934254844659</v>
      </c>
      <c r="AJ74" s="2206">
        <f t="shared" ref="AJ74" si="131">+((AF74*AF$2)+(AH74*AH$2))/AJ$2</f>
        <v>1.7571623722774674</v>
      </c>
      <c r="AK74" s="1139">
        <f>+EMD!AJ89/(EMD!AJ3*24)</f>
        <v>0</v>
      </c>
      <c r="AL74" s="1347">
        <f>+EMD!AK89/(EMD!AK3*24)</f>
        <v>1.4143515764122583</v>
      </c>
      <c r="AM74" s="2258">
        <f t="shared" ref="AM74" si="132">+((AC74*AC$2)+(AG74*AG$2)+(AK74*AK$2))/AM$2</f>
        <v>0</v>
      </c>
      <c r="AN74" s="2258">
        <f t="shared" ref="AN74" si="133">+((AD74*AD$2)+(AH74*AH$2)+(AL74*AL$2))/AN$2</f>
        <v>1.5018949939454982</v>
      </c>
      <c r="AO74" s="2206">
        <f t="shared" ref="AO74" si="134">+((AK74*AK$2)+(AI74*AI$2))/AO$2</f>
        <v>0.44904289388439883</v>
      </c>
      <c r="AP74" s="2206">
        <f t="shared" ref="AP74" si="135">+((AL74*AL$2)+(AJ74*AJ$2))/AP$2</f>
        <v>1.7185182461981163</v>
      </c>
      <c r="AQ74" s="1139">
        <f>+EMD!AP89/(EMD!AP3*24)</f>
        <v>0</v>
      </c>
      <c r="AR74" s="1347">
        <f>+EMD!AQ89/(EMD!AQ3*24)</f>
        <v>2.5043010752688173</v>
      </c>
      <c r="AS74" s="2206">
        <f t="shared" ref="AS74" si="136">+((AO74*AO$2)+(AQ74*AQ$2))/AS$2</f>
        <v>0.40355162032094666</v>
      </c>
      <c r="AT74" s="2206">
        <f t="shared" ref="AT74" si="137">+((AP74*AP$2)+(AR74*AR$2))/AT$2</f>
        <v>1.7981236962020108</v>
      </c>
      <c r="AU74" s="1139">
        <f>+EMD!AT89/(EMD!AT3*24)</f>
        <v>0</v>
      </c>
      <c r="AV74" s="1347">
        <f>+EMD!AU89/(EMD!AU3*24)</f>
        <v>3.4434370712431104</v>
      </c>
      <c r="AW74" s="2206">
        <f t="shared" si="110"/>
        <v>0.36972094556350199</v>
      </c>
      <c r="AX74" s="2206">
        <f t="shared" si="111"/>
        <v>1.9360541587803066</v>
      </c>
      <c r="AY74" s="1139">
        <f>+EMD!AX89/(EMD!AX3*24)</f>
        <v>0</v>
      </c>
      <c r="AZ74" s="1347">
        <f>+EMD!AY89/(EMD!AY3*24)</f>
        <v>2.4165564408565343</v>
      </c>
      <c r="BA74" s="2258">
        <f>+EMD!AZ89/(EMD!AZ3*24)</f>
        <v>0</v>
      </c>
      <c r="BB74" s="2258">
        <f>+EMD!BA89/(EMD!BA3*24)</f>
        <v>2.7662535666076997</v>
      </c>
      <c r="BC74" s="2257">
        <f>+EMD!BB89/(EMD!BB3*24)</f>
        <v>0</v>
      </c>
      <c r="BD74" s="2257">
        <f>+EMD!BC89/(EMD!BC3*24)</f>
        <v>2.127127255152081</v>
      </c>
      <c r="BE74" s="2206">
        <f>+EMD!BD89/(EMD!BD3*24)</f>
        <v>0</v>
      </c>
      <c r="BF74" s="2206">
        <f>+EMD!BE89/(EMD!BE3*24)</f>
        <v>1.9768639416415756</v>
      </c>
      <c r="BG74" s="26"/>
      <c r="BH74" s="26"/>
      <c r="BI74" s="26"/>
      <c r="BJ74" s="26"/>
      <c r="BK74" s="26"/>
      <c r="BL74" s="26"/>
      <c r="BM74" s="26"/>
      <c r="BN74" s="26"/>
    </row>
    <row r="75" spans="1:66" x14ac:dyDescent="0.25">
      <c r="B75" s="9" t="s">
        <v>311</v>
      </c>
      <c r="C75" s="777"/>
      <c r="D75" s="159" t="s">
        <v>301</v>
      </c>
      <c r="E75" s="1139">
        <f>+EMD!D106/(EMD!D3*24)</f>
        <v>1.1802518358172152</v>
      </c>
      <c r="F75" s="1347">
        <f>+EMD!E106/(EMD!E3*24)</f>
        <v>1.0011636689987986</v>
      </c>
      <c r="G75" s="1139">
        <f>+EMD!F106/(EMD!F3*24)</f>
        <v>1.0402311774777622</v>
      </c>
      <c r="H75" s="1347">
        <f>+EMD!G106/(EMD!G3*24)</f>
        <v>1.1569572507081309</v>
      </c>
      <c r="I75" s="2206">
        <f t="shared" si="99"/>
        <v>1.1090937963332308</v>
      </c>
      <c r="J75" s="2206">
        <f t="shared" si="99"/>
        <v>1.0803374564248527</v>
      </c>
      <c r="K75" s="1139">
        <f>+EMD!J106/(EMD!J3*24)</f>
        <v>0.36494889219921234</v>
      </c>
      <c r="L75" s="1347">
        <f>+EMD!K106/(EMD!K3*24)</f>
        <v>0.96495741221073783</v>
      </c>
      <c r="M75" s="377">
        <f t="shared" si="100"/>
        <v>0.86377130046487294</v>
      </c>
      <c r="N75" s="377">
        <f t="shared" si="100"/>
        <v>1.0423000792114081</v>
      </c>
      <c r="O75" s="1139">
        <f>+EMD!N106/(EMD!N3*24)</f>
        <v>0.22725610800819676</v>
      </c>
      <c r="P75" s="1347">
        <f>+EMD!O106/(EMD!O3*24)</f>
        <v>1.1871690325548669</v>
      </c>
      <c r="Q75" s="375">
        <f t="shared" si="101"/>
        <v>0.70203383352916016</v>
      </c>
      <c r="R75" s="375">
        <f t="shared" si="101"/>
        <v>1.0791110427658936</v>
      </c>
      <c r="S75" s="1139">
        <f>+EMD!R106/(EMD!R3*24)</f>
        <v>1.22748515296767</v>
      </c>
      <c r="T75" s="1347">
        <f>+EMD!S106/(EMD!S3*24)</f>
        <v>1.2593906021320571</v>
      </c>
      <c r="U75" s="2206">
        <f t="shared" si="102"/>
        <v>0.80849782635657075</v>
      </c>
      <c r="V75" s="2206">
        <f t="shared" si="102"/>
        <v>1.1156382737485804</v>
      </c>
      <c r="W75" s="1139">
        <f>+EMD!V106/(EMD!V3*24)</f>
        <v>1.2336104790643698</v>
      </c>
      <c r="X75" s="1347">
        <f>+EMD!W106/(EMD!W3*24)</f>
        <v>1.3305301890316319</v>
      </c>
      <c r="Y75" s="377">
        <f t="shared" si="103"/>
        <v>0.89244884198024965</v>
      </c>
      <c r="Z75" s="377">
        <f t="shared" si="103"/>
        <v>1.2582527646330826</v>
      </c>
      <c r="AA75" s="493">
        <f t="shared" si="104"/>
        <v>0.87818842516112794</v>
      </c>
      <c r="AB75" s="493">
        <f t="shared" si="104"/>
        <v>1.1508664565818676</v>
      </c>
      <c r="AC75" s="1139">
        <f>+EMD!AB106/(EMD!AB3*24)</f>
        <v>1.264469687459904</v>
      </c>
      <c r="AD75" s="1347">
        <f>+EMD!AC106/(EMD!AC3*24)</f>
        <v>1.1412438484013216</v>
      </c>
      <c r="AE75" s="2206">
        <f t="shared" si="105"/>
        <v>0.93414505661562341</v>
      </c>
      <c r="AF75" s="2206">
        <f t="shared" si="105"/>
        <v>1.1494725273594522</v>
      </c>
      <c r="AG75" s="1139">
        <f>+EMD!AF106/(EMD!AF3*24)</f>
        <v>1.2641384104142313</v>
      </c>
      <c r="AH75" s="1347">
        <f>+EMD!AG106/(EMD!AG3*24)</f>
        <v>5.4654185085132805E-2</v>
      </c>
      <c r="AI75" s="2206">
        <f t="shared" si="106"/>
        <v>0.97471800995151792</v>
      </c>
      <c r="AJ75" s="2206">
        <f t="shared" si="106"/>
        <v>1.0148637147847408</v>
      </c>
      <c r="AK75" s="1139">
        <f>+EMD!AJ106/(EMD!AJ3*24)</f>
        <v>1.264469687459904</v>
      </c>
      <c r="AL75" s="1347">
        <f>+EMD!AK106/(EMD!AK3*24)</f>
        <v>1.2028770779834996</v>
      </c>
      <c r="AM75" s="2258">
        <f t="shared" si="107"/>
        <v>1.2643616623363152</v>
      </c>
      <c r="AN75" s="2258">
        <f t="shared" si="107"/>
        <v>0.80768885076612451</v>
      </c>
      <c r="AO75" s="2206">
        <f t="shared" si="108"/>
        <v>1.0073809263251905</v>
      </c>
      <c r="AP75" s="2206">
        <f t="shared" si="108"/>
        <v>1.036057948454419</v>
      </c>
      <c r="AQ75" s="1139">
        <f>+EMD!AP106/(EMD!AP3*24)</f>
        <v>1.264469687459904</v>
      </c>
      <c r="AR75" s="1347">
        <f>+EMD!AQ106/(EMD!AQ3*24)</f>
        <v>1.2119018817204301</v>
      </c>
      <c r="AS75" s="2206">
        <f t="shared" si="109"/>
        <v>1.0334258661787072</v>
      </c>
      <c r="AT75" s="2206">
        <f t="shared" si="109"/>
        <v>1.0538722031316947</v>
      </c>
      <c r="AU75" s="1139">
        <f>+EMD!AT106/(EMD!AT3*24)</f>
        <v>1.2593384433523294</v>
      </c>
      <c r="AV75" s="1347">
        <f>+EMD!AU106/(EMD!AU3*24)</f>
        <v>1.2445854914091616</v>
      </c>
      <c r="AW75" s="2206">
        <f t="shared" si="110"/>
        <v>1.0523646451034421</v>
      </c>
      <c r="AX75" s="2206">
        <f t="shared" si="111"/>
        <v>1.0698601434663326</v>
      </c>
      <c r="AY75" s="1139">
        <f>+EMD!AX106/(EMD!AX3*24)</f>
        <v>1.306038603246453</v>
      </c>
      <c r="AZ75" s="1347">
        <f>+EMD!AY106/(EMD!AY3*24)</f>
        <v>1.1505086594640479</v>
      </c>
      <c r="BA75" s="2258">
        <f>+((AQ75*AQ$2)+(AU75*AU$2)+(AY75*AY$2))/BA$2</f>
        <v>1.2771914825084698</v>
      </c>
      <c r="BB75" s="2258">
        <f t="shared" si="112"/>
        <v>1.2009235615130593</v>
      </c>
      <c r="BC75" s="2257">
        <f t="shared" si="113"/>
        <v>1.2707060789049631</v>
      </c>
      <c r="BD75" s="2257">
        <f t="shared" si="113"/>
        <v>1.0021455758607627</v>
      </c>
      <c r="BE75" s="2206">
        <f t="shared" si="114"/>
        <v>1.0739095566169579</v>
      </c>
      <c r="BF75" s="2206">
        <f t="shared" si="115"/>
        <v>1.0767097434551798</v>
      </c>
      <c r="BG75" s="26"/>
      <c r="BH75" s="26"/>
      <c r="BI75" s="26"/>
      <c r="BJ75" s="26"/>
      <c r="BK75" s="26"/>
      <c r="BL75" s="26"/>
      <c r="BM75" s="26"/>
      <c r="BN75" s="26"/>
    </row>
    <row r="76" spans="1:66" ht="15.75" thickBot="1" x14ac:dyDescent="0.3">
      <c r="B76" s="12" t="s">
        <v>312</v>
      </c>
      <c r="C76" s="893"/>
      <c r="D76" s="894" t="s">
        <v>551</v>
      </c>
      <c r="E76" s="191">
        <f>+E53/E67</f>
        <v>137.30803974706413</v>
      </c>
      <c r="F76" s="102">
        <f t="shared" ref="F76:AB76" si="138">+F53/F67</f>
        <v>128.43516367476246</v>
      </c>
      <c r="G76" s="191">
        <f>+G53/G67</f>
        <v>137.63066202090593</v>
      </c>
      <c r="H76" s="102">
        <f t="shared" ref="H76" si="139">+H53/H67</f>
        <v>128.64970585751695</v>
      </c>
      <c r="I76" s="266">
        <f t="shared" si="138"/>
        <v>137.47228381374723</v>
      </c>
      <c r="J76" s="266">
        <f t="shared" si="138"/>
        <v>128.54930366288306</v>
      </c>
      <c r="K76" s="191">
        <f>+K53/K67</f>
        <v>141.1764705882353</v>
      </c>
      <c r="L76" s="102">
        <f t="shared" ref="L76" si="140">+L53/L67</f>
        <v>127.67436624544887</v>
      </c>
      <c r="M76" s="353">
        <f t="shared" ref="M76:N76" si="141">+M53/M67</f>
        <v>138.3304940374787</v>
      </c>
      <c r="N76" s="353">
        <f t="shared" si="141"/>
        <v>128.32266435870989</v>
      </c>
      <c r="O76" s="191">
        <f>+O53/O67</f>
        <v>110.29411764705883</v>
      </c>
      <c r="P76" s="102">
        <f t="shared" ref="P76" si="142">+P53/P67</f>
        <v>126.79614410612015</v>
      </c>
      <c r="Q76" s="266">
        <f t="shared" si="138"/>
        <v>133.05670816044261</v>
      </c>
      <c r="R76" s="266">
        <f t="shared" si="138"/>
        <v>127.91197862003531</v>
      </c>
      <c r="S76" s="191">
        <f>+S53/S67</f>
        <v>137.93103448275863</v>
      </c>
      <c r="T76" s="102">
        <f t="shared" ref="T76:V76" si="143">+T53/T67</f>
        <v>127.1317983683679</v>
      </c>
      <c r="U76" s="266">
        <f t="shared" si="143"/>
        <v>134.24083769633509</v>
      </c>
      <c r="V76" s="266">
        <f t="shared" si="143"/>
        <v>127.74495094945797</v>
      </c>
      <c r="W76" s="191">
        <f>+W53/W67</f>
        <v>138.39285714285714</v>
      </c>
      <c r="X76" s="102">
        <f t="shared" ref="X76" si="144">+X53/X67</f>
        <v>126.75568277184993</v>
      </c>
      <c r="Y76" s="377">
        <f t="shared" si="138"/>
        <v>131.75675675675674</v>
      </c>
      <c r="Z76" s="377">
        <f t="shared" si="138"/>
        <v>126.89525848981235</v>
      </c>
      <c r="AA76" s="493">
        <f t="shared" si="138"/>
        <v>135.02968617472433</v>
      </c>
      <c r="AB76" s="493">
        <f t="shared" si="138"/>
        <v>127.57145734665676</v>
      </c>
      <c r="AC76" s="191">
        <f>+AC53/AC67</f>
        <v>137.93103448275863</v>
      </c>
      <c r="AD76" s="102">
        <f t="shared" ref="AD76" si="145">+AD53/AD67</f>
        <v>126.42426920891478</v>
      </c>
      <c r="AE76" s="266">
        <f t="shared" ref="AE76:AF76" si="146">+AE53/AE67</f>
        <v>135.50673281360736</v>
      </c>
      <c r="AF76" s="266">
        <f t="shared" si="146"/>
        <v>127.40770256082131</v>
      </c>
      <c r="AG76" s="191">
        <f>+AG53/AG67</f>
        <v>138.39285714285714</v>
      </c>
      <c r="AH76" s="102">
        <f t="shared" ref="AH76:AJ76" si="147">+AH53/AH67</f>
        <v>106.36644295302014</v>
      </c>
      <c r="AI76" s="266">
        <f t="shared" si="147"/>
        <v>135.90214067278288</v>
      </c>
      <c r="AJ76" s="266">
        <f t="shared" si="147"/>
        <v>127.23952974623293</v>
      </c>
      <c r="AK76" s="191">
        <f>+AK53/AK67</f>
        <v>137.93103448275863</v>
      </c>
      <c r="AL76" s="102">
        <f t="shared" ref="AL76" si="148">+AL53/AL67</f>
        <v>122.75759805341532</v>
      </c>
      <c r="AM76" s="2258">
        <f t="shared" ref="AM76:AP76" si="149">+AM53/AM67</f>
        <v>138.08139534883722</v>
      </c>
      <c r="AN76" s="2258">
        <f t="shared" si="149"/>
        <v>124.03496205212693</v>
      </c>
      <c r="AO76" s="266">
        <f t="shared" si="149"/>
        <v>136.15425816818424</v>
      </c>
      <c r="AP76" s="266">
        <f t="shared" si="149"/>
        <v>126.64035596036118</v>
      </c>
      <c r="AQ76" s="191">
        <f>+AQ53/AQ67</f>
        <v>137.93103448275863</v>
      </c>
      <c r="AR76" s="102">
        <f t="shared" ref="AR76" si="150">+AR53/AR67</f>
        <v>125.85618640009596</v>
      </c>
      <c r="AS76" s="266">
        <f t="shared" ref="AS76:AT76" si="151">+AS53/AS67</f>
        <v>136.35064316341115</v>
      </c>
      <c r="AT76" s="266">
        <f t="shared" si="151"/>
        <v>126.55051779058657</v>
      </c>
      <c r="AU76" s="191">
        <f>+AU53/AU67</f>
        <v>139.42307692307693</v>
      </c>
      <c r="AV76" s="102">
        <f t="shared" ref="AV76:AX76" si="152">+AV53/AV67</f>
        <v>131.63336547092669</v>
      </c>
      <c r="AW76" s="266">
        <f t="shared" si="152"/>
        <v>136.62765496315561</v>
      </c>
      <c r="AX76" s="266">
        <f t="shared" si="152"/>
        <v>127.02573234034365</v>
      </c>
      <c r="AY76" s="191">
        <f>+AY53/AY67</f>
        <v>137.93103448275863</v>
      </c>
      <c r="AZ76" s="102">
        <f t="shared" ref="AZ76" si="153">+AZ53/AZ67</f>
        <v>133.72865346704393</v>
      </c>
      <c r="BA76" s="2258">
        <f t="shared" ref="BA76:BF76" si="154">+BA53/BA67</f>
        <v>138.39285714285714</v>
      </c>
      <c r="BB76" s="2258">
        <f t="shared" si="154"/>
        <v>130.41814055963948</v>
      </c>
      <c r="BC76" s="2257">
        <f t="shared" si="154"/>
        <v>138.23529411764707</v>
      </c>
      <c r="BD76" s="2257">
        <f t="shared" si="154"/>
        <v>127.81134370494965</v>
      </c>
      <c r="BE76" s="266">
        <f t="shared" si="154"/>
        <v>136.74675068924773</v>
      </c>
      <c r="BF76" s="266">
        <f t="shared" si="154"/>
        <v>127.68341054543731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25">
      <c r="B77" s="154"/>
      <c r="C77" s="154"/>
      <c r="D77" s="154"/>
      <c r="E77" s="579"/>
      <c r="F77" s="579"/>
      <c r="G77" s="579"/>
      <c r="H77" s="579"/>
      <c r="I77" s="579"/>
      <c r="J77" s="579"/>
      <c r="K77" s="579"/>
      <c r="L77" s="579"/>
      <c r="M77" s="579"/>
      <c r="N77" s="579"/>
      <c r="O77" s="579"/>
      <c r="P77" s="579"/>
      <c r="Q77" s="579"/>
      <c r="R77" s="579"/>
      <c r="S77" s="579"/>
      <c r="T77" s="579"/>
      <c r="U77" s="579"/>
      <c r="V77" s="579"/>
      <c r="W77" s="579"/>
      <c r="X77" s="579"/>
      <c r="Y77" s="579"/>
      <c r="Z77" s="579"/>
      <c r="AA77" s="579"/>
      <c r="AB77" s="579"/>
      <c r="AC77" s="579"/>
      <c r="AD77" s="579"/>
      <c r="AE77" s="579"/>
      <c r="AF77" s="579"/>
      <c r="AG77" s="579"/>
      <c r="AH77" s="579"/>
      <c r="AI77" s="579"/>
      <c r="AJ77" s="579"/>
      <c r="AK77" s="579"/>
      <c r="AL77" s="579"/>
      <c r="AM77" s="579"/>
      <c r="AN77" s="579"/>
      <c r="AO77" s="579"/>
      <c r="AP77" s="579"/>
      <c r="AQ77" s="579"/>
      <c r="AR77" s="579"/>
      <c r="AS77" s="579"/>
      <c r="AT77" s="579"/>
      <c r="AU77" s="579"/>
      <c r="AV77" s="579"/>
      <c r="AW77" s="579"/>
      <c r="AX77" s="579"/>
      <c r="AY77" s="579"/>
      <c r="AZ77" s="579"/>
      <c r="BA77" s="579"/>
      <c r="BB77" s="579"/>
      <c r="BC77" s="579"/>
      <c r="BD77" s="579"/>
      <c r="BE77" s="579"/>
      <c r="BF77" s="579"/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271" t="s">
        <v>805</v>
      </c>
      <c r="C78" s="895"/>
      <c r="D78" s="13" t="s">
        <v>50</v>
      </c>
      <c r="E78" s="900"/>
      <c r="F78" s="366">
        <v>189.255</v>
      </c>
      <c r="G78" s="900"/>
      <c r="H78" s="366">
        <v>140.41500000000002</v>
      </c>
      <c r="I78" s="646"/>
      <c r="J78" s="39">
        <f>+F78+H78</f>
        <v>329.67</v>
      </c>
      <c r="K78" s="900"/>
      <c r="L78" s="366">
        <v>148.55500000000001</v>
      </c>
      <c r="M78" s="645"/>
      <c r="N78" s="782">
        <f>+F78+H78+L78</f>
        <v>478.22500000000002</v>
      </c>
      <c r="O78" s="900"/>
      <c r="P78" s="366">
        <v>258.44499999999999</v>
      </c>
      <c r="Q78" s="646"/>
      <c r="R78" s="783">
        <f>+N78+P78</f>
        <v>736.67000000000007</v>
      </c>
      <c r="S78" s="900"/>
      <c r="T78" s="366">
        <v>231.98999999999992</v>
      </c>
      <c r="U78" s="646"/>
      <c r="V78" s="4938">
        <f>+R78+T78</f>
        <v>968.66</v>
      </c>
      <c r="W78" s="900"/>
      <c r="X78" s="366">
        <v>234.02499999999995</v>
      </c>
      <c r="Y78" s="782"/>
      <c r="Z78" s="782">
        <f>+P78+T78+X78</f>
        <v>724.45999999999992</v>
      </c>
      <c r="AA78" s="465"/>
      <c r="AB78" s="454">
        <f>+N78+Z78</f>
        <v>1202.6849999999999</v>
      </c>
      <c r="AC78" s="900"/>
      <c r="AD78" s="366">
        <v>211.63999999999987</v>
      </c>
      <c r="AE78" s="646"/>
      <c r="AF78" s="2399">
        <f>+AB78+AD78</f>
        <v>1414.3249999999998</v>
      </c>
      <c r="AG78" s="900"/>
      <c r="AH78" s="366">
        <v>42.734999999999999</v>
      </c>
      <c r="AI78" s="646"/>
      <c r="AJ78" s="5535">
        <f>+AF78+AH78</f>
        <v>1457.0599999999997</v>
      </c>
      <c r="AK78" s="900"/>
      <c r="AL78" s="366">
        <v>227.92000000000002</v>
      </c>
      <c r="AM78" s="2736"/>
      <c r="AN78" s="2736">
        <f>+AD78+AH78+AL78</f>
        <v>482.2949999999999</v>
      </c>
      <c r="AO78" s="646"/>
      <c r="AP78" s="2399">
        <f t="shared" ref="AP78:AP79" si="155">AJ78+AL78</f>
        <v>1684.9799999999998</v>
      </c>
      <c r="AQ78" s="900"/>
      <c r="AR78" s="366">
        <v>319.49499999999983</v>
      </c>
      <c r="AS78" s="646"/>
      <c r="AT78" s="2399">
        <f>+AP78+AR78</f>
        <v>2004.4749999999997</v>
      </c>
      <c r="AU78" s="900"/>
      <c r="AV78" s="366">
        <v>309.32</v>
      </c>
      <c r="AW78" s="646"/>
      <c r="AX78" s="6273">
        <f>+AT78+AV78</f>
        <v>2313.7949999999996</v>
      </c>
      <c r="AY78" s="900"/>
      <c r="AZ78" s="366">
        <v>203.50000000000003</v>
      </c>
      <c r="BA78" s="3048"/>
      <c r="BB78" s="3048">
        <f>+AR78+AV78+AZ78</f>
        <v>832.31499999999983</v>
      </c>
      <c r="BC78" s="3047"/>
      <c r="BD78" s="454">
        <f t="shared" ref="BD78:BD79" si="156">+AN78+BB78</f>
        <v>1314.6099999999997</v>
      </c>
      <c r="BE78" s="646"/>
      <c r="BF78" s="2399">
        <f>+AX78+AZ78</f>
        <v>2517.2949999999996</v>
      </c>
      <c r="BG78" s="26"/>
      <c r="BH78" s="26"/>
      <c r="BI78" s="26"/>
      <c r="BJ78" s="26"/>
      <c r="BK78" s="26"/>
      <c r="BL78" s="26"/>
      <c r="BM78" s="26"/>
      <c r="BN78" s="26"/>
    </row>
    <row r="79" spans="1:66" x14ac:dyDescent="0.25">
      <c r="B79" s="271" t="s">
        <v>803</v>
      </c>
      <c r="C79" s="895"/>
      <c r="D79" s="13" t="s">
        <v>50</v>
      </c>
      <c r="E79" s="900"/>
      <c r="F79" s="366">
        <v>1082.7799999999988</v>
      </c>
      <c r="G79" s="900"/>
      <c r="H79" s="366">
        <v>1231.5809999999985</v>
      </c>
      <c r="I79" s="646"/>
      <c r="J79" s="39">
        <f>+F79+H79</f>
        <v>2314.3609999999971</v>
      </c>
      <c r="K79" s="900"/>
      <c r="L79" s="366">
        <v>797.07900000000018</v>
      </c>
      <c r="M79" s="645"/>
      <c r="N79" s="782">
        <f>+F79+H79+L79</f>
        <v>3111.4399999999973</v>
      </c>
      <c r="O79" s="900"/>
      <c r="P79" s="366">
        <v>1125.9739999999999</v>
      </c>
      <c r="Q79" s="646"/>
      <c r="R79" s="783">
        <f>+N79+P79</f>
        <v>4237.413999999997</v>
      </c>
      <c r="S79" s="900"/>
      <c r="T79" s="366">
        <v>1143.0250000000001</v>
      </c>
      <c r="U79" s="646"/>
      <c r="V79" s="4938">
        <f>+R79+T79</f>
        <v>5380.4389999999967</v>
      </c>
      <c r="W79" s="900"/>
      <c r="X79" s="366">
        <v>1132.6449999999991</v>
      </c>
      <c r="Y79" s="645"/>
      <c r="Z79" s="782">
        <f>+P79+T79+X79</f>
        <v>3401.6439999999989</v>
      </c>
      <c r="AA79" s="465"/>
      <c r="AB79" s="454">
        <f>+N79+Z79</f>
        <v>6513.0839999999962</v>
      </c>
      <c r="AC79" s="900"/>
      <c r="AD79" s="366">
        <v>1073.5489999999986</v>
      </c>
      <c r="AE79" s="646"/>
      <c r="AF79" s="2399">
        <f>+AB79+AD79</f>
        <v>7586.6329999999944</v>
      </c>
      <c r="AG79" s="900"/>
      <c r="AH79" s="366">
        <v>51.413999999999966</v>
      </c>
      <c r="AI79" s="646"/>
      <c r="AJ79" s="5535">
        <f>+AF79+AH79</f>
        <v>7638.0469999999941</v>
      </c>
      <c r="AK79" s="900"/>
      <c r="AL79" s="366">
        <v>1134.2779999999998</v>
      </c>
      <c r="AM79" s="645"/>
      <c r="AN79" s="2736">
        <f>+AD79+AH79+AL79</f>
        <v>2259.2409999999982</v>
      </c>
      <c r="AO79" s="646"/>
      <c r="AP79" s="2399">
        <f t="shared" si="155"/>
        <v>8772.3249999999935</v>
      </c>
      <c r="AQ79" s="900"/>
      <c r="AR79" s="366">
        <v>1128.8039999999978</v>
      </c>
      <c r="AS79" s="646"/>
      <c r="AT79" s="2399">
        <f>+AP79+AR79</f>
        <v>9901.1289999999917</v>
      </c>
      <c r="AU79" s="900"/>
      <c r="AV79" s="366">
        <v>1065.8339999999992</v>
      </c>
      <c r="AW79" s="646"/>
      <c r="AX79" s="6273">
        <f>+AT79+AV79</f>
        <v>10966.962999999991</v>
      </c>
      <c r="AY79" s="900"/>
      <c r="AZ79" s="366">
        <v>1261.9579999999983</v>
      </c>
      <c r="BA79" s="645"/>
      <c r="BB79" s="3048">
        <f>+AR79+AV79+AZ79</f>
        <v>3456.5959999999955</v>
      </c>
      <c r="BC79" s="3047"/>
      <c r="BD79" s="454">
        <f t="shared" si="156"/>
        <v>5715.8369999999941</v>
      </c>
      <c r="BE79" s="646"/>
      <c r="BF79" s="2399">
        <f>+AX79+AZ79</f>
        <v>12228.920999999989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642" t="s">
        <v>826</v>
      </c>
      <c r="C80" s="642"/>
      <c r="D80" s="205" t="s">
        <v>50</v>
      </c>
      <c r="E80" s="900"/>
      <c r="F80" s="366">
        <f>SUM(F78:F79)</f>
        <v>1272.0349999999989</v>
      </c>
      <c r="G80" s="900"/>
      <c r="H80" s="366">
        <f>SUM(H78:H79)</f>
        <v>1371.9959999999985</v>
      </c>
      <c r="I80" s="646"/>
      <c r="J80" s="367">
        <f>SUM(J78:J79)</f>
        <v>2644.0309999999972</v>
      </c>
      <c r="K80" s="900"/>
      <c r="L80" s="366">
        <f>SUM(L78:L79)</f>
        <v>945.63400000000024</v>
      </c>
      <c r="M80" s="645"/>
      <c r="N80" s="446">
        <f>SUM(N78:N79)</f>
        <v>3589.6649999999972</v>
      </c>
      <c r="O80" s="900"/>
      <c r="P80" s="366">
        <f>SUM(P78:P79)</f>
        <v>1384.4189999999999</v>
      </c>
      <c r="Q80" s="646"/>
      <c r="R80" s="367">
        <f>SUM(R78:R79)</f>
        <v>4974.0839999999971</v>
      </c>
      <c r="S80" s="900"/>
      <c r="T80" s="366">
        <f>SUM(T78:T79)</f>
        <v>1375.0150000000001</v>
      </c>
      <c r="U80" s="646"/>
      <c r="V80" s="367">
        <f>SUM(V78:V79)</f>
        <v>6349.0989999999965</v>
      </c>
      <c r="W80" s="900"/>
      <c r="X80" s="366">
        <f>SUM(X78:X79)</f>
        <v>1366.6699999999989</v>
      </c>
      <c r="Y80" s="645"/>
      <c r="Z80" s="446">
        <f>SUM(Z78:Z79)</f>
        <v>4126.1039999999985</v>
      </c>
      <c r="AA80" s="841"/>
      <c r="AB80" s="470">
        <f>SUM(AB78:AB79)</f>
        <v>7715.7689999999966</v>
      </c>
      <c r="AC80" s="900"/>
      <c r="AD80" s="366">
        <f>SUM(AD78:AD79)</f>
        <v>1285.1889999999985</v>
      </c>
      <c r="AE80" s="646"/>
      <c r="AF80" s="367">
        <f>SUM(AF78:AF79)</f>
        <v>9000.9579999999951</v>
      </c>
      <c r="AG80" s="900"/>
      <c r="AH80" s="366">
        <f>SUM(AH78:AH79)</f>
        <v>94.148999999999972</v>
      </c>
      <c r="AI80" s="646"/>
      <c r="AJ80" s="367">
        <f>SUM(AJ78:AJ79)</f>
        <v>9095.1069999999945</v>
      </c>
      <c r="AK80" s="900"/>
      <c r="AL80" s="366">
        <f>SUM(AL78:AL79)</f>
        <v>1362.1979999999999</v>
      </c>
      <c r="AM80" s="645"/>
      <c r="AN80" s="446">
        <f>SUM(AN78:AN79)</f>
        <v>2741.5359999999982</v>
      </c>
      <c r="AO80" s="646"/>
      <c r="AP80" s="367">
        <f>SUM(AP78:AP79)</f>
        <v>10457.304999999993</v>
      </c>
      <c r="AQ80" s="900"/>
      <c r="AR80" s="366">
        <f>SUM(AR78:AR79)</f>
        <v>1448.2989999999977</v>
      </c>
      <c r="AS80" s="646"/>
      <c r="AT80" s="367">
        <f>SUM(AT78:AT79)</f>
        <v>11905.603999999992</v>
      </c>
      <c r="AU80" s="900"/>
      <c r="AV80" s="366">
        <f>SUM(AV78:AV79)</f>
        <v>1375.1539999999991</v>
      </c>
      <c r="AW80" s="646"/>
      <c r="AX80" s="367">
        <f>SUM(AX78:AX79)</f>
        <v>13280.757999999991</v>
      </c>
      <c r="AY80" s="900"/>
      <c r="AZ80" s="366">
        <f>SUM(AZ78:AZ79)</f>
        <v>1465.4579999999983</v>
      </c>
      <c r="BA80" s="645"/>
      <c r="BB80" s="446">
        <f>SUM(BB78:BB79)</f>
        <v>4288.9109999999955</v>
      </c>
      <c r="BC80" s="841"/>
      <c r="BD80" s="470">
        <f>SUM(BD78:BD79)</f>
        <v>7030.4469999999937</v>
      </c>
      <c r="BE80" s="646"/>
      <c r="BF80" s="367">
        <f>SUM(BF78:BF79)</f>
        <v>14746.215999999989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642" t="s">
        <v>822</v>
      </c>
      <c r="C81" s="642"/>
      <c r="D81" s="205" t="s">
        <v>49</v>
      </c>
      <c r="E81" s="900"/>
      <c r="F81" s="438">
        <f>+F80/F5</f>
        <v>1.8319414513796234E-2</v>
      </c>
      <c r="G81" s="900"/>
      <c r="H81" s="438">
        <f>+H80/H5</f>
        <v>1.7383725030429835E-2</v>
      </c>
      <c r="I81" s="646"/>
      <c r="J81" s="439">
        <f>+J80/J5</f>
        <v>1.7821650908553144E-2</v>
      </c>
      <c r="K81" s="900"/>
      <c r="L81" s="438">
        <f>+L80/L5</f>
        <v>1.8344806961215949E-2</v>
      </c>
      <c r="M81" s="645"/>
      <c r="N81" s="445">
        <f>+N80/N5</f>
        <v>1.7956550357022035E-2</v>
      </c>
      <c r="O81" s="900"/>
      <c r="P81" s="438">
        <f>+P80/P5</f>
        <v>1.9015090871699065E-2</v>
      </c>
      <c r="Q81" s="646"/>
      <c r="R81" s="444">
        <f>+R80/R5</f>
        <v>1.8239147687801532E-2</v>
      </c>
      <c r="S81" s="900"/>
      <c r="T81" s="438">
        <f>+T80/T5</f>
        <v>1.8617306258712645E-2</v>
      </c>
      <c r="U81" s="646"/>
      <c r="V81" s="444">
        <f>+V80/V5</f>
        <v>1.8319735924071198E-2</v>
      </c>
      <c r="W81" s="900"/>
      <c r="X81" s="438">
        <f>+X80/X5</f>
        <v>1.8662432835547367E-2</v>
      </c>
      <c r="Y81" s="645"/>
      <c r="Z81" s="440">
        <f>+Z80/Z5</f>
        <v>1.8764040017549711E-2</v>
      </c>
      <c r="AA81" s="841"/>
      <c r="AB81" s="664">
        <f>+AB80/AB5</f>
        <v>1.8379516550360457E-2</v>
      </c>
      <c r="AC81" s="900"/>
      <c r="AD81" s="438">
        <f>+AD80/AD5</f>
        <v>1.8523516650264575E-2</v>
      </c>
      <c r="AE81" s="646"/>
      <c r="AF81" s="1624">
        <f>+AF80/AF5</f>
        <v>1.8399940231907254E-2</v>
      </c>
      <c r="AG81" s="900"/>
      <c r="AH81" s="438">
        <f>+AH80/AH5</f>
        <v>2.8205162003902919E-2</v>
      </c>
      <c r="AI81" s="646"/>
      <c r="AJ81" s="1624">
        <f>+AJ80/AJ5</f>
        <v>1.8466393878227936E-2</v>
      </c>
      <c r="AK81" s="900"/>
      <c r="AL81" s="438">
        <f>+AL80/AL5</f>
        <v>1.8571879030820804E-2</v>
      </c>
      <c r="AM81" s="645"/>
      <c r="AN81" s="440">
        <f>+AN80/AN5</f>
        <v>1.8769052494669727E-2</v>
      </c>
      <c r="AO81" s="646"/>
      <c r="AP81" s="1624">
        <f>+AP80/AP5</f>
        <v>1.8480066742038701E-2</v>
      </c>
      <c r="AQ81" s="900"/>
      <c r="AR81" s="438">
        <f>+AR80/AR5</f>
        <v>1.9868880389531839E-2</v>
      </c>
      <c r="AS81" s="646"/>
      <c r="AT81" s="1624">
        <f>+AT80/AT5</f>
        <v>1.8638552248999209E-2</v>
      </c>
      <c r="AU81" s="900"/>
      <c r="AV81" s="438">
        <f>+AV80/AV5</f>
        <v>2.004371050993126E-2</v>
      </c>
      <c r="AW81" s="646"/>
      <c r="AX81" s="1624">
        <f>+AX80/AX5</f>
        <v>1.8774838423356494E-2</v>
      </c>
      <c r="AY81" s="900"/>
      <c r="AZ81" s="438">
        <f>+AZ80/AZ5</f>
        <v>1.8105299436506895E-2</v>
      </c>
      <c r="BA81" s="645"/>
      <c r="BB81" s="440">
        <f>+BB80/BB5</f>
        <v>1.928108066131675E-2</v>
      </c>
      <c r="BC81" s="841"/>
      <c r="BD81" s="664">
        <f>+BD80/BD5</f>
        <v>1.9078126369881123E-2</v>
      </c>
      <c r="BE81" s="646"/>
      <c r="BF81" s="1624">
        <f>+BF80/BF5</f>
        <v>1.8706092646362762E-2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642" t="s">
        <v>825</v>
      </c>
      <c r="C82" s="642"/>
      <c r="D82" s="205" t="s">
        <v>50</v>
      </c>
      <c r="E82" s="900"/>
      <c r="F82" s="366">
        <f>+F54</f>
        <v>84.429999999999993</v>
      </c>
      <c r="G82" s="900"/>
      <c r="H82" s="366">
        <f>+H54</f>
        <v>31.29</v>
      </c>
      <c r="I82" s="646"/>
      <c r="J82" s="367">
        <f>+J54</f>
        <v>115.72</v>
      </c>
      <c r="K82" s="900"/>
      <c r="L82" s="366">
        <f>+L54</f>
        <v>40.03</v>
      </c>
      <c r="M82" s="645"/>
      <c r="N82" s="446">
        <f>+N54</f>
        <v>155.75</v>
      </c>
      <c r="O82" s="900"/>
      <c r="P82" s="366">
        <f>+P54</f>
        <v>72.95</v>
      </c>
      <c r="Q82" s="646"/>
      <c r="R82" s="367">
        <f>+R54</f>
        <v>228.70000000000002</v>
      </c>
      <c r="S82" s="900"/>
      <c r="T82" s="366">
        <f>+T54</f>
        <v>48.892000000000003</v>
      </c>
      <c r="U82" s="646"/>
      <c r="V82" s="367">
        <f>+V54</f>
        <v>277.59200000000004</v>
      </c>
      <c r="W82" s="900"/>
      <c r="X82" s="366">
        <f>+X54</f>
        <v>121.06</v>
      </c>
      <c r="Y82" s="645"/>
      <c r="Z82" s="446">
        <f>+Z54</f>
        <v>242.90199999999999</v>
      </c>
      <c r="AA82" s="841"/>
      <c r="AB82" s="470">
        <f>+AB54</f>
        <v>398.65199999999999</v>
      </c>
      <c r="AC82" s="900"/>
      <c r="AD82" s="366">
        <f>+AD54</f>
        <v>156.44</v>
      </c>
      <c r="AE82" s="646"/>
      <c r="AF82" s="367">
        <f>+AF54</f>
        <v>555.09199999999998</v>
      </c>
      <c r="AG82" s="900"/>
      <c r="AH82" s="366">
        <f>+AH54</f>
        <v>16.39</v>
      </c>
      <c r="AI82" s="646"/>
      <c r="AJ82" s="367">
        <f>+AJ54</f>
        <v>571.48199999999997</v>
      </c>
      <c r="AK82" s="900"/>
      <c r="AL82" s="366">
        <f>+AL54</f>
        <v>93.649999999999991</v>
      </c>
      <c r="AM82" s="645"/>
      <c r="AN82" s="446">
        <f>+AN54</f>
        <v>266.47999999999996</v>
      </c>
      <c r="AO82" s="646"/>
      <c r="AP82" s="367">
        <f>+AP54</f>
        <v>665.13199999999995</v>
      </c>
      <c r="AQ82" s="900"/>
      <c r="AR82" s="366">
        <f>+AR54</f>
        <v>105.43</v>
      </c>
      <c r="AS82" s="646"/>
      <c r="AT82" s="367">
        <f>+AT54</f>
        <v>770.5619999999999</v>
      </c>
      <c r="AU82" s="900"/>
      <c r="AV82" s="366">
        <f>+AV54</f>
        <v>67.59</v>
      </c>
      <c r="AW82" s="646"/>
      <c r="AX82" s="367">
        <f>+AX54</f>
        <v>838.15200000000004</v>
      </c>
      <c r="AY82" s="900"/>
      <c r="AZ82" s="366">
        <f>+AZ54</f>
        <v>83.85</v>
      </c>
      <c r="BA82" s="645"/>
      <c r="BB82" s="446">
        <f>+BB54</f>
        <v>256.86999999999995</v>
      </c>
      <c r="BC82" s="841"/>
      <c r="BD82" s="470">
        <f>+BD54</f>
        <v>523.34999999999991</v>
      </c>
      <c r="BE82" s="646"/>
      <c r="BF82" s="367">
        <f>+BF54</f>
        <v>922.00199999999984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271" t="s">
        <v>806</v>
      </c>
      <c r="C83" s="895"/>
      <c r="D83" s="13" t="s">
        <v>50</v>
      </c>
      <c r="E83" s="900"/>
      <c r="F83" s="366">
        <v>1184.5240000000003</v>
      </c>
      <c r="G83" s="900"/>
      <c r="H83" s="366">
        <v>1345.2450000000008</v>
      </c>
      <c r="I83" s="646"/>
      <c r="J83" s="39">
        <f>+F83+H83</f>
        <v>2529.7690000000011</v>
      </c>
      <c r="K83" s="900"/>
      <c r="L83" s="366">
        <v>886.14699999999982</v>
      </c>
      <c r="M83" s="645"/>
      <c r="N83" s="782">
        <f>+F83+H83+L83</f>
        <v>3415.9160000000011</v>
      </c>
      <c r="O83" s="900"/>
      <c r="P83" s="366">
        <v>1251.8270000000005</v>
      </c>
      <c r="Q83" s="646"/>
      <c r="R83" s="783">
        <f>+N83+P83</f>
        <v>4667.7430000000013</v>
      </c>
      <c r="S83" s="900"/>
      <c r="T83" s="366">
        <v>1268.7680000000005</v>
      </c>
      <c r="U83" s="646"/>
      <c r="V83" s="4938">
        <f>+R83+T83</f>
        <v>5936.5110000000022</v>
      </c>
      <c r="W83" s="900"/>
      <c r="X83" s="366">
        <v>1258.7340000000008</v>
      </c>
      <c r="Y83" s="645"/>
      <c r="Z83" s="782">
        <f>+P83+T83+X83</f>
        <v>3779.329000000002</v>
      </c>
      <c r="AA83" s="465"/>
      <c r="AB83" s="454">
        <f>+N83+Z83</f>
        <v>7195.2450000000026</v>
      </c>
      <c r="AC83" s="900"/>
      <c r="AD83" s="366">
        <v>1192.071000000001</v>
      </c>
      <c r="AE83" s="646"/>
      <c r="AF83" s="2399">
        <f>+AB83+AD83</f>
        <v>8387.3160000000044</v>
      </c>
      <c r="AG83" s="900"/>
      <c r="AH83" s="366">
        <v>57.746999999999986</v>
      </c>
      <c r="AI83" s="646"/>
      <c r="AJ83" s="5535">
        <f>+AF83+AH83</f>
        <v>8445.0630000000037</v>
      </c>
      <c r="AK83" s="900"/>
      <c r="AL83" s="366">
        <v>1260.8660000000002</v>
      </c>
      <c r="AM83" s="645"/>
      <c r="AN83" s="2736">
        <f>+AD83+AH83+AL83</f>
        <v>2510.6840000000011</v>
      </c>
      <c r="AO83" s="646"/>
      <c r="AP83" s="2399">
        <f t="shared" ref="AP83" si="157">AJ83+AL83</f>
        <v>9705.9290000000037</v>
      </c>
      <c r="AQ83" s="900"/>
      <c r="AR83" s="366">
        <v>1253.9900000000009</v>
      </c>
      <c r="AS83" s="646"/>
      <c r="AT83" s="2399">
        <f>+AP83+AR83</f>
        <v>10959.919000000005</v>
      </c>
      <c r="AU83" s="900"/>
      <c r="AV83" s="366">
        <v>1175.0120000000002</v>
      </c>
      <c r="AW83" s="646"/>
      <c r="AX83" s="6273">
        <f>+AT83+AV83</f>
        <v>12134.931000000006</v>
      </c>
      <c r="AY83" s="900"/>
      <c r="AZ83" s="366">
        <v>1380.9140000000011</v>
      </c>
      <c r="BA83" s="645"/>
      <c r="BB83" s="3048">
        <f>+AR83+AV83+AZ83</f>
        <v>3809.9160000000024</v>
      </c>
      <c r="BC83" s="3047"/>
      <c r="BD83" s="454">
        <f t="shared" ref="BD83" si="158">+AN83+BB83</f>
        <v>6320.600000000004</v>
      </c>
      <c r="BE83" s="646"/>
      <c r="BF83" s="2399">
        <f>+AX83+AZ83</f>
        <v>13515.845000000007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154"/>
      <c r="C84" s="154"/>
      <c r="D84" s="154"/>
      <c r="E84" s="579"/>
      <c r="F84" s="579"/>
      <c r="G84" s="579"/>
      <c r="H84" s="579"/>
      <c r="I84" s="579"/>
      <c r="J84" s="579"/>
      <c r="K84" s="579"/>
      <c r="L84" s="579"/>
      <c r="M84" s="579"/>
      <c r="N84" s="579"/>
      <c r="O84" s="579"/>
      <c r="P84" s="579"/>
      <c r="Q84" s="579"/>
      <c r="R84" s="579"/>
      <c r="S84" s="579"/>
      <c r="T84" s="579"/>
      <c r="U84" s="579"/>
      <c r="V84" s="579"/>
      <c r="W84" s="579"/>
      <c r="X84" s="579"/>
      <c r="Y84" s="579"/>
      <c r="Z84" s="579"/>
      <c r="AA84" s="579"/>
      <c r="AB84" s="579"/>
      <c r="AC84" s="579"/>
      <c r="AD84" s="579"/>
      <c r="AE84" s="579"/>
      <c r="AF84" s="579"/>
      <c r="AG84" s="579"/>
      <c r="AH84" s="579"/>
      <c r="AI84" s="579"/>
      <c r="AJ84" s="579"/>
      <c r="AK84" s="579"/>
      <c r="AL84" s="579"/>
      <c r="AM84" s="579"/>
      <c r="AN84" s="579"/>
      <c r="AO84" s="579"/>
      <c r="AP84" s="579"/>
      <c r="AQ84" s="579"/>
      <c r="AR84" s="579"/>
      <c r="AS84" s="579"/>
      <c r="AT84" s="579"/>
      <c r="AU84" s="579"/>
      <c r="AV84" s="579"/>
      <c r="AW84" s="579"/>
      <c r="AX84" s="579"/>
      <c r="AY84" s="579"/>
      <c r="AZ84" s="579"/>
      <c r="BA84" s="579"/>
      <c r="BB84" s="579"/>
      <c r="BC84" s="579"/>
      <c r="BD84" s="579"/>
      <c r="BE84" s="579"/>
      <c r="BF84" s="579"/>
      <c r="BG84" s="26"/>
      <c r="BH84" s="26"/>
      <c r="BI84" s="26"/>
      <c r="BJ84" s="26"/>
      <c r="BK84" s="26"/>
      <c r="BL84" s="26"/>
      <c r="BM84" s="26"/>
      <c r="BN84" s="26"/>
    </row>
    <row r="85" spans="2:66" ht="18.75" x14ac:dyDescent="0.3">
      <c r="B85" s="884" t="s">
        <v>827</v>
      </c>
      <c r="C85" s="884"/>
      <c r="D85" s="154"/>
      <c r="E85" s="579"/>
      <c r="F85" s="579"/>
      <c r="G85" s="579"/>
      <c r="H85" s="579"/>
      <c r="I85" s="579"/>
      <c r="J85" s="579"/>
      <c r="K85" s="579"/>
      <c r="L85" s="579"/>
      <c r="M85" s="579"/>
      <c r="N85" s="579"/>
      <c r="O85" s="579"/>
      <c r="P85" s="579"/>
      <c r="Q85" s="579"/>
      <c r="R85" s="579"/>
      <c r="S85" s="579"/>
      <c r="T85" s="579"/>
      <c r="U85" s="579"/>
      <c r="V85" s="579"/>
      <c r="W85" s="579"/>
      <c r="X85" s="579"/>
      <c r="Y85" s="579"/>
      <c r="Z85" s="579"/>
      <c r="AA85" s="579"/>
      <c r="AB85" s="579"/>
      <c r="AC85" s="579"/>
      <c r="AD85" s="579"/>
      <c r="AE85" s="579"/>
      <c r="AF85" s="579"/>
      <c r="AG85" s="579"/>
      <c r="AH85" s="579"/>
      <c r="AI85" s="579"/>
      <c r="AJ85" s="579"/>
      <c r="AK85" s="579"/>
      <c r="AL85" s="579"/>
      <c r="AM85" s="579"/>
      <c r="AN85" s="579"/>
      <c r="AO85" s="579"/>
      <c r="AP85" s="579"/>
      <c r="AQ85" s="579"/>
      <c r="AR85" s="579"/>
      <c r="AS85" s="579"/>
      <c r="AT85" s="579"/>
      <c r="AU85" s="579"/>
      <c r="AV85" s="579"/>
      <c r="AW85" s="579"/>
      <c r="AX85" s="579"/>
      <c r="AY85" s="579"/>
      <c r="AZ85" s="579"/>
      <c r="BA85" s="579"/>
      <c r="BB85" s="579"/>
      <c r="BC85" s="579"/>
      <c r="BD85" s="579"/>
      <c r="BE85" s="579"/>
      <c r="BF85" s="579"/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71" t="s">
        <v>828</v>
      </c>
      <c r="C86" s="271"/>
      <c r="D86" s="159" t="s">
        <v>50</v>
      </c>
      <c r="E86" s="800"/>
      <c r="F86" s="366">
        <f>+F5</f>
        <v>69436.443999999974</v>
      </c>
      <c r="G86" s="800"/>
      <c r="H86" s="366">
        <f>+H5</f>
        <v>78924.165999999954</v>
      </c>
      <c r="I86" s="896"/>
      <c r="J86" s="367">
        <f>+J5</f>
        <v>148360.60999999993</v>
      </c>
      <c r="K86" s="800"/>
      <c r="L86" s="366">
        <f>+L5</f>
        <v>51547.775999999991</v>
      </c>
      <c r="M86" s="897"/>
      <c r="N86" s="446">
        <f>+N5</f>
        <v>199908.38599999991</v>
      </c>
      <c r="O86" s="800"/>
      <c r="P86" s="366">
        <f>+P5</f>
        <v>72806.330999999962</v>
      </c>
      <c r="Q86" s="896"/>
      <c r="R86" s="367">
        <f>+R5</f>
        <v>272714.71699999989</v>
      </c>
      <c r="S86" s="800"/>
      <c r="T86" s="366">
        <f>+T5</f>
        <v>73856.81799999997</v>
      </c>
      <c r="U86" s="896"/>
      <c r="V86" s="367">
        <f>+V5</f>
        <v>346571.53499999986</v>
      </c>
      <c r="W86" s="800"/>
      <c r="X86" s="366">
        <f>+X5</f>
        <v>73231.073999999993</v>
      </c>
      <c r="Y86" s="897"/>
      <c r="Z86" s="446">
        <f>+Z5</f>
        <v>219894.22299999991</v>
      </c>
      <c r="AA86" s="898"/>
      <c r="AB86" s="470">
        <f>+AB5</f>
        <v>419802.60899999982</v>
      </c>
      <c r="AC86" s="800"/>
      <c r="AD86" s="366">
        <f>+AD5</f>
        <v>69381.48</v>
      </c>
      <c r="AE86" s="896"/>
      <c r="AF86" s="367">
        <f>+AF5</f>
        <v>489184.0889999998</v>
      </c>
      <c r="AG86" s="800"/>
      <c r="AH86" s="366">
        <f>+AH5</f>
        <v>3338.0060000000003</v>
      </c>
      <c r="AI86" s="896"/>
      <c r="AJ86" s="367">
        <f>+AJ5</f>
        <v>492522.0949999998</v>
      </c>
      <c r="AK86" s="800"/>
      <c r="AL86" s="366">
        <f>+AL5</f>
        <v>73347.343999999983</v>
      </c>
      <c r="AM86" s="897"/>
      <c r="AN86" s="446">
        <f>+AN5</f>
        <v>146066.82999999996</v>
      </c>
      <c r="AO86" s="896"/>
      <c r="AP86" s="367">
        <f>+AP5</f>
        <v>565869.43899999978</v>
      </c>
      <c r="AQ86" s="800"/>
      <c r="AR86" s="366">
        <f>+AR5</f>
        <v>72892.833999999901</v>
      </c>
      <c r="AS86" s="896"/>
      <c r="AT86" s="367">
        <f>+AT5</f>
        <v>638762.2729999997</v>
      </c>
      <c r="AU86" s="800"/>
      <c r="AV86" s="366">
        <f>+AV5</f>
        <v>68607.755999999979</v>
      </c>
      <c r="AW86" s="896"/>
      <c r="AX86" s="367">
        <f>+AX5</f>
        <v>707370.02899999963</v>
      </c>
      <c r="AY86" s="800"/>
      <c r="AZ86" s="366">
        <f>+AZ5</f>
        <v>80940.831999999951</v>
      </c>
      <c r="BA86" s="897"/>
      <c r="BB86" s="446">
        <f>+BB5</f>
        <v>222441.42199999985</v>
      </c>
      <c r="BC86" s="898"/>
      <c r="BD86" s="470">
        <f>+BD5</f>
        <v>368508.2519999998</v>
      </c>
      <c r="BE86" s="896"/>
      <c r="BF86" s="367">
        <f>+BF5</f>
        <v>788310.86099999957</v>
      </c>
      <c r="BG86" s="26"/>
      <c r="BH86" s="26"/>
      <c r="BI86" s="26"/>
      <c r="BJ86" s="26"/>
      <c r="BK86" s="26"/>
      <c r="BL86" s="26"/>
      <c r="BM86" s="26"/>
      <c r="BN86" s="26"/>
    </row>
    <row r="87" spans="2:66" ht="30" x14ac:dyDescent="0.25">
      <c r="B87" s="899" t="s">
        <v>833</v>
      </c>
      <c r="C87" s="899"/>
      <c r="D87" s="159" t="s">
        <v>50</v>
      </c>
      <c r="E87" s="800"/>
      <c r="F87" s="366">
        <f>+F80</f>
        <v>1272.0349999999989</v>
      </c>
      <c r="G87" s="800"/>
      <c r="H87" s="366">
        <f>+H80</f>
        <v>1371.9959999999985</v>
      </c>
      <c r="I87" s="896"/>
      <c r="J87" s="367">
        <f>+J80</f>
        <v>2644.0309999999972</v>
      </c>
      <c r="K87" s="800"/>
      <c r="L87" s="366">
        <f>+L80</f>
        <v>945.63400000000024</v>
      </c>
      <c r="M87" s="897"/>
      <c r="N87" s="446">
        <f>+N80</f>
        <v>3589.6649999999972</v>
      </c>
      <c r="O87" s="800"/>
      <c r="P87" s="366">
        <f>+P80</f>
        <v>1384.4189999999999</v>
      </c>
      <c r="Q87" s="896"/>
      <c r="R87" s="367">
        <f>+R80</f>
        <v>4974.0839999999971</v>
      </c>
      <c r="S87" s="800"/>
      <c r="T87" s="366">
        <f>+T80</f>
        <v>1375.0150000000001</v>
      </c>
      <c r="U87" s="896"/>
      <c r="V87" s="367">
        <f>+V80</f>
        <v>6349.0989999999965</v>
      </c>
      <c r="W87" s="800"/>
      <c r="X87" s="366">
        <f>+X80</f>
        <v>1366.6699999999989</v>
      </c>
      <c r="Y87" s="897"/>
      <c r="Z87" s="446">
        <f>+Z80</f>
        <v>4126.1039999999985</v>
      </c>
      <c r="AA87" s="898"/>
      <c r="AB87" s="470">
        <f>+AB80</f>
        <v>7715.7689999999966</v>
      </c>
      <c r="AC87" s="800"/>
      <c r="AD87" s="366">
        <f>+AD80</f>
        <v>1285.1889999999985</v>
      </c>
      <c r="AE87" s="896"/>
      <c r="AF87" s="367">
        <f>+AF80</f>
        <v>9000.9579999999951</v>
      </c>
      <c r="AG87" s="800"/>
      <c r="AH87" s="366">
        <f>+AH80</f>
        <v>94.148999999999972</v>
      </c>
      <c r="AI87" s="896"/>
      <c r="AJ87" s="367">
        <f>+AJ80</f>
        <v>9095.1069999999945</v>
      </c>
      <c r="AK87" s="800"/>
      <c r="AL87" s="366">
        <f>+AL80</f>
        <v>1362.1979999999999</v>
      </c>
      <c r="AM87" s="897"/>
      <c r="AN87" s="446">
        <f>+AN80</f>
        <v>2741.5359999999982</v>
      </c>
      <c r="AO87" s="896"/>
      <c r="AP87" s="367">
        <f>+AP80</f>
        <v>10457.304999999993</v>
      </c>
      <c r="AQ87" s="800"/>
      <c r="AR87" s="366">
        <f>+AR80</f>
        <v>1448.2989999999977</v>
      </c>
      <c r="AS87" s="896"/>
      <c r="AT87" s="367">
        <f>+AT80</f>
        <v>11905.603999999992</v>
      </c>
      <c r="AU87" s="800"/>
      <c r="AV87" s="366">
        <f>+AV80</f>
        <v>1375.1539999999991</v>
      </c>
      <c r="AW87" s="896"/>
      <c r="AX87" s="367">
        <f>+AX80</f>
        <v>13280.757999999991</v>
      </c>
      <c r="AY87" s="800"/>
      <c r="AZ87" s="366">
        <f>+AZ80</f>
        <v>1465.4579999999983</v>
      </c>
      <c r="BA87" s="897"/>
      <c r="BB87" s="446">
        <f>+BB80</f>
        <v>4288.9109999999955</v>
      </c>
      <c r="BC87" s="898"/>
      <c r="BD87" s="470">
        <f>+BD80</f>
        <v>7030.4469999999937</v>
      </c>
      <c r="BE87" s="896"/>
      <c r="BF87" s="367">
        <f>+BF80</f>
        <v>14746.215999999989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271" t="s">
        <v>804</v>
      </c>
      <c r="C88" s="271"/>
      <c r="D88" s="159" t="s">
        <v>50</v>
      </c>
      <c r="E88" s="800"/>
      <c r="F88" s="366">
        <f>+F83</f>
        <v>1184.5240000000003</v>
      </c>
      <c r="G88" s="800"/>
      <c r="H88" s="366">
        <f>+H83</f>
        <v>1345.2450000000008</v>
      </c>
      <c r="I88" s="896"/>
      <c r="J88" s="367">
        <f>+J83</f>
        <v>2529.7690000000011</v>
      </c>
      <c r="K88" s="800"/>
      <c r="L88" s="366">
        <f>+L83</f>
        <v>886.14699999999982</v>
      </c>
      <c r="M88" s="897"/>
      <c r="N88" s="446">
        <f>+N83</f>
        <v>3415.9160000000011</v>
      </c>
      <c r="O88" s="800"/>
      <c r="P88" s="366">
        <f>+P83</f>
        <v>1251.8270000000005</v>
      </c>
      <c r="Q88" s="896"/>
      <c r="R88" s="367">
        <f>+R83</f>
        <v>4667.7430000000013</v>
      </c>
      <c r="S88" s="800"/>
      <c r="T88" s="366">
        <f>+T83</f>
        <v>1268.7680000000005</v>
      </c>
      <c r="U88" s="896"/>
      <c r="V88" s="367">
        <f>+V83</f>
        <v>5936.5110000000022</v>
      </c>
      <c r="W88" s="800"/>
      <c r="X88" s="366">
        <f>+X83</f>
        <v>1258.7340000000008</v>
      </c>
      <c r="Y88" s="897"/>
      <c r="Z88" s="446">
        <f>+Z83</f>
        <v>3779.329000000002</v>
      </c>
      <c r="AA88" s="898"/>
      <c r="AB88" s="470">
        <f>+AB83</f>
        <v>7195.2450000000026</v>
      </c>
      <c r="AC88" s="800"/>
      <c r="AD88" s="366">
        <f>+AD83</f>
        <v>1192.071000000001</v>
      </c>
      <c r="AE88" s="896"/>
      <c r="AF88" s="367">
        <f>+AF83</f>
        <v>8387.3160000000044</v>
      </c>
      <c r="AG88" s="800"/>
      <c r="AH88" s="366">
        <f>+AH83</f>
        <v>57.746999999999986</v>
      </c>
      <c r="AI88" s="896"/>
      <c r="AJ88" s="367">
        <f>+AJ83</f>
        <v>8445.0630000000037</v>
      </c>
      <c r="AK88" s="800"/>
      <c r="AL88" s="366">
        <f>+AL83</f>
        <v>1260.8660000000002</v>
      </c>
      <c r="AM88" s="897"/>
      <c r="AN88" s="446">
        <f>+AN83</f>
        <v>2510.6840000000011</v>
      </c>
      <c r="AO88" s="896"/>
      <c r="AP88" s="367">
        <f>+AP83</f>
        <v>9705.9290000000037</v>
      </c>
      <c r="AQ88" s="800"/>
      <c r="AR88" s="366">
        <f>+AR83</f>
        <v>1253.9900000000009</v>
      </c>
      <c r="AS88" s="896"/>
      <c r="AT88" s="367">
        <f>+AT83</f>
        <v>10959.919000000005</v>
      </c>
      <c r="AU88" s="800"/>
      <c r="AV88" s="366">
        <f>+AV83</f>
        <v>1175.0120000000002</v>
      </c>
      <c r="AW88" s="896"/>
      <c r="AX88" s="367">
        <f>+AX83</f>
        <v>12134.931000000006</v>
      </c>
      <c r="AY88" s="800"/>
      <c r="AZ88" s="366">
        <f>+AZ83</f>
        <v>1380.9140000000011</v>
      </c>
      <c r="BA88" s="897"/>
      <c r="BB88" s="446">
        <f>+BB83</f>
        <v>3809.9160000000024</v>
      </c>
      <c r="BC88" s="898"/>
      <c r="BD88" s="470">
        <f>+BD83</f>
        <v>6320.600000000004</v>
      </c>
      <c r="BE88" s="896"/>
      <c r="BF88" s="367">
        <f>+BF83</f>
        <v>13515.845000000007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71" t="s">
        <v>831</v>
      </c>
      <c r="C89" s="271"/>
      <c r="D89" s="159" t="s">
        <v>50</v>
      </c>
      <c r="E89" s="800"/>
      <c r="F89" s="366">
        <f>+F52</f>
        <v>66979.885000000038</v>
      </c>
      <c r="G89" s="800"/>
      <c r="H89" s="366">
        <f>+H52</f>
        <v>76206.925000000061</v>
      </c>
      <c r="I89" s="896"/>
      <c r="J89" s="367">
        <f>+J52</f>
        <v>143186.81000000008</v>
      </c>
      <c r="K89" s="800"/>
      <c r="L89" s="366">
        <f>+L52</f>
        <v>49715.998000000058</v>
      </c>
      <c r="M89" s="897"/>
      <c r="N89" s="446">
        <f>+N52</f>
        <v>192902.80800000019</v>
      </c>
      <c r="O89" s="800"/>
      <c r="P89" s="366">
        <f>+P52</f>
        <v>70170.085000000094</v>
      </c>
      <c r="Q89" s="896"/>
      <c r="R89" s="367">
        <f>+R52</f>
        <v>263072.89300000016</v>
      </c>
      <c r="S89" s="800"/>
      <c r="T89" s="366">
        <f>+T52</f>
        <v>71213.035000000062</v>
      </c>
      <c r="U89" s="896"/>
      <c r="V89" s="367">
        <f>+V52</f>
        <v>334285.92800000025</v>
      </c>
      <c r="W89" s="800"/>
      <c r="X89" s="366">
        <f>+X52</f>
        <v>70605.670000000027</v>
      </c>
      <c r="Y89" s="897"/>
      <c r="Z89" s="446">
        <f>+Z52</f>
        <v>211988.79000000018</v>
      </c>
      <c r="AA89" s="898"/>
      <c r="AB89" s="470">
        <f>+AB52</f>
        <v>404891.59800000029</v>
      </c>
      <c r="AC89" s="800"/>
      <c r="AD89" s="366">
        <f>+AD52</f>
        <v>66904.240000000005</v>
      </c>
      <c r="AE89" s="896"/>
      <c r="AF89" s="367">
        <f>+AF52</f>
        <v>471795.8380000004</v>
      </c>
      <c r="AG89" s="800"/>
      <c r="AH89" s="366">
        <f>+AH52</f>
        <v>3186.11</v>
      </c>
      <c r="AI89" s="896"/>
      <c r="AJ89" s="367">
        <f>+AJ52</f>
        <v>474981.94800000038</v>
      </c>
      <c r="AK89" s="800"/>
      <c r="AL89" s="366">
        <f>+AL52</f>
        <v>70724.280000000057</v>
      </c>
      <c r="AM89" s="897"/>
      <c r="AN89" s="446">
        <f>+AN52</f>
        <v>140814.63000000006</v>
      </c>
      <c r="AO89" s="896"/>
      <c r="AP89" s="367">
        <f>+AP52</f>
        <v>545706.22800000047</v>
      </c>
      <c r="AQ89" s="800"/>
      <c r="AR89" s="366">
        <f>+AR52</f>
        <v>70190.5450000001</v>
      </c>
      <c r="AS89" s="896"/>
      <c r="AT89" s="367">
        <f>+AT52</f>
        <v>615896.77300000074</v>
      </c>
      <c r="AU89" s="800"/>
      <c r="AV89" s="366">
        <f>+AV52</f>
        <v>66057.59000000004</v>
      </c>
      <c r="AW89" s="896"/>
      <c r="AX89" s="367">
        <f>+AX52</f>
        <v>681954.36300000059</v>
      </c>
      <c r="AY89" s="800"/>
      <c r="AZ89" s="366">
        <f>+AZ52</f>
        <v>78094.460000000079</v>
      </c>
      <c r="BA89" s="897"/>
      <c r="BB89" s="446">
        <f>+BB52</f>
        <v>214342.59500000018</v>
      </c>
      <c r="BC89" s="898"/>
      <c r="BD89" s="470">
        <f>+BD52</f>
        <v>355157.22500000033</v>
      </c>
      <c r="BE89" s="896"/>
      <c r="BF89" s="367">
        <f>+BF52</f>
        <v>760048.82300000079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271" t="s">
        <v>829</v>
      </c>
      <c r="C90" s="271"/>
      <c r="D90" s="159" t="s">
        <v>50</v>
      </c>
      <c r="E90" s="800"/>
      <c r="F90" s="366">
        <f>+F54</f>
        <v>84.429999999999993</v>
      </c>
      <c r="G90" s="800"/>
      <c r="H90" s="366">
        <f>+H54</f>
        <v>31.29</v>
      </c>
      <c r="I90" s="896"/>
      <c r="J90" s="367">
        <f>+J54</f>
        <v>115.72</v>
      </c>
      <c r="K90" s="800"/>
      <c r="L90" s="366">
        <f>+L54</f>
        <v>40.03</v>
      </c>
      <c r="M90" s="897"/>
      <c r="N90" s="446">
        <f>+N54</f>
        <v>155.75</v>
      </c>
      <c r="O90" s="800"/>
      <c r="P90" s="366">
        <f>+P54</f>
        <v>72.95</v>
      </c>
      <c r="Q90" s="896"/>
      <c r="R90" s="367">
        <f>+R54</f>
        <v>228.70000000000002</v>
      </c>
      <c r="S90" s="800"/>
      <c r="T90" s="366">
        <f>+T54</f>
        <v>48.892000000000003</v>
      </c>
      <c r="U90" s="896"/>
      <c r="V90" s="367">
        <f>+V54</f>
        <v>277.59200000000004</v>
      </c>
      <c r="W90" s="800"/>
      <c r="X90" s="366">
        <f>+X54</f>
        <v>121.06</v>
      </c>
      <c r="Y90" s="897"/>
      <c r="Z90" s="446">
        <f>+Z54</f>
        <v>242.90199999999999</v>
      </c>
      <c r="AA90" s="898"/>
      <c r="AB90" s="470">
        <f>+AB54</f>
        <v>398.65199999999999</v>
      </c>
      <c r="AC90" s="800"/>
      <c r="AD90" s="366">
        <f>+AD54</f>
        <v>156.44</v>
      </c>
      <c r="AE90" s="896"/>
      <c r="AF90" s="367">
        <f>+AF54</f>
        <v>555.09199999999998</v>
      </c>
      <c r="AG90" s="800"/>
      <c r="AH90" s="366">
        <f>+AH54</f>
        <v>16.39</v>
      </c>
      <c r="AI90" s="896"/>
      <c r="AJ90" s="367">
        <f>+AJ54</f>
        <v>571.48199999999997</v>
      </c>
      <c r="AK90" s="800"/>
      <c r="AL90" s="366">
        <f>+AL54</f>
        <v>93.649999999999991</v>
      </c>
      <c r="AM90" s="897"/>
      <c r="AN90" s="446">
        <f>+AN54</f>
        <v>266.47999999999996</v>
      </c>
      <c r="AO90" s="896"/>
      <c r="AP90" s="367">
        <f>+AP54</f>
        <v>665.13199999999995</v>
      </c>
      <c r="AQ90" s="800"/>
      <c r="AR90" s="366">
        <f>+AR54</f>
        <v>105.43</v>
      </c>
      <c r="AS90" s="896"/>
      <c r="AT90" s="367">
        <f>+AT54</f>
        <v>770.5619999999999</v>
      </c>
      <c r="AU90" s="800"/>
      <c r="AV90" s="366">
        <f>+AV54</f>
        <v>67.59</v>
      </c>
      <c r="AW90" s="896"/>
      <c r="AX90" s="367">
        <f>+AX54</f>
        <v>838.15200000000004</v>
      </c>
      <c r="AY90" s="800"/>
      <c r="AZ90" s="366">
        <f>+AZ54</f>
        <v>83.85</v>
      </c>
      <c r="BA90" s="897"/>
      <c r="BB90" s="446">
        <f>+BB54</f>
        <v>256.86999999999995</v>
      </c>
      <c r="BC90" s="898"/>
      <c r="BD90" s="470">
        <f>+BD54</f>
        <v>523.34999999999991</v>
      </c>
      <c r="BE90" s="896"/>
      <c r="BF90" s="367">
        <f>+BF54</f>
        <v>922.00199999999984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71" t="s">
        <v>830</v>
      </c>
      <c r="C91" s="271"/>
      <c r="D91" s="159" t="s">
        <v>50</v>
      </c>
      <c r="E91" s="800"/>
      <c r="F91" s="366">
        <f>+F89-F90</f>
        <v>66895.455000000045</v>
      </c>
      <c r="G91" s="800"/>
      <c r="H91" s="366">
        <f>+H89-H90</f>
        <v>76175.635000000068</v>
      </c>
      <c r="I91" s="896"/>
      <c r="J91" s="367">
        <f>+J89-J90</f>
        <v>143071.09000000008</v>
      </c>
      <c r="K91" s="800"/>
      <c r="L91" s="366">
        <f>+L89-L90</f>
        <v>49675.968000000059</v>
      </c>
      <c r="M91" s="897"/>
      <c r="N91" s="446">
        <f>+N89-N90</f>
        <v>192747.05800000019</v>
      </c>
      <c r="O91" s="800"/>
      <c r="P91" s="366">
        <f>+P89-P90</f>
        <v>70097.135000000097</v>
      </c>
      <c r="Q91" s="896"/>
      <c r="R91" s="367">
        <f>+R89-R90</f>
        <v>262844.19300000014</v>
      </c>
      <c r="S91" s="800"/>
      <c r="T91" s="366">
        <f>+T89-T90</f>
        <v>71164.143000000055</v>
      </c>
      <c r="U91" s="896"/>
      <c r="V91" s="367">
        <f>+V89-V90</f>
        <v>334008.33600000024</v>
      </c>
      <c r="W91" s="800"/>
      <c r="X91" s="366">
        <f>+X89-X90</f>
        <v>70484.61000000003</v>
      </c>
      <c r="Y91" s="897"/>
      <c r="Z91" s="446">
        <f>+Z89-Z90</f>
        <v>211745.88800000018</v>
      </c>
      <c r="AA91" s="898"/>
      <c r="AB91" s="470">
        <f>+AB89-AB90</f>
        <v>404492.94600000029</v>
      </c>
      <c r="AC91" s="800"/>
      <c r="AD91" s="366">
        <f>+AD89-AD90</f>
        <v>66747.8</v>
      </c>
      <c r="AE91" s="896"/>
      <c r="AF91" s="367">
        <f>+AF89-AF90</f>
        <v>471240.74600000039</v>
      </c>
      <c r="AG91" s="800"/>
      <c r="AH91" s="366">
        <f>+AH89-AH90</f>
        <v>3169.7200000000003</v>
      </c>
      <c r="AI91" s="896"/>
      <c r="AJ91" s="367">
        <f>+AJ89-AJ90</f>
        <v>474410.46600000036</v>
      </c>
      <c r="AK91" s="800"/>
      <c r="AL91" s="366">
        <f>+AL89-AL90</f>
        <v>70630.630000000063</v>
      </c>
      <c r="AM91" s="897"/>
      <c r="AN91" s="446">
        <f>+AN89-AN90</f>
        <v>140548.15000000005</v>
      </c>
      <c r="AO91" s="896"/>
      <c r="AP91" s="367">
        <f>+AP89-AP90</f>
        <v>545041.09600000049</v>
      </c>
      <c r="AQ91" s="800"/>
      <c r="AR91" s="366">
        <f>+AR89-AR90</f>
        <v>70085.115000000107</v>
      </c>
      <c r="AS91" s="896"/>
      <c r="AT91" s="367">
        <f>+AT89-AT90</f>
        <v>615126.21100000071</v>
      </c>
      <c r="AU91" s="800"/>
      <c r="AV91" s="366">
        <f>+AV89-AV90</f>
        <v>65990.000000000044</v>
      </c>
      <c r="AW91" s="896"/>
      <c r="AX91" s="367">
        <f>+AX89-AX90</f>
        <v>681116.21100000059</v>
      </c>
      <c r="AY91" s="800"/>
      <c r="AZ91" s="366">
        <f>+AZ89-AZ90</f>
        <v>78010.610000000073</v>
      </c>
      <c r="BA91" s="897"/>
      <c r="BB91" s="446">
        <f>+BB89-BB90</f>
        <v>214085.72500000018</v>
      </c>
      <c r="BC91" s="898"/>
      <c r="BD91" s="470">
        <f>+BD89-BD90</f>
        <v>354633.87500000035</v>
      </c>
      <c r="BE91" s="896"/>
      <c r="BF91" s="367">
        <f>+BF89-BF90</f>
        <v>759126.82100000081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154"/>
      <c r="C92" s="154"/>
      <c r="D92" s="154"/>
      <c r="E92" s="579"/>
      <c r="F92" s="579"/>
      <c r="G92" s="579"/>
      <c r="H92" s="579"/>
      <c r="I92" s="579"/>
      <c r="J92" s="579"/>
      <c r="K92" s="579"/>
      <c r="L92" s="579"/>
      <c r="M92" s="579"/>
      <c r="N92" s="579"/>
      <c r="O92" s="579"/>
      <c r="P92" s="579"/>
      <c r="Q92" s="579"/>
      <c r="R92" s="579"/>
      <c r="S92" s="579"/>
      <c r="T92" s="579"/>
      <c r="U92" s="579"/>
      <c r="V92" s="579"/>
      <c r="W92" s="579"/>
      <c r="X92" s="579"/>
      <c r="Y92" s="579"/>
      <c r="Z92" s="579"/>
      <c r="AA92" s="579"/>
      <c r="AB92" s="579"/>
      <c r="AC92" s="579"/>
      <c r="AD92" s="579"/>
      <c r="AE92" s="579"/>
      <c r="AF92" s="579"/>
      <c r="AG92" s="579"/>
      <c r="AH92" s="579"/>
      <c r="AI92" s="579"/>
      <c r="AJ92" s="579"/>
      <c r="AK92" s="579"/>
      <c r="AL92" s="579"/>
      <c r="AM92" s="579"/>
      <c r="AN92" s="579"/>
      <c r="AO92" s="579"/>
      <c r="AP92" s="579"/>
      <c r="AQ92" s="579"/>
      <c r="AR92" s="579"/>
      <c r="AS92" s="579"/>
      <c r="AT92" s="579"/>
      <c r="AU92" s="579"/>
      <c r="AV92" s="579"/>
      <c r="AW92" s="579"/>
      <c r="AX92" s="579"/>
      <c r="AY92" s="579"/>
      <c r="AZ92" s="579"/>
      <c r="BA92" s="579"/>
      <c r="BB92" s="579"/>
      <c r="BC92" s="579"/>
      <c r="BD92" s="579"/>
      <c r="BE92" s="579"/>
      <c r="BF92" s="579"/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71" t="s">
        <v>835</v>
      </c>
      <c r="C93" s="271"/>
      <c r="D93" s="159" t="s">
        <v>50</v>
      </c>
      <c r="E93" s="800"/>
      <c r="F93" s="366">
        <f>+F86-F87-F88-F89</f>
        <v>0</v>
      </c>
      <c r="G93" s="800"/>
      <c r="H93" s="366">
        <f>+H86-H87-H88-H89</f>
        <v>0</v>
      </c>
      <c r="I93" s="896"/>
      <c r="J93" s="367">
        <f>+J86-J87-J88-J89</f>
        <v>0</v>
      </c>
      <c r="K93" s="800"/>
      <c r="L93" s="366">
        <f>+L86-L87-L88-L89</f>
        <v>-3.0000000624568202E-3</v>
      </c>
      <c r="M93" s="897"/>
      <c r="N93" s="446">
        <f>+N86-N87-N88-N89</f>
        <v>-3.0000002880115062E-3</v>
      </c>
      <c r="O93" s="800"/>
      <c r="P93" s="366">
        <f>+P86-P87-P88-P89</f>
        <v>-1.3096723705530167E-10</v>
      </c>
      <c r="Q93" s="896"/>
      <c r="R93" s="367">
        <f>+R86-R87-R88-R89</f>
        <v>-3.0000002589076757E-3</v>
      </c>
      <c r="S93" s="800"/>
      <c r="T93" s="366">
        <f>+T86-T87-T88-T89</f>
        <v>0</v>
      </c>
      <c r="U93" s="896"/>
      <c r="V93" s="367">
        <f>+V86-V87-V88-V89</f>
        <v>-3.0000003753229976E-3</v>
      </c>
      <c r="W93" s="800"/>
      <c r="X93" s="366">
        <f>+X86-X87-X88-X89</f>
        <v>0</v>
      </c>
      <c r="Y93" s="897"/>
      <c r="Z93" s="446">
        <f>+Z86-Z87-Z88-Z89</f>
        <v>-2.6193447411060333E-10</v>
      </c>
      <c r="AA93" s="898"/>
      <c r="AB93" s="470">
        <f>+AB86-AB87-AB88-AB89</f>
        <v>-3.0000004335306585E-3</v>
      </c>
      <c r="AC93" s="800"/>
      <c r="AD93" s="366">
        <f>+AD86-AD87-AD88-AD89</f>
        <v>-2.0000000004074536E-2</v>
      </c>
      <c r="AE93" s="896"/>
      <c r="AF93" s="367">
        <f>+AF86-AF87-AF88-AF89</f>
        <v>-2.3000000568572432E-2</v>
      </c>
      <c r="AG93" s="800"/>
      <c r="AH93" s="366">
        <f>+AH86-AH87-AH88-AH89</f>
        <v>0</v>
      </c>
      <c r="AI93" s="896"/>
      <c r="AJ93" s="367">
        <f>+AJ86-AJ87-AJ88-AJ89</f>
        <v>-2.3000000626780093E-2</v>
      </c>
      <c r="AK93" s="800"/>
      <c r="AL93" s="366">
        <f>+AL86-AL87-AL88-AL89</f>
        <v>0</v>
      </c>
      <c r="AM93" s="897"/>
      <c r="AN93" s="446">
        <f>+AN86-AN87-AN88-AN89</f>
        <v>-2.0000000105937943E-2</v>
      </c>
      <c r="AO93" s="896"/>
      <c r="AP93" s="367">
        <f>+AP86-AP87-AP88-AP89</f>
        <v>-2.3000000626780093E-2</v>
      </c>
      <c r="AQ93" s="800"/>
      <c r="AR93" s="366">
        <f>+AR86-AR87-AR88-AR89</f>
        <v>-2.0372681319713593E-10</v>
      </c>
      <c r="AS93" s="896"/>
      <c r="AT93" s="367">
        <f>+AT86-AT87-AT88-AT89</f>
        <v>-2.3000000976026058E-2</v>
      </c>
      <c r="AU93" s="800"/>
      <c r="AV93" s="366">
        <f>+AV86-AV87-AV88-AV89</f>
        <v>0</v>
      </c>
      <c r="AW93" s="896"/>
      <c r="AX93" s="367">
        <f>+AX86-AX87-AX88-AX89</f>
        <v>-2.3000000976026058E-2</v>
      </c>
      <c r="AY93" s="800"/>
      <c r="AZ93" s="366">
        <f>+AZ86-AZ87-AZ88-AZ89</f>
        <v>-1.3096723705530167E-10</v>
      </c>
      <c r="BA93" s="897"/>
      <c r="BB93" s="446">
        <f>+BB86-BB87-BB88-BB89</f>
        <v>-3.2014213502407074E-10</v>
      </c>
      <c r="BC93" s="898"/>
      <c r="BD93" s="470">
        <f>+BD86-BD87-BD88-BD89</f>
        <v>-2.0000000484287739E-2</v>
      </c>
      <c r="BE93" s="896"/>
      <c r="BF93" s="367">
        <f>+BF86-BF87-BF88-BF89</f>
        <v>-2.3000001208856702E-2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G94" s="5172"/>
      <c r="H94" s="5172"/>
      <c r="K94" s="3427"/>
      <c r="L94" s="3427"/>
      <c r="O94" s="4712"/>
      <c r="P94" s="4712"/>
      <c r="S94" s="4712"/>
      <c r="T94" s="4712"/>
      <c r="U94" s="4712"/>
      <c r="V94" s="4712"/>
      <c r="W94" s="4712"/>
      <c r="X94" s="4712"/>
      <c r="AC94" s="5172"/>
      <c r="AD94" s="5172"/>
      <c r="AG94" s="5172"/>
      <c r="AH94" s="5172"/>
      <c r="AI94" s="5172"/>
      <c r="AJ94" s="5172"/>
      <c r="AK94" s="5172"/>
      <c r="AL94" s="5172"/>
      <c r="AM94" s="2744"/>
      <c r="AN94" s="2744"/>
      <c r="AO94" s="2744"/>
      <c r="AP94" s="2744"/>
      <c r="AQ94" s="5172"/>
      <c r="AR94" s="5172"/>
      <c r="AS94" s="2809"/>
      <c r="AT94" s="2809"/>
      <c r="AU94" s="5172"/>
      <c r="AV94" s="5172"/>
      <c r="AW94" s="2846"/>
      <c r="AX94" s="2846"/>
      <c r="AY94" s="5172"/>
      <c r="AZ94" s="5172"/>
      <c r="BE94" s="3056"/>
      <c r="BF94" s="3056"/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x14ac:dyDescent="0.25">
      <c r="E95" s="26">
        <f>E53-'Maj Production Summ'!E31</f>
        <v>0</v>
      </c>
      <c r="F95" s="26">
        <f>F53-'Maj Production Summ'!F31</f>
        <v>0</v>
      </c>
      <c r="G95" s="26">
        <f>G53-'Maj Production Summ'!G31</f>
        <v>0</v>
      </c>
      <c r="H95" s="26">
        <f>H53-'Maj Production Summ'!H31</f>
        <v>0</v>
      </c>
      <c r="I95" s="26">
        <f>I53-'Maj Production Summ'!I31</f>
        <v>0</v>
      </c>
      <c r="J95" s="26">
        <f>J53-'Maj Production Summ'!J31</f>
        <v>0</v>
      </c>
      <c r="K95" s="26">
        <f>K53-'Maj Production Summ'!K31</f>
        <v>0</v>
      </c>
      <c r="L95" s="26">
        <f>L53-'Maj Production Summ'!L31</f>
        <v>0</v>
      </c>
      <c r="M95" s="26">
        <f>M53-'Maj Production Summ'!M31</f>
        <v>0</v>
      </c>
      <c r="N95" s="26">
        <f>N53-'Maj Production Summ'!N31</f>
        <v>0</v>
      </c>
      <c r="O95" s="26">
        <f>O53-'Maj Production Summ'!O31</f>
        <v>0</v>
      </c>
      <c r="P95" s="26">
        <f>P53-'Maj Production Summ'!P31</f>
        <v>0</v>
      </c>
      <c r="Q95" s="26">
        <f>Q53-'Maj Production Summ'!Q31</f>
        <v>0</v>
      </c>
      <c r="R95" s="26">
        <f>R53-'Maj Production Summ'!R31</f>
        <v>0</v>
      </c>
      <c r="S95" s="26">
        <f>S53-'Maj Production Summ'!S31</f>
        <v>0</v>
      </c>
      <c r="T95" s="26">
        <f>T53-'Maj Production Summ'!T31</f>
        <v>0</v>
      </c>
      <c r="U95" s="26">
        <f>U53-'Maj Production Summ'!U31</f>
        <v>0</v>
      </c>
      <c r="V95" s="26">
        <f>V53-'Maj Production Summ'!V31</f>
        <v>0</v>
      </c>
      <c r="W95" s="26">
        <f>W53-'Maj Production Summ'!W31</f>
        <v>0</v>
      </c>
      <c r="X95" s="26">
        <f>X53-'Maj Production Summ'!X31</f>
        <v>0</v>
      </c>
      <c r="Y95" s="26">
        <f>Y53-'Maj Production Summ'!Y31</f>
        <v>0</v>
      </c>
      <c r="Z95" s="26">
        <f>Z53-'Maj Production Summ'!Z31</f>
        <v>0</v>
      </c>
      <c r="AA95" s="26">
        <f>AA53-'Maj Production Summ'!AA31</f>
        <v>0</v>
      </c>
      <c r="AB95" s="26">
        <f>AB53-'Maj Production Summ'!AB31</f>
        <v>0</v>
      </c>
      <c r="AC95" s="26">
        <f>AC53-'Maj Production Summ'!AC31</f>
        <v>0</v>
      </c>
      <c r="AD95" s="26">
        <f>AD53-'Maj Production Summ'!AD31</f>
        <v>0</v>
      </c>
      <c r="AE95" s="26">
        <f>AE53-'Maj Production Summ'!AE31</f>
        <v>0</v>
      </c>
      <c r="AF95" s="26">
        <f>AF53-'Maj Production Summ'!AF31</f>
        <v>0</v>
      </c>
      <c r="AG95" s="26">
        <f>AG53-'Maj Production Summ'!AG31</f>
        <v>0</v>
      </c>
      <c r="AH95" s="26">
        <f>AH53-'Maj Production Summ'!AH31</f>
        <v>0</v>
      </c>
      <c r="AI95" s="26">
        <f>AI53-'Maj Production Summ'!AI31</f>
        <v>0</v>
      </c>
      <c r="AJ95" s="26">
        <f>AJ53-'Maj Production Summ'!AJ31</f>
        <v>0</v>
      </c>
      <c r="AK95" s="26">
        <f>AK53-'Maj Production Summ'!AK31</f>
        <v>0</v>
      </c>
      <c r="AL95" s="26">
        <f>AL53-'Maj Production Summ'!AL31</f>
        <v>0</v>
      </c>
      <c r="AM95" s="26">
        <f>AM53-'Maj Production Summ'!AM31</f>
        <v>0</v>
      </c>
      <c r="AN95" s="26">
        <f>AN53-'Maj Production Summ'!AN31</f>
        <v>0</v>
      </c>
      <c r="AO95" s="26">
        <f>AO53-'Maj Production Summ'!AO31</f>
        <v>0</v>
      </c>
      <c r="AP95" s="26">
        <f>AP53-'Maj Production Summ'!AP31</f>
        <v>0</v>
      </c>
      <c r="AQ95" s="26">
        <f>AQ53-'Maj Production Summ'!AQ31</f>
        <v>0</v>
      </c>
      <c r="AR95" s="26">
        <f>AR53-'Maj Production Summ'!AR31</f>
        <v>0</v>
      </c>
      <c r="AS95" s="26">
        <f>AS53-'Maj Production Summ'!AS31</f>
        <v>0</v>
      </c>
      <c r="AT95" s="26">
        <f>AT53-'Maj Production Summ'!AT31</f>
        <v>0</v>
      </c>
      <c r="AU95" s="26">
        <f>AU53-'Maj Production Summ'!AU31</f>
        <v>0</v>
      </c>
      <c r="AV95" s="26">
        <f>AV53-'Maj Production Summ'!AV31</f>
        <v>0</v>
      </c>
      <c r="AW95" s="26">
        <f>AW53-'Maj Production Summ'!AW31</f>
        <v>0</v>
      </c>
      <c r="AX95" s="26">
        <f>AX53-'Maj Production Summ'!AX31</f>
        <v>0</v>
      </c>
      <c r="AY95" s="26">
        <f>AY53-'Maj Production Summ'!AY31</f>
        <v>0</v>
      </c>
      <c r="AZ95" s="26">
        <f>AZ53-'Maj Production Summ'!AZ31</f>
        <v>0</v>
      </c>
      <c r="BA95" s="26">
        <f>BA53-'Maj Production Summ'!BA31</f>
        <v>0</v>
      </c>
      <c r="BB95" s="26">
        <f>BB53-'Maj Production Summ'!BB31</f>
        <v>0</v>
      </c>
      <c r="BC95" s="26">
        <f>BC53-'Maj Production Summ'!BC31</f>
        <v>0</v>
      </c>
      <c r="BD95" s="26">
        <f>BD53-'Maj Production Summ'!BD31</f>
        <v>0</v>
      </c>
      <c r="BE95" s="26">
        <f>BE53-'Maj Production Summ'!BE31</f>
        <v>0</v>
      </c>
      <c r="BF95" s="26">
        <f>BF53-'Maj Production Summ'!BF31</f>
        <v>0</v>
      </c>
      <c r="BG95" s="26"/>
      <c r="BH95" s="26"/>
      <c r="BI95" s="26"/>
      <c r="BJ95" s="26"/>
      <c r="BK95" s="26"/>
      <c r="BL95" s="26"/>
      <c r="BM95" s="26"/>
      <c r="BN95" s="26"/>
    </row>
  </sheetData>
  <autoFilter ref="C5:C76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145"/>
  <sheetViews>
    <sheetView topLeftCell="A113" zoomScaleNormal="100" workbookViewId="0">
      <pane xSplit="5" topLeftCell="F1" activePane="topRight" state="frozen"/>
      <selection pane="topRight" activeCell="BM29" sqref="BM29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customWidth="1"/>
    <col min="11" max="11" width="9.42578125" customWidth="1"/>
    <col min="12" max="13" width="8.5703125" hidden="1" customWidth="1"/>
    <col min="14" max="15" width="10.28515625" hidden="1" customWidth="1"/>
    <col min="16" max="17" width="8.5703125" hidden="1" customWidth="1"/>
    <col min="18" max="18" width="12.140625" hidden="1" customWidth="1"/>
    <col min="19" max="19" width="9.42578125" hidden="1" customWidth="1"/>
    <col min="20" max="21" width="8.5703125" hidden="1" customWidth="1"/>
    <col min="22" max="22" width="9.7109375" hidden="1" customWidth="1"/>
    <col min="23" max="23" width="12.85546875" hidden="1" customWidth="1"/>
    <col min="24" max="25" width="9.140625" hidden="1" customWidth="1"/>
    <col min="26" max="26" width="11.28515625" hidden="1" customWidth="1"/>
    <col min="27" max="27" width="10.28515625" hidden="1" customWidth="1"/>
    <col min="28" max="29" width="9.7109375" hidden="1" customWidth="1"/>
    <col min="30" max="31" width="9.140625" style="5172" hidden="1" customWidth="1"/>
    <col min="32" max="34" width="9.140625" hidden="1" customWidth="1"/>
    <col min="35" max="35" width="9.5703125" hidden="1" customWidth="1"/>
    <col min="36" max="44" width="9.140625" hidden="1" customWidth="1"/>
    <col min="45" max="45" width="13.28515625" hidden="1" customWidth="1"/>
    <col min="46" max="53" width="9.140625" hidden="1" customWidth="1"/>
    <col min="54" max="57" width="9.140625" style="3056" hidden="1" customWidth="1"/>
    <col min="58" max="59" width="9.140625" hidden="1" customWidth="1"/>
    <col min="60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4" t="s">
        <v>115</v>
      </c>
      <c r="C1" s="794"/>
      <c r="D1" s="794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1805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1806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1806">
        <v>30</v>
      </c>
      <c r="AJ2" s="399">
        <f>+AF2+AH2</f>
        <v>244</v>
      </c>
      <c r="AK2" s="399">
        <f>+AG2+AI2</f>
        <v>244</v>
      </c>
      <c r="AL2" s="399">
        <v>31</v>
      </c>
      <c r="AM2" s="1806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1806">
        <v>31</v>
      </c>
      <c r="AT2" s="399">
        <f>+AP2+AR2</f>
        <v>306</v>
      </c>
      <c r="AU2" s="399">
        <f>+AQ2+AS2</f>
        <v>306</v>
      </c>
      <c r="AV2" s="399">
        <v>28</v>
      </c>
      <c r="AW2" s="1806">
        <v>28</v>
      </c>
      <c r="AX2" s="399">
        <f>+AT2+AV2</f>
        <v>334</v>
      </c>
      <c r="AY2" s="399">
        <f>+AU2+AW2</f>
        <v>334</v>
      </c>
      <c r="AZ2" s="399">
        <v>31</v>
      </c>
      <c r="BA2" s="1806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.75" thickBot="1" x14ac:dyDescent="0.3">
      <c r="B3" s="7718" t="s">
        <v>171</v>
      </c>
      <c r="C3" s="7723" t="s">
        <v>850</v>
      </c>
      <c r="D3" s="7725" t="s">
        <v>851</v>
      </c>
      <c r="E3" s="7720" t="s">
        <v>172</v>
      </c>
      <c r="F3" s="7370" t="s">
        <v>2254</v>
      </c>
      <c r="G3" s="7377"/>
      <c r="H3" s="7370" t="s">
        <v>2306</v>
      </c>
      <c r="I3" s="7377"/>
      <c r="J3" s="7436" t="s">
        <v>14</v>
      </c>
      <c r="K3" s="7722"/>
      <c r="L3" s="7370" t="s">
        <v>1903</v>
      </c>
      <c r="M3" s="7377"/>
      <c r="N3" s="7371" t="s">
        <v>637</v>
      </c>
      <c r="O3" s="7372"/>
      <c r="P3" s="7370" t="s">
        <v>1937</v>
      </c>
      <c r="Q3" s="7377"/>
      <c r="R3" s="7362" t="s">
        <v>17</v>
      </c>
      <c r="S3" s="7363"/>
      <c r="T3" s="7370" t="s">
        <v>1961</v>
      </c>
      <c r="U3" s="7377"/>
      <c r="V3" s="7362" t="s">
        <v>18</v>
      </c>
      <c r="W3" s="7363"/>
      <c r="X3" s="7364" t="s">
        <v>1983</v>
      </c>
      <c r="Y3" s="7364"/>
      <c r="Z3" s="7383" t="s">
        <v>660</v>
      </c>
      <c r="AA3" s="7372"/>
      <c r="AB3" s="7354" t="s">
        <v>657</v>
      </c>
      <c r="AC3" s="7355"/>
      <c r="AD3" s="7364" t="s">
        <v>2002</v>
      </c>
      <c r="AE3" s="7364"/>
      <c r="AF3" s="7362" t="s">
        <v>24</v>
      </c>
      <c r="AG3" s="7363"/>
      <c r="AH3" s="7370" t="s">
        <v>2018</v>
      </c>
      <c r="AI3" s="7377"/>
      <c r="AJ3" s="7362" t="s">
        <v>27</v>
      </c>
      <c r="AK3" s="7363"/>
      <c r="AL3" s="7370" t="s">
        <v>2033</v>
      </c>
      <c r="AM3" s="7377"/>
      <c r="AN3" s="7383" t="s">
        <v>662</v>
      </c>
      <c r="AO3" s="7372"/>
      <c r="AP3" s="7362" t="s">
        <v>1683</v>
      </c>
      <c r="AQ3" s="7363"/>
      <c r="AR3" s="7370" t="s">
        <v>2137</v>
      </c>
      <c r="AS3" s="7377"/>
      <c r="AT3" s="7362" t="s">
        <v>28</v>
      </c>
      <c r="AU3" s="7363"/>
      <c r="AV3" s="7370" t="s">
        <v>2151</v>
      </c>
      <c r="AW3" s="7377"/>
      <c r="AX3" s="7362" t="s">
        <v>30</v>
      </c>
      <c r="AY3" s="7363"/>
      <c r="AZ3" s="7370" t="s">
        <v>2163</v>
      </c>
      <c r="BA3" s="7377"/>
      <c r="BB3" s="7383" t="s">
        <v>663</v>
      </c>
      <c r="BC3" s="7372"/>
      <c r="BD3" s="7727" t="s">
        <v>671</v>
      </c>
      <c r="BE3" s="7728"/>
      <c r="BF3" s="7362" t="s">
        <v>1765</v>
      </c>
      <c r="BG3" s="7363"/>
    </row>
    <row r="4" spans="1:72" ht="15.75" thickBot="1" x14ac:dyDescent="0.3">
      <c r="B4" s="7719"/>
      <c r="C4" s="7724"/>
      <c r="D4" s="7726"/>
      <c r="E4" s="7721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85" t="s">
        <v>174</v>
      </c>
      <c r="L4" s="179" t="s">
        <v>173</v>
      </c>
      <c r="M4" s="178" t="s">
        <v>174</v>
      </c>
      <c r="N4" s="1974" t="s">
        <v>173</v>
      </c>
      <c r="O4" s="170" t="s">
        <v>174</v>
      </c>
      <c r="P4" s="1043" t="s">
        <v>173</v>
      </c>
      <c r="Q4" s="400" t="s">
        <v>174</v>
      </c>
      <c r="R4" s="1975" t="s">
        <v>173</v>
      </c>
      <c r="S4" s="163" t="s">
        <v>174</v>
      </c>
      <c r="T4" s="1043" t="s">
        <v>173</v>
      </c>
      <c r="U4" s="1807" t="s">
        <v>174</v>
      </c>
      <c r="V4" s="1975" t="s">
        <v>173</v>
      </c>
      <c r="W4" s="163" t="s">
        <v>174</v>
      </c>
      <c r="X4" s="232" t="s">
        <v>173</v>
      </c>
      <c r="Y4" s="400" t="s">
        <v>174</v>
      </c>
      <c r="Z4" s="705" t="s">
        <v>173</v>
      </c>
      <c r="AA4" s="170" t="s">
        <v>174</v>
      </c>
      <c r="AB4" s="5184" t="s">
        <v>173</v>
      </c>
      <c r="AC4" s="467" t="s">
        <v>174</v>
      </c>
      <c r="AD4" s="232" t="s">
        <v>173</v>
      </c>
      <c r="AE4" s="400" t="s">
        <v>174</v>
      </c>
      <c r="AF4" s="2629" t="s">
        <v>173</v>
      </c>
      <c r="AG4" s="163" t="s">
        <v>174</v>
      </c>
      <c r="AH4" s="1043" t="s">
        <v>173</v>
      </c>
      <c r="AI4" s="1807" t="s">
        <v>174</v>
      </c>
      <c r="AJ4" s="2668" t="s">
        <v>173</v>
      </c>
      <c r="AK4" s="163" t="s">
        <v>174</v>
      </c>
      <c r="AL4" s="1043" t="s">
        <v>173</v>
      </c>
      <c r="AM4" s="1807" t="s">
        <v>174</v>
      </c>
      <c r="AN4" s="2739" t="s">
        <v>173</v>
      </c>
      <c r="AO4" s="170" t="s">
        <v>174</v>
      </c>
      <c r="AP4" s="2737" t="s">
        <v>173</v>
      </c>
      <c r="AQ4" s="163" t="s">
        <v>174</v>
      </c>
      <c r="AR4" s="1043" t="s">
        <v>173</v>
      </c>
      <c r="AS4" s="1807" t="s">
        <v>174</v>
      </c>
      <c r="AT4" s="2807" t="s">
        <v>173</v>
      </c>
      <c r="AU4" s="163" t="s">
        <v>174</v>
      </c>
      <c r="AV4" s="1043" t="s">
        <v>173</v>
      </c>
      <c r="AW4" s="1807" t="s">
        <v>174</v>
      </c>
      <c r="AX4" s="2844" t="s">
        <v>173</v>
      </c>
      <c r="AY4" s="163" t="s">
        <v>174</v>
      </c>
      <c r="AZ4" s="1043" t="s">
        <v>173</v>
      </c>
      <c r="BA4" s="1807" t="s">
        <v>174</v>
      </c>
      <c r="BB4" s="3051" t="s">
        <v>173</v>
      </c>
      <c r="BC4" s="170" t="s">
        <v>174</v>
      </c>
      <c r="BD4" s="901" t="s">
        <v>173</v>
      </c>
      <c r="BE4" s="700" t="s">
        <v>174</v>
      </c>
      <c r="BF4" s="3049" t="s">
        <v>173</v>
      </c>
      <c r="BG4" s="163" t="s">
        <v>174</v>
      </c>
    </row>
    <row r="5" spans="1:72" ht="17.100000000000001" customHeight="1" thickBot="1" x14ac:dyDescent="0.3">
      <c r="B5" s="3618" t="s">
        <v>847</v>
      </c>
      <c r="C5" s="3619"/>
      <c r="D5" s="3620"/>
      <c r="E5" s="3621" t="s">
        <v>50</v>
      </c>
      <c r="F5" s="3622">
        <v>65435.356200527705</v>
      </c>
      <c r="G5" s="577">
        <v>52840.79</v>
      </c>
      <c r="H5" s="3622">
        <v>68601.583113456465</v>
      </c>
      <c r="I5" s="577">
        <v>60969.777000000002</v>
      </c>
      <c r="J5" s="887">
        <f>+H5+F5</f>
        <v>134036.93931398418</v>
      </c>
      <c r="K5" s="3623">
        <f>+G5+I5</f>
        <v>113810.56700000001</v>
      </c>
      <c r="L5" s="1403">
        <v>36939.313984168868</v>
      </c>
      <c r="M5" s="6708">
        <v>29641</v>
      </c>
      <c r="N5" s="2102">
        <f>+F5+H5+L5</f>
        <v>170976.25329815305</v>
      </c>
      <c r="O5" s="2103">
        <f>+G5+I5+M5</f>
        <v>143451.56700000001</v>
      </c>
      <c r="P5" s="3622">
        <v>13192.612137203167</v>
      </c>
      <c r="Q5" s="577">
        <v>47572.771000000008</v>
      </c>
      <c r="R5" s="2111">
        <f>+N5+P5</f>
        <v>184168.86543535622</v>
      </c>
      <c r="S5" s="99">
        <f>+O5+Q5</f>
        <v>191024.33800000002</v>
      </c>
      <c r="T5" s="3622">
        <v>51715.039577836411</v>
      </c>
      <c r="U5" s="577">
        <v>37196.487000000001</v>
      </c>
      <c r="V5" s="2111">
        <f>+R5+T5</f>
        <v>235883.90501319262</v>
      </c>
      <c r="W5" s="99">
        <f>+S5+U5</f>
        <v>228220.82500000001</v>
      </c>
      <c r="X5" s="3622">
        <v>50659.630606860155</v>
      </c>
      <c r="Y5" s="577">
        <v>46283.548999999992</v>
      </c>
      <c r="Z5" s="902">
        <f>+P5+T5+X5</f>
        <v>115567.28232189974</v>
      </c>
      <c r="AA5" s="91">
        <f>+Q5+U5+Y5</f>
        <v>131052.807</v>
      </c>
      <c r="AB5" s="2458">
        <f>+N5+Z5</f>
        <v>286543.53562005277</v>
      </c>
      <c r="AC5" s="468">
        <f>+AA5+O5</f>
        <v>274504.37400000001</v>
      </c>
      <c r="AD5" s="3622">
        <v>56992.084432717675</v>
      </c>
      <c r="AE5" s="6708">
        <v>47718.038999999997</v>
      </c>
      <c r="AF5" s="2111">
        <f>+AB5+AD5</f>
        <v>343535.62005277048</v>
      </c>
      <c r="AG5" s="99">
        <f>+AC5+AE5</f>
        <v>322222.413</v>
      </c>
      <c r="AH5" s="3622">
        <v>54881.266490765171</v>
      </c>
      <c r="AI5" s="577">
        <v>9162.5960000000014</v>
      </c>
      <c r="AJ5" s="2111">
        <f>+AF5+AH5</f>
        <v>398416.88654353563</v>
      </c>
      <c r="AK5" s="99">
        <f>+AG5+AI5</f>
        <v>331385.00900000002</v>
      </c>
      <c r="AL5" s="2088">
        <v>56992.084432717675</v>
      </c>
      <c r="AM5" s="6709">
        <v>43999</v>
      </c>
      <c r="AN5" s="902">
        <f>+AD5+AH5+AL5</f>
        <v>168865.43535620053</v>
      </c>
      <c r="AO5" s="91">
        <f>+AE5+AI5+AM5</f>
        <v>100879.63499999999</v>
      </c>
      <c r="AP5" s="2111">
        <f>+AL5+AJ5</f>
        <v>455408.97097625327</v>
      </c>
      <c r="AQ5" s="2111">
        <f>+AM5+AK5</f>
        <v>375384.00900000002</v>
      </c>
      <c r="AR5" s="2088">
        <v>56992.084432717675</v>
      </c>
      <c r="AS5" s="6709">
        <v>54570.189000000006</v>
      </c>
      <c r="AT5" s="2111">
        <f>+AP5+AR5</f>
        <v>512401.05540897092</v>
      </c>
      <c r="AU5" s="99">
        <f>+AQ5+AS5</f>
        <v>429954.19800000003</v>
      </c>
      <c r="AV5" s="2088">
        <v>50659.630606860155</v>
      </c>
      <c r="AW5" s="1815">
        <v>54216.333000000006</v>
      </c>
      <c r="AX5" s="2111">
        <f>+AT5+AV5</f>
        <v>563060.68601583107</v>
      </c>
      <c r="AY5" s="99">
        <f>+AU5+AW5</f>
        <v>484170.53100000002</v>
      </c>
      <c r="AZ5" s="2088">
        <v>63324.538258575194</v>
      </c>
      <c r="BA5" s="1815">
        <v>65968.552000000011</v>
      </c>
      <c r="BB5" s="902">
        <f>+AR5+AV5+AZ5</f>
        <v>170976.25329815302</v>
      </c>
      <c r="BC5" s="91">
        <f>+AS5+AW5+BA5</f>
        <v>174755.07400000002</v>
      </c>
      <c r="BD5" s="903">
        <f>+AN5+BB5</f>
        <v>339841.68865435355</v>
      </c>
      <c r="BE5" s="903">
        <f>+AO5+BC5</f>
        <v>275634.70900000003</v>
      </c>
      <c r="BF5" s="2111">
        <f>+AX5+AZ5</f>
        <v>626385.22427440621</v>
      </c>
      <c r="BG5" s="99">
        <f>+AY5+BA5</f>
        <v>550139.08299999998</v>
      </c>
      <c r="BH5" s="1222"/>
      <c r="BI5" s="1222"/>
      <c r="BJ5" s="26"/>
      <c r="BK5" s="26"/>
      <c r="BL5" s="26"/>
      <c r="BM5" s="26"/>
      <c r="BN5" s="549"/>
    </row>
    <row r="6" spans="1:72" x14ac:dyDescent="0.25">
      <c r="B6" s="3628" t="s">
        <v>852</v>
      </c>
      <c r="C6" s="3629" t="s">
        <v>948</v>
      </c>
      <c r="D6" s="3630">
        <v>42.24</v>
      </c>
      <c r="E6" s="1332" t="s">
        <v>50</v>
      </c>
      <c r="F6" s="3631"/>
      <c r="G6" s="88">
        <v>495.54500000000007</v>
      </c>
      <c r="H6" s="3631"/>
      <c r="I6" s="88">
        <v>459.78500000000008</v>
      </c>
      <c r="J6" s="3632"/>
      <c r="K6" s="6672">
        <f>+G6+I6</f>
        <v>955.33000000000015</v>
      </c>
      <c r="L6" s="3463"/>
      <c r="M6" s="88">
        <v>1045</v>
      </c>
      <c r="N6" s="2104"/>
      <c r="O6" s="69">
        <f>+G6+I6+M6</f>
        <v>2000.3300000000002</v>
      </c>
      <c r="P6" s="3631"/>
      <c r="Q6" s="88"/>
      <c r="R6" s="2112"/>
      <c r="S6" s="39">
        <f>+O6+Q6</f>
        <v>2000.3300000000002</v>
      </c>
      <c r="T6" s="3631"/>
      <c r="U6" s="88"/>
      <c r="V6" s="2112"/>
      <c r="W6" s="39">
        <f>+S6+U6</f>
        <v>2000.3300000000002</v>
      </c>
      <c r="X6" s="3631"/>
      <c r="Y6" s="88"/>
      <c r="Z6" s="904"/>
      <c r="AA6" s="782">
        <f>+Q6+U6+Y6</f>
        <v>0</v>
      </c>
      <c r="AB6" s="5189"/>
      <c r="AC6" s="5183">
        <f>+AA6+O6</f>
        <v>2000.3300000000002</v>
      </c>
      <c r="AD6" s="3631"/>
      <c r="AE6" s="88"/>
      <c r="AF6" s="2112"/>
      <c r="AG6" s="39">
        <f>+AC6+AE6</f>
        <v>2000.3300000000002</v>
      </c>
      <c r="AH6" s="3631"/>
      <c r="AI6" s="88"/>
      <c r="AJ6" s="2112"/>
      <c r="AK6" s="39">
        <f>+AG6+AI6</f>
        <v>2000.3300000000002</v>
      </c>
      <c r="AL6" s="3631"/>
      <c r="AM6" s="88">
        <v>2026.1429999999996</v>
      </c>
      <c r="AN6" s="904"/>
      <c r="AO6" s="2736">
        <f>+AE6+AI6+AM6</f>
        <v>2026.1429999999996</v>
      </c>
      <c r="AP6" s="2112"/>
      <c r="AQ6" s="39">
        <f>AK6+AM6</f>
        <v>4026.473</v>
      </c>
      <c r="AR6" s="3631"/>
      <c r="AS6" s="88">
        <v>472.02799999999996</v>
      </c>
      <c r="AT6" s="2112"/>
      <c r="AU6" s="39">
        <f>+AQ6+AS6</f>
        <v>4498.5010000000002</v>
      </c>
      <c r="AV6" s="3631"/>
      <c r="AW6" s="88">
        <v>995.15700000000004</v>
      </c>
      <c r="AX6" s="2112"/>
      <c r="AY6" s="39">
        <f>+AU6+AW6</f>
        <v>5493.6580000000004</v>
      </c>
      <c r="AZ6" s="3631"/>
      <c r="BA6" s="88">
        <v>818.29199999999992</v>
      </c>
      <c r="BB6" s="904"/>
      <c r="BC6" s="3048">
        <f>+AS6+AW6+BA6</f>
        <v>2285.4769999999999</v>
      </c>
      <c r="BD6" s="905"/>
      <c r="BE6" s="701">
        <f>+AO6+BC6</f>
        <v>4311.619999999999</v>
      </c>
      <c r="BF6" s="2112"/>
      <c r="BG6" s="39">
        <f>+AY6+BA6</f>
        <v>6311.9500000000007</v>
      </c>
      <c r="BH6" s="1222"/>
      <c r="BI6" s="1222"/>
      <c r="BJ6" s="26"/>
      <c r="BK6" s="26"/>
      <c r="BL6" s="26"/>
      <c r="BM6" s="26"/>
      <c r="BN6" s="1222"/>
    </row>
    <row r="7" spans="1:72" x14ac:dyDescent="0.25">
      <c r="B7" s="1093" t="s">
        <v>852</v>
      </c>
      <c r="C7" s="3418" t="s">
        <v>1015</v>
      </c>
      <c r="D7" s="3419">
        <v>42.24</v>
      </c>
      <c r="E7" s="1395" t="s">
        <v>50</v>
      </c>
      <c r="F7" s="2089"/>
      <c r="G7" s="18">
        <v>2825.8679999999999</v>
      </c>
      <c r="H7" s="2089"/>
      <c r="I7" s="18">
        <v>6491.6309999999985</v>
      </c>
      <c r="J7" s="2095"/>
      <c r="K7" s="6672">
        <f t="shared" ref="K7:K70" si="0">+G7+I7</f>
        <v>9317.498999999998</v>
      </c>
      <c r="L7" s="2089"/>
      <c r="M7" s="18">
        <v>3625.1619999999998</v>
      </c>
      <c r="N7" s="2104"/>
      <c r="O7" s="69">
        <f t="shared" ref="O7:O70" si="1">+G7+I7+M7</f>
        <v>12942.660999999998</v>
      </c>
      <c r="P7" s="2089"/>
      <c r="Q7" s="18">
        <v>1969.5139999999999</v>
      </c>
      <c r="R7" s="2112"/>
      <c r="S7" s="39">
        <f t="shared" ref="S7:S70" si="2">+O7+Q7</f>
        <v>14912.174999999997</v>
      </c>
      <c r="T7" s="2089"/>
      <c r="U7" s="18"/>
      <c r="V7" s="2112"/>
      <c r="W7" s="39">
        <f t="shared" ref="W7:W70" si="3">+S7+U7</f>
        <v>14912.174999999997</v>
      </c>
      <c r="X7" s="2089"/>
      <c r="Y7" s="18">
        <v>3886.6</v>
      </c>
      <c r="Z7" s="904"/>
      <c r="AA7" s="6701">
        <f t="shared" ref="AA7:AA70" si="4">+Q7+U7+Y7</f>
        <v>5856.1139999999996</v>
      </c>
      <c r="AB7" s="5189"/>
      <c r="AC7" s="6704">
        <f t="shared" ref="AC7:AC70" si="5">+AA7+O7</f>
        <v>18798.774999999998</v>
      </c>
      <c r="AD7" s="2089"/>
      <c r="AE7" s="18">
        <v>2577.018</v>
      </c>
      <c r="AF7" s="2112"/>
      <c r="AG7" s="39">
        <f t="shared" ref="AG7:AG35" si="6">+AC7+AE7</f>
        <v>21375.792999999998</v>
      </c>
      <c r="AH7" s="2089"/>
      <c r="AI7" s="18"/>
      <c r="AJ7" s="2112"/>
      <c r="AK7" s="39">
        <f t="shared" ref="AK7:AK35" si="7">+AG7+AI7</f>
        <v>21375.792999999998</v>
      </c>
      <c r="AL7" s="2089"/>
      <c r="AM7" s="18">
        <v>5141.098</v>
      </c>
      <c r="AN7" s="904"/>
      <c r="AO7" s="6701">
        <f t="shared" ref="AO7:AO70" si="8">+AE7+AI7+AM7</f>
        <v>7718.116</v>
      </c>
      <c r="AP7" s="2112"/>
      <c r="AQ7" s="39">
        <f t="shared" ref="AQ7:AQ72" si="9">AK7+AM7</f>
        <v>26516.890999999996</v>
      </c>
      <c r="AR7" s="2089"/>
      <c r="AS7" s="18">
        <v>2347.7169999999996</v>
      </c>
      <c r="AT7" s="2112"/>
      <c r="AU7" s="39">
        <f t="shared" ref="AU7:AU72" si="10">+AQ7+AS7</f>
        <v>28864.607999999997</v>
      </c>
      <c r="AV7" s="2089"/>
      <c r="AW7" s="18">
        <v>3193.2939999999999</v>
      </c>
      <c r="AX7" s="2112"/>
      <c r="AY7" s="39">
        <f t="shared" ref="AY7:AY72" si="11">+AU7+AW7</f>
        <v>32057.901999999995</v>
      </c>
      <c r="AZ7" s="2089"/>
      <c r="BA7" s="18">
        <v>2870.5039999999999</v>
      </c>
      <c r="BB7" s="904"/>
      <c r="BC7" s="6643">
        <f t="shared" ref="BC7:BC70" si="12">+AS7+AW7+BA7</f>
        <v>8411.5149999999994</v>
      </c>
      <c r="BD7" s="905"/>
      <c r="BE7" s="701">
        <f t="shared" ref="BE7:BE70" si="13">+AO7+BC7</f>
        <v>16129.630999999999</v>
      </c>
      <c r="BF7" s="2112"/>
      <c r="BG7" s="39">
        <f t="shared" ref="BG7:BG70" si="14">+AY7+BA7</f>
        <v>34928.405999999995</v>
      </c>
      <c r="BH7" s="1222"/>
      <c r="BI7" s="1222"/>
      <c r="BJ7" s="26"/>
      <c r="BK7" s="26"/>
      <c r="BL7" s="26"/>
      <c r="BM7" s="26"/>
      <c r="BN7" s="1222"/>
    </row>
    <row r="8" spans="1:72" x14ac:dyDescent="0.25">
      <c r="B8" s="1093" t="s">
        <v>911</v>
      </c>
      <c r="C8" s="3418" t="s">
        <v>948</v>
      </c>
      <c r="D8" s="3419">
        <v>49.32</v>
      </c>
      <c r="E8" s="1395" t="s">
        <v>50</v>
      </c>
      <c r="F8" s="2089"/>
      <c r="G8" s="18"/>
      <c r="H8" s="2089"/>
      <c r="I8" s="18">
        <v>632.70000000000005</v>
      </c>
      <c r="J8" s="2095"/>
      <c r="K8" s="6672">
        <f t="shared" si="0"/>
        <v>632.70000000000005</v>
      </c>
      <c r="L8" s="2089"/>
      <c r="M8" s="18">
        <v>261.56200000000001</v>
      </c>
      <c r="N8" s="2104"/>
      <c r="O8" s="69">
        <f t="shared" si="1"/>
        <v>894.26200000000006</v>
      </c>
      <c r="P8" s="2089"/>
      <c r="Q8" s="18">
        <v>1021.9180000000001</v>
      </c>
      <c r="R8" s="2112"/>
      <c r="S8" s="39">
        <f t="shared" si="2"/>
        <v>1916.1800000000003</v>
      </c>
      <c r="T8" s="2089"/>
      <c r="U8" s="18"/>
      <c r="V8" s="2112"/>
      <c r="W8" s="39">
        <f t="shared" si="3"/>
        <v>1916.1800000000003</v>
      </c>
      <c r="X8" s="2089"/>
      <c r="Y8" s="18"/>
      <c r="Z8" s="904"/>
      <c r="AA8" s="6701">
        <f t="shared" si="4"/>
        <v>1021.9180000000001</v>
      </c>
      <c r="AB8" s="5189"/>
      <c r="AC8" s="6704">
        <f t="shared" si="5"/>
        <v>1916.1800000000003</v>
      </c>
      <c r="AD8" s="2089"/>
      <c r="AE8" s="18"/>
      <c r="AF8" s="2112"/>
      <c r="AG8" s="39">
        <f t="shared" si="6"/>
        <v>1916.1800000000003</v>
      </c>
      <c r="AH8" s="2089"/>
      <c r="AI8" s="18"/>
      <c r="AJ8" s="2112"/>
      <c r="AK8" s="39">
        <f t="shared" si="7"/>
        <v>1916.1800000000003</v>
      </c>
      <c r="AL8" s="2089"/>
      <c r="AM8" s="18">
        <v>273.72800000000001</v>
      </c>
      <c r="AN8" s="904"/>
      <c r="AO8" s="6701">
        <f t="shared" si="8"/>
        <v>273.72800000000001</v>
      </c>
      <c r="AP8" s="2112"/>
      <c r="AQ8" s="39">
        <f t="shared" si="9"/>
        <v>2189.9080000000004</v>
      </c>
      <c r="AR8" s="2089"/>
      <c r="AS8" s="18">
        <v>310.22500000000002</v>
      </c>
      <c r="AT8" s="2112"/>
      <c r="AU8" s="39">
        <f t="shared" si="10"/>
        <v>2500.1330000000003</v>
      </c>
      <c r="AV8" s="2089"/>
      <c r="AW8" s="18">
        <v>592.18499999999995</v>
      </c>
      <c r="AX8" s="2112"/>
      <c r="AY8" s="39">
        <f t="shared" si="11"/>
        <v>3092.3180000000002</v>
      </c>
      <c r="AZ8" s="2089"/>
      <c r="BA8" s="18">
        <v>377.97300000000001</v>
      </c>
      <c r="BB8" s="904"/>
      <c r="BC8" s="6643">
        <f t="shared" si="12"/>
        <v>1280.383</v>
      </c>
      <c r="BD8" s="905"/>
      <c r="BE8" s="701">
        <f t="shared" si="13"/>
        <v>1554.1110000000001</v>
      </c>
      <c r="BF8" s="2112"/>
      <c r="BG8" s="39">
        <f t="shared" si="14"/>
        <v>3470.2910000000002</v>
      </c>
      <c r="BH8" s="1222"/>
      <c r="BI8" s="1222"/>
      <c r="BJ8" s="26"/>
      <c r="BK8" s="26"/>
      <c r="BL8" s="26"/>
      <c r="BM8" s="26"/>
      <c r="BN8" s="1222"/>
    </row>
    <row r="9" spans="1:72" x14ac:dyDescent="0.25">
      <c r="B9" s="1093" t="s">
        <v>911</v>
      </c>
      <c r="C9" s="3418" t="s">
        <v>1015</v>
      </c>
      <c r="D9" s="3419">
        <v>49.32</v>
      </c>
      <c r="E9" s="1395" t="s">
        <v>50</v>
      </c>
      <c r="F9" s="2089"/>
      <c r="G9" s="18">
        <v>632.702</v>
      </c>
      <c r="H9" s="2089"/>
      <c r="I9" s="18">
        <v>960.57</v>
      </c>
      <c r="J9" s="2095"/>
      <c r="K9" s="6672">
        <f t="shared" si="0"/>
        <v>1593.2719999999999</v>
      </c>
      <c r="L9" s="2089"/>
      <c r="M9" s="18">
        <v>279.81</v>
      </c>
      <c r="N9" s="2104"/>
      <c r="O9" s="69">
        <f t="shared" si="1"/>
        <v>1873.0819999999999</v>
      </c>
      <c r="P9" s="2089"/>
      <c r="Q9" s="18">
        <v>456.21300000000002</v>
      </c>
      <c r="R9" s="2112"/>
      <c r="S9" s="39">
        <f t="shared" si="2"/>
        <v>2329.2950000000001</v>
      </c>
      <c r="T9" s="2089"/>
      <c r="U9" s="18"/>
      <c r="V9" s="2112"/>
      <c r="W9" s="39">
        <f t="shared" si="3"/>
        <v>2329.2950000000001</v>
      </c>
      <c r="X9" s="2089"/>
      <c r="Y9" s="18">
        <v>613.18100000000004</v>
      </c>
      <c r="Z9" s="904"/>
      <c r="AA9" s="6701">
        <f t="shared" si="4"/>
        <v>1069.394</v>
      </c>
      <c r="AB9" s="5189"/>
      <c r="AC9" s="6704">
        <f t="shared" si="5"/>
        <v>2942.4759999999997</v>
      </c>
      <c r="AD9" s="2089"/>
      <c r="AE9" s="18"/>
      <c r="AF9" s="2112"/>
      <c r="AG9" s="39">
        <f t="shared" si="6"/>
        <v>2942.4759999999997</v>
      </c>
      <c r="AH9" s="2089"/>
      <c r="AI9" s="18"/>
      <c r="AJ9" s="2112"/>
      <c r="AK9" s="39">
        <f t="shared" si="7"/>
        <v>2942.4759999999997</v>
      </c>
      <c r="AL9" s="2089"/>
      <c r="AM9" s="18">
        <v>985.42200000000003</v>
      </c>
      <c r="AN9" s="904"/>
      <c r="AO9" s="6701">
        <f t="shared" si="8"/>
        <v>985.42200000000003</v>
      </c>
      <c r="AP9" s="2112"/>
      <c r="AQ9" s="39">
        <f t="shared" si="9"/>
        <v>3927.8979999999997</v>
      </c>
      <c r="AR9" s="2089"/>
      <c r="AS9" s="18">
        <v>736.2170000000001</v>
      </c>
      <c r="AT9" s="2112"/>
      <c r="AU9" s="39">
        <f t="shared" si="10"/>
        <v>4664.1149999999998</v>
      </c>
      <c r="AV9" s="2089"/>
      <c r="AW9" s="18">
        <v>604.52</v>
      </c>
      <c r="AX9" s="2112"/>
      <c r="AY9" s="39">
        <f t="shared" si="11"/>
        <v>5268.6350000000002</v>
      </c>
      <c r="AZ9" s="2089"/>
      <c r="BA9" s="18">
        <v>570.822</v>
      </c>
      <c r="BB9" s="904"/>
      <c r="BC9" s="6643">
        <f t="shared" si="12"/>
        <v>1911.5590000000002</v>
      </c>
      <c r="BD9" s="905"/>
      <c r="BE9" s="701">
        <f t="shared" si="13"/>
        <v>2896.9810000000002</v>
      </c>
      <c r="BF9" s="2112"/>
      <c r="BG9" s="39">
        <f t="shared" si="14"/>
        <v>5839.4570000000003</v>
      </c>
      <c r="BH9" s="1222"/>
      <c r="BI9" s="1222"/>
      <c r="BJ9" s="26"/>
      <c r="BK9" s="26"/>
      <c r="BL9" s="26"/>
      <c r="BM9" s="26"/>
      <c r="BN9" s="1222"/>
    </row>
    <row r="10" spans="1:72" s="3427" customFormat="1" x14ac:dyDescent="0.25">
      <c r="B10" s="1093" t="s">
        <v>911</v>
      </c>
      <c r="C10" s="3418" t="s">
        <v>948</v>
      </c>
      <c r="D10" s="3419">
        <v>36.53</v>
      </c>
      <c r="E10" s="1395" t="s">
        <v>50</v>
      </c>
      <c r="F10" s="2089"/>
      <c r="G10" s="18"/>
      <c r="H10" s="2089"/>
      <c r="I10" s="18">
        <v>149.02000000000001</v>
      </c>
      <c r="J10" s="2095"/>
      <c r="K10" s="6672">
        <f t="shared" si="0"/>
        <v>149.02000000000001</v>
      </c>
      <c r="L10" s="2089"/>
      <c r="M10" s="18">
        <v>350.75600000000003</v>
      </c>
      <c r="N10" s="2104"/>
      <c r="O10" s="69">
        <f t="shared" si="1"/>
        <v>499.77600000000007</v>
      </c>
      <c r="P10" s="2089"/>
      <c r="Q10" s="18"/>
      <c r="R10" s="2112"/>
      <c r="S10" s="39">
        <f t="shared" si="2"/>
        <v>499.77600000000007</v>
      </c>
      <c r="T10" s="2089"/>
      <c r="U10" s="18"/>
      <c r="V10" s="2112"/>
      <c r="W10" s="39">
        <f t="shared" si="3"/>
        <v>499.77600000000007</v>
      </c>
      <c r="X10" s="2089"/>
      <c r="Y10" s="18"/>
      <c r="Z10" s="3420"/>
      <c r="AA10" s="6701">
        <f t="shared" si="4"/>
        <v>0</v>
      </c>
      <c r="AB10" s="5190"/>
      <c r="AC10" s="6704">
        <f t="shared" si="5"/>
        <v>499.77600000000007</v>
      </c>
      <c r="AD10" s="2089"/>
      <c r="AE10" s="18"/>
      <c r="AF10" s="2112"/>
      <c r="AG10" s="39">
        <f t="shared" si="6"/>
        <v>499.77600000000007</v>
      </c>
      <c r="AH10" s="2089"/>
      <c r="AI10" s="18"/>
      <c r="AJ10" s="2112"/>
      <c r="AK10" s="39">
        <f t="shared" si="7"/>
        <v>499.77600000000007</v>
      </c>
      <c r="AL10" s="2089"/>
      <c r="AM10" s="18">
        <v>220.51899999999998</v>
      </c>
      <c r="AN10" s="3420"/>
      <c r="AO10" s="6701">
        <f t="shared" si="8"/>
        <v>220.51899999999998</v>
      </c>
      <c r="AP10" s="2112"/>
      <c r="AQ10" s="39">
        <f t="shared" si="9"/>
        <v>720.29500000000007</v>
      </c>
      <c r="AR10" s="2089"/>
      <c r="AS10" s="18"/>
      <c r="AT10" s="2112"/>
      <c r="AU10" s="39">
        <f t="shared" si="10"/>
        <v>720.29500000000007</v>
      </c>
      <c r="AV10" s="2089"/>
      <c r="AW10" s="18"/>
      <c r="AX10" s="2112"/>
      <c r="AY10" s="39">
        <f t="shared" si="11"/>
        <v>720.29500000000007</v>
      </c>
      <c r="AZ10" s="2089"/>
      <c r="BA10" s="18"/>
      <c r="BB10" s="3420"/>
      <c r="BC10" s="6643">
        <f t="shared" si="12"/>
        <v>0</v>
      </c>
      <c r="BD10" s="3421"/>
      <c r="BE10" s="701">
        <f t="shared" si="13"/>
        <v>220.51899999999998</v>
      </c>
      <c r="BF10" s="2112"/>
      <c r="BG10" s="39">
        <f t="shared" si="14"/>
        <v>720.29500000000007</v>
      </c>
      <c r="BH10" s="1222"/>
      <c r="BI10" s="1222"/>
      <c r="BJ10" s="26"/>
      <c r="BK10" s="26"/>
      <c r="BL10" s="26"/>
      <c r="BM10" s="26"/>
      <c r="BN10" s="1222"/>
    </row>
    <row r="11" spans="1:72" x14ac:dyDescent="0.25">
      <c r="B11" s="1093" t="s">
        <v>852</v>
      </c>
      <c r="C11" s="3418" t="s">
        <v>948</v>
      </c>
      <c r="D11" s="3419">
        <v>36.520000000000003</v>
      </c>
      <c r="E11" s="1395" t="s">
        <v>50</v>
      </c>
      <c r="F11" s="2089"/>
      <c r="G11" s="18"/>
      <c r="H11" s="2089"/>
      <c r="I11" s="18"/>
      <c r="J11" s="2095"/>
      <c r="K11" s="6672">
        <f t="shared" si="0"/>
        <v>0</v>
      </c>
      <c r="L11" s="2089"/>
      <c r="M11" s="18"/>
      <c r="N11" s="2104"/>
      <c r="O11" s="69">
        <f t="shared" si="1"/>
        <v>0</v>
      </c>
      <c r="P11" s="2089"/>
      <c r="Q11" s="18"/>
      <c r="R11" s="2112"/>
      <c r="S11" s="39">
        <f t="shared" si="2"/>
        <v>0</v>
      </c>
      <c r="T11" s="2089"/>
      <c r="U11" s="18"/>
      <c r="V11" s="2112"/>
      <c r="W11" s="39">
        <f t="shared" si="3"/>
        <v>0</v>
      </c>
      <c r="X11" s="2089"/>
      <c r="Y11" s="18"/>
      <c r="Z11" s="904"/>
      <c r="AA11" s="6701">
        <f t="shared" si="4"/>
        <v>0</v>
      </c>
      <c r="AB11" s="5189"/>
      <c r="AC11" s="6704">
        <f t="shared" si="5"/>
        <v>0</v>
      </c>
      <c r="AD11" s="2089"/>
      <c r="AE11" s="18"/>
      <c r="AF11" s="2112"/>
      <c r="AG11" s="39">
        <f t="shared" si="6"/>
        <v>0</v>
      </c>
      <c r="AH11" s="2089"/>
      <c r="AI11" s="18"/>
      <c r="AJ11" s="2112"/>
      <c r="AK11" s="39">
        <f t="shared" si="7"/>
        <v>0</v>
      </c>
      <c r="AL11" s="2089"/>
      <c r="AM11" s="18"/>
      <c r="AN11" s="904"/>
      <c r="AO11" s="6701">
        <f t="shared" si="8"/>
        <v>0</v>
      </c>
      <c r="AP11" s="2112"/>
      <c r="AQ11" s="39">
        <f t="shared" si="9"/>
        <v>0</v>
      </c>
      <c r="AR11" s="2089"/>
      <c r="AS11" s="18"/>
      <c r="AT11" s="2112"/>
      <c r="AU11" s="39">
        <f t="shared" si="10"/>
        <v>0</v>
      </c>
      <c r="AV11" s="2089"/>
      <c r="AW11" s="18"/>
      <c r="AX11" s="2112"/>
      <c r="AY11" s="39">
        <f t="shared" si="11"/>
        <v>0</v>
      </c>
      <c r="AZ11" s="2089"/>
      <c r="BA11" s="18"/>
      <c r="BB11" s="904"/>
      <c r="BC11" s="6643">
        <f t="shared" si="12"/>
        <v>0</v>
      </c>
      <c r="BD11" s="905"/>
      <c r="BE11" s="701">
        <f t="shared" si="13"/>
        <v>0</v>
      </c>
      <c r="BF11" s="2112"/>
      <c r="BG11" s="39">
        <f t="shared" si="14"/>
        <v>0</v>
      </c>
      <c r="BH11" s="1222"/>
      <c r="BI11" s="1222"/>
      <c r="BJ11" s="26"/>
      <c r="BK11" s="26"/>
      <c r="BL11" s="26"/>
      <c r="BM11" s="26"/>
      <c r="BN11" s="1222"/>
    </row>
    <row r="12" spans="1:72" ht="15.75" thickBot="1" x14ac:dyDescent="0.3">
      <c r="A12" s="2256"/>
      <c r="B12" s="3633" t="s">
        <v>852</v>
      </c>
      <c r="C12" s="3634" t="s">
        <v>1015</v>
      </c>
      <c r="D12" s="3635">
        <v>36.53</v>
      </c>
      <c r="E12" s="1415" t="s">
        <v>50</v>
      </c>
      <c r="F12" s="3636"/>
      <c r="G12" s="38"/>
      <c r="H12" s="3636"/>
      <c r="I12" s="38">
        <v>391.86699999999996</v>
      </c>
      <c r="J12" s="3637"/>
      <c r="K12" s="6672">
        <f t="shared" si="0"/>
        <v>391.86699999999996</v>
      </c>
      <c r="L12" s="3636"/>
      <c r="M12" s="38"/>
      <c r="N12" s="2104"/>
      <c r="O12" s="69">
        <f t="shared" si="1"/>
        <v>391.86699999999996</v>
      </c>
      <c r="P12" s="3636"/>
      <c r="Q12" s="38"/>
      <c r="R12" s="2112"/>
      <c r="S12" s="39">
        <f t="shared" si="2"/>
        <v>391.86699999999996</v>
      </c>
      <c r="T12" s="3636"/>
      <c r="U12" s="38"/>
      <c r="V12" s="2112"/>
      <c r="W12" s="39">
        <f t="shared" si="3"/>
        <v>391.86699999999996</v>
      </c>
      <c r="X12" s="3636"/>
      <c r="Y12" s="38"/>
      <c r="Z12" s="904"/>
      <c r="AA12" s="6701">
        <f t="shared" si="4"/>
        <v>0</v>
      </c>
      <c r="AB12" s="5189"/>
      <c r="AC12" s="6704">
        <f t="shared" si="5"/>
        <v>391.86699999999996</v>
      </c>
      <c r="AD12" s="3636"/>
      <c r="AE12" s="38"/>
      <c r="AF12" s="2112"/>
      <c r="AG12" s="39">
        <f t="shared" si="6"/>
        <v>391.86699999999996</v>
      </c>
      <c r="AH12" s="3636"/>
      <c r="AI12" s="38"/>
      <c r="AJ12" s="2112"/>
      <c r="AK12" s="39">
        <f t="shared" si="7"/>
        <v>391.86699999999996</v>
      </c>
      <c r="AL12" s="3636"/>
      <c r="AM12" s="38">
        <v>1018.143</v>
      </c>
      <c r="AN12" s="904"/>
      <c r="AO12" s="6701">
        <f t="shared" si="8"/>
        <v>1018.143</v>
      </c>
      <c r="AP12" s="2112"/>
      <c r="AQ12" s="39">
        <f t="shared" si="9"/>
        <v>1410.01</v>
      </c>
      <c r="AR12" s="3636"/>
      <c r="AS12" s="38">
        <v>510.96000000000004</v>
      </c>
      <c r="AT12" s="2112"/>
      <c r="AU12" s="39">
        <f t="shared" si="10"/>
        <v>1920.97</v>
      </c>
      <c r="AV12" s="3636"/>
      <c r="AW12" s="38"/>
      <c r="AX12" s="2112"/>
      <c r="AY12" s="39">
        <f t="shared" si="11"/>
        <v>1920.97</v>
      </c>
      <c r="AZ12" s="3636"/>
      <c r="BA12" s="38"/>
      <c r="BB12" s="904"/>
      <c r="BC12" s="6643">
        <f t="shared" si="12"/>
        <v>510.96000000000004</v>
      </c>
      <c r="BD12" s="905"/>
      <c r="BE12" s="701">
        <f t="shared" si="13"/>
        <v>1529.1030000000001</v>
      </c>
      <c r="BF12" s="2112"/>
      <c r="BG12" s="39">
        <f t="shared" si="14"/>
        <v>1920.97</v>
      </c>
      <c r="BH12" s="1222"/>
      <c r="BI12" s="1222"/>
      <c r="BJ12" s="26"/>
      <c r="BK12" s="26"/>
      <c r="BL12" s="26"/>
      <c r="BM12" s="26"/>
      <c r="BN12" s="1222"/>
      <c r="BP12" s="26"/>
      <c r="BQ12" s="26"/>
      <c r="BR12" s="26"/>
      <c r="BS12" s="279"/>
      <c r="BT12" s="26"/>
    </row>
    <row r="13" spans="1:72" s="4712" customFormat="1" x14ac:dyDescent="0.25">
      <c r="B13" s="4826" t="s">
        <v>1944</v>
      </c>
      <c r="C13" s="4827" t="s">
        <v>1015</v>
      </c>
      <c r="D13" s="4828">
        <v>57.1</v>
      </c>
      <c r="E13" s="4829" t="s">
        <v>50</v>
      </c>
      <c r="F13" s="4830"/>
      <c r="G13" s="4645"/>
      <c r="H13" s="4830"/>
      <c r="I13" s="4645">
        <v>319.988</v>
      </c>
      <c r="J13" s="4831"/>
      <c r="K13" s="6672">
        <f t="shared" si="0"/>
        <v>319.988</v>
      </c>
      <c r="L13" s="4830"/>
      <c r="M13" s="4645"/>
      <c r="N13" s="2104"/>
      <c r="O13" s="69">
        <f t="shared" si="1"/>
        <v>319.988</v>
      </c>
      <c r="P13" s="4830"/>
      <c r="Q13" s="18">
        <v>653.61599999999999</v>
      </c>
      <c r="R13" s="2112"/>
      <c r="S13" s="39">
        <f t="shared" si="2"/>
        <v>973.60400000000004</v>
      </c>
      <c r="T13" s="4830"/>
      <c r="U13" s="4645">
        <v>528.57400000000007</v>
      </c>
      <c r="V13" s="2112"/>
      <c r="W13" s="39">
        <f t="shared" si="3"/>
        <v>1502.1780000000001</v>
      </c>
      <c r="X13" s="4830"/>
      <c r="Y13" s="4645"/>
      <c r="Z13" s="3420"/>
      <c r="AA13" s="6701">
        <f t="shared" si="4"/>
        <v>1182.19</v>
      </c>
      <c r="AB13" s="5190"/>
      <c r="AC13" s="6704">
        <f t="shared" si="5"/>
        <v>1502.1780000000001</v>
      </c>
      <c r="AD13" s="4830"/>
      <c r="AE13" s="4645">
        <v>634.21799999999996</v>
      </c>
      <c r="AF13" s="2112"/>
      <c r="AG13" s="39">
        <f t="shared" si="6"/>
        <v>2136.3960000000002</v>
      </c>
      <c r="AH13" s="4830"/>
      <c r="AI13" s="4645"/>
      <c r="AJ13" s="2112"/>
      <c r="AK13" s="39">
        <f t="shared" si="7"/>
        <v>2136.3960000000002</v>
      </c>
      <c r="AL13" s="4830"/>
      <c r="AM13" s="4645"/>
      <c r="AN13" s="3420"/>
      <c r="AO13" s="6701">
        <f t="shared" si="8"/>
        <v>634.21799999999996</v>
      </c>
      <c r="AP13" s="2112"/>
      <c r="AQ13" s="39">
        <f t="shared" si="9"/>
        <v>2136.3960000000002</v>
      </c>
      <c r="AR13" s="4830"/>
      <c r="AS13" s="4645">
        <v>462.03999999999996</v>
      </c>
      <c r="AT13" s="2112"/>
      <c r="AU13" s="39">
        <f t="shared" si="10"/>
        <v>2598.4360000000001</v>
      </c>
      <c r="AV13" s="4830"/>
      <c r="AW13" s="4645"/>
      <c r="AX13" s="2112"/>
      <c r="AY13" s="39">
        <f t="shared" si="11"/>
        <v>2598.4360000000001</v>
      </c>
      <c r="AZ13" s="4830"/>
      <c r="BA13" s="4645">
        <v>1009.7049999999999</v>
      </c>
      <c r="BB13" s="3420"/>
      <c r="BC13" s="6643">
        <f t="shared" si="12"/>
        <v>1471.7449999999999</v>
      </c>
      <c r="BD13" s="3421"/>
      <c r="BE13" s="701">
        <f t="shared" si="13"/>
        <v>2105.9629999999997</v>
      </c>
      <c r="BF13" s="2112"/>
      <c r="BG13" s="39">
        <f t="shared" si="14"/>
        <v>3608.1410000000001</v>
      </c>
      <c r="BH13" s="1222"/>
      <c r="BI13" s="1222"/>
      <c r="BJ13" s="26"/>
      <c r="BK13" s="26"/>
      <c r="BL13" s="26"/>
      <c r="BM13" s="26"/>
      <c r="BN13" s="1222"/>
      <c r="BP13" s="26"/>
      <c r="BQ13" s="26"/>
      <c r="BR13" s="26"/>
      <c r="BT13" s="26"/>
    </row>
    <row r="14" spans="1:72" s="5172" customFormat="1" x14ac:dyDescent="0.25">
      <c r="B14" s="4826" t="s">
        <v>1944</v>
      </c>
      <c r="C14" s="4827" t="s">
        <v>948</v>
      </c>
      <c r="D14" s="4828">
        <v>57.1</v>
      </c>
      <c r="E14" s="4829" t="s">
        <v>50</v>
      </c>
      <c r="F14" s="4830"/>
      <c r="G14" s="4645"/>
      <c r="H14" s="4830"/>
      <c r="I14" s="4645">
        <v>268.17200000000003</v>
      </c>
      <c r="J14" s="4831"/>
      <c r="K14" s="6672">
        <f t="shared" si="0"/>
        <v>268.17200000000003</v>
      </c>
      <c r="L14" s="4830"/>
      <c r="M14" s="4645"/>
      <c r="N14" s="2104"/>
      <c r="O14" s="69">
        <f t="shared" si="1"/>
        <v>268.17200000000003</v>
      </c>
      <c r="P14" s="4830"/>
      <c r="Q14" s="18"/>
      <c r="R14" s="2112"/>
      <c r="S14" s="39">
        <f t="shared" si="2"/>
        <v>268.17200000000003</v>
      </c>
      <c r="T14" s="4830"/>
      <c r="U14" s="4645"/>
      <c r="V14" s="2112"/>
      <c r="W14" s="39">
        <f t="shared" si="3"/>
        <v>268.17200000000003</v>
      </c>
      <c r="X14" s="4830"/>
      <c r="Y14" s="4645"/>
      <c r="Z14" s="5421"/>
      <c r="AA14" s="6701">
        <f t="shared" si="4"/>
        <v>0</v>
      </c>
      <c r="AB14" s="5422"/>
      <c r="AC14" s="6704">
        <f t="shared" si="5"/>
        <v>268.17200000000003</v>
      </c>
      <c r="AD14" s="4830"/>
      <c r="AE14" s="4645">
        <v>253.55799999999999</v>
      </c>
      <c r="AF14" s="2112"/>
      <c r="AG14" s="39">
        <f t="shared" si="6"/>
        <v>521.73</v>
      </c>
      <c r="AH14" s="4830"/>
      <c r="AI14" s="4645"/>
      <c r="AJ14" s="2112"/>
      <c r="AK14" s="39">
        <f t="shared" si="7"/>
        <v>521.73</v>
      </c>
      <c r="AL14" s="4830"/>
      <c r="AM14" s="4645"/>
      <c r="AN14" s="5421"/>
      <c r="AO14" s="6701">
        <f t="shared" si="8"/>
        <v>253.55799999999999</v>
      </c>
      <c r="AP14" s="2112"/>
      <c r="AQ14" s="39">
        <f t="shared" si="9"/>
        <v>521.73</v>
      </c>
      <c r="AR14" s="4830"/>
      <c r="AS14" s="4645"/>
      <c r="AT14" s="2112"/>
      <c r="AU14" s="39">
        <f t="shared" si="10"/>
        <v>521.73</v>
      </c>
      <c r="AV14" s="4830"/>
      <c r="AW14" s="4645"/>
      <c r="AX14" s="2112"/>
      <c r="AY14" s="39">
        <f t="shared" si="11"/>
        <v>521.73</v>
      </c>
      <c r="AZ14" s="4830"/>
      <c r="BA14" s="4645"/>
      <c r="BB14" s="5421"/>
      <c r="BC14" s="6643">
        <f t="shared" si="12"/>
        <v>0</v>
      </c>
      <c r="BD14" s="5423"/>
      <c r="BE14" s="701">
        <f t="shared" si="13"/>
        <v>253.55799999999999</v>
      </c>
      <c r="BF14" s="2112"/>
      <c r="BG14" s="39">
        <f t="shared" si="14"/>
        <v>521.73</v>
      </c>
      <c r="BH14" s="1222"/>
      <c r="BI14" s="1222"/>
      <c r="BJ14" s="26"/>
      <c r="BK14" s="26"/>
      <c r="BL14" s="26"/>
      <c r="BM14" s="26"/>
      <c r="BN14" s="1222"/>
      <c r="BP14" s="26"/>
      <c r="BQ14" s="26"/>
      <c r="BR14" s="26"/>
      <c r="BS14" s="279"/>
      <c r="BT14" s="26"/>
    </row>
    <row r="15" spans="1:72" s="4712" customFormat="1" x14ac:dyDescent="0.25">
      <c r="B15" s="4826" t="s">
        <v>1944</v>
      </c>
      <c r="C15" s="4827" t="s">
        <v>1015</v>
      </c>
      <c r="D15" s="4828">
        <v>50.22</v>
      </c>
      <c r="E15" s="4829" t="s">
        <v>50</v>
      </c>
      <c r="F15" s="4830"/>
      <c r="G15" s="4645"/>
      <c r="H15" s="4830"/>
      <c r="I15" s="4645">
        <v>3471.6990000000005</v>
      </c>
      <c r="J15" s="4831"/>
      <c r="K15" s="6672">
        <f t="shared" si="0"/>
        <v>3471.6990000000005</v>
      </c>
      <c r="L15" s="4830"/>
      <c r="M15" s="4645"/>
      <c r="N15" s="2104"/>
      <c r="O15" s="69">
        <f t="shared" si="1"/>
        <v>3471.6990000000005</v>
      </c>
      <c r="P15" s="4830"/>
      <c r="Q15" s="18">
        <v>3644.5369999999994</v>
      </c>
      <c r="R15" s="2112"/>
      <c r="S15" s="39">
        <f t="shared" si="2"/>
        <v>7116.2359999999999</v>
      </c>
      <c r="T15" s="4830"/>
      <c r="U15" s="4645">
        <v>3425.1109999999999</v>
      </c>
      <c r="V15" s="2112"/>
      <c r="W15" s="39">
        <f t="shared" si="3"/>
        <v>10541.347</v>
      </c>
      <c r="X15" s="4830"/>
      <c r="Y15" s="4645"/>
      <c r="Z15" s="3420"/>
      <c r="AA15" s="6701">
        <f t="shared" si="4"/>
        <v>7069.6479999999992</v>
      </c>
      <c r="AB15" s="5190"/>
      <c r="AC15" s="6704">
        <f t="shared" si="5"/>
        <v>10541.347</v>
      </c>
      <c r="AD15" s="4830"/>
      <c r="AE15" s="4645">
        <v>2977.6329999999998</v>
      </c>
      <c r="AF15" s="2112"/>
      <c r="AG15" s="39">
        <f t="shared" si="6"/>
        <v>13518.98</v>
      </c>
      <c r="AH15" s="4830"/>
      <c r="AI15" s="4645"/>
      <c r="AJ15" s="2112"/>
      <c r="AK15" s="39">
        <f t="shared" si="7"/>
        <v>13518.98</v>
      </c>
      <c r="AL15" s="4830"/>
      <c r="AM15" s="4645"/>
      <c r="AN15" s="3420"/>
      <c r="AO15" s="6701">
        <f t="shared" si="8"/>
        <v>2977.6329999999998</v>
      </c>
      <c r="AP15" s="2112"/>
      <c r="AQ15" s="39">
        <f t="shared" si="9"/>
        <v>13518.98</v>
      </c>
      <c r="AR15" s="4830"/>
      <c r="AS15" s="4645">
        <v>3646.2919999999999</v>
      </c>
      <c r="AT15" s="2112"/>
      <c r="AU15" s="39">
        <f t="shared" si="10"/>
        <v>17165.272000000001</v>
      </c>
      <c r="AV15" s="4830"/>
      <c r="AW15" s="4645"/>
      <c r="AX15" s="2112"/>
      <c r="AY15" s="39">
        <f t="shared" si="11"/>
        <v>17165.272000000001</v>
      </c>
      <c r="AZ15" s="4830"/>
      <c r="BA15" s="4645">
        <v>2542.3900000000003</v>
      </c>
      <c r="BB15" s="3420"/>
      <c r="BC15" s="6643">
        <f t="shared" si="12"/>
        <v>6188.6820000000007</v>
      </c>
      <c r="BD15" s="3421"/>
      <c r="BE15" s="701">
        <f t="shared" si="13"/>
        <v>9166.3150000000005</v>
      </c>
      <c r="BF15" s="2112"/>
      <c r="BG15" s="39">
        <f t="shared" si="14"/>
        <v>19707.662</v>
      </c>
      <c r="BH15" s="1222"/>
      <c r="BI15" s="1222"/>
      <c r="BJ15" s="26"/>
      <c r="BK15" s="26"/>
      <c r="BL15" s="26"/>
      <c r="BM15" s="26"/>
      <c r="BN15" s="1222"/>
      <c r="BP15" s="26"/>
      <c r="BQ15" s="26"/>
      <c r="BR15" s="26"/>
      <c r="BT15" s="26"/>
    </row>
    <row r="16" spans="1:72" s="4712" customFormat="1" ht="15.75" thickBot="1" x14ac:dyDescent="0.3">
      <c r="B16" s="4826" t="s">
        <v>1944</v>
      </c>
      <c r="C16" s="4827" t="s">
        <v>948</v>
      </c>
      <c r="D16" s="4828">
        <v>50.22</v>
      </c>
      <c r="E16" s="4829" t="s">
        <v>50</v>
      </c>
      <c r="F16" s="4830"/>
      <c r="G16" s="4645"/>
      <c r="H16" s="4830"/>
      <c r="I16" s="4645">
        <v>321.09100000000001</v>
      </c>
      <c r="J16" s="4831"/>
      <c r="K16" s="6672">
        <f t="shared" si="0"/>
        <v>321.09100000000001</v>
      </c>
      <c r="L16" s="4830"/>
      <c r="M16" s="4645"/>
      <c r="N16" s="2104"/>
      <c r="O16" s="69">
        <f t="shared" si="1"/>
        <v>321.09100000000001</v>
      </c>
      <c r="P16" s="4830"/>
      <c r="Q16" s="18">
        <v>660.27800000000002</v>
      </c>
      <c r="R16" s="2112"/>
      <c r="S16" s="39">
        <f t="shared" si="2"/>
        <v>981.36900000000003</v>
      </c>
      <c r="T16" s="4830"/>
      <c r="U16" s="4645">
        <v>255.416</v>
      </c>
      <c r="V16" s="2112"/>
      <c r="W16" s="39">
        <f t="shared" si="3"/>
        <v>1236.7850000000001</v>
      </c>
      <c r="X16" s="4830"/>
      <c r="Y16" s="4645"/>
      <c r="Z16" s="3420"/>
      <c r="AA16" s="6701">
        <f t="shared" si="4"/>
        <v>915.69399999999996</v>
      </c>
      <c r="AB16" s="5190"/>
      <c r="AC16" s="6704">
        <f t="shared" si="5"/>
        <v>1236.7849999999999</v>
      </c>
      <c r="AD16" s="4830"/>
      <c r="AE16" s="4645">
        <v>406.78300000000002</v>
      </c>
      <c r="AF16" s="2112"/>
      <c r="AG16" s="39">
        <f t="shared" si="6"/>
        <v>1643.5679999999998</v>
      </c>
      <c r="AH16" s="4830"/>
      <c r="AI16" s="4645"/>
      <c r="AJ16" s="2112"/>
      <c r="AK16" s="39">
        <f t="shared" si="7"/>
        <v>1643.5679999999998</v>
      </c>
      <c r="AL16" s="4830"/>
      <c r="AM16" s="4645"/>
      <c r="AN16" s="3420"/>
      <c r="AO16" s="6701">
        <f t="shared" si="8"/>
        <v>406.78300000000002</v>
      </c>
      <c r="AP16" s="2112"/>
      <c r="AQ16" s="39">
        <f t="shared" si="9"/>
        <v>1643.5679999999998</v>
      </c>
      <c r="AR16" s="4830"/>
      <c r="AS16" s="4645">
        <v>1128.9750000000001</v>
      </c>
      <c r="AT16" s="2112"/>
      <c r="AU16" s="39">
        <f t="shared" si="10"/>
        <v>2772.5429999999997</v>
      </c>
      <c r="AV16" s="4830"/>
      <c r="AW16" s="4645"/>
      <c r="AX16" s="2112"/>
      <c r="AY16" s="39">
        <f t="shared" si="11"/>
        <v>2772.5429999999997</v>
      </c>
      <c r="AZ16" s="4830"/>
      <c r="BA16" s="4645">
        <v>722.17400000000009</v>
      </c>
      <c r="BB16" s="3420"/>
      <c r="BC16" s="6643">
        <f t="shared" si="12"/>
        <v>1851.1490000000003</v>
      </c>
      <c r="BD16" s="3421"/>
      <c r="BE16" s="701">
        <f t="shared" si="13"/>
        <v>2257.9320000000002</v>
      </c>
      <c r="BF16" s="2112"/>
      <c r="BG16" s="39">
        <f t="shared" si="14"/>
        <v>3494.7169999999996</v>
      </c>
      <c r="BH16" s="1222"/>
      <c r="BI16" s="1222"/>
      <c r="BJ16" s="26"/>
      <c r="BK16" s="26"/>
      <c r="BL16" s="26"/>
      <c r="BM16" s="26"/>
      <c r="BN16" s="1222"/>
    </row>
    <row r="17" spans="1:71" x14ac:dyDescent="0.25">
      <c r="B17" s="3628" t="s">
        <v>853</v>
      </c>
      <c r="C17" s="3629" t="s">
        <v>1015</v>
      </c>
      <c r="D17" s="3630">
        <v>66.3</v>
      </c>
      <c r="E17" s="1332" t="s">
        <v>50</v>
      </c>
      <c r="F17" s="3631"/>
      <c r="G17" s="88"/>
      <c r="H17" s="3631"/>
      <c r="I17" s="88"/>
      <c r="J17" s="3632"/>
      <c r="K17" s="6672">
        <f t="shared" si="0"/>
        <v>0</v>
      </c>
      <c r="L17" s="3631"/>
      <c r="M17" s="88"/>
      <c r="N17" s="2104"/>
      <c r="O17" s="69">
        <f t="shared" si="1"/>
        <v>0</v>
      </c>
      <c r="P17" s="3631"/>
      <c r="Q17" s="88"/>
      <c r="R17" s="2112"/>
      <c r="S17" s="39">
        <f t="shared" si="2"/>
        <v>0</v>
      </c>
      <c r="T17" s="3631"/>
      <c r="U17" s="88"/>
      <c r="V17" s="2112"/>
      <c r="W17" s="39">
        <f t="shared" si="3"/>
        <v>0</v>
      </c>
      <c r="X17" s="3631"/>
      <c r="Y17" s="88"/>
      <c r="Z17" s="904"/>
      <c r="AA17" s="6701">
        <f t="shared" si="4"/>
        <v>0</v>
      </c>
      <c r="AB17" s="5189"/>
      <c r="AC17" s="6704">
        <f t="shared" si="5"/>
        <v>0</v>
      </c>
      <c r="AD17" s="3631"/>
      <c r="AE17" s="88"/>
      <c r="AF17" s="2112"/>
      <c r="AG17" s="39">
        <f t="shared" si="6"/>
        <v>0</v>
      </c>
      <c r="AH17" s="3631"/>
      <c r="AI17" s="88"/>
      <c r="AJ17" s="2112"/>
      <c r="AK17" s="39">
        <f t="shared" si="7"/>
        <v>0</v>
      </c>
      <c r="AL17" s="3631"/>
      <c r="AM17" s="88"/>
      <c r="AN17" s="904"/>
      <c r="AO17" s="6701">
        <f t="shared" si="8"/>
        <v>0</v>
      </c>
      <c r="AP17" s="2112"/>
      <c r="AQ17" s="39">
        <f t="shared" si="9"/>
        <v>0</v>
      </c>
      <c r="AR17" s="3631"/>
      <c r="AS17" s="88"/>
      <c r="AT17" s="2112"/>
      <c r="AU17" s="39">
        <f t="shared" si="10"/>
        <v>0</v>
      </c>
      <c r="AV17" s="3631"/>
      <c r="AW17" s="88"/>
      <c r="AX17" s="2112"/>
      <c r="AY17" s="39">
        <f t="shared" si="11"/>
        <v>0</v>
      </c>
      <c r="AZ17" s="3631"/>
      <c r="BA17" s="88"/>
      <c r="BB17" s="904"/>
      <c r="BC17" s="6643">
        <f t="shared" si="12"/>
        <v>0</v>
      </c>
      <c r="BD17" s="905"/>
      <c r="BE17" s="701">
        <f t="shared" si="13"/>
        <v>0</v>
      </c>
      <c r="BF17" s="2112"/>
      <c r="BG17" s="39">
        <f t="shared" si="14"/>
        <v>0</v>
      </c>
      <c r="BH17" s="1222"/>
      <c r="BI17" s="1222"/>
      <c r="BJ17" s="26"/>
      <c r="BK17" s="26"/>
      <c r="BL17" s="26"/>
      <c r="BM17" s="26"/>
      <c r="BN17" s="1222"/>
    </row>
    <row r="18" spans="1:71" x14ac:dyDescent="0.25">
      <c r="B18" s="1093" t="s">
        <v>853</v>
      </c>
      <c r="C18" s="3418" t="s">
        <v>948</v>
      </c>
      <c r="D18" s="3419">
        <v>66.3</v>
      </c>
      <c r="E18" s="1395" t="s">
        <v>50</v>
      </c>
      <c r="F18" s="2089"/>
      <c r="G18" s="18"/>
      <c r="H18" s="2089"/>
      <c r="I18" s="18"/>
      <c r="J18" s="2095"/>
      <c r="K18" s="6672">
        <f t="shared" si="0"/>
        <v>0</v>
      </c>
      <c r="L18" s="2089"/>
      <c r="M18" s="18"/>
      <c r="N18" s="2104"/>
      <c r="O18" s="69">
        <f t="shared" si="1"/>
        <v>0</v>
      </c>
      <c r="P18" s="2089"/>
      <c r="Q18" s="18"/>
      <c r="R18" s="2112"/>
      <c r="S18" s="39">
        <f t="shared" si="2"/>
        <v>0</v>
      </c>
      <c r="T18" s="2089"/>
      <c r="U18" s="18"/>
      <c r="V18" s="2112"/>
      <c r="W18" s="39">
        <f t="shared" si="3"/>
        <v>0</v>
      </c>
      <c r="X18" s="2089"/>
      <c r="Y18" s="18"/>
      <c r="Z18" s="904"/>
      <c r="AA18" s="6701">
        <f t="shared" si="4"/>
        <v>0</v>
      </c>
      <c r="AB18" s="5189"/>
      <c r="AC18" s="6704">
        <f t="shared" si="5"/>
        <v>0</v>
      </c>
      <c r="AD18" s="2089"/>
      <c r="AE18" s="18"/>
      <c r="AF18" s="2112"/>
      <c r="AG18" s="39">
        <f t="shared" si="6"/>
        <v>0</v>
      </c>
      <c r="AH18" s="2089"/>
      <c r="AI18" s="18"/>
      <c r="AJ18" s="2112"/>
      <c r="AK18" s="39">
        <f t="shared" si="7"/>
        <v>0</v>
      </c>
      <c r="AL18" s="2089"/>
      <c r="AM18" s="18"/>
      <c r="AN18" s="904"/>
      <c r="AO18" s="6701">
        <f t="shared" si="8"/>
        <v>0</v>
      </c>
      <c r="AP18" s="2112"/>
      <c r="AQ18" s="39">
        <f t="shared" si="9"/>
        <v>0</v>
      </c>
      <c r="AR18" s="2089"/>
      <c r="AS18" s="18"/>
      <c r="AT18" s="2112"/>
      <c r="AU18" s="39">
        <f t="shared" si="10"/>
        <v>0</v>
      </c>
      <c r="AV18" s="2089"/>
      <c r="AW18" s="18"/>
      <c r="AX18" s="2112"/>
      <c r="AY18" s="39">
        <f t="shared" si="11"/>
        <v>0</v>
      </c>
      <c r="AZ18" s="2089"/>
      <c r="BA18" s="18"/>
      <c r="BB18" s="904"/>
      <c r="BC18" s="6643">
        <f t="shared" si="12"/>
        <v>0</v>
      </c>
      <c r="BD18" s="905"/>
      <c r="BE18" s="701">
        <f t="shared" si="13"/>
        <v>0</v>
      </c>
      <c r="BF18" s="2112"/>
      <c r="BG18" s="39">
        <f t="shared" si="14"/>
        <v>0</v>
      </c>
      <c r="BH18" s="1222"/>
      <c r="BI18" s="1222"/>
      <c r="BJ18" s="26"/>
      <c r="BK18" s="26"/>
      <c r="BL18" s="26"/>
      <c r="BM18" s="26"/>
      <c r="BN18" s="1222"/>
    </row>
    <row r="19" spans="1:71" s="2631" customFormat="1" x14ac:dyDescent="0.25">
      <c r="B19" s="1093" t="s">
        <v>853</v>
      </c>
      <c r="C19" s="3418" t="s">
        <v>1015</v>
      </c>
      <c r="D19" s="3419">
        <v>66.31</v>
      </c>
      <c r="E19" s="1395" t="s">
        <v>50</v>
      </c>
      <c r="F19" s="2089"/>
      <c r="G19" s="18">
        <v>3919.8780000000015</v>
      </c>
      <c r="H19" s="2089"/>
      <c r="I19" s="18">
        <v>5290.4709999999977</v>
      </c>
      <c r="J19" s="2095"/>
      <c r="K19" s="6672">
        <f t="shared" si="0"/>
        <v>9210.3489999999983</v>
      </c>
      <c r="L19" s="2089"/>
      <c r="M19" s="18">
        <v>1204.7939999999999</v>
      </c>
      <c r="N19" s="2104"/>
      <c r="O19" s="69">
        <f t="shared" si="1"/>
        <v>10415.142999999998</v>
      </c>
      <c r="P19" s="2089"/>
      <c r="Q19" s="18">
        <v>3723.3050000000003</v>
      </c>
      <c r="R19" s="2112"/>
      <c r="S19" s="39">
        <f t="shared" si="2"/>
        <v>14138.447999999999</v>
      </c>
      <c r="T19" s="2089"/>
      <c r="U19" s="18">
        <v>1986.4750000000004</v>
      </c>
      <c r="V19" s="2112"/>
      <c r="W19" s="39">
        <f t="shared" si="3"/>
        <v>16124.922999999999</v>
      </c>
      <c r="X19" s="2089"/>
      <c r="Y19" s="18">
        <v>6134.8349999999991</v>
      </c>
      <c r="Z19" s="904"/>
      <c r="AA19" s="6701">
        <f t="shared" si="4"/>
        <v>11844.615</v>
      </c>
      <c r="AB19" s="5189"/>
      <c r="AC19" s="6704">
        <f t="shared" si="5"/>
        <v>22259.757999999998</v>
      </c>
      <c r="AD19" s="2089"/>
      <c r="AE19" s="18">
        <v>6294.9840000000004</v>
      </c>
      <c r="AF19" s="2112"/>
      <c r="AG19" s="39">
        <f t="shared" si="6"/>
        <v>28554.741999999998</v>
      </c>
      <c r="AH19" s="2089"/>
      <c r="AI19" s="18"/>
      <c r="AJ19" s="2112"/>
      <c r="AK19" s="39">
        <f t="shared" si="7"/>
        <v>28554.741999999998</v>
      </c>
      <c r="AL19" s="2089"/>
      <c r="AM19" s="18">
        <v>2451.4859999999999</v>
      </c>
      <c r="AN19" s="904"/>
      <c r="AO19" s="6701">
        <f t="shared" si="8"/>
        <v>8746.4700000000012</v>
      </c>
      <c r="AP19" s="2112"/>
      <c r="AQ19" s="39">
        <f t="shared" si="9"/>
        <v>31006.227999999999</v>
      </c>
      <c r="AR19" s="2089"/>
      <c r="AS19" s="18">
        <v>5247.85</v>
      </c>
      <c r="AT19" s="2112"/>
      <c r="AU19" s="39">
        <f t="shared" si="10"/>
        <v>36254.078000000001</v>
      </c>
      <c r="AV19" s="2089"/>
      <c r="AW19" s="18">
        <v>5502.1159999999991</v>
      </c>
      <c r="AX19" s="2112"/>
      <c r="AY19" s="39">
        <f>+AU19+AW19</f>
        <v>41756.194000000003</v>
      </c>
      <c r="AZ19" s="2089"/>
      <c r="BA19" s="18">
        <v>6913.7199999999957</v>
      </c>
      <c r="BB19" s="904"/>
      <c r="BC19" s="6643">
        <f t="shared" si="12"/>
        <v>17663.685999999994</v>
      </c>
      <c r="BD19" s="905"/>
      <c r="BE19" s="701">
        <f t="shared" si="13"/>
        <v>26410.155999999995</v>
      </c>
      <c r="BF19" s="2112"/>
      <c r="BG19" s="39">
        <f t="shared" si="14"/>
        <v>48669.913999999997</v>
      </c>
      <c r="BH19" s="1222"/>
      <c r="BI19" s="1222"/>
      <c r="BJ19" s="26"/>
      <c r="BK19" s="26"/>
      <c r="BL19" s="26"/>
      <c r="BM19" s="26"/>
      <c r="BN19" s="1222"/>
    </row>
    <row r="20" spans="1:71" s="3414" customFormat="1" x14ac:dyDescent="0.25">
      <c r="B20" s="1093" t="s">
        <v>853</v>
      </c>
      <c r="C20" s="3418" t="s">
        <v>1649</v>
      </c>
      <c r="D20" s="6472">
        <v>66.31</v>
      </c>
      <c r="E20" s="1395" t="s">
        <v>50</v>
      </c>
      <c r="F20" s="6473"/>
      <c r="G20" s="6474">
        <v>212.09199999999998</v>
      </c>
      <c r="H20" s="6473"/>
      <c r="I20" s="6474"/>
      <c r="J20" s="6475"/>
      <c r="K20" s="6672">
        <f t="shared" si="0"/>
        <v>212.09199999999998</v>
      </c>
      <c r="L20" s="6473"/>
      <c r="M20" s="6474"/>
      <c r="N20" s="6476"/>
      <c r="O20" s="69">
        <f t="shared" si="1"/>
        <v>212.09199999999998</v>
      </c>
      <c r="P20" s="6473"/>
      <c r="Q20" s="6474"/>
      <c r="R20" s="6477"/>
      <c r="S20" s="39">
        <f t="shared" si="2"/>
        <v>212.09199999999998</v>
      </c>
      <c r="T20" s="6473"/>
      <c r="U20" s="6474"/>
      <c r="V20" s="6477"/>
      <c r="W20" s="39">
        <f t="shared" si="3"/>
        <v>212.09199999999998</v>
      </c>
      <c r="X20" s="6473"/>
      <c r="Y20" s="6474"/>
      <c r="Z20" s="6478"/>
      <c r="AA20" s="6701">
        <f t="shared" si="4"/>
        <v>0</v>
      </c>
      <c r="AB20" s="6479"/>
      <c r="AC20" s="6704">
        <f t="shared" si="5"/>
        <v>212.09199999999998</v>
      </c>
      <c r="AD20" s="6473"/>
      <c r="AE20" s="6474"/>
      <c r="AF20" s="6477"/>
      <c r="AG20" s="6455"/>
      <c r="AH20" s="6473"/>
      <c r="AI20" s="6474"/>
      <c r="AJ20" s="6477"/>
      <c r="AK20" s="6455"/>
      <c r="AL20" s="6473"/>
      <c r="AM20" s="6474"/>
      <c r="AN20" s="6478"/>
      <c r="AO20" s="6701">
        <f t="shared" si="8"/>
        <v>0</v>
      </c>
      <c r="AP20" s="6477"/>
      <c r="AQ20" s="6455"/>
      <c r="AR20" s="6473"/>
      <c r="AS20" s="6474"/>
      <c r="AT20" s="6477"/>
      <c r="AU20" s="6455"/>
      <c r="AV20" s="6473"/>
      <c r="AW20" s="6474"/>
      <c r="AX20" s="6477"/>
      <c r="AY20" s="6455"/>
      <c r="AZ20" s="6473"/>
      <c r="BA20" s="6474">
        <v>234.27600000000001</v>
      </c>
      <c r="BB20" s="6478"/>
      <c r="BC20" s="6643">
        <f t="shared" si="12"/>
        <v>234.27600000000001</v>
      </c>
      <c r="BD20" s="6480"/>
      <c r="BE20" s="701">
        <f t="shared" si="13"/>
        <v>234.27600000000001</v>
      </c>
      <c r="BF20" s="6477"/>
      <c r="BG20" s="39">
        <f t="shared" si="14"/>
        <v>234.27600000000001</v>
      </c>
      <c r="BH20" s="1222"/>
      <c r="BI20" s="1222"/>
      <c r="BJ20" s="26"/>
      <c r="BK20" s="26"/>
      <c r="BL20" s="26"/>
      <c r="BM20" s="26"/>
      <c r="BN20" s="1222"/>
    </row>
    <row r="21" spans="1:71" ht="15" customHeight="1" x14ac:dyDescent="0.25">
      <c r="B21" s="1093" t="s">
        <v>853</v>
      </c>
      <c r="C21" s="3418" t="s">
        <v>948</v>
      </c>
      <c r="D21" s="3419">
        <v>66.31</v>
      </c>
      <c r="E21" s="1395" t="s">
        <v>50</v>
      </c>
      <c r="F21" s="2089"/>
      <c r="G21" s="18">
        <v>408.476</v>
      </c>
      <c r="H21" s="2089"/>
      <c r="I21" s="18">
        <v>1554.7009999999998</v>
      </c>
      <c r="J21" s="2095"/>
      <c r="K21" s="6672">
        <f t="shared" si="0"/>
        <v>1963.1769999999997</v>
      </c>
      <c r="L21" s="2089"/>
      <c r="M21" s="18">
        <v>898.66099999999994</v>
      </c>
      <c r="N21" s="2104"/>
      <c r="O21" s="69">
        <f t="shared" si="1"/>
        <v>2861.8379999999997</v>
      </c>
      <c r="P21" s="2089"/>
      <c r="Q21" s="18">
        <v>1700.386</v>
      </c>
      <c r="R21" s="2112"/>
      <c r="S21" s="39">
        <f t="shared" si="2"/>
        <v>4562.2240000000002</v>
      </c>
      <c r="T21" s="2089"/>
      <c r="U21" s="18">
        <v>1893.539</v>
      </c>
      <c r="V21" s="2112"/>
      <c r="W21" s="39">
        <f t="shared" si="3"/>
        <v>6455.7629999999999</v>
      </c>
      <c r="X21" s="2089"/>
      <c r="Y21" s="18">
        <v>415.93700000000007</v>
      </c>
      <c r="Z21" s="3420"/>
      <c r="AA21" s="6701">
        <f t="shared" si="4"/>
        <v>4009.8620000000001</v>
      </c>
      <c r="AB21" s="5190"/>
      <c r="AC21" s="6704">
        <f t="shared" si="5"/>
        <v>6871.7</v>
      </c>
      <c r="AD21" s="2089"/>
      <c r="AE21" s="18">
        <v>444.226</v>
      </c>
      <c r="AF21" s="2112"/>
      <c r="AG21" s="39">
        <f t="shared" si="6"/>
        <v>7315.9259999999995</v>
      </c>
      <c r="AH21" s="2089"/>
      <c r="AI21" s="18"/>
      <c r="AJ21" s="2112"/>
      <c r="AK21" s="39">
        <f t="shared" si="7"/>
        <v>7315.9259999999995</v>
      </c>
      <c r="AL21" s="2089"/>
      <c r="AM21" s="18">
        <v>888.11800000000005</v>
      </c>
      <c r="AN21" s="3420"/>
      <c r="AO21" s="6701">
        <f t="shared" si="8"/>
        <v>1332.3440000000001</v>
      </c>
      <c r="AP21" s="2112"/>
      <c r="AQ21" s="39">
        <f t="shared" si="9"/>
        <v>8204.0439999999999</v>
      </c>
      <c r="AR21" s="2089"/>
      <c r="AS21" s="18">
        <v>1880.7190000000003</v>
      </c>
      <c r="AT21" s="2112"/>
      <c r="AU21" s="39">
        <f t="shared" si="10"/>
        <v>10084.763000000001</v>
      </c>
      <c r="AV21" s="2089"/>
      <c r="AW21" s="18">
        <v>1296.7910000000004</v>
      </c>
      <c r="AX21" s="2112"/>
      <c r="AY21" s="39">
        <f t="shared" si="11"/>
        <v>11381.554000000002</v>
      </c>
      <c r="AZ21" s="2089"/>
      <c r="BA21" s="18">
        <v>153.28</v>
      </c>
      <c r="BB21" s="3420"/>
      <c r="BC21" s="6643">
        <f t="shared" si="12"/>
        <v>3330.7900000000009</v>
      </c>
      <c r="BD21" s="3421"/>
      <c r="BE21" s="701">
        <f t="shared" si="13"/>
        <v>4663.1340000000009</v>
      </c>
      <c r="BF21" s="2112"/>
      <c r="BG21" s="39">
        <f t="shared" si="14"/>
        <v>11534.834000000003</v>
      </c>
      <c r="BH21" s="1222"/>
      <c r="BI21" s="1222"/>
      <c r="BJ21" s="26"/>
      <c r="BK21" s="26"/>
      <c r="BL21" s="26"/>
      <c r="BM21" s="26"/>
      <c r="BN21" s="1222"/>
    </row>
    <row r="22" spans="1:71" ht="15" customHeight="1" x14ac:dyDescent="0.25">
      <c r="B22" s="1093" t="s">
        <v>854</v>
      </c>
      <c r="C22" s="3418" t="s">
        <v>1015</v>
      </c>
      <c r="D22" s="3419">
        <v>57.38</v>
      </c>
      <c r="E22" s="1395" t="s">
        <v>50</v>
      </c>
      <c r="F22" s="6703"/>
      <c r="G22" s="18">
        <v>1072.3130000000001</v>
      </c>
      <c r="H22" s="7201"/>
      <c r="I22" s="18">
        <v>4743.454999999999</v>
      </c>
      <c r="J22" s="437"/>
      <c r="K22" s="6672">
        <f t="shared" si="0"/>
        <v>5815.7679999999991</v>
      </c>
      <c r="L22" s="6703"/>
      <c r="M22" s="18">
        <v>1023.951</v>
      </c>
      <c r="N22" s="6705"/>
      <c r="O22" s="69">
        <f t="shared" si="1"/>
        <v>6839.7189999999991</v>
      </c>
      <c r="P22" s="6703"/>
      <c r="Q22" s="18">
        <v>2168.7799999999997</v>
      </c>
      <c r="R22" s="6702"/>
      <c r="S22" s="39">
        <f t="shared" si="2"/>
        <v>9008.4989999999998</v>
      </c>
      <c r="T22" s="6703"/>
      <c r="U22" s="18">
        <v>938.93500000000006</v>
      </c>
      <c r="V22" s="6702"/>
      <c r="W22" s="39">
        <f t="shared" si="3"/>
        <v>9947.4339999999993</v>
      </c>
      <c r="X22" s="6703"/>
      <c r="Y22" s="18">
        <v>2693.4780000000001</v>
      </c>
      <c r="Z22" s="6701"/>
      <c r="AA22" s="6701">
        <f t="shared" si="4"/>
        <v>5801.1929999999993</v>
      </c>
      <c r="AB22" s="6704"/>
      <c r="AC22" s="6704">
        <f t="shared" si="5"/>
        <v>12640.911999999998</v>
      </c>
      <c r="AD22" s="6703"/>
      <c r="AE22" s="18">
        <v>2932.777</v>
      </c>
      <c r="AF22" s="2112"/>
      <c r="AG22" s="39">
        <f t="shared" si="6"/>
        <v>15573.688999999998</v>
      </c>
      <c r="AH22" s="6703"/>
      <c r="AI22" s="18"/>
      <c r="AJ22" s="2112"/>
      <c r="AK22" s="39">
        <f t="shared" si="7"/>
        <v>15573.688999999998</v>
      </c>
      <c r="AL22" s="6703"/>
      <c r="AM22" s="18">
        <v>1410.8320000000001</v>
      </c>
      <c r="AN22" s="6701"/>
      <c r="AO22" s="6701">
        <f t="shared" si="8"/>
        <v>4343.6090000000004</v>
      </c>
      <c r="AP22" s="2112"/>
      <c r="AQ22" s="39">
        <f t="shared" si="9"/>
        <v>16984.520999999997</v>
      </c>
      <c r="AR22" s="6703"/>
      <c r="AS22" s="18">
        <v>3891.4189999999985</v>
      </c>
      <c r="AT22" s="2112"/>
      <c r="AU22" s="39">
        <f t="shared" si="10"/>
        <v>20875.939999999995</v>
      </c>
      <c r="AV22" s="6703"/>
      <c r="AW22" s="18">
        <v>2656.7739999999999</v>
      </c>
      <c r="AX22" s="2112"/>
      <c r="AY22" s="39">
        <f t="shared" si="11"/>
        <v>23532.713999999996</v>
      </c>
      <c r="AZ22" s="6703"/>
      <c r="BA22" s="18">
        <v>5398.3130000000001</v>
      </c>
      <c r="BB22" s="3048"/>
      <c r="BC22" s="6643">
        <f t="shared" si="12"/>
        <v>11946.505999999998</v>
      </c>
      <c r="BD22" s="701"/>
      <c r="BE22" s="701">
        <f t="shared" si="13"/>
        <v>16290.114999999998</v>
      </c>
      <c r="BF22" s="2112"/>
      <c r="BG22" s="39">
        <f t="shared" si="14"/>
        <v>28931.026999999995</v>
      </c>
      <c r="BH22" s="1222"/>
      <c r="BI22" s="1222"/>
      <c r="BJ22" s="26"/>
      <c r="BK22" s="26"/>
      <c r="BL22" s="26"/>
      <c r="BM22" s="26"/>
      <c r="BN22" s="1222"/>
    </row>
    <row r="23" spans="1:71" ht="15" customHeight="1" thickBot="1" x14ac:dyDescent="0.3">
      <c r="A23" s="2256"/>
      <c r="B23" s="3633" t="s">
        <v>854</v>
      </c>
      <c r="C23" s="3634" t="s">
        <v>948</v>
      </c>
      <c r="D23" s="3635">
        <v>57.38</v>
      </c>
      <c r="E23" s="1415" t="s">
        <v>50</v>
      </c>
      <c r="F23" s="3636"/>
      <c r="G23" s="38">
        <v>974.24799999999993</v>
      </c>
      <c r="H23" s="3636"/>
      <c r="I23" s="38">
        <v>1834.2080000000017</v>
      </c>
      <c r="J23" s="3637"/>
      <c r="K23" s="6672">
        <f t="shared" si="0"/>
        <v>2808.4560000000015</v>
      </c>
      <c r="L23" s="3636"/>
      <c r="M23" s="38">
        <v>1390.4740000000002</v>
      </c>
      <c r="N23" s="2104"/>
      <c r="O23" s="69">
        <f t="shared" si="1"/>
        <v>4198.9300000000021</v>
      </c>
      <c r="P23" s="3636"/>
      <c r="Q23" s="38">
        <v>1608.691</v>
      </c>
      <c r="R23" s="2112"/>
      <c r="S23" s="39">
        <f t="shared" si="2"/>
        <v>5807.6210000000019</v>
      </c>
      <c r="T23" s="3636"/>
      <c r="U23" s="38">
        <v>950.90200000000004</v>
      </c>
      <c r="V23" s="2112"/>
      <c r="W23" s="39">
        <f t="shared" si="3"/>
        <v>6758.523000000002</v>
      </c>
      <c r="X23" s="3636"/>
      <c r="Y23" s="38">
        <v>1012.471</v>
      </c>
      <c r="Z23" s="904"/>
      <c r="AA23" s="6701">
        <f t="shared" si="4"/>
        <v>3572.0639999999999</v>
      </c>
      <c r="AB23" s="5189"/>
      <c r="AC23" s="6704">
        <f t="shared" si="5"/>
        <v>7770.9940000000024</v>
      </c>
      <c r="AD23" s="3636"/>
      <c r="AE23" s="38">
        <v>1355.385</v>
      </c>
      <c r="AF23" s="2112"/>
      <c r="AG23" s="39">
        <f t="shared" si="6"/>
        <v>9126.3790000000026</v>
      </c>
      <c r="AH23" s="3636"/>
      <c r="AI23" s="38"/>
      <c r="AJ23" s="2112"/>
      <c r="AK23" s="39">
        <f t="shared" si="7"/>
        <v>9126.3790000000026</v>
      </c>
      <c r="AL23" s="3636"/>
      <c r="AM23" s="38">
        <v>1326.625</v>
      </c>
      <c r="AN23" s="904"/>
      <c r="AO23" s="6701">
        <f t="shared" si="8"/>
        <v>2682.01</v>
      </c>
      <c r="AP23" s="2112"/>
      <c r="AQ23" s="39">
        <f t="shared" si="9"/>
        <v>10453.004000000003</v>
      </c>
      <c r="AR23" s="3636"/>
      <c r="AS23" s="38">
        <v>1677.864</v>
      </c>
      <c r="AT23" s="2112"/>
      <c r="AU23" s="39">
        <f t="shared" si="10"/>
        <v>12130.868000000002</v>
      </c>
      <c r="AV23" s="3636"/>
      <c r="AW23" s="38">
        <v>3401.8390000000009</v>
      </c>
      <c r="AX23" s="2112"/>
      <c r="AY23" s="39">
        <f t="shared" si="11"/>
        <v>15532.707000000002</v>
      </c>
      <c r="AZ23" s="3636"/>
      <c r="BA23" s="38">
        <v>978.53</v>
      </c>
      <c r="BB23" s="904"/>
      <c r="BC23" s="6643">
        <f t="shared" si="12"/>
        <v>6058.2330000000011</v>
      </c>
      <c r="BD23" s="905"/>
      <c r="BE23" s="701">
        <f t="shared" si="13"/>
        <v>8740.2430000000022</v>
      </c>
      <c r="BF23" s="2112"/>
      <c r="BG23" s="39">
        <f t="shared" si="14"/>
        <v>16511.237000000001</v>
      </c>
      <c r="BH23" s="1222"/>
      <c r="BI23" s="1222"/>
      <c r="BJ23" s="26"/>
      <c r="BK23" s="26"/>
      <c r="BL23" s="26"/>
      <c r="BM23" s="26"/>
      <c r="BN23" s="1222"/>
    </row>
    <row r="24" spans="1:71" ht="15" customHeight="1" x14ac:dyDescent="0.25">
      <c r="B24" s="3628" t="s">
        <v>920</v>
      </c>
      <c r="C24" s="3629" t="s">
        <v>948</v>
      </c>
      <c r="D24" s="3630">
        <v>77.58</v>
      </c>
      <c r="E24" s="1332" t="s">
        <v>50</v>
      </c>
      <c r="F24" s="3631"/>
      <c r="G24" s="88">
        <v>513.57799999999997</v>
      </c>
      <c r="H24" s="3631"/>
      <c r="I24" s="88">
        <v>459.72199999999998</v>
      </c>
      <c r="J24" s="3632"/>
      <c r="K24" s="6672">
        <f t="shared" si="0"/>
        <v>973.3</v>
      </c>
      <c r="L24" s="3631"/>
      <c r="M24" s="88"/>
      <c r="N24" s="2104"/>
      <c r="O24" s="69">
        <f t="shared" si="1"/>
        <v>973.3</v>
      </c>
      <c r="P24" s="3631"/>
      <c r="Q24" s="88">
        <v>551.55500000000006</v>
      </c>
      <c r="R24" s="2112"/>
      <c r="S24" s="39">
        <f t="shared" si="2"/>
        <v>1524.855</v>
      </c>
      <c r="T24" s="3631"/>
      <c r="U24" s="88">
        <v>861.33100000000002</v>
      </c>
      <c r="V24" s="2112"/>
      <c r="W24" s="39">
        <f t="shared" si="3"/>
        <v>2386.1860000000001</v>
      </c>
      <c r="X24" s="3631"/>
      <c r="Y24" s="88">
        <v>202.13899999999998</v>
      </c>
      <c r="Z24" s="904"/>
      <c r="AA24" s="6701">
        <f t="shared" si="4"/>
        <v>1615.0249999999999</v>
      </c>
      <c r="AB24" s="5189"/>
      <c r="AC24" s="6704">
        <f t="shared" si="5"/>
        <v>2588.3249999999998</v>
      </c>
      <c r="AD24" s="3631"/>
      <c r="AE24" s="88">
        <v>423.42999999999995</v>
      </c>
      <c r="AF24" s="2112"/>
      <c r="AG24" s="39">
        <f t="shared" si="6"/>
        <v>3011.7549999999997</v>
      </c>
      <c r="AH24" s="3631"/>
      <c r="AI24" s="88">
        <v>148.166</v>
      </c>
      <c r="AJ24" s="2112"/>
      <c r="AK24" s="39">
        <f t="shared" si="7"/>
        <v>3159.9209999999998</v>
      </c>
      <c r="AL24" s="3631"/>
      <c r="AM24" s="88">
        <v>528.88900000000001</v>
      </c>
      <c r="AN24" s="904"/>
      <c r="AO24" s="6701">
        <f t="shared" si="8"/>
        <v>1100.4850000000001</v>
      </c>
      <c r="AP24" s="2112"/>
      <c r="AQ24" s="39">
        <f t="shared" si="9"/>
        <v>3688.81</v>
      </c>
      <c r="AR24" s="3631"/>
      <c r="AS24" s="88">
        <v>224.92599999999999</v>
      </c>
      <c r="AT24" s="2112"/>
      <c r="AU24" s="39">
        <f t="shared" si="10"/>
        <v>3913.7359999999999</v>
      </c>
      <c r="AV24" s="3631"/>
      <c r="AW24" s="88">
        <v>337.13100000000003</v>
      </c>
      <c r="AX24" s="2112"/>
      <c r="AY24" s="39">
        <f t="shared" si="11"/>
        <v>4250.8670000000002</v>
      </c>
      <c r="AZ24" s="3631"/>
      <c r="BA24" s="88">
        <v>1462.5219999999999</v>
      </c>
      <c r="BB24" s="904"/>
      <c r="BC24" s="6643">
        <f t="shared" si="12"/>
        <v>2024.579</v>
      </c>
      <c r="BD24" s="905"/>
      <c r="BE24" s="701">
        <f t="shared" si="13"/>
        <v>3125.0640000000003</v>
      </c>
      <c r="BF24" s="2112"/>
      <c r="BG24" s="39">
        <f t="shared" si="14"/>
        <v>5713.3890000000001</v>
      </c>
      <c r="BH24" s="1222"/>
      <c r="BI24" s="1222"/>
      <c r="BJ24" s="26"/>
      <c r="BK24" s="26"/>
      <c r="BL24" s="26"/>
      <c r="BM24" s="26"/>
      <c r="BN24" s="1222"/>
    </row>
    <row r="25" spans="1:71" ht="15" customHeight="1" x14ac:dyDescent="0.25">
      <c r="B25" s="1093" t="s">
        <v>920</v>
      </c>
      <c r="C25" s="3418" t="s">
        <v>1015</v>
      </c>
      <c r="D25" s="3419">
        <v>77.58</v>
      </c>
      <c r="E25" s="1395" t="s">
        <v>50</v>
      </c>
      <c r="F25" s="2089"/>
      <c r="G25" s="18">
        <v>2950.0410000000002</v>
      </c>
      <c r="H25" s="2089"/>
      <c r="I25" s="18">
        <v>2511.3139999999994</v>
      </c>
      <c r="J25" s="2095"/>
      <c r="K25" s="6672">
        <f t="shared" si="0"/>
        <v>5461.3549999999996</v>
      </c>
      <c r="L25" s="2089"/>
      <c r="M25" s="18"/>
      <c r="N25" s="2104"/>
      <c r="O25" s="69">
        <f t="shared" si="1"/>
        <v>5461.3549999999996</v>
      </c>
      <c r="P25" s="2089"/>
      <c r="Q25" s="18">
        <v>2756.5770000000002</v>
      </c>
      <c r="R25" s="2112"/>
      <c r="S25" s="39">
        <f t="shared" si="2"/>
        <v>8217.9320000000007</v>
      </c>
      <c r="T25" s="2089"/>
      <c r="U25" s="18">
        <v>2119.154</v>
      </c>
      <c r="V25" s="2112"/>
      <c r="W25" s="39">
        <f t="shared" si="3"/>
        <v>10337.086000000001</v>
      </c>
      <c r="X25" s="2089"/>
      <c r="Y25" s="18">
        <v>2508.4379999999996</v>
      </c>
      <c r="Z25" s="904"/>
      <c r="AA25" s="6701">
        <f t="shared" si="4"/>
        <v>7384.1689999999999</v>
      </c>
      <c r="AB25" s="5189"/>
      <c r="AC25" s="6704">
        <f t="shared" si="5"/>
        <v>12845.523999999999</v>
      </c>
      <c r="AD25" s="2089"/>
      <c r="AE25" s="18">
        <v>3554.6419999999998</v>
      </c>
      <c r="AF25" s="2112"/>
      <c r="AG25" s="39">
        <f t="shared" si="6"/>
        <v>16400.165999999997</v>
      </c>
      <c r="AH25" s="2089"/>
      <c r="AI25" s="18">
        <v>1881.767000000001</v>
      </c>
      <c r="AJ25" s="2112"/>
      <c r="AK25" s="39">
        <f t="shared" si="7"/>
        <v>18281.932999999997</v>
      </c>
      <c r="AL25" s="2089"/>
      <c r="AM25" s="18">
        <v>3587.078</v>
      </c>
      <c r="AN25" s="904"/>
      <c r="AO25" s="6701">
        <f t="shared" si="8"/>
        <v>9023.487000000001</v>
      </c>
      <c r="AP25" s="2112"/>
      <c r="AQ25" s="39">
        <f t="shared" si="9"/>
        <v>21869.010999999999</v>
      </c>
      <c r="AR25" s="2089"/>
      <c r="AS25" s="18">
        <v>1117.4050000000002</v>
      </c>
      <c r="AT25" s="2112"/>
      <c r="AU25" s="39">
        <f t="shared" si="10"/>
        <v>22986.415999999997</v>
      </c>
      <c r="AV25" s="2089"/>
      <c r="AW25" s="18">
        <v>3242.7780000000007</v>
      </c>
      <c r="AX25" s="2112"/>
      <c r="AY25" s="39">
        <f t="shared" si="11"/>
        <v>26229.194</v>
      </c>
      <c r="AZ25" s="2089"/>
      <c r="BA25" s="18">
        <v>3123.219000000001</v>
      </c>
      <c r="BB25" s="904"/>
      <c r="BC25" s="6643">
        <f t="shared" si="12"/>
        <v>7483.4020000000019</v>
      </c>
      <c r="BD25" s="905"/>
      <c r="BE25" s="701">
        <f t="shared" si="13"/>
        <v>16506.889000000003</v>
      </c>
      <c r="BF25" s="2112"/>
      <c r="BG25" s="39">
        <f t="shared" si="14"/>
        <v>29352.413</v>
      </c>
      <c r="BH25" s="1222"/>
      <c r="BI25" s="1222"/>
      <c r="BJ25" s="26"/>
      <c r="BK25" s="26"/>
      <c r="BL25" s="26"/>
      <c r="BM25" s="26"/>
      <c r="BN25" s="1222"/>
    </row>
    <row r="26" spans="1:71" ht="15" customHeight="1" x14ac:dyDescent="0.25">
      <c r="B26" s="1093" t="s">
        <v>1076</v>
      </c>
      <c r="C26" s="3418" t="s">
        <v>948</v>
      </c>
      <c r="D26" s="3419">
        <v>67.16</v>
      </c>
      <c r="E26" s="1395" t="s">
        <v>50</v>
      </c>
      <c r="F26" s="2089"/>
      <c r="G26" s="18">
        <v>808.44500000000005</v>
      </c>
      <c r="H26" s="2089"/>
      <c r="I26" s="18">
        <v>423.45800000000003</v>
      </c>
      <c r="J26" s="2095"/>
      <c r="K26" s="6672">
        <f t="shared" si="0"/>
        <v>1231.903</v>
      </c>
      <c r="L26" s="2089"/>
      <c r="M26" s="18"/>
      <c r="N26" s="2104"/>
      <c r="O26" s="69">
        <f t="shared" si="1"/>
        <v>1231.903</v>
      </c>
      <c r="P26" s="2089"/>
      <c r="Q26" s="18">
        <v>500.714</v>
      </c>
      <c r="R26" s="2112"/>
      <c r="S26" s="39">
        <f t="shared" si="2"/>
        <v>1732.617</v>
      </c>
      <c r="T26" s="2089"/>
      <c r="U26" s="18">
        <v>266.75599999999997</v>
      </c>
      <c r="V26" s="2112"/>
      <c r="W26" s="39">
        <f t="shared" si="3"/>
        <v>1999.373</v>
      </c>
      <c r="X26" s="2089"/>
      <c r="Y26" s="18">
        <v>342.76100000000002</v>
      </c>
      <c r="Z26" s="904"/>
      <c r="AA26" s="6701">
        <f t="shared" si="4"/>
        <v>1110.231</v>
      </c>
      <c r="AB26" s="5189"/>
      <c r="AC26" s="6704">
        <f t="shared" si="5"/>
        <v>2342.134</v>
      </c>
      <c r="AD26" s="2089"/>
      <c r="AE26" s="18">
        <v>412.39399999999995</v>
      </c>
      <c r="AF26" s="2112"/>
      <c r="AG26" s="39">
        <f t="shared" si="6"/>
        <v>2754.5279999999998</v>
      </c>
      <c r="AH26" s="2089"/>
      <c r="AI26" s="18"/>
      <c r="AJ26" s="2112"/>
      <c r="AK26" s="39">
        <f t="shared" si="7"/>
        <v>2754.5279999999998</v>
      </c>
      <c r="AL26" s="2089"/>
      <c r="AM26" s="18">
        <v>618.529</v>
      </c>
      <c r="AN26" s="904"/>
      <c r="AO26" s="6701">
        <f t="shared" si="8"/>
        <v>1030.923</v>
      </c>
      <c r="AP26" s="2112"/>
      <c r="AQ26" s="39">
        <f t="shared" si="9"/>
        <v>3373.0569999999998</v>
      </c>
      <c r="AR26" s="2089"/>
      <c r="AS26" s="18">
        <v>434.44400000000002</v>
      </c>
      <c r="AT26" s="2112"/>
      <c r="AU26" s="39">
        <f t="shared" si="10"/>
        <v>3807.5009999999997</v>
      </c>
      <c r="AV26" s="2089"/>
      <c r="AW26" s="18">
        <v>530.173</v>
      </c>
      <c r="AX26" s="2112"/>
      <c r="AY26" s="39">
        <f t="shared" si="11"/>
        <v>4337.674</v>
      </c>
      <c r="AZ26" s="2089"/>
      <c r="BA26" s="18">
        <v>261.35300000000001</v>
      </c>
      <c r="BB26" s="904"/>
      <c r="BC26" s="6643">
        <f t="shared" si="12"/>
        <v>1225.97</v>
      </c>
      <c r="BD26" s="905"/>
      <c r="BE26" s="701">
        <f t="shared" si="13"/>
        <v>2256.893</v>
      </c>
      <c r="BF26" s="2112"/>
      <c r="BG26" s="39">
        <f t="shared" si="14"/>
        <v>4599.027</v>
      </c>
      <c r="BH26" s="1222"/>
      <c r="BI26" s="1222"/>
      <c r="BJ26" s="26"/>
      <c r="BK26" s="26"/>
      <c r="BL26" s="26"/>
      <c r="BM26" s="26"/>
      <c r="BN26" s="1222"/>
    </row>
    <row r="27" spans="1:71" ht="15" customHeight="1" x14ac:dyDescent="0.25">
      <c r="B27" s="1093" t="s">
        <v>1076</v>
      </c>
      <c r="C27" s="3418" t="s">
        <v>1015</v>
      </c>
      <c r="D27" s="3419">
        <v>67.16</v>
      </c>
      <c r="E27" s="1395" t="s">
        <v>50</v>
      </c>
      <c r="F27" s="2089"/>
      <c r="G27" s="18">
        <v>2264.8240000000005</v>
      </c>
      <c r="H27" s="2089"/>
      <c r="I27" s="18">
        <v>1004.057</v>
      </c>
      <c r="J27" s="2095"/>
      <c r="K27" s="6672">
        <f t="shared" si="0"/>
        <v>3268.8810000000003</v>
      </c>
      <c r="L27" s="2089"/>
      <c r="M27" s="18"/>
      <c r="N27" s="2104"/>
      <c r="O27" s="69">
        <f t="shared" si="1"/>
        <v>3268.8810000000003</v>
      </c>
      <c r="P27" s="2089"/>
      <c r="Q27" s="18">
        <v>796.29200000000003</v>
      </c>
      <c r="R27" s="2112"/>
      <c r="S27" s="39">
        <f t="shared" si="2"/>
        <v>4065.1730000000002</v>
      </c>
      <c r="T27" s="2089"/>
      <c r="U27" s="18">
        <v>13.851999999999999</v>
      </c>
      <c r="V27" s="2112"/>
      <c r="W27" s="39">
        <f t="shared" si="3"/>
        <v>4079.0250000000001</v>
      </c>
      <c r="X27" s="2089"/>
      <c r="Y27" s="18">
        <v>1024.78</v>
      </c>
      <c r="Z27" s="904"/>
      <c r="AA27" s="6701">
        <f t="shared" si="4"/>
        <v>1834.924</v>
      </c>
      <c r="AB27" s="5189"/>
      <c r="AC27" s="6704">
        <f t="shared" si="5"/>
        <v>5103.8050000000003</v>
      </c>
      <c r="AD27" s="2089"/>
      <c r="AE27" s="18">
        <v>1126.606</v>
      </c>
      <c r="AF27" s="2112"/>
      <c r="AG27" s="39">
        <f t="shared" si="6"/>
        <v>6230.4110000000001</v>
      </c>
      <c r="AH27" s="2089"/>
      <c r="AI27" s="18"/>
      <c r="AJ27" s="2112"/>
      <c r="AK27" s="39">
        <f t="shared" si="7"/>
        <v>6230.4110000000001</v>
      </c>
      <c r="AL27" s="2089"/>
      <c r="AM27" s="18">
        <v>1183.0869999999998</v>
      </c>
      <c r="AN27" s="904"/>
      <c r="AO27" s="6701">
        <f t="shared" si="8"/>
        <v>2309.6929999999998</v>
      </c>
      <c r="AP27" s="2112"/>
      <c r="AQ27" s="39">
        <f t="shared" si="9"/>
        <v>7413.4979999999996</v>
      </c>
      <c r="AR27" s="2089"/>
      <c r="AS27" s="18">
        <v>1501.9960000000001</v>
      </c>
      <c r="AT27" s="2112"/>
      <c r="AU27" s="39">
        <f t="shared" si="10"/>
        <v>8915.4939999999988</v>
      </c>
      <c r="AV27" s="2089"/>
      <c r="AW27" s="18">
        <v>787.7170000000001</v>
      </c>
      <c r="AX27" s="2112"/>
      <c r="AY27" s="39">
        <f t="shared" si="11"/>
        <v>9703.2109999999993</v>
      </c>
      <c r="AZ27" s="2089"/>
      <c r="BA27" s="18">
        <v>1635.325</v>
      </c>
      <c r="BB27" s="904"/>
      <c r="BC27" s="6643">
        <f t="shared" si="12"/>
        <v>3925.0380000000005</v>
      </c>
      <c r="BD27" s="905"/>
      <c r="BE27" s="701">
        <f t="shared" si="13"/>
        <v>6234.7309999999998</v>
      </c>
      <c r="BF27" s="2112"/>
      <c r="BG27" s="39">
        <f t="shared" si="14"/>
        <v>11338.536</v>
      </c>
      <c r="BH27" s="1222"/>
      <c r="BI27" s="1222"/>
      <c r="BJ27" s="26"/>
      <c r="BK27" s="26"/>
      <c r="BL27" s="26"/>
      <c r="BM27" s="26"/>
      <c r="BN27" s="1222"/>
    </row>
    <row r="28" spans="1:71" s="3414" customFormat="1" ht="15" customHeight="1" x14ac:dyDescent="0.25">
      <c r="B28" s="1093" t="s">
        <v>920</v>
      </c>
      <c r="C28" s="3418" t="s">
        <v>1015</v>
      </c>
      <c r="D28" s="3419">
        <v>92.37</v>
      </c>
      <c r="E28" s="1395" t="s">
        <v>50</v>
      </c>
      <c r="F28" s="2089"/>
      <c r="G28" s="18">
        <v>443.37999999999994</v>
      </c>
      <c r="H28" s="2089"/>
      <c r="I28" s="18">
        <v>203.166</v>
      </c>
      <c r="J28" s="2095"/>
      <c r="K28" s="6672">
        <f t="shared" si="0"/>
        <v>646.54599999999994</v>
      </c>
      <c r="L28" s="2089"/>
      <c r="M28" s="18"/>
      <c r="N28" s="2104"/>
      <c r="O28" s="69">
        <f t="shared" si="1"/>
        <v>646.54599999999994</v>
      </c>
      <c r="P28" s="2089"/>
      <c r="Q28" s="18">
        <v>256.47000000000003</v>
      </c>
      <c r="R28" s="2112"/>
      <c r="S28" s="39">
        <f t="shared" si="2"/>
        <v>903.01599999999996</v>
      </c>
      <c r="T28" s="2089"/>
      <c r="U28" s="18">
        <v>661.04499999999996</v>
      </c>
      <c r="V28" s="2112"/>
      <c r="W28" s="39">
        <f t="shared" si="3"/>
        <v>1564.0609999999999</v>
      </c>
      <c r="X28" s="2089"/>
      <c r="Y28" s="18">
        <v>273.53499999999997</v>
      </c>
      <c r="Z28" s="904"/>
      <c r="AA28" s="6701">
        <f t="shared" si="4"/>
        <v>1191.05</v>
      </c>
      <c r="AB28" s="5189"/>
      <c r="AC28" s="6704">
        <f t="shared" si="5"/>
        <v>1837.596</v>
      </c>
      <c r="AD28" s="2089"/>
      <c r="AE28" s="18"/>
      <c r="AF28" s="2112"/>
      <c r="AG28" s="39">
        <f t="shared" si="6"/>
        <v>1837.596</v>
      </c>
      <c r="AH28" s="2089"/>
      <c r="AI28" s="18"/>
      <c r="AJ28" s="2112"/>
      <c r="AK28" s="39">
        <f t="shared" si="7"/>
        <v>1837.596</v>
      </c>
      <c r="AL28" s="2089"/>
      <c r="AM28" s="18">
        <v>39.823999999999984</v>
      </c>
      <c r="AN28" s="904"/>
      <c r="AO28" s="6701">
        <f t="shared" si="8"/>
        <v>39.823999999999984</v>
      </c>
      <c r="AP28" s="2112"/>
      <c r="AQ28" s="39">
        <f t="shared" si="9"/>
        <v>1877.42</v>
      </c>
      <c r="AR28" s="2089"/>
      <c r="AS28" s="18"/>
      <c r="AT28" s="2112"/>
      <c r="AU28" s="39">
        <f t="shared" si="10"/>
        <v>1877.42</v>
      </c>
      <c r="AV28" s="2089"/>
      <c r="AW28" s="18">
        <v>434.76400000000001</v>
      </c>
      <c r="AX28" s="2112"/>
      <c r="AY28" s="39">
        <f t="shared" si="11"/>
        <v>2312.1840000000002</v>
      </c>
      <c r="AZ28" s="2089"/>
      <c r="BA28" s="18">
        <v>113.502</v>
      </c>
      <c r="BB28" s="904"/>
      <c r="BC28" s="6643">
        <f t="shared" si="12"/>
        <v>548.26599999999996</v>
      </c>
      <c r="BD28" s="905"/>
      <c r="BE28" s="701">
        <f t="shared" si="13"/>
        <v>588.08999999999992</v>
      </c>
      <c r="BF28" s="2112"/>
      <c r="BG28" s="39">
        <f t="shared" si="14"/>
        <v>2425.6860000000001</v>
      </c>
      <c r="BH28" s="1222"/>
      <c r="BI28" s="1222"/>
      <c r="BJ28" s="26"/>
      <c r="BK28" s="26"/>
      <c r="BL28" s="26"/>
      <c r="BM28" s="26"/>
      <c r="BN28" s="1222"/>
      <c r="BS28" s="1652"/>
    </row>
    <row r="29" spans="1:71" ht="15" customHeight="1" thickBot="1" x14ac:dyDescent="0.3">
      <c r="B29" s="3633" t="s">
        <v>920</v>
      </c>
      <c r="C29" s="3634" t="s">
        <v>948</v>
      </c>
      <c r="D29" s="3635">
        <v>92.37</v>
      </c>
      <c r="E29" s="1415" t="s">
        <v>50</v>
      </c>
      <c r="F29" s="3636"/>
      <c r="G29" s="38"/>
      <c r="H29" s="3636"/>
      <c r="I29" s="38"/>
      <c r="J29" s="3637"/>
      <c r="K29" s="6672">
        <f t="shared" si="0"/>
        <v>0</v>
      </c>
      <c r="L29" s="3636"/>
      <c r="M29" s="38"/>
      <c r="N29" s="2104"/>
      <c r="O29" s="69">
        <f t="shared" si="1"/>
        <v>0</v>
      </c>
      <c r="P29" s="3636"/>
      <c r="Q29" s="38"/>
      <c r="R29" s="2112"/>
      <c r="S29" s="39">
        <f t="shared" si="2"/>
        <v>0</v>
      </c>
      <c r="T29" s="3636"/>
      <c r="U29" s="38">
        <v>255.32899999999995</v>
      </c>
      <c r="V29" s="2112"/>
      <c r="W29" s="39">
        <f t="shared" si="3"/>
        <v>255.32899999999995</v>
      </c>
      <c r="X29" s="3636"/>
      <c r="Y29" s="38"/>
      <c r="Z29" s="3420"/>
      <c r="AA29" s="6701">
        <f t="shared" si="4"/>
        <v>255.32899999999995</v>
      </c>
      <c r="AB29" s="5190"/>
      <c r="AC29" s="6704">
        <f t="shared" si="5"/>
        <v>255.32899999999995</v>
      </c>
      <c r="AD29" s="3636"/>
      <c r="AE29" s="38"/>
      <c r="AF29" s="2112"/>
      <c r="AG29" s="39">
        <f t="shared" si="6"/>
        <v>255.32899999999995</v>
      </c>
      <c r="AH29" s="3636"/>
      <c r="AI29" s="38"/>
      <c r="AJ29" s="2112"/>
      <c r="AK29" s="39">
        <f t="shared" si="7"/>
        <v>255.32899999999995</v>
      </c>
      <c r="AL29" s="3636"/>
      <c r="AM29" s="38"/>
      <c r="AN29" s="3420"/>
      <c r="AO29" s="6701">
        <f t="shared" si="8"/>
        <v>0</v>
      </c>
      <c r="AP29" s="2112"/>
      <c r="AQ29" s="39">
        <f t="shared" si="9"/>
        <v>255.32899999999995</v>
      </c>
      <c r="AR29" s="3636"/>
      <c r="AS29" s="38"/>
      <c r="AT29" s="2112"/>
      <c r="AU29" s="39">
        <f t="shared" si="10"/>
        <v>255.32899999999995</v>
      </c>
      <c r="AV29" s="3636"/>
      <c r="AW29" s="38">
        <v>138.61500000000001</v>
      </c>
      <c r="AX29" s="2112"/>
      <c r="AY29" s="39">
        <f t="shared" si="11"/>
        <v>393.94399999999996</v>
      </c>
      <c r="AZ29" s="3636"/>
      <c r="BA29" s="38"/>
      <c r="BB29" s="3420"/>
      <c r="BC29" s="6643">
        <f t="shared" si="12"/>
        <v>138.61500000000001</v>
      </c>
      <c r="BD29" s="3421"/>
      <c r="BE29" s="701">
        <f t="shared" si="13"/>
        <v>138.61500000000001</v>
      </c>
      <c r="BF29" s="2112"/>
      <c r="BG29" s="39">
        <f t="shared" si="14"/>
        <v>393.94399999999996</v>
      </c>
      <c r="BH29" s="1222"/>
      <c r="BI29" s="1222"/>
      <c r="BJ29" s="26"/>
      <c r="BK29" s="26"/>
      <c r="BL29" s="26"/>
      <c r="BM29" s="26"/>
      <c r="BN29" s="1222"/>
    </row>
    <row r="30" spans="1:71" s="3056" customFormat="1" ht="15" customHeight="1" x14ac:dyDescent="0.25">
      <c r="B30" s="3628" t="s">
        <v>1292</v>
      </c>
      <c r="C30" s="3629" t="s">
        <v>1015</v>
      </c>
      <c r="D30" s="3630">
        <v>79.36</v>
      </c>
      <c r="E30" s="1332" t="s">
        <v>50</v>
      </c>
      <c r="F30" s="3631"/>
      <c r="G30" s="88">
        <v>1044.961</v>
      </c>
      <c r="H30" s="3631"/>
      <c r="I30" s="88">
        <v>423.31900000000007</v>
      </c>
      <c r="J30" s="3632"/>
      <c r="K30" s="6672">
        <f t="shared" si="0"/>
        <v>1468.2800000000002</v>
      </c>
      <c r="L30" s="3631"/>
      <c r="M30" s="88"/>
      <c r="N30" s="2104"/>
      <c r="O30" s="69">
        <f t="shared" si="1"/>
        <v>1468.2800000000002</v>
      </c>
      <c r="P30" s="3631"/>
      <c r="Q30" s="88">
        <v>460.31300000000005</v>
      </c>
      <c r="R30" s="2112"/>
      <c r="S30" s="39">
        <f t="shared" si="2"/>
        <v>1928.5930000000003</v>
      </c>
      <c r="T30" s="3631"/>
      <c r="U30" s="88">
        <v>314.64400000000001</v>
      </c>
      <c r="V30" s="2112"/>
      <c r="W30" s="39">
        <f t="shared" si="3"/>
        <v>2243.2370000000001</v>
      </c>
      <c r="X30" s="3631"/>
      <c r="Y30" s="88">
        <v>821.56999999999994</v>
      </c>
      <c r="Z30" s="904"/>
      <c r="AA30" s="6701">
        <f t="shared" si="4"/>
        <v>1596.527</v>
      </c>
      <c r="AB30" s="5189"/>
      <c r="AC30" s="6704">
        <f t="shared" si="5"/>
        <v>3064.8070000000002</v>
      </c>
      <c r="AD30" s="3631"/>
      <c r="AE30" s="88">
        <v>600.15200000000004</v>
      </c>
      <c r="AF30" s="2112"/>
      <c r="AG30" s="39">
        <f t="shared" si="6"/>
        <v>3664.9590000000003</v>
      </c>
      <c r="AH30" s="3631"/>
      <c r="AI30" s="88"/>
      <c r="AJ30" s="2112"/>
      <c r="AK30" s="39">
        <f t="shared" si="7"/>
        <v>3664.9590000000003</v>
      </c>
      <c r="AL30" s="3631"/>
      <c r="AM30" s="88">
        <v>1083.771</v>
      </c>
      <c r="AN30" s="904"/>
      <c r="AO30" s="6701">
        <f t="shared" si="8"/>
        <v>1683.923</v>
      </c>
      <c r="AP30" s="2112"/>
      <c r="AQ30" s="39">
        <f t="shared" si="9"/>
        <v>4748.7300000000005</v>
      </c>
      <c r="AR30" s="3631"/>
      <c r="AS30" s="88">
        <v>413.697</v>
      </c>
      <c r="AT30" s="2112"/>
      <c r="AU30" s="39">
        <f t="shared" si="10"/>
        <v>5162.4270000000006</v>
      </c>
      <c r="AV30" s="3631"/>
      <c r="AW30" s="88">
        <v>206.81</v>
      </c>
      <c r="AX30" s="2112"/>
      <c r="AY30" s="39">
        <f t="shared" si="11"/>
        <v>5369.237000000001</v>
      </c>
      <c r="AZ30" s="3631"/>
      <c r="BA30" s="88">
        <v>1622.2330000000002</v>
      </c>
      <c r="BB30" s="904"/>
      <c r="BC30" s="6643">
        <f t="shared" si="12"/>
        <v>2242.7400000000002</v>
      </c>
      <c r="BD30" s="905"/>
      <c r="BE30" s="701">
        <f t="shared" si="13"/>
        <v>3926.6630000000005</v>
      </c>
      <c r="BF30" s="2112"/>
      <c r="BG30" s="39">
        <f t="shared" si="14"/>
        <v>6991.4700000000012</v>
      </c>
      <c r="BH30" s="1222"/>
      <c r="BI30" s="1222"/>
      <c r="BJ30" s="26"/>
      <c r="BK30" s="26"/>
      <c r="BL30" s="26"/>
      <c r="BM30" s="26"/>
      <c r="BN30" s="1222"/>
    </row>
    <row r="31" spans="1:71" ht="15" customHeight="1" x14ac:dyDescent="0.25">
      <c r="A31" s="2256"/>
      <c r="B31" s="1093" t="s">
        <v>1292</v>
      </c>
      <c r="C31" s="3418" t="s">
        <v>1632</v>
      </c>
      <c r="D31" s="3419">
        <v>79.36</v>
      </c>
      <c r="E31" s="1395" t="s">
        <v>50</v>
      </c>
      <c r="F31" s="2089"/>
      <c r="G31" s="18"/>
      <c r="H31" s="2089"/>
      <c r="I31" s="18"/>
      <c r="J31" s="2095"/>
      <c r="K31" s="6672">
        <f t="shared" si="0"/>
        <v>0</v>
      </c>
      <c r="L31" s="2089"/>
      <c r="M31" s="18"/>
      <c r="N31" s="2104"/>
      <c r="O31" s="69">
        <f t="shared" si="1"/>
        <v>0</v>
      </c>
      <c r="P31" s="2089"/>
      <c r="Q31" s="18"/>
      <c r="R31" s="2112"/>
      <c r="S31" s="39">
        <f t="shared" si="2"/>
        <v>0</v>
      </c>
      <c r="T31" s="2089"/>
      <c r="U31" s="18"/>
      <c r="V31" s="2112"/>
      <c r="W31" s="39">
        <f t="shared" si="3"/>
        <v>0</v>
      </c>
      <c r="X31" s="2089"/>
      <c r="Y31" s="18"/>
      <c r="Z31" s="2863"/>
      <c r="AA31" s="6701">
        <f t="shared" si="4"/>
        <v>0</v>
      </c>
      <c r="AB31" s="5191"/>
      <c r="AC31" s="6704">
        <f t="shared" si="5"/>
        <v>0</v>
      </c>
      <c r="AD31" s="2089"/>
      <c r="AE31" s="18"/>
      <c r="AF31" s="2112"/>
      <c r="AG31" s="39">
        <f t="shared" si="6"/>
        <v>0</v>
      </c>
      <c r="AH31" s="2089"/>
      <c r="AI31" s="18"/>
      <c r="AJ31" s="2112"/>
      <c r="AK31" s="39">
        <f t="shared" si="7"/>
        <v>0</v>
      </c>
      <c r="AL31" s="2089"/>
      <c r="AM31" s="18"/>
      <c r="AN31" s="2863"/>
      <c r="AO31" s="6701">
        <f t="shared" si="8"/>
        <v>0</v>
      </c>
      <c r="AP31" s="2112"/>
      <c r="AQ31" s="39">
        <f t="shared" si="9"/>
        <v>0</v>
      </c>
      <c r="AR31" s="2089"/>
      <c r="AS31" s="18"/>
      <c r="AT31" s="2112"/>
      <c r="AU31" s="39">
        <f t="shared" si="10"/>
        <v>0</v>
      </c>
      <c r="AV31" s="2089"/>
      <c r="AW31" s="18"/>
      <c r="AX31" s="2112"/>
      <c r="AY31" s="39">
        <f t="shared" si="11"/>
        <v>0</v>
      </c>
      <c r="AZ31" s="2089"/>
      <c r="BA31" s="18"/>
      <c r="BB31" s="2863"/>
      <c r="BC31" s="6643">
        <f t="shared" si="12"/>
        <v>0</v>
      </c>
      <c r="BD31" s="2867"/>
      <c r="BE31" s="701">
        <f t="shared" si="13"/>
        <v>0</v>
      </c>
      <c r="BF31" s="2112"/>
      <c r="BG31" s="39">
        <f t="shared" si="14"/>
        <v>0</v>
      </c>
      <c r="BH31" s="1222"/>
      <c r="BI31" s="1222"/>
      <c r="BJ31" s="26"/>
      <c r="BK31" s="26"/>
      <c r="BL31" s="26"/>
      <c r="BM31" s="26"/>
      <c r="BN31" s="1222"/>
    </row>
    <row r="32" spans="1:71" s="2631" customFormat="1" ht="15" customHeight="1" x14ac:dyDescent="0.25">
      <c r="B32" s="1093" t="s">
        <v>1292</v>
      </c>
      <c r="C32" s="3418" t="s">
        <v>948</v>
      </c>
      <c r="D32" s="3419">
        <v>79.36</v>
      </c>
      <c r="E32" s="1395" t="s">
        <v>50</v>
      </c>
      <c r="F32" s="2089"/>
      <c r="G32" s="18">
        <v>1060.674</v>
      </c>
      <c r="H32" s="2089"/>
      <c r="I32" s="18">
        <v>305.46600000000001</v>
      </c>
      <c r="J32" s="2095"/>
      <c r="K32" s="6672">
        <f t="shared" si="0"/>
        <v>1366.1399999999999</v>
      </c>
      <c r="L32" s="2089"/>
      <c r="M32" s="18"/>
      <c r="N32" s="2104"/>
      <c r="O32" s="69">
        <f t="shared" si="1"/>
        <v>1366.1399999999999</v>
      </c>
      <c r="P32" s="2089"/>
      <c r="Q32" s="18"/>
      <c r="R32" s="2112"/>
      <c r="S32" s="39">
        <f t="shared" si="2"/>
        <v>1366.1399999999999</v>
      </c>
      <c r="T32" s="2089"/>
      <c r="U32" s="18">
        <v>588.5</v>
      </c>
      <c r="V32" s="2112"/>
      <c r="W32" s="39">
        <f t="shared" si="3"/>
        <v>1954.6399999999999</v>
      </c>
      <c r="X32" s="2089"/>
      <c r="Y32" s="18">
        <v>460.31399999999996</v>
      </c>
      <c r="Z32" s="904"/>
      <c r="AA32" s="6701">
        <f t="shared" si="4"/>
        <v>1048.8139999999999</v>
      </c>
      <c r="AB32" s="5189"/>
      <c r="AC32" s="6704">
        <f t="shared" si="5"/>
        <v>2414.9539999999997</v>
      </c>
      <c r="AD32" s="2089"/>
      <c r="AE32" s="18">
        <v>290.38600000000002</v>
      </c>
      <c r="AF32" s="2112"/>
      <c r="AG32" s="39">
        <f t="shared" si="6"/>
        <v>2705.3399999999997</v>
      </c>
      <c r="AH32" s="2089"/>
      <c r="AI32" s="18"/>
      <c r="AJ32" s="2112"/>
      <c r="AK32" s="39">
        <f t="shared" si="7"/>
        <v>2705.3399999999997</v>
      </c>
      <c r="AL32" s="2089"/>
      <c r="AM32" s="18">
        <v>547.82899999999995</v>
      </c>
      <c r="AN32" s="904"/>
      <c r="AO32" s="6701">
        <f t="shared" si="8"/>
        <v>838.21499999999992</v>
      </c>
      <c r="AP32" s="2112"/>
      <c r="AQ32" s="39">
        <f t="shared" si="9"/>
        <v>3253.1689999999999</v>
      </c>
      <c r="AR32" s="2089"/>
      <c r="AS32" s="18"/>
      <c r="AT32" s="2112"/>
      <c r="AU32" s="39">
        <f t="shared" si="10"/>
        <v>3253.1689999999999</v>
      </c>
      <c r="AV32" s="2089"/>
      <c r="AW32" s="18">
        <v>259.99099999999999</v>
      </c>
      <c r="AX32" s="2112"/>
      <c r="AY32" s="39">
        <f t="shared" si="11"/>
        <v>3513.16</v>
      </c>
      <c r="AZ32" s="2089"/>
      <c r="BA32" s="18">
        <v>871.15899999999988</v>
      </c>
      <c r="BB32" s="904"/>
      <c r="BC32" s="6643">
        <f t="shared" si="12"/>
        <v>1131.1499999999999</v>
      </c>
      <c r="BD32" s="905"/>
      <c r="BE32" s="701">
        <f t="shared" si="13"/>
        <v>1969.3649999999998</v>
      </c>
      <c r="BF32" s="2112"/>
      <c r="BG32" s="39">
        <f t="shared" si="14"/>
        <v>4384.3189999999995</v>
      </c>
      <c r="BH32" s="1222"/>
      <c r="BI32" s="1222"/>
      <c r="BJ32" s="26"/>
      <c r="BK32" s="26"/>
      <c r="BL32" s="26"/>
      <c r="BM32" s="26"/>
      <c r="BN32" s="1222"/>
    </row>
    <row r="33" spans="1:66" s="5172" customFormat="1" ht="15" customHeight="1" x14ac:dyDescent="0.25">
      <c r="B33" s="1093" t="s">
        <v>1292</v>
      </c>
      <c r="C33" s="3418" t="s">
        <v>1649</v>
      </c>
      <c r="D33" s="3419">
        <v>90.68</v>
      </c>
      <c r="E33" s="1395" t="s">
        <v>50</v>
      </c>
      <c r="F33" s="2089"/>
      <c r="G33" s="18"/>
      <c r="H33" s="2089"/>
      <c r="I33" s="18"/>
      <c r="J33" s="2095"/>
      <c r="K33" s="6672">
        <f t="shared" si="0"/>
        <v>0</v>
      </c>
      <c r="L33" s="2089"/>
      <c r="M33" s="18"/>
      <c r="N33" s="2104"/>
      <c r="O33" s="69">
        <f t="shared" si="1"/>
        <v>0</v>
      </c>
      <c r="P33" s="2089"/>
      <c r="Q33" s="18"/>
      <c r="R33" s="2112"/>
      <c r="S33" s="39">
        <f t="shared" si="2"/>
        <v>0</v>
      </c>
      <c r="T33" s="2089"/>
      <c r="U33" s="18"/>
      <c r="V33" s="2112"/>
      <c r="W33" s="39">
        <f t="shared" si="3"/>
        <v>0</v>
      </c>
      <c r="X33" s="2089"/>
      <c r="Y33" s="18"/>
      <c r="Z33" s="904"/>
      <c r="AA33" s="6701">
        <f t="shared" si="4"/>
        <v>0</v>
      </c>
      <c r="AB33" s="5189"/>
      <c r="AC33" s="6704">
        <f t="shared" si="5"/>
        <v>0</v>
      </c>
      <c r="AD33" s="2089"/>
      <c r="AE33" s="18"/>
      <c r="AF33" s="2112"/>
      <c r="AG33" s="39">
        <f t="shared" si="6"/>
        <v>0</v>
      </c>
      <c r="AH33" s="2089"/>
      <c r="AI33" s="18"/>
      <c r="AJ33" s="2112"/>
      <c r="AK33" s="39">
        <f t="shared" si="7"/>
        <v>0</v>
      </c>
      <c r="AL33" s="2089"/>
      <c r="AM33" s="18"/>
      <c r="AN33" s="904"/>
      <c r="AO33" s="6701">
        <f t="shared" si="8"/>
        <v>0</v>
      </c>
      <c r="AP33" s="2112"/>
      <c r="AQ33" s="39">
        <f t="shared" si="9"/>
        <v>0</v>
      </c>
      <c r="AR33" s="2089"/>
      <c r="AS33" s="18"/>
      <c r="AT33" s="2112"/>
      <c r="AU33" s="39">
        <f t="shared" si="10"/>
        <v>0</v>
      </c>
      <c r="AV33" s="2089"/>
      <c r="AW33" s="18">
        <v>329.46699999999998</v>
      </c>
      <c r="AX33" s="2112"/>
      <c r="AY33" s="39">
        <f t="shared" si="11"/>
        <v>329.46699999999998</v>
      </c>
      <c r="AZ33" s="2089"/>
      <c r="BA33" s="18"/>
      <c r="BB33" s="904"/>
      <c r="BC33" s="6643">
        <f t="shared" si="12"/>
        <v>329.46699999999998</v>
      </c>
      <c r="BD33" s="905"/>
      <c r="BE33" s="701">
        <f t="shared" si="13"/>
        <v>329.46699999999998</v>
      </c>
      <c r="BF33" s="2112"/>
      <c r="BG33" s="39">
        <f t="shared" si="14"/>
        <v>329.46699999999998</v>
      </c>
      <c r="BH33" s="1222"/>
      <c r="BI33" s="1222"/>
      <c r="BJ33" s="26"/>
      <c r="BK33" s="26"/>
      <c r="BL33" s="26"/>
      <c r="BM33" s="26"/>
      <c r="BN33" s="1222"/>
    </row>
    <row r="34" spans="1:66" s="5172" customFormat="1" ht="15" customHeight="1" x14ac:dyDescent="0.25">
      <c r="B34" s="1093" t="s">
        <v>1292</v>
      </c>
      <c r="C34" s="3418" t="s">
        <v>1015</v>
      </c>
      <c r="D34" s="3419">
        <v>90.68</v>
      </c>
      <c r="E34" s="1395" t="s">
        <v>50</v>
      </c>
      <c r="F34" s="2089"/>
      <c r="G34" s="18"/>
      <c r="H34" s="2089"/>
      <c r="I34" s="18"/>
      <c r="J34" s="2095"/>
      <c r="K34" s="6672">
        <f t="shared" si="0"/>
        <v>0</v>
      </c>
      <c r="L34" s="2089"/>
      <c r="M34" s="18"/>
      <c r="N34" s="2104"/>
      <c r="O34" s="69">
        <f t="shared" si="1"/>
        <v>0</v>
      </c>
      <c r="P34" s="2089"/>
      <c r="Q34" s="18"/>
      <c r="R34" s="2112"/>
      <c r="S34" s="39">
        <f t="shared" si="2"/>
        <v>0</v>
      </c>
      <c r="T34" s="2089"/>
      <c r="U34" s="18"/>
      <c r="V34" s="2112"/>
      <c r="W34" s="39">
        <f t="shared" si="3"/>
        <v>0</v>
      </c>
      <c r="X34" s="2089"/>
      <c r="Y34" s="18"/>
      <c r="Z34" s="3420"/>
      <c r="AA34" s="6701">
        <f t="shared" si="4"/>
        <v>0</v>
      </c>
      <c r="AB34" s="5190"/>
      <c r="AC34" s="6704">
        <f t="shared" si="5"/>
        <v>0</v>
      </c>
      <c r="AD34" s="2089"/>
      <c r="AE34" s="18"/>
      <c r="AF34" s="2112"/>
      <c r="AG34" s="39">
        <f t="shared" si="6"/>
        <v>0</v>
      </c>
      <c r="AH34" s="2089"/>
      <c r="AI34" s="18"/>
      <c r="AJ34" s="2112"/>
      <c r="AK34" s="39">
        <f t="shared" si="7"/>
        <v>0</v>
      </c>
      <c r="AL34" s="2089"/>
      <c r="AM34" s="18"/>
      <c r="AN34" s="3420"/>
      <c r="AO34" s="6701">
        <f t="shared" si="8"/>
        <v>0</v>
      </c>
      <c r="AP34" s="2112"/>
      <c r="AQ34" s="39">
        <f t="shared" si="9"/>
        <v>0</v>
      </c>
      <c r="AR34" s="2089"/>
      <c r="AS34" s="18"/>
      <c r="AT34" s="2112"/>
      <c r="AU34" s="39">
        <f t="shared" si="10"/>
        <v>0</v>
      </c>
      <c r="AV34" s="2089"/>
      <c r="AW34" s="18"/>
      <c r="AX34" s="2112"/>
      <c r="AY34" s="39">
        <f t="shared" si="11"/>
        <v>0</v>
      </c>
      <c r="AZ34" s="2089"/>
      <c r="BA34" s="18"/>
      <c r="BB34" s="3420"/>
      <c r="BC34" s="6643">
        <f t="shared" si="12"/>
        <v>0</v>
      </c>
      <c r="BD34" s="3421"/>
      <c r="BE34" s="701">
        <f t="shared" si="13"/>
        <v>0</v>
      </c>
      <c r="BF34" s="2112"/>
      <c r="BG34" s="39">
        <f t="shared" si="14"/>
        <v>0</v>
      </c>
      <c r="BH34" s="1222"/>
      <c r="BI34" s="1222"/>
      <c r="BJ34" s="26"/>
      <c r="BK34" s="26"/>
      <c r="BL34" s="26"/>
      <c r="BM34" s="26"/>
      <c r="BN34" s="1222"/>
    </row>
    <row r="35" spans="1:66" x14ac:dyDescent="0.25">
      <c r="B35" s="1093" t="s">
        <v>1292</v>
      </c>
      <c r="C35" s="3418" t="s">
        <v>948</v>
      </c>
      <c r="D35" s="3419">
        <v>90.68</v>
      </c>
      <c r="E35" s="1395" t="s">
        <v>50</v>
      </c>
      <c r="F35" s="2089"/>
      <c r="G35" s="18"/>
      <c r="H35" s="2089"/>
      <c r="I35" s="18"/>
      <c r="J35" s="2095"/>
      <c r="K35" s="6672">
        <f t="shared" si="0"/>
        <v>0</v>
      </c>
      <c r="L35" s="2089"/>
      <c r="M35" s="18"/>
      <c r="N35" s="2104"/>
      <c r="O35" s="69">
        <f t="shared" si="1"/>
        <v>0</v>
      </c>
      <c r="P35" s="2089"/>
      <c r="Q35" s="18"/>
      <c r="R35" s="2112"/>
      <c r="S35" s="39">
        <f t="shared" si="2"/>
        <v>0</v>
      </c>
      <c r="T35" s="2089"/>
      <c r="U35" s="18"/>
      <c r="V35" s="2112"/>
      <c r="W35" s="39">
        <f t="shared" si="3"/>
        <v>0</v>
      </c>
      <c r="X35" s="2089"/>
      <c r="Y35" s="18"/>
      <c r="Z35" s="3420"/>
      <c r="AA35" s="6701">
        <f t="shared" si="4"/>
        <v>0</v>
      </c>
      <c r="AB35" s="5190"/>
      <c r="AC35" s="6704">
        <f t="shared" si="5"/>
        <v>0</v>
      </c>
      <c r="AD35" s="2089"/>
      <c r="AE35" s="18"/>
      <c r="AF35" s="2112"/>
      <c r="AG35" s="39">
        <f t="shared" si="6"/>
        <v>0</v>
      </c>
      <c r="AH35" s="2089"/>
      <c r="AI35" s="18"/>
      <c r="AJ35" s="2112"/>
      <c r="AK35" s="39">
        <f t="shared" si="7"/>
        <v>0</v>
      </c>
      <c r="AL35" s="2089"/>
      <c r="AM35" s="18"/>
      <c r="AN35" s="3420"/>
      <c r="AO35" s="6701">
        <f t="shared" si="8"/>
        <v>0</v>
      </c>
      <c r="AP35" s="2112"/>
      <c r="AQ35" s="39">
        <f t="shared" si="9"/>
        <v>0</v>
      </c>
      <c r="AR35" s="2089"/>
      <c r="AS35" s="18"/>
      <c r="AT35" s="2112"/>
      <c r="AU35" s="39">
        <f t="shared" si="10"/>
        <v>0</v>
      </c>
      <c r="AV35" s="2089"/>
      <c r="AW35" s="18"/>
      <c r="AX35" s="2112"/>
      <c r="AY35" s="39">
        <f t="shared" si="11"/>
        <v>0</v>
      </c>
      <c r="AZ35" s="2089"/>
      <c r="BA35" s="18"/>
      <c r="BB35" s="3420"/>
      <c r="BC35" s="6643">
        <f t="shared" si="12"/>
        <v>0</v>
      </c>
      <c r="BD35" s="3421"/>
      <c r="BE35" s="701">
        <f t="shared" si="13"/>
        <v>0</v>
      </c>
      <c r="BF35" s="2112"/>
      <c r="BG35" s="39">
        <f t="shared" si="14"/>
        <v>0</v>
      </c>
      <c r="BH35" s="1222"/>
      <c r="BI35" s="1222"/>
      <c r="BJ35" s="26"/>
      <c r="BK35" s="26"/>
      <c r="BL35" s="26"/>
      <c r="BM35" s="26"/>
      <c r="BN35" s="1222"/>
    </row>
    <row r="36" spans="1:66" ht="15" customHeight="1" x14ac:dyDescent="0.25">
      <c r="A36" s="149"/>
      <c r="B36" s="1093" t="s">
        <v>855</v>
      </c>
      <c r="C36" s="3418" t="s">
        <v>1015</v>
      </c>
      <c r="D36" s="3419">
        <v>90.69</v>
      </c>
      <c r="E36" s="1395" t="s">
        <v>50</v>
      </c>
      <c r="F36" s="2089"/>
      <c r="G36" s="18">
        <v>4953.5990000000038</v>
      </c>
      <c r="H36" s="2089"/>
      <c r="I36" s="18">
        <v>4786.7889999999989</v>
      </c>
      <c r="J36" s="2095"/>
      <c r="K36" s="6672">
        <f t="shared" si="0"/>
        <v>9740.3880000000026</v>
      </c>
      <c r="L36" s="2089"/>
      <c r="M36" s="18"/>
      <c r="N36" s="2104"/>
      <c r="O36" s="69">
        <f t="shared" si="1"/>
        <v>9740.3880000000026</v>
      </c>
      <c r="P36" s="2089"/>
      <c r="Q36" s="18">
        <v>2356.3689999999997</v>
      </c>
      <c r="R36" s="2112"/>
      <c r="S36" s="39">
        <f t="shared" si="2"/>
        <v>12096.757000000001</v>
      </c>
      <c r="T36" s="2089"/>
      <c r="U36" s="18">
        <v>2931.0140000000001</v>
      </c>
      <c r="V36" s="2112"/>
      <c r="W36" s="39">
        <f t="shared" si="3"/>
        <v>15027.771000000001</v>
      </c>
      <c r="X36" s="2089"/>
      <c r="Y36" s="18">
        <v>4189.0800000000008</v>
      </c>
      <c r="Z36" s="904"/>
      <c r="AA36" s="6701">
        <f t="shared" si="4"/>
        <v>9476.4629999999997</v>
      </c>
      <c r="AB36" s="5189"/>
      <c r="AC36" s="6704">
        <f t="shared" si="5"/>
        <v>19216.851000000002</v>
      </c>
      <c r="AD36" s="2089"/>
      <c r="AE36" s="18">
        <v>3727.65</v>
      </c>
      <c r="AF36" s="2112"/>
      <c r="AG36" s="39">
        <f>+AC36+AE36</f>
        <v>22944.501000000004</v>
      </c>
      <c r="AH36" s="2089"/>
      <c r="AI36" s="18"/>
      <c r="AJ36" s="2112"/>
      <c r="AK36" s="39">
        <f>+AG36+AI36</f>
        <v>22944.501000000004</v>
      </c>
      <c r="AL36" s="2089"/>
      <c r="AM36" s="18">
        <v>3846.3369999999986</v>
      </c>
      <c r="AN36" s="904"/>
      <c r="AO36" s="6701">
        <f t="shared" si="8"/>
        <v>7573.9869999999992</v>
      </c>
      <c r="AP36" s="2112"/>
      <c r="AQ36" s="39">
        <f t="shared" si="9"/>
        <v>26790.838000000003</v>
      </c>
      <c r="AR36" s="2089"/>
      <c r="AS36" s="18">
        <v>5069.7729999999992</v>
      </c>
      <c r="AT36" s="2112"/>
      <c r="AU36" s="39">
        <f t="shared" si="10"/>
        <v>31860.611000000004</v>
      </c>
      <c r="AV36" s="2089"/>
      <c r="AW36" s="18">
        <v>3607.8050000000007</v>
      </c>
      <c r="AX36" s="2112"/>
      <c r="AY36" s="39">
        <f t="shared" si="11"/>
        <v>35468.416000000005</v>
      </c>
      <c r="AZ36" s="2089"/>
      <c r="BA36" s="18">
        <v>4405.8440000000001</v>
      </c>
      <c r="BB36" s="904"/>
      <c r="BC36" s="6643">
        <f t="shared" si="12"/>
        <v>13083.421999999999</v>
      </c>
      <c r="BD36" s="905"/>
      <c r="BE36" s="701">
        <f t="shared" si="13"/>
        <v>20657.409</v>
      </c>
      <c r="BF36" s="2112"/>
      <c r="BG36" s="39">
        <f t="shared" si="14"/>
        <v>39874.26</v>
      </c>
      <c r="BH36" s="1222"/>
      <c r="BI36" s="1222"/>
      <c r="BJ36" s="26"/>
      <c r="BK36" s="26"/>
      <c r="BL36" s="26"/>
      <c r="BM36" s="26"/>
      <c r="BN36" s="1222"/>
    </row>
    <row r="37" spans="1:66" x14ac:dyDescent="0.25">
      <c r="A37" s="2256"/>
      <c r="B37" s="1093" t="s">
        <v>855</v>
      </c>
      <c r="C37" s="3418" t="s">
        <v>948</v>
      </c>
      <c r="D37" s="3419">
        <v>90.69</v>
      </c>
      <c r="E37" s="1395" t="s">
        <v>50</v>
      </c>
      <c r="F37" s="2089"/>
      <c r="G37" s="18">
        <v>521.01800000000003</v>
      </c>
      <c r="H37" s="2089"/>
      <c r="I37" s="18">
        <v>1056.4089999999999</v>
      </c>
      <c r="J37" s="2095"/>
      <c r="K37" s="6672">
        <f t="shared" si="0"/>
        <v>1577.4269999999999</v>
      </c>
      <c r="L37" s="2089"/>
      <c r="M37" s="18"/>
      <c r="N37" s="2104"/>
      <c r="O37" s="69">
        <f t="shared" si="1"/>
        <v>1577.4269999999999</v>
      </c>
      <c r="P37" s="2089"/>
      <c r="Q37" s="18">
        <v>1711.8329999999996</v>
      </c>
      <c r="R37" s="2112"/>
      <c r="S37" s="39">
        <f t="shared" si="2"/>
        <v>3289.2599999999993</v>
      </c>
      <c r="T37" s="2089"/>
      <c r="U37" s="18">
        <v>1125.4939999999999</v>
      </c>
      <c r="V37" s="2112"/>
      <c r="W37" s="39">
        <f t="shared" si="3"/>
        <v>4414.753999999999</v>
      </c>
      <c r="X37" s="2089"/>
      <c r="Y37" s="18">
        <v>442.38000000000005</v>
      </c>
      <c r="Z37" s="904"/>
      <c r="AA37" s="6701">
        <f t="shared" si="4"/>
        <v>3279.7069999999994</v>
      </c>
      <c r="AB37" s="5189"/>
      <c r="AC37" s="6704">
        <f t="shared" si="5"/>
        <v>4857.1339999999991</v>
      </c>
      <c r="AD37" s="2089"/>
      <c r="AE37" s="18">
        <v>608.40599999999995</v>
      </c>
      <c r="AF37" s="2112"/>
      <c r="AG37" s="39">
        <f t="shared" ref="AG37:AG87" si="15">+AC37+AE37</f>
        <v>5465.5399999999991</v>
      </c>
      <c r="AH37" s="2089"/>
      <c r="AI37" s="18"/>
      <c r="AJ37" s="2112"/>
      <c r="AK37" s="39">
        <f t="shared" ref="AK37:AK41" si="16">+AG37+AI37</f>
        <v>5465.5399999999991</v>
      </c>
      <c r="AL37" s="2089"/>
      <c r="AM37" s="18">
        <v>601.62699999999995</v>
      </c>
      <c r="AN37" s="904"/>
      <c r="AO37" s="6701">
        <f t="shared" si="8"/>
        <v>1210.0329999999999</v>
      </c>
      <c r="AP37" s="2112"/>
      <c r="AQ37" s="39">
        <f t="shared" si="9"/>
        <v>6067.1669999999995</v>
      </c>
      <c r="AR37" s="2089"/>
      <c r="AS37" s="18">
        <v>535.35199999999998</v>
      </c>
      <c r="AT37" s="2112"/>
      <c r="AU37" s="39">
        <f t="shared" si="10"/>
        <v>6602.5189999999993</v>
      </c>
      <c r="AV37" s="2089"/>
      <c r="AW37" s="18">
        <v>1164.6319999999998</v>
      </c>
      <c r="AX37" s="2112"/>
      <c r="AY37" s="39">
        <f t="shared" si="11"/>
        <v>7767.1509999999989</v>
      </c>
      <c r="AZ37" s="2089"/>
      <c r="BA37" s="18">
        <v>206.875</v>
      </c>
      <c r="BB37" s="904"/>
      <c r="BC37" s="6643">
        <f t="shared" si="12"/>
        <v>1906.8589999999999</v>
      </c>
      <c r="BD37" s="905"/>
      <c r="BE37" s="701">
        <f t="shared" si="13"/>
        <v>3116.8919999999998</v>
      </c>
      <c r="BF37" s="2112"/>
      <c r="BG37" s="39">
        <f t="shared" si="14"/>
        <v>7974.0259999999989</v>
      </c>
      <c r="BH37" s="1222"/>
      <c r="BI37" s="1222"/>
      <c r="BJ37" s="26"/>
      <c r="BK37" s="26"/>
      <c r="BL37" s="26"/>
      <c r="BM37" s="26"/>
      <c r="BN37" s="1222"/>
    </row>
    <row r="38" spans="1:66" s="3427" customFormat="1" x14ac:dyDescent="0.25">
      <c r="B38" s="1093" t="s">
        <v>855</v>
      </c>
      <c r="C38" s="3418" t="s">
        <v>948</v>
      </c>
      <c r="D38" s="3419">
        <v>107.32</v>
      </c>
      <c r="E38" s="1395" t="s">
        <v>50</v>
      </c>
      <c r="F38" s="2089"/>
      <c r="G38" s="18"/>
      <c r="H38" s="2089"/>
      <c r="I38" s="18"/>
      <c r="J38" s="2095"/>
      <c r="K38" s="6672">
        <f t="shared" si="0"/>
        <v>0</v>
      </c>
      <c r="L38" s="2089"/>
      <c r="M38" s="18"/>
      <c r="N38" s="2104"/>
      <c r="O38" s="69">
        <f t="shared" si="1"/>
        <v>0</v>
      </c>
      <c r="P38" s="2089"/>
      <c r="Q38" s="18"/>
      <c r="R38" s="2112"/>
      <c r="S38" s="39">
        <f t="shared" si="2"/>
        <v>0</v>
      </c>
      <c r="T38" s="2089"/>
      <c r="U38" s="18">
        <v>209.762</v>
      </c>
      <c r="V38" s="2112"/>
      <c r="W38" s="39">
        <f t="shared" si="3"/>
        <v>209.762</v>
      </c>
      <c r="X38" s="2089"/>
      <c r="Y38" s="18">
        <v>328.089</v>
      </c>
      <c r="Z38" s="904"/>
      <c r="AA38" s="6701">
        <f t="shared" si="4"/>
        <v>537.851</v>
      </c>
      <c r="AB38" s="5189"/>
      <c r="AC38" s="6704">
        <f t="shared" si="5"/>
        <v>537.851</v>
      </c>
      <c r="AD38" s="2089"/>
      <c r="AE38" s="18">
        <v>166.73399999999998</v>
      </c>
      <c r="AF38" s="2112"/>
      <c r="AG38" s="39">
        <f t="shared" si="15"/>
        <v>704.58500000000004</v>
      </c>
      <c r="AH38" s="2089"/>
      <c r="AI38" s="18"/>
      <c r="AJ38" s="2112"/>
      <c r="AK38" s="39">
        <f t="shared" si="16"/>
        <v>704.58500000000004</v>
      </c>
      <c r="AL38" s="2089"/>
      <c r="AM38" s="18">
        <v>258.16899999999998</v>
      </c>
      <c r="AN38" s="904"/>
      <c r="AO38" s="6701">
        <f t="shared" si="8"/>
        <v>424.90299999999996</v>
      </c>
      <c r="AP38" s="2112"/>
      <c r="AQ38" s="39">
        <f t="shared" si="9"/>
        <v>962.75400000000002</v>
      </c>
      <c r="AR38" s="2089"/>
      <c r="AS38" s="18">
        <v>295.81799999999998</v>
      </c>
      <c r="AT38" s="2112"/>
      <c r="AU38" s="39">
        <f t="shared" si="10"/>
        <v>1258.5720000000001</v>
      </c>
      <c r="AV38" s="2089"/>
      <c r="AW38" s="18"/>
      <c r="AX38" s="2112"/>
      <c r="AY38" s="39">
        <f t="shared" si="11"/>
        <v>1258.5720000000001</v>
      </c>
      <c r="AZ38" s="2089"/>
      <c r="BA38" s="18"/>
      <c r="BB38" s="904"/>
      <c r="BC38" s="6643">
        <f t="shared" si="12"/>
        <v>295.81799999999998</v>
      </c>
      <c r="BD38" s="905"/>
      <c r="BE38" s="701">
        <f t="shared" si="13"/>
        <v>720.721</v>
      </c>
      <c r="BF38" s="2112"/>
      <c r="BG38" s="39">
        <f t="shared" si="14"/>
        <v>1258.5720000000001</v>
      </c>
      <c r="BH38" s="1222"/>
      <c r="BI38" s="1222"/>
      <c r="BJ38" s="26"/>
      <c r="BK38" s="26"/>
      <c r="BL38" s="26"/>
      <c r="BM38" s="26"/>
      <c r="BN38" s="1222"/>
    </row>
    <row r="39" spans="1:66" s="3414" customFormat="1" ht="15" customHeight="1" x14ac:dyDescent="0.25">
      <c r="A39" s="149"/>
      <c r="B39" s="1093" t="s">
        <v>855</v>
      </c>
      <c r="C39" s="3418" t="s">
        <v>1015</v>
      </c>
      <c r="D39" s="3419">
        <v>107.31</v>
      </c>
      <c r="E39" s="1395" t="s">
        <v>50</v>
      </c>
      <c r="F39" s="2089"/>
      <c r="G39" s="18"/>
      <c r="H39" s="2089"/>
      <c r="I39" s="18"/>
      <c r="J39" s="2095"/>
      <c r="K39" s="6672">
        <f t="shared" si="0"/>
        <v>0</v>
      </c>
      <c r="L39" s="2089"/>
      <c r="M39" s="18"/>
      <c r="N39" s="2104"/>
      <c r="O39" s="69">
        <f t="shared" si="1"/>
        <v>0</v>
      </c>
      <c r="P39" s="2089"/>
      <c r="Q39" s="18"/>
      <c r="R39" s="2112"/>
      <c r="S39" s="39">
        <f t="shared" si="2"/>
        <v>0</v>
      </c>
      <c r="T39" s="2089"/>
      <c r="U39" s="18"/>
      <c r="V39" s="2112"/>
      <c r="W39" s="39">
        <f t="shared" si="3"/>
        <v>0</v>
      </c>
      <c r="X39" s="2089"/>
      <c r="Y39" s="18"/>
      <c r="Z39" s="904"/>
      <c r="AA39" s="6701">
        <f t="shared" si="4"/>
        <v>0</v>
      </c>
      <c r="AB39" s="5189"/>
      <c r="AC39" s="6704">
        <f t="shared" si="5"/>
        <v>0</v>
      </c>
      <c r="AD39" s="2089"/>
      <c r="AE39" s="18"/>
      <c r="AF39" s="2112"/>
      <c r="AG39" s="39">
        <f t="shared" si="15"/>
        <v>0</v>
      </c>
      <c r="AH39" s="2089"/>
      <c r="AI39" s="18"/>
      <c r="AJ39" s="2112"/>
      <c r="AK39" s="39">
        <f t="shared" si="16"/>
        <v>0</v>
      </c>
      <c r="AL39" s="2089"/>
      <c r="AM39" s="18"/>
      <c r="AN39" s="904"/>
      <c r="AO39" s="6701">
        <f t="shared" si="8"/>
        <v>0</v>
      </c>
      <c r="AP39" s="2112"/>
      <c r="AQ39" s="39">
        <f t="shared" si="9"/>
        <v>0</v>
      </c>
      <c r="AR39" s="2089"/>
      <c r="AS39" s="18"/>
      <c r="AT39" s="2112"/>
      <c r="AU39" s="39">
        <f t="shared" si="10"/>
        <v>0</v>
      </c>
      <c r="AV39" s="2089"/>
      <c r="AW39" s="18"/>
      <c r="AX39" s="2112"/>
      <c r="AY39" s="39">
        <f t="shared" si="11"/>
        <v>0</v>
      </c>
      <c r="AZ39" s="2089"/>
      <c r="BA39" s="18"/>
      <c r="BB39" s="904"/>
      <c r="BC39" s="6643">
        <f t="shared" si="12"/>
        <v>0</v>
      </c>
      <c r="BD39" s="905"/>
      <c r="BE39" s="701">
        <f t="shared" si="13"/>
        <v>0</v>
      </c>
      <c r="BF39" s="2112"/>
      <c r="BG39" s="39">
        <f t="shared" si="14"/>
        <v>0</v>
      </c>
      <c r="BH39" s="1222"/>
      <c r="BI39" s="1222"/>
      <c r="BJ39" s="26"/>
      <c r="BK39" s="26"/>
      <c r="BL39" s="26"/>
      <c r="BM39" s="26"/>
      <c r="BN39" s="1222"/>
    </row>
    <row r="40" spans="1:66" s="2857" customFormat="1" ht="15" customHeight="1" thickBot="1" x14ac:dyDescent="0.3">
      <c r="B40" s="1093" t="s">
        <v>855</v>
      </c>
      <c r="C40" s="3418" t="s">
        <v>1015</v>
      </c>
      <c r="D40" s="3419">
        <v>107.32</v>
      </c>
      <c r="E40" s="1395" t="s">
        <v>50</v>
      </c>
      <c r="F40" s="2089"/>
      <c r="G40" s="18"/>
      <c r="H40" s="2089"/>
      <c r="I40" s="18">
        <v>298.03999999999996</v>
      </c>
      <c r="J40" s="2095"/>
      <c r="K40" s="6672">
        <f t="shared" si="0"/>
        <v>298.03999999999996</v>
      </c>
      <c r="L40" s="2089"/>
      <c r="M40" s="18"/>
      <c r="N40" s="2104"/>
      <c r="O40" s="69">
        <f t="shared" si="1"/>
        <v>298.03999999999996</v>
      </c>
      <c r="P40" s="2089"/>
      <c r="Q40" s="18"/>
      <c r="R40" s="2112"/>
      <c r="S40" s="39">
        <f t="shared" si="2"/>
        <v>298.03999999999996</v>
      </c>
      <c r="T40" s="2089"/>
      <c r="U40" s="18"/>
      <c r="V40" s="2112"/>
      <c r="W40" s="39">
        <f t="shared" si="3"/>
        <v>298.03999999999996</v>
      </c>
      <c r="X40" s="2089"/>
      <c r="Y40" s="18">
        <v>215.14000000000001</v>
      </c>
      <c r="Z40" s="3420"/>
      <c r="AA40" s="6701">
        <f t="shared" si="4"/>
        <v>215.14000000000001</v>
      </c>
      <c r="AB40" s="5190"/>
      <c r="AC40" s="6704">
        <f t="shared" si="5"/>
        <v>513.17999999999995</v>
      </c>
      <c r="AD40" s="2089"/>
      <c r="AE40" s="18">
        <v>247.393</v>
      </c>
      <c r="AF40" s="2112"/>
      <c r="AG40" s="39">
        <f t="shared" si="15"/>
        <v>760.57299999999998</v>
      </c>
      <c r="AH40" s="2089"/>
      <c r="AI40" s="18"/>
      <c r="AJ40" s="2112"/>
      <c r="AK40" s="39">
        <f t="shared" si="16"/>
        <v>760.57299999999998</v>
      </c>
      <c r="AL40" s="2089"/>
      <c r="AM40" s="18"/>
      <c r="AN40" s="3420"/>
      <c r="AO40" s="6701">
        <f t="shared" si="8"/>
        <v>247.393</v>
      </c>
      <c r="AP40" s="2112"/>
      <c r="AQ40" s="39">
        <f t="shared" si="9"/>
        <v>760.57299999999998</v>
      </c>
      <c r="AR40" s="2089"/>
      <c r="AS40" s="18">
        <v>156.20599999999999</v>
      </c>
      <c r="AT40" s="2112"/>
      <c r="AU40" s="39">
        <f t="shared" si="10"/>
        <v>916.779</v>
      </c>
      <c r="AV40" s="2089"/>
      <c r="AW40" s="18">
        <v>173.249</v>
      </c>
      <c r="AX40" s="2112"/>
      <c r="AY40" s="39">
        <f t="shared" si="11"/>
        <v>1090.028</v>
      </c>
      <c r="AZ40" s="2089"/>
      <c r="BA40" s="18">
        <v>702.66700000000003</v>
      </c>
      <c r="BB40" s="3420"/>
      <c r="BC40" s="6643">
        <f t="shared" si="12"/>
        <v>1032.1220000000001</v>
      </c>
      <c r="BD40" s="3421"/>
      <c r="BE40" s="701">
        <f t="shared" si="13"/>
        <v>1279.5150000000001</v>
      </c>
      <c r="BF40" s="2112"/>
      <c r="BG40" s="39">
        <f t="shared" si="14"/>
        <v>1792.6950000000002</v>
      </c>
      <c r="BH40" s="1222"/>
      <c r="BI40" s="1222"/>
      <c r="BJ40" s="26"/>
      <c r="BK40" s="26"/>
      <c r="BL40" s="26"/>
      <c r="BM40" s="26"/>
      <c r="BN40" s="1222"/>
    </row>
    <row r="41" spans="1:66" ht="15" customHeight="1" x14ac:dyDescent="0.25">
      <c r="A41" s="1798"/>
      <c r="B41" s="3628" t="s">
        <v>856</v>
      </c>
      <c r="C41" s="3629" t="s">
        <v>1015</v>
      </c>
      <c r="D41" s="3639">
        <v>107.57</v>
      </c>
      <c r="E41" s="1332" t="s">
        <v>50</v>
      </c>
      <c r="F41" s="3631"/>
      <c r="G41" s="88"/>
      <c r="H41" s="3631"/>
      <c r="I41" s="88">
        <v>593.46699999999998</v>
      </c>
      <c r="J41" s="3632"/>
      <c r="K41" s="6672">
        <f t="shared" si="0"/>
        <v>593.46699999999998</v>
      </c>
      <c r="L41" s="3631"/>
      <c r="M41" s="88">
        <v>220.57</v>
      </c>
      <c r="N41" s="2104"/>
      <c r="O41" s="69">
        <f t="shared" si="1"/>
        <v>814.03700000000003</v>
      </c>
      <c r="P41" s="3631"/>
      <c r="Q41" s="88"/>
      <c r="R41" s="2112"/>
      <c r="S41" s="39">
        <f t="shared" si="2"/>
        <v>814.03700000000003</v>
      </c>
      <c r="T41" s="3631"/>
      <c r="U41" s="88">
        <v>200.44900000000001</v>
      </c>
      <c r="V41" s="2112"/>
      <c r="W41" s="39">
        <f t="shared" si="3"/>
        <v>1014.4860000000001</v>
      </c>
      <c r="X41" s="3631"/>
      <c r="Y41" s="88">
        <v>360.81000000000006</v>
      </c>
      <c r="Z41" s="2863"/>
      <c r="AA41" s="6701">
        <f t="shared" si="4"/>
        <v>561.25900000000001</v>
      </c>
      <c r="AB41" s="5191"/>
      <c r="AC41" s="6704">
        <f t="shared" si="5"/>
        <v>1375.296</v>
      </c>
      <c r="AD41" s="3631"/>
      <c r="AE41" s="88">
        <v>440.02799999999996</v>
      </c>
      <c r="AF41" s="2112"/>
      <c r="AG41" s="39">
        <f t="shared" si="15"/>
        <v>1815.3240000000001</v>
      </c>
      <c r="AH41" s="3631"/>
      <c r="AI41" s="88"/>
      <c r="AJ41" s="2112"/>
      <c r="AK41" s="39">
        <f t="shared" si="16"/>
        <v>1815.3240000000001</v>
      </c>
      <c r="AL41" s="3631"/>
      <c r="AM41" s="88"/>
      <c r="AN41" s="2863"/>
      <c r="AO41" s="6701">
        <f t="shared" si="8"/>
        <v>440.02799999999996</v>
      </c>
      <c r="AP41" s="2112"/>
      <c r="AQ41" s="39">
        <f t="shared" si="9"/>
        <v>1815.3240000000001</v>
      </c>
      <c r="AR41" s="3631"/>
      <c r="AS41" s="88"/>
      <c r="AT41" s="2112"/>
      <c r="AU41" s="39">
        <f t="shared" si="10"/>
        <v>1815.3240000000001</v>
      </c>
      <c r="AV41" s="3631"/>
      <c r="AW41" s="88">
        <v>147.53100000000001</v>
      </c>
      <c r="AX41" s="2112"/>
      <c r="AY41" s="39">
        <f t="shared" si="11"/>
        <v>1962.855</v>
      </c>
      <c r="AZ41" s="3631"/>
      <c r="BA41" s="88">
        <v>954.34500000000003</v>
      </c>
      <c r="BB41" s="2863"/>
      <c r="BC41" s="6643">
        <f t="shared" si="12"/>
        <v>1101.876</v>
      </c>
      <c r="BD41" s="2867"/>
      <c r="BE41" s="701">
        <f t="shared" si="13"/>
        <v>1541.904</v>
      </c>
      <c r="BF41" s="2112"/>
      <c r="BG41" s="39">
        <f t="shared" si="14"/>
        <v>2917.2</v>
      </c>
      <c r="BH41" s="1222"/>
      <c r="BI41" s="1222"/>
      <c r="BJ41" s="26"/>
      <c r="BK41" s="26"/>
      <c r="BL41" s="26"/>
      <c r="BM41" s="26"/>
      <c r="BN41" s="1222"/>
    </row>
    <row r="42" spans="1:66" ht="15" customHeight="1" x14ac:dyDescent="0.25">
      <c r="B42" s="1093" t="s">
        <v>856</v>
      </c>
      <c r="C42" s="3418" t="s">
        <v>948</v>
      </c>
      <c r="D42" s="3638">
        <v>107.57</v>
      </c>
      <c r="E42" s="1395" t="s">
        <v>50</v>
      </c>
      <c r="F42" s="2089"/>
      <c r="G42" s="18"/>
      <c r="H42" s="2089"/>
      <c r="I42" s="18">
        <v>234.578</v>
      </c>
      <c r="J42" s="2095"/>
      <c r="K42" s="6672">
        <f t="shared" si="0"/>
        <v>234.578</v>
      </c>
      <c r="L42" s="2089"/>
      <c r="M42" s="18">
        <v>86.433999999999997</v>
      </c>
      <c r="N42" s="2104"/>
      <c r="O42" s="69">
        <f t="shared" si="1"/>
        <v>321.012</v>
      </c>
      <c r="P42" s="2089"/>
      <c r="Q42" s="18"/>
      <c r="R42" s="2112"/>
      <c r="S42" s="39">
        <f t="shared" si="2"/>
        <v>321.012</v>
      </c>
      <c r="T42" s="2089"/>
      <c r="U42" s="18">
        <v>122.19200000000001</v>
      </c>
      <c r="V42" s="2112"/>
      <c r="W42" s="39">
        <f t="shared" si="3"/>
        <v>443.20400000000001</v>
      </c>
      <c r="X42" s="2089"/>
      <c r="Y42" s="18">
        <v>240.54000000000002</v>
      </c>
      <c r="Z42" s="904"/>
      <c r="AA42" s="6701">
        <f t="shared" si="4"/>
        <v>362.73200000000003</v>
      </c>
      <c r="AB42" s="5189"/>
      <c r="AC42" s="6704">
        <f t="shared" si="5"/>
        <v>683.74400000000003</v>
      </c>
      <c r="AD42" s="2089"/>
      <c r="AE42" s="18"/>
      <c r="AF42" s="2112"/>
      <c r="AG42" s="39">
        <f>+AC42+AE42</f>
        <v>683.74400000000003</v>
      </c>
      <c r="AH42" s="2089"/>
      <c r="AI42" s="18"/>
      <c r="AJ42" s="2112"/>
      <c r="AK42" s="39">
        <f>+AG42+AI42</f>
        <v>683.74400000000003</v>
      </c>
      <c r="AL42" s="2089"/>
      <c r="AM42" s="18"/>
      <c r="AN42" s="904"/>
      <c r="AO42" s="6701">
        <f t="shared" si="8"/>
        <v>0</v>
      </c>
      <c r="AP42" s="2112"/>
      <c r="AQ42" s="39">
        <f t="shared" si="9"/>
        <v>683.74400000000003</v>
      </c>
      <c r="AR42" s="2089"/>
      <c r="AS42" s="18"/>
      <c r="AT42" s="2112"/>
      <c r="AU42" s="39">
        <f t="shared" si="10"/>
        <v>683.74400000000003</v>
      </c>
      <c r="AV42" s="2089"/>
      <c r="AW42" s="18"/>
      <c r="AX42" s="2112"/>
      <c r="AY42" s="39">
        <f t="shared" si="11"/>
        <v>683.74400000000003</v>
      </c>
      <c r="AZ42" s="2089"/>
      <c r="BA42" s="18">
        <v>322.72399999999999</v>
      </c>
      <c r="BB42" s="904"/>
      <c r="BC42" s="6643">
        <f t="shared" si="12"/>
        <v>322.72399999999999</v>
      </c>
      <c r="BD42" s="905"/>
      <c r="BE42" s="701">
        <f t="shared" si="13"/>
        <v>322.72399999999999</v>
      </c>
      <c r="BF42" s="2112"/>
      <c r="BG42" s="39">
        <f t="shared" si="14"/>
        <v>1006.4680000000001</v>
      </c>
      <c r="BH42" s="1222"/>
      <c r="BI42" s="1222"/>
      <c r="BJ42" s="26"/>
      <c r="BK42" s="26"/>
      <c r="BL42" s="26"/>
      <c r="BM42" s="26"/>
      <c r="BN42" s="1222"/>
    </row>
    <row r="43" spans="1:66" s="2631" customFormat="1" x14ac:dyDescent="0.25">
      <c r="B43" s="1093" t="s">
        <v>856</v>
      </c>
      <c r="C43" s="3418" t="s">
        <v>1015</v>
      </c>
      <c r="D43" s="3638">
        <v>122.45</v>
      </c>
      <c r="E43" s="1395" t="s">
        <v>50</v>
      </c>
      <c r="F43" s="2089"/>
      <c r="G43" s="18">
        <v>7545.1760000000013</v>
      </c>
      <c r="H43" s="2089"/>
      <c r="I43" s="18">
        <v>3357.1560000000004</v>
      </c>
      <c r="J43" s="2095"/>
      <c r="K43" s="6672">
        <f t="shared" si="0"/>
        <v>10902.332000000002</v>
      </c>
      <c r="L43" s="2089"/>
      <c r="M43" s="18">
        <v>3865.47</v>
      </c>
      <c r="N43" s="2104"/>
      <c r="O43" s="69">
        <f t="shared" si="1"/>
        <v>14767.802000000001</v>
      </c>
      <c r="P43" s="2089"/>
      <c r="Q43" s="18">
        <v>4091.0160000000005</v>
      </c>
      <c r="R43" s="2112"/>
      <c r="S43" s="39">
        <f t="shared" si="2"/>
        <v>18858.818000000003</v>
      </c>
      <c r="T43" s="2089"/>
      <c r="U43" s="18">
        <v>2952.7070000000008</v>
      </c>
      <c r="V43" s="2112"/>
      <c r="W43" s="39">
        <f t="shared" si="3"/>
        <v>21811.525000000005</v>
      </c>
      <c r="X43" s="2089"/>
      <c r="Y43" s="18">
        <v>2963.2310000000002</v>
      </c>
      <c r="Z43" s="904"/>
      <c r="AA43" s="6701">
        <f t="shared" si="4"/>
        <v>10006.954000000002</v>
      </c>
      <c r="AB43" s="5189"/>
      <c r="AC43" s="6704">
        <f t="shared" si="5"/>
        <v>24774.756000000001</v>
      </c>
      <c r="AD43" s="2089"/>
      <c r="AE43" s="18">
        <v>4099.7290000000003</v>
      </c>
      <c r="AF43" s="2112"/>
      <c r="AG43" s="39">
        <f t="shared" si="15"/>
        <v>28874.485000000001</v>
      </c>
      <c r="AH43" s="2089"/>
      <c r="AI43" s="18"/>
      <c r="AJ43" s="2112"/>
      <c r="AK43" s="39">
        <f t="shared" ref="AK43" si="17">+AG43+AI43</f>
        <v>28874.485000000001</v>
      </c>
      <c r="AL43" s="2089"/>
      <c r="AM43" s="18">
        <v>830.62299999999993</v>
      </c>
      <c r="AN43" s="904"/>
      <c r="AO43" s="6701">
        <f t="shared" si="8"/>
        <v>4930.3519999999999</v>
      </c>
      <c r="AP43" s="2112"/>
      <c r="AQ43" s="39">
        <f t="shared" si="9"/>
        <v>29705.108</v>
      </c>
      <c r="AR43" s="2089"/>
      <c r="AS43" s="18">
        <v>2668.3220000000001</v>
      </c>
      <c r="AT43" s="2112"/>
      <c r="AU43" s="39">
        <f t="shared" si="10"/>
        <v>32373.43</v>
      </c>
      <c r="AV43" s="2089"/>
      <c r="AW43" s="18">
        <v>3614.6940000000009</v>
      </c>
      <c r="AX43" s="2112"/>
      <c r="AY43" s="39">
        <f t="shared" si="11"/>
        <v>35988.124000000003</v>
      </c>
      <c r="AZ43" s="2089"/>
      <c r="BA43" s="18">
        <v>6732.1870000000008</v>
      </c>
      <c r="BB43" s="904"/>
      <c r="BC43" s="6643">
        <f t="shared" si="12"/>
        <v>13015.203000000001</v>
      </c>
      <c r="BD43" s="905"/>
      <c r="BE43" s="701">
        <f t="shared" si="13"/>
        <v>17945.555</v>
      </c>
      <c r="BF43" s="2112"/>
      <c r="BG43" s="39">
        <f t="shared" si="14"/>
        <v>42720.311000000002</v>
      </c>
      <c r="BH43" s="1222"/>
      <c r="BI43" s="1222"/>
      <c r="BJ43" s="26"/>
      <c r="BK43" s="26"/>
      <c r="BL43" s="26"/>
      <c r="BM43" s="26"/>
      <c r="BN43" s="1222"/>
    </row>
    <row r="44" spans="1:66" ht="15" customHeight="1" x14ac:dyDescent="0.25">
      <c r="B44" s="1093" t="s">
        <v>1660</v>
      </c>
      <c r="C44" s="3418" t="s">
        <v>1364</v>
      </c>
      <c r="D44" s="3419">
        <v>122.45</v>
      </c>
      <c r="E44" s="1395" t="s">
        <v>50</v>
      </c>
      <c r="F44" s="2089"/>
      <c r="G44" s="18"/>
      <c r="H44" s="2089"/>
      <c r="I44" s="18"/>
      <c r="J44" s="2095"/>
      <c r="K44" s="6672">
        <f t="shared" si="0"/>
        <v>0</v>
      </c>
      <c r="L44" s="2089"/>
      <c r="M44" s="18"/>
      <c r="N44" s="2104"/>
      <c r="O44" s="69">
        <f t="shared" si="1"/>
        <v>0</v>
      </c>
      <c r="P44" s="2089"/>
      <c r="Q44" s="18"/>
      <c r="R44" s="2112"/>
      <c r="S44" s="39">
        <f t="shared" si="2"/>
        <v>0</v>
      </c>
      <c r="T44" s="2089"/>
      <c r="U44" s="18"/>
      <c r="V44" s="2112"/>
      <c r="W44" s="39">
        <f t="shared" si="3"/>
        <v>0</v>
      </c>
      <c r="X44" s="2089"/>
      <c r="Y44" s="18">
        <v>65.072999999999993</v>
      </c>
      <c r="Z44" s="904"/>
      <c r="AA44" s="6701">
        <f t="shared" si="4"/>
        <v>65.072999999999993</v>
      </c>
      <c r="AB44" s="5189"/>
      <c r="AC44" s="6704">
        <f t="shared" si="5"/>
        <v>65.072999999999993</v>
      </c>
      <c r="AD44" s="2089"/>
      <c r="AE44" s="18">
        <v>71.840999999999994</v>
      </c>
      <c r="AF44" s="2112"/>
      <c r="AG44" s="39">
        <f>+AC44+AE44</f>
        <v>136.91399999999999</v>
      </c>
      <c r="AH44" s="2089"/>
      <c r="AI44" s="18"/>
      <c r="AJ44" s="2112"/>
      <c r="AK44" s="39">
        <f>+AG44+AI44</f>
        <v>136.91399999999999</v>
      </c>
      <c r="AL44" s="2089"/>
      <c r="AM44" s="18">
        <v>732.44699999999989</v>
      </c>
      <c r="AN44" s="904"/>
      <c r="AO44" s="6701">
        <f t="shared" si="8"/>
        <v>804.2879999999999</v>
      </c>
      <c r="AP44" s="2112"/>
      <c r="AQ44" s="39">
        <f t="shared" si="9"/>
        <v>869.36099999999988</v>
      </c>
      <c r="AR44" s="2089"/>
      <c r="AS44" s="18"/>
      <c r="AT44" s="2112"/>
      <c r="AU44" s="39">
        <f t="shared" si="10"/>
        <v>869.36099999999988</v>
      </c>
      <c r="AV44" s="2089"/>
      <c r="AW44" s="18">
        <v>1029.7370000000001</v>
      </c>
      <c r="AX44" s="2112"/>
      <c r="AY44" s="39">
        <f t="shared" si="11"/>
        <v>1899.098</v>
      </c>
      <c r="AZ44" s="2089"/>
      <c r="BA44" s="18"/>
      <c r="BB44" s="904"/>
      <c r="BC44" s="6643">
        <f t="shared" si="12"/>
        <v>1029.7370000000001</v>
      </c>
      <c r="BD44" s="905"/>
      <c r="BE44" s="701">
        <f t="shared" si="13"/>
        <v>1834.0250000000001</v>
      </c>
      <c r="BF44" s="2112"/>
      <c r="BG44" s="39">
        <f t="shared" si="14"/>
        <v>1899.098</v>
      </c>
      <c r="BH44" s="1222"/>
      <c r="BI44" s="1222"/>
      <c r="BJ44" s="26"/>
      <c r="BK44" s="26"/>
      <c r="BL44" s="26"/>
      <c r="BM44" s="26"/>
      <c r="BN44" s="1222"/>
    </row>
    <row r="45" spans="1:66" s="2631" customFormat="1" ht="15" customHeight="1" x14ac:dyDescent="0.25">
      <c r="B45" s="1093" t="s">
        <v>856</v>
      </c>
      <c r="C45" s="3418" t="s">
        <v>948</v>
      </c>
      <c r="D45" s="3419">
        <v>122.45</v>
      </c>
      <c r="E45" s="1395" t="s">
        <v>50</v>
      </c>
      <c r="F45" s="2089"/>
      <c r="G45" s="18">
        <v>2709.0750000000012</v>
      </c>
      <c r="H45" s="2089"/>
      <c r="I45" s="18">
        <v>2447.335</v>
      </c>
      <c r="J45" s="2095"/>
      <c r="K45" s="6672">
        <f t="shared" si="0"/>
        <v>5156.4100000000017</v>
      </c>
      <c r="L45" s="2089"/>
      <c r="M45" s="18">
        <v>1203.3420000000001</v>
      </c>
      <c r="N45" s="2104"/>
      <c r="O45" s="69">
        <f t="shared" si="1"/>
        <v>6359.7520000000022</v>
      </c>
      <c r="P45" s="2089"/>
      <c r="Q45" s="18">
        <v>2540.3229999999999</v>
      </c>
      <c r="R45" s="2112"/>
      <c r="S45" s="39">
        <f t="shared" si="2"/>
        <v>8900.0750000000025</v>
      </c>
      <c r="T45" s="2089"/>
      <c r="U45" s="181">
        <v>960.87800000000004</v>
      </c>
      <c r="V45" s="2112"/>
      <c r="W45" s="39">
        <f t="shared" si="3"/>
        <v>9860.9530000000032</v>
      </c>
      <c r="X45" s="2089"/>
      <c r="Y45" s="181">
        <v>1258.8520000000001</v>
      </c>
      <c r="Z45" s="904"/>
      <c r="AA45" s="6701">
        <f t="shared" si="4"/>
        <v>4760.0529999999999</v>
      </c>
      <c r="AB45" s="5189"/>
      <c r="AC45" s="6704">
        <f t="shared" si="5"/>
        <v>11119.805000000002</v>
      </c>
      <c r="AD45" s="2089"/>
      <c r="AE45" s="18">
        <v>584.92999999999995</v>
      </c>
      <c r="AF45" s="2112"/>
      <c r="AG45" s="39">
        <f>+AC45+AE45</f>
        <v>11704.735000000002</v>
      </c>
      <c r="AH45" s="2089"/>
      <c r="AI45" s="18"/>
      <c r="AJ45" s="2112"/>
      <c r="AK45" s="39">
        <f>+AG45+AI45</f>
        <v>11704.735000000002</v>
      </c>
      <c r="AL45" s="2089"/>
      <c r="AM45" s="18">
        <v>30</v>
      </c>
      <c r="AN45" s="904"/>
      <c r="AO45" s="6701">
        <f t="shared" si="8"/>
        <v>614.92999999999995</v>
      </c>
      <c r="AP45" s="2112"/>
      <c r="AQ45" s="39">
        <f t="shared" si="9"/>
        <v>11734.735000000002</v>
      </c>
      <c r="AR45" s="2089"/>
      <c r="AS45" s="18">
        <v>1568.482</v>
      </c>
      <c r="AT45" s="2112"/>
      <c r="AU45" s="39">
        <f t="shared" si="10"/>
        <v>13303.217000000002</v>
      </c>
      <c r="AV45" s="2089"/>
      <c r="AW45" s="181">
        <v>2525.058</v>
      </c>
      <c r="AX45" s="2112"/>
      <c r="AY45" s="39">
        <f t="shared" si="11"/>
        <v>15828.275000000001</v>
      </c>
      <c r="AZ45" s="2089"/>
      <c r="BA45" s="18">
        <v>2483.623</v>
      </c>
      <c r="BB45" s="904"/>
      <c r="BC45" s="6643">
        <f t="shared" si="12"/>
        <v>6577.1630000000005</v>
      </c>
      <c r="BD45" s="905"/>
      <c r="BE45" s="701">
        <f t="shared" si="13"/>
        <v>7192.0930000000008</v>
      </c>
      <c r="BF45" s="2112"/>
      <c r="BG45" s="39">
        <f t="shared" si="14"/>
        <v>18311.898000000001</v>
      </c>
      <c r="BH45" s="1222"/>
      <c r="BI45" s="1222"/>
      <c r="BJ45" s="26"/>
      <c r="BK45" s="26"/>
      <c r="BL45" s="26"/>
      <c r="BM45" s="26"/>
      <c r="BN45" s="1222"/>
    </row>
    <row r="46" spans="1:66" s="2680" customFormat="1" x14ac:dyDescent="0.25">
      <c r="B46" s="1093" t="s">
        <v>856</v>
      </c>
      <c r="C46" s="3418" t="s">
        <v>1649</v>
      </c>
      <c r="D46" s="3419">
        <v>122.45</v>
      </c>
      <c r="E46" s="1395" t="s">
        <v>50</v>
      </c>
      <c r="F46" s="2089"/>
      <c r="G46" s="18"/>
      <c r="H46" s="2089"/>
      <c r="I46" s="18"/>
      <c r="J46" s="2095"/>
      <c r="K46" s="6672">
        <f t="shared" si="0"/>
        <v>0</v>
      </c>
      <c r="L46" s="2089"/>
      <c r="M46" s="18">
        <v>715.04700000000003</v>
      </c>
      <c r="N46" s="2104"/>
      <c r="O46" s="69">
        <f t="shared" si="1"/>
        <v>715.04700000000003</v>
      </c>
      <c r="P46" s="2089"/>
      <c r="Q46" s="18"/>
      <c r="R46" s="2112"/>
      <c r="S46" s="39">
        <f t="shared" si="2"/>
        <v>715.04700000000003</v>
      </c>
      <c r="T46" s="2089"/>
      <c r="U46" s="18"/>
      <c r="V46" s="2112"/>
      <c r="W46" s="39">
        <f t="shared" si="3"/>
        <v>715.04700000000003</v>
      </c>
      <c r="X46" s="2089"/>
      <c r="Y46" s="18"/>
      <c r="Z46" s="904"/>
      <c r="AA46" s="6701">
        <f t="shared" si="4"/>
        <v>0</v>
      </c>
      <c r="AB46" s="5189"/>
      <c r="AC46" s="6704">
        <f t="shared" si="5"/>
        <v>715.04700000000003</v>
      </c>
      <c r="AD46" s="2089"/>
      <c r="AE46" s="18"/>
      <c r="AF46" s="2112"/>
      <c r="AG46" s="39">
        <f t="shared" si="15"/>
        <v>715.04700000000003</v>
      </c>
      <c r="AH46" s="2089"/>
      <c r="AI46" s="18"/>
      <c r="AJ46" s="2112"/>
      <c r="AK46" s="39">
        <f t="shared" ref="AK46" si="18">+AG46+AI46</f>
        <v>715.04700000000003</v>
      </c>
      <c r="AL46" s="2089"/>
      <c r="AM46" s="18"/>
      <c r="AN46" s="904"/>
      <c r="AO46" s="6701">
        <f t="shared" si="8"/>
        <v>0</v>
      </c>
      <c r="AP46" s="2112"/>
      <c r="AQ46" s="39">
        <f t="shared" si="9"/>
        <v>715.04700000000003</v>
      </c>
      <c r="AR46" s="2089"/>
      <c r="AS46" s="18"/>
      <c r="AT46" s="2112"/>
      <c r="AU46" s="39">
        <f t="shared" si="10"/>
        <v>715.04700000000003</v>
      </c>
      <c r="AV46" s="2089"/>
      <c r="AW46" s="18"/>
      <c r="AX46" s="2112"/>
      <c r="AY46" s="39">
        <f t="shared" si="11"/>
        <v>715.04700000000003</v>
      </c>
      <c r="AZ46" s="2089"/>
      <c r="BA46" s="18"/>
      <c r="BB46" s="904"/>
      <c r="BC46" s="6643">
        <f t="shared" si="12"/>
        <v>0</v>
      </c>
      <c r="BD46" s="905"/>
      <c r="BE46" s="701">
        <f t="shared" si="13"/>
        <v>0</v>
      </c>
      <c r="BF46" s="2112"/>
      <c r="BG46" s="39">
        <f t="shared" si="14"/>
        <v>715.04700000000003</v>
      </c>
      <c r="BH46" s="1222"/>
      <c r="BI46" s="1222"/>
      <c r="BJ46" s="26"/>
      <c r="BK46" s="26"/>
      <c r="BL46" s="26"/>
      <c r="BM46" s="26"/>
      <c r="BN46" s="1222"/>
    </row>
    <row r="47" spans="1:66" s="2749" customFormat="1" ht="15" customHeight="1" x14ac:dyDescent="0.25">
      <c r="B47" s="3624" t="s">
        <v>1660</v>
      </c>
      <c r="C47" s="3418" t="s">
        <v>1650</v>
      </c>
      <c r="D47" s="3625">
        <v>122.45</v>
      </c>
      <c r="E47" s="1410" t="s">
        <v>50</v>
      </c>
      <c r="F47" s="3626"/>
      <c r="G47" s="29"/>
      <c r="H47" s="3626"/>
      <c r="I47" s="29"/>
      <c r="J47" s="3627"/>
      <c r="K47" s="6672">
        <f t="shared" si="0"/>
        <v>0</v>
      </c>
      <c r="L47" s="3626"/>
      <c r="M47" s="29"/>
      <c r="N47" s="2104"/>
      <c r="O47" s="69">
        <f t="shared" si="1"/>
        <v>0</v>
      </c>
      <c r="P47" s="3626"/>
      <c r="Q47" s="29"/>
      <c r="R47" s="2112"/>
      <c r="S47" s="39">
        <f t="shared" si="2"/>
        <v>0</v>
      </c>
      <c r="T47" s="3626"/>
      <c r="U47" s="29"/>
      <c r="V47" s="2112"/>
      <c r="W47" s="39">
        <f t="shared" si="3"/>
        <v>0</v>
      </c>
      <c r="X47" s="3626"/>
      <c r="Y47" s="29"/>
      <c r="Z47" s="904"/>
      <c r="AA47" s="6701">
        <f t="shared" si="4"/>
        <v>0</v>
      </c>
      <c r="AB47" s="5189"/>
      <c r="AC47" s="6704">
        <f t="shared" si="5"/>
        <v>0</v>
      </c>
      <c r="AD47" s="3626"/>
      <c r="AE47" s="29"/>
      <c r="AF47" s="2112"/>
      <c r="AG47" s="39">
        <f>+AC47+AE47</f>
        <v>0</v>
      </c>
      <c r="AH47" s="3626"/>
      <c r="AI47" s="29"/>
      <c r="AJ47" s="2112"/>
      <c r="AK47" s="39">
        <f>+AG47+AI47</f>
        <v>0</v>
      </c>
      <c r="AL47" s="3626"/>
      <c r="AM47" s="29"/>
      <c r="AN47" s="904"/>
      <c r="AO47" s="6701">
        <f t="shared" si="8"/>
        <v>0</v>
      </c>
      <c r="AP47" s="2112"/>
      <c r="AQ47" s="39">
        <f t="shared" si="9"/>
        <v>0</v>
      </c>
      <c r="AR47" s="3626"/>
      <c r="AS47" s="29"/>
      <c r="AT47" s="2112"/>
      <c r="AU47" s="39">
        <f t="shared" si="10"/>
        <v>0</v>
      </c>
      <c r="AV47" s="3626"/>
      <c r="AW47" s="29"/>
      <c r="AX47" s="2112"/>
      <c r="AY47" s="39">
        <f t="shared" si="11"/>
        <v>0</v>
      </c>
      <c r="AZ47" s="3626"/>
      <c r="BA47" s="29"/>
      <c r="BB47" s="904"/>
      <c r="BC47" s="6643">
        <f t="shared" si="12"/>
        <v>0</v>
      </c>
      <c r="BD47" s="905"/>
      <c r="BE47" s="701">
        <f t="shared" si="13"/>
        <v>0</v>
      </c>
      <c r="BF47" s="2112"/>
      <c r="BG47" s="39">
        <f t="shared" si="14"/>
        <v>0</v>
      </c>
      <c r="BH47" s="1222"/>
      <c r="BI47" s="1222"/>
      <c r="BJ47" s="26"/>
      <c r="BK47" s="26"/>
      <c r="BL47" s="26"/>
      <c r="BM47" s="26"/>
      <c r="BN47" s="1222"/>
    </row>
    <row r="48" spans="1:66" s="2749" customFormat="1" ht="15" customHeight="1" x14ac:dyDescent="0.25">
      <c r="B48" s="1093" t="s">
        <v>856</v>
      </c>
      <c r="C48" s="3418" t="s">
        <v>1015</v>
      </c>
      <c r="D48" s="3638">
        <v>154.47</v>
      </c>
      <c r="E48" s="1395" t="s">
        <v>50</v>
      </c>
      <c r="F48" s="2089"/>
      <c r="G48" s="18">
        <v>562.86300000000006</v>
      </c>
      <c r="H48" s="2089"/>
      <c r="I48" s="18"/>
      <c r="J48" s="2095"/>
      <c r="K48" s="6672">
        <f t="shared" si="0"/>
        <v>562.86300000000006</v>
      </c>
      <c r="L48" s="2089"/>
      <c r="M48" s="18"/>
      <c r="N48" s="2104"/>
      <c r="O48" s="69">
        <f t="shared" si="1"/>
        <v>562.86300000000006</v>
      </c>
      <c r="P48" s="2089"/>
      <c r="Q48" s="18">
        <v>178.24</v>
      </c>
      <c r="R48" s="2112"/>
      <c r="S48" s="39">
        <f t="shared" si="2"/>
        <v>741.10300000000007</v>
      </c>
      <c r="T48" s="2089"/>
      <c r="U48" s="18">
        <v>1142.5590000000002</v>
      </c>
      <c r="V48" s="2112"/>
      <c r="W48" s="39">
        <f t="shared" si="3"/>
        <v>1883.6620000000003</v>
      </c>
      <c r="X48" s="2089"/>
      <c r="Y48" s="18">
        <v>506.57600000000002</v>
      </c>
      <c r="Z48" s="904"/>
      <c r="AA48" s="6701">
        <f t="shared" si="4"/>
        <v>1827.3750000000002</v>
      </c>
      <c r="AB48" s="5189"/>
      <c r="AC48" s="6704">
        <f t="shared" si="5"/>
        <v>2390.2380000000003</v>
      </c>
      <c r="AD48" s="2089"/>
      <c r="AE48" s="18">
        <v>290.81200000000001</v>
      </c>
      <c r="AF48" s="2112"/>
      <c r="AG48" s="39">
        <f t="shared" si="15"/>
        <v>2681.05</v>
      </c>
      <c r="AH48" s="2089"/>
      <c r="AI48" s="18"/>
      <c r="AJ48" s="2112"/>
      <c r="AK48" s="39">
        <f t="shared" ref="AK48:AK87" si="19">+AG48+AI48</f>
        <v>2681.05</v>
      </c>
      <c r="AL48" s="2089"/>
      <c r="AM48" s="18"/>
      <c r="AN48" s="904"/>
      <c r="AO48" s="6701">
        <f t="shared" si="8"/>
        <v>290.81200000000001</v>
      </c>
      <c r="AP48" s="2112"/>
      <c r="AQ48" s="39">
        <f t="shared" si="9"/>
        <v>2681.05</v>
      </c>
      <c r="AR48" s="2089"/>
      <c r="AS48" s="18">
        <v>1627.2850000000001</v>
      </c>
      <c r="AT48" s="2112"/>
      <c r="AU48" s="39">
        <f t="shared" si="10"/>
        <v>4308.335</v>
      </c>
      <c r="AV48" s="2089"/>
      <c r="AW48" s="18"/>
      <c r="AX48" s="2112"/>
      <c r="AY48" s="39">
        <f t="shared" si="11"/>
        <v>4308.335</v>
      </c>
      <c r="AZ48" s="2089"/>
      <c r="BA48" s="18">
        <v>403.38599999999997</v>
      </c>
      <c r="BB48" s="904"/>
      <c r="BC48" s="6643">
        <f t="shared" si="12"/>
        <v>2030.671</v>
      </c>
      <c r="BD48" s="905"/>
      <c r="BE48" s="701">
        <f t="shared" si="13"/>
        <v>2321.4830000000002</v>
      </c>
      <c r="BF48" s="2112"/>
      <c r="BG48" s="39">
        <f t="shared" si="14"/>
        <v>4711.7209999999995</v>
      </c>
      <c r="BH48" s="1222"/>
      <c r="BI48" s="1222"/>
      <c r="BJ48" s="26"/>
      <c r="BK48" s="26"/>
      <c r="BL48" s="26"/>
      <c r="BM48" s="26"/>
      <c r="BN48" s="1222"/>
    </row>
    <row r="49" spans="2:66" s="2631" customFormat="1" ht="15" customHeight="1" thickBot="1" x14ac:dyDescent="0.3">
      <c r="B49" s="3633" t="s">
        <v>856</v>
      </c>
      <c r="C49" s="3634" t="s">
        <v>948</v>
      </c>
      <c r="D49" s="3635">
        <v>154.47</v>
      </c>
      <c r="E49" s="1415" t="s">
        <v>50</v>
      </c>
      <c r="F49" s="3636"/>
      <c r="G49" s="38">
        <v>422.14700000000005</v>
      </c>
      <c r="H49" s="3636"/>
      <c r="I49" s="38"/>
      <c r="J49" s="3637"/>
      <c r="K49" s="6672">
        <f t="shared" si="0"/>
        <v>422.14700000000005</v>
      </c>
      <c r="L49" s="3636"/>
      <c r="M49" s="38"/>
      <c r="N49" s="2104"/>
      <c r="O49" s="69">
        <f t="shared" si="1"/>
        <v>422.14700000000005</v>
      </c>
      <c r="P49" s="3636"/>
      <c r="Q49" s="38"/>
      <c r="R49" s="2112"/>
      <c r="S49" s="39">
        <f t="shared" si="2"/>
        <v>422.14700000000005</v>
      </c>
      <c r="T49" s="3636"/>
      <c r="U49" s="38">
        <v>318.95699999999999</v>
      </c>
      <c r="V49" s="2112"/>
      <c r="W49" s="39">
        <f t="shared" si="3"/>
        <v>741.10400000000004</v>
      </c>
      <c r="X49" s="3636"/>
      <c r="Y49" s="38">
        <v>637.91000000000008</v>
      </c>
      <c r="Z49" s="904"/>
      <c r="AA49" s="6701">
        <f t="shared" si="4"/>
        <v>956.86700000000008</v>
      </c>
      <c r="AB49" s="5189"/>
      <c r="AC49" s="6704">
        <f t="shared" si="5"/>
        <v>1379.0140000000001</v>
      </c>
      <c r="AD49" s="3636"/>
      <c r="AE49" s="38">
        <v>272.05</v>
      </c>
      <c r="AF49" s="2112"/>
      <c r="AG49" s="39">
        <f t="shared" si="15"/>
        <v>1651.0640000000001</v>
      </c>
      <c r="AH49" s="3636"/>
      <c r="AI49" s="38"/>
      <c r="AJ49" s="2112"/>
      <c r="AK49" s="39">
        <f t="shared" si="19"/>
        <v>1651.0640000000001</v>
      </c>
      <c r="AL49" s="3636"/>
      <c r="AM49" s="38"/>
      <c r="AN49" s="904"/>
      <c r="AO49" s="6701">
        <f t="shared" si="8"/>
        <v>272.05</v>
      </c>
      <c r="AP49" s="2112"/>
      <c r="AQ49" s="39">
        <f t="shared" si="9"/>
        <v>1651.0640000000001</v>
      </c>
      <c r="AR49" s="3636"/>
      <c r="AS49" s="38">
        <v>384.48099999999999</v>
      </c>
      <c r="AT49" s="2112"/>
      <c r="AU49" s="39">
        <f t="shared" si="10"/>
        <v>2035.5450000000001</v>
      </c>
      <c r="AV49" s="3636"/>
      <c r="AW49" s="38"/>
      <c r="AX49" s="2112"/>
      <c r="AY49" s="39">
        <f t="shared" si="11"/>
        <v>2035.5450000000001</v>
      </c>
      <c r="AZ49" s="3636"/>
      <c r="BA49" s="38">
        <v>729.87400000000002</v>
      </c>
      <c r="BB49" s="904"/>
      <c r="BC49" s="6643">
        <f t="shared" si="12"/>
        <v>1114.355</v>
      </c>
      <c r="BD49" s="905"/>
      <c r="BE49" s="701">
        <f t="shared" si="13"/>
        <v>1386.405</v>
      </c>
      <c r="BF49" s="2112"/>
      <c r="BG49" s="39">
        <f t="shared" si="14"/>
        <v>2765.4189999999999</v>
      </c>
      <c r="BH49" s="1222"/>
      <c r="BI49" s="1222"/>
      <c r="BJ49" s="26"/>
      <c r="BK49" s="26"/>
      <c r="BL49" s="26"/>
      <c r="BM49" s="26"/>
      <c r="BN49" s="1222"/>
    </row>
    <row r="50" spans="2:66" s="2631" customFormat="1" ht="15" customHeight="1" x14ac:dyDescent="0.25">
      <c r="B50" s="3628" t="s">
        <v>1651</v>
      </c>
      <c r="C50" s="3629" t="s">
        <v>948</v>
      </c>
      <c r="D50" s="3639">
        <v>202.48</v>
      </c>
      <c r="E50" s="1332" t="s">
        <v>50</v>
      </c>
      <c r="F50" s="3631"/>
      <c r="G50" s="88"/>
      <c r="H50" s="3631"/>
      <c r="I50" s="88"/>
      <c r="J50" s="3632"/>
      <c r="K50" s="6672">
        <f t="shared" si="0"/>
        <v>0</v>
      </c>
      <c r="L50" s="3631"/>
      <c r="M50" s="88"/>
      <c r="N50" s="2104"/>
      <c r="O50" s="69">
        <f t="shared" si="1"/>
        <v>0</v>
      </c>
      <c r="P50" s="3631"/>
      <c r="Q50" s="88"/>
      <c r="R50" s="2112"/>
      <c r="S50" s="39">
        <f t="shared" si="2"/>
        <v>0</v>
      </c>
      <c r="T50" s="3631"/>
      <c r="U50" s="88"/>
      <c r="V50" s="2112"/>
      <c r="W50" s="39">
        <f t="shared" si="3"/>
        <v>0</v>
      </c>
      <c r="X50" s="3631"/>
      <c r="Y50" s="88"/>
      <c r="Z50" s="904"/>
      <c r="AA50" s="6701">
        <f t="shared" si="4"/>
        <v>0</v>
      </c>
      <c r="AB50" s="5189"/>
      <c r="AC50" s="6704">
        <f t="shared" si="5"/>
        <v>0</v>
      </c>
      <c r="AD50" s="3631"/>
      <c r="AE50" s="88"/>
      <c r="AF50" s="2112"/>
      <c r="AG50" s="39">
        <f t="shared" si="15"/>
        <v>0</v>
      </c>
      <c r="AH50" s="3631"/>
      <c r="AI50" s="88"/>
      <c r="AJ50" s="2112"/>
      <c r="AK50" s="39">
        <f t="shared" si="19"/>
        <v>0</v>
      </c>
      <c r="AL50" s="3631"/>
      <c r="AM50" s="88"/>
      <c r="AN50" s="904"/>
      <c r="AO50" s="6701">
        <f t="shared" si="8"/>
        <v>0</v>
      </c>
      <c r="AP50" s="2112"/>
      <c r="AQ50" s="39">
        <f t="shared" si="9"/>
        <v>0</v>
      </c>
      <c r="AR50" s="3631"/>
      <c r="AS50" s="88"/>
      <c r="AT50" s="2112"/>
      <c r="AU50" s="39">
        <f t="shared" si="10"/>
        <v>0</v>
      </c>
      <c r="AV50" s="3631"/>
      <c r="AW50" s="88"/>
      <c r="AX50" s="2112"/>
      <c r="AY50" s="39">
        <f t="shared" si="11"/>
        <v>0</v>
      </c>
      <c r="AZ50" s="3631"/>
      <c r="BA50" s="88"/>
      <c r="BB50" s="904"/>
      <c r="BC50" s="6643">
        <f t="shared" si="12"/>
        <v>0</v>
      </c>
      <c r="BD50" s="905"/>
      <c r="BE50" s="701">
        <f t="shared" si="13"/>
        <v>0</v>
      </c>
      <c r="BF50" s="2112"/>
      <c r="BG50" s="39">
        <f t="shared" si="14"/>
        <v>0</v>
      </c>
      <c r="BH50" s="1222"/>
      <c r="BI50" s="1222"/>
      <c r="BJ50" s="26"/>
      <c r="BK50" s="26"/>
      <c r="BL50" s="26"/>
      <c r="BM50" s="26"/>
      <c r="BN50" s="1222"/>
    </row>
    <row r="51" spans="2:66" s="2749" customFormat="1" ht="15" customHeight="1" x14ac:dyDescent="0.25">
      <c r="B51" s="1093" t="s">
        <v>1651</v>
      </c>
      <c r="C51" s="3418" t="s">
        <v>948</v>
      </c>
      <c r="D51" s="3638">
        <v>174.54</v>
      </c>
      <c r="E51" s="1395" t="s">
        <v>50</v>
      </c>
      <c r="F51" s="2089"/>
      <c r="G51" s="18"/>
      <c r="H51" s="2089"/>
      <c r="I51" s="18"/>
      <c r="J51" s="2095"/>
      <c r="K51" s="6672">
        <f t="shared" si="0"/>
        <v>0</v>
      </c>
      <c r="L51" s="2089"/>
      <c r="M51" s="18"/>
      <c r="N51" s="2104"/>
      <c r="O51" s="69">
        <f t="shared" si="1"/>
        <v>0</v>
      </c>
      <c r="P51" s="2089"/>
      <c r="Q51" s="18"/>
      <c r="R51" s="2112"/>
      <c r="S51" s="39">
        <f t="shared" si="2"/>
        <v>0</v>
      </c>
      <c r="T51" s="2089"/>
      <c r="U51" s="18"/>
      <c r="V51" s="2112"/>
      <c r="W51" s="39">
        <f t="shared" si="3"/>
        <v>0</v>
      </c>
      <c r="X51" s="2089"/>
      <c r="Y51" s="18"/>
      <c r="Z51" s="904"/>
      <c r="AA51" s="6701">
        <f t="shared" si="4"/>
        <v>0</v>
      </c>
      <c r="AB51" s="5189"/>
      <c r="AC51" s="6704">
        <f t="shared" si="5"/>
        <v>0</v>
      </c>
      <c r="AD51" s="2089"/>
      <c r="AE51" s="18"/>
      <c r="AF51" s="2112"/>
      <c r="AG51" s="39">
        <f t="shared" si="15"/>
        <v>0</v>
      </c>
      <c r="AH51" s="2089"/>
      <c r="AI51" s="18"/>
      <c r="AJ51" s="2112"/>
      <c r="AK51" s="39">
        <f t="shared" si="19"/>
        <v>0</v>
      </c>
      <c r="AL51" s="2089"/>
      <c r="AM51" s="18"/>
      <c r="AN51" s="904"/>
      <c r="AO51" s="6701">
        <f t="shared" si="8"/>
        <v>0</v>
      </c>
      <c r="AP51" s="2112"/>
      <c r="AQ51" s="39">
        <f t="shared" si="9"/>
        <v>0</v>
      </c>
      <c r="AR51" s="2089"/>
      <c r="AS51" s="18"/>
      <c r="AT51" s="2112"/>
      <c r="AU51" s="39">
        <f t="shared" si="10"/>
        <v>0</v>
      </c>
      <c r="AV51" s="2089"/>
      <c r="AW51" s="18"/>
      <c r="AX51" s="2112"/>
      <c r="AY51" s="39">
        <f t="shared" si="11"/>
        <v>0</v>
      </c>
      <c r="AZ51" s="2089"/>
      <c r="BA51" s="18"/>
      <c r="BB51" s="904"/>
      <c r="BC51" s="6643">
        <f t="shared" si="12"/>
        <v>0</v>
      </c>
      <c r="BD51" s="905"/>
      <c r="BE51" s="701">
        <f t="shared" si="13"/>
        <v>0</v>
      </c>
      <c r="BF51" s="2112"/>
      <c r="BG51" s="39">
        <f t="shared" si="14"/>
        <v>0</v>
      </c>
      <c r="BH51" s="1222"/>
      <c r="BI51" s="1222"/>
      <c r="BJ51" s="26"/>
      <c r="BK51" s="26"/>
      <c r="BL51" s="26"/>
      <c r="BM51" s="26"/>
      <c r="BN51" s="1222"/>
    </row>
    <row r="52" spans="2:66" ht="15" customHeight="1" thickBot="1" x14ac:dyDescent="0.3">
      <c r="B52" s="3633" t="s">
        <v>1651</v>
      </c>
      <c r="C52" s="3634" t="s">
        <v>948</v>
      </c>
      <c r="D52" s="3635">
        <v>145.29</v>
      </c>
      <c r="E52" s="1415" t="s">
        <v>50</v>
      </c>
      <c r="F52" s="3636"/>
      <c r="G52" s="38"/>
      <c r="H52" s="3636"/>
      <c r="I52" s="38"/>
      <c r="J52" s="3637"/>
      <c r="K52" s="6672">
        <f t="shared" si="0"/>
        <v>0</v>
      </c>
      <c r="L52" s="3636"/>
      <c r="M52" s="38"/>
      <c r="N52" s="2104"/>
      <c r="O52" s="69">
        <f t="shared" si="1"/>
        <v>0</v>
      </c>
      <c r="P52" s="3636"/>
      <c r="Q52" s="38"/>
      <c r="R52" s="2112"/>
      <c r="S52" s="39">
        <f t="shared" si="2"/>
        <v>0</v>
      </c>
      <c r="T52" s="3636"/>
      <c r="U52" s="38"/>
      <c r="V52" s="2112"/>
      <c r="W52" s="39">
        <f t="shared" si="3"/>
        <v>0</v>
      </c>
      <c r="X52" s="3636"/>
      <c r="Y52" s="38"/>
      <c r="Z52" s="904"/>
      <c r="AA52" s="6701">
        <f t="shared" si="4"/>
        <v>0</v>
      </c>
      <c r="AB52" s="5189"/>
      <c r="AC52" s="6704">
        <f t="shared" si="5"/>
        <v>0</v>
      </c>
      <c r="AD52" s="3636"/>
      <c r="AE52" s="38"/>
      <c r="AF52" s="2112"/>
      <c r="AG52" s="39">
        <f t="shared" si="15"/>
        <v>0</v>
      </c>
      <c r="AH52" s="3636"/>
      <c r="AI52" s="38"/>
      <c r="AJ52" s="2112"/>
      <c r="AK52" s="39">
        <f t="shared" si="19"/>
        <v>0</v>
      </c>
      <c r="AL52" s="3636"/>
      <c r="AM52" s="38"/>
      <c r="AN52" s="904"/>
      <c r="AO52" s="6701">
        <f t="shared" si="8"/>
        <v>0</v>
      </c>
      <c r="AP52" s="2112"/>
      <c r="AQ52" s="39">
        <f t="shared" si="9"/>
        <v>0</v>
      </c>
      <c r="AR52" s="3636"/>
      <c r="AS52" s="38"/>
      <c r="AT52" s="2112"/>
      <c r="AU52" s="39">
        <f t="shared" si="10"/>
        <v>0</v>
      </c>
      <c r="AV52" s="3636"/>
      <c r="AW52" s="38"/>
      <c r="AX52" s="2112"/>
      <c r="AY52" s="39">
        <f t="shared" si="11"/>
        <v>0</v>
      </c>
      <c r="AZ52" s="3636"/>
      <c r="BA52" s="38"/>
      <c r="BB52" s="904"/>
      <c r="BC52" s="6643">
        <f t="shared" si="12"/>
        <v>0</v>
      </c>
      <c r="BD52" s="905"/>
      <c r="BE52" s="701">
        <f t="shared" si="13"/>
        <v>0</v>
      </c>
      <c r="BF52" s="2112"/>
      <c r="BG52" s="39">
        <f t="shared" si="14"/>
        <v>0</v>
      </c>
      <c r="BH52" s="1222"/>
      <c r="BI52" s="1222"/>
      <c r="BJ52" s="26"/>
      <c r="BK52" s="26"/>
      <c r="BL52" s="26"/>
      <c r="BM52" s="26"/>
      <c r="BN52" s="1222"/>
    </row>
    <row r="53" spans="2:66" ht="15" customHeight="1" x14ac:dyDescent="0.25">
      <c r="B53" s="3628" t="s">
        <v>1108</v>
      </c>
      <c r="C53" s="3629" t="s">
        <v>1015</v>
      </c>
      <c r="D53" s="3639">
        <v>37.340000000000003</v>
      </c>
      <c r="E53" s="1332" t="s">
        <v>50</v>
      </c>
      <c r="F53" s="3631"/>
      <c r="G53" s="88"/>
      <c r="H53" s="3631"/>
      <c r="I53" s="88">
        <v>197.33</v>
      </c>
      <c r="J53" s="3632"/>
      <c r="K53" s="6672">
        <f t="shared" si="0"/>
        <v>197.33</v>
      </c>
      <c r="L53" s="3631"/>
      <c r="M53" s="88"/>
      <c r="N53" s="2104"/>
      <c r="O53" s="69">
        <f t="shared" si="1"/>
        <v>197.33</v>
      </c>
      <c r="P53" s="3631"/>
      <c r="Q53" s="88"/>
      <c r="R53" s="2112"/>
      <c r="S53" s="39">
        <f t="shared" si="2"/>
        <v>197.33</v>
      </c>
      <c r="T53" s="3631"/>
      <c r="U53" s="88"/>
      <c r="V53" s="2112"/>
      <c r="W53" s="39">
        <f t="shared" si="3"/>
        <v>197.33</v>
      </c>
      <c r="X53" s="3631"/>
      <c r="Y53" s="88"/>
      <c r="Z53" s="904"/>
      <c r="AA53" s="6701">
        <f t="shared" si="4"/>
        <v>0</v>
      </c>
      <c r="AB53" s="5189"/>
      <c r="AC53" s="6704">
        <f t="shared" si="5"/>
        <v>197.33</v>
      </c>
      <c r="AD53" s="3631"/>
      <c r="AE53" s="88"/>
      <c r="AF53" s="2112"/>
      <c r="AG53" s="39">
        <f t="shared" si="15"/>
        <v>197.33</v>
      </c>
      <c r="AH53" s="3631"/>
      <c r="AI53" s="88"/>
      <c r="AJ53" s="2112"/>
      <c r="AK53" s="39">
        <f t="shared" si="19"/>
        <v>197.33</v>
      </c>
      <c r="AL53" s="3631"/>
      <c r="AM53" s="88"/>
      <c r="AN53" s="904"/>
      <c r="AO53" s="6701">
        <f t="shared" si="8"/>
        <v>0</v>
      </c>
      <c r="AP53" s="2112"/>
      <c r="AQ53" s="39">
        <f t="shared" si="9"/>
        <v>197.33</v>
      </c>
      <c r="AR53" s="3631"/>
      <c r="AS53" s="88">
        <v>2151.3669999999997</v>
      </c>
      <c r="AT53" s="2112"/>
      <c r="AU53" s="39">
        <f t="shared" si="10"/>
        <v>2348.6969999999997</v>
      </c>
      <c r="AV53" s="3631"/>
      <c r="AW53" s="88"/>
      <c r="AX53" s="2112"/>
      <c r="AY53" s="39">
        <f t="shared" si="11"/>
        <v>2348.6969999999997</v>
      </c>
      <c r="AZ53" s="3631"/>
      <c r="BA53" s="88"/>
      <c r="BB53" s="904"/>
      <c r="BC53" s="6643">
        <f t="shared" si="12"/>
        <v>2151.3669999999997</v>
      </c>
      <c r="BD53" s="905"/>
      <c r="BE53" s="701">
        <f t="shared" si="13"/>
        <v>2151.3669999999997</v>
      </c>
      <c r="BF53" s="2112"/>
      <c r="BG53" s="39">
        <f t="shared" si="14"/>
        <v>2348.6969999999997</v>
      </c>
      <c r="BH53" s="1222"/>
      <c r="BI53" s="1222"/>
      <c r="BJ53" s="26"/>
      <c r="BK53" s="26"/>
      <c r="BL53" s="26"/>
      <c r="BM53" s="26"/>
      <c r="BN53" s="1222"/>
    </row>
    <row r="54" spans="2:66" s="3056" customFormat="1" ht="15" customHeight="1" x14ac:dyDescent="0.25">
      <c r="B54" s="1093" t="s">
        <v>1108</v>
      </c>
      <c r="C54" s="3418" t="s">
        <v>1364</v>
      </c>
      <c r="D54" s="3638">
        <v>37.340000000000003</v>
      </c>
      <c r="E54" s="1395" t="s">
        <v>50</v>
      </c>
      <c r="F54" s="2089"/>
      <c r="G54" s="18">
        <v>2807.8309999999992</v>
      </c>
      <c r="H54" s="2089"/>
      <c r="I54" s="18">
        <v>2915.0279999999993</v>
      </c>
      <c r="J54" s="2095"/>
      <c r="K54" s="6672">
        <f t="shared" si="0"/>
        <v>5722.8589999999986</v>
      </c>
      <c r="L54" s="2089"/>
      <c r="M54" s="18">
        <v>2329.701</v>
      </c>
      <c r="N54" s="2104"/>
      <c r="O54" s="69">
        <f t="shared" si="1"/>
        <v>8052.5599999999986</v>
      </c>
      <c r="P54" s="2089"/>
      <c r="Q54" s="18"/>
      <c r="R54" s="2112"/>
      <c r="S54" s="39">
        <f t="shared" si="2"/>
        <v>8052.5599999999986</v>
      </c>
      <c r="T54" s="2089"/>
      <c r="U54" s="18"/>
      <c r="V54" s="2112"/>
      <c r="W54" s="39">
        <f t="shared" si="3"/>
        <v>8052.5599999999986</v>
      </c>
      <c r="X54" s="2089"/>
      <c r="Y54" s="18">
        <v>1979.182</v>
      </c>
      <c r="Z54" s="904"/>
      <c r="AA54" s="6701">
        <f t="shared" si="4"/>
        <v>1979.182</v>
      </c>
      <c r="AB54" s="5189"/>
      <c r="AC54" s="6704">
        <f t="shared" si="5"/>
        <v>10031.741999999998</v>
      </c>
      <c r="AD54" s="2089"/>
      <c r="AE54" s="18"/>
      <c r="AF54" s="2112"/>
      <c r="AG54" s="39">
        <f t="shared" si="15"/>
        <v>10031.741999999998</v>
      </c>
      <c r="AH54" s="2089"/>
      <c r="AI54" s="18"/>
      <c r="AJ54" s="2112"/>
      <c r="AK54" s="39">
        <f t="shared" si="19"/>
        <v>10031.741999999998</v>
      </c>
      <c r="AL54" s="2089"/>
      <c r="AM54" s="18">
        <v>3098.4830000000002</v>
      </c>
      <c r="AN54" s="904"/>
      <c r="AO54" s="6701">
        <f t="shared" si="8"/>
        <v>3098.4830000000002</v>
      </c>
      <c r="AP54" s="2112"/>
      <c r="AQ54" s="39">
        <f t="shared" si="9"/>
        <v>13130.224999999999</v>
      </c>
      <c r="AR54" s="2089"/>
      <c r="AS54" s="18"/>
      <c r="AT54" s="2112"/>
      <c r="AU54" s="39">
        <f t="shared" si="10"/>
        <v>13130.224999999999</v>
      </c>
      <c r="AV54" s="2089"/>
      <c r="AW54" s="18">
        <v>3037.2159999999999</v>
      </c>
      <c r="AX54" s="2112"/>
      <c r="AY54" s="39">
        <f t="shared" si="11"/>
        <v>16167.440999999999</v>
      </c>
      <c r="AZ54" s="2089"/>
      <c r="BA54" s="18">
        <v>2640.1519999999991</v>
      </c>
      <c r="BB54" s="904"/>
      <c r="BC54" s="6643">
        <f t="shared" si="12"/>
        <v>5677.3679999999986</v>
      </c>
      <c r="BD54" s="905"/>
      <c r="BE54" s="701">
        <f t="shared" si="13"/>
        <v>8775.8509999999987</v>
      </c>
      <c r="BF54" s="2112"/>
      <c r="BG54" s="39">
        <f t="shared" si="14"/>
        <v>18807.592999999997</v>
      </c>
      <c r="BH54" s="1222"/>
      <c r="BI54" s="1222"/>
      <c r="BJ54" s="26"/>
      <c r="BK54" s="26"/>
      <c r="BL54" s="26"/>
      <c r="BM54" s="26"/>
      <c r="BN54" s="1222"/>
    </row>
    <row r="55" spans="2:66" ht="15" customHeight="1" x14ac:dyDescent="0.25">
      <c r="B55" s="1093" t="s">
        <v>1730</v>
      </c>
      <c r="C55" s="3418" t="s">
        <v>948</v>
      </c>
      <c r="D55" s="3638">
        <v>42.26</v>
      </c>
      <c r="E55" s="1395" t="s">
        <v>50</v>
      </c>
      <c r="F55" s="2089"/>
      <c r="G55" s="18"/>
      <c r="H55" s="2089"/>
      <c r="I55" s="18"/>
      <c r="J55" s="2095"/>
      <c r="K55" s="6672">
        <f t="shared" si="0"/>
        <v>0</v>
      </c>
      <c r="L55" s="2089"/>
      <c r="M55" s="18"/>
      <c r="N55" s="2104"/>
      <c r="O55" s="69">
        <f t="shared" si="1"/>
        <v>0</v>
      </c>
      <c r="P55" s="2089"/>
      <c r="Q55" s="18"/>
      <c r="R55" s="2112"/>
      <c r="S55" s="39">
        <f t="shared" si="2"/>
        <v>0</v>
      </c>
      <c r="T55" s="2089"/>
      <c r="U55" s="18"/>
      <c r="V55" s="2112"/>
      <c r="W55" s="39">
        <f t="shared" si="3"/>
        <v>0</v>
      </c>
      <c r="X55" s="2089"/>
      <c r="Y55" s="18"/>
      <c r="Z55" s="2863"/>
      <c r="AA55" s="6701">
        <f t="shared" si="4"/>
        <v>0</v>
      </c>
      <c r="AB55" s="5191"/>
      <c r="AC55" s="6704">
        <f t="shared" si="5"/>
        <v>0</v>
      </c>
      <c r="AD55" s="2089"/>
      <c r="AE55" s="18"/>
      <c r="AF55" s="2112"/>
      <c r="AG55" s="39">
        <f t="shared" si="15"/>
        <v>0</v>
      </c>
      <c r="AH55" s="2089"/>
      <c r="AI55" s="18"/>
      <c r="AJ55" s="2112"/>
      <c r="AK55" s="39">
        <f t="shared" si="19"/>
        <v>0</v>
      </c>
      <c r="AL55" s="2089"/>
      <c r="AM55" s="18"/>
      <c r="AN55" s="2863"/>
      <c r="AO55" s="6701">
        <f t="shared" si="8"/>
        <v>0</v>
      </c>
      <c r="AP55" s="2112"/>
      <c r="AQ55" s="39">
        <f t="shared" si="9"/>
        <v>0</v>
      </c>
      <c r="AR55" s="2089"/>
      <c r="AS55" s="18"/>
      <c r="AT55" s="2112"/>
      <c r="AU55" s="39">
        <f t="shared" si="10"/>
        <v>0</v>
      </c>
      <c r="AV55" s="2089"/>
      <c r="AW55" s="18"/>
      <c r="AX55" s="2112"/>
      <c r="AY55" s="39">
        <f t="shared" si="11"/>
        <v>0</v>
      </c>
      <c r="AZ55" s="2089"/>
      <c r="BA55" s="18">
        <v>1471.2839999999999</v>
      </c>
      <c r="BB55" s="2863"/>
      <c r="BC55" s="6643">
        <f t="shared" si="12"/>
        <v>1471.2839999999999</v>
      </c>
      <c r="BD55" s="2867"/>
      <c r="BE55" s="701">
        <f t="shared" si="13"/>
        <v>1471.2839999999999</v>
      </c>
      <c r="BF55" s="2112"/>
      <c r="BG55" s="39">
        <f t="shared" si="14"/>
        <v>1471.2839999999999</v>
      </c>
      <c r="BH55" s="1222"/>
      <c r="BI55" s="1222"/>
      <c r="BJ55" s="26"/>
      <c r="BK55" s="26"/>
      <c r="BL55" s="26"/>
      <c r="BM55" s="26"/>
      <c r="BN55" s="1222"/>
    </row>
    <row r="56" spans="2:66" ht="15" customHeight="1" x14ac:dyDescent="0.25">
      <c r="B56" s="1093" t="s">
        <v>1109</v>
      </c>
      <c r="C56" s="3418" t="s">
        <v>948</v>
      </c>
      <c r="D56" s="3638">
        <v>61.3</v>
      </c>
      <c r="E56" s="1395" t="s">
        <v>50</v>
      </c>
      <c r="F56" s="2089"/>
      <c r="G56" s="18"/>
      <c r="H56" s="2089"/>
      <c r="I56" s="18"/>
      <c r="J56" s="2095"/>
      <c r="K56" s="6672">
        <f t="shared" si="0"/>
        <v>0</v>
      </c>
      <c r="L56" s="2089"/>
      <c r="M56" s="18"/>
      <c r="N56" s="2104"/>
      <c r="O56" s="69">
        <f t="shared" si="1"/>
        <v>0</v>
      </c>
      <c r="P56" s="2089"/>
      <c r="Q56" s="18"/>
      <c r="R56" s="2112"/>
      <c r="S56" s="39">
        <f t="shared" si="2"/>
        <v>0</v>
      </c>
      <c r="T56" s="2089"/>
      <c r="U56" s="18"/>
      <c r="V56" s="2112"/>
      <c r="W56" s="39">
        <f t="shared" si="3"/>
        <v>0</v>
      </c>
      <c r="X56" s="2089"/>
      <c r="Y56" s="18"/>
      <c r="Z56" s="904"/>
      <c r="AA56" s="6701">
        <f t="shared" si="4"/>
        <v>0</v>
      </c>
      <c r="AB56" s="5189"/>
      <c r="AC56" s="6704">
        <f t="shared" si="5"/>
        <v>0</v>
      </c>
      <c r="AD56" s="2089"/>
      <c r="AE56" s="18"/>
      <c r="AF56" s="2112"/>
      <c r="AG56" s="39">
        <f t="shared" si="15"/>
        <v>0</v>
      </c>
      <c r="AH56" s="2089"/>
      <c r="AI56" s="18"/>
      <c r="AJ56" s="2112"/>
      <c r="AK56" s="39">
        <f t="shared" si="19"/>
        <v>0</v>
      </c>
      <c r="AL56" s="2089"/>
      <c r="AM56" s="18"/>
      <c r="AN56" s="904"/>
      <c r="AO56" s="6701">
        <f t="shared" si="8"/>
        <v>0</v>
      </c>
      <c r="AP56" s="2112"/>
      <c r="AQ56" s="39">
        <f t="shared" si="9"/>
        <v>0</v>
      </c>
      <c r="AR56" s="2089"/>
      <c r="AS56" s="18"/>
      <c r="AT56" s="2112"/>
      <c r="AU56" s="39">
        <f t="shared" si="10"/>
        <v>0</v>
      </c>
      <c r="AV56" s="2089"/>
      <c r="AW56" s="18"/>
      <c r="AX56" s="2112"/>
      <c r="AY56" s="39">
        <f t="shared" si="11"/>
        <v>0</v>
      </c>
      <c r="AZ56" s="2089"/>
      <c r="BA56" s="18">
        <v>1338.423</v>
      </c>
      <c r="BB56" s="904"/>
      <c r="BC56" s="6643">
        <f t="shared" si="12"/>
        <v>1338.423</v>
      </c>
      <c r="BD56" s="905"/>
      <c r="BE56" s="701">
        <f t="shared" si="13"/>
        <v>1338.423</v>
      </c>
      <c r="BF56" s="2112"/>
      <c r="BG56" s="39">
        <f t="shared" si="14"/>
        <v>1338.423</v>
      </c>
      <c r="BH56" s="1222"/>
      <c r="BI56" s="1222"/>
      <c r="BJ56" s="26"/>
      <c r="BK56" s="26"/>
      <c r="BL56" s="26"/>
      <c r="BM56" s="26"/>
      <c r="BN56" s="1222"/>
    </row>
    <row r="57" spans="2:66" ht="15" customHeight="1" thickBot="1" x14ac:dyDescent="0.3">
      <c r="B57" s="3633" t="s">
        <v>1109</v>
      </c>
      <c r="C57" s="3634" t="s">
        <v>1015</v>
      </c>
      <c r="D57" s="3635">
        <v>61.3</v>
      </c>
      <c r="E57" s="1415" t="s">
        <v>50</v>
      </c>
      <c r="F57" s="3636"/>
      <c r="G57" s="38"/>
      <c r="H57" s="3636"/>
      <c r="I57" s="38"/>
      <c r="J57" s="3637"/>
      <c r="K57" s="6672">
        <f t="shared" si="0"/>
        <v>0</v>
      </c>
      <c r="L57" s="3636"/>
      <c r="M57" s="38"/>
      <c r="N57" s="2104"/>
      <c r="O57" s="69">
        <f t="shared" si="1"/>
        <v>0</v>
      </c>
      <c r="P57" s="3636"/>
      <c r="Q57" s="38"/>
      <c r="R57" s="2112"/>
      <c r="S57" s="39">
        <f t="shared" si="2"/>
        <v>0</v>
      </c>
      <c r="T57" s="3636"/>
      <c r="U57" s="38"/>
      <c r="V57" s="2112"/>
      <c r="W57" s="39">
        <f t="shared" si="3"/>
        <v>0</v>
      </c>
      <c r="X57" s="3636"/>
      <c r="Y57" s="38"/>
      <c r="Z57" s="904"/>
      <c r="AA57" s="6701">
        <f t="shared" si="4"/>
        <v>0</v>
      </c>
      <c r="AB57" s="5189"/>
      <c r="AC57" s="6704">
        <f t="shared" si="5"/>
        <v>0</v>
      </c>
      <c r="AD57" s="3636"/>
      <c r="AE57" s="38"/>
      <c r="AF57" s="2112"/>
      <c r="AG57" s="39">
        <f t="shared" si="15"/>
        <v>0</v>
      </c>
      <c r="AH57" s="3636"/>
      <c r="AI57" s="38"/>
      <c r="AJ57" s="2112"/>
      <c r="AK57" s="39">
        <f t="shared" si="19"/>
        <v>0</v>
      </c>
      <c r="AL57" s="3636"/>
      <c r="AM57" s="38"/>
      <c r="AN57" s="904"/>
      <c r="AO57" s="6701">
        <f t="shared" si="8"/>
        <v>0</v>
      </c>
      <c r="AP57" s="2112"/>
      <c r="AQ57" s="39">
        <f t="shared" si="9"/>
        <v>0</v>
      </c>
      <c r="AR57" s="3636"/>
      <c r="AS57" s="38"/>
      <c r="AT57" s="2112"/>
      <c r="AU57" s="39">
        <f t="shared" si="10"/>
        <v>0</v>
      </c>
      <c r="AV57" s="3636"/>
      <c r="AW57" s="38"/>
      <c r="AX57" s="2112"/>
      <c r="AY57" s="39">
        <f t="shared" si="11"/>
        <v>0</v>
      </c>
      <c r="AZ57" s="3636"/>
      <c r="BA57" s="38"/>
      <c r="BB57" s="904"/>
      <c r="BC57" s="6643">
        <f t="shared" si="12"/>
        <v>0</v>
      </c>
      <c r="BD57" s="905"/>
      <c r="BE57" s="701">
        <f t="shared" si="13"/>
        <v>0</v>
      </c>
      <c r="BF57" s="2112"/>
      <c r="BG57" s="39">
        <f t="shared" si="14"/>
        <v>0</v>
      </c>
      <c r="BH57" s="1222"/>
      <c r="BI57" s="1222"/>
      <c r="BJ57" s="26"/>
      <c r="BK57" s="26"/>
      <c r="BL57" s="26"/>
      <c r="BM57" s="26"/>
      <c r="BN57" s="1222"/>
    </row>
    <row r="58" spans="2:66" s="5172" customFormat="1" ht="15" customHeight="1" thickBot="1" x14ac:dyDescent="0.3">
      <c r="B58" s="3628" t="s">
        <v>1266</v>
      </c>
      <c r="C58" s="3629" t="s">
        <v>948</v>
      </c>
      <c r="D58" s="3639">
        <v>83.2</v>
      </c>
      <c r="E58" s="1332" t="s">
        <v>50</v>
      </c>
      <c r="F58" s="3631"/>
      <c r="G58" s="88">
        <v>2223.0400000000004</v>
      </c>
      <c r="H58" s="3631"/>
      <c r="I58" s="88"/>
      <c r="J58" s="3632"/>
      <c r="K58" s="6672">
        <f t="shared" si="0"/>
        <v>2223.0400000000004</v>
      </c>
      <c r="L58" s="3631"/>
      <c r="M58" s="88"/>
      <c r="N58" s="2104"/>
      <c r="O58" s="69">
        <f t="shared" si="1"/>
        <v>2223.0400000000004</v>
      </c>
      <c r="P58" s="3631"/>
      <c r="Q58" s="88">
        <v>1818.769</v>
      </c>
      <c r="R58" s="2112"/>
      <c r="S58" s="39">
        <f t="shared" si="2"/>
        <v>4041.8090000000002</v>
      </c>
      <c r="T58" s="3631"/>
      <c r="U58" s="88"/>
      <c r="V58" s="2112"/>
      <c r="W58" s="39">
        <f t="shared" si="3"/>
        <v>4041.8090000000002</v>
      </c>
      <c r="X58" s="3631"/>
      <c r="Y58" s="88"/>
      <c r="Z58" s="904"/>
      <c r="AA58" s="6701">
        <f t="shared" si="4"/>
        <v>1818.769</v>
      </c>
      <c r="AB58" s="5189"/>
      <c r="AC58" s="6704">
        <f t="shared" si="5"/>
        <v>4041.8090000000002</v>
      </c>
      <c r="AD58" s="3631"/>
      <c r="AE58" s="88"/>
      <c r="AF58" s="2112"/>
      <c r="AG58" s="39">
        <f t="shared" si="15"/>
        <v>4041.8090000000002</v>
      </c>
      <c r="AH58" s="3631"/>
      <c r="AI58" s="88"/>
      <c r="AJ58" s="2112"/>
      <c r="AK58" s="39">
        <f t="shared" si="19"/>
        <v>4041.8090000000002</v>
      </c>
      <c r="AL58" s="3631"/>
      <c r="AM58" s="88"/>
      <c r="AN58" s="904"/>
      <c r="AO58" s="6701">
        <f t="shared" si="8"/>
        <v>0</v>
      </c>
      <c r="AP58" s="2112"/>
      <c r="AQ58" s="39">
        <f t="shared" si="9"/>
        <v>4041.8090000000002</v>
      </c>
      <c r="AR58" s="3631"/>
      <c r="AS58" s="88">
        <v>1884.9050000000002</v>
      </c>
      <c r="AT58" s="2112"/>
      <c r="AU58" s="39">
        <f t="shared" si="10"/>
        <v>5926.7139999999999</v>
      </c>
      <c r="AV58" s="3631"/>
      <c r="AW58" s="88">
        <v>1529.8110000000001</v>
      </c>
      <c r="AX58" s="2112"/>
      <c r="AY58" s="39">
        <f t="shared" si="11"/>
        <v>7456.5249999999996</v>
      </c>
      <c r="AZ58" s="3631"/>
      <c r="BA58" s="88"/>
      <c r="BB58" s="904"/>
      <c r="BC58" s="6643">
        <f t="shared" si="12"/>
        <v>3414.7160000000003</v>
      </c>
      <c r="BD58" s="905"/>
      <c r="BE58" s="701">
        <f t="shared" si="13"/>
        <v>3414.7160000000003</v>
      </c>
      <c r="BF58" s="2112"/>
      <c r="BG58" s="39">
        <f t="shared" si="14"/>
        <v>7456.5249999999996</v>
      </c>
      <c r="BH58" s="1222"/>
      <c r="BI58" s="1222"/>
      <c r="BJ58" s="26"/>
      <c r="BK58" s="26"/>
      <c r="BL58" s="26"/>
      <c r="BM58" s="26"/>
      <c r="BN58" s="1222"/>
    </row>
    <row r="59" spans="2:66" s="2680" customFormat="1" ht="15" customHeight="1" x14ac:dyDescent="0.25">
      <c r="B59" s="3628" t="s">
        <v>1266</v>
      </c>
      <c r="C59" s="3629" t="s">
        <v>948</v>
      </c>
      <c r="D59" s="4828">
        <v>47.39</v>
      </c>
      <c r="E59" s="1332" t="s">
        <v>50</v>
      </c>
      <c r="F59" s="4830"/>
      <c r="G59" s="4645"/>
      <c r="H59" s="4830"/>
      <c r="I59" s="4645"/>
      <c r="J59" s="4831"/>
      <c r="K59" s="6672">
        <f t="shared" si="0"/>
        <v>0</v>
      </c>
      <c r="L59" s="4830"/>
      <c r="M59" s="4645"/>
      <c r="N59" s="2104"/>
      <c r="O59" s="69">
        <f t="shared" si="1"/>
        <v>0</v>
      </c>
      <c r="P59" s="4830"/>
      <c r="Q59" s="4645"/>
      <c r="R59" s="2112"/>
      <c r="S59" s="39">
        <f t="shared" si="2"/>
        <v>0</v>
      </c>
      <c r="T59" s="4830"/>
      <c r="U59" s="4645"/>
      <c r="V59" s="2112"/>
      <c r="W59" s="39">
        <f t="shared" si="3"/>
        <v>0</v>
      </c>
      <c r="X59" s="4830"/>
      <c r="Y59" s="4645"/>
      <c r="Z59" s="6125"/>
      <c r="AA59" s="6701">
        <f t="shared" si="4"/>
        <v>0</v>
      </c>
      <c r="AB59" s="6128"/>
      <c r="AC59" s="6704">
        <f t="shared" si="5"/>
        <v>0</v>
      </c>
      <c r="AD59" s="4830"/>
      <c r="AE59" s="4645"/>
      <c r="AF59" s="2112"/>
      <c r="AG59" s="39"/>
      <c r="AH59" s="4830"/>
      <c r="AI59" s="4645"/>
      <c r="AJ59" s="2112"/>
      <c r="AK59" s="39"/>
      <c r="AL59" s="4830"/>
      <c r="AM59" s="4645"/>
      <c r="AN59" s="6125"/>
      <c r="AO59" s="6701">
        <f t="shared" si="8"/>
        <v>0</v>
      </c>
      <c r="AP59" s="2112"/>
      <c r="AQ59" s="39"/>
      <c r="AR59" s="4830"/>
      <c r="AS59" s="4645">
        <v>291.97699999999998</v>
      </c>
      <c r="AT59" s="2112"/>
      <c r="AU59" s="39">
        <f t="shared" si="10"/>
        <v>291.97699999999998</v>
      </c>
      <c r="AV59" s="4830"/>
      <c r="AW59" s="4645"/>
      <c r="AX59" s="2112"/>
      <c r="AY59" s="39">
        <f t="shared" si="11"/>
        <v>291.97699999999998</v>
      </c>
      <c r="AZ59" s="4830"/>
      <c r="BA59" s="4645"/>
      <c r="BB59" s="6125"/>
      <c r="BC59" s="6643">
        <f t="shared" si="12"/>
        <v>291.97699999999998</v>
      </c>
      <c r="BD59" s="6129"/>
      <c r="BE59" s="701">
        <f t="shared" si="13"/>
        <v>291.97699999999998</v>
      </c>
      <c r="BF59" s="2112"/>
      <c r="BG59" s="39">
        <f t="shared" si="14"/>
        <v>291.97699999999998</v>
      </c>
      <c r="BH59" s="1222"/>
      <c r="BI59" s="1222"/>
      <c r="BJ59" s="26"/>
      <c r="BK59" s="26"/>
      <c r="BL59" s="26"/>
      <c r="BM59" s="26"/>
      <c r="BN59" s="1222"/>
    </row>
    <row r="60" spans="2:66" ht="15" customHeight="1" thickBot="1" x14ac:dyDescent="0.3">
      <c r="B60" s="3633" t="s">
        <v>1266</v>
      </c>
      <c r="C60" s="3634" t="s">
        <v>948</v>
      </c>
      <c r="D60" s="3635">
        <v>60.32</v>
      </c>
      <c r="E60" s="1415" t="s">
        <v>50</v>
      </c>
      <c r="F60" s="3636"/>
      <c r="G60" s="38">
        <v>390.20100000000002</v>
      </c>
      <c r="H60" s="3636"/>
      <c r="I60" s="38"/>
      <c r="J60" s="3637"/>
      <c r="K60" s="6672">
        <f t="shared" si="0"/>
        <v>390.20100000000002</v>
      </c>
      <c r="L60" s="3636"/>
      <c r="M60" s="38"/>
      <c r="N60" s="2104"/>
      <c r="O60" s="69">
        <f t="shared" si="1"/>
        <v>390.20100000000002</v>
      </c>
      <c r="P60" s="3636"/>
      <c r="Q60" s="38">
        <v>247.90600000000001</v>
      </c>
      <c r="R60" s="2112"/>
      <c r="S60" s="39">
        <f t="shared" si="2"/>
        <v>638.10699999999997</v>
      </c>
      <c r="T60" s="3636"/>
      <c r="U60" s="38"/>
      <c r="V60" s="2112"/>
      <c r="W60" s="39">
        <f t="shared" si="3"/>
        <v>638.10699999999997</v>
      </c>
      <c r="X60" s="3636"/>
      <c r="Y60" s="38"/>
      <c r="Z60" s="904"/>
      <c r="AA60" s="6701">
        <f t="shared" si="4"/>
        <v>247.90600000000001</v>
      </c>
      <c r="AB60" s="5189"/>
      <c r="AC60" s="6704">
        <f t="shared" si="5"/>
        <v>638.10699999999997</v>
      </c>
      <c r="AD60" s="3636"/>
      <c r="AE60" s="38"/>
      <c r="AF60" s="2112"/>
      <c r="AG60" s="39">
        <f t="shared" si="15"/>
        <v>638.10699999999997</v>
      </c>
      <c r="AH60" s="3636"/>
      <c r="AI60" s="38"/>
      <c r="AJ60" s="2112"/>
      <c r="AK60" s="39">
        <f t="shared" si="19"/>
        <v>638.10699999999997</v>
      </c>
      <c r="AL60" s="3636"/>
      <c r="AM60" s="38"/>
      <c r="AN60" s="904"/>
      <c r="AO60" s="6701">
        <f t="shared" si="8"/>
        <v>0</v>
      </c>
      <c r="AP60" s="2112"/>
      <c r="AQ60" s="39">
        <f t="shared" si="9"/>
        <v>638.10699999999997</v>
      </c>
      <c r="AR60" s="3636"/>
      <c r="AS60" s="38">
        <v>972.32800000000009</v>
      </c>
      <c r="AT60" s="2112"/>
      <c r="AU60" s="39">
        <f t="shared" si="10"/>
        <v>1610.4349999999999</v>
      </c>
      <c r="AV60" s="3636"/>
      <c r="AW60" s="38">
        <v>302.16199999999998</v>
      </c>
      <c r="AX60" s="2112"/>
      <c r="AY60" s="39">
        <f t="shared" si="11"/>
        <v>1912.597</v>
      </c>
      <c r="AZ60" s="3636"/>
      <c r="BA60" s="38"/>
      <c r="BB60" s="904"/>
      <c r="BC60" s="6643">
        <f t="shared" si="12"/>
        <v>1274.49</v>
      </c>
      <c r="BD60" s="905"/>
      <c r="BE60" s="701">
        <f t="shared" si="13"/>
        <v>1274.49</v>
      </c>
      <c r="BF60" s="2112"/>
      <c r="BG60" s="39">
        <f t="shared" si="14"/>
        <v>1912.597</v>
      </c>
      <c r="BH60" s="1222"/>
      <c r="BI60" s="1222"/>
      <c r="BJ60" s="26"/>
      <c r="BK60" s="26"/>
      <c r="BL60" s="26"/>
      <c r="BM60" s="26"/>
      <c r="BN60" s="1222"/>
    </row>
    <row r="61" spans="2:66" ht="15" customHeight="1" x14ac:dyDescent="0.25">
      <c r="B61" s="3628" t="s">
        <v>1204</v>
      </c>
      <c r="C61" s="3629" t="s">
        <v>948</v>
      </c>
      <c r="D61" s="3639">
        <v>100.85</v>
      </c>
      <c r="E61" s="1332" t="s">
        <v>50</v>
      </c>
      <c r="F61" s="3631"/>
      <c r="G61" s="88">
        <v>1159.954</v>
      </c>
      <c r="H61" s="3631"/>
      <c r="I61" s="88">
        <v>933.98900000000026</v>
      </c>
      <c r="J61" s="3632"/>
      <c r="K61" s="6672">
        <f t="shared" si="0"/>
        <v>2093.9430000000002</v>
      </c>
      <c r="L61" s="3631"/>
      <c r="M61" s="88">
        <v>1341.4479999999999</v>
      </c>
      <c r="N61" s="2104"/>
      <c r="O61" s="69">
        <f t="shared" si="1"/>
        <v>3435.3910000000001</v>
      </c>
      <c r="P61" s="3631"/>
      <c r="Q61" s="88">
        <v>1617.2030000000004</v>
      </c>
      <c r="R61" s="2112"/>
      <c r="S61" s="39">
        <f t="shared" si="2"/>
        <v>5052.594000000001</v>
      </c>
      <c r="T61" s="3631"/>
      <c r="U61" s="88"/>
      <c r="V61" s="2112"/>
      <c r="W61" s="39">
        <f t="shared" si="3"/>
        <v>5052.594000000001</v>
      </c>
      <c r="X61" s="3631"/>
      <c r="Y61" s="88"/>
      <c r="Z61" s="904"/>
      <c r="AA61" s="6701">
        <f t="shared" si="4"/>
        <v>1617.2030000000004</v>
      </c>
      <c r="AB61" s="5189"/>
      <c r="AC61" s="6704">
        <f t="shared" si="5"/>
        <v>5052.594000000001</v>
      </c>
      <c r="AD61" s="3631"/>
      <c r="AE61" s="88">
        <v>857.10300000000007</v>
      </c>
      <c r="AF61" s="2112"/>
      <c r="AG61" s="39">
        <f t="shared" si="15"/>
        <v>5909.697000000001</v>
      </c>
      <c r="AH61" s="3631"/>
      <c r="AI61" s="88"/>
      <c r="AJ61" s="2112"/>
      <c r="AK61" s="39">
        <f t="shared" si="19"/>
        <v>5909.697000000001</v>
      </c>
      <c r="AL61" s="3631"/>
      <c r="AM61" s="88">
        <v>155.27199999999999</v>
      </c>
      <c r="AN61" s="904"/>
      <c r="AO61" s="6701">
        <f t="shared" si="8"/>
        <v>1012.375</v>
      </c>
      <c r="AP61" s="2112"/>
      <c r="AQ61" s="39">
        <f t="shared" si="9"/>
        <v>6064.969000000001</v>
      </c>
      <c r="AR61" s="3631"/>
      <c r="AS61" s="88">
        <v>354.02200000000005</v>
      </c>
      <c r="AT61" s="2112"/>
      <c r="AU61" s="39">
        <f t="shared" si="10"/>
        <v>6418.9910000000009</v>
      </c>
      <c r="AV61" s="3631"/>
      <c r="AW61" s="88">
        <v>1277.0250000000001</v>
      </c>
      <c r="AX61" s="2112"/>
      <c r="AY61" s="39">
        <f t="shared" si="11"/>
        <v>7696.0160000000014</v>
      </c>
      <c r="AZ61" s="3631"/>
      <c r="BA61" s="88">
        <v>1763.2449999999997</v>
      </c>
      <c r="BB61" s="904"/>
      <c r="BC61" s="6643">
        <f t="shared" si="12"/>
        <v>3394.2919999999995</v>
      </c>
      <c r="BD61" s="905"/>
      <c r="BE61" s="701">
        <f t="shared" si="13"/>
        <v>4406.6669999999995</v>
      </c>
      <c r="BF61" s="2112"/>
      <c r="BG61" s="39">
        <f t="shared" si="14"/>
        <v>9459.2610000000004</v>
      </c>
      <c r="BH61" s="1222"/>
      <c r="BI61" s="1222"/>
      <c r="BJ61" s="26"/>
      <c r="BK61" s="26"/>
      <c r="BL61" s="26"/>
      <c r="BM61" s="26"/>
      <c r="BN61" s="1222"/>
    </row>
    <row r="62" spans="2:66" s="2631" customFormat="1" ht="15" customHeight="1" x14ac:dyDescent="0.25">
      <c r="B62" s="1093" t="s">
        <v>1204</v>
      </c>
      <c r="C62" s="3418" t="s">
        <v>948</v>
      </c>
      <c r="D62" s="3638">
        <v>117.03</v>
      </c>
      <c r="E62" s="1395" t="s">
        <v>50</v>
      </c>
      <c r="F62" s="2089"/>
      <c r="G62" s="18">
        <v>1527.2120000000002</v>
      </c>
      <c r="H62" s="2089"/>
      <c r="I62" s="18">
        <v>1112.682</v>
      </c>
      <c r="J62" s="2095"/>
      <c r="K62" s="6672">
        <f t="shared" si="0"/>
        <v>2639.8940000000002</v>
      </c>
      <c r="L62" s="2089"/>
      <c r="M62" s="18">
        <v>904.99799999999993</v>
      </c>
      <c r="N62" s="2104"/>
      <c r="O62" s="69">
        <f t="shared" si="1"/>
        <v>3544.8920000000003</v>
      </c>
      <c r="P62" s="2089"/>
      <c r="Q62" s="18">
        <v>1068.537</v>
      </c>
      <c r="R62" s="2112"/>
      <c r="S62" s="39">
        <f t="shared" si="2"/>
        <v>4613.4290000000001</v>
      </c>
      <c r="T62" s="2089"/>
      <c r="U62" s="18"/>
      <c r="V62" s="2112"/>
      <c r="W62" s="39">
        <f t="shared" si="3"/>
        <v>4613.4290000000001</v>
      </c>
      <c r="X62" s="2089"/>
      <c r="Y62" s="18"/>
      <c r="Z62" s="904"/>
      <c r="AA62" s="6701">
        <f t="shared" si="4"/>
        <v>1068.537</v>
      </c>
      <c r="AB62" s="5189"/>
      <c r="AC62" s="6704">
        <f t="shared" si="5"/>
        <v>4613.4290000000001</v>
      </c>
      <c r="AD62" s="2089"/>
      <c r="AE62" s="18">
        <v>1525.2620000000002</v>
      </c>
      <c r="AF62" s="2112"/>
      <c r="AG62" s="39">
        <f t="shared" si="15"/>
        <v>6138.6910000000007</v>
      </c>
      <c r="AH62" s="2089"/>
      <c r="AI62" s="18"/>
      <c r="AJ62" s="2112"/>
      <c r="AK62" s="39">
        <f t="shared" si="19"/>
        <v>6138.6910000000007</v>
      </c>
      <c r="AL62" s="2089"/>
      <c r="AM62" s="18">
        <v>1669.2649999999999</v>
      </c>
      <c r="AN62" s="904"/>
      <c r="AO62" s="6701">
        <f t="shared" si="8"/>
        <v>3194.527</v>
      </c>
      <c r="AP62" s="2112"/>
      <c r="AQ62" s="39">
        <f t="shared" si="9"/>
        <v>7807.9560000000001</v>
      </c>
      <c r="AR62" s="2089"/>
      <c r="AS62" s="18"/>
      <c r="AT62" s="2112"/>
      <c r="AU62" s="39">
        <f t="shared" si="10"/>
        <v>7807.9560000000001</v>
      </c>
      <c r="AV62" s="2089"/>
      <c r="AW62" s="18">
        <v>1500.6679999999997</v>
      </c>
      <c r="AX62" s="2112"/>
      <c r="AY62" s="39">
        <f t="shared" si="11"/>
        <v>9308.6239999999998</v>
      </c>
      <c r="AZ62" s="2089"/>
      <c r="BA62" s="18">
        <v>533.61400000000003</v>
      </c>
      <c r="BB62" s="904"/>
      <c r="BC62" s="6643">
        <f t="shared" si="12"/>
        <v>2034.2819999999997</v>
      </c>
      <c r="BD62" s="905"/>
      <c r="BE62" s="701">
        <f t="shared" si="13"/>
        <v>5228.8089999999993</v>
      </c>
      <c r="BF62" s="2112"/>
      <c r="BG62" s="39">
        <f t="shared" si="14"/>
        <v>9842.2379999999994</v>
      </c>
      <c r="BH62" s="1222"/>
      <c r="BI62" s="1222"/>
      <c r="BJ62" s="26"/>
      <c r="BK62" s="26"/>
      <c r="BL62" s="26"/>
      <c r="BM62" s="26"/>
      <c r="BN62" s="1222"/>
    </row>
    <row r="63" spans="2:66" ht="15" customHeight="1" thickBot="1" x14ac:dyDescent="0.3">
      <c r="B63" s="3633" t="s">
        <v>1204</v>
      </c>
      <c r="C63" s="3634" t="s">
        <v>948</v>
      </c>
      <c r="D63" s="3635">
        <v>237.92</v>
      </c>
      <c r="E63" s="1415" t="s">
        <v>50</v>
      </c>
      <c r="F63" s="3636"/>
      <c r="G63" s="38"/>
      <c r="H63" s="3636"/>
      <c r="I63" s="38"/>
      <c r="J63" s="3637"/>
      <c r="K63" s="6672">
        <f t="shared" si="0"/>
        <v>0</v>
      </c>
      <c r="L63" s="3636"/>
      <c r="M63" s="38"/>
      <c r="N63" s="2104"/>
      <c r="O63" s="69">
        <f t="shared" si="1"/>
        <v>0</v>
      </c>
      <c r="P63" s="3636"/>
      <c r="Q63" s="38"/>
      <c r="R63" s="2112"/>
      <c r="S63" s="39">
        <f t="shared" si="2"/>
        <v>0</v>
      </c>
      <c r="T63" s="3636"/>
      <c r="U63" s="38"/>
      <c r="V63" s="2112"/>
      <c r="W63" s="39">
        <f t="shared" si="3"/>
        <v>0</v>
      </c>
      <c r="X63" s="3636"/>
      <c r="Y63" s="38"/>
      <c r="Z63" s="904"/>
      <c r="AA63" s="6701">
        <f t="shared" si="4"/>
        <v>0</v>
      </c>
      <c r="AB63" s="5189"/>
      <c r="AC63" s="6704">
        <f t="shared" si="5"/>
        <v>0</v>
      </c>
      <c r="AD63" s="3636"/>
      <c r="AE63" s="38">
        <v>130.96299999999997</v>
      </c>
      <c r="AF63" s="2112"/>
      <c r="AG63" s="39">
        <f t="shared" si="15"/>
        <v>130.96299999999997</v>
      </c>
      <c r="AH63" s="3636"/>
      <c r="AI63" s="38"/>
      <c r="AJ63" s="2112"/>
      <c r="AK63" s="39">
        <f t="shared" si="19"/>
        <v>130.96299999999997</v>
      </c>
      <c r="AL63" s="3636"/>
      <c r="AM63" s="38"/>
      <c r="AN63" s="904"/>
      <c r="AO63" s="6701">
        <f t="shared" si="8"/>
        <v>130.96299999999997</v>
      </c>
      <c r="AP63" s="2112"/>
      <c r="AQ63" s="39">
        <f t="shared" si="9"/>
        <v>130.96299999999997</v>
      </c>
      <c r="AR63" s="3636"/>
      <c r="AS63" s="38"/>
      <c r="AT63" s="2112"/>
      <c r="AU63" s="39">
        <f t="shared" si="10"/>
        <v>130.96299999999997</v>
      </c>
      <c r="AV63" s="3636"/>
      <c r="AW63" s="38"/>
      <c r="AX63" s="2112"/>
      <c r="AY63" s="39">
        <f t="shared" si="11"/>
        <v>130.96299999999997</v>
      </c>
      <c r="AZ63" s="3636"/>
      <c r="BA63" s="38"/>
      <c r="BB63" s="904"/>
      <c r="BC63" s="6643">
        <f t="shared" si="12"/>
        <v>0</v>
      </c>
      <c r="BD63" s="905"/>
      <c r="BE63" s="701">
        <f t="shared" si="13"/>
        <v>130.96299999999997</v>
      </c>
      <c r="BF63" s="2112"/>
      <c r="BG63" s="39">
        <f t="shared" si="14"/>
        <v>130.96299999999997</v>
      </c>
      <c r="BH63" s="1222"/>
      <c r="BI63" s="1222"/>
      <c r="BJ63" s="26"/>
      <c r="BK63" s="26"/>
      <c r="BL63" s="26"/>
      <c r="BM63" s="26"/>
      <c r="BN63" s="1222"/>
    </row>
    <row r="64" spans="2:66" s="5172" customFormat="1" ht="15" customHeight="1" thickBot="1" x14ac:dyDescent="0.3">
      <c r="B64" s="3640" t="s">
        <v>1307</v>
      </c>
      <c r="C64" s="3641" t="s">
        <v>1015</v>
      </c>
      <c r="D64" s="3642">
        <v>27.3</v>
      </c>
      <c r="E64" s="3643" t="s">
        <v>50</v>
      </c>
      <c r="F64" s="3644"/>
      <c r="G64" s="2059"/>
      <c r="H64" s="3644"/>
      <c r="I64" s="2059"/>
      <c r="J64" s="3645"/>
      <c r="K64" s="6672">
        <f t="shared" si="0"/>
        <v>0</v>
      </c>
      <c r="L64" s="3644"/>
      <c r="M64" s="2059"/>
      <c r="N64" s="2104"/>
      <c r="O64" s="69">
        <f t="shared" si="1"/>
        <v>0</v>
      </c>
      <c r="P64" s="3644"/>
      <c r="Q64" s="2059"/>
      <c r="R64" s="2112"/>
      <c r="S64" s="39">
        <f t="shared" si="2"/>
        <v>0</v>
      </c>
      <c r="T64" s="3644"/>
      <c r="U64" s="2059"/>
      <c r="V64" s="2112"/>
      <c r="W64" s="39">
        <f t="shared" si="3"/>
        <v>0</v>
      </c>
      <c r="X64" s="3644"/>
      <c r="Y64" s="2059"/>
      <c r="Z64" s="904"/>
      <c r="AA64" s="6701">
        <f t="shared" si="4"/>
        <v>0</v>
      </c>
      <c r="AB64" s="5189"/>
      <c r="AC64" s="6704">
        <f t="shared" si="5"/>
        <v>0</v>
      </c>
      <c r="AD64" s="3644"/>
      <c r="AE64" s="2059"/>
      <c r="AF64" s="2112"/>
      <c r="AG64" s="39">
        <f t="shared" si="15"/>
        <v>0</v>
      </c>
      <c r="AH64" s="3644"/>
      <c r="AI64" s="2059"/>
      <c r="AJ64" s="2112"/>
      <c r="AK64" s="39">
        <f t="shared" si="19"/>
        <v>0</v>
      </c>
      <c r="AL64" s="3644"/>
      <c r="AM64" s="2059"/>
      <c r="AN64" s="904"/>
      <c r="AO64" s="6701">
        <f t="shared" si="8"/>
        <v>0</v>
      </c>
      <c r="AP64" s="2112"/>
      <c r="AQ64" s="39">
        <f t="shared" si="9"/>
        <v>0</v>
      </c>
      <c r="AR64" s="3644"/>
      <c r="AS64" s="2059"/>
      <c r="AT64" s="2112"/>
      <c r="AU64" s="39">
        <f t="shared" si="10"/>
        <v>0</v>
      </c>
      <c r="AV64" s="3644"/>
      <c r="AW64" s="2059"/>
      <c r="AX64" s="2112"/>
      <c r="AY64" s="39">
        <f t="shared" si="11"/>
        <v>0</v>
      </c>
      <c r="AZ64" s="3644"/>
      <c r="BA64" s="2059"/>
      <c r="BB64" s="904"/>
      <c r="BC64" s="6643">
        <f t="shared" si="12"/>
        <v>0</v>
      </c>
      <c r="BD64" s="905"/>
      <c r="BE64" s="701">
        <f t="shared" si="13"/>
        <v>0</v>
      </c>
      <c r="BF64" s="2112"/>
      <c r="BG64" s="39">
        <f t="shared" si="14"/>
        <v>0</v>
      </c>
      <c r="BH64" s="1222"/>
      <c r="BI64" s="1222"/>
      <c r="BJ64" s="26"/>
      <c r="BK64" s="26"/>
      <c r="BL64" s="26"/>
      <c r="BM64" s="26"/>
      <c r="BN64" s="1222"/>
    </row>
    <row r="65" spans="1:66" ht="15" customHeight="1" thickBot="1" x14ac:dyDescent="0.3">
      <c r="B65" s="6825" t="s">
        <v>2012</v>
      </c>
      <c r="C65" s="3629" t="s">
        <v>1015</v>
      </c>
      <c r="D65" s="3639"/>
      <c r="E65" s="5424"/>
      <c r="F65" s="5425"/>
      <c r="G65" s="5426"/>
      <c r="H65" s="5425"/>
      <c r="I65" s="5426"/>
      <c r="J65" s="5427"/>
      <c r="K65" s="6826">
        <f t="shared" si="0"/>
        <v>0</v>
      </c>
      <c r="L65" s="5425"/>
      <c r="M65" s="5426"/>
      <c r="N65" s="6827"/>
      <c r="O65" s="6828">
        <f t="shared" si="1"/>
        <v>0</v>
      </c>
      <c r="P65" s="5425"/>
      <c r="Q65" s="5426"/>
      <c r="R65" s="6829"/>
      <c r="S65" s="6830">
        <f t="shared" si="2"/>
        <v>0</v>
      </c>
      <c r="T65" s="5425"/>
      <c r="U65" s="5426"/>
      <c r="V65" s="6829"/>
      <c r="W65" s="6830">
        <f t="shared" si="3"/>
        <v>0</v>
      </c>
      <c r="X65" s="5425"/>
      <c r="Y65" s="5426"/>
      <c r="Z65" s="6831"/>
      <c r="AA65" s="6832">
        <f t="shared" si="4"/>
        <v>0</v>
      </c>
      <c r="AB65" s="6833"/>
      <c r="AC65" s="6834">
        <f t="shared" si="5"/>
        <v>0</v>
      </c>
      <c r="AD65" s="5425"/>
      <c r="AE65" s="5426">
        <v>1529.8440000000001</v>
      </c>
      <c r="AF65" s="6829"/>
      <c r="AG65" s="6830">
        <f t="shared" si="15"/>
        <v>1529.8440000000001</v>
      </c>
      <c r="AH65" s="5425"/>
      <c r="AI65" s="5426"/>
      <c r="AJ65" s="6829"/>
      <c r="AK65" s="6830">
        <f t="shared" si="19"/>
        <v>1529.8440000000001</v>
      </c>
      <c r="AL65" s="5425"/>
      <c r="AM65" s="5426"/>
      <c r="AN65" s="6831"/>
      <c r="AO65" s="6832">
        <f t="shared" si="8"/>
        <v>1529.8440000000001</v>
      </c>
      <c r="AP65" s="6829"/>
      <c r="AQ65" s="6830">
        <f t="shared" si="9"/>
        <v>1529.8440000000001</v>
      </c>
      <c r="AR65" s="5425"/>
      <c r="AS65" s="5426"/>
      <c r="AT65" s="6829"/>
      <c r="AU65" s="6830">
        <f t="shared" si="10"/>
        <v>1529.8440000000001</v>
      </c>
      <c r="AV65" s="5425"/>
      <c r="AW65" s="5426"/>
      <c r="AX65" s="6829"/>
      <c r="AY65" s="6830">
        <f t="shared" si="11"/>
        <v>1529.8440000000001</v>
      </c>
      <c r="AZ65" s="5425"/>
      <c r="BA65" s="5426"/>
      <c r="BB65" s="6831"/>
      <c r="BC65" s="6832">
        <f t="shared" si="12"/>
        <v>0</v>
      </c>
      <c r="BD65" s="6835"/>
      <c r="BE65" s="6836">
        <f t="shared" si="13"/>
        <v>1529.8440000000001</v>
      </c>
      <c r="BF65" s="6829"/>
      <c r="BG65" s="6830">
        <f t="shared" si="14"/>
        <v>1529.8440000000001</v>
      </c>
      <c r="BH65" s="1222"/>
      <c r="BI65" s="1222"/>
      <c r="BJ65" s="26"/>
      <c r="BK65" s="26"/>
      <c r="BL65" s="26"/>
      <c r="BM65" s="26"/>
      <c r="BN65" s="1222"/>
    </row>
    <row r="66" spans="1:66" ht="15" customHeight="1" x14ac:dyDescent="0.25">
      <c r="A66" s="2256"/>
      <c r="B66" s="5007" t="s">
        <v>1075</v>
      </c>
      <c r="C66" s="3575" t="s">
        <v>1015</v>
      </c>
      <c r="D66" s="5008">
        <v>34.200000000000003</v>
      </c>
      <c r="E66" s="820" t="s">
        <v>50</v>
      </c>
      <c r="F66" s="4191"/>
      <c r="G66" s="158">
        <v>5094.6359999999995</v>
      </c>
      <c r="H66" s="4191"/>
      <c r="I66" s="158">
        <v>3931.677999999999</v>
      </c>
      <c r="J66" s="3464"/>
      <c r="K66" s="373">
        <f t="shared" si="0"/>
        <v>9026.3139999999985</v>
      </c>
      <c r="L66" s="4191"/>
      <c r="M66" s="158">
        <v>4519.7040000000006</v>
      </c>
      <c r="N66" s="4192"/>
      <c r="O66" s="618">
        <f t="shared" si="1"/>
        <v>13546.018</v>
      </c>
      <c r="P66" s="4191"/>
      <c r="Q66" s="158">
        <v>3652.11</v>
      </c>
      <c r="R66" s="3464"/>
      <c r="S66" s="373">
        <f t="shared" si="2"/>
        <v>17198.128000000001</v>
      </c>
      <c r="T66" s="4191"/>
      <c r="U66" s="158">
        <v>1586.5210000000002</v>
      </c>
      <c r="V66" s="3464"/>
      <c r="W66" s="373">
        <f t="shared" si="3"/>
        <v>18784.649000000001</v>
      </c>
      <c r="X66" s="4191"/>
      <c r="Y66" s="158">
        <v>5207.601999999999</v>
      </c>
      <c r="Z66" s="4192"/>
      <c r="AA66" s="618">
        <f t="shared" si="4"/>
        <v>10446.233</v>
      </c>
      <c r="AB66" s="6851"/>
      <c r="AC66" s="1052">
        <f t="shared" si="5"/>
        <v>23992.251</v>
      </c>
      <c r="AD66" s="4191"/>
      <c r="AE66" s="158">
        <v>2622.0320000000002</v>
      </c>
      <c r="AF66" s="3464"/>
      <c r="AG66" s="373">
        <f t="shared" si="15"/>
        <v>26614.282999999999</v>
      </c>
      <c r="AH66" s="4191"/>
      <c r="AI66" s="158">
        <v>6555.0509999999995</v>
      </c>
      <c r="AJ66" s="3464"/>
      <c r="AK66" s="373">
        <f t="shared" si="19"/>
        <v>33169.334000000003</v>
      </c>
      <c r="AL66" s="4191"/>
      <c r="AM66" s="158"/>
      <c r="AN66" s="4192"/>
      <c r="AO66" s="618">
        <f t="shared" si="8"/>
        <v>9177.0829999999987</v>
      </c>
      <c r="AP66" s="3464"/>
      <c r="AQ66" s="373">
        <f t="shared" si="9"/>
        <v>33169.334000000003</v>
      </c>
      <c r="AR66" s="4191"/>
      <c r="AS66" s="158">
        <v>4221.7860000000001</v>
      </c>
      <c r="AT66" s="3464"/>
      <c r="AU66" s="373">
        <f t="shared" si="10"/>
        <v>37391.120000000003</v>
      </c>
      <c r="AV66" s="4191"/>
      <c r="AW66" s="158">
        <v>3393.0929999999998</v>
      </c>
      <c r="AX66" s="3464"/>
      <c r="AY66" s="373">
        <f t="shared" si="11"/>
        <v>40784.213000000003</v>
      </c>
      <c r="AZ66" s="4191"/>
      <c r="BA66" s="158"/>
      <c r="BB66" s="4192"/>
      <c r="BC66" s="618">
        <f t="shared" si="12"/>
        <v>7614.8789999999999</v>
      </c>
      <c r="BD66" s="6852"/>
      <c r="BE66" s="6853">
        <f t="shared" si="13"/>
        <v>16791.962</v>
      </c>
      <c r="BF66" s="3464"/>
      <c r="BG66" s="43">
        <f t="shared" si="14"/>
        <v>40784.213000000003</v>
      </c>
      <c r="BH66" s="1222"/>
      <c r="BI66" s="1222"/>
      <c r="BJ66" s="26"/>
      <c r="BK66" s="26"/>
      <c r="BL66" s="26"/>
      <c r="BM66" s="26"/>
      <c r="BN66" s="1222"/>
    </row>
    <row r="67" spans="1:66" ht="15" customHeight="1" x14ac:dyDescent="0.25">
      <c r="B67" s="6854" t="s">
        <v>1075</v>
      </c>
      <c r="C67" s="6842" t="s">
        <v>1632</v>
      </c>
      <c r="D67" s="6843">
        <v>34.200000000000003</v>
      </c>
      <c r="E67" s="6531" t="s">
        <v>50</v>
      </c>
      <c r="F67" s="6844"/>
      <c r="G67" s="6679"/>
      <c r="H67" s="6844"/>
      <c r="I67" s="6679">
        <v>332.20299999999997</v>
      </c>
      <c r="J67" s="6845"/>
      <c r="K67" s="6672">
        <f t="shared" si="0"/>
        <v>332.20299999999997</v>
      </c>
      <c r="L67" s="6844"/>
      <c r="M67" s="6679"/>
      <c r="N67" s="6846"/>
      <c r="O67" s="6680">
        <f t="shared" si="1"/>
        <v>332.20299999999997</v>
      </c>
      <c r="P67" s="6844"/>
      <c r="Q67" s="6679">
        <v>268.32400000000001</v>
      </c>
      <c r="R67" s="6845"/>
      <c r="S67" s="6672">
        <f t="shared" si="2"/>
        <v>600.52700000000004</v>
      </c>
      <c r="T67" s="6844"/>
      <c r="U67" s="6679">
        <v>1062.982</v>
      </c>
      <c r="V67" s="6845"/>
      <c r="W67" s="6672">
        <f t="shared" si="3"/>
        <v>1663.509</v>
      </c>
      <c r="X67" s="6844"/>
      <c r="Y67" s="6679">
        <v>404.58</v>
      </c>
      <c r="Z67" s="6846"/>
      <c r="AA67" s="6680">
        <f t="shared" si="4"/>
        <v>1735.886</v>
      </c>
      <c r="AB67" s="6847"/>
      <c r="AC67" s="6848">
        <f t="shared" si="5"/>
        <v>2068.0889999999999</v>
      </c>
      <c r="AD67" s="6844"/>
      <c r="AE67" s="6679"/>
      <c r="AF67" s="6845"/>
      <c r="AG67" s="6672">
        <f t="shared" si="15"/>
        <v>2068.0889999999999</v>
      </c>
      <c r="AH67" s="6844"/>
      <c r="AI67" s="6679"/>
      <c r="AJ67" s="6845"/>
      <c r="AK67" s="6672">
        <f t="shared" si="19"/>
        <v>2068.0889999999999</v>
      </c>
      <c r="AL67" s="6844"/>
      <c r="AM67" s="6679"/>
      <c r="AN67" s="6846"/>
      <c r="AO67" s="6680">
        <f t="shared" si="8"/>
        <v>0</v>
      </c>
      <c r="AP67" s="6845"/>
      <c r="AQ67" s="6672">
        <f t="shared" si="9"/>
        <v>2068.0889999999999</v>
      </c>
      <c r="AR67" s="6844"/>
      <c r="AS67" s="6679">
        <v>558.58299999999997</v>
      </c>
      <c r="AT67" s="6845"/>
      <c r="AU67" s="6672">
        <f t="shared" si="10"/>
        <v>2626.672</v>
      </c>
      <c r="AV67" s="6844"/>
      <c r="AW67" s="6679"/>
      <c r="AX67" s="6845"/>
      <c r="AY67" s="6672">
        <f t="shared" si="11"/>
        <v>2626.672</v>
      </c>
      <c r="AZ67" s="6844"/>
      <c r="BA67" s="6679"/>
      <c r="BB67" s="6846"/>
      <c r="BC67" s="6680">
        <f t="shared" si="12"/>
        <v>558.58299999999997</v>
      </c>
      <c r="BD67" s="6849"/>
      <c r="BE67" s="6850">
        <f t="shared" si="13"/>
        <v>558.58299999999997</v>
      </c>
      <c r="BF67" s="6845"/>
      <c r="BG67" s="6535">
        <f t="shared" si="14"/>
        <v>2626.672</v>
      </c>
      <c r="BH67" s="1222"/>
      <c r="BI67" s="1222"/>
      <c r="BJ67" s="26"/>
      <c r="BK67" s="26"/>
      <c r="BL67" s="26"/>
      <c r="BM67" s="26"/>
      <c r="BN67" s="1222"/>
    </row>
    <row r="68" spans="1:66" s="4712" customFormat="1" ht="15" customHeight="1" thickBot="1" x14ac:dyDescent="0.3">
      <c r="B68" s="6855" t="s">
        <v>1075</v>
      </c>
      <c r="C68" s="6856" t="s">
        <v>948</v>
      </c>
      <c r="D68" s="6857">
        <v>34.200000000000003</v>
      </c>
      <c r="E68" s="6546" t="s">
        <v>50</v>
      </c>
      <c r="F68" s="6858"/>
      <c r="G68" s="6688"/>
      <c r="H68" s="6858"/>
      <c r="I68" s="6688">
        <v>244.49299999999999</v>
      </c>
      <c r="J68" s="6859"/>
      <c r="K68" s="6689">
        <f t="shared" si="0"/>
        <v>244.49299999999999</v>
      </c>
      <c r="L68" s="6858"/>
      <c r="M68" s="6688"/>
      <c r="N68" s="6860"/>
      <c r="O68" s="6691">
        <f t="shared" si="1"/>
        <v>244.49299999999999</v>
      </c>
      <c r="P68" s="6858"/>
      <c r="Q68" s="6688">
        <v>112.08499999999999</v>
      </c>
      <c r="R68" s="6859"/>
      <c r="S68" s="6689">
        <f t="shared" si="2"/>
        <v>356.57799999999997</v>
      </c>
      <c r="T68" s="6858"/>
      <c r="U68" s="6688"/>
      <c r="V68" s="6859"/>
      <c r="W68" s="6689">
        <f t="shared" si="3"/>
        <v>356.57799999999997</v>
      </c>
      <c r="X68" s="6858"/>
      <c r="Y68" s="6688"/>
      <c r="Z68" s="6860"/>
      <c r="AA68" s="6691">
        <f t="shared" si="4"/>
        <v>112.08499999999999</v>
      </c>
      <c r="AB68" s="6861"/>
      <c r="AC68" s="6862">
        <f t="shared" si="5"/>
        <v>356.57799999999997</v>
      </c>
      <c r="AD68" s="6858"/>
      <c r="AE68" s="6688"/>
      <c r="AF68" s="6859"/>
      <c r="AG68" s="6689">
        <f t="shared" si="15"/>
        <v>356.57799999999997</v>
      </c>
      <c r="AH68" s="6858"/>
      <c r="AI68" s="6688"/>
      <c r="AJ68" s="6859"/>
      <c r="AK68" s="6689">
        <f t="shared" si="19"/>
        <v>356.57799999999997</v>
      </c>
      <c r="AL68" s="6858"/>
      <c r="AM68" s="6688"/>
      <c r="AN68" s="6860"/>
      <c r="AO68" s="6691">
        <f t="shared" si="8"/>
        <v>0</v>
      </c>
      <c r="AP68" s="6859"/>
      <c r="AQ68" s="6689">
        <f t="shared" si="9"/>
        <v>356.57799999999997</v>
      </c>
      <c r="AR68" s="6858"/>
      <c r="AS68" s="6688"/>
      <c r="AT68" s="6859"/>
      <c r="AU68" s="6689">
        <f t="shared" si="10"/>
        <v>356.57799999999997</v>
      </c>
      <c r="AV68" s="6858"/>
      <c r="AW68" s="6688">
        <v>241.15000000000003</v>
      </c>
      <c r="AX68" s="6859"/>
      <c r="AY68" s="6689">
        <f t="shared" si="11"/>
        <v>597.72800000000007</v>
      </c>
      <c r="AZ68" s="6858"/>
      <c r="BA68" s="6688"/>
      <c r="BB68" s="6860"/>
      <c r="BC68" s="6691">
        <f t="shared" si="12"/>
        <v>241.15000000000003</v>
      </c>
      <c r="BD68" s="6863"/>
      <c r="BE68" s="6864">
        <f t="shared" si="13"/>
        <v>241.15000000000003</v>
      </c>
      <c r="BF68" s="6859"/>
      <c r="BG68" s="6690">
        <f t="shared" si="14"/>
        <v>597.72800000000007</v>
      </c>
      <c r="BH68" s="1222"/>
      <c r="BI68" s="1222"/>
      <c r="BJ68" s="26"/>
      <c r="BK68" s="26"/>
      <c r="BL68" s="26"/>
      <c r="BM68" s="26"/>
      <c r="BN68" s="1222"/>
    </row>
    <row r="69" spans="1:66" ht="15" customHeight="1" x14ac:dyDescent="0.25">
      <c r="B69" s="6837" t="s">
        <v>941</v>
      </c>
      <c r="C69" s="3573" t="s">
        <v>948</v>
      </c>
      <c r="D69" s="6838">
        <v>36.299999999999997</v>
      </c>
      <c r="E69" s="4829" t="s">
        <v>50</v>
      </c>
      <c r="F69" s="4196"/>
      <c r="G69" s="6814"/>
      <c r="H69" s="4196"/>
      <c r="I69" s="7207"/>
      <c r="J69" s="4197"/>
      <c r="K69" s="6813">
        <f t="shared" si="0"/>
        <v>0</v>
      </c>
      <c r="L69" s="4196"/>
      <c r="M69" s="6814"/>
      <c r="N69" s="4198"/>
      <c r="O69" s="84">
        <f t="shared" si="1"/>
        <v>0</v>
      </c>
      <c r="P69" s="4196"/>
      <c r="Q69" s="6814"/>
      <c r="R69" s="4197"/>
      <c r="S69" s="62">
        <f t="shared" si="2"/>
        <v>0</v>
      </c>
      <c r="T69" s="4196"/>
      <c r="U69" s="6814">
        <v>40.499000000000002</v>
      </c>
      <c r="V69" s="4197"/>
      <c r="W69" s="62">
        <f t="shared" si="3"/>
        <v>40.499000000000002</v>
      </c>
      <c r="X69" s="4196"/>
      <c r="Y69" s="6814"/>
      <c r="Z69" s="4198"/>
      <c r="AA69" s="2407">
        <f t="shared" si="4"/>
        <v>40.499000000000002</v>
      </c>
      <c r="AB69" s="6839"/>
      <c r="AC69" s="6812">
        <f t="shared" si="5"/>
        <v>40.499000000000002</v>
      </c>
      <c r="AD69" s="4196"/>
      <c r="AE69" s="6814">
        <v>198.97399999999999</v>
      </c>
      <c r="AF69" s="5006"/>
      <c r="AG69" s="62">
        <f t="shared" si="15"/>
        <v>239.47299999999998</v>
      </c>
      <c r="AH69" s="4196"/>
      <c r="AI69" s="6814"/>
      <c r="AJ69" s="5006"/>
      <c r="AK69" s="62">
        <f t="shared" si="19"/>
        <v>239.47299999999998</v>
      </c>
      <c r="AL69" s="4196"/>
      <c r="AM69" s="6814"/>
      <c r="AN69" s="4198"/>
      <c r="AO69" s="2407">
        <f t="shared" si="8"/>
        <v>198.97399999999999</v>
      </c>
      <c r="AP69" s="5006"/>
      <c r="AQ69" s="62">
        <f t="shared" si="9"/>
        <v>239.47299999999998</v>
      </c>
      <c r="AR69" s="4196"/>
      <c r="AS69" s="6814"/>
      <c r="AT69" s="5006"/>
      <c r="AU69" s="62">
        <f t="shared" si="10"/>
        <v>239.47299999999998</v>
      </c>
      <c r="AV69" s="4196"/>
      <c r="AW69" s="6814"/>
      <c r="AX69" s="5006"/>
      <c r="AY69" s="62">
        <f t="shared" si="11"/>
        <v>239.47299999999998</v>
      </c>
      <c r="AZ69" s="4196"/>
      <c r="BA69" s="6814"/>
      <c r="BB69" s="4198"/>
      <c r="BC69" s="2407">
        <f t="shared" si="12"/>
        <v>0</v>
      </c>
      <c r="BD69" s="6840"/>
      <c r="BE69" s="6841">
        <f t="shared" si="13"/>
        <v>198.97399999999999</v>
      </c>
      <c r="BF69" s="5006"/>
      <c r="BG69" s="62">
        <f t="shared" si="14"/>
        <v>239.47299999999998</v>
      </c>
      <c r="BH69" s="1222"/>
      <c r="BI69" s="1222"/>
      <c r="BJ69" s="26"/>
      <c r="BK69" s="26"/>
      <c r="BL69" s="26"/>
      <c r="BM69" s="26"/>
      <c r="BN69" s="1222"/>
    </row>
    <row r="70" spans="1:66" s="3427" customFormat="1" ht="15" customHeight="1" thickBot="1" x14ac:dyDescent="0.3">
      <c r="B70" s="5009" t="s">
        <v>941</v>
      </c>
      <c r="C70" s="3580" t="s">
        <v>1015</v>
      </c>
      <c r="D70" s="5010">
        <v>36.299999999999997</v>
      </c>
      <c r="E70" s="894" t="s">
        <v>50</v>
      </c>
      <c r="F70" s="4188"/>
      <c r="G70" s="109"/>
      <c r="H70" s="4188"/>
      <c r="I70" s="109"/>
      <c r="J70" s="3467"/>
      <c r="K70" s="6672">
        <f t="shared" si="0"/>
        <v>0</v>
      </c>
      <c r="L70" s="4188"/>
      <c r="M70" s="109"/>
      <c r="N70" s="4189"/>
      <c r="O70" s="69">
        <f t="shared" si="1"/>
        <v>0</v>
      </c>
      <c r="P70" s="4188"/>
      <c r="Q70" s="109">
        <v>2116.1190000000001</v>
      </c>
      <c r="R70" s="3467"/>
      <c r="S70" s="39">
        <f t="shared" si="2"/>
        <v>2116.1190000000001</v>
      </c>
      <c r="T70" s="4188"/>
      <c r="U70" s="109">
        <v>4812.0040000000026</v>
      </c>
      <c r="V70" s="3467"/>
      <c r="W70" s="39">
        <f t="shared" si="3"/>
        <v>6928.1230000000032</v>
      </c>
      <c r="X70" s="4188"/>
      <c r="Y70" s="109">
        <v>4481.7110000000002</v>
      </c>
      <c r="Z70" s="904"/>
      <c r="AA70" s="6701">
        <f t="shared" si="4"/>
        <v>11409.834000000003</v>
      </c>
      <c r="AB70" s="5189"/>
      <c r="AC70" s="6704">
        <f t="shared" si="5"/>
        <v>11409.834000000003</v>
      </c>
      <c r="AD70" s="4188"/>
      <c r="AE70" s="109">
        <v>845.67</v>
      </c>
      <c r="AF70" s="2112"/>
      <c r="AG70" s="39">
        <f t="shared" si="15"/>
        <v>12255.504000000003</v>
      </c>
      <c r="AH70" s="4188"/>
      <c r="AI70" s="109"/>
      <c r="AJ70" s="2112"/>
      <c r="AK70" s="39">
        <f t="shared" si="19"/>
        <v>12255.504000000003</v>
      </c>
      <c r="AL70" s="4188"/>
      <c r="AM70" s="109">
        <v>2455.7039999999997</v>
      </c>
      <c r="AN70" s="904"/>
      <c r="AO70" s="6701">
        <f t="shared" si="8"/>
        <v>3301.3739999999998</v>
      </c>
      <c r="AP70" s="2112"/>
      <c r="AQ70" s="39">
        <f t="shared" si="9"/>
        <v>14711.208000000002</v>
      </c>
      <c r="AR70" s="4188"/>
      <c r="AS70" s="109">
        <v>2293.7179999999998</v>
      </c>
      <c r="AT70" s="2112"/>
      <c r="AU70" s="39">
        <f t="shared" si="10"/>
        <v>17004.926000000003</v>
      </c>
      <c r="AV70" s="4188"/>
      <c r="AW70" s="109"/>
      <c r="AX70" s="2112"/>
      <c r="AY70" s="39">
        <f t="shared" si="11"/>
        <v>17004.926000000003</v>
      </c>
      <c r="AZ70" s="4188"/>
      <c r="BA70" s="109"/>
      <c r="BB70" s="904"/>
      <c r="BC70" s="6643">
        <f t="shared" si="12"/>
        <v>2293.7179999999998</v>
      </c>
      <c r="BD70" s="905"/>
      <c r="BE70" s="701">
        <f t="shared" si="13"/>
        <v>5595.0919999999996</v>
      </c>
      <c r="BF70" s="2112"/>
      <c r="BG70" s="39">
        <f t="shared" si="14"/>
        <v>17004.926000000003</v>
      </c>
      <c r="BH70" s="1222"/>
      <c r="BI70" s="1222"/>
      <c r="BJ70" s="26"/>
      <c r="BK70" s="26"/>
      <c r="BL70" s="26"/>
      <c r="BM70" s="26"/>
      <c r="BN70" s="1222"/>
    </row>
    <row r="71" spans="1:66" s="3056" customFormat="1" ht="15" customHeight="1" thickBot="1" x14ac:dyDescent="0.3">
      <c r="B71" s="4826" t="s">
        <v>1387</v>
      </c>
      <c r="C71" s="4827" t="s">
        <v>1364</v>
      </c>
      <c r="D71" s="4828">
        <v>50.01</v>
      </c>
      <c r="E71" s="4829" t="s">
        <v>50</v>
      </c>
      <c r="F71" s="4830"/>
      <c r="G71" s="4645"/>
      <c r="H71" s="4830"/>
      <c r="I71" s="4645">
        <v>154.215</v>
      </c>
      <c r="J71" s="4831"/>
      <c r="K71" s="6672">
        <f t="shared" ref="K71:K87" si="20">+G71+I71</f>
        <v>154.215</v>
      </c>
      <c r="L71" s="4830"/>
      <c r="M71" s="4645">
        <v>220.26299999999998</v>
      </c>
      <c r="N71" s="5005"/>
      <c r="O71" s="69">
        <f t="shared" ref="O71:O87" si="21">+G71+I71+M71</f>
        <v>374.47799999999995</v>
      </c>
      <c r="P71" s="4830"/>
      <c r="Q71" s="4645"/>
      <c r="R71" s="5006"/>
      <c r="S71" s="39">
        <f t="shared" ref="S71:S87" si="22">+O71+Q71</f>
        <v>374.47799999999995</v>
      </c>
      <c r="T71" s="4830"/>
      <c r="U71" s="4645"/>
      <c r="V71" s="5006"/>
      <c r="W71" s="39">
        <f t="shared" ref="W71:W87" si="23">+S71+U71</f>
        <v>374.47799999999995</v>
      </c>
      <c r="X71" s="4830"/>
      <c r="Y71" s="4645"/>
      <c r="Z71" s="3420"/>
      <c r="AA71" s="6701">
        <f t="shared" ref="AA71:AA87" si="24">+Q71+U71+Y71</f>
        <v>0</v>
      </c>
      <c r="AB71" s="5190"/>
      <c r="AC71" s="6704">
        <f t="shared" ref="AC71:AC87" si="25">+AA71+O71</f>
        <v>374.47799999999995</v>
      </c>
      <c r="AD71" s="4830"/>
      <c r="AE71" s="4645"/>
      <c r="AF71" s="2112"/>
      <c r="AG71" s="39">
        <f t="shared" si="15"/>
        <v>374.47799999999995</v>
      </c>
      <c r="AH71" s="4830"/>
      <c r="AI71" s="4645"/>
      <c r="AJ71" s="2112"/>
      <c r="AK71" s="39">
        <f t="shared" si="19"/>
        <v>374.47799999999995</v>
      </c>
      <c r="AL71" s="4830"/>
      <c r="AM71" s="4645"/>
      <c r="AN71" s="3420"/>
      <c r="AO71" s="6701">
        <f t="shared" ref="AO71:AO87" si="26">+AE71+AI71+AM71</f>
        <v>0</v>
      </c>
      <c r="AP71" s="2112"/>
      <c r="AQ71" s="39">
        <f t="shared" si="9"/>
        <v>374.47799999999995</v>
      </c>
      <c r="AR71" s="4830"/>
      <c r="AS71" s="4645"/>
      <c r="AT71" s="2112"/>
      <c r="AU71" s="39">
        <f t="shared" si="10"/>
        <v>374.47799999999995</v>
      </c>
      <c r="AV71" s="4830"/>
      <c r="AW71" s="4645">
        <v>100.143</v>
      </c>
      <c r="AX71" s="2112"/>
      <c r="AY71" s="39">
        <f t="shared" si="11"/>
        <v>474.62099999999998</v>
      </c>
      <c r="AZ71" s="4830"/>
      <c r="BA71" s="4645">
        <v>203.56399999999999</v>
      </c>
      <c r="BB71" s="3420"/>
      <c r="BC71" s="6643">
        <f t="shared" ref="BC71:BC87" si="27">+AS71+AW71+BA71</f>
        <v>303.70699999999999</v>
      </c>
      <c r="BD71" s="3421"/>
      <c r="BE71" s="701">
        <f t="shared" ref="BE71:BE87" si="28">+AO71+BC71</f>
        <v>303.70699999999999</v>
      </c>
      <c r="BF71" s="2112"/>
      <c r="BG71" s="39">
        <f t="shared" ref="BG71:BG87" si="29">+AY71+BA71</f>
        <v>678.18499999999995</v>
      </c>
      <c r="BH71" s="1222"/>
      <c r="BI71" s="1222"/>
      <c r="BJ71" s="26"/>
      <c r="BK71" s="26"/>
      <c r="BL71" s="26"/>
      <c r="BM71" s="26"/>
      <c r="BN71" s="1222"/>
    </row>
    <row r="72" spans="1:66" ht="15" customHeight="1" x14ac:dyDescent="0.25">
      <c r="B72" s="3628" t="s">
        <v>1387</v>
      </c>
      <c r="C72" s="3629" t="s">
        <v>948</v>
      </c>
      <c r="D72" s="3630">
        <v>50.01</v>
      </c>
      <c r="E72" s="1332" t="s">
        <v>50</v>
      </c>
      <c r="F72" s="3631"/>
      <c r="G72" s="88"/>
      <c r="H72" s="3631"/>
      <c r="I72" s="88"/>
      <c r="J72" s="3632"/>
      <c r="K72" s="6672">
        <f t="shared" si="20"/>
        <v>0</v>
      </c>
      <c r="L72" s="3631"/>
      <c r="M72" s="88">
        <v>112.714</v>
      </c>
      <c r="N72" s="2104"/>
      <c r="O72" s="69">
        <f t="shared" si="21"/>
        <v>112.714</v>
      </c>
      <c r="P72" s="3631"/>
      <c r="Q72" s="88"/>
      <c r="R72" s="2112"/>
      <c r="S72" s="39">
        <f t="shared" si="22"/>
        <v>112.714</v>
      </c>
      <c r="T72" s="3631"/>
      <c r="U72" s="88"/>
      <c r="V72" s="2112"/>
      <c r="W72" s="39">
        <f t="shared" si="23"/>
        <v>112.714</v>
      </c>
      <c r="X72" s="3631"/>
      <c r="Y72" s="88"/>
      <c r="Z72" s="2863"/>
      <c r="AA72" s="6701">
        <f t="shared" si="24"/>
        <v>0</v>
      </c>
      <c r="AB72" s="5191"/>
      <c r="AC72" s="6704">
        <f t="shared" si="25"/>
        <v>112.714</v>
      </c>
      <c r="AD72" s="3631"/>
      <c r="AE72" s="88"/>
      <c r="AF72" s="2112"/>
      <c r="AG72" s="39">
        <f t="shared" si="15"/>
        <v>112.714</v>
      </c>
      <c r="AH72" s="3631"/>
      <c r="AI72" s="88"/>
      <c r="AJ72" s="2112"/>
      <c r="AK72" s="39">
        <f t="shared" si="19"/>
        <v>112.714</v>
      </c>
      <c r="AL72" s="3631"/>
      <c r="AM72" s="88"/>
      <c r="AN72" s="2863"/>
      <c r="AO72" s="6701">
        <f t="shared" si="26"/>
        <v>0</v>
      </c>
      <c r="AP72" s="2112"/>
      <c r="AQ72" s="39">
        <f t="shared" si="9"/>
        <v>112.714</v>
      </c>
      <c r="AR72" s="3631"/>
      <c r="AS72" s="88"/>
      <c r="AT72" s="2112"/>
      <c r="AU72" s="39">
        <f t="shared" si="10"/>
        <v>112.714</v>
      </c>
      <c r="AV72" s="3631"/>
      <c r="AW72" s="88">
        <v>247.41200000000001</v>
      </c>
      <c r="AX72" s="2112"/>
      <c r="AY72" s="39">
        <f t="shared" si="11"/>
        <v>360.12599999999998</v>
      </c>
      <c r="AZ72" s="3631"/>
      <c r="BA72" s="88">
        <v>141.87699999999998</v>
      </c>
      <c r="BB72" s="2863"/>
      <c r="BC72" s="6643">
        <f t="shared" si="27"/>
        <v>389.28899999999999</v>
      </c>
      <c r="BD72" s="2867"/>
      <c r="BE72" s="701">
        <f t="shared" si="28"/>
        <v>389.28899999999999</v>
      </c>
      <c r="BF72" s="2112"/>
      <c r="BG72" s="39">
        <f t="shared" si="29"/>
        <v>502.00299999999993</v>
      </c>
      <c r="BH72" s="1222"/>
      <c r="BI72" s="1222"/>
      <c r="BJ72" s="26"/>
      <c r="BK72" s="26"/>
      <c r="BL72" s="26"/>
      <c r="BM72" s="26"/>
      <c r="BN72" s="1222"/>
    </row>
    <row r="73" spans="1:66" ht="15" customHeight="1" thickBot="1" x14ac:dyDescent="0.3">
      <c r="A73" s="532"/>
      <c r="B73" s="3633" t="s">
        <v>1387</v>
      </c>
      <c r="C73" s="3634" t="s">
        <v>1015</v>
      </c>
      <c r="D73" s="3635">
        <v>50.01</v>
      </c>
      <c r="E73" s="1415" t="s">
        <v>50</v>
      </c>
      <c r="F73" s="3636"/>
      <c r="G73" s="38"/>
      <c r="H73" s="3636"/>
      <c r="I73" s="38">
        <v>2403.8919999999998</v>
      </c>
      <c r="J73" s="3637"/>
      <c r="K73" s="6672">
        <f t="shared" si="20"/>
        <v>2403.8919999999998</v>
      </c>
      <c r="L73" s="3636"/>
      <c r="M73" s="38">
        <v>2279.4720000000002</v>
      </c>
      <c r="N73" s="2104"/>
      <c r="O73" s="69">
        <f t="shared" si="21"/>
        <v>4683.3639999999996</v>
      </c>
      <c r="P73" s="3636"/>
      <c r="Q73" s="38"/>
      <c r="R73" s="2112"/>
      <c r="S73" s="39">
        <f t="shared" si="22"/>
        <v>4683.3639999999996</v>
      </c>
      <c r="T73" s="3636"/>
      <c r="U73" s="38">
        <v>1864.5509999999999</v>
      </c>
      <c r="V73" s="2112"/>
      <c r="W73" s="39">
        <f t="shared" si="23"/>
        <v>6547.9149999999991</v>
      </c>
      <c r="X73" s="3636"/>
      <c r="Y73" s="38"/>
      <c r="Z73" s="904"/>
      <c r="AA73" s="6701">
        <f t="shared" si="24"/>
        <v>1864.5509999999999</v>
      </c>
      <c r="AB73" s="5189"/>
      <c r="AC73" s="6704">
        <f t="shared" si="25"/>
        <v>6547.9149999999991</v>
      </c>
      <c r="AD73" s="3636"/>
      <c r="AE73" s="38">
        <v>2396.6880000000001</v>
      </c>
      <c r="AF73" s="2112"/>
      <c r="AG73" s="39">
        <f t="shared" si="15"/>
        <v>8944.6029999999992</v>
      </c>
      <c r="AH73" s="3636"/>
      <c r="AI73" s="38"/>
      <c r="AJ73" s="2112"/>
      <c r="AK73" s="39">
        <f t="shared" si="19"/>
        <v>8944.6029999999992</v>
      </c>
      <c r="AL73" s="3636"/>
      <c r="AM73" s="38">
        <v>3057.7200000000007</v>
      </c>
      <c r="AN73" s="904"/>
      <c r="AO73" s="6701">
        <f t="shared" si="26"/>
        <v>5454.4080000000013</v>
      </c>
      <c r="AP73" s="2112"/>
      <c r="AQ73" s="39">
        <f t="shared" ref="AQ73:AQ85" si="30">AK73+AM73</f>
        <v>12002.323</v>
      </c>
      <c r="AR73" s="3636"/>
      <c r="AS73" s="38"/>
      <c r="AT73" s="2112"/>
      <c r="AU73" s="39">
        <f t="shared" ref="AU73:AU85" si="31">+AQ73+AS73</f>
        <v>12002.323</v>
      </c>
      <c r="AV73" s="3636"/>
      <c r="AW73" s="38">
        <v>2607.9720000000002</v>
      </c>
      <c r="AX73" s="2112"/>
      <c r="AY73" s="39">
        <f t="shared" ref="AY73:AY87" si="32">+AU73+AW73</f>
        <v>14610.295</v>
      </c>
      <c r="AZ73" s="3636"/>
      <c r="BA73" s="38">
        <v>5358.9139999999998</v>
      </c>
      <c r="BB73" s="904"/>
      <c r="BC73" s="6643">
        <f t="shared" si="27"/>
        <v>7966.8860000000004</v>
      </c>
      <c r="BD73" s="905"/>
      <c r="BE73" s="701">
        <f t="shared" si="28"/>
        <v>13421.294000000002</v>
      </c>
      <c r="BF73" s="2112"/>
      <c r="BG73" s="39">
        <f t="shared" si="29"/>
        <v>19969.208999999999</v>
      </c>
      <c r="BH73" s="1222"/>
      <c r="BI73" s="1222"/>
      <c r="BJ73" s="26"/>
      <c r="BK73" s="26"/>
      <c r="BL73" s="26"/>
      <c r="BM73" s="26"/>
      <c r="BN73" s="1222"/>
    </row>
    <row r="74" spans="1:66" s="4712" customFormat="1" ht="15" customHeight="1" thickBot="1" x14ac:dyDescent="0.3">
      <c r="A74" s="532"/>
      <c r="B74" s="3651" t="s">
        <v>912</v>
      </c>
      <c r="C74" s="3652"/>
      <c r="D74" s="3653"/>
      <c r="E74" s="3654" t="s">
        <v>50</v>
      </c>
      <c r="F74" s="3655"/>
      <c r="G74" s="88">
        <v>4.0599999999999996</v>
      </c>
      <c r="H74" s="3655"/>
      <c r="I74" s="88">
        <v>31.97</v>
      </c>
      <c r="J74" s="3656"/>
      <c r="K74" s="6672">
        <f t="shared" si="20"/>
        <v>36.03</v>
      </c>
      <c r="L74" s="3655"/>
      <c r="M74" s="88"/>
      <c r="N74" s="2105"/>
      <c r="O74" s="69">
        <f t="shared" si="21"/>
        <v>36.03</v>
      </c>
      <c r="P74" s="3655"/>
      <c r="Q74" s="88">
        <v>30.4</v>
      </c>
      <c r="R74" s="2113"/>
      <c r="S74" s="39">
        <f t="shared" si="22"/>
        <v>66.430000000000007</v>
      </c>
      <c r="T74" s="3655"/>
      <c r="U74" s="88"/>
      <c r="V74" s="2113"/>
      <c r="W74" s="39">
        <f t="shared" si="23"/>
        <v>66.430000000000007</v>
      </c>
      <c r="X74" s="3655"/>
      <c r="Y74" s="88">
        <v>8.7899999999999991</v>
      </c>
      <c r="Z74" s="906"/>
      <c r="AA74" s="6701">
        <f t="shared" si="24"/>
        <v>39.19</v>
      </c>
      <c r="AB74" s="5192"/>
      <c r="AC74" s="6704">
        <f t="shared" si="25"/>
        <v>75.22</v>
      </c>
      <c r="AD74" s="3655"/>
      <c r="AE74" s="88">
        <v>0.51</v>
      </c>
      <c r="AF74" s="2113"/>
      <c r="AG74" s="39">
        <f t="shared" si="15"/>
        <v>75.73</v>
      </c>
      <c r="AH74" s="3655"/>
      <c r="AI74" s="88"/>
      <c r="AJ74" s="2113"/>
      <c r="AK74" s="39">
        <f t="shared" si="19"/>
        <v>75.73</v>
      </c>
      <c r="AL74" s="3655"/>
      <c r="AM74" s="88">
        <v>6.1</v>
      </c>
      <c r="AN74" s="906"/>
      <c r="AO74" s="6701">
        <f t="shared" si="26"/>
        <v>6.6099999999999994</v>
      </c>
      <c r="AP74" s="2113"/>
      <c r="AQ74" s="39">
        <f t="shared" si="30"/>
        <v>81.83</v>
      </c>
      <c r="AR74" s="3655"/>
      <c r="AS74" s="88"/>
      <c r="AT74" s="2113"/>
      <c r="AU74" s="39">
        <f t="shared" si="31"/>
        <v>81.83</v>
      </c>
      <c r="AV74" s="3655"/>
      <c r="AW74" s="88">
        <v>1.02</v>
      </c>
      <c r="AX74" s="2113"/>
      <c r="AY74" s="39">
        <f t="shared" si="32"/>
        <v>82.85</v>
      </c>
      <c r="AZ74" s="3655"/>
      <c r="BA74" s="88">
        <v>2.04</v>
      </c>
      <c r="BB74" s="906"/>
      <c r="BC74" s="6643">
        <f t="shared" si="27"/>
        <v>3.06</v>
      </c>
      <c r="BD74" s="907"/>
      <c r="BE74" s="701">
        <f t="shared" si="28"/>
        <v>9.67</v>
      </c>
      <c r="BF74" s="2113"/>
      <c r="BG74" s="39">
        <f t="shared" si="29"/>
        <v>84.89</v>
      </c>
      <c r="BH74" s="1222"/>
      <c r="BI74" s="1222"/>
      <c r="BJ74" s="26"/>
      <c r="BK74" s="26"/>
      <c r="BL74" s="26"/>
      <c r="BM74" s="26"/>
      <c r="BN74" s="1222"/>
    </row>
    <row r="75" spans="1:66" ht="15" customHeight="1" x14ac:dyDescent="0.25">
      <c r="A75" s="532"/>
      <c r="B75" s="3651" t="s">
        <v>1945</v>
      </c>
      <c r="C75" s="4832"/>
      <c r="D75" s="4833"/>
      <c r="E75" s="3654" t="s">
        <v>50</v>
      </c>
      <c r="F75" s="4834"/>
      <c r="G75" s="29"/>
      <c r="H75" s="4834"/>
      <c r="I75" s="29">
        <v>1.7999999999999998</v>
      </c>
      <c r="J75" s="4835"/>
      <c r="K75" s="6672">
        <f t="shared" si="20"/>
        <v>1.7999999999999998</v>
      </c>
      <c r="L75" s="4834"/>
      <c r="M75" s="29"/>
      <c r="N75" s="2105"/>
      <c r="O75" s="69">
        <f t="shared" si="21"/>
        <v>1.7999999999999998</v>
      </c>
      <c r="P75" s="4834"/>
      <c r="Q75" s="29">
        <v>62.67</v>
      </c>
      <c r="R75" s="2113"/>
      <c r="S75" s="39">
        <f t="shared" si="22"/>
        <v>64.47</v>
      </c>
      <c r="T75" s="4834"/>
      <c r="U75" s="29">
        <v>40.33</v>
      </c>
      <c r="V75" s="2113"/>
      <c r="W75" s="39">
        <f t="shared" si="23"/>
        <v>104.8</v>
      </c>
      <c r="X75" s="4834"/>
      <c r="Y75" s="29"/>
      <c r="Z75" s="4836"/>
      <c r="AA75" s="6701">
        <f t="shared" si="24"/>
        <v>103</v>
      </c>
      <c r="AB75" s="5193"/>
      <c r="AC75" s="6704">
        <f t="shared" si="25"/>
        <v>104.8</v>
      </c>
      <c r="AD75" s="4834"/>
      <c r="AE75" s="29">
        <v>30.42</v>
      </c>
      <c r="AF75" s="2113"/>
      <c r="AG75" s="39">
        <f t="shared" si="15"/>
        <v>135.22</v>
      </c>
      <c r="AH75" s="4834"/>
      <c r="AI75" s="29"/>
      <c r="AJ75" s="2113"/>
      <c r="AK75" s="39">
        <f t="shared" si="19"/>
        <v>135.22</v>
      </c>
      <c r="AL75" s="4834"/>
      <c r="AM75" s="29"/>
      <c r="AN75" s="4836"/>
      <c r="AO75" s="6701">
        <f t="shared" si="26"/>
        <v>30.42</v>
      </c>
      <c r="AP75" s="2113"/>
      <c r="AQ75" s="39">
        <f t="shared" si="30"/>
        <v>135.22</v>
      </c>
      <c r="AR75" s="4834"/>
      <c r="AS75" s="29">
        <v>0.6</v>
      </c>
      <c r="AT75" s="2113"/>
      <c r="AU75" s="39">
        <f t="shared" si="31"/>
        <v>135.82</v>
      </c>
      <c r="AV75" s="4834"/>
      <c r="AW75" s="29"/>
      <c r="AX75" s="2113"/>
      <c r="AY75" s="39">
        <f t="shared" si="32"/>
        <v>135.82</v>
      </c>
      <c r="AZ75" s="4834"/>
      <c r="BA75" s="29">
        <v>29.64</v>
      </c>
      <c r="BB75" s="4836"/>
      <c r="BC75" s="6643">
        <f t="shared" si="27"/>
        <v>30.240000000000002</v>
      </c>
      <c r="BD75" s="4837"/>
      <c r="BE75" s="701">
        <f t="shared" si="28"/>
        <v>60.660000000000004</v>
      </c>
      <c r="BF75" s="2113"/>
      <c r="BG75" s="39">
        <f t="shared" si="29"/>
        <v>165.45999999999998</v>
      </c>
      <c r="BH75" s="1222"/>
      <c r="BI75" s="1222"/>
      <c r="BJ75" s="26"/>
      <c r="BK75" s="26"/>
      <c r="BL75" s="26"/>
      <c r="BM75" s="26"/>
      <c r="BN75" s="1222"/>
    </row>
    <row r="76" spans="1:66" ht="15" customHeight="1" x14ac:dyDescent="0.25">
      <c r="A76" s="532"/>
      <c r="B76" s="1648" t="s">
        <v>913</v>
      </c>
      <c r="C76" s="1649"/>
      <c r="D76" s="3657"/>
      <c r="E76" s="2126" t="s">
        <v>50</v>
      </c>
      <c r="F76" s="2090"/>
      <c r="G76" s="18">
        <v>91.18</v>
      </c>
      <c r="H76" s="2090"/>
      <c r="I76" s="18">
        <v>124.83</v>
      </c>
      <c r="J76" s="2096"/>
      <c r="K76" s="6672">
        <f t="shared" si="20"/>
        <v>216.01</v>
      </c>
      <c r="L76" s="2090"/>
      <c r="M76" s="18">
        <v>21.02</v>
      </c>
      <c r="N76" s="2105"/>
      <c r="O76" s="69">
        <f t="shared" si="21"/>
        <v>237.03</v>
      </c>
      <c r="P76" s="2090"/>
      <c r="Q76" s="18">
        <v>51.78</v>
      </c>
      <c r="R76" s="2113"/>
      <c r="S76" s="39">
        <f t="shared" si="22"/>
        <v>288.81</v>
      </c>
      <c r="T76" s="2090"/>
      <c r="U76" s="18">
        <v>278.57999999999987</v>
      </c>
      <c r="V76" s="2113"/>
      <c r="W76" s="39">
        <f t="shared" si="23"/>
        <v>567.38999999999987</v>
      </c>
      <c r="X76" s="2090"/>
      <c r="Y76" s="18">
        <v>98.839999999999989</v>
      </c>
      <c r="Z76" s="906"/>
      <c r="AA76" s="6701">
        <f t="shared" si="24"/>
        <v>429.19999999999987</v>
      </c>
      <c r="AB76" s="5192"/>
      <c r="AC76" s="6704">
        <f t="shared" si="25"/>
        <v>666.2299999999999</v>
      </c>
      <c r="AD76" s="2090"/>
      <c r="AE76" s="18">
        <v>34.71</v>
      </c>
      <c r="AF76" s="2113"/>
      <c r="AG76" s="39">
        <f t="shared" si="15"/>
        <v>700.93999999999994</v>
      </c>
      <c r="AH76" s="2090"/>
      <c r="AI76" s="18"/>
      <c r="AJ76" s="2113"/>
      <c r="AK76" s="39">
        <f t="shared" si="19"/>
        <v>700.93999999999994</v>
      </c>
      <c r="AL76" s="2090"/>
      <c r="AM76" s="18">
        <v>157.19</v>
      </c>
      <c r="AN76" s="906"/>
      <c r="AO76" s="6701">
        <f t="shared" si="26"/>
        <v>191.9</v>
      </c>
      <c r="AP76" s="2113"/>
      <c r="AQ76" s="39">
        <f t="shared" si="30"/>
        <v>858.12999999999988</v>
      </c>
      <c r="AR76" s="2090"/>
      <c r="AS76" s="18">
        <v>5.97</v>
      </c>
      <c r="AT76" s="2113"/>
      <c r="AU76" s="39">
        <f t="shared" si="31"/>
        <v>864.09999999999991</v>
      </c>
      <c r="AV76" s="2090"/>
      <c r="AW76" s="18">
        <v>16.98</v>
      </c>
      <c r="AX76" s="2113"/>
      <c r="AY76" s="39">
        <f t="shared" si="32"/>
        <v>881.07999999999993</v>
      </c>
      <c r="AZ76" s="2090"/>
      <c r="BA76" s="18">
        <v>52.79</v>
      </c>
      <c r="BB76" s="906"/>
      <c r="BC76" s="6643">
        <f t="shared" si="27"/>
        <v>75.739999999999995</v>
      </c>
      <c r="BD76" s="907"/>
      <c r="BE76" s="701">
        <f t="shared" si="28"/>
        <v>267.64</v>
      </c>
      <c r="BF76" s="2113"/>
      <c r="BG76" s="39">
        <f t="shared" si="29"/>
        <v>933.86999999999989</v>
      </c>
      <c r="BH76" s="1222"/>
      <c r="BI76" s="1222"/>
      <c r="BJ76" s="26"/>
      <c r="BK76" s="26"/>
      <c r="BL76" s="26"/>
      <c r="BM76" s="26"/>
      <c r="BN76" s="1222"/>
    </row>
    <row r="77" spans="1:66" ht="15" customHeight="1" x14ac:dyDescent="0.25">
      <c r="A77" s="532"/>
      <c r="B77" s="1648" t="s">
        <v>1016</v>
      </c>
      <c r="C77" s="1649"/>
      <c r="D77" s="3657"/>
      <c r="E77" s="2126" t="s">
        <v>50</v>
      </c>
      <c r="F77" s="2090"/>
      <c r="G77" s="18">
        <v>94.66</v>
      </c>
      <c r="H77" s="2090"/>
      <c r="I77" s="18">
        <v>10.050000000000001</v>
      </c>
      <c r="J77" s="2096"/>
      <c r="K77" s="6672">
        <f t="shared" si="20"/>
        <v>104.71</v>
      </c>
      <c r="L77" s="2090"/>
      <c r="M77" s="18"/>
      <c r="N77" s="2105"/>
      <c r="O77" s="69">
        <f t="shared" si="21"/>
        <v>104.71</v>
      </c>
      <c r="P77" s="2090"/>
      <c r="Q77" s="18">
        <v>65.23</v>
      </c>
      <c r="R77" s="2113"/>
      <c r="S77" s="39">
        <f t="shared" si="22"/>
        <v>169.94</v>
      </c>
      <c r="T77" s="2090"/>
      <c r="U77" s="18">
        <v>530.95999999999992</v>
      </c>
      <c r="V77" s="2113"/>
      <c r="W77" s="39">
        <f t="shared" si="23"/>
        <v>700.89999999999986</v>
      </c>
      <c r="X77" s="2090"/>
      <c r="Y77" s="18">
        <v>11.280000000000001</v>
      </c>
      <c r="Z77" s="906"/>
      <c r="AA77" s="6701">
        <f t="shared" si="24"/>
        <v>607.46999999999991</v>
      </c>
      <c r="AB77" s="5192"/>
      <c r="AC77" s="6704">
        <f t="shared" si="25"/>
        <v>712.18</v>
      </c>
      <c r="AD77" s="2090"/>
      <c r="AE77" s="18"/>
      <c r="AF77" s="2113"/>
      <c r="AG77" s="39">
        <f t="shared" si="15"/>
        <v>712.18</v>
      </c>
      <c r="AH77" s="2090"/>
      <c r="AI77" s="18"/>
      <c r="AJ77" s="2113"/>
      <c r="AK77" s="39">
        <f t="shared" si="19"/>
        <v>712.18</v>
      </c>
      <c r="AL77" s="2090"/>
      <c r="AM77" s="18">
        <v>201.95</v>
      </c>
      <c r="AN77" s="906"/>
      <c r="AO77" s="6701">
        <f t="shared" si="26"/>
        <v>201.95</v>
      </c>
      <c r="AP77" s="2113"/>
      <c r="AQ77" s="39">
        <f t="shared" si="30"/>
        <v>914.12999999999988</v>
      </c>
      <c r="AR77" s="2090"/>
      <c r="AS77" s="18">
        <v>10.11</v>
      </c>
      <c r="AT77" s="2113"/>
      <c r="AU77" s="39">
        <f t="shared" si="31"/>
        <v>924.2399999999999</v>
      </c>
      <c r="AV77" s="2090"/>
      <c r="AW77" s="18">
        <v>6.18</v>
      </c>
      <c r="AX77" s="2113"/>
      <c r="AY77" s="39">
        <f t="shared" si="32"/>
        <v>930.41999999999985</v>
      </c>
      <c r="AZ77" s="2090"/>
      <c r="BA77" s="18">
        <v>52.63</v>
      </c>
      <c r="BB77" s="906"/>
      <c r="BC77" s="6643">
        <f t="shared" si="27"/>
        <v>68.92</v>
      </c>
      <c r="BD77" s="907"/>
      <c r="BE77" s="701">
        <f t="shared" si="28"/>
        <v>270.87</v>
      </c>
      <c r="BF77" s="2113"/>
      <c r="BG77" s="39">
        <f t="shared" si="29"/>
        <v>983.04999999999984</v>
      </c>
      <c r="BH77" s="1222"/>
      <c r="BI77" s="1222"/>
      <c r="BJ77" s="26"/>
      <c r="BK77" s="26"/>
      <c r="BL77" s="26"/>
      <c r="BM77" s="26"/>
      <c r="BN77" s="1222"/>
    </row>
    <row r="78" spans="1:66" ht="15" customHeight="1" x14ac:dyDescent="0.25">
      <c r="A78" s="532"/>
      <c r="B78" s="1648" t="s">
        <v>1278</v>
      </c>
      <c r="C78" s="1649"/>
      <c r="D78" s="3657"/>
      <c r="E78" s="2126" t="s">
        <v>50</v>
      </c>
      <c r="F78" s="2090"/>
      <c r="G78" s="18">
        <v>2.04</v>
      </c>
      <c r="H78" s="2090"/>
      <c r="I78" s="18">
        <v>32.380000000000003</v>
      </c>
      <c r="J78" s="2096"/>
      <c r="K78" s="6672">
        <f t="shared" si="20"/>
        <v>34.42</v>
      </c>
      <c r="L78" s="2090"/>
      <c r="M78" s="18"/>
      <c r="N78" s="2105"/>
      <c r="O78" s="69">
        <f t="shared" si="21"/>
        <v>34.42</v>
      </c>
      <c r="P78" s="2090"/>
      <c r="Q78" s="18">
        <v>70.738</v>
      </c>
      <c r="R78" s="2113"/>
      <c r="S78" s="39">
        <f t="shared" si="22"/>
        <v>105.158</v>
      </c>
      <c r="T78" s="2090"/>
      <c r="U78" s="18">
        <v>10.91</v>
      </c>
      <c r="V78" s="2113"/>
      <c r="W78" s="39">
        <f t="shared" si="23"/>
        <v>116.068</v>
      </c>
      <c r="X78" s="2090"/>
      <c r="Y78" s="18">
        <v>3.27</v>
      </c>
      <c r="Z78" s="906"/>
      <c r="AA78" s="6701">
        <f t="shared" si="24"/>
        <v>84.917999999999992</v>
      </c>
      <c r="AB78" s="5192"/>
      <c r="AC78" s="6704">
        <f t="shared" si="25"/>
        <v>119.33799999999999</v>
      </c>
      <c r="AD78" s="2090"/>
      <c r="AE78" s="18">
        <v>8.58</v>
      </c>
      <c r="AF78" s="2113"/>
      <c r="AG78" s="39">
        <f t="shared" si="15"/>
        <v>127.91799999999999</v>
      </c>
      <c r="AH78" s="2090"/>
      <c r="AI78" s="18"/>
      <c r="AJ78" s="2113"/>
      <c r="AK78" s="39">
        <f t="shared" si="19"/>
        <v>127.91799999999999</v>
      </c>
      <c r="AL78" s="2090"/>
      <c r="AM78" s="18">
        <v>5.71</v>
      </c>
      <c r="AN78" s="906"/>
      <c r="AO78" s="6701">
        <f t="shared" si="26"/>
        <v>14.29</v>
      </c>
      <c r="AP78" s="2113"/>
      <c r="AQ78" s="39">
        <f t="shared" si="30"/>
        <v>133.62799999999999</v>
      </c>
      <c r="AR78" s="2090"/>
      <c r="AS78" s="18">
        <v>6.24</v>
      </c>
      <c r="AT78" s="2113"/>
      <c r="AU78" s="39">
        <f t="shared" si="31"/>
        <v>139.86799999999999</v>
      </c>
      <c r="AV78" s="2090"/>
      <c r="AW78" s="18">
        <v>17.63</v>
      </c>
      <c r="AX78" s="2113"/>
      <c r="AY78" s="39">
        <f t="shared" si="32"/>
        <v>157.49799999999999</v>
      </c>
      <c r="AZ78" s="2090"/>
      <c r="BA78" s="18">
        <v>7.75</v>
      </c>
      <c r="BB78" s="906"/>
      <c r="BC78" s="6643">
        <f t="shared" si="27"/>
        <v>31.619999999999997</v>
      </c>
      <c r="BD78" s="907"/>
      <c r="BE78" s="701">
        <f t="shared" si="28"/>
        <v>45.91</v>
      </c>
      <c r="BF78" s="2113"/>
      <c r="BG78" s="39">
        <f t="shared" si="29"/>
        <v>165.24799999999999</v>
      </c>
      <c r="BH78" s="1222"/>
      <c r="BI78" s="1222"/>
      <c r="BJ78" s="26"/>
      <c r="BK78" s="26"/>
      <c r="BL78" s="26"/>
      <c r="BM78" s="26"/>
      <c r="BN78" s="1222"/>
    </row>
    <row r="79" spans="1:66" s="2687" customFormat="1" ht="15" customHeight="1" x14ac:dyDescent="0.25">
      <c r="A79" s="532"/>
      <c r="B79" s="1648" t="s">
        <v>1308</v>
      </c>
      <c r="C79" s="1649"/>
      <c r="D79" s="3657"/>
      <c r="E79" s="2126" t="s">
        <v>50</v>
      </c>
      <c r="F79" s="2090"/>
      <c r="G79" s="18">
        <v>183.69</v>
      </c>
      <c r="H79" s="2090"/>
      <c r="I79" s="18">
        <v>62.22</v>
      </c>
      <c r="J79" s="2096"/>
      <c r="K79" s="6672">
        <f t="shared" si="20"/>
        <v>245.91</v>
      </c>
      <c r="L79" s="2090"/>
      <c r="M79" s="18">
        <v>5.88</v>
      </c>
      <c r="N79" s="2105"/>
      <c r="O79" s="69">
        <f t="shared" si="21"/>
        <v>251.79</v>
      </c>
      <c r="P79" s="2090"/>
      <c r="Q79" s="18">
        <v>11.059999999999999</v>
      </c>
      <c r="R79" s="2113"/>
      <c r="S79" s="39">
        <f t="shared" si="22"/>
        <v>262.84999999999997</v>
      </c>
      <c r="T79" s="2090"/>
      <c r="U79" s="18"/>
      <c r="V79" s="2113"/>
      <c r="W79" s="39">
        <f t="shared" si="23"/>
        <v>262.84999999999997</v>
      </c>
      <c r="X79" s="2090"/>
      <c r="Y79" s="18">
        <v>13.3</v>
      </c>
      <c r="Z79" s="906"/>
      <c r="AA79" s="6701">
        <f t="shared" si="24"/>
        <v>24.36</v>
      </c>
      <c r="AB79" s="5192"/>
      <c r="AC79" s="6704">
        <f t="shared" si="25"/>
        <v>276.14999999999998</v>
      </c>
      <c r="AD79" s="2090"/>
      <c r="AE79" s="18">
        <v>1.47</v>
      </c>
      <c r="AF79" s="2113"/>
      <c r="AG79" s="39">
        <f t="shared" si="15"/>
        <v>277.62</v>
      </c>
      <c r="AH79" s="2090"/>
      <c r="AI79" s="18"/>
      <c r="AJ79" s="2113"/>
      <c r="AK79" s="39">
        <f t="shared" si="19"/>
        <v>277.62</v>
      </c>
      <c r="AL79" s="2090"/>
      <c r="AM79" s="18">
        <v>1173.1600000000001</v>
      </c>
      <c r="AN79" s="906"/>
      <c r="AO79" s="6701">
        <f t="shared" si="26"/>
        <v>1174.6300000000001</v>
      </c>
      <c r="AP79" s="2113"/>
      <c r="AQ79" s="39">
        <f t="shared" si="30"/>
        <v>1450.7800000000002</v>
      </c>
      <c r="AR79" s="2090"/>
      <c r="AS79" s="18">
        <v>896.82</v>
      </c>
      <c r="AT79" s="2113"/>
      <c r="AU79" s="39">
        <f t="shared" si="31"/>
        <v>2347.6000000000004</v>
      </c>
      <c r="AV79" s="2090"/>
      <c r="AW79" s="18">
        <v>22.12</v>
      </c>
      <c r="AX79" s="2113"/>
      <c r="AY79" s="39">
        <f t="shared" si="32"/>
        <v>2369.7200000000003</v>
      </c>
      <c r="AZ79" s="2090"/>
      <c r="BA79" s="18">
        <v>70.86</v>
      </c>
      <c r="BB79" s="906"/>
      <c r="BC79" s="6643">
        <f t="shared" si="27"/>
        <v>989.80000000000007</v>
      </c>
      <c r="BD79" s="907"/>
      <c r="BE79" s="701">
        <f t="shared" si="28"/>
        <v>2164.4300000000003</v>
      </c>
      <c r="BF79" s="2113"/>
      <c r="BG79" s="39">
        <f t="shared" si="29"/>
        <v>2440.5800000000004</v>
      </c>
      <c r="BH79" s="1222"/>
      <c r="BI79" s="1222"/>
      <c r="BJ79" s="26"/>
      <c r="BK79" s="26"/>
      <c r="BL79" s="26"/>
      <c r="BM79" s="26"/>
      <c r="BN79" s="1222"/>
    </row>
    <row r="80" spans="1:66" ht="15" customHeight="1" x14ac:dyDescent="0.25">
      <c r="A80" s="532"/>
      <c r="B80" s="1648" t="s">
        <v>1672</v>
      </c>
      <c r="C80" s="1649"/>
      <c r="D80" s="3657"/>
      <c r="E80" s="2126" t="s">
        <v>50</v>
      </c>
      <c r="F80" s="2090"/>
      <c r="G80" s="18"/>
      <c r="H80" s="2090"/>
      <c r="I80" s="18"/>
      <c r="J80" s="2096"/>
      <c r="K80" s="6672">
        <f t="shared" si="20"/>
        <v>0</v>
      </c>
      <c r="L80" s="2090"/>
      <c r="M80" s="18"/>
      <c r="N80" s="2105"/>
      <c r="O80" s="69">
        <f t="shared" si="21"/>
        <v>0</v>
      </c>
      <c r="P80" s="2090"/>
      <c r="Q80" s="18"/>
      <c r="R80" s="2113"/>
      <c r="S80" s="39">
        <f t="shared" si="22"/>
        <v>0</v>
      </c>
      <c r="T80" s="2090"/>
      <c r="U80" s="18"/>
      <c r="V80" s="2113"/>
      <c r="W80" s="39">
        <f t="shared" si="23"/>
        <v>0</v>
      </c>
      <c r="X80" s="2090"/>
      <c r="Y80" s="18"/>
      <c r="Z80" s="906"/>
      <c r="AA80" s="6701">
        <f t="shared" si="24"/>
        <v>0</v>
      </c>
      <c r="AB80" s="5192"/>
      <c r="AC80" s="6704">
        <f t="shared" si="25"/>
        <v>0</v>
      </c>
      <c r="AD80" s="2090"/>
      <c r="AE80" s="18"/>
      <c r="AF80" s="2113"/>
      <c r="AG80" s="39">
        <f t="shared" si="15"/>
        <v>0</v>
      </c>
      <c r="AH80" s="2090"/>
      <c r="AI80" s="18"/>
      <c r="AJ80" s="2113"/>
      <c r="AK80" s="39">
        <f t="shared" si="19"/>
        <v>0</v>
      </c>
      <c r="AL80" s="2090"/>
      <c r="AM80" s="18"/>
      <c r="AN80" s="906"/>
      <c r="AO80" s="6701">
        <f t="shared" si="26"/>
        <v>0</v>
      </c>
      <c r="AP80" s="2113"/>
      <c r="AQ80" s="39">
        <f t="shared" si="30"/>
        <v>0</v>
      </c>
      <c r="AR80" s="2090"/>
      <c r="AS80" s="18"/>
      <c r="AT80" s="2113"/>
      <c r="AU80" s="39">
        <f t="shared" si="31"/>
        <v>0</v>
      </c>
      <c r="AV80" s="2090"/>
      <c r="AW80" s="18"/>
      <c r="AX80" s="2113"/>
      <c r="AY80" s="39">
        <f t="shared" si="32"/>
        <v>0</v>
      </c>
      <c r="AZ80" s="2090"/>
      <c r="BA80" s="18"/>
      <c r="BB80" s="906"/>
      <c r="BC80" s="6643">
        <f t="shared" si="27"/>
        <v>0</v>
      </c>
      <c r="BD80" s="907"/>
      <c r="BE80" s="701">
        <f t="shared" si="28"/>
        <v>0</v>
      </c>
      <c r="BF80" s="2113"/>
      <c r="BG80" s="39">
        <f t="shared" si="29"/>
        <v>0</v>
      </c>
      <c r="BH80" s="1222"/>
      <c r="BI80" s="1222"/>
      <c r="BJ80" s="26"/>
      <c r="BK80" s="26"/>
      <c r="BL80" s="26"/>
      <c r="BM80" s="26"/>
      <c r="BN80" s="1222"/>
    </row>
    <row r="81" spans="1:68" ht="15" customHeight="1" x14ac:dyDescent="0.25">
      <c r="A81" s="532"/>
      <c r="B81" s="1648" t="s">
        <v>1478</v>
      </c>
      <c r="C81" s="1649"/>
      <c r="D81" s="3657"/>
      <c r="E81" s="2126" t="s">
        <v>50</v>
      </c>
      <c r="F81" s="2090"/>
      <c r="G81" s="18"/>
      <c r="H81" s="2090"/>
      <c r="I81" s="18">
        <v>1.8</v>
      </c>
      <c r="J81" s="2096"/>
      <c r="K81" s="6672">
        <f t="shared" si="20"/>
        <v>1.8</v>
      </c>
      <c r="L81" s="2090"/>
      <c r="M81" s="18"/>
      <c r="N81" s="2105"/>
      <c r="O81" s="69">
        <f t="shared" si="21"/>
        <v>1.8</v>
      </c>
      <c r="P81" s="2090"/>
      <c r="Q81" s="18"/>
      <c r="R81" s="2113"/>
      <c r="S81" s="39">
        <f t="shared" si="22"/>
        <v>1.8</v>
      </c>
      <c r="T81" s="2090"/>
      <c r="U81" s="18"/>
      <c r="V81" s="2113"/>
      <c r="W81" s="39">
        <f t="shared" si="23"/>
        <v>1.8</v>
      </c>
      <c r="X81" s="2090"/>
      <c r="Y81" s="18"/>
      <c r="Z81" s="906"/>
      <c r="AA81" s="6701">
        <f t="shared" si="24"/>
        <v>0</v>
      </c>
      <c r="AB81" s="5192"/>
      <c r="AC81" s="6704">
        <f t="shared" si="25"/>
        <v>1.8</v>
      </c>
      <c r="AD81" s="2090"/>
      <c r="AE81" s="18">
        <v>0.6</v>
      </c>
      <c r="AF81" s="2113"/>
      <c r="AG81" s="39">
        <f t="shared" si="15"/>
        <v>2.4</v>
      </c>
      <c r="AH81" s="2090"/>
      <c r="AI81" s="18"/>
      <c r="AJ81" s="2113"/>
      <c r="AK81" s="39">
        <f t="shared" si="19"/>
        <v>2.4</v>
      </c>
      <c r="AL81" s="2090"/>
      <c r="AM81" s="18">
        <v>13.829999999999998</v>
      </c>
      <c r="AN81" s="906"/>
      <c r="AO81" s="6701">
        <f t="shared" si="26"/>
        <v>14.429999999999998</v>
      </c>
      <c r="AP81" s="2113"/>
      <c r="AQ81" s="39">
        <f t="shared" si="30"/>
        <v>16.229999999999997</v>
      </c>
      <c r="AR81" s="2090"/>
      <c r="AS81" s="18"/>
      <c r="AT81" s="2113"/>
      <c r="AU81" s="39">
        <f t="shared" si="31"/>
        <v>16.229999999999997</v>
      </c>
      <c r="AV81" s="2090"/>
      <c r="AW81" s="18"/>
      <c r="AX81" s="2113"/>
      <c r="AY81" s="39">
        <f t="shared" si="32"/>
        <v>16.229999999999997</v>
      </c>
      <c r="AZ81" s="2090"/>
      <c r="BA81" s="18">
        <v>15.030000000000001</v>
      </c>
      <c r="BB81" s="906"/>
      <c r="BC81" s="6643">
        <f t="shared" si="27"/>
        <v>15.030000000000001</v>
      </c>
      <c r="BD81" s="907"/>
      <c r="BE81" s="701">
        <f t="shared" si="28"/>
        <v>29.46</v>
      </c>
      <c r="BF81" s="2113"/>
      <c r="BG81" s="39">
        <f t="shared" si="29"/>
        <v>31.259999999999998</v>
      </c>
      <c r="BH81" s="1222"/>
      <c r="BI81" s="1222"/>
      <c r="BJ81" s="26"/>
      <c r="BK81" s="26"/>
      <c r="BL81" s="26"/>
      <c r="BM81" s="26"/>
      <c r="BN81" s="1222"/>
    </row>
    <row r="82" spans="1:68" ht="15" customHeight="1" x14ac:dyDescent="0.25">
      <c r="A82" s="532"/>
      <c r="B82" s="1648" t="s">
        <v>942</v>
      </c>
      <c r="C82" s="1649"/>
      <c r="D82" s="3657"/>
      <c r="E82" s="2126" t="s">
        <v>50</v>
      </c>
      <c r="F82" s="2090"/>
      <c r="G82" s="18"/>
      <c r="H82" s="2090"/>
      <c r="I82" s="18"/>
      <c r="J82" s="2096"/>
      <c r="K82" s="6672">
        <f t="shared" si="20"/>
        <v>0</v>
      </c>
      <c r="L82" s="2090"/>
      <c r="M82" s="18"/>
      <c r="N82" s="2105"/>
      <c r="O82" s="69">
        <f t="shared" si="21"/>
        <v>0</v>
      </c>
      <c r="P82" s="2090"/>
      <c r="Q82" s="18">
        <v>11.92</v>
      </c>
      <c r="R82" s="2113"/>
      <c r="S82" s="39">
        <f t="shared" si="22"/>
        <v>11.92</v>
      </c>
      <c r="T82" s="2090"/>
      <c r="U82" s="18">
        <v>0.88</v>
      </c>
      <c r="V82" s="2113"/>
      <c r="W82" s="39">
        <f t="shared" si="23"/>
        <v>12.8</v>
      </c>
      <c r="X82" s="2090"/>
      <c r="Y82" s="18">
        <v>1.74</v>
      </c>
      <c r="Z82" s="906"/>
      <c r="AA82" s="6701">
        <f t="shared" si="24"/>
        <v>14.540000000000001</v>
      </c>
      <c r="AB82" s="5192"/>
      <c r="AC82" s="6704">
        <f t="shared" si="25"/>
        <v>14.540000000000001</v>
      </c>
      <c r="AD82" s="2090"/>
      <c r="AE82" s="18"/>
      <c r="AF82" s="2113"/>
      <c r="AG82" s="39">
        <f t="shared" si="15"/>
        <v>14.540000000000001</v>
      </c>
      <c r="AH82" s="2090"/>
      <c r="AI82" s="18"/>
      <c r="AJ82" s="2113"/>
      <c r="AK82" s="39">
        <f t="shared" si="19"/>
        <v>14.540000000000001</v>
      </c>
      <c r="AL82" s="2090"/>
      <c r="AM82" s="18"/>
      <c r="AN82" s="906"/>
      <c r="AO82" s="6701">
        <f t="shared" si="26"/>
        <v>0</v>
      </c>
      <c r="AP82" s="2113"/>
      <c r="AQ82" s="39">
        <f t="shared" si="30"/>
        <v>14.540000000000001</v>
      </c>
      <c r="AR82" s="2090"/>
      <c r="AS82" s="18"/>
      <c r="AT82" s="2113"/>
      <c r="AU82" s="39">
        <f t="shared" si="31"/>
        <v>14.540000000000001</v>
      </c>
      <c r="AV82" s="2090"/>
      <c r="AW82" s="18"/>
      <c r="AX82" s="2113"/>
      <c r="AY82" s="39">
        <f t="shared" si="32"/>
        <v>14.540000000000001</v>
      </c>
      <c r="AZ82" s="2090"/>
      <c r="BA82" s="18"/>
      <c r="BB82" s="906"/>
      <c r="BC82" s="6643">
        <f t="shared" si="27"/>
        <v>0</v>
      </c>
      <c r="BD82" s="907"/>
      <c r="BE82" s="701">
        <f t="shared" si="28"/>
        <v>0</v>
      </c>
      <c r="BF82" s="2113"/>
      <c r="BG82" s="39">
        <f t="shared" si="29"/>
        <v>14.540000000000001</v>
      </c>
      <c r="BH82" s="1222"/>
      <c r="BI82" s="1222"/>
      <c r="BJ82" s="26"/>
      <c r="BK82" s="26"/>
      <c r="BL82" s="26"/>
      <c r="BM82" s="26"/>
      <c r="BN82" s="1222"/>
    </row>
    <row r="83" spans="1:68" ht="15" customHeight="1" x14ac:dyDescent="0.25">
      <c r="A83" s="532"/>
      <c r="B83" s="1648" t="s">
        <v>1300</v>
      </c>
      <c r="C83" s="1649"/>
      <c r="D83" s="3657"/>
      <c r="E83" s="2126" t="s">
        <v>50</v>
      </c>
      <c r="F83" s="2090"/>
      <c r="G83" s="18"/>
      <c r="H83" s="2090"/>
      <c r="I83" s="18"/>
      <c r="J83" s="2096"/>
      <c r="K83" s="6672">
        <f t="shared" si="20"/>
        <v>0</v>
      </c>
      <c r="L83" s="2090"/>
      <c r="M83" s="18"/>
      <c r="N83" s="2105"/>
      <c r="O83" s="69">
        <f t="shared" si="21"/>
        <v>0</v>
      </c>
      <c r="P83" s="2090"/>
      <c r="Q83" s="18">
        <v>104.41999999999999</v>
      </c>
      <c r="R83" s="2113"/>
      <c r="S83" s="39">
        <f t="shared" si="22"/>
        <v>104.41999999999999</v>
      </c>
      <c r="T83" s="2090"/>
      <c r="U83" s="18">
        <v>16.62</v>
      </c>
      <c r="V83" s="2113"/>
      <c r="W83" s="39">
        <f t="shared" si="23"/>
        <v>121.03999999999999</v>
      </c>
      <c r="X83" s="2090"/>
      <c r="Y83" s="101">
        <v>0.28999999999999998</v>
      </c>
      <c r="Z83" s="906"/>
      <c r="AA83" s="6701">
        <f t="shared" si="24"/>
        <v>121.33</v>
      </c>
      <c r="AB83" s="5192"/>
      <c r="AC83" s="6704">
        <f t="shared" si="25"/>
        <v>121.33</v>
      </c>
      <c r="AD83" s="2090"/>
      <c r="AE83" s="101"/>
      <c r="AF83" s="2113"/>
      <c r="AG83" s="39">
        <f t="shared" si="15"/>
        <v>121.33</v>
      </c>
      <c r="AH83" s="2090"/>
      <c r="AI83" s="101"/>
      <c r="AJ83" s="2113"/>
      <c r="AK83" s="39">
        <f t="shared" si="19"/>
        <v>121.33</v>
      </c>
      <c r="AL83" s="2090"/>
      <c r="AM83" s="101"/>
      <c r="AN83" s="906"/>
      <c r="AO83" s="6701">
        <f t="shared" si="26"/>
        <v>0</v>
      </c>
      <c r="AP83" s="2113"/>
      <c r="AQ83" s="39">
        <f t="shared" si="30"/>
        <v>121.33</v>
      </c>
      <c r="AR83" s="2090"/>
      <c r="AS83" s="101"/>
      <c r="AT83" s="2113"/>
      <c r="AU83" s="39">
        <f t="shared" si="31"/>
        <v>121.33</v>
      </c>
      <c r="AV83" s="2090"/>
      <c r="AW83" s="101"/>
      <c r="AX83" s="2113"/>
      <c r="AY83" s="39">
        <f t="shared" si="32"/>
        <v>121.33</v>
      </c>
      <c r="AZ83" s="2090"/>
      <c r="BA83" s="101"/>
      <c r="BB83" s="906"/>
      <c r="BC83" s="6643">
        <f t="shared" si="27"/>
        <v>0</v>
      </c>
      <c r="BD83" s="907"/>
      <c r="BE83" s="701">
        <f t="shared" si="28"/>
        <v>0</v>
      </c>
      <c r="BF83" s="2113"/>
      <c r="BG83" s="39">
        <f t="shared" si="29"/>
        <v>121.33</v>
      </c>
      <c r="BH83" s="1222"/>
      <c r="BI83" s="1222"/>
      <c r="BJ83" s="26"/>
      <c r="BK83" s="26"/>
      <c r="BL83" s="26"/>
      <c r="BM83" s="26"/>
      <c r="BN83" s="1222"/>
    </row>
    <row r="84" spans="1:68" ht="15" customHeight="1" x14ac:dyDescent="0.25">
      <c r="A84" s="532"/>
      <c r="B84" s="1648" t="s">
        <v>1205</v>
      </c>
      <c r="C84" s="1649"/>
      <c r="D84" s="3657"/>
      <c r="E84" s="2126" t="s">
        <v>50</v>
      </c>
      <c r="F84" s="2090"/>
      <c r="G84" s="18"/>
      <c r="H84" s="2090"/>
      <c r="I84" s="18"/>
      <c r="J84" s="2096"/>
      <c r="K84" s="6672">
        <f t="shared" si="20"/>
        <v>0</v>
      </c>
      <c r="L84" s="2090"/>
      <c r="M84" s="18"/>
      <c r="N84" s="2105"/>
      <c r="O84" s="69">
        <f t="shared" si="21"/>
        <v>0</v>
      </c>
      <c r="P84" s="2090"/>
      <c r="Q84" s="18"/>
      <c r="R84" s="2113"/>
      <c r="S84" s="39">
        <f t="shared" si="22"/>
        <v>0</v>
      </c>
      <c r="T84" s="2090"/>
      <c r="U84" s="18"/>
      <c r="V84" s="2113"/>
      <c r="W84" s="39">
        <f t="shared" si="23"/>
        <v>0</v>
      </c>
      <c r="X84" s="2090"/>
      <c r="Y84" s="18"/>
      <c r="Z84" s="906"/>
      <c r="AA84" s="6701">
        <f t="shared" si="24"/>
        <v>0</v>
      </c>
      <c r="AB84" s="5192"/>
      <c r="AC84" s="6704">
        <f t="shared" si="25"/>
        <v>0</v>
      </c>
      <c r="AD84" s="2090"/>
      <c r="AE84" s="18">
        <v>2.86</v>
      </c>
      <c r="AF84" s="2113"/>
      <c r="AG84" s="39">
        <f t="shared" si="15"/>
        <v>2.86</v>
      </c>
      <c r="AH84" s="2090"/>
      <c r="AI84" s="18"/>
      <c r="AJ84" s="2113"/>
      <c r="AK84" s="39">
        <f t="shared" si="19"/>
        <v>2.86</v>
      </c>
      <c r="AL84" s="2090"/>
      <c r="AM84" s="18">
        <v>5.6099999999999994</v>
      </c>
      <c r="AN84" s="906"/>
      <c r="AO84" s="6701">
        <f t="shared" si="26"/>
        <v>8.4699999999999989</v>
      </c>
      <c r="AP84" s="2113"/>
      <c r="AQ84" s="39">
        <f t="shared" si="30"/>
        <v>8.4699999999999989</v>
      </c>
      <c r="AR84" s="2090"/>
      <c r="AS84" s="18"/>
      <c r="AT84" s="2113"/>
      <c r="AU84" s="39">
        <f t="shared" si="31"/>
        <v>8.4699999999999989</v>
      </c>
      <c r="AV84" s="2090"/>
      <c r="AW84" s="18">
        <v>22.08</v>
      </c>
      <c r="AX84" s="2113"/>
      <c r="AY84" s="39">
        <f t="shared" si="32"/>
        <v>30.549999999999997</v>
      </c>
      <c r="AZ84" s="2090"/>
      <c r="BA84" s="18">
        <v>1.21</v>
      </c>
      <c r="BB84" s="906"/>
      <c r="BC84" s="6643">
        <f t="shared" si="27"/>
        <v>23.29</v>
      </c>
      <c r="BD84" s="907"/>
      <c r="BE84" s="701">
        <f t="shared" si="28"/>
        <v>31.759999999999998</v>
      </c>
      <c r="BF84" s="2113"/>
      <c r="BG84" s="39">
        <f t="shared" si="29"/>
        <v>31.759999999999998</v>
      </c>
      <c r="BH84" s="1222"/>
      <c r="BI84" s="1222"/>
      <c r="BJ84" s="26"/>
      <c r="BK84" s="26"/>
      <c r="BL84" s="26"/>
      <c r="BM84" s="26"/>
      <c r="BN84" s="1222"/>
    </row>
    <row r="85" spans="1:68" ht="15" customHeight="1" x14ac:dyDescent="0.25">
      <c r="A85" s="532"/>
      <c r="B85" s="1648" t="s">
        <v>1336</v>
      </c>
      <c r="C85" s="1649"/>
      <c r="D85" s="3657"/>
      <c r="E85" s="2126" t="s">
        <v>50</v>
      </c>
      <c r="F85" s="2090"/>
      <c r="G85" s="18">
        <v>23.02</v>
      </c>
      <c r="H85" s="2090"/>
      <c r="I85" s="18"/>
      <c r="J85" s="2096"/>
      <c r="K85" s="6672">
        <f t="shared" si="20"/>
        <v>23.02</v>
      </c>
      <c r="L85" s="2090"/>
      <c r="M85" s="18"/>
      <c r="N85" s="2105"/>
      <c r="O85" s="69">
        <f t="shared" si="21"/>
        <v>23.02</v>
      </c>
      <c r="P85" s="2090"/>
      <c r="Q85" s="18">
        <v>43.43</v>
      </c>
      <c r="R85" s="2113"/>
      <c r="S85" s="39">
        <f t="shared" si="22"/>
        <v>66.45</v>
      </c>
      <c r="T85" s="2090"/>
      <c r="U85" s="18"/>
      <c r="V85" s="2113"/>
      <c r="W85" s="39">
        <f t="shared" si="23"/>
        <v>66.45</v>
      </c>
      <c r="X85" s="2090"/>
      <c r="Y85" s="18"/>
      <c r="Z85" s="906"/>
      <c r="AA85" s="6701">
        <f t="shared" si="24"/>
        <v>43.43</v>
      </c>
      <c r="AB85" s="5192"/>
      <c r="AC85" s="6704">
        <f t="shared" si="25"/>
        <v>66.45</v>
      </c>
      <c r="AD85" s="2090"/>
      <c r="AE85" s="18"/>
      <c r="AF85" s="2113"/>
      <c r="AG85" s="39">
        <f t="shared" si="15"/>
        <v>66.45</v>
      </c>
      <c r="AH85" s="2090"/>
      <c r="AI85" s="18"/>
      <c r="AJ85" s="2113"/>
      <c r="AK85" s="39">
        <f t="shared" si="19"/>
        <v>66.45</v>
      </c>
      <c r="AL85" s="2090"/>
      <c r="AM85" s="18"/>
      <c r="AN85" s="906"/>
      <c r="AO85" s="6701">
        <f t="shared" si="26"/>
        <v>0</v>
      </c>
      <c r="AP85" s="2113"/>
      <c r="AQ85" s="39">
        <f t="shared" si="30"/>
        <v>66.45</v>
      </c>
      <c r="AR85" s="2090"/>
      <c r="AS85" s="18">
        <v>77.87</v>
      </c>
      <c r="AT85" s="2113"/>
      <c r="AU85" s="39">
        <f t="shared" si="31"/>
        <v>144.32</v>
      </c>
      <c r="AV85" s="2090"/>
      <c r="AW85" s="18"/>
      <c r="AX85" s="2113"/>
      <c r="AY85" s="39">
        <f t="shared" si="32"/>
        <v>144.32</v>
      </c>
      <c r="AZ85" s="2090"/>
      <c r="BA85" s="18"/>
      <c r="BB85" s="906"/>
      <c r="BC85" s="6643">
        <f t="shared" si="27"/>
        <v>77.87</v>
      </c>
      <c r="BD85" s="907"/>
      <c r="BE85" s="701">
        <f t="shared" si="28"/>
        <v>77.87</v>
      </c>
      <c r="BF85" s="2113"/>
      <c r="BG85" s="39">
        <f t="shared" si="29"/>
        <v>144.32</v>
      </c>
      <c r="BH85" s="1222"/>
      <c r="BI85" s="1222"/>
      <c r="BJ85" s="26"/>
      <c r="BK85" s="26"/>
      <c r="BL85" s="26"/>
      <c r="BM85" s="26"/>
      <c r="BN85" s="1222"/>
    </row>
    <row r="86" spans="1:68" ht="15" customHeight="1" x14ac:dyDescent="0.25">
      <c r="A86" s="532"/>
      <c r="B86" s="1648" t="s">
        <v>1150</v>
      </c>
      <c r="C86" s="1649"/>
      <c r="D86" s="3657"/>
      <c r="E86" s="2126" t="s">
        <v>50</v>
      </c>
      <c r="F86" s="2090"/>
      <c r="G86" s="18">
        <v>92.9</v>
      </c>
      <c r="H86" s="2090"/>
      <c r="I86" s="18">
        <v>108.19</v>
      </c>
      <c r="J86" s="2096"/>
      <c r="K86" s="6672">
        <f t="shared" si="20"/>
        <v>201.09</v>
      </c>
      <c r="L86" s="2090"/>
      <c r="M86" s="18">
        <v>27.82</v>
      </c>
      <c r="N86" s="2105"/>
      <c r="O86" s="69">
        <f t="shared" si="21"/>
        <v>228.91</v>
      </c>
      <c r="P86" s="2090"/>
      <c r="Q86" s="18"/>
      <c r="R86" s="2113"/>
      <c r="S86" s="39">
        <f t="shared" si="22"/>
        <v>228.91</v>
      </c>
      <c r="T86" s="2090"/>
      <c r="U86" s="18"/>
      <c r="V86" s="2113"/>
      <c r="W86" s="39">
        <f t="shared" si="23"/>
        <v>228.91</v>
      </c>
      <c r="X86" s="2090"/>
      <c r="Y86" s="18">
        <v>135.5</v>
      </c>
      <c r="Z86" s="906"/>
      <c r="AA86" s="6701">
        <f t="shared" si="24"/>
        <v>135.5</v>
      </c>
      <c r="AB86" s="5192"/>
      <c r="AC86" s="6704">
        <f t="shared" si="25"/>
        <v>364.40999999999997</v>
      </c>
      <c r="AD86" s="2090"/>
      <c r="AE86" s="18"/>
      <c r="AF86" s="2113"/>
      <c r="AG86" s="39">
        <f t="shared" si="15"/>
        <v>364.40999999999997</v>
      </c>
      <c r="AH86" s="2090"/>
      <c r="AI86" s="18"/>
      <c r="AJ86" s="2113"/>
      <c r="AK86" s="39">
        <f t="shared" si="19"/>
        <v>364.40999999999997</v>
      </c>
      <c r="AL86" s="2090"/>
      <c r="AM86" s="18">
        <v>21.75</v>
      </c>
      <c r="AN86" s="906"/>
      <c r="AO86" s="6701">
        <f t="shared" si="26"/>
        <v>21.75</v>
      </c>
      <c r="AP86" s="2113"/>
      <c r="AQ86" s="39">
        <f t="shared" ref="AQ86:AQ87" si="33">AK86+AM86</f>
        <v>386.15999999999997</v>
      </c>
      <c r="AR86" s="2090"/>
      <c r="AS86" s="18">
        <v>1.96</v>
      </c>
      <c r="AT86" s="2113"/>
      <c r="AU86" s="39">
        <f t="shared" ref="AU86:AU87" si="34">+AQ86+AS86</f>
        <v>388.11999999999995</v>
      </c>
      <c r="AV86" s="2090"/>
      <c r="AW86" s="18">
        <v>104.53999999999999</v>
      </c>
      <c r="AX86" s="2113"/>
      <c r="AY86" s="39">
        <f t="shared" si="32"/>
        <v>492.65999999999997</v>
      </c>
      <c r="AZ86" s="2090"/>
      <c r="BA86" s="18">
        <v>62.54</v>
      </c>
      <c r="BB86" s="906"/>
      <c r="BC86" s="6643">
        <f t="shared" si="27"/>
        <v>169.04</v>
      </c>
      <c r="BD86" s="907"/>
      <c r="BE86" s="701">
        <f t="shared" si="28"/>
        <v>190.79</v>
      </c>
      <c r="BF86" s="2113"/>
      <c r="BG86" s="39">
        <f t="shared" si="29"/>
        <v>555.19999999999993</v>
      </c>
      <c r="BH86" s="1222"/>
      <c r="BI86" s="1222"/>
      <c r="BJ86" s="26"/>
      <c r="BK86" s="26"/>
      <c r="BL86" s="26"/>
      <c r="BM86" s="26"/>
      <c r="BN86" s="1222"/>
    </row>
    <row r="87" spans="1:68" ht="15.75" thickBot="1" x14ac:dyDescent="0.3">
      <c r="A87" s="149"/>
      <c r="B87" s="1650" t="s">
        <v>1016</v>
      </c>
      <c r="C87" s="3658"/>
      <c r="D87" s="3659"/>
      <c r="E87" s="3660" t="s">
        <v>50</v>
      </c>
      <c r="F87" s="3661"/>
      <c r="G87" s="38"/>
      <c r="H87" s="3661"/>
      <c r="I87" s="38"/>
      <c r="J87" s="3662"/>
      <c r="K87" s="6672">
        <f t="shared" si="20"/>
        <v>0</v>
      </c>
      <c r="L87" s="3661"/>
      <c r="M87" s="38"/>
      <c r="N87" s="2105"/>
      <c r="O87" s="69">
        <f t="shared" si="21"/>
        <v>0</v>
      </c>
      <c r="P87" s="3661"/>
      <c r="Q87" s="38"/>
      <c r="R87" s="2113"/>
      <c r="S87" s="39">
        <f t="shared" si="22"/>
        <v>0</v>
      </c>
      <c r="T87" s="3661"/>
      <c r="U87" s="38"/>
      <c r="V87" s="2113"/>
      <c r="W87" s="39">
        <f t="shared" si="23"/>
        <v>0</v>
      </c>
      <c r="X87" s="3661"/>
      <c r="Y87" s="38"/>
      <c r="Z87" s="906"/>
      <c r="AA87" s="6701">
        <f t="shared" si="24"/>
        <v>0</v>
      </c>
      <c r="AB87" s="5192"/>
      <c r="AC87" s="6704">
        <f t="shared" si="25"/>
        <v>0</v>
      </c>
      <c r="AD87" s="3661"/>
      <c r="AE87" s="38"/>
      <c r="AF87" s="2113"/>
      <c r="AG87" s="39">
        <f t="shared" si="15"/>
        <v>0</v>
      </c>
      <c r="AH87" s="3661"/>
      <c r="AI87" s="38"/>
      <c r="AJ87" s="2113"/>
      <c r="AK87" s="39">
        <f t="shared" si="19"/>
        <v>0</v>
      </c>
      <c r="AL87" s="3661"/>
      <c r="AM87" s="38"/>
      <c r="AN87" s="906"/>
      <c r="AO87" s="6701">
        <f t="shared" si="26"/>
        <v>0</v>
      </c>
      <c r="AP87" s="2113"/>
      <c r="AQ87" s="39">
        <f t="shared" si="33"/>
        <v>0</v>
      </c>
      <c r="AR87" s="3661"/>
      <c r="AS87" s="38"/>
      <c r="AT87" s="2113"/>
      <c r="AU87" s="39">
        <f t="shared" si="34"/>
        <v>0</v>
      </c>
      <c r="AV87" s="3661"/>
      <c r="AW87" s="38"/>
      <c r="AX87" s="2113"/>
      <c r="AY87" s="39">
        <f t="shared" si="32"/>
        <v>0</v>
      </c>
      <c r="AZ87" s="3661"/>
      <c r="BA87" s="38"/>
      <c r="BB87" s="906"/>
      <c r="BC87" s="6643">
        <f t="shared" si="27"/>
        <v>0</v>
      </c>
      <c r="BD87" s="907"/>
      <c r="BE87" s="701">
        <f t="shared" si="28"/>
        <v>0</v>
      </c>
      <c r="BF87" s="2113"/>
      <c r="BG87" s="39">
        <f t="shared" si="29"/>
        <v>0</v>
      </c>
      <c r="BH87" s="1222"/>
      <c r="BI87" s="1222"/>
      <c r="BJ87" s="26"/>
      <c r="BK87" s="26"/>
      <c r="BL87" s="26"/>
      <c r="BM87" s="26"/>
      <c r="BN87" s="1222"/>
    </row>
    <row r="88" spans="1:68" ht="16.5" thickBot="1" x14ac:dyDescent="0.3">
      <c r="A88" s="149"/>
      <c r="B88" s="1046" t="s">
        <v>300</v>
      </c>
      <c r="C88" s="1045"/>
      <c r="D88" s="2123"/>
      <c r="E88" s="3646" t="s">
        <v>50</v>
      </c>
      <c r="F88" s="3647">
        <f>+F89</f>
        <v>62000</v>
      </c>
      <c r="G88" s="3648">
        <f>+SUM(G6:G87)</f>
        <v>50035.327000000005</v>
      </c>
      <c r="H88" s="3647">
        <f>+H89</f>
        <v>65000</v>
      </c>
      <c r="I88" s="3648">
        <f>+SUM(I6:I87)</f>
        <v>57592.384000000013</v>
      </c>
      <c r="J88" s="3649">
        <f>+J89</f>
        <v>127000</v>
      </c>
      <c r="K88" s="3650">
        <f>+SUM(K6:K87)</f>
        <v>107627.71099999998</v>
      </c>
      <c r="L88" s="3647">
        <f>+L89</f>
        <v>35000</v>
      </c>
      <c r="M88" s="3648">
        <f>+SUM(M6:M87)</f>
        <v>27934.053000000004</v>
      </c>
      <c r="N88" s="2069">
        <f>+N89</f>
        <v>162000</v>
      </c>
      <c r="O88" s="2070">
        <f>+SUM(O6:O87)</f>
        <v>135561.76399999997</v>
      </c>
      <c r="P88" s="3647">
        <f>+P89</f>
        <v>12500</v>
      </c>
      <c r="Q88" s="3648">
        <f>+SUM(Q6:Q87)</f>
        <v>45159.640999999989</v>
      </c>
      <c r="R88" s="2074">
        <f>+R89</f>
        <v>174500</v>
      </c>
      <c r="S88" s="182">
        <f>+SUM(S6:S87)</f>
        <v>180721.40500000003</v>
      </c>
      <c r="T88" s="3647">
        <f>+T89</f>
        <v>49000</v>
      </c>
      <c r="U88" s="3648">
        <f>+SUM(U6:U87)</f>
        <v>35268.412000000011</v>
      </c>
      <c r="V88" s="2074">
        <f>+V89</f>
        <v>223500</v>
      </c>
      <c r="W88" s="182">
        <f>+SUM(W6:W87)</f>
        <v>215989.81700000001</v>
      </c>
      <c r="X88" s="3647">
        <f>+X89</f>
        <v>48000</v>
      </c>
      <c r="Y88" s="3648">
        <f>+SUM(Y6:Y87)</f>
        <v>43943.804999999993</v>
      </c>
      <c r="Z88" s="802">
        <f>+Z89</f>
        <v>109500</v>
      </c>
      <c r="AA88" s="802">
        <f>+SUM(AA6:AA87)</f>
        <v>124371.85800000001</v>
      </c>
      <c r="AB88" s="522">
        <f>+AB89</f>
        <v>271500</v>
      </c>
      <c r="AC88" s="522">
        <f>+SUM(AC6:AC87)</f>
        <v>259933.622</v>
      </c>
      <c r="AD88" s="3647">
        <f>+AD89</f>
        <v>54000</v>
      </c>
      <c r="AE88" s="3648">
        <f>+SUM(AE6:AE87)</f>
        <v>44979.451000000008</v>
      </c>
      <c r="AF88" s="2074">
        <f>+AF89</f>
        <v>325500</v>
      </c>
      <c r="AG88" s="182">
        <f>+SUM(AG6:AG87)</f>
        <v>304700.98099999991</v>
      </c>
      <c r="AH88" s="3647">
        <f>+AH89</f>
        <v>52000</v>
      </c>
      <c r="AI88" s="3648">
        <f>+SUM(AI6:AI87)</f>
        <v>8584.9840000000004</v>
      </c>
      <c r="AJ88" s="2074">
        <f>+AJ89</f>
        <v>377500</v>
      </c>
      <c r="AK88" s="182">
        <f>+SUM(AK6:AK87)</f>
        <v>313285.96499999985</v>
      </c>
      <c r="AL88" s="3647">
        <f>+AL89</f>
        <v>54000</v>
      </c>
      <c r="AM88" s="3648">
        <f>+SUM(AM6:AM87)</f>
        <v>41652.068000000007</v>
      </c>
      <c r="AN88" s="802">
        <f>+AN89</f>
        <v>160000</v>
      </c>
      <c r="AO88" s="802">
        <f>+SUM(AO6:AO87)</f>
        <v>95216.502999999982</v>
      </c>
      <c r="AP88" s="2074">
        <f>+AP89</f>
        <v>431500</v>
      </c>
      <c r="AQ88" s="182">
        <f>+SUM(AQ6:AQ87)</f>
        <v>354938.03299999988</v>
      </c>
      <c r="AR88" s="3647">
        <f>+AR89</f>
        <v>54000</v>
      </c>
      <c r="AS88" s="3648">
        <f>+SUM(AS6:AS87)</f>
        <v>52038.748999999996</v>
      </c>
      <c r="AT88" s="2074">
        <f>+AT89</f>
        <v>485500</v>
      </c>
      <c r="AU88" s="182">
        <f>+SUM(AU6:AU87)</f>
        <v>406976.78199999983</v>
      </c>
      <c r="AV88" s="3647">
        <f>+AV89</f>
        <v>48000</v>
      </c>
      <c r="AW88" s="3648">
        <f>+SUM(AW6:AW87)</f>
        <v>51200.030000000006</v>
      </c>
      <c r="AX88" s="2074">
        <f>+AX89</f>
        <v>533500</v>
      </c>
      <c r="AY88" s="182">
        <f>+SUM(AY6:AY87)</f>
        <v>458176.81199999992</v>
      </c>
      <c r="AZ88" s="3647">
        <f>+AZ89</f>
        <v>60000</v>
      </c>
      <c r="BA88" s="3648">
        <f>+SUM(BA6:BA87)</f>
        <v>62366.380000000005</v>
      </c>
      <c r="BB88" s="802">
        <f>+BB89</f>
        <v>162000</v>
      </c>
      <c r="BC88" s="802">
        <f>+SUM(BC6:BC87)</f>
        <v>165605.15899999999</v>
      </c>
      <c r="BD88" s="1625">
        <f>+BD89</f>
        <v>322000</v>
      </c>
      <c r="BE88" s="1625">
        <f>+SUM(BE6:BE87)</f>
        <v>260821.66199999998</v>
      </c>
      <c r="BF88" s="2074">
        <f>+BF89</f>
        <v>593500</v>
      </c>
      <c r="BG88" s="182">
        <f>+SUM(BG6:BG87)</f>
        <v>520543.19200000004</v>
      </c>
      <c r="BH88" s="1222"/>
      <c r="BI88" s="1222"/>
      <c r="BJ88" s="26"/>
      <c r="BK88" s="26"/>
      <c r="BL88" s="26"/>
      <c r="BM88" s="26"/>
      <c r="BN88" s="549"/>
    </row>
    <row r="89" spans="1:68" ht="16.5" thickBot="1" x14ac:dyDescent="0.3">
      <c r="A89" s="149"/>
      <c r="B89" s="908" t="s">
        <v>824</v>
      </c>
      <c r="C89" s="1046"/>
      <c r="D89" s="2124"/>
      <c r="E89" s="2127" t="s">
        <v>50</v>
      </c>
      <c r="F89" s="1554">
        <f>+'Maj Production Summ'!E32</f>
        <v>62000</v>
      </c>
      <c r="G89" s="263">
        <f>+SUM(G6:G73)</f>
        <v>49543.777000000002</v>
      </c>
      <c r="H89" s="1554">
        <f>+'Maj Production Summ'!G32</f>
        <v>65000</v>
      </c>
      <c r="I89" s="263">
        <f>+SUM(I6:I73)</f>
        <v>57219.144</v>
      </c>
      <c r="J89" s="2097">
        <f>+'Maj Production Summ'!I32</f>
        <v>127000</v>
      </c>
      <c r="K89" s="2099">
        <f>+SUM(K6:K73)</f>
        <v>106762.92099999997</v>
      </c>
      <c r="L89" s="1554">
        <f>+'Maj Production Summ'!K32</f>
        <v>35000</v>
      </c>
      <c r="M89" s="263">
        <f>+SUM(M6:M73)</f>
        <v>27879.333000000002</v>
      </c>
      <c r="N89" s="2069">
        <f>+'Maj Production Summ'!M32</f>
        <v>162000</v>
      </c>
      <c r="O89" s="2070">
        <f>+SUM(O6:O73)</f>
        <v>134642.25399999999</v>
      </c>
      <c r="P89" s="1554">
        <f>+'Maj Production Summ'!O32</f>
        <v>12500</v>
      </c>
      <c r="Q89" s="263">
        <f>+SUM(Q6:Q73)</f>
        <v>44707.992999999995</v>
      </c>
      <c r="R89" s="2074">
        <f>+'Maj Production Summ'!Q32</f>
        <v>174500</v>
      </c>
      <c r="S89" s="182">
        <f>+SUM(S6:S73)</f>
        <v>179350.247</v>
      </c>
      <c r="T89" s="1554">
        <f>+'Maj Production Summ'!S32</f>
        <v>49000</v>
      </c>
      <c r="U89" s="263">
        <f>+SUM(U6:U73)</f>
        <v>34390.132000000005</v>
      </c>
      <c r="V89" s="2074">
        <f>+'Maj Production Summ'!U32</f>
        <v>223500</v>
      </c>
      <c r="W89" s="182">
        <f>+SUM(W6:W73)</f>
        <v>213740.37900000002</v>
      </c>
      <c r="X89" s="1554">
        <f>+'Maj Production Summ'!W32</f>
        <v>48000</v>
      </c>
      <c r="Y89" s="263">
        <f>+SUM(Y6:Y73)</f>
        <v>43670.794999999998</v>
      </c>
      <c r="Z89" s="802">
        <f>+'Maj Production Summ'!Y32</f>
        <v>109500</v>
      </c>
      <c r="AA89" s="802">
        <f>+SUM(AA6:AA73)</f>
        <v>122768.92000000001</v>
      </c>
      <c r="AB89" s="522">
        <f>+'Maj Production Summ'!AA32</f>
        <v>271500</v>
      </c>
      <c r="AC89" s="522">
        <f>+SUM(AC6:AC73)</f>
        <v>257411.17400000003</v>
      </c>
      <c r="AD89" s="1554">
        <f>+'Maj Production Summ'!AC32</f>
        <v>54000</v>
      </c>
      <c r="AE89" s="263">
        <f>+SUM(AE6:AE73)</f>
        <v>44900.301000000007</v>
      </c>
      <c r="AF89" s="2074">
        <f>+'Maj Production Summ'!AE32</f>
        <v>325500</v>
      </c>
      <c r="AG89" s="182">
        <f>+SUM(AG6:AG73)</f>
        <v>302099.38299999997</v>
      </c>
      <c r="AH89" s="1554">
        <f>+'Maj Production Summ'!AG32</f>
        <v>52000</v>
      </c>
      <c r="AI89" s="263">
        <f>+SUM(AI6:AI73)</f>
        <v>8584.9840000000004</v>
      </c>
      <c r="AJ89" s="2074">
        <f>+'Maj Production Summ'!AI32</f>
        <v>377500</v>
      </c>
      <c r="AK89" s="182">
        <f>+SUM(AK6:AK73)</f>
        <v>310684.36699999991</v>
      </c>
      <c r="AL89" s="1554">
        <f>+'Maj Production Summ'!AK32</f>
        <v>54000</v>
      </c>
      <c r="AM89" s="263">
        <f>+SUM(AM6:AM73)</f>
        <v>40066.768000000004</v>
      </c>
      <c r="AN89" s="802">
        <f>+'Maj Production Summ'!AM32</f>
        <v>160000</v>
      </c>
      <c r="AO89" s="802">
        <f>+SUM(AO6:AO73)</f>
        <v>93552.053</v>
      </c>
      <c r="AP89" s="2074">
        <f>+'Maj Production Summ'!AO32</f>
        <v>431500</v>
      </c>
      <c r="AQ89" s="182">
        <f>+SUM(AQ6:AQ73)</f>
        <v>350751.13499999989</v>
      </c>
      <c r="AR89" s="1554">
        <f>+'Maj Production Summ'!AQ32</f>
        <v>54000</v>
      </c>
      <c r="AS89" s="263">
        <f>+SUM(AS6:AS73)</f>
        <v>51039.178999999996</v>
      </c>
      <c r="AT89" s="2074">
        <f>+'Maj Production Summ'!AS32</f>
        <v>485500</v>
      </c>
      <c r="AU89" s="182">
        <f>+SUM(AU6:AU73)</f>
        <v>401790.3139999999</v>
      </c>
      <c r="AV89" s="1554">
        <f>+'Maj Production Summ'!AU32</f>
        <v>48000</v>
      </c>
      <c r="AW89" s="263">
        <f>+SUM(AW6:AW73)</f>
        <v>51009.48</v>
      </c>
      <c r="AX89" s="2074">
        <f>+'Maj Production Summ'!AW32</f>
        <v>533500</v>
      </c>
      <c r="AY89" s="182">
        <f>+SUM(AY6:AY73)</f>
        <v>452799.79399999999</v>
      </c>
      <c r="AZ89" s="1554">
        <f>+'Maj Production Summ'!AY32</f>
        <v>60000</v>
      </c>
      <c r="BA89" s="263">
        <f>+SUM(BA6:BA73)</f>
        <v>62071.890000000007</v>
      </c>
      <c r="BB89" s="802">
        <f>+'Maj Production Summ'!BA32</f>
        <v>162000</v>
      </c>
      <c r="BC89" s="802">
        <f>+SUM(BC6:BC73)</f>
        <v>164120.549</v>
      </c>
      <c r="BD89" s="1625">
        <f>+'Maj Production Summ'!BC32</f>
        <v>322000</v>
      </c>
      <c r="BE89" s="1625">
        <f>+SUM(BE6:BE73)</f>
        <v>257672.60199999996</v>
      </c>
      <c r="BF89" s="2074">
        <f>+'Maj Production Summ'!BE32</f>
        <v>593500</v>
      </c>
      <c r="BG89" s="182">
        <f>+SUM(BG6:BG73)</f>
        <v>514871.68399999995</v>
      </c>
      <c r="BH89" s="1222"/>
      <c r="BI89" s="1222"/>
      <c r="BJ89" s="26"/>
      <c r="BK89" s="26"/>
      <c r="BL89" s="26"/>
      <c r="BM89" s="26"/>
      <c r="BN89" s="549"/>
    </row>
    <row r="90" spans="1:68" ht="16.5" thickBot="1" x14ac:dyDescent="0.3">
      <c r="A90" s="149"/>
      <c r="B90" s="908" t="s">
        <v>823</v>
      </c>
      <c r="C90" s="908"/>
      <c r="D90" s="2125"/>
      <c r="E90" s="2127" t="s">
        <v>50</v>
      </c>
      <c r="F90" s="1603"/>
      <c r="G90" s="1162">
        <f>+SUM(G74:G87)</f>
        <v>491.54999999999995</v>
      </c>
      <c r="H90" s="1603"/>
      <c r="I90" s="1162">
        <f>+SUM(I74:I87)</f>
        <v>373.24</v>
      </c>
      <c r="J90" s="3616"/>
      <c r="K90" s="3617">
        <f>+SUM(K74:K87)</f>
        <v>864.79</v>
      </c>
      <c r="L90" s="1603"/>
      <c r="M90" s="1162">
        <f>+SUM(M74:M87)</f>
        <v>54.72</v>
      </c>
      <c r="N90" s="2069"/>
      <c r="O90" s="1585">
        <f>+SUM(O74:O87)</f>
        <v>919.50999999999988</v>
      </c>
      <c r="P90" s="1603"/>
      <c r="Q90" s="1162">
        <f>+SUM(Q74:Q87)</f>
        <v>451.64799999999997</v>
      </c>
      <c r="R90" s="2074"/>
      <c r="S90" s="1895">
        <f>+SUM(S74:S87)</f>
        <v>1371.1580000000001</v>
      </c>
      <c r="T90" s="1603"/>
      <c r="U90" s="1148">
        <f>+SUM(U74:U87)</f>
        <v>878.27999999999975</v>
      </c>
      <c r="V90" s="2074"/>
      <c r="W90" s="1895">
        <f>+SUM(W74:W87)</f>
        <v>2249.4379999999996</v>
      </c>
      <c r="X90" s="1603"/>
      <c r="Y90" s="1162">
        <f>+SUM(Y74:Y87)</f>
        <v>273.01</v>
      </c>
      <c r="Z90" s="802"/>
      <c r="AA90" s="817">
        <f>+SUM(AA74:AA87)</f>
        <v>1602.9379999999994</v>
      </c>
      <c r="AB90" s="522"/>
      <c r="AC90" s="818">
        <f>+SUM(AC74:AC87)</f>
        <v>2522.4479999999994</v>
      </c>
      <c r="AD90" s="1603"/>
      <c r="AE90" s="1148">
        <f>+SUM(AE74:AE87)</f>
        <v>79.149999999999991</v>
      </c>
      <c r="AF90" s="2074"/>
      <c r="AG90" s="1895">
        <f>+SUM(AG74:AG87)</f>
        <v>2601.5979999999995</v>
      </c>
      <c r="AH90" s="1603"/>
      <c r="AI90" s="1162">
        <f>+SUM(AI74:AI87)</f>
        <v>0</v>
      </c>
      <c r="AJ90" s="2074"/>
      <c r="AK90" s="1895">
        <f>+SUM(AK74:AK87)</f>
        <v>2601.5979999999995</v>
      </c>
      <c r="AL90" s="1603"/>
      <c r="AM90" s="1148">
        <f>+SUM(AM74:AM87)</f>
        <v>1585.3</v>
      </c>
      <c r="AN90" s="802"/>
      <c r="AO90" s="802">
        <f>+SUM(AO74:AO87)</f>
        <v>1664.4500000000003</v>
      </c>
      <c r="AP90" s="2074"/>
      <c r="AQ90" s="182">
        <f>+SUM(AQ74:AQ87)</f>
        <v>4186.8979999999992</v>
      </c>
      <c r="AR90" s="1603"/>
      <c r="AS90" s="1148">
        <f>+SUM(AS74:AS87)</f>
        <v>999.57</v>
      </c>
      <c r="AT90" s="2074"/>
      <c r="AU90" s="182">
        <f>+SUM(AU74:AU87)</f>
        <v>5186.4679999999998</v>
      </c>
      <c r="AV90" s="1603"/>
      <c r="AW90" s="1148">
        <f>+SUM(AW74:AW87)</f>
        <v>190.55</v>
      </c>
      <c r="AX90" s="2074"/>
      <c r="AY90" s="182">
        <f>+SUM(AY74:AY87)</f>
        <v>5377.0179999999991</v>
      </c>
      <c r="AZ90" s="1603"/>
      <c r="BA90" s="1148">
        <f>+SUM(BA74:BA87)</f>
        <v>294.49</v>
      </c>
      <c r="BB90" s="802"/>
      <c r="BC90" s="802">
        <f>+SUM(BC74:BC87)</f>
        <v>1484.6100000000001</v>
      </c>
      <c r="BD90" s="1625"/>
      <c r="BE90" s="1625">
        <f>+SUM(BE74:BE87)</f>
        <v>3149.0600000000004</v>
      </c>
      <c r="BF90" s="2074"/>
      <c r="BG90" s="182">
        <f>+SUM(BG74:BG87)</f>
        <v>5671.5079999999998</v>
      </c>
      <c r="BH90" s="1222"/>
      <c r="BI90" s="1222"/>
      <c r="BJ90" s="26"/>
      <c r="BK90" s="26"/>
      <c r="BL90" s="26"/>
      <c r="BM90" s="26"/>
      <c r="BN90" s="549"/>
    </row>
    <row r="91" spans="1:68" ht="16.5" thickBot="1" x14ac:dyDescent="0.3">
      <c r="A91" s="149"/>
      <c r="B91" s="1047" t="s">
        <v>316</v>
      </c>
      <c r="C91" s="718"/>
      <c r="D91" s="718"/>
      <c r="E91" s="2128" t="s">
        <v>49</v>
      </c>
      <c r="F91" s="3613">
        <f t="shared" ref="F91:AK91" si="35">+F89*100/F5</f>
        <v>94.75</v>
      </c>
      <c r="G91" s="3475">
        <f>+G89*100/G5</f>
        <v>93.760477464473936</v>
      </c>
      <c r="H91" s="3613">
        <f t="shared" ref="H91" si="36">+H89*100/H5</f>
        <v>94.75</v>
      </c>
      <c r="I91" s="3475">
        <f>+I89*100/I5</f>
        <v>93.848373432627127</v>
      </c>
      <c r="J91" s="3614">
        <f t="shared" si="35"/>
        <v>94.749999999999986</v>
      </c>
      <c r="K91" s="3615">
        <f t="shared" si="35"/>
        <v>93.80756445928256</v>
      </c>
      <c r="L91" s="3613">
        <f t="shared" si="35"/>
        <v>94.75</v>
      </c>
      <c r="M91" s="3475">
        <f t="shared" si="35"/>
        <v>94.056654633784291</v>
      </c>
      <c r="N91" s="1584">
        <f t="shared" si="35"/>
        <v>94.749999999999986</v>
      </c>
      <c r="O91" s="1585">
        <f t="shared" si="35"/>
        <v>93.859033272184462</v>
      </c>
      <c r="P91" s="3613">
        <f t="shared" si="35"/>
        <v>94.75</v>
      </c>
      <c r="Q91" s="3475">
        <f t="shared" si="35"/>
        <v>93.978114077063097</v>
      </c>
      <c r="R91" s="1368">
        <f t="shared" si="35"/>
        <v>94.749999999999986</v>
      </c>
      <c r="S91" s="1895">
        <f t="shared" si="35"/>
        <v>93.888689199383577</v>
      </c>
      <c r="T91" s="3613">
        <f t="shared" si="35"/>
        <v>94.75</v>
      </c>
      <c r="U91" s="5016">
        <f t="shared" si="35"/>
        <v>92.45532246096252</v>
      </c>
      <c r="V91" s="1368">
        <f t="shared" si="35"/>
        <v>94.75</v>
      </c>
      <c r="W91" s="1895">
        <f t="shared" si="35"/>
        <v>93.655072450114929</v>
      </c>
      <c r="X91" s="3613">
        <f t="shared" si="35"/>
        <v>94.75</v>
      </c>
      <c r="Y91" s="5016">
        <f t="shared" si="35"/>
        <v>94.354897028315634</v>
      </c>
      <c r="Z91" s="817">
        <f t="shared" si="35"/>
        <v>94.75</v>
      </c>
      <c r="AA91" s="2582">
        <f t="shared" si="35"/>
        <v>93.67897018794875</v>
      </c>
      <c r="AB91" s="818">
        <f t="shared" si="35"/>
        <v>94.75</v>
      </c>
      <c r="AC91" s="2337">
        <f t="shared" si="35"/>
        <v>93.773068257192875</v>
      </c>
      <c r="AD91" s="3613">
        <f t="shared" si="35"/>
        <v>94.75</v>
      </c>
      <c r="AE91" s="5016">
        <f t="shared" si="35"/>
        <v>94.095025573033311</v>
      </c>
      <c r="AF91" s="1368">
        <f t="shared" si="35"/>
        <v>94.749999999999986</v>
      </c>
      <c r="AG91" s="1895">
        <f t="shared" si="35"/>
        <v>93.754925421652771</v>
      </c>
      <c r="AH91" s="3613">
        <f t="shared" si="35"/>
        <v>94.75</v>
      </c>
      <c r="AI91" s="5016">
        <f t="shared" si="35"/>
        <v>93.69597873790353</v>
      </c>
      <c r="AJ91" s="1368">
        <f t="shared" si="35"/>
        <v>94.75</v>
      </c>
      <c r="AK91" s="1895">
        <f t="shared" si="35"/>
        <v>93.753295581333887</v>
      </c>
      <c r="AL91" s="3613">
        <f t="shared" ref="AL91:BG91" si="37">+AL89*100/AL5</f>
        <v>94.75</v>
      </c>
      <c r="AM91" s="5016">
        <f t="shared" si="37"/>
        <v>91.062905975135806</v>
      </c>
      <c r="AN91" s="817">
        <f t="shared" si="37"/>
        <v>94.75</v>
      </c>
      <c r="AO91" s="2582">
        <f t="shared" si="37"/>
        <v>92.736311942445084</v>
      </c>
      <c r="AP91" s="1368">
        <f t="shared" si="37"/>
        <v>94.75</v>
      </c>
      <c r="AQ91" s="1895">
        <f t="shared" si="37"/>
        <v>93.437953293316738</v>
      </c>
      <c r="AR91" s="3613">
        <f t="shared" si="37"/>
        <v>94.75</v>
      </c>
      <c r="AS91" s="5016">
        <f t="shared" si="37"/>
        <v>93.52941585010818</v>
      </c>
      <c r="AT91" s="1368">
        <f t="shared" si="37"/>
        <v>94.750000000000014</v>
      </c>
      <c r="AU91" s="1895">
        <f t="shared" si="37"/>
        <v>93.449561806581059</v>
      </c>
      <c r="AV91" s="1322">
        <f t="shared" si="37"/>
        <v>94.75</v>
      </c>
      <c r="AW91" s="5016">
        <f t="shared" si="37"/>
        <v>94.085079490713611</v>
      </c>
      <c r="AX91" s="1368">
        <f t="shared" si="37"/>
        <v>94.750000000000014</v>
      </c>
      <c r="AY91" s="1895">
        <f t="shared" si="37"/>
        <v>93.52072565523406</v>
      </c>
      <c r="AZ91" s="1322">
        <f t="shared" si="37"/>
        <v>94.75</v>
      </c>
      <c r="BA91" s="5016">
        <f t="shared" si="37"/>
        <v>94.09315214316058</v>
      </c>
      <c r="BB91" s="817">
        <f t="shared" si="37"/>
        <v>94.75</v>
      </c>
      <c r="BC91" s="2582">
        <f t="shared" si="37"/>
        <v>93.914611600919798</v>
      </c>
      <c r="BD91" s="1626">
        <f t="shared" si="37"/>
        <v>94.75</v>
      </c>
      <c r="BE91" s="2583">
        <f t="shared" si="37"/>
        <v>93.483365333354996</v>
      </c>
      <c r="BF91" s="1368">
        <f t="shared" si="37"/>
        <v>94.750000000000014</v>
      </c>
      <c r="BG91" s="939">
        <f t="shared" si="37"/>
        <v>93.589366745645307</v>
      </c>
      <c r="BH91" s="1222"/>
      <c r="BI91" s="1222"/>
      <c r="BJ91" s="26"/>
      <c r="BK91" s="26"/>
      <c r="BL91" s="26"/>
      <c r="BM91" s="26"/>
      <c r="BN91" s="1222"/>
    </row>
    <row r="92" spans="1:68" x14ac:dyDescent="0.25">
      <c r="A92" s="149"/>
      <c r="B92" s="891" t="s">
        <v>817</v>
      </c>
      <c r="C92" s="892"/>
      <c r="D92" s="892"/>
      <c r="E92" s="2129" t="s">
        <v>50</v>
      </c>
      <c r="F92" s="1342">
        <f>+F89</f>
        <v>62000</v>
      </c>
      <c r="G92" s="1144">
        <f>+G89</f>
        <v>49543.777000000002</v>
      </c>
      <c r="H92" s="7210">
        <f>+H89</f>
        <v>65000</v>
      </c>
      <c r="I92" s="1144">
        <f>+I89</f>
        <v>57219.144</v>
      </c>
      <c r="J92" s="822">
        <f t="shared" ref="J92:AC92" si="38">+J89</f>
        <v>127000</v>
      </c>
      <c r="K92" s="2100">
        <f t="shared" si="38"/>
        <v>106762.92099999997</v>
      </c>
      <c r="L92" s="4607">
        <f>+L89</f>
        <v>35000</v>
      </c>
      <c r="M92" s="1144">
        <f>+M89</f>
        <v>27879.333000000002</v>
      </c>
      <c r="N92" s="2106">
        <f t="shared" si="38"/>
        <v>162000</v>
      </c>
      <c r="O92" s="2107">
        <f t="shared" si="38"/>
        <v>134642.25399999999</v>
      </c>
      <c r="P92" s="4794">
        <f>+P89</f>
        <v>12500</v>
      </c>
      <c r="Q92" s="1144">
        <f>+Q89</f>
        <v>44707.992999999995</v>
      </c>
      <c r="R92" s="2114">
        <f t="shared" si="38"/>
        <v>174500</v>
      </c>
      <c r="S92" s="2115">
        <f t="shared" si="38"/>
        <v>179350.247</v>
      </c>
      <c r="T92" s="4946">
        <f>+T89</f>
        <v>49000</v>
      </c>
      <c r="U92" s="1144">
        <f>+U89</f>
        <v>34390.132000000005</v>
      </c>
      <c r="V92" s="2114">
        <f t="shared" ref="V92:W92" si="39">+V89</f>
        <v>223500</v>
      </c>
      <c r="W92" s="2115">
        <f t="shared" si="39"/>
        <v>213740.37900000002</v>
      </c>
      <c r="X92" s="5083">
        <f>+X89</f>
        <v>48000</v>
      </c>
      <c r="Y92" s="1144">
        <f>+Y89</f>
        <v>43670.794999999998</v>
      </c>
      <c r="Z92" s="378">
        <f t="shared" si="38"/>
        <v>109500</v>
      </c>
      <c r="AA92" s="378">
        <f t="shared" si="38"/>
        <v>122768.92000000001</v>
      </c>
      <c r="AB92" s="544">
        <f t="shared" si="38"/>
        <v>271500</v>
      </c>
      <c r="AC92" s="544">
        <f t="shared" si="38"/>
        <v>257411.17400000003</v>
      </c>
      <c r="AD92" s="5382">
        <f>+AD89</f>
        <v>54000</v>
      </c>
      <c r="AE92" s="1144">
        <f>+AE89</f>
        <v>44900.301000000007</v>
      </c>
      <c r="AF92" s="2114">
        <f t="shared" ref="AF92:AG92" si="40">+AF89</f>
        <v>325500</v>
      </c>
      <c r="AG92" s="2115">
        <f t="shared" si="40"/>
        <v>302099.38299999997</v>
      </c>
      <c r="AH92" s="5558">
        <f>+AH89</f>
        <v>52000</v>
      </c>
      <c r="AI92" s="1144">
        <f>+AI89</f>
        <v>8584.9840000000004</v>
      </c>
      <c r="AJ92" s="2114">
        <f t="shared" ref="AJ92:AK92" si="41">+AJ89</f>
        <v>377500</v>
      </c>
      <c r="AK92" s="2115">
        <f t="shared" si="41"/>
        <v>310684.36699999991</v>
      </c>
      <c r="AL92" s="5966">
        <f>+AL89</f>
        <v>54000</v>
      </c>
      <c r="AM92" s="1144">
        <f>+AM89</f>
        <v>40066.768000000004</v>
      </c>
      <c r="AN92" s="378">
        <f t="shared" ref="AN92:AU92" si="42">+AN89</f>
        <v>160000</v>
      </c>
      <c r="AO92" s="378">
        <f t="shared" si="42"/>
        <v>93552.053</v>
      </c>
      <c r="AP92" s="2114">
        <f t="shared" si="42"/>
        <v>431500</v>
      </c>
      <c r="AQ92" s="2115">
        <f t="shared" si="42"/>
        <v>350751.13499999989</v>
      </c>
      <c r="AR92" s="6119">
        <f>+AR89</f>
        <v>54000</v>
      </c>
      <c r="AS92" s="1144">
        <f>+AS89</f>
        <v>51039.178999999996</v>
      </c>
      <c r="AT92" s="2114">
        <f t="shared" si="42"/>
        <v>485500</v>
      </c>
      <c r="AU92" s="2115">
        <f t="shared" si="42"/>
        <v>401790.3139999999</v>
      </c>
      <c r="AV92" s="6282">
        <f>+AV89</f>
        <v>48000</v>
      </c>
      <c r="AW92" s="1144">
        <f>+AW89</f>
        <v>51009.48</v>
      </c>
      <c r="AX92" s="2114">
        <f t="shared" ref="AX92:AY92" si="43">+AX89</f>
        <v>533500</v>
      </c>
      <c r="AY92" s="2115">
        <f t="shared" si="43"/>
        <v>452799.79399999999</v>
      </c>
      <c r="AZ92" s="6437">
        <f>+AZ89</f>
        <v>60000</v>
      </c>
      <c r="BA92" s="1144">
        <f>+BA89</f>
        <v>62071.890000000007</v>
      </c>
      <c r="BB92" s="378">
        <f t="shared" ref="BB92:BE92" si="44">+BB89</f>
        <v>162000</v>
      </c>
      <c r="BC92" s="378">
        <f t="shared" si="44"/>
        <v>164120.549</v>
      </c>
      <c r="BD92" s="1627">
        <f t="shared" si="44"/>
        <v>322000</v>
      </c>
      <c r="BE92" s="1627">
        <f t="shared" si="44"/>
        <v>257672.60199999996</v>
      </c>
      <c r="BF92" s="2114">
        <f t="shared" ref="BF92:BG92" si="45">+BF89</f>
        <v>593500</v>
      </c>
      <c r="BG92" s="2115">
        <f t="shared" si="45"/>
        <v>514871.68399999995</v>
      </c>
      <c r="BH92" s="1222"/>
      <c r="BI92" s="1222"/>
      <c r="BJ92" s="26"/>
      <c r="BK92" s="26"/>
      <c r="BL92" s="26"/>
      <c r="BM92" s="26"/>
      <c r="BN92" s="1222"/>
    </row>
    <row r="93" spans="1:68" s="2836" customFormat="1" ht="15.75" thickBot="1" x14ac:dyDescent="0.3">
      <c r="A93" s="149"/>
      <c r="B93" s="1048" t="s">
        <v>849</v>
      </c>
      <c r="C93" s="1049"/>
      <c r="D93" s="1049"/>
      <c r="E93" s="2130" t="s">
        <v>49</v>
      </c>
      <c r="F93" s="2091"/>
      <c r="G93" s="2092">
        <f>+G92/G89</f>
        <v>1</v>
      </c>
      <c r="H93" s="2091"/>
      <c r="I93" s="2092">
        <f>+I92/I89</f>
        <v>1</v>
      </c>
      <c r="J93" s="2098"/>
      <c r="K93" s="2101">
        <f>+K92/K89</f>
        <v>1</v>
      </c>
      <c r="L93" s="2091"/>
      <c r="M93" s="2092">
        <f>+M92/M89</f>
        <v>1</v>
      </c>
      <c r="N93" s="2108"/>
      <c r="O93" s="2109">
        <f>+O92/O89</f>
        <v>1</v>
      </c>
      <c r="P93" s="2091"/>
      <c r="Q93" s="2092">
        <f>+Q92/Q89</f>
        <v>1</v>
      </c>
      <c r="R93" s="2116"/>
      <c r="S93" s="2117">
        <f>+S92/S89</f>
        <v>1</v>
      </c>
      <c r="T93" s="2091"/>
      <c r="U93" s="2092">
        <f>+U92/U89</f>
        <v>1</v>
      </c>
      <c r="V93" s="2116"/>
      <c r="W93" s="2117">
        <f>+W92/W89</f>
        <v>1</v>
      </c>
      <c r="X93" s="2091"/>
      <c r="Y93" s="2092">
        <f>+Y92/Y89</f>
        <v>1</v>
      </c>
      <c r="Z93" s="1500"/>
      <c r="AA93" s="1500">
        <f>+AA92/AA89</f>
        <v>1</v>
      </c>
      <c r="AB93" s="1623"/>
      <c r="AC93" s="1623">
        <f>+AC92/AC89</f>
        <v>1</v>
      </c>
      <c r="AD93" s="2091"/>
      <c r="AE93" s="2092">
        <f>+AE92/AE89</f>
        <v>1</v>
      </c>
      <c r="AF93" s="2116"/>
      <c r="AG93" s="2117">
        <f>+AG92/AG89</f>
        <v>1</v>
      </c>
      <c r="AH93" s="2091"/>
      <c r="AI93" s="2092">
        <f>+AI92/AI89</f>
        <v>1</v>
      </c>
      <c r="AJ93" s="2116"/>
      <c r="AK93" s="2117">
        <f>+AK92/AK89</f>
        <v>1</v>
      </c>
      <c r="AL93" s="2091"/>
      <c r="AM93" s="2092">
        <f>+AM92/AM89</f>
        <v>1</v>
      </c>
      <c r="AN93" s="1500"/>
      <c r="AO93" s="1500">
        <f>+AO92/AO89</f>
        <v>1</v>
      </c>
      <c r="AP93" s="2116"/>
      <c r="AQ93" s="2117">
        <f>+AQ92/AQ89</f>
        <v>1</v>
      </c>
      <c r="AR93" s="2091"/>
      <c r="AS93" s="2092">
        <f>+AS92/AS89</f>
        <v>1</v>
      </c>
      <c r="AT93" s="2116"/>
      <c r="AU93" s="2117">
        <f>+AU92/AU89</f>
        <v>1</v>
      </c>
      <c r="AV93" s="2091"/>
      <c r="AW93" s="2092">
        <f>+AW92/AW89</f>
        <v>1</v>
      </c>
      <c r="AX93" s="2116"/>
      <c r="AY93" s="2117">
        <f>+AY92/AY89</f>
        <v>1</v>
      </c>
      <c r="AZ93" s="2091"/>
      <c r="BA93" s="2092">
        <f>+BA92/BA89</f>
        <v>1</v>
      </c>
      <c r="BB93" s="1500"/>
      <c r="BC93" s="1500">
        <f>+BC92/BC89</f>
        <v>1</v>
      </c>
      <c r="BD93" s="1628"/>
      <c r="BE93" s="1628">
        <f>+BE92/BE89</f>
        <v>1</v>
      </c>
      <c r="BF93" s="2116"/>
      <c r="BG93" s="2117">
        <f>+BG92/BG89</f>
        <v>1</v>
      </c>
      <c r="BH93" s="1222"/>
      <c r="BI93" s="1222"/>
      <c r="BJ93" s="26"/>
      <c r="BK93" s="26"/>
      <c r="BL93" s="26"/>
      <c r="BM93" s="26"/>
      <c r="BN93" s="1222"/>
    </row>
    <row r="94" spans="1:68" ht="15.75" thickBot="1" x14ac:dyDescent="0.3">
      <c r="A94" s="149"/>
      <c r="B94" s="862" t="s">
        <v>1495</v>
      </c>
      <c r="C94" s="862"/>
      <c r="D94" s="814" t="s">
        <v>49</v>
      </c>
      <c r="E94" s="1707"/>
      <c r="F94" s="1707"/>
      <c r="G94" s="1701">
        <f>G95/G97</f>
        <v>0.12209070355100413</v>
      </c>
      <c r="H94" s="1707"/>
      <c r="I94" s="1701">
        <f>I95/I97</f>
        <v>9.6796260403602785E-2</v>
      </c>
      <c r="J94" s="1702"/>
      <c r="K94" s="1702">
        <f>K95/K97</f>
        <v>0.10847145488029467</v>
      </c>
      <c r="L94" s="1707"/>
      <c r="M94" s="1701">
        <f>M95/M97</f>
        <v>2.108745089931776E-2</v>
      </c>
      <c r="N94" s="1703"/>
      <c r="O94" s="2132">
        <f>O95/O97</f>
        <v>8.8464997396696166E-2</v>
      </c>
      <c r="P94" s="1707"/>
      <c r="Q94" s="1701">
        <f>Q95/Q97</f>
        <v>7.5167785234899323E-2</v>
      </c>
      <c r="R94" s="1701"/>
      <c r="S94" s="1701">
        <f>S95/S97</f>
        <v>8.4998425307065126E-2</v>
      </c>
      <c r="T94" s="1707"/>
      <c r="U94" s="1701">
        <f>U95/U97</f>
        <v>2.892030848329049E-2</v>
      </c>
      <c r="V94" s="1701"/>
      <c r="W94" s="1701">
        <f>W95/W97</f>
        <v>7.4969110083043591E-2</v>
      </c>
      <c r="X94" s="1707"/>
      <c r="Y94" s="1701">
        <f>Y95/Y97</f>
        <v>5.9171597633136093E-3</v>
      </c>
      <c r="Z94" s="1703"/>
      <c r="AA94" s="1703">
        <f>AA95/AA97</f>
        <v>3.6406531896192813E-2</v>
      </c>
      <c r="AB94" s="1704"/>
      <c r="AC94" s="1705">
        <f>AC95/AC97</f>
        <v>6.2137376005989148E-2</v>
      </c>
      <c r="AD94" s="1707"/>
      <c r="AE94" s="1701">
        <f>AE95/AE97</f>
        <v>5.2254530130636329E-2</v>
      </c>
      <c r="AF94" s="1701"/>
      <c r="AG94" s="2133">
        <f>AG95/AG97</f>
        <v>6.0726390309447889E-2</v>
      </c>
      <c r="AH94" s="1707"/>
      <c r="AI94" s="1701">
        <f>AI95/AI97</f>
        <v>0</v>
      </c>
      <c r="AJ94" s="1701"/>
      <c r="AK94" s="2133">
        <f>AK95/AK97</f>
        <v>5.8137972083021329E-2</v>
      </c>
      <c r="AL94" s="1707"/>
      <c r="AM94" s="1701">
        <f>AM95/AM97</f>
        <v>7.6842263244784631E-2</v>
      </c>
      <c r="AN94" s="1703"/>
      <c r="AO94" s="1703">
        <f>AO95/AO97</f>
        <v>5.5243094613173352E-2</v>
      </c>
      <c r="AP94" s="1701"/>
      <c r="AQ94" s="2133">
        <f>AQ95/AQ97</f>
        <v>6.0259421918088037E-2</v>
      </c>
      <c r="AR94" s="1707"/>
      <c r="AS94" s="1701">
        <f>AS95/AS97</f>
        <v>6.7972907595549109E-2</v>
      </c>
      <c r="AT94" s="1701"/>
      <c r="AU94" s="1701">
        <f>AU95/AU97</f>
        <v>6.1211090219954037E-2</v>
      </c>
      <c r="AV94" s="1707"/>
      <c r="AW94" s="1701">
        <f>AW95/AW97</f>
        <v>4.4193216855087356E-2</v>
      </c>
      <c r="AX94" s="1701"/>
      <c r="AY94" s="6379">
        <f>AY95/AY97</f>
        <v>5.9440091981069011E-2</v>
      </c>
      <c r="AZ94" s="1707"/>
      <c r="BA94" s="1701">
        <f>BA95/BA97</f>
        <v>7.2546555466697138E-2</v>
      </c>
      <c r="BB94" s="1500"/>
      <c r="BC94" s="1500">
        <f>BC95/BC97</f>
        <v>6.2124571658939733E-2</v>
      </c>
      <c r="BD94" s="1628"/>
      <c r="BE94" s="1628">
        <f>BE95/BE97</f>
        <v>5.9426078859019286E-2</v>
      </c>
      <c r="BF94" s="1552"/>
      <c r="BG94" s="1552">
        <f>BG95/BG97</f>
        <v>6.0813156036432836E-2</v>
      </c>
      <c r="BH94" s="1222"/>
      <c r="BI94" s="1222"/>
      <c r="BJ94" s="26"/>
      <c r="BK94" s="26"/>
      <c r="BL94" s="26"/>
      <c r="BM94" s="26"/>
      <c r="BN94" s="1222"/>
    </row>
    <row r="95" spans="1:68" s="5172" customFormat="1" ht="15.75" hidden="1" x14ac:dyDescent="0.25">
      <c r="A95" s="149"/>
      <c r="B95" s="6021" t="s">
        <v>2181</v>
      </c>
      <c r="C95" s="6022"/>
      <c r="D95" s="6023" t="s">
        <v>354</v>
      </c>
      <c r="E95" s="1707"/>
      <c r="F95" s="1707"/>
      <c r="G95" s="3607">
        <v>918</v>
      </c>
      <c r="H95" s="1707"/>
      <c r="I95" s="3607">
        <v>849</v>
      </c>
      <c r="J95" s="1702"/>
      <c r="K95" s="39">
        <f t="shared" ref="K95:K97" si="46">+G95+I95</f>
        <v>1767</v>
      </c>
      <c r="L95" s="1707"/>
      <c r="M95" s="3607">
        <v>102</v>
      </c>
      <c r="N95" s="1703"/>
      <c r="O95" s="6581">
        <f t="shared" ref="O95:O97" si="47">+G95+I95+M95</f>
        <v>1869</v>
      </c>
      <c r="P95" s="1707"/>
      <c r="Q95" s="3607">
        <v>560</v>
      </c>
      <c r="R95" s="1701"/>
      <c r="S95" s="6584">
        <f t="shared" ref="S95:S97" si="48">+O95+Q95</f>
        <v>2429</v>
      </c>
      <c r="T95" s="1707"/>
      <c r="U95" s="3607">
        <v>180</v>
      </c>
      <c r="V95" s="1701"/>
      <c r="W95" s="6584">
        <f t="shared" ref="W95:W97" si="49">+S95+U95</f>
        <v>2609</v>
      </c>
      <c r="X95" s="1707"/>
      <c r="Y95" s="3607">
        <v>47</v>
      </c>
      <c r="Z95" s="1703"/>
      <c r="AA95" s="6581">
        <f t="shared" ref="AA95:AA97" si="50">+Q95+U95+Y95</f>
        <v>787</v>
      </c>
      <c r="AB95" s="1704"/>
      <c r="AC95" s="6583">
        <f t="shared" ref="AC95:AC97" si="51">+AA95+O95</f>
        <v>2656</v>
      </c>
      <c r="AD95" s="1707"/>
      <c r="AE95" s="3607">
        <v>372</v>
      </c>
      <c r="AF95" s="1701"/>
      <c r="AG95" s="39">
        <f t="shared" ref="AG95:AG97" si="52">+AC95+AE95</f>
        <v>3028</v>
      </c>
      <c r="AH95" s="1707"/>
      <c r="AI95" s="3607">
        <v>0</v>
      </c>
      <c r="AJ95" s="1701"/>
      <c r="AK95" s="39">
        <f t="shared" ref="AK95:AK97" si="53">+AG95+AI95</f>
        <v>3028</v>
      </c>
      <c r="AL95" s="1707"/>
      <c r="AM95" s="3607">
        <v>512</v>
      </c>
      <c r="AN95" s="1703"/>
      <c r="AO95" s="6581">
        <f t="shared" ref="AO95:AO97" si="54">+AE95+AI95+AM95</f>
        <v>884</v>
      </c>
      <c r="AP95" s="1701"/>
      <c r="AQ95" s="6584">
        <f t="shared" ref="AQ95:AQ97" si="55">AK95+AM95</f>
        <v>3540</v>
      </c>
      <c r="AR95" s="1707"/>
      <c r="AS95" s="3607">
        <v>562</v>
      </c>
      <c r="AT95" s="1701"/>
      <c r="AU95" s="39">
        <f t="shared" ref="AU95:AU96" si="56">+AQ95+AS95</f>
        <v>4102</v>
      </c>
      <c r="AV95" s="1707"/>
      <c r="AW95" s="3607">
        <v>344</v>
      </c>
      <c r="AX95" s="1701"/>
      <c r="AY95" s="39">
        <f t="shared" ref="AY95:AY96" si="57">+AU95+AW95</f>
        <v>4446</v>
      </c>
      <c r="AZ95" s="1707"/>
      <c r="BA95" s="3607">
        <v>635</v>
      </c>
      <c r="BB95" s="1703"/>
      <c r="BC95" s="6581">
        <f t="shared" ref="BC95:BC97" si="58">+AS95+AW95+BA95</f>
        <v>1541</v>
      </c>
      <c r="BD95" s="1704"/>
      <c r="BE95" s="662">
        <f t="shared" ref="BE95:BE97" si="59">+AO95+BC95</f>
        <v>2425</v>
      </c>
      <c r="BF95" s="1702"/>
      <c r="BG95" s="39">
        <f t="shared" ref="BG95:BG96" si="60">+AY95+BA95</f>
        <v>5081</v>
      </c>
      <c r="BH95" s="1222"/>
      <c r="BI95" s="1222"/>
      <c r="BJ95" s="26"/>
      <c r="BK95" s="26"/>
      <c r="BL95" s="26"/>
      <c r="BM95" s="26"/>
      <c r="BN95" s="1222"/>
    </row>
    <row r="96" spans="1:68" s="5172" customFormat="1" ht="15.75" hidden="1" x14ac:dyDescent="0.25">
      <c r="A96" s="149"/>
      <c r="B96" s="6021" t="s">
        <v>2182</v>
      </c>
      <c r="C96" s="6022"/>
      <c r="D96" s="6023" t="s">
        <v>354</v>
      </c>
      <c r="E96" s="1707"/>
      <c r="F96" s="1707"/>
      <c r="G96" s="3607">
        <v>6601</v>
      </c>
      <c r="H96" s="1707"/>
      <c r="I96" s="3607">
        <v>7922</v>
      </c>
      <c r="J96" s="1702"/>
      <c r="K96" s="39">
        <f t="shared" si="46"/>
        <v>14523</v>
      </c>
      <c r="L96" s="1707"/>
      <c r="M96" s="3607">
        <v>4735</v>
      </c>
      <c r="N96" s="1703"/>
      <c r="O96" s="6581">
        <f t="shared" si="47"/>
        <v>19258</v>
      </c>
      <c r="P96" s="1707"/>
      <c r="Q96" s="3607">
        <v>6890</v>
      </c>
      <c r="R96" s="1701"/>
      <c r="S96" s="6584">
        <f t="shared" si="48"/>
        <v>26148</v>
      </c>
      <c r="T96" s="1707"/>
      <c r="U96" s="3607">
        <v>6044</v>
      </c>
      <c r="V96" s="1701"/>
      <c r="W96" s="6584">
        <f t="shared" si="49"/>
        <v>32192</v>
      </c>
      <c r="X96" s="1707"/>
      <c r="Y96" s="3607">
        <v>7896</v>
      </c>
      <c r="Z96" s="1703"/>
      <c r="AA96" s="6581">
        <f t="shared" si="50"/>
        <v>20830</v>
      </c>
      <c r="AB96" s="1704"/>
      <c r="AC96" s="6583">
        <f t="shared" si="51"/>
        <v>40088</v>
      </c>
      <c r="AD96" s="1707"/>
      <c r="AE96" s="3607">
        <v>6747</v>
      </c>
      <c r="AF96" s="1701"/>
      <c r="AG96" s="39">
        <f t="shared" si="52"/>
        <v>46835</v>
      </c>
      <c r="AH96" s="1707"/>
      <c r="AI96" s="3607">
        <v>2220</v>
      </c>
      <c r="AJ96" s="1701"/>
      <c r="AK96" s="39">
        <f t="shared" si="53"/>
        <v>49055</v>
      </c>
      <c r="AL96" s="1707"/>
      <c r="AM96" s="3607">
        <v>6151</v>
      </c>
      <c r="AN96" s="1703"/>
      <c r="AO96" s="6581">
        <f t="shared" si="54"/>
        <v>15118</v>
      </c>
      <c r="AP96" s="1701"/>
      <c r="AQ96" s="6584">
        <f t="shared" si="55"/>
        <v>55206</v>
      </c>
      <c r="AR96" s="1707"/>
      <c r="AS96" s="3607">
        <v>7706</v>
      </c>
      <c r="AT96" s="1701"/>
      <c r="AU96" s="39">
        <f t="shared" si="56"/>
        <v>62912</v>
      </c>
      <c r="AV96" s="1707"/>
      <c r="AW96" s="3607">
        <v>7440</v>
      </c>
      <c r="AX96" s="1701"/>
      <c r="AY96" s="39">
        <f t="shared" si="57"/>
        <v>70352</v>
      </c>
      <c r="AZ96" s="1707"/>
      <c r="BA96" s="3607">
        <v>8118</v>
      </c>
      <c r="BB96" s="1703"/>
      <c r="BC96" s="6581">
        <f t="shared" si="58"/>
        <v>23264</v>
      </c>
      <c r="BD96" s="1704"/>
      <c r="BE96" s="662">
        <f t="shared" si="59"/>
        <v>38382</v>
      </c>
      <c r="BF96" s="1702"/>
      <c r="BG96" s="39">
        <f t="shared" si="60"/>
        <v>78470</v>
      </c>
      <c r="BH96" s="1222"/>
      <c r="BI96" s="1222"/>
      <c r="BJ96" s="26"/>
      <c r="BK96" s="26"/>
      <c r="BL96" s="26"/>
      <c r="BM96" s="26"/>
      <c r="BN96" s="1222"/>
      <c r="BO96" s="7127"/>
      <c r="BP96" s="7127"/>
    </row>
    <row r="97" spans="1:67" s="5172" customFormat="1" ht="16.5" hidden="1" thickBot="1" x14ac:dyDescent="0.3">
      <c r="A97" s="149"/>
      <c r="B97" s="6021" t="s">
        <v>2183</v>
      </c>
      <c r="C97" s="6022"/>
      <c r="D97" s="6023" t="s">
        <v>354</v>
      </c>
      <c r="E97" s="1707"/>
      <c r="F97" s="1707"/>
      <c r="G97" s="3607">
        <f>G95+G96</f>
        <v>7519</v>
      </c>
      <c r="H97" s="1707"/>
      <c r="I97" s="3607">
        <f>I95+I96</f>
        <v>8771</v>
      </c>
      <c r="J97" s="1702"/>
      <c r="K97" s="39">
        <f t="shared" si="46"/>
        <v>16290</v>
      </c>
      <c r="L97" s="1707"/>
      <c r="M97" s="3607">
        <f>M95+M96</f>
        <v>4837</v>
      </c>
      <c r="N97" s="1703"/>
      <c r="O97" s="6581">
        <f t="shared" si="47"/>
        <v>21127</v>
      </c>
      <c r="P97" s="1707"/>
      <c r="Q97" s="3607">
        <f>Q95+Q96</f>
        <v>7450</v>
      </c>
      <c r="R97" s="1701"/>
      <c r="S97" s="6584">
        <f t="shared" si="48"/>
        <v>28577</v>
      </c>
      <c r="T97" s="1707"/>
      <c r="U97" s="3607">
        <f>U95+U96</f>
        <v>6224</v>
      </c>
      <c r="V97" s="1701"/>
      <c r="W97" s="6584">
        <f t="shared" si="49"/>
        <v>34801</v>
      </c>
      <c r="X97" s="1707"/>
      <c r="Y97" s="3607">
        <f>Y95+Y96</f>
        <v>7943</v>
      </c>
      <c r="Z97" s="1703"/>
      <c r="AA97" s="6581">
        <f t="shared" si="50"/>
        <v>21617</v>
      </c>
      <c r="AB97" s="1704"/>
      <c r="AC97" s="6583">
        <f t="shared" si="51"/>
        <v>42744</v>
      </c>
      <c r="AD97" s="1707"/>
      <c r="AE97" s="3607">
        <f>AE95+AE96</f>
        <v>7119</v>
      </c>
      <c r="AF97" s="1701"/>
      <c r="AG97" s="39">
        <f t="shared" si="52"/>
        <v>49863</v>
      </c>
      <c r="AH97" s="1707"/>
      <c r="AI97" s="3607">
        <f>AI95+AI96</f>
        <v>2220</v>
      </c>
      <c r="AJ97" s="1701"/>
      <c r="AK97" s="39">
        <f t="shared" si="53"/>
        <v>52083</v>
      </c>
      <c r="AL97" s="1707"/>
      <c r="AM97" s="3607">
        <f>AM95+AM96</f>
        <v>6663</v>
      </c>
      <c r="AN97" s="1703"/>
      <c r="AO97" s="6581">
        <f t="shared" si="54"/>
        <v>16002</v>
      </c>
      <c r="AP97" s="1701"/>
      <c r="AQ97" s="6584">
        <f t="shared" si="55"/>
        <v>58746</v>
      </c>
      <c r="AR97" s="1707"/>
      <c r="AS97" s="3607">
        <f>AS95+AS96</f>
        <v>8268</v>
      </c>
      <c r="AT97" s="1701"/>
      <c r="AU97" s="6584">
        <f t="shared" ref="AU97" si="61">+AQ97+AS97</f>
        <v>67014</v>
      </c>
      <c r="AV97" s="1707"/>
      <c r="AW97" s="3607">
        <f>AW95+AW96</f>
        <v>7784</v>
      </c>
      <c r="AX97" s="1701"/>
      <c r="AY97" s="6584">
        <f t="shared" ref="AY97" si="62">+AU97+AW97</f>
        <v>74798</v>
      </c>
      <c r="AZ97" s="1707"/>
      <c r="BA97" s="3607">
        <f>BA95+BA96</f>
        <v>8753</v>
      </c>
      <c r="BB97" s="1703"/>
      <c r="BC97" s="6581">
        <f t="shared" si="58"/>
        <v>24805</v>
      </c>
      <c r="BD97" s="1704"/>
      <c r="BE97" s="662">
        <f t="shared" si="59"/>
        <v>40807</v>
      </c>
      <c r="BF97" s="1702"/>
      <c r="BG97" s="6584">
        <f t="shared" ref="BG97" si="63">+AY97+BA97</f>
        <v>83551</v>
      </c>
      <c r="BH97" s="1222"/>
      <c r="BI97" s="1222"/>
      <c r="BJ97" s="26"/>
      <c r="BK97" s="26"/>
      <c r="BL97" s="26"/>
      <c r="BM97" s="26"/>
      <c r="BN97" s="1222"/>
    </row>
    <row r="98" spans="1:67" ht="19.5" thickBot="1" x14ac:dyDescent="0.3">
      <c r="B98" s="1924" t="s">
        <v>53</v>
      </c>
      <c r="C98" s="188"/>
      <c r="D98" s="188"/>
      <c r="E98" s="2131"/>
      <c r="F98" s="1924"/>
      <c r="G98" s="2119"/>
      <c r="H98" s="1924"/>
      <c r="I98" s="2119"/>
      <c r="J98" s="188"/>
      <c r="K98" s="188"/>
      <c r="L98" s="1924"/>
      <c r="M98" s="2119"/>
      <c r="N98" s="1924"/>
      <c r="O98" s="2119"/>
      <c r="P98" s="1924"/>
      <c r="Q98" s="2119"/>
      <c r="R98" s="1924"/>
      <c r="S98" s="2119"/>
      <c r="T98" s="1924"/>
      <c r="U98" s="2119"/>
      <c r="V98" s="1924"/>
      <c r="W98" s="2119"/>
      <c r="X98" s="1924"/>
      <c r="Y98" s="2119"/>
      <c r="Z98" s="188"/>
      <c r="AA98" s="188"/>
      <c r="AB98" s="188"/>
      <c r="AC98" s="188"/>
      <c r="AD98" s="1924"/>
      <c r="AE98" s="2119"/>
      <c r="AF98" s="1924"/>
      <c r="AG98" s="2119"/>
      <c r="AH98" s="1924"/>
      <c r="AI98" s="2119"/>
      <c r="AJ98" s="1924"/>
      <c r="AK98" s="2119"/>
      <c r="AL98" s="1924"/>
      <c r="AM98" s="2119"/>
      <c r="AN98" s="188"/>
      <c r="AO98" s="188"/>
      <c r="AP98" s="1924"/>
      <c r="AQ98" s="2119"/>
      <c r="AR98" s="1924"/>
      <c r="AS98" s="2119"/>
      <c r="AT98" s="1924"/>
      <c r="AU98" s="2119"/>
      <c r="AV98" s="1924"/>
      <c r="AW98" s="2119"/>
      <c r="AX98" s="1924"/>
      <c r="AY98" s="2119"/>
      <c r="AZ98" s="1924"/>
      <c r="BA98" s="2119"/>
      <c r="BB98" s="188"/>
      <c r="BC98" s="188"/>
      <c r="BD98" s="188"/>
      <c r="BE98" s="188"/>
      <c r="BF98" s="1924"/>
      <c r="BG98" s="2119"/>
      <c r="BH98" s="1222"/>
      <c r="BI98" s="1222"/>
      <c r="BJ98" s="26"/>
      <c r="BK98" s="26"/>
      <c r="BL98" s="26"/>
      <c r="BM98" s="26"/>
      <c r="BN98" s="1222"/>
    </row>
    <row r="99" spans="1:67" x14ac:dyDescent="0.25">
      <c r="B99" s="864" t="s">
        <v>93</v>
      </c>
      <c r="C99" s="2120"/>
      <c r="D99" s="2120"/>
      <c r="E99" s="820" t="s">
        <v>221</v>
      </c>
      <c r="F99" s="820">
        <f>+F2*24</f>
        <v>720</v>
      </c>
      <c r="G99" s="820">
        <f>+G2*24</f>
        <v>720</v>
      </c>
      <c r="H99" s="820">
        <f>+H2*24</f>
        <v>744</v>
      </c>
      <c r="I99" s="820">
        <f>+I2*24</f>
        <v>744</v>
      </c>
      <c r="J99" s="3978">
        <f>+F99+H99</f>
        <v>1464</v>
      </c>
      <c r="K99" s="3978">
        <f>+G99+I99</f>
        <v>1464</v>
      </c>
      <c r="L99" s="820">
        <f>+L2*24</f>
        <v>720</v>
      </c>
      <c r="M99" s="820">
        <f>+M2*24</f>
        <v>720</v>
      </c>
      <c r="N99" s="618">
        <f>+F99+H99+L99</f>
        <v>2184</v>
      </c>
      <c r="O99" s="618">
        <f>+G99+I99+M99</f>
        <v>2184</v>
      </c>
      <c r="P99" s="820">
        <f>+P2*24</f>
        <v>744</v>
      </c>
      <c r="Q99" s="820">
        <f>+Q2*24</f>
        <v>744</v>
      </c>
      <c r="R99" s="3978">
        <f>+N99+P99</f>
        <v>2928</v>
      </c>
      <c r="S99" s="3978">
        <f>+O99+Q99</f>
        <v>2928</v>
      </c>
      <c r="T99" s="820">
        <f>+T2*24</f>
        <v>744</v>
      </c>
      <c r="U99" s="820">
        <f>+U2*24</f>
        <v>744</v>
      </c>
      <c r="V99" s="3978">
        <f>+R99+T99</f>
        <v>3672</v>
      </c>
      <c r="W99" s="3978">
        <f>+S99+U99</f>
        <v>3672</v>
      </c>
      <c r="X99" s="820">
        <f>+X2*24</f>
        <v>720</v>
      </c>
      <c r="Y99" s="820">
        <f>+Y2*24</f>
        <v>720</v>
      </c>
      <c r="Z99" s="618">
        <f>+P99+T99+X99</f>
        <v>2208</v>
      </c>
      <c r="AA99" s="618">
        <f>+Q99+U99+Y99</f>
        <v>2208</v>
      </c>
      <c r="AB99" s="1052">
        <f>+N99+Z99</f>
        <v>4392</v>
      </c>
      <c r="AC99" s="1052">
        <f>+AA99+O99</f>
        <v>4392</v>
      </c>
      <c r="AD99" s="820">
        <f>+AD2*24</f>
        <v>744</v>
      </c>
      <c r="AE99" s="820">
        <f>+AE2*24</f>
        <v>744</v>
      </c>
      <c r="AF99" s="3978">
        <f>+AB99+AD99</f>
        <v>5136</v>
      </c>
      <c r="AG99" s="3978">
        <f>+AC99+AE99</f>
        <v>5136</v>
      </c>
      <c r="AH99" s="820">
        <f>+AH2*24</f>
        <v>720</v>
      </c>
      <c r="AI99" s="820">
        <f>+AI2*24</f>
        <v>720</v>
      </c>
      <c r="AJ99" s="3978">
        <f>+AF99+AH99</f>
        <v>5856</v>
      </c>
      <c r="AK99" s="3978">
        <f>+AG99+AI99</f>
        <v>5856</v>
      </c>
      <c r="AL99" s="820">
        <f>+AL2*24</f>
        <v>744</v>
      </c>
      <c r="AM99" s="820">
        <f>+AM2*24</f>
        <v>744</v>
      </c>
      <c r="AN99" s="618">
        <f>+AD99+AH99+AL99</f>
        <v>2208</v>
      </c>
      <c r="AO99" s="618">
        <f>+AE99+AI99+AM99</f>
        <v>2208</v>
      </c>
      <c r="AP99" s="373">
        <f t="shared" ref="AP99" si="64">AJ99+AL99</f>
        <v>6600</v>
      </c>
      <c r="AQ99" s="373">
        <f t="shared" ref="AQ99" si="65">AK99+AM99</f>
        <v>6600</v>
      </c>
      <c r="AR99" s="820">
        <f>+AR2*24</f>
        <v>744</v>
      </c>
      <c r="AS99" s="820">
        <f>+AS2*24</f>
        <v>744</v>
      </c>
      <c r="AT99" s="3978">
        <f>+AP99+AR99</f>
        <v>7344</v>
      </c>
      <c r="AU99" s="3978">
        <f>+AQ99+AS99</f>
        <v>7344</v>
      </c>
      <c r="AV99" s="820">
        <f>+AV2*24</f>
        <v>672</v>
      </c>
      <c r="AW99" s="820">
        <f>+AW2*24</f>
        <v>672</v>
      </c>
      <c r="AX99" s="3978">
        <f>+AT99+AV99</f>
        <v>8016</v>
      </c>
      <c r="AY99" s="3978">
        <f>+AU99+AW99</f>
        <v>8016</v>
      </c>
      <c r="AZ99" s="820">
        <f>+AZ2*24</f>
        <v>744</v>
      </c>
      <c r="BA99" s="820">
        <f>+BA2*24</f>
        <v>744</v>
      </c>
      <c r="BB99" s="618">
        <f>+AR99+AV99+AZ99</f>
        <v>2160</v>
      </c>
      <c r="BC99" s="618">
        <f>+AS99+AW99+BA99</f>
        <v>2160</v>
      </c>
      <c r="BD99" s="6853">
        <f t="shared" ref="BD99" si="66">+AN99+BB99</f>
        <v>4368</v>
      </c>
      <c r="BE99" s="6853">
        <f t="shared" ref="BE99" si="67">+AO99+BC99</f>
        <v>4368</v>
      </c>
      <c r="BF99" s="3978">
        <f>+AX99+AZ99</f>
        <v>8760</v>
      </c>
      <c r="BG99" s="3723">
        <f>+AY99+BA99</f>
        <v>8760</v>
      </c>
      <c r="BH99" s="1222"/>
      <c r="BI99" s="1222"/>
      <c r="BJ99" s="26"/>
      <c r="BK99" s="26"/>
      <c r="BL99" s="26"/>
      <c r="BM99" s="26"/>
      <c r="BN99" s="1222"/>
    </row>
    <row r="100" spans="1:67" x14ac:dyDescent="0.25">
      <c r="B100" s="6931" t="s">
        <v>303</v>
      </c>
      <c r="C100" s="6913"/>
      <c r="D100" s="6913"/>
      <c r="E100" s="6531" t="s">
        <v>49</v>
      </c>
      <c r="F100" s="6915">
        <f>+F101/F99*100</f>
        <v>90</v>
      </c>
      <c r="G100" s="6915">
        <f>+G101/G99*100</f>
        <v>74.363425925925924</v>
      </c>
      <c r="H100" s="6915">
        <f>+H101/H99*100</f>
        <v>90.322580645161281</v>
      </c>
      <c r="I100" s="6915">
        <f>+I101/I99*100</f>
        <v>84.621415770609346</v>
      </c>
      <c r="J100" s="6916">
        <f t="shared" ref="J100:AC100" si="68">+J101/J99*100</f>
        <v>90.163934426229503</v>
      </c>
      <c r="K100" s="6916">
        <f t="shared" si="68"/>
        <v>79.576502732240442</v>
      </c>
      <c r="L100" s="6915">
        <f>+L101/L99*100</f>
        <v>80</v>
      </c>
      <c r="M100" s="6915">
        <f>+M101/M99*100</f>
        <v>57.916666666666671</v>
      </c>
      <c r="N100" s="6917">
        <f t="shared" si="68"/>
        <v>86.813186813186817</v>
      </c>
      <c r="O100" s="6917">
        <f t="shared" si="68"/>
        <v>72.435897435897431</v>
      </c>
      <c r="P100" s="6915">
        <f>+P101/P99*100</f>
        <v>25.806451612903224</v>
      </c>
      <c r="Q100" s="6915">
        <f>+Q101/Q99*100</f>
        <v>77.150537634408607</v>
      </c>
      <c r="R100" s="6916">
        <f t="shared" si="68"/>
        <v>71.311475409836063</v>
      </c>
      <c r="S100" s="6916">
        <f t="shared" si="68"/>
        <v>73.63387978142076</v>
      </c>
      <c r="T100" s="6915">
        <f>+T101/T99*100</f>
        <v>90.322580645161281</v>
      </c>
      <c r="U100" s="6915">
        <f>+U101/U99*100</f>
        <v>76.993727598566309</v>
      </c>
      <c r="V100" s="6916">
        <f t="shared" ref="V100:W100" si="69">+V101/V99*100</f>
        <v>75.16339869281046</v>
      </c>
      <c r="W100" s="6916">
        <f t="shared" si="69"/>
        <v>74.314633260711688</v>
      </c>
      <c r="X100" s="6915">
        <f>+X101/X99*100</f>
        <v>90</v>
      </c>
      <c r="Y100" s="6915">
        <f>+Y101/Y99*100</f>
        <v>79.571759259259252</v>
      </c>
      <c r="Z100" s="6917">
        <f t="shared" si="68"/>
        <v>68.478260869565219</v>
      </c>
      <c r="AA100" s="6917">
        <f t="shared" si="68"/>
        <v>77.887228260869563</v>
      </c>
      <c r="AB100" s="6918">
        <f t="shared" si="68"/>
        <v>77.595628415300538</v>
      </c>
      <c r="AC100" s="6918">
        <f t="shared" si="68"/>
        <v>75.176457194899811</v>
      </c>
      <c r="AD100" s="6915">
        <f>+AD101/AD99*100</f>
        <v>90.322580645161281</v>
      </c>
      <c r="AE100" s="6915">
        <f>+AE101/AE99*100</f>
        <v>80.096774193548384</v>
      </c>
      <c r="AF100" s="6916">
        <f t="shared" ref="AF100:AG100" si="70">+AF101/AF99*100</f>
        <v>79.43925233644859</v>
      </c>
      <c r="AG100" s="6916">
        <f t="shared" si="70"/>
        <v>75.889213395638635</v>
      </c>
      <c r="AH100" s="6915">
        <f>+AH101/AH99*100</f>
        <v>90</v>
      </c>
      <c r="AI100" s="6915">
        <f>+AI101/AI99*100</f>
        <v>21.886574074074076</v>
      </c>
      <c r="AJ100" s="6916">
        <f t="shared" ref="AJ100:AK100" si="71">+AJ101/AJ99*100</f>
        <v>80.737704918032776</v>
      </c>
      <c r="AK100" s="6916">
        <f t="shared" si="71"/>
        <v>69.249544626593803</v>
      </c>
      <c r="AL100" s="6915">
        <f>+AL101/AL99*100</f>
        <v>90.322580645161281</v>
      </c>
      <c r="AM100" s="6915">
        <f>+AM101/AM99*100</f>
        <v>74.585573476702521</v>
      </c>
      <c r="AN100" s="6917">
        <f t="shared" ref="AN100:AQ100" si="72">+AN101/AN99*100</f>
        <v>90.217391304347828</v>
      </c>
      <c r="AO100" s="6917">
        <f t="shared" si="72"/>
        <v>59.258152173913047</v>
      </c>
      <c r="AP100" s="6916">
        <f t="shared" si="72"/>
        <v>81.818181818181827</v>
      </c>
      <c r="AQ100" s="6916">
        <f t="shared" si="72"/>
        <v>69.851060606060614</v>
      </c>
      <c r="AR100" s="6915">
        <f>+AR101/AR99*100</f>
        <v>90.322580645161281</v>
      </c>
      <c r="AS100" s="6915">
        <f>+AS101/AS99*100</f>
        <v>84.968637992831546</v>
      </c>
      <c r="AT100" s="6916">
        <f t="shared" ref="AT100:AU100" si="73">+AT101/AT99*100</f>
        <v>82.679738562091501</v>
      </c>
      <c r="AU100" s="6916">
        <f t="shared" si="73"/>
        <v>71.382579883805377</v>
      </c>
      <c r="AV100" s="6915">
        <f>+AV101/AV99*100</f>
        <v>89.285714285714292</v>
      </c>
      <c r="AW100" s="6915">
        <f>+AW101/AW99*100</f>
        <v>80.543154761904773</v>
      </c>
      <c r="AX100" s="6916">
        <f t="shared" ref="AX100:AY100" si="74">+AX101/AX99*100</f>
        <v>83.233532934131745</v>
      </c>
      <c r="AY100" s="6916">
        <f t="shared" si="74"/>
        <v>72.150532268795743</v>
      </c>
      <c r="AZ100" s="6915">
        <f>+AZ101/AZ99*100</f>
        <v>90.322580645161281</v>
      </c>
      <c r="BA100" s="6915">
        <f>+BA101/BA99*100</f>
        <v>83.680555555555557</v>
      </c>
      <c r="BB100" s="6917">
        <f t="shared" ref="BB100:BE100" si="75">+BB101/BB99*100</f>
        <v>90</v>
      </c>
      <c r="BC100" s="6917">
        <f t="shared" si="75"/>
        <v>83.148148148148152</v>
      </c>
      <c r="BD100" s="6919">
        <f t="shared" si="75"/>
        <v>90.109890109890117</v>
      </c>
      <c r="BE100" s="6919">
        <f t="shared" si="75"/>
        <v>71.071886446886452</v>
      </c>
      <c r="BF100" s="6916">
        <f t="shared" ref="BF100:BG100" si="76">+BF101/BF99*100</f>
        <v>83.835616438356169</v>
      </c>
      <c r="BG100" s="6932">
        <f t="shared" si="76"/>
        <v>73.129794520547946</v>
      </c>
      <c r="BH100" s="1222"/>
      <c r="BI100" s="1222"/>
      <c r="BJ100" s="26"/>
      <c r="BK100" s="26"/>
      <c r="BL100" s="26"/>
      <c r="BM100" s="26"/>
      <c r="BN100" s="1222"/>
    </row>
    <row r="101" spans="1:67" x14ac:dyDescent="0.25">
      <c r="B101" s="6931" t="s">
        <v>302</v>
      </c>
      <c r="C101" s="6913"/>
      <c r="D101" s="6913"/>
      <c r="E101" s="6531" t="s">
        <v>221</v>
      </c>
      <c r="F101" s="6531">
        <v>648</v>
      </c>
      <c r="G101" s="6526">
        <v>535.41666666666663</v>
      </c>
      <c r="H101" s="7203">
        <v>672</v>
      </c>
      <c r="I101" s="6526">
        <v>629.58333333333348</v>
      </c>
      <c r="J101" s="6914">
        <f>+F101+H101</f>
        <v>1320</v>
      </c>
      <c r="K101" s="6672">
        <f>+G101+I101</f>
        <v>1165</v>
      </c>
      <c r="L101" s="6531">
        <v>576</v>
      </c>
      <c r="M101" s="6526">
        <v>417</v>
      </c>
      <c r="N101" s="6680">
        <f>+F101+H101+L101</f>
        <v>1896</v>
      </c>
      <c r="O101" s="6680">
        <f>+G101+I101+M101</f>
        <v>1582</v>
      </c>
      <c r="P101" s="6531">
        <v>192</v>
      </c>
      <c r="Q101" s="6526">
        <v>574</v>
      </c>
      <c r="R101" s="6914">
        <f>+N101+P101</f>
        <v>2088</v>
      </c>
      <c r="S101" s="6672">
        <f>+O101+Q101</f>
        <v>2156</v>
      </c>
      <c r="T101" s="6531">
        <v>672</v>
      </c>
      <c r="U101" s="6526">
        <v>572.83333333333337</v>
      </c>
      <c r="V101" s="6914">
        <f>+R101+T101</f>
        <v>2760</v>
      </c>
      <c r="W101" s="6672">
        <f>+S101+U101</f>
        <v>2728.8333333333335</v>
      </c>
      <c r="X101" s="6531">
        <v>648</v>
      </c>
      <c r="Y101" s="6526">
        <v>572.91666666666663</v>
      </c>
      <c r="Z101" s="6917">
        <f>+P101+T101+X101</f>
        <v>1512</v>
      </c>
      <c r="AA101" s="6917">
        <f>+Q101+U101+Y101</f>
        <v>1719.75</v>
      </c>
      <c r="AB101" s="6848">
        <f>+N101+Z101</f>
        <v>3408</v>
      </c>
      <c r="AC101" s="6848">
        <f>+AA101+O101</f>
        <v>3301.75</v>
      </c>
      <c r="AD101" s="6531">
        <v>672</v>
      </c>
      <c r="AE101" s="6526">
        <v>595.91999999999996</v>
      </c>
      <c r="AF101" s="6914">
        <f>+AB101+AD101</f>
        <v>4080</v>
      </c>
      <c r="AG101" s="6672">
        <f>+AC101+AE101</f>
        <v>3897.67</v>
      </c>
      <c r="AH101" s="6531">
        <v>648</v>
      </c>
      <c r="AI101" s="6526">
        <v>157.58333333333334</v>
      </c>
      <c r="AJ101" s="6914">
        <f>+AF101+AH101</f>
        <v>4728</v>
      </c>
      <c r="AK101" s="6672">
        <f>+AG101+AI101</f>
        <v>4055.2533333333336</v>
      </c>
      <c r="AL101" s="6531">
        <v>672</v>
      </c>
      <c r="AM101" s="6526">
        <v>554.91666666666674</v>
      </c>
      <c r="AN101" s="6917">
        <f>+AD101+AH101+AL101</f>
        <v>1992</v>
      </c>
      <c r="AO101" s="6917">
        <f>+AE101+AI101+AM101</f>
        <v>1308.42</v>
      </c>
      <c r="AP101" s="6672">
        <f t="shared" ref="AP101:AQ101" si="77">AJ101+AL101</f>
        <v>5400</v>
      </c>
      <c r="AQ101" s="6672">
        <f t="shared" si="77"/>
        <v>4610.17</v>
      </c>
      <c r="AR101" s="6531">
        <v>672</v>
      </c>
      <c r="AS101" s="6526">
        <v>632.16666666666663</v>
      </c>
      <c r="AT101" s="6914">
        <f>+AP101+AR101</f>
        <v>6072</v>
      </c>
      <c r="AU101" s="6672">
        <f>+AQ101+AS101</f>
        <v>5242.336666666667</v>
      </c>
      <c r="AV101" s="6531">
        <v>600</v>
      </c>
      <c r="AW101" s="6526">
        <v>541.25000000000011</v>
      </c>
      <c r="AX101" s="6914">
        <f>+AT101+AV101</f>
        <v>6672</v>
      </c>
      <c r="AY101" s="6672">
        <f>+AU101+AW101</f>
        <v>5783.586666666667</v>
      </c>
      <c r="AZ101" s="6531">
        <v>672</v>
      </c>
      <c r="BA101" s="6526">
        <v>622.58333333333337</v>
      </c>
      <c r="BB101" s="6917">
        <f>+AR101+AV101+AZ101</f>
        <v>1944</v>
      </c>
      <c r="BC101" s="6917">
        <f>+AS101+AW101+BA101</f>
        <v>1796</v>
      </c>
      <c r="BD101" s="6850">
        <f t="shared" ref="BD101:BE103" si="78">+AN101+BB101</f>
        <v>3936</v>
      </c>
      <c r="BE101" s="6850">
        <f t="shared" si="78"/>
        <v>3104.42</v>
      </c>
      <c r="BF101" s="6914">
        <f>+AX101+AZ101</f>
        <v>7344</v>
      </c>
      <c r="BG101" s="6535">
        <f>+AY101+BA101</f>
        <v>6406.17</v>
      </c>
      <c r="BH101" s="1222"/>
      <c r="BI101" s="1222"/>
      <c r="BJ101" s="26"/>
      <c r="BK101" s="26"/>
      <c r="BL101" s="26"/>
      <c r="BM101" s="26"/>
      <c r="BN101" s="1222"/>
      <c r="BO101" s="1222"/>
    </row>
    <row r="102" spans="1:67" x14ac:dyDescent="0.25">
      <c r="B102" s="6931" t="s">
        <v>304</v>
      </c>
      <c r="C102" s="6913"/>
      <c r="D102" s="6913"/>
      <c r="E102" s="6531" t="s">
        <v>49</v>
      </c>
      <c r="F102" s="6920">
        <f>+F103/F101*100</f>
        <v>83.333333333333343</v>
      </c>
      <c r="G102" s="6920">
        <f>+G103/G101*100</f>
        <v>83.78210116731519</v>
      </c>
      <c r="H102" s="6920">
        <f>+H103/H101*100</f>
        <v>83.333333333333343</v>
      </c>
      <c r="I102" s="6920">
        <f>+I103/I101*100</f>
        <v>81.178027796161459</v>
      </c>
      <c r="J102" s="6916">
        <f t="shared" ref="J102:AC102" si="79">+J103/J101*100</f>
        <v>83.333333333333343</v>
      </c>
      <c r="K102" s="6916">
        <f t="shared" si="79"/>
        <v>82.374821173104422</v>
      </c>
      <c r="L102" s="6920">
        <f>+L103/L101*100</f>
        <v>81.25</v>
      </c>
      <c r="M102" s="6920">
        <f>+M103/M101*100</f>
        <v>78.017585931255013</v>
      </c>
      <c r="N102" s="6917">
        <f t="shared" si="79"/>
        <v>82.700421940928265</v>
      </c>
      <c r="O102" s="6917">
        <f t="shared" si="79"/>
        <v>81.226295828065744</v>
      </c>
      <c r="P102" s="6920">
        <f>+P103/P101*100</f>
        <v>81.25</v>
      </c>
      <c r="Q102" s="6920">
        <f>+Q103/Q101*100</f>
        <v>85.815911730545864</v>
      </c>
      <c r="R102" s="6916">
        <f t="shared" si="79"/>
        <v>82.567049808429118</v>
      </c>
      <c r="S102" s="6916">
        <f t="shared" si="79"/>
        <v>82.448206555349415</v>
      </c>
      <c r="T102" s="6920">
        <f>+T103/T101*100</f>
        <v>81.25</v>
      </c>
      <c r="U102" s="6920">
        <f>+U103/U101*100</f>
        <v>73.770730288041904</v>
      </c>
      <c r="V102" s="6916">
        <f t="shared" ref="V102:W102" si="80">+V103/V101*100</f>
        <v>82.246376811594203</v>
      </c>
      <c r="W102" s="6916">
        <f t="shared" si="80"/>
        <v>80.626641421853037</v>
      </c>
      <c r="X102" s="6920">
        <f>+X103/X101*100</f>
        <v>81.25</v>
      </c>
      <c r="Y102" s="6920">
        <f>+Y103/Y101*100</f>
        <v>89.26545454545456</v>
      </c>
      <c r="Z102" s="6917">
        <f t="shared" si="79"/>
        <v>81.25</v>
      </c>
      <c r="AA102" s="6917">
        <f t="shared" si="79"/>
        <v>82.952948587488478</v>
      </c>
      <c r="AB102" s="6918">
        <f t="shared" si="79"/>
        <v>82.056924882629119</v>
      </c>
      <c r="AC102" s="6918">
        <f t="shared" si="79"/>
        <v>82.125640443199302</v>
      </c>
      <c r="AD102" s="6920">
        <f>+AD103/AD101*100</f>
        <v>81.25</v>
      </c>
      <c r="AE102" s="6920">
        <f>+AE103/AE101*100</f>
        <v>80.337964827493622</v>
      </c>
      <c r="AF102" s="6916">
        <f t="shared" ref="AF102:AG102" si="81">+AF103/AF101*100</f>
        <v>81.924019607843135</v>
      </c>
      <c r="AG102" s="6916">
        <f t="shared" si="81"/>
        <v>81.852320317865107</v>
      </c>
      <c r="AH102" s="6920">
        <f>+AH103/AH101*100</f>
        <v>81.25</v>
      </c>
      <c r="AI102" s="6920">
        <f>+AI103/AI101*100</f>
        <v>87.625594923320989</v>
      </c>
      <c r="AJ102" s="6916">
        <f t="shared" ref="AJ102:AK102" si="82">+AJ103/AJ101*100</f>
        <v>81.831641285955996</v>
      </c>
      <c r="AK102" s="6916">
        <f t="shared" si="82"/>
        <v>82.076664343205834</v>
      </c>
      <c r="AL102" s="6920">
        <f>+AL103/AL101*100</f>
        <v>81.25</v>
      </c>
      <c r="AM102" s="6920">
        <f>+AM103/AM101*100</f>
        <v>74.710917555188445</v>
      </c>
      <c r="AN102" s="6917">
        <f t="shared" ref="AN102:AQ102" si="83">+AN103/AN101*100</f>
        <v>81.25</v>
      </c>
      <c r="AO102" s="6917">
        <f t="shared" si="83"/>
        <v>78.829173099361554</v>
      </c>
      <c r="AP102" s="6916">
        <f t="shared" si="83"/>
        <v>81.759259259259252</v>
      </c>
      <c r="AQ102" s="6916">
        <f t="shared" si="83"/>
        <v>81.190064574625225</v>
      </c>
      <c r="AR102" s="6920">
        <f>+AR103/AR101*100</f>
        <v>81.25</v>
      </c>
      <c r="AS102" s="6920">
        <f>+AS103/AS101*100</f>
        <v>82.111784866860035</v>
      </c>
      <c r="AT102" s="6916">
        <f t="shared" ref="AT102:AU102" si="84">+AT103/AT101*100</f>
        <v>81.70289855072464</v>
      </c>
      <c r="AU102" s="6916">
        <f t="shared" si="84"/>
        <v>81.301213644551638</v>
      </c>
      <c r="AV102" s="6920">
        <f>+AV103/AV101*100</f>
        <v>81.25</v>
      </c>
      <c r="AW102" s="6920">
        <f>+AW103/AW101*100</f>
        <v>88.17551963048497</v>
      </c>
      <c r="AX102" s="6916">
        <f t="shared" ref="AX102:AY102" si="85">+AX103/AX101*100</f>
        <v>81.662170263788965</v>
      </c>
      <c r="AY102" s="6916">
        <f t="shared" si="85"/>
        <v>81.944537299807038</v>
      </c>
      <c r="AZ102" s="6920">
        <f>+AZ103/AZ101*100</f>
        <v>81.25</v>
      </c>
      <c r="BA102" s="6920">
        <f>+BA103/BA101*100</f>
        <v>84.861464328737796</v>
      </c>
      <c r="BB102" s="6917">
        <f t="shared" ref="BB102:BE102" si="86">+BB103/BB101*100</f>
        <v>81.25</v>
      </c>
      <c r="BC102" s="6917">
        <f t="shared" si="86"/>
        <v>84.892353377876788</v>
      </c>
      <c r="BD102" s="6919">
        <f t="shared" si="86"/>
        <v>81.25</v>
      </c>
      <c r="BE102" s="6919">
        <f t="shared" si="86"/>
        <v>82.336904585504968</v>
      </c>
      <c r="BF102" s="6916">
        <f t="shared" ref="BF102:BG102" si="87">+BF103/BF101*100</f>
        <v>81.62445533769062</v>
      </c>
      <c r="BG102" s="6932">
        <f t="shared" si="87"/>
        <v>82.228018717371953</v>
      </c>
      <c r="BH102" s="1222"/>
      <c r="BI102" s="1222"/>
      <c r="BJ102" s="26"/>
      <c r="BK102" s="26"/>
      <c r="BL102" s="26"/>
      <c r="BM102" s="26"/>
      <c r="BN102" s="26"/>
      <c r="BO102" s="26"/>
    </row>
    <row r="103" spans="1:67" x14ac:dyDescent="0.25">
      <c r="B103" s="6931" t="s">
        <v>305</v>
      </c>
      <c r="C103" s="6913"/>
      <c r="D103" s="6913"/>
      <c r="E103" s="6531" t="s">
        <v>221</v>
      </c>
      <c r="F103" s="6526">
        <v>540</v>
      </c>
      <c r="G103" s="6526">
        <v>448.58333333333337</v>
      </c>
      <c r="H103" s="6526">
        <v>560</v>
      </c>
      <c r="I103" s="6526">
        <v>511.08333333333326</v>
      </c>
      <c r="J103" s="6672">
        <f>+F103+H103</f>
        <v>1100</v>
      </c>
      <c r="K103" s="6672">
        <f>+G103+I103</f>
        <v>959.66666666666663</v>
      </c>
      <c r="L103" s="6526">
        <v>468</v>
      </c>
      <c r="M103" s="6526">
        <v>325.33333333333337</v>
      </c>
      <c r="N103" s="6680">
        <f>+F103+H103+L103</f>
        <v>1568</v>
      </c>
      <c r="O103" s="6680">
        <f>+G103+I103+M103</f>
        <v>1285</v>
      </c>
      <c r="P103" s="6526">
        <v>156</v>
      </c>
      <c r="Q103" s="6526">
        <v>492.58333333333326</v>
      </c>
      <c r="R103" s="6672">
        <f>+N103+P103</f>
        <v>1724</v>
      </c>
      <c r="S103" s="6672">
        <f>+O103+Q103</f>
        <v>1777.5833333333333</v>
      </c>
      <c r="T103" s="6526">
        <v>546</v>
      </c>
      <c r="U103" s="6526">
        <v>422.58333333333337</v>
      </c>
      <c r="V103" s="6672">
        <f>+R103+T103</f>
        <v>2270</v>
      </c>
      <c r="W103" s="6672">
        <f>+S103+U103</f>
        <v>2200.1666666666665</v>
      </c>
      <c r="X103" s="6526">
        <v>526.5</v>
      </c>
      <c r="Y103" s="6526">
        <v>511.41666666666669</v>
      </c>
      <c r="Z103" s="6917">
        <f>+P103+T103+X103</f>
        <v>1228.5</v>
      </c>
      <c r="AA103" s="6917">
        <f>+Q103+U103+Y103</f>
        <v>1426.5833333333333</v>
      </c>
      <c r="AB103" s="6848">
        <f>+N103+Z103</f>
        <v>2796.5</v>
      </c>
      <c r="AC103" s="6848">
        <f>+AA103+O103</f>
        <v>2711.583333333333</v>
      </c>
      <c r="AD103" s="6526">
        <v>546</v>
      </c>
      <c r="AE103" s="6526">
        <v>478.75</v>
      </c>
      <c r="AF103" s="6672">
        <f>+AB103+AD103</f>
        <v>3342.5</v>
      </c>
      <c r="AG103" s="6672">
        <f>+AC103+AE103</f>
        <v>3190.333333333333</v>
      </c>
      <c r="AH103" s="6526">
        <v>526.5</v>
      </c>
      <c r="AI103" s="6526">
        <v>138.08333333333331</v>
      </c>
      <c r="AJ103" s="6672">
        <f>+AF103+AH103</f>
        <v>3869</v>
      </c>
      <c r="AK103" s="6672">
        <f>+AG103+AI103</f>
        <v>3328.4166666666665</v>
      </c>
      <c r="AL103" s="6526">
        <v>546</v>
      </c>
      <c r="AM103" s="6526">
        <v>414.58333333333331</v>
      </c>
      <c r="AN103" s="6917">
        <f>+AD103+AH103+AL103</f>
        <v>1618.5</v>
      </c>
      <c r="AO103" s="6917">
        <f>+AE103+AI103+AM103</f>
        <v>1031.4166666666665</v>
      </c>
      <c r="AP103" s="6672">
        <f t="shared" ref="AP103:AQ103" si="88">AJ103+AL103</f>
        <v>4415</v>
      </c>
      <c r="AQ103" s="6672">
        <f t="shared" si="88"/>
        <v>3743</v>
      </c>
      <c r="AR103" s="6526">
        <v>546</v>
      </c>
      <c r="AS103" s="6526">
        <v>519.08333333333348</v>
      </c>
      <c r="AT103" s="6672">
        <f>+AP103+AR103</f>
        <v>4961</v>
      </c>
      <c r="AU103" s="6672">
        <f>+AQ103+AS103</f>
        <v>4262.0833333333339</v>
      </c>
      <c r="AV103" s="6526">
        <v>487.5</v>
      </c>
      <c r="AW103" s="6526">
        <v>477.25</v>
      </c>
      <c r="AX103" s="6672">
        <f>+AT103+AV103</f>
        <v>5448.5</v>
      </c>
      <c r="AY103" s="6672">
        <f>+AU103+AW103</f>
        <v>4739.3333333333339</v>
      </c>
      <c r="AZ103" s="6526">
        <v>546</v>
      </c>
      <c r="BA103" s="6526">
        <v>528.33333333333337</v>
      </c>
      <c r="BB103" s="6917">
        <f>+AR103+AV103+AZ103</f>
        <v>1579.5</v>
      </c>
      <c r="BC103" s="6917">
        <f>+AS103+AW103+BA103</f>
        <v>1524.666666666667</v>
      </c>
      <c r="BD103" s="6850">
        <f t="shared" si="78"/>
        <v>3198</v>
      </c>
      <c r="BE103" s="6850">
        <f t="shared" si="78"/>
        <v>2556.0833333333335</v>
      </c>
      <c r="BF103" s="6672">
        <f>+AX103+AZ103</f>
        <v>5994.5</v>
      </c>
      <c r="BG103" s="6535">
        <f>+AY103+BA103</f>
        <v>5267.666666666667</v>
      </c>
      <c r="BH103" s="1222"/>
      <c r="BI103" s="1222"/>
      <c r="BJ103" s="26"/>
      <c r="BK103" s="26"/>
      <c r="BL103" s="26"/>
      <c r="BM103" s="26"/>
      <c r="BN103" s="1222"/>
    </row>
    <row r="104" spans="1:67" x14ac:dyDescent="0.25">
      <c r="A104" s="1548">
        <v>0.28399999999999997</v>
      </c>
      <c r="B104" s="6931" t="s">
        <v>511</v>
      </c>
      <c r="C104" s="6913"/>
      <c r="D104" s="6913"/>
      <c r="E104" s="6531" t="s">
        <v>510</v>
      </c>
      <c r="F104" s="6920">
        <f>+F103/(F101/24)</f>
        <v>20</v>
      </c>
      <c r="G104" s="6920">
        <f>+G103/(G101/24)</f>
        <v>20.107704280155644</v>
      </c>
      <c r="H104" s="6920">
        <f>+H103/(H101/24)</f>
        <v>20</v>
      </c>
      <c r="I104" s="6920">
        <f>+I103/(I101/24)</f>
        <v>19.482726671078748</v>
      </c>
      <c r="J104" s="6916">
        <f t="shared" ref="J104:AC104" si="89">+J103/(J101/24)</f>
        <v>20</v>
      </c>
      <c r="K104" s="6916">
        <f t="shared" si="89"/>
        <v>19.769957081545066</v>
      </c>
      <c r="L104" s="6920">
        <f>+L103/(L101/24)</f>
        <v>19.5</v>
      </c>
      <c r="M104" s="6920">
        <f>+M103/(M101/24)</f>
        <v>18.7242206235012</v>
      </c>
      <c r="N104" s="6917">
        <f t="shared" si="89"/>
        <v>19.848101265822784</v>
      </c>
      <c r="O104" s="6917">
        <f t="shared" si="89"/>
        <v>19.494310998735777</v>
      </c>
      <c r="P104" s="6920">
        <f>+P103/(P101/24)</f>
        <v>19.5</v>
      </c>
      <c r="Q104" s="6920">
        <f>+Q103/(Q101/24)</f>
        <v>20.595818815331008</v>
      </c>
      <c r="R104" s="6916">
        <f t="shared" si="89"/>
        <v>19.816091954022987</v>
      </c>
      <c r="S104" s="6916">
        <f t="shared" si="89"/>
        <v>19.787569573283861</v>
      </c>
      <c r="T104" s="6920">
        <f>+T103/(T101/24)</f>
        <v>19.5</v>
      </c>
      <c r="U104" s="6920">
        <f>+U103/(U101/24)</f>
        <v>17.704975269130056</v>
      </c>
      <c r="V104" s="6916">
        <f t="shared" ref="V104:W104" si="90">+V103/(V101/24)</f>
        <v>19.739130434782609</v>
      </c>
      <c r="W104" s="6916">
        <f t="shared" si="90"/>
        <v>19.350393941244729</v>
      </c>
      <c r="X104" s="6920">
        <f>+X103/(X101/24)</f>
        <v>19.5</v>
      </c>
      <c r="Y104" s="6920">
        <f>+Y103/(Y101/24)</f>
        <v>21.423709090909096</v>
      </c>
      <c r="Z104" s="6917">
        <f t="shared" si="89"/>
        <v>19.5</v>
      </c>
      <c r="AA104" s="6917">
        <f t="shared" si="89"/>
        <v>19.908707660997237</v>
      </c>
      <c r="AB104" s="6918">
        <f t="shared" si="89"/>
        <v>19.693661971830984</v>
      </c>
      <c r="AC104" s="6918">
        <f t="shared" si="89"/>
        <v>19.710153706367834</v>
      </c>
      <c r="AD104" s="6920">
        <f>+AD103/(AD101/24)</f>
        <v>19.5</v>
      </c>
      <c r="AE104" s="6920">
        <f>+AE103/(AE101/24)</f>
        <v>19.281111558598472</v>
      </c>
      <c r="AF104" s="6916">
        <f t="shared" ref="AF104:AG104" si="91">+AF103/(AF101/24)</f>
        <v>19.661764705882351</v>
      </c>
      <c r="AG104" s="6916">
        <f t="shared" si="91"/>
        <v>19.644556876287627</v>
      </c>
      <c r="AH104" s="6920">
        <f>+AH103/(AH101/24)</f>
        <v>19.5</v>
      </c>
      <c r="AI104" s="6920">
        <f>+AI103/(AI101/24)</f>
        <v>21.030142781597036</v>
      </c>
      <c r="AJ104" s="6916">
        <f t="shared" ref="AJ104:AK104" si="92">+AJ103/(AJ101/24)</f>
        <v>19.639593908629443</v>
      </c>
      <c r="AK104" s="6916">
        <f t="shared" si="92"/>
        <v>19.698399442369404</v>
      </c>
      <c r="AL104" s="6920">
        <f>+AL103/(AL101/24)</f>
        <v>19.5</v>
      </c>
      <c r="AM104" s="6920">
        <f>+AM103/(AM101/24)</f>
        <v>17.930620213245227</v>
      </c>
      <c r="AN104" s="6917">
        <f t="shared" ref="AN104:AQ104" si="93">+AN103/(AN101/24)</f>
        <v>19.5</v>
      </c>
      <c r="AO104" s="6917">
        <f t="shared" si="93"/>
        <v>18.919001543846772</v>
      </c>
      <c r="AP104" s="6916">
        <f t="shared" si="93"/>
        <v>19.622222222222224</v>
      </c>
      <c r="AQ104" s="6916">
        <f t="shared" si="93"/>
        <v>19.485615497910054</v>
      </c>
      <c r="AR104" s="6920">
        <f>+AR103/(AR101/24)</f>
        <v>19.5</v>
      </c>
      <c r="AS104" s="6920">
        <f>+AS103/(AS101/24)</f>
        <v>19.706828368046409</v>
      </c>
      <c r="AT104" s="6916">
        <f t="shared" ref="AT104:AU104" si="94">+AT103/(AT101/24)</f>
        <v>19.608695652173914</v>
      </c>
      <c r="AU104" s="6916">
        <f t="shared" si="94"/>
        <v>19.512291274692394</v>
      </c>
      <c r="AV104" s="6920">
        <f>+AV103/(AV101/24)</f>
        <v>19.5</v>
      </c>
      <c r="AW104" s="6920">
        <f>+AW103/(AW101/24)</f>
        <v>21.162124711316391</v>
      </c>
      <c r="AX104" s="6916">
        <f t="shared" ref="AX104:AY104" si="95">+AX103/(AX101/24)</f>
        <v>19.598920863309353</v>
      </c>
      <c r="AY104" s="6916">
        <f t="shared" si="95"/>
        <v>19.666688951953692</v>
      </c>
      <c r="AZ104" s="6920">
        <f>+AZ103/(AZ101/24)</f>
        <v>19.5</v>
      </c>
      <c r="BA104" s="6920">
        <f>+BA103/(BA101/24)</f>
        <v>20.366751438897069</v>
      </c>
      <c r="BB104" s="6917">
        <f t="shared" ref="BB104:BE104" si="96">+BB103/(BB101/24)</f>
        <v>19.5</v>
      </c>
      <c r="BC104" s="6917">
        <f t="shared" si="96"/>
        <v>20.374164810690427</v>
      </c>
      <c r="BD104" s="6919">
        <f t="shared" si="96"/>
        <v>19.5</v>
      </c>
      <c r="BE104" s="6919">
        <f t="shared" si="96"/>
        <v>19.760857100521193</v>
      </c>
      <c r="BF104" s="6916">
        <f t="shared" ref="BF104:BG104" si="97">+BF103/(BF101/24)</f>
        <v>19.58986928104575</v>
      </c>
      <c r="BG104" s="6932">
        <f t="shared" si="97"/>
        <v>19.734724492169271</v>
      </c>
      <c r="BH104" s="1222"/>
      <c r="BI104" s="1222"/>
      <c r="BJ104" s="26"/>
      <c r="BK104" s="26"/>
      <c r="BL104" s="26"/>
      <c r="BM104" s="26"/>
      <c r="BN104" s="1222"/>
    </row>
    <row r="105" spans="1:67" x14ac:dyDescent="0.25">
      <c r="B105" s="6931" t="s">
        <v>306</v>
      </c>
      <c r="C105" s="6913"/>
      <c r="D105" s="6913"/>
      <c r="E105" s="6531" t="s">
        <v>1097</v>
      </c>
      <c r="F105" s="6921">
        <v>0.48500000000000004</v>
      </c>
      <c r="G105" s="6538">
        <v>0.48399999999999999</v>
      </c>
      <c r="H105" s="6921">
        <v>0.48499999999999999</v>
      </c>
      <c r="I105" s="6538">
        <v>0.47499999999999998</v>
      </c>
      <c r="J105" s="6922">
        <f>+((F105*F5)+(H105*H5))/J5</f>
        <v>0.48499999999999999</v>
      </c>
      <c r="K105" s="6922">
        <f>+((G105*G5)+(I105*I5))/K5</f>
        <v>0.4791785848408962</v>
      </c>
      <c r="L105" s="6921">
        <v>0.28400000000000003</v>
      </c>
      <c r="M105" s="6538">
        <v>0.60799999999999998</v>
      </c>
      <c r="N105" s="6923">
        <f>+((F105*F5)+(H105*H5)+(L105*L5))/N5</f>
        <v>0.44157407407407401</v>
      </c>
      <c r="O105" s="6923">
        <f>+((G105*G5)+(I105*I5)+(M105*M5))/O5</f>
        <v>0.50579659708422708</v>
      </c>
      <c r="P105" s="6921">
        <v>0.28400000000000003</v>
      </c>
      <c r="Q105" s="6538">
        <v>0.55900000000000005</v>
      </c>
      <c r="R105" s="6922">
        <f>+((N105*N5)+(P105*P5))/R5</f>
        <v>0.43028653295128938</v>
      </c>
      <c r="S105" s="6922">
        <f>+((O105*O5)+(Q105*Q5))/S5</f>
        <v>0.51904639200477165</v>
      </c>
      <c r="T105" s="6921">
        <v>0.28399999999999997</v>
      </c>
      <c r="U105" s="6538">
        <v>0.71399999999999997</v>
      </c>
      <c r="V105" s="6922">
        <f>+((R105*R5)+(T105*T5))/V5</f>
        <v>0.39821476510067111</v>
      </c>
      <c r="W105" s="6922">
        <f>+((S105*S5)+(U105*U5))/W5</f>
        <v>0.55082083390943837</v>
      </c>
      <c r="X105" s="6921">
        <v>0.28400000000000003</v>
      </c>
      <c r="Y105" s="6538">
        <v>0.621</v>
      </c>
      <c r="Z105" s="6923">
        <f>+((P105*P5)+(T105*T5)+(X105*X5))/Z5</f>
        <v>0.28400000000000003</v>
      </c>
      <c r="AA105" s="6923">
        <f>+((Q105*Q5)+(U105*U5)+(Y105*Y5))/AA5</f>
        <v>0.62488974109497708</v>
      </c>
      <c r="AB105" s="6924">
        <f>+((N105*N5)+(Z105*Z5))/AB5</f>
        <v>0.3780220994475138</v>
      </c>
      <c r="AC105" s="6924">
        <f>+((O105*O5)+(AA105*AA5))/AC5</f>
        <v>0.56265358114475805</v>
      </c>
      <c r="AD105" s="6921">
        <v>0.28400000000000009</v>
      </c>
      <c r="AE105" s="6538">
        <v>0.627</v>
      </c>
      <c r="AF105" s="6922">
        <f>+((AB105*AB5)+(AD105*AD5))/AF5</f>
        <v>0.3624239631336405</v>
      </c>
      <c r="AG105" s="6922">
        <f>+((AC105*AC5)+(AE105*AE5))/AG5</f>
        <v>0.57218266664771089</v>
      </c>
      <c r="AH105" s="6921">
        <v>0.28399999999999997</v>
      </c>
      <c r="AI105" s="6538">
        <v>0.65600000000000003</v>
      </c>
      <c r="AJ105" s="6922">
        <f>+((AF105*AF5)+(AH105*AH5))/AJ5</f>
        <v>0.35162119205298009</v>
      </c>
      <c r="AK105" s="6922">
        <f>+((AG105*AG5)+(AI105*AI5))/AK5</f>
        <v>0.57450016545558347</v>
      </c>
      <c r="AL105" s="6921">
        <v>0.28400000000000009</v>
      </c>
      <c r="AM105" s="6538">
        <v>0.52600000000000002</v>
      </c>
      <c r="AN105" s="6923">
        <f>+((AD105*AD5)+(AH105*AH5)+(AL105*AL5))/AN5</f>
        <v>0.28400000000000009</v>
      </c>
      <c r="AO105" s="6923">
        <f>+((AE105*AE5)+(AI105*AI5)+(AM105*AM5))/AO5</f>
        <v>0.58558248579111138</v>
      </c>
      <c r="AP105" s="6922">
        <f>+((AL105*AL5)+(AJ105*AJ5))/AP5</f>
        <v>0.34315874855156425</v>
      </c>
      <c r="AQ105" s="6922">
        <f>+((AM105*AM5)+(AK105*AK5))/AQ5</f>
        <v>0.56881543001476131</v>
      </c>
      <c r="AR105" s="6921">
        <v>0.28400000000000009</v>
      </c>
      <c r="AS105" s="6538">
        <v>0.499</v>
      </c>
      <c r="AT105" s="6922">
        <f>+((AP105*AP5)+(AR105*AR5))/AT5</f>
        <v>0.33657878475798142</v>
      </c>
      <c r="AU105" s="6922">
        <f>+((AQ105*AQ5)+(AS105*AS5))/AU5</f>
        <v>0.55995439033019989</v>
      </c>
      <c r="AV105" s="6921">
        <v>0.28400000000000003</v>
      </c>
      <c r="AW105" s="6538">
        <v>0.48099999999999998</v>
      </c>
      <c r="AX105" s="6922">
        <f>+((AT105*AT5)+(AV105*AV5))/AX5</f>
        <v>0.33184817244611059</v>
      </c>
      <c r="AY105" s="6922">
        <f>+((AU105*AU5)+(AW105*AW5))/AY5</f>
        <v>0.55111325431741331</v>
      </c>
      <c r="AZ105" s="6921">
        <v>0.28399999999999992</v>
      </c>
      <c r="BA105" s="6538">
        <v>0.46600000000000003</v>
      </c>
      <c r="BB105" s="6923">
        <f>+((AR105*AR5)+(AV105*AV5)+(AZ105*AZ5))/BB5</f>
        <v>0.28399999999999997</v>
      </c>
      <c r="BC105" s="6923">
        <f>+((AS105*AS5)+(AW105*AW5)+(BA105*BA5))/BC5</f>
        <v>0.48095842822852741</v>
      </c>
      <c r="BD105" s="6925">
        <f>+((AN105*AN5)+(BB105*BB5))/BD5</f>
        <v>0.28400000000000009</v>
      </c>
      <c r="BE105" s="6925">
        <f>+((AO105*AO5)+(BC105*BC5))/BE5</f>
        <v>0.51924982040269829</v>
      </c>
      <c r="BF105" s="6922">
        <f>+((AX105*AX5)+(AZ105*AZ5))/BF5</f>
        <v>0.32701095197978103</v>
      </c>
      <c r="BG105" s="6933">
        <f>+((AY105*AY5)+(BA105*BA5))/BG5</f>
        <v>0.54090711133133595</v>
      </c>
      <c r="BH105" s="1222"/>
      <c r="BI105" s="1222"/>
      <c r="BJ105" s="26"/>
      <c r="BK105" s="26"/>
      <c r="BL105" s="26"/>
      <c r="BM105" s="26"/>
      <c r="BN105" s="1222"/>
    </row>
    <row r="106" spans="1:67" x14ac:dyDescent="0.25">
      <c r="B106" s="6931" t="s">
        <v>307</v>
      </c>
      <c r="C106" s="6913"/>
      <c r="D106" s="6913"/>
      <c r="E106" s="6531" t="s">
        <v>213</v>
      </c>
      <c r="F106" s="6526">
        <f>+'POWER DISTRIBUTION'!I28</f>
        <v>5418995.2669036752</v>
      </c>
      <c r="G106" s="6526">
        <f>+'POWER DISTRIBUTION'!J28</f>
        <v>3834116.8666666714</v>
      </c>
      <c r="H106" s="6526">
        <f>+'POWER DISTRIBUTION'!K28</f>
        <v>5681204.7153022392</v>
      </c>
      <c r="I106" s="6526">
        <f>+'POWER DISTRIBUTION'!L28</f>
        <v>4383551.9999999981</v>
      </c>
      <c r="J106" s="6672">
        <f>+F106+H106</f>
        <v>11100199.982205914</v>
      </c>
      <c r="K106" s="6672">
        <f>+G106+I106</f>
        <v>8217668.866666669</v>
      </c>
      <c r="L106" s="6526">
        <f>+'POWER DISTRIBUTION'!O28</f>
        <v>3258353.5620052773</v>
      </c>
      <c r="M106" s="6526">
        <f>+'POWER DISTRIBUTION'!P28</f>
        <v>2927596.3333333358</v>
      </c>
      <c r="N106" s="6680">
        <f>+F106+H106+L106</f>
        <v>14358553.544211192</v>
      </c>
      <c r="O106" s="6680">
        <f>+G106+I106+M106</f>
        <v>11145265.200000005</v>
      </c>
      <c r="P106" s="6526">
        <f>+'POWER DISTRIBUTION'!S28</f>
        <v>1707469.1292875991</v>
      </c>
      <c r="Q106" s="6526">
        <f>+'POWER DISTRIBUTION'!T28</f>
        <v>3775251.6666666595</v>
      </c>
      <c r="R106" s="6672">
        <f>+N106+P106</f>
        <v>16066022.673498791</v>
      </c>
      <c r="S106" s="6672">
        <f>+O106+Q106</f>
        <v>14920516.866666663</v>
      </c>
      <c r="T106" s="6526">
        <f>+'POWER DISTRIBUTION'!W28</f>
        <v>4360094.9868073873</v>
      </c>
      <c r="U106" s="6526">
        <f>+'POWER DISTRIBUTION'!X28</f>
        <v>3462635.666666673</v>
      </c>
      <c r="V106" s="6672">
        <f>+R106+T106</f>
        <v>20426117.660306178</v>
      </c>
      <c r="W106" s="6672">
        <f>+S106+U106</f>
        <v>18383152.533333335</v>
      </c>
      <c r="X106" s="6526">
        <f>+'POWER DISTRIBUTION'!AA28</f>
        <v>4271113.45646438</v>
      </c>
      <c r="Y106" s="6526">
        <f>+'POWER DISTRIBUTION'!AB28</f>
        <v>3713155</v>
      </c>
      <c r="Z106" s="6680">
        <f>+P106+T106+X106</f>
        <v>10338677.572559366</v>
      </c>
      <c r="AA106" s="6680">
        <f>+Q106+U106+Y106</f>
        <v>10951042.333333332</v>
      </c>
      <c r="AB106" s="6848">
        <f>+N106+Z106</f>
        <v>24697231.116770558</v>
      </c>
      <c r="AC106" s="6848">
        <f>+AA106+O106</f>
        <v>22096307.533333339</v>
      </c>
      <c r="AD106" s="6526">
        <f>+'POWER DISTRIBUTION'!AG28</f>
        <v>4805002.6385224275</v>
      </c>
      <c r="AE106" s="6526">
        <f>+'POWER DISTRIBUTION'!AH28</f>
        <v>3672275.666666673</v>
      </c>
      <c r="AF106" s="6672">
        <f>+AB106+AD106</f>
        <v>29502233.755292986</v>
      </c>
      <c r="AG106" s="6672">
        <f>+AC106+AE106</f>
        <v>25768583.20000001</v>
      </c>
      <c r="AH106" s="6526">
        <f>+'POWER DISTRIBUTION'!AK28</f>
        <v>4627039.577836412</v>
      </c>
      <c r="AI106" s="6526">
        <f>+'POWER DISTRIBUTION'!AL28</f>
        <v>1392973.3333333288</v>
      </c>
      <c r="AJ106" s="6672">
        <f>+AF106+AH106</f>
        <v>34129273.333129399</v>
      </c>
      <c r="AK106" s="6672">
        <f>+AG106+AI106</f>
        <v>27161556.533333339</v>
      </c>
      <c r="AL106" s="6526">
        <f>+'POWER DISTRIBUTION'!AO28</f>
        <v>4805002.6385224275</v>
      </c>
      <c r="AM106" s="6526">
        <f>+'POWER DISTRIBUTION'!AP28</f>
        <v>3336478.6666666651</v>
      </c>
      <c r="AN106" s="6680">
        <f>+AD106+AH106+AL106</f>
        <v>14237044.854881268</v>
      </c>
      <c r="AO106" s="6680">
        <f>+AE106+AI106+AM106</f>
        <v>8401727.6666666679</v>
      </c>
      <c r="AP106" s="6672">
        <f t="shared" ref="AP106:AQ106" si="98">AJ106+AL106</f>
        <v>38934275.971651822</v>
      </c>
      <c r="AQ106" s="6672">
        <f t="shared" si="98"/>
        <v>30498035.200000003</v>
      </c>
      <c r="AR106" s="6526">
        <f>+'POWER DISTRIBUTION'!AU28</f>
        <v>4805002.6385224275</v>
      </c>
      <c r="AS106" s="6526">
        <f>+'POWER DISTRIBUTION'!AV28</f>
        <v>3911467.0000000065</v>
      </c>
      <c r="AT106" s="6672">
        <f>+AP106+AR106</f>
        <v>43739278.610174254</v>
      </c>
      <c r="AU106" s="6672">
        <f>+AQ106+AS106</f>
        <v>34409502.20000001</v>
      </c>
      <c r="AV106" s="6526">
        <f>+'POWER DISTRIBUTION'!AY28</f>
        <v>4271113.45646438</v>
      </c>
      <c r="AW106" s="6526">
        <f>+'POWER DISTRIBUTION'!AZ28</f>
        <v>3661286.9999999991</v>
      </c>
      <c r="AX106" s="6672">
        <f>+AT106+AV106</f>
        <v>48010392.066638634</v>
      </c>
      <c r="AY106" s="6672">
        <f>+AU106+AW106</f>
        <v>38070789.20000001</v>
      </c>
      <c r="AZ106" s="6526">
        <f>+'POWER DISTRIBUTION'!BC28</f>
        <v>5338891.820580475</v>
      </c>
      <c r="BA106" s="6526">
        <f>+'POWER DISTRIBUTION'!BD28</f>
        <v>4370091.8</v>
      </c>
      <c r="BB106" s="6680">
        <f>+AR106+AV106+AZ106</f>
        <v>14415007.915567283</v>
      </c>
      <c r="BC106" s="6680">
        <f>+AS106+AW106+BA106</f>
        <v>11942845.800000004</v>
      </c>
      <c r="BD106" s="6850">
        <f t="shared" ref="BD106" si="99">+AN106+BB106</f>
        <v>28652052.770448551</v>
      </c>
      <c r="BE106" s="6850">
        <f t="shared" ref="BE106" si="100">+AO106+BC106</f>
        <v>20344573.466666672</v>
      </c>
      <c r="BF106" s="6672">
        <f>+AX106+AZ106</f>
        <v>53349283.887219109</v>
      </c>
      <c r="BG106" s="6535">
        <f>+AY106+BA106</f>
        <v>42440881.000000007</v>
      </c>
      <c r="BH106" s="5172"/>
      <c r="BI106" s="1222"/>
      <c r="BJ106" s="26"/>
      <c r="BK106" s="26"/>
      <c r="BL106" s="26"/>
      <c r="BM106" s="26"/>
      <c r="BN106" s="1222"/>
    </row>
    <row r="107" spans="1:67" ht="15" customHeight="1" x14ac:dyDescent="0.25">
      <c r="B107" s="6931" t="s">
        <v>308</v>
      </c>
      <c r="C107" s="6913"/>
      <c r="D107" s="6913"/>
      <c r="E107" s="3479" t="s">
        <v>2309</v>
      </c>
      <c r="F107" s="6920">
        <f>+F106/F89</f>
        <v>87.40314946618831</v>
      </c>
      <c r="G107" s="6920">
        <f t="shared" ref="G107:BG107" si="101">+G106/G89</f>
        <v>77.388465289327286</v>
      </c>
      <c r="H107" s="6920">
        <f t="shared" si="101"/>
        <v>87.403149466188296</v>
      </c>
      <c r="I107" s="6920">
        <f t="shared" si="101"/>
        <v>76.609884272298757</v>
      </c>
      <c r="J107" s="6916">
        <f t="shared" si="101"/>
        <v>87.403149466188296</v>
      </c>
      <c r="K107" s="6916">
        <f t="shared" si="101"/>
        <v>76.971188027598743</v>
      </c>
      <c r="L107" s="6920">
        <f t="shared" si="101"/>
        <v>93.095816057293632</v>
      </c>
      <c r="M107" s="6920">
        <f t="shared" si="101"/>
        <v>105.00955432948614</v>
      </c>
      <c r="N107" s="6920">
        <f t="shared" si="101"/>
        <v>88.633046569204893</v>
      </c>
      <c r="O107" s="6920">
        <f t="shared" si="101"/>
        <v>82.776876269465944</v>
      </c>
      <c r="P107" s="6920">
        <f t="shared" si="101"/>
        <v>136.59753034300792</v>
      </c>
      <c r="Q107" s="6920">
        <f t="shared" si="101"/>
        <v>84.44243217687405</v>
      </c>
      <c r="R107" s="6920">
        <f t="shared" si="101"/>
        <v>92.068897842399949</v>
      </c>
      <c r="S107" s="6920">
        <f t="shared" si="101"/>
        <v>83.192061991788961</v>
      </c>
      <c r="T107" s="6920">
        <f t="shared" si="101"/>
        <v>88.981530343007904</v>
      </c>
      <c r="U107" s="6920">
        <f t="shared" si="101"/>
        <v>100.68689665589747</v>
      </c>
      <c r="V107" s="6920">
        <f t="shared" si="101"/>
        <v>91.392025325754716</v>
      </c>
      <c r="W107" s="6920">
        <f t="shared" si="101"/>
        <v>86.006924004440606</v>
      </c>
      <c r="X107" s="6920">
        <f t="shared" si="101"/>
        <v>88.981530343007918</v>
      </c>
      <c r="Y107" s="6920">
        <f t="shared" si="101"/>
        <v>85.026045438375931</v>
      </c>
      <c r="Z107" s="6920">
        <f t="shared" si="101"/>
        <v>94.417146781364067</v>
      </c>
      <c r="AA107" s="6920">
        <f t="shared" si="101"/>
        <v>89.200445302714485</v>
      </c>
      <c r="AB107" s="6920">
        <f t="shared" si="101"/>
        <v>90.965860466926543</v>
      </c>
      <c r="AC107" s="6920">
        <f t="shared" si="101"/>
        <v>85.840514185811287</v>
      </c>
      <c r="AD107" s="6920">
        <f t="shared" si="101"/>
        <v>88.981530343007918</v>
      </c>
      <c r="AE107" s="6920">
        <f t="shared" si="101"/>
        <v>81.787328478414267</v>
      </c>
      <c r="AF107" s="6920">
        <f t="shared" si="101"/>
        <v>90.636662842681986</v>
      </c>
      <c r="AG107" s="6920">
        <f t="shared" si="101"/>
        <v>85.298364214136825</v>
      </c>
      <c r="AH107" s="6920">
        <f t="shared" si="101"/>
        <v>88.981530343007918</v>
      </c>
      <c r="AI107" s="6920">
        <f t="shared" si="101"/>
        <v>162.25695159517232</v>
      </c>
      <c r="AJ107" s="6920">
        <f t="shared" si="101"/>
        <v>90.408671081137484</v>
      </c>
      <c r="AK107" s="6920">
        <f t="shared" si="101"/>
        <v>87.424921941223218</v>
      </c>
      <c r="AL107" s="6920">
        <f t="shared" si="101"/>
        <v>88.981530343007918</v>
      </c>
      <c r="AM107" s="6920">
        <f t="shared" si="101"/>
        <v>83.272967429433407</v>
      </c>
      <c r="AN107" s="6920">
        <f t="shared" si="101"/>
        <v>88.981530343007918</v>
      </c>
      <c r="AO107" s="6920">
        <f t="shared" si="101"/>
        <v>89.808052279372944</v>
      </c>
      <c r="AP107" s="6920">
        <f t="shared" si="101"/>
        <v>90.230071776713373</v>
      </c>
      <c r="AQ107" s="6920">
        <f t="shared" si="101"/>
        <v>86.950638662936939</v>
      </c>
      <c r="AR107" s="6920">
        <f t="shared" si="101"/>
        <v>88.981530343007918</v>
      </c>
      <c r="AS107" s="6920">
        <f t="shared" si="101"/>
        <v>76.636557966577143</v>
      </c>
      <c r="AT107" s="6920">
        <f t="shared" si="101"/>
        <v>90.091202080688475</v>
      </c>
      <c r="AU107" s="6920">
        <f t="shared" si="101"/>
        <v>85.6404472707125</v>
      </c>
      <c r="AV107" s="6920">
        <f t="shared" si="101"/>
        <v>88.981530343007918</v>
      </c>
      <c r="AW107" s="6920">
        <f t="shared" si="101"/>
        <v>71.776599173330112</v>
      </c>
      <c r="AX107" s="6920">
        <f t="shared" si="101"/>
        <v>89.991362824064922</v>
      </c>
      <c r="AY107" s="6920">
        <f t="shared" si="101"/>
        <v>84.078636307860179</v>
      </c>
      <c r="AZ107" s="6920">
        <f t="shared" si="101"/>
        <v>88.981530343007918</v>
      </c>
      <c r="BA107" s="6920">
        <f t="shared" si="101"/>
        <v>70.403717367072261</v>
      </c>
      <c r="BB107" s="6920">
        <f t="shared" si="101"/>
        <v>88.981530343007918</v>
      </c>
      <c r="BC107" s="6920">
        <f t="shared" si="101"/>
        <v>72.768741469418345</v>
      </c>
      <c r="BD107" s="6920">
        <f t="shared" si="101"/>
        <v>88.981530343007918</v>
      </c>
      <c r="BE107" s="6920">
        <f t="shared" si="101"/>
        <v>78.955128751587935</v>
      </c>
      <c r="BF107" s="6920">
        <f t="shared" si="101"/>
        <v>89.88927360946775</v>
      </c>
      <c r="BG107" s="6920">
        <f t="shared" si="101"/>
        <v>82.430015708535279</v>
      </c>
      <c r="BH107" s="5172"/>
      <c r="BI107" s="1222"/>
      <c r="BJ107" s="26"/>
      <c r="BK107" s="26"/>
      <c r="BL107" s="26"/>
      <c r="BM107" s="26"/>
      <c r="BN107" s="1222"/>
    </row>
    <row r="108" spans="1:67" x14ac:dyDescent="0.25">
      <c r="B108" s="6931" t="s">
        <v>309</v>
      </c>
      <c r="C108" s="6913"/>
      <c r="D108" s="6913"/>
      <c r="E108" s="6531" t="s">
        <v>301</v>
      </c>
      <c r="F108" s="6926">
        <f>+EMD!D39/(EMD!D3*24)</f>
        <v>3.1857131127627629</v>
      </c>
      <c r="G108" s="6926">
        <f>+EMD!E39/(EMD!E3*24)</f>
        <v>2.8485917264404002</v>
      </c>
      <c r="H108" s="6926">
        <f>+EMD!F39/(EMD!F3*24)</f>
        <v>4.852565010115053</v>
      </c>
      <c r="I108" s="6926">
        <f>+EMD!G39/(EMD!G3*24)</f>
        <v>2.8117114273171504</v>
      </c>
      <c r="J108" s="6927">
        <f t="shared" ref="J108:K111" si="102">+((F108*F$2)+(H108*H$2))/J$2</f>
        <v>4.0328017819090087</v>
      </c>
      <c r="K108" s="6927">
        <f t="shared" si="102"/>
        <v>2.8298492793449777</v>
      </c>
      <c r="L108" s="6926">
        <f>+EMD!J39/(EMD!J3*24)</f>
        <v>2.1253362563728047</v>
      </c>
      <c r="M108" s="6926">
        <f>+EMD!K39/(EMD!K3*24)</f>
        <v>2.6583662914933877</v>
      </c>
      <c r="N108" s="6928">
        <f t="shared" ref="N108:O111" si="103">+((F108*F$2)+(H108*H$2)+(L108*L$2))/N$2</f>
        <v>3.4039669932706995</v>
      </c>
      <c r="O108" s="6928">
        <f t="shared" si="103"/>
        <v>2.7733164262070913</v>
      </c>
      <c r="P108" s="6926">
        <f>+EMD!N39/(EMD!N3*24)</f>
        <v>0.77516004540324968</v>
      </c>
      <c r="Q108" s="6926">
        <f>+EMD!O39/(EMD!O3*24)</f>
        <v>3.6926756742630227</v>
      </c>
      <c r="R108" s="6927">
        <f t="shared" ref="R108:S111" si="104">+((N108*N$2)+(P108*P$2))/R$2</f>
        <v>2.7359914573371675</v>
      </c>
      <c r="S108" s="6927">
        <f t="shared" si="104"/>
        <v>3.0069241039917949</v>
      </c>
      <c r="T108" s="6926">
        <f>+EMD!R39/(EMD!R3*24)</f>
        <v>1.9001657048444796</v>
      </c>
      <c r="U108" s="6926">
        <f>+EMD!S39/(EMD!S3*24)</f>
        <v>3.594549768267175</v>
      </c>
      <c r="V108" s="6927">
        <f t="shared" ref="V108:V111" si="105">+((R108*R$2)+(T108*T$2))/V$2</f>
        <v>2.566641141472636</v>
      </c>
      <c r="W108" s="6927">
        <f t="shared" ref="W108:W111" si="106">+((S108*S$2)+(U108*U$2))/W$2</f>
        <v>3.1259855130933429</v>
      </c>
      <c r="X108" s="6926">
        <f>+EMD!V39/(EMD!V3*24)</f>
        <v>1.915920263143168</v>
      </c>
      <c r="Y108" s="6926">
        <f>+EMD!W39/(EMD!W3*24)</f>
        <v>3.2327666861858475</v>
      </c>
      <c r="Z108" s="6928">
        <f t="shared" ref="Z108:AA111" si="107">+((P108*P$2)+(T108*T$2)+(X108*X$2))/Z$2</f>
        <v>1.5262250668692896</v>
      </c>
      <c r="AA108" s="6928">
        <f t="shared" si="107"/>
        <v>3.5096411880870817</v>
      </c>
      <c r="AB108" s="6929">
        <f t="shared" ref="AB108:AC111" si="108">+((N108*N$2)+(Z108*Z$2))/AB$2</f>
        <v>2.4599655876481328</v>
      </c>
      <c r="AC108" s="6929">
        <f t="shared" si="108"/>
        <v>3.1434906234363762</v>
      </c>
      <c r="AD108" s="6926">
        <f>+EMD!AB39/(EMD!AB3*24)</f>
        <v>2.0315804367234533</v>
      </c>
      <c r="AE108" s="6926">
        <f>+EMD!AC39/(EMD!AC3*24)</f>
        <v>3.385012602170018</v>
      </c>
      <c r="AF108" s="6927">
        <f t="shared" ref="AF108:AF111" si="109">+((AB108*AB$2)+(AD108*AD$2))/AF$2</f>
        <v>2.3979097947571746</v>
      </c>
      <c r="AG108" s="6927">
        <f t="shared" ref="AG108:AG111" si="110">+((AC108*AC$2)+(AE108*AE$2))/AG$2</f>
        <v>3.1784774521314363</v>
      </c>
      <c r="AH108" s="6926">
        <f>+EMD!AF39/(EMD!AF3*24)</f>
        <v>2.024316081259292</v>
      </c>
      <c r="AI108" s="6926">
        <f>+EMD!AG39/(EMD!AG3*24)</f>
        <v>1.0814228700865862</v>
      </c>
      <c r="AJ108" s="6927">
        <f t="shared" ref="AJ108:AJ111" si="111">+((AF108*AF$2)+(AH108*AH$2))/AJ$2</f>
        <v>2.3519761414582545</v>
      </c>
      <c r="AK108" s="6927">
        <f t="shared" ref="AK108:AK111" si="112">+((AG108*AG$2)+(AI108*AI$2))/AK$2</f>
        <v>2.9206428723718236</v>
      </c>
      <c r="AL108" s="6926">
        <f>+EMD!AJ39/(EMD!AJ3*24)</f>
        <v>2.0315804367234533</v>
      </c>
      <c r="AM108" s="6926">
        <f>+EMD!AK39/(EMD!AK3*24)</f>
        <v>2.5937971598648732</v>
      </c>
      <c r="AN108" s="6928">
        <f t="shared" ref="AN108:AN111" si="113">+((AD108*AD$2)+(AH108*AH$2)+(AL108*AL$2))/AN$2</f>
        <v>2.0292116251590531</v>
      </c>
      <c r="AO108" s="6928">
        <f t="shared" ref="AO108:AO111" si="114">+((AE108*AE$2)+(AI108*AI$2)+(AM108*AM$2))/AO$2</f>
        <v>2.3672368339747738</v>
      </c>
      <c r="AP108" s="6927">
        <f t="shared" ref="AP108:AQ111" si="115">+((AL108*AL$2)+(AJ108*AJ$2))/AP$2</f>
        <v>2.3158588074699678</v>
      </c>
      <c r="AQ108" s="6927">
        <f t="shared" si="115"/>
        <v>2.8837984465983126</v>
      </c>
      <c r="AR108" s="6926">
        <f>+EMD!AP39/(EMD!AP3*24)</f>
        <v>2.0315804367234533</v>
      </c>
      <c r="AS108" s="6926">
        <f>+EMD!AQ39/(EMD!AQ3*24)</f>
        <v>2.4924059139784944</v>
      </c>
      <c r="AT108" s="6927">
        <f t="shared" ref="AT108:AT111" si="116">+((AP108*AP$2)+(AR108*AR$2))/AT$2</f>
        <v>2.2870593646819222</v>
      </c>
      <c r="AU108" s="6927">
        <f t="shared" ref="AU108:AU111" si="117">+((AQ108*AQ$2)+(AS108*AS$2))/AU$2</f>
        <v>2.8441475691106839</v>
      </c>
      <c r="AV108" s="6926">
        <f>+EMD!AT39/(EMD!AT3*24)</f>
        <v>2.0148507205009074</v>
      </c>
      <c r="AW108" s="6926">
        <f>+EMD!AU39/(EMD!AU3*24)</f>
        <v>2.7137214481770595</v>
      </c>
      <c r="AX108" s="6927">
        <f t="shared" ref="AX108:AX111" si="118">+((AT108*AT$2)+(AV108*AV$2))/AX$2</f>
        <v>2.2642394783433941</v>
      </c>
      <c r="AY108" s="6927">
        <f t="shared" ref="AY108:AY111" si="119">+((AU108*AU$2)+(AW108*AW$2))/AY$2</f>
        <v>2.8332136428048713</v>
      </c>
      <c r="AZ108" s="6926">
        <f>+EMD!AX39/(EMD!AX3*24)</f>
        <v>2.1792845513645616</v>
      </c>
      <c r="BA108" s="6926">
        <f>+EMD!AY39/(EMD!AY3*24)</f>
        <v>3.4112197565562234</v>
      </c>
      <c r="BB108" s="6928">
        <f t="shared" ref="BB108:BB111" si="120">+((AR108*AR$2)+(AV108*AV$2)+(AZ108*AZ$2))/BB$2</f>
        <v>2.0772514978305985</v>
      </c>
      <c r="BC108" s="6928">
        <f t="shared" ref="BC108:BC111" si="121">+((AS108*AS$2)+(AW108*AW$2)+(BA108*BA$2))/BC$2</f>
        <v>2.8777399592837103</v>
      </c>
      <c r="BD108" s="6930">
        <f t="shared" ref="BD108:BE111" si="122">+((AN108*AN$2)+(BB108*BB$2))/BD$2</f>
        <v>2.0529676061504767</v>
      </c>
      <c r="BE108" s="6930">
        <f t="shared" si="122"/>
        <v>2.6196834344022699</v>
      </c>
      <c r="BF108" s="6927">
        <f>+((AX108*AX$2)+(AZ108*AZ$2))/BF$2</f>
        <v>2.2570241283808081</v>
      </c>
      <c r="BG108" s="6934">
        <f>+((AY108*AY$2)+(BA108*BA$2))/BG$2</f>
        <v>2.8823045730138901</v>
      </c>
      <c r="BH108" s="5172"/>
      <c r="BI108" s="1222"/>
      <c r="BJ108" s="26"/>
      <c r="BK108" s="26"/>
      <c r="BL108" s="26"/>
      <c r="BM108" s="26"/>
      <c r="BN108" s="1222"/>
    </row>
    <row r="109" spans="1:67" s="5172" customFormat="1" x14ac:dyDescent="0.25">
      <c r="B109" s="6931" t="s">
        <v>310</v>
      </c>
      <c r="C109" s="6913"/>
      <c r="D109" s="6913"/>
      <c r="E109" s="6531" t="s">
        <v>301</v>
      </c>
      <c r="F109" s="6926">
        <f>+EMD!D69/(EMD!D3*24)</f>
        <v>6.3350096020154387</v>
      </c>
      <c r="G109" s="6926">
        <f>+EMD!E69/(EMD!E3*24)</f>
        <v>5.4867215181306648</v>
      </c>
      <c r="H109" s="6926">
        <f>+EMD!F69/(EMD!F3*24)</f>
        <v>8.8502102666744822</v>
      </c>
      <c r="I109" s="6926">
        <f>+EMD!G69/(EMD!G3*24)</f>
        <v>5.3448362752972303</v>
      </c>
      <c r="J109" s="6916">
        <f t="shared" si="102"/>
        <v>7.6132263332356089</v>
      </c>
      <c r="K109" s="6916">
        <f t="shared" si="102"/>
        <v>5.4146159029202314</v>
      </c>
      <c r="L109" s="6926">
        <f>+EMD!J69/(EMD!J3*24)</f>
        <v>3.5089206123909844</v>
      </c>
      <c r="M109" s="6926">
        <f>+EMD!K69/(EMD!K3*24)</f>
        <v>5.2959773387964253</v>
      </c>
      <c r="N109" s="6928">
        <f t="shared" si="103"/>
        <v>6.2601585131769415</v>
      </c>
      <c r="O109" s="6928">
        <f t="shared" si="103"/>
        <v>5.3755042883739215</v>
      </c>
      <c r="P109" s="6926">
        <f>+EMD!N69/(EMD!N3*24)</f>
        <v>1.1912362815261288</v>
      </c>
      <c r="Q109" s="6926">
        <f>+EMD!O69/(EMD!O3*24)</f>
        <v>8.0717244017568017</v>
      </c>
      <c r="R109" s="6916">
        <f t="shared" si="104"/>
        <v>4.9721536838230467</v>
      </c>
      <c r="S109" s="6916">
        <f t="shared" si="104"/>
        <v>6.060609399151538</v>
      </c>
      <c r="T109" s="6926">
        <f>+EMD!R69/(EMD!R3*24)</f>
        <v>5.2732547651680086</v>
      </c>
      <c r="U109" s="6926">
        <f>+EMD!S69/(EMD!S3*24)</f>
        <v>7.4856580331375042</v>
      </c>
      <c r="V109" s="6916">
        <f t="shared" si="105"/>
        <v>5.0331610924615688</v>
      </c>
      <c r="W109" s="6916">
        <f t="shared" si="106"/>
        <v>6.3493447432924857</v>
      </c>
      <c r="X109" s="6926">
        <f>+EMD!V69/(EMD!V3*24)</f>
        <v>5.3418084806488944</v>
      </c>
      <c r="Y109" s="6926">
        <f>+EMD!W69/(EMD!W3*24)</f>
        <v>7.1918993710850296</v>
      </c>
      <c r="Z109" s="6917">
        <f t="shared" si="107"/>
        <v>3.9201464876846206</v>
      </c>
      <c r="AA109" s="6917">
        <f t="shared" si="107"/>
        <v>7.5873460501551557</v>
      </c>
      <c r="AB109" s="6929">
        <f t="shared" si="108"/>
        <v>5.0837590249512941</v>
      </c>
      <c r="AC109" s="6929">
        <f t="shared" si="108"/>
        <v>6.4874684527666728</v>
      </c>
      <c r="AD109" s="6926">
        <f>+EMD!AB69/(EMD!AB3*24)</f>
        <v>5.8444685271767449</v>
      </c>
      <c r="AE109" s="6926">
        <f>+EMD!AC69/(EMD!AC3*24)</f>
        <v>6.3901170628081578</v>
      </c>
      <c r="AF109" s="6916">
        <f t="shared" si="109"/>
        <v>5.1939552612549811</v>
      </c>
      <c r="AG109" s="6916">
        <f t="shared" si="110"/>
        <v>6.4733661486138034</v>
      </c>
      <c r="AH109" s="6926">
        <f>+EMD!AF69/(EMD!AF3*24)</f>
        <v>5.8141392954303193</v>
      </c>
      <c r="AI109" s="6926">
        <f>+EMD!AG69/(EMD!AG3*24)</f>
        <v>0.30334878041891722</v>
      </c>
      <c r="AJ109" s="6916">
        <f t="shared" si="111"/>
        <v>5.2702073966044072</v>
      </c>
      <c r="AK109" s="6916">
        <f t="shared" si="112"/>
        <v>5.7147574558029568</v>
      </c>
      <c r="AL109" s="6926">
        <f>+EMD!AJ69/(EMD!AJ3*24)</f>
        <v>5.8444685271767449</v>
      </c>
      <c r="AM109" s="6926">
        <f>+EMD!AK69/(EMD!AK3*24)</f>
        <v>6.2807243838621298</v>
      </c>
      <c r="AN109" s="6917">
        <f t="shared" si="113"/>
        <v>5.8345785603029103</v>
      </c>
      <c r="AO109" s="6917">
        <f t="shared" si="114"/>
        <v>4.368440741949418</v>
      </c>
      <c r="AP109" s="6916">
        <f t="shared" si="115"/>
        <v>5.3349422876871069</v>
      </c>
      <c r="AQ109" s="6916">
        <f t="shared" si="115"/>
        <v>5.7785573640569003</v>
      </c>
      <c r="AR109" s="6926">
        <f>+EMD!AP69/(EMD!AP3*24)</f>
        <v>5.8444685271767449</v>
      </c>
      <c r="AS109" s="6926">
        <f>+EMD!AQ69/(EMD!AQ3*24)</f>
        <v>6.5230779569892476</v>
      </c>
      <c r="AT109" s="6916">
        <f t="shared" si="116"/>
        <v>5.3865609590079524</v>
      </c>
      <c r="AU109" s="6916">
        <f t="shared" si="117"/>
        <v>5.8539826528833805</v>
      </c>
      <c r="AV109" s="6926">
        <f>+EMD!AT69/(EMD!AT3*24)</f>
        <v>5.7434718103462155</v>
      </c>
      <c r="AW109" s="6920">
        <f>+EMD!AU69/(EMD!AU3*24)</f>
        <v>6.4411255821485547</v>
      </c>
      <c r="AX109" s="6916">
        <f t="shared" si="118"/>
        <v>5.4164816291800228</v>
      </c>
      <c r="AY109" s="6916">
        <f t="shared" si="119"/>
        <v>5.9032042158157898</v>
      </c>
      <c r="AZ109" s="6926">
        <f>+EMD!AX69/(EMD!AX3*24)</f>
        <v>6.535223595329021</v>
      </c>
      <c r="BA109" s="6920">
        <f>+EMD!AY69/(EMD!AY3*24)</f>
        <v>7.3800352938462366</v>
      </c>
      <c r="BB109" s="6917">
        <f t="shared" si="120"/>
        <v>6.0509740720819192</v>
      </c>
      <c r="BC109" s="6917">
        <f t="shared" si="121"/>
        <v>6.7927558564006603</v>
      </c>
      <c r="BD109" s="6930">
        <f t="shared" si="122"/>
        <v>5.9415873298639577</v>
      </c>
      <c r="BE109" s="6930">
        <f t="shared" si="122"/>
        <v>5.5672778864582746</v>
      </c>
      <c r="BF109" s="6916">
        <f>+((AX109*AX$2)+(AZ109*AZ$2))/BF$2</f>
        <v>5.5114980701406227</v>
      </c>
      <c r="BG109" s="6932">
        <f>+((AY109*AY$2)+(BA109*BA$2))/BG$2</f>
        <v>6.0286337046348146</v>
      </c>
      <c r="BI109" s="1222"/>
      <c r="BJ109" s="26"/>
      <c r="BK109" s="26"/>
      <c r="BL109" s="26"/>
      <c r="BM109" s="26"/>
      <c r="BN109" s="1222"/>
    </row>
    <row r="110" spans="1:67" x14ac:dyDescent="0.25">
      <c r="B110" s="6931" t="s">
        <v>2150</v>
      </c>
      <c r="C110" s="6913"/>
      <c r="D110" s="6913"/>
      <c r="E110" s="6531" t="s">
        <v>301</v>
      </c>
      <c r="F110" s="6926">
        <f>+EMD!D87/(EMD!D3*24)</f>
        <v>5.2265605756264097</v>
      </c>
      <c r="G110" s="6926">
        <f>+EMD!E87/(EMD!E3*24)</f>
        <v>3.9887707275685802</v>
      </c>
      <c r="H110" s="6926">
        <f>+EMD!F87/(EMD!F3*24)</f>
        <v>1.5007933020974389</v>
      </c>
      <c r="I110" s="6926">
        <f>+EMD!G87/(EMD!G3*24)</f>
        <v>5.1459735585369693</v>
      </c>
      <c r="J110" s="6916">
        <f t="shared" ref="J110" si="123">+((F110*F$2)+(H110*H$2))/J$2</f>
        <v>3.3331378628493917</v>
      </c>
      <c r="K110" s="6916">
        <f t="shared" ref="K110" si="124">+((G110*G$2)+(I110*I$2))/K$2</f>
        <v>4.5768574121590726</v>
      </c>
      <c r="L110" s="6926">
        <f>+EMD!J87/(EMD!J3*24)</f>
        <v>0</v>
      </c>
      <c r="M110" s="6926">
        <f>+EMD!K87/(EMD!K3*24)</f>
        <v>0.29544019285681761</v>
      </c>
      <c r="N110" s="6928">
        <f t="shared" ref="N110" si="125">+((F110*F$2)+(H110*H$2)+(L110*L$2))/N$2</f>
        <v>2.2343012047671746</v>
      </c>
      <c r="O110" s="6928">
        <f t="shared" ref="O110" si="126">+((G110*G$2)+(I110*I$2)+(M110*M$2))/O$2</f>
        <v>3.165401186015472</v>
      </c>
      <c r="P110" s="6926">
        <f>+EMD!N87/(EMD!N3*24)</f>
        <v>0</v>
      </c>
      <c r="Q110" s="6926">
        <f>+EMD!O87/(EMD!O3*24)</f>
        <v>0.50236017675673428</v>
      </c>
      <c r="R110" s="6916">
        <f t="shared" ref="R110" si="127">+((N110*N$2)+(P110*P$2))/R$2</f>
        <v>1.6665689314246959</v>
      </c>
      <c r="S110" s="6916">
        <f t="shared" ref="S110" si="128">+((O110*O$2)+(Q110*Q$2))/S$2</f>
        <v>2.4887268312038255</v>
      </c>
      <c r="T110" s="6926">
        <f>+EMD!R87/(EMD!R3*24)</f>
        <v>0</v>
      </c>
      <c r="U110" s="6926">
        <f>+EMD!S87/(EMD!S3*24)</f>
        <v>1.180601223185872</v>
      </c>
      <c r="V110" s="6916">
        <f t="shared" ref="V110" si="129">+((R110*R$2)+(T110*T$2))/V$2</f>
        <v>1.3288981021817836</v>
      </c>
      <c r="W110" s="6916">
        <f t="shared" ref="W110" si="130">+((S110*S$2)+(U110*U$2))/W$2</f>
        <v>2.2236817733701226</v>
      </c>
      <c r="X110" s="6926">
        <f>+EMD!V87/(EMD!V3*24)</f>
        <v>0</v>
      </c>
      <c r="Y110" s="6926">
        <f>+EMD!W87/(EMD!W3*24)</f>
        <v>3.6696555264205686</v>
      </c>
      <c r="Z110" s="6917">
        <f t="shared" ref="Z110" si="131">+((P110*P$2)+(T110*T$2)+(X110*X$2))/Z$2</f>
        <v>0</v>
      </c>
      <c r="AA110" s="6917">
        <f t="shared" ref="AA110" si="132">+((Q110*Q$2)+(U110*U$2)+(Y110*Y$2))/AA$2</f>
        <v>1.7637116216395416</v>
      </c>
      <c r="AB110" s="6929">
        <f t="shared" ref="AB110" si="133">+((N110*N$2)+(Z110*Z$2))/AB$2</f>
        <v>1.1110459542831306</v>
      </c>
      <c r="AC110" s="6929">
        <f t="shared" ref="AC110" si="134">+((O110*O$2)+(AA110*AA$2))/AC$2</f>
        <v>2.4607266509193759</v>
      </c>
      <c r="AD110" s="6926">
        <f>+EMD!AB87/(EMD!AB3*24)</f>
        <v>0</v>
      </c>
      <c r="AE110" s="6926">
        <f>+EMD!AC87/(EMD!AC3*24)</f>
        <v>4.0582683112508526</v>
      </c>
      <c r="AF110" s="6916">
        <f t="shared" ref="AF110" si="135">+((AB110*AB$2)+(AD110*AD$2))/AF$2</f>
        <v>0.9501000450178172</v>
      </c>
      <c r="AG110" s="6916">
        <f t="shared" ref="AG110" si="136">+((AC110*AC$2)+(AE110*AE$2))/AG$2</f>
        <v>2.6921462372290756</v>
      </c>
      <c r="AH110" s="6926">
        <f>+EMD!AF87/(EMD!AF3*24)</f>
        <v>0</v>
      </c>
      <c r="AI110" s="6926">
        <f>+EMD!AG87/(EMD!AG3*24)</f>
        <v>0.18385775494437159</v>
      </c>
      <c r="AJ110" s="6916">
        <f t="shared" ref="AJ110" si="137">+((AF110*AF$2)+(AH110*AH$2))/AJ$2</f>
        <v>0.83328446571234793</v>
      </c>
      <c r="AK110" s="6916">
        <f t="shared" ref="AK110" si="138">+((AG110*AG$2)+(AI110*AI$2))/AK$2</f>
        <v>2.3837501123580052</v>
      </c>
      <c r="AL110" s="6926">
        <f>+EMD!AJ87/(EMD!AJ3*24)</f>
        <v>0</v>
      </c>
      <c r="AM110" s="6926">
        <f>+EMD!AK87/(EMD!AK3*24)</f>
        <v>1.8758514742505117</v>
      </c>
      <c r="AN110" s="6917">
        <f t="shared" ref="AN110" si="139">+((AD110*AD$2)+(AH110*AH$2)+(AL110*AL$2))/AN$2</f>
        <v>0</v>
      </c>
      <c r="AO110" s="6917">
        <f t="shared" ref="AO110" si="140">+((AE110*AE$2)+(AI110*AI$2)+(AM110*AM$2))/AO$2</f>
        <v>2.0594939782486246</v>
      </c>
      <c r="AP110" s="6916">
        <f t="shared" ref="AP110" si="141">+((AL110*AL$2)+(AJ110*AJ$2))/AP$2</f>
        <v>0.7393505804865923</v>
      </c>
      <c r="AQ110" s="6916">
        <f t="shared" ref="AQ110" si="142">+((AM110*AM$2)+(AK110*AK$2))/AQ$2</f>
        <v>2.3264960840622515</v>
      </c>
      <c r="AR110" s="6926">
        <f>+EMD!AP87/(EMD!AP3*24)</f>
        <v>0</v>
      </c>
      <c r="AS110" s="6926">
        <f>+EMD!AQ87/(EMD!AQ3*24)</f>
        <v>3.6978494623655913</v>
      </c>
      <c r="AT110" s="6916">
        <f t="shared" ref="AT110" si="143">+((AP110*AP$2)+(AR110*AR$2))/AT$2</f>
        <v>0.66444905109089181</v>
      </c>
      <c r="AU110" s="6916">
        <f t="shared" ref="AU110" si="144">+((AQ110*AQ$2)+(AS110*AS$2))/AU$2</f>
        <v>2.4654240406877532</v>
      </c>
      <c r="AV110" s="6926">
        <f>+EMD!AT87/(EMD!AT3*24)</f>
        <v>0</v>
      </c>
      <c r="AW110" s="6920">
        <f>+EMD!AU87/(EMD!AU3*24)</f>
        <v>4.5709538876161782</v>
      </c>
      <c r="AX110" s="6916">
        <f t="shared" si="118"/>
        <v>0.60874673543057756</v>
      </c>
      <c r="AY110" s="6916">
        <f t="shared" si="119"/>
        <v>2.641935524861394</v>
      </c>
      <c r="AZ110" s="6926">
        <f>+EMD!AX87/(EMD!AX3*24)</f>
        <v>0</v>
      </c>
      <c r="BA110" s="6920">
        <f>+EMD!AY87/(EMD!AY3*24)</f>
        <v>3.6535480454635083</v>
      </c>
      <c r="BB110" s="6917">
        <f>+EMD!AZ87/(EMD!AZ3*24)</f>
        <v>0</v>
      </c>
      <c r="BC110" s="6917">
        <f>+EMD!BA87/(EMD!BA3*24)</f>
        <v>3.9542225732883893</v>
      </c>
      <c r="BD110" s="6930">
        <f>+EMD!BB87/(EMD!BB3*24)</f>
        <v>0</v>
      </c>
      <c r="BE110" s="6930">
        <f>+EMD!BC87/(EMD!BC3*24)</f>
        <v>2.9964476790924639</v>
      </c>
      <c r="BF110" s="6916">
        <f>+EMD!BD87/(EMD!BD3*24)</f>
        <v>0</v>
      </c>
      <c r="BG110" s="6932">
        <f>+EMD!BE87/(EMD!BE3*24)</f>
        <v>2.7278533005837651</v>
      </c>
      <c r="BH110" s="5172"/>
      <c r="BI110" s="1222"/>
      <c r="BJ110" s="26"/>
      <c r="BK110" s="26"/>
      <c r="BL110" s="26"/>
      <c r="BM110" s="26"/>
      <c r="BN110" s="1222"/>
    </row>
    <row r="111" spans="1:67" x14ac:dyDescent="0.25">
      <c r="B111" s="6931" t="s">
        <v>311</v>
      </c>
      <c r="C111" s="6913"/>
      <c r="D111" s="6913"/>
      <c r="E111" s="6531" t="s">
        <v>301</v>
      </c>
      <c r="F111" s="6926">
        <f>+EMD!D108/(EMD!D3*24)</f>
        <v>1.9395733277508604</v>
      </c>
      <c r="G111" s="6926">
        <f>+EMD!E108/(EMD!E3*24)</f>
        <v>1.4028099836985379</v>
      </c>
      <c r="H111" s="6926">
        <f>+EMD!F108/(EMD!F3*24)</f>
        <v>1.723872322011323</v>
      </c>
      <c r="I111" s="6926">
        <f>+EMD!G108/(EMD!G3*24)</f>
        <v>1.5865047135606947</v>
      </c>
      <c r="J111" s="6916">
        <f t="shared" si="102"/>
        <v>1.8299547838504397</v>
      </c>
      <c r="K111" s="6927">
        <f t="shared" si="102"/>
        <v>1.4961630431366832</v>
      </c>
      <c r="L111" s="6926">
        <f>+EMD!J108/(EMD!J3*24)</f>
        <v>0.31288892007065261</v>
      </c>
      <c r="M111" s="6926">
        <f>+EMD!K108/(EMD!K3*24)</f>
        <v>0.98545098945970266</v>
      </c>
      <c r="N111" s="6928">
        <f t="shared" si="103"/>
        <v>1.3298231804065539</v>
      </c>
      <c r="O111" s="6928">
        <f t="shared" si="103"/>
        <v>1.3277964320343818</v>
      </c>
      <c r="P111" s="6926">
        <f>+EMD!N108/(EMD!N3*24)</f>
        <v>8.9068807460406019E-2</v>
      </c>
      <c r="Q111" s="6926">
        <f>+EMD!O108/(EMD!O3*24)</f>
        <v>1.5150096700956719</v>
      </c>
      <c r="R111" s="6916">
        <f t="shared" si="104"/>
        <v>1.0145495282644998</v>
      </c>
      <c r="S111" s="6916">
        <f t="shared" si="104"/>
        <v>1.3753670089188081</v>
      </c>
      <c r="T111" s="6926">
        <f>+EMD!R108/(EMD!R3*24)</f>
        <v>0.88400285679546442</v>
      </c>
      <c r="U111" s="6926">
        <f>+EMD!S108/(EMD!S3*24)</f>
        <v>1.4673170359635563</v>
      </c>
      <c r="V111" s="6916">
        <f t="shared" si="105"/>
        <v>0.98809889548319207</v>
      </c>
      <c r="W111" s="6916">
        <f t="shared" si="106"/>
        <v>1.3939974065553258</v>
      </c>
      <c r="X111" s="6926">
        <f>+EMD!V108/(EMD!V3*24)</f>
        <v>0.89835690946660207</v>
      </c>
      <c r="Y111" s="6926">
        <f>+EMD!W108/(EMD!W3*24)</f>
        <v>1.6384944165195461</v>
      </c>
      <c r="Z111" s="6917">
        <f t="shared" si="107"/>
        <v>0.6208253138688048</v>
      </c>
      <c r="AA111" s="6917">
        <f t="shared" si="107"/>
        <v>1.5392060911241572</v>
      </c>
      <c r="AB111" s="6929">
        <f t="shared" si="108"/>
        <v>0.97338709449686567</v>
      </c>
      <c r="AC111" s="6929">
        <f t="shared" si="108"/>
        <v>1.4340788835986407</v>
      </c>
      <c r="AD111" s="6926">
        <f>+EMD!AB108/(EMD!AB3*24)</f>
        <v>1.0035604166636694</v>
      </c>
      <c r="AE111" s="6926">
        <f>+EMD!AC108/(EMD!AC3*24)</f>
        <v>1.4929612002174855</v>
      </c>
      <c r="AF111" s="6916">
        <f t="shared" si="109"/>
        <v>0.97775799630607552</v>
      </c>
      <c r="AG111" s="6916">
        <f t="shared" si="110"/>
        <v>1.442608564978006</v>
      </c>
      <c r="AH111" s="6926">
        <f>+EMD!AF108/(EMD!AF3*24)</f>
        <v>0.99730408100727352</v>
      </c>
      <c r="AI111" s="6926">
        <f>+EMD!AG108/(EMD!AG3*24)</f>
        <v>0.41715551506704368</v>
      </c>
      <c r="AJ111" s="6916">
        <f t="shared" si="111"/>
        <v>0.98016120344146873</v>
      </c>
      <c r="AK111" s="6916">
        <f t="shared" si="112"/>
        <v>1.3165282719561664</v>
      </c>
      <c r="AL111" s="6926">
        <f>+EMD!AJ108/(EMD!AJ3*24)</f>
        <v>1.0035604166636694</v>
      </c>
      <c r="AM111" s="6926">
        <f>+EMD!AK108/(EMD!AK3*24)</f>
        <v>1.3904517160891481</v>
      </c>
      <c r="AN111" s="6917">
        <f t="shared" si="113"/>
        <v>1.0015203072104968</v>
      </c>
      <c r="AO111" s="6917">
        <f t="shared" si="114"/>
        <v>1.1076137593208364</v>
      </c>
      <c r="AP111" s="6916">
        <f t="shared" si="115"/>
        <v>0.9827989329319714</v>
      </c>
      <c r="AQ111" s="6916">
        <f t="shared" si="115"/>
        <v>1.3248614602038842</v>
      </c>
      <c r="AR111" s="6926">
        <f>+EMD!AP108/(EMD!AP3*24)</f>
        <v>1.0035604166636694</v>
      </c>
      <c r="AS111" s="6926">
        <f>+EMD!AQ108/(EMD!AQ3*24)</f>
        <v>1.6781290322580646</v>
      </c>
      <c r="AT111" s="6916">
        <f t="shared" si="116"/>
        <v>0.98490222049956166</v>
      </c>
      <c r="AU111" s="6916">
        <f t="shared" si="117"/>
        <v>1.36065000508519</v>
      </c>
      <c r="AV111" s="6926">
        <f>+EMD!AT108/(EMD!AT3*24)</f>
        <v>0.9803406690728752</v>
      </c>
      <c r="AW111" s="6920">
        <f>+EMD!AU108/(EMD!AU3*24)</f>
        <v>1.643477059084455</v>
      </c>
      <c r="AX111" s="6916">
        <f t="shared" si="118"/>
        <v>0.98451981499073771</v>
      </c>
      <c r="AY111" s="6916">
        <f t="shared" si="119"/>
        <v>1.384360057516266</v>
      </c>
      <c r="AZ111" s="6926">
        <f>+EMD!AX108/(EMD!AX3*24)</f>
        <v>1.1517244983773807</v>
      </c>
      <c r="BA111" s="6920">
        <f>+EMD!AY108/(EMD!AY3*24)</f>
        <v>1.6938806358375451</v>
      </c>
      <c r="BB111" s="6917">
        <f t="shared" si="120"/>
        <v>1.0473707900034783</v>
      </c>
      <c r="BC111" s="6917">
        <f t="shared" si="121"/>
        <v>1.6727739707258737</v>
      </c>
      <c r="BD111" s="6930">
        <f t="shared" si="122"/>
        <v>1.0241936228773558</v>
      </c>
      <c r="BE111" s="6930">
        <f t="shared" si="122"/>
        <v>1.3870885891365143</v>
      </c>
      <c r="BF111" s="6916">
        <f>+((AX111*AX$2)+(AZ111*AZ$2))/BF$2</f>
        <v>0.99872076070302795</v>
      </c>
      <c r="BG111" s="6932">
        <f>+((AY111*AY$2)+(BA111*BA$2))/BG$2</f>
        <v>1.4106481066339636</v>
      </c>
      <c r="BH111" s="5172"/>
      <c r="BI111" s="1222"/>
      <c r="BJ111" s="26"/>
      <c r="BK111" s="26"/>
      <c r="BL111" s="26"/>
      <c r="BM111" s="26"/>
      <c r="BN111" s="1222"/>
    </row>
    <row r="112" spans="1:67" ht="15.75" thickBot="1" x14ac:dyDescent="0.3">
      <c r="A112" s="149"/>
      <c r="B112" s="6935" t="s">
        <v>312</v>
      </c>
      <c r="C112" s="6936"/>
      <c r="D112" s="6936"/>
      <c r="E112" s="6546" t="s">
        <v>551</v>
      </c>
      <c r="F112" s="6937">
        <f t="shared" ref="F112:AK112" si="145">+F89/F103</f>
        <v>114.81481481481481</v>
      </c>
      <c r="G112" s="6937">
        <f t="shared" si="145"/>
        <v>110.44497937952814</v>
      </c>
      <c r="H112" s="6937">
        <f t="shared" ref="H112:I112" si="146">+H89/H103</f>
        <v>116.07142857142857</v>
      </c>
      <c r="I112" s="6937">
        <f t="shared" si="146"/>
        <v>111.95658372737651</v>
      </c>
      <c r="J112" s="6938">
        <f t="shared" si="145"/>
        <v>115.45454545454545</v>
      </c>
      <c r="K112" s="6938">
        <f t="shared" si="145"/>
        <v>111.25000451545674</v>
      </c>
      <c r="L112" s="6937">
        <f t="shared" si="145"/>
        <v>74.786324786324784</v>
      </c>
      <c r="M112" s="6937">
        <f t="shared" si="145"/>
        <v>85.694671106557379</v>
      </c>
      <c r="N112" s="6939">
        <f t="shared" si="145"/>
        <v>103.31632653061224</v>
      </c>
      <c r="O112" s="6939">
        <f t="shared" si="145"/>
        <v>104.77996420233463</v>
      </c>
      <c r="P112" s="6937">
        <f t="shared" si="145"/>
        <v>80.128205128205124</v>
      </c>
      <c r="Q112" s="6937">
        <f t="shared" si="145"/>
        <v>90.762293351378787</v>
      </c>
      <c r="R112" s="6938">
        <f t="shared" si="145"/>
        <v>101.21809744779583</v>
      </c>
      <c r="S112" s="6938">
        <f t="shared" si="145"/>
        <v>100.89554938821435</v>
      </c>
      <c r="T112" s="6937">
        <f t="shared" si="145"/>
        <v>89.743589743589737</v>
      </c>
      <c r="U112" s="6937">
        <f t="shared" si="145"/>
        <v>81.380710707947159</v>
      </c>
      <c r="V112" s="6938">
        <f t="shared" si="145"/>
        <v>98.458149779735677</v>
      </c>
      <c r="W112" s="6938">
        <f t="shared" si="145"/>
        <v>97.147358078933422</v>
      </c>
      <c r="X112" s="6937">
        <f t="shared" si="145"/>
        <v>91.168091168091166</v>
      </c>
      <c r="Y112" s="6937">
        <f t="shared" si="145"/>
        <v>85.391810330780501</v>
      </c>
      <c r="Z112" s="6939">
        <f t="shared" si="145"/>
        <v>89.133089133089129</v>
      </c>
      <c r="AA112" s="6939">
        <f t="shared" si="145"/>
        <v>86.058008061218544</v>
      </c>
      <c r="AB112" s="6940">
        <f t="shared" si="145"/>
        <v>97.085642767745398</v>
      </c>
      <c r="AC112" s="6940">
        <f t="shared" si="145"/>
        <v>94.930209533175599</v>
      </c>
      <c r="AD112" s="6937">
        <f t="shared" si="145"/>
        <v>98.901098901098905</v>
      </c>
      <c r="AE112" s="6937">
        <f t="shared" si="145"/>
        <v>93.786529503916469</v>
      </c>
      <c r="AF112" s="6938">
        <f t="shared" si="145"/>
        <v>97.382198952879577</v>
      </c>
      <c r="AG112" s="6938">
        <f t="shared" si="145"/>
        <v>94.69210625848919</v>
      </c>
      <c r="AH112" s="6937">
        <f t="shared" si="145"/>
        <v>98.76543209876543</v>
      </c>
      <c r="AI112" s="6937">
        <f t="shared" si="145"/>
        <v>62.17248521424262</v>
      </c>
      <c r="AJ112" s="6938">
        <f t="shared" si="145"/>
        <v>97.570431636081679</v>
      </c>
      <c r="AK112" s="6938">
        <f t="shared" si="145"/>
        <v>93.342991011742299</v>
      </c>
      <c r="AL112" s="6937">
        <f t="shared" ref="AL112:BE112" si="147">+AL89/AL103</f>
        <v>98.901098901098905</v>
      </c>
      <c r="AM112" s="6937">
        <f t="shared" si="147"/>
        <v>96.643460502512582</v>
      </c>
      <c r="AN112" s="6939">
        <f t="shared" si="147"/>
        <v>98.85696632684585</v>
      </c>
      <c r="AO112" s="6939">
        <f t="shared" si="147"/>
        <v>90.702483315827763</v>
      </c>
      <c r="AP112" s="6938">
        <f t="shared" si="147"/>
        <v>97.734994337485844</v>
      </c>
      <c r="AQ112" s="6938">
        <f t="shared" si="147"/>
        <v>93.708558642799858</v>
      </c>
      <c r="AR112" s="6941">
        <f t="shared" si="147"/>
        <v>98.901098901098905</v>
      </c>
      <c r="AS112" s="6937">
        <f t="shared" si="147"/>
        <v>98.325597688232421</v>
      </c>
      <c r="AT112" s="6938">
        <f t="shared" si="147"/>
        <v>97.863334005240873</v>
      </c>
      <c r="AU112" s="6938">
        <f t="shared" si="147"/>
        <v>94.270872382442036</v>
      </c>
      <c r="AV112" s="6941">
        <f t="shared" si="147"/>
        <v>98.461538461538467</v>
      </c>
      <c r="AW112" s="6937">
        <f t="shared" si="147"/>
        <v>106.88209533787324</v>
      </c>
      <c r="AX112" s="6938">
        <f t="shared" si="147"/>
        <v>97.916857850784623</v>
      </c>
      <c r="AY112" s="6938">
        <f t="shared" si="147"/>
        <v>95.540820227880133</v>
      </c>
      <c r="AZ112" s="6941">
        <f t="shared" si="147"/>
        <v>109.89010989010988</v>
      </c>
      <c r="BA112" s="6937">
        <f t="shared" si="147"/>
        <v>117.48622712933755</v>
      </c>
      <c r="BB112" s="6939">
        <f t="shared" si="147"/>
        <v>102.56410256410257</v>
      </c>
      <c r="BC112" s="6939">
        <f t="shared" si="147"/>
        <v>107.64356077831218</v>
      </c>
      <c r="BD112" s="6942">
        <f t="shared" si="147"/>
        <v>100.68792995622263</v>
      </c>
      <c r="BE112" s="6942">
        <f t="shared" si="147"/>
        <v>100.80759051934925</v>
      </c>
      <c r="BF112" s="6938">
        <f t="shared" ref="BF112:BG112" si="148">+BF89/BF103</f>
        <v>99.007423471515551</v>
      </c>
      <c r="BG112" s="6943">
        <f t="shared" si="148"/>
        <v>97.741887742833626</v>
      </c>
      <c r="BH112" s="1222"/>
      <c r="BI112" s="1222"/>
      <c r="BJ112" s="26"/>
      <c r="BK112" s="26"/>
      <c r="BL112" s="26"/>
      <c r="BM112" s="26"/>
      <c r="BN112" s="1222"/>
    </row>
    <row r="113" spans="2:66" ht="15.75" thickBot="1" x14ac:dyDescent="0.3"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222"/>
      <c r="BI113" s="1222"/>
      <c r="BJ113" s="26"/>
      <c r="BK113" s="26"/>
      <c r="BL113" s="26"/>
      <c r="BM113" s="26"/>
      <c r="BN113" s="1222"/>
    </row>
    <row r="114" spans="2:66" x14ac:dyDescent="0.25">
      <c r="B114" s="1056" t="s">
        <v>805</v>
      </c>
      <c r="C114" s="1057"/>
      <c r="D114" s="1057"/>
      <c r="E114" s="820" t="s">
        <v>50</v>
      </c>
      <c r="F114" s="1057"/>
      <c r="G114" s="1605">
        <v>203.53699999999938</v>
      </c>
      <c r="H114" s="1057"/>
      <c r="I114" s="1605">
        <v>387.81699999999989</v>
      </c>
      <c r="J114" s="1059"/>
      <c r="K114" s="373">
        <f>+G114+I114</f>
        <v>591.35399999999925</v>
      </c>
      <c r="L114" s="1057"/>
      <c r="M114" s="1605">
        <v>252.42099999999971</v>
      </c>
      <c r="N114" s="1061"/>
      <c r="O114" s="618">
        <f>+G114+I114+M114</f>
        <v>843.77499999999895</v>
      </c>
      <c r="P114" s="1057"/>
      <c r="Q114" s="1605">
        <v>335.51899999999938</v>
      </c>
      <c r="R114" s="1059"/>
      <c r="S114" s="373">
        <f>+O114+Q114</f>
        <v>1179.2939999999983</v>
      </c>
      <c r="T114" s="1057"/>
      <c r="U114" s="1605">
        <v>212.95499999999981</v>
      </c>
      <c r="V114" s="1059"/>
      <c r="W114" s="373">
        <f>+S114+U114</f>
        <v>1392.248999999998</v>
      </c>
      <c r="X114" s="1057"/>
      <c r="Y114" s="1605">
        <v>166.85199999999924</v>
      </c>
      <c r="Z114" s="1061"/>
      <c r="AA114" s="618">
        <f>+Q114+U114+Y114</f>
        <v>715.32599999999843</v>
      </c>
      <c r="AB114" s="6851"/>
      <c r="AC114" s="1052">
        <f>+AA114+O114</f>
        <v>1559.1009999999974</v>
      </c>
      <c r="AD114" s="1057"/>
      <c r="AE114" s="1605">
        <v>369.78199999999941</v>
      </c>
      <c r="AF114" s="1059"/>
      <c r="AG114" s="373">
        <f>+AC114+AE114</f>
        <v>1928.8829999999969</v>
      </c>
      <c r="AH114" s="1057"/>
      <c r="AI114" s="1605">
        <v>103.1519999999998</v>
      </c>
      <c r="AJ114" s="1059"/>
      <c r="AK114" s="373">
        <f>+AG114+AI114</f>
        <v>2032.0349999999967</v>
      </c>
      <c r="AL114" s="1057"/>
      <c r="AM114" s="1605">
        <v>361.35599999999954</v>
      </c>
      <c r="AN114" s="1061"/>
      <c r="AO114" s="618">
        <f>+AE114+AI114+AM114</f>
        <v>834.28999999999883</v>
      </c>
      <c r="AP114" s="1059"/>
      <c r="AQ114" s="373">
        <f t="shared" ref="AQ114:AQ115" si="149">AK114+AM114</f>
        <v>2393.390999999996</v>
      </c>
      <c r="AR114" s="1057"/>
      <c r="AS114" s="1605">
        <v>454.99999999999926</v>
      </c>
      <c r="AT114" s="1059"/>
      <c r="AU114" s="373">
        <f>+AQ114+AS114</f>
        <v>2848.3909999999951</v>
      </c>
      <c r="AV114" s="1057"/>
      <c r="AW114" s="1605">
        <v>378.11899999999986</v>
      </c>
      <c r="AX114" s="1059"/>
      <c r="AY114" s="373">
        <f>+AU114+AW114</f>
        <v>3226.5099999999948</v>
      </c>
      <c r="AZ114" s="1057"/>
      <c r="BA114" s="1605">
        <v>394.63600000000019</v>
      </c>
      <c r="BB114" s="1061"/>
      <c r="BC114" s="618">
        <f>+AS114+AW114+BA114</f>
        <v>1227.7549999999992</v>
      </c>
      <c r="BD114" s="6852"/>
      <c r="BE114" s="6853">
        <f t="shared" ref="BE114:BE115" si="150">+AO114+BC114</f>
        <v>2062.0449999999983</v>
      </c>
      <c r="BF114" s="1059"/>
      <c r="BG114" s="43">
        <f>+AY114+BA114</f>
        <v>3621.1459999999952</v>
      </c>
      <c r="BH114" s="1222"/>
      <c r="BI114" s="1222"/>
      <c r="BJ114" s="26"/>
      <c r="BK114" s="26"/>
      <c r="BL114" s="26"/>
      <c r="BM114" s="26"/>
      <c r="BN114" s="1222"/>
    </row>
    <row r="115" spans="2:66" x14ac:dyDescent="0.25">
      <c r="B115" s="6886" t="s">
        <v>803</v>
      </c>
      <c r="C115" s="6865"/>
      <c r="D115" s="6865"/>
      <c r="E115" s="6531" t="s">
        <v>50</v>
      </c>
      <c r="F115" s="6865"/>
      <c r="G115" s="6900">
        <v>1027.2070000000001</v>
      </c>
      <c r="H115" s="6865"/>
      <c r="I115" s="6900">
        <v>1178.1529999999998</v>
      </c>
      <c r="J115" s="6879"/>
      <c r="K115" s="6672">
        <f>+G115+I115</f>
        <v>2205.3599999999997</v>
      </c>
      <c r="L115" s="6865"/>
      <c r="M115" s="6900">
        <v>563.50499999999988</v>
      </c>
      <c r="N115" s="6880"/>
      <c r="O115" s="6680">
        <f>+G115+I115+M115</f>
        <v>2768.8649999999998</v>
      </c>
      <c r="P115" s="6865"/>
      <c r="Q115" s="6900">
        <v>900.26</v>
      </c>
      <c r="R115" s="6879"/>
      <c r="S115" s="6672">
        <f>+O115+Q115</f>
        <v>3669.125</v>
      </c>
      <c r="T115" s="6865"/>
      <c r="U115" s="6900">
        <v>749.08600000000013</v>
      </c>
      <c r="V115" s="6879"/>
      <c r="W115" s="6672">
        <f>+S115+U115</f>
        <v>4418.2110000000002</v>
      </c>
      <c r="X115" s="6865"/>
      <c r="Y115" s="6900">
        <v>955.64100000000019</v>
      </c>
      <c r="Z115" s="6880"/>
      <c r="AA115" s="6680">
        <f>+Q115+U115+Y115</f>
        <v>2604.9870000000001</v>
      </c>
      <c r="AB115" s="6847"/>
      <c r="AC115" s="6848">
        <f>+AA115+O115</f>
        <v>5373.8519999999999</v>
      </c>
      <c r="AD115" s="6865"/>
      <c r="AE115" s="6900">
        <v>968.64999999999975</v>
      </c>
      <c r="AF115" s="6879"/>
      <c r="AG115" s="6672">
        <f>+AC115+AE115</f>
        <v>6342.5019999999995</v>
      </c>
      <c r="AH115" s="6865"/>
      <c r="AI115" s="6900">
        <v>188.61599999999999</v>
      </c>
      <c r="AJ115" s="6879"/>
      <c r="AK115" s="6672">
        <f>+AG115+AI115</f>
        <v>6531.1179999999995</v>
      </c>
      <c r="AL115" s="6865"/>
      <c r="AM115" s="6900">
        <v>923.25600000000031</v>
      </c>
      <c r="AN115" s="6880"/>
      <c r="AO115" s="6680">
        <f>+AE115+AI115+AM115</f>
        <v>2080.5219999999999</v>
      </c>
      <c r="AP115" s="6879"/>
      <c r="AQ115" s="6672">
        <f t="shared" si="149"/>
        <v>7454.3739999999998</v>
      </c>
      <c r="AR115" s="6865"/>
      <c r="AS115" s="6900">
        <v>1221.7340000000002</v>
      </c>
      <c r="AT115" s="6879"/>
      <c r="AU115" s="6672">
        <f>+AQ115+AS115</f>
        <v>8676.1080000000002</v>
      </c>
      <c r="AV115" s="6865"/>
      <c r="AW115" s="6900">
        <v>1074.7549999999999</v>
      </c>
      <c r="AX115" s="6879"/>
      <c r="AY115" s="6672">
        <f>+AU115+AW115</f>
        <v>9750.8629999999994</v>
      </c>
      <c r="AZ115" s="6865"/>
      <c r="BA115" s="6900">
        <v>1282.0229999999997</v>
      </c>
      <c r="BB115" s="6880"/>
      <c r="BC115" s="6680">
        <f>+AS115+AW115+BA115</f>
        <v>3578.5119999999997</v>
      </c>
      <c r="BD115" s="6849"/>
      <c r="BE115" s="6850">
        <f t="shared" si="150"/>
        <v>5659.0339999999997</v>
      </c>
      <c r="BF115" s="6879"/>
      <c r="BG115" s="6535">
        <f>+AY115+BA115</f>
        <v>11032.885999999999</v>
      </c>
      <c r="BH115" s="1222"/>
      <c r="BI115" s="1222"/>
      <c r="BJ115" s="26"/>
      <c r="BK115" s="26"/>
      <c r="BL115" s="26"/>
      <c r="BM115" s="26"/>
      <c r="BN115" s="1222"/>
    </row>
    <row r="116" spans="2:66" x14ac:dyDescent="0.25">
      <c r="B116" s="6909" t="s">
        <v>826</v>
      </c>
      <c r="C116" s="6901"/>
      <c r="D116" s="6901"/>
      <c r="E116" s="6538" t="s">
        <v>50</v>
      </c>
      <c r="F116" s="6865"/>
      <c r="G116" s="6900">
        <f>SUM(G114:G115)</f>
        <v>1230.7439999999995</v>
      </c>
      <c r="H116" s="6865"/>
      <c r="I116" s="6900">
        <f>SUM(I114:I115)</f>
        <v>1565.9699999999998</v>
      </c>
      <c r="J116" s="6879"/>
      <c r="K116" s="6866">
        <f>SUM(K114:K115)</f>
        <v>2796.713999999999</v>
      </c>
      <c r="L116" s="6865"/>
      <c r="M116" s="6900">
        <f>SUM(M114:M115)</f>
        <v>815.92599999999959</v>
      </c>
      <c r="N116" s="6880"/>
      <c r="O116" s="6867">
        <f>SUM(O114:O115)</f>
        <v>3612.6399999999985</v>
      </c>
      <c r="P116" s="6865"/>
      <c r="Q116" s="6900">
        <f>SUM(Q114:Q115)</f>
        <v>1235.7789999999993</v>
      </c>
      <c r="R116" s="6879"/>
      <c r="S116" s="6866">
        <f>SUM(S114:S115)</f>
        <v>4848.4189999999981</v>
      </c>
      <c r="T116" s="6865"/>
      <c r="U116" s="6900">
        <f>SUM(U114:U115)</f>
        <v>962.04099999999994</v>
      </c>
      <c r="V116" s="6879"/>
      <c r="W116" s="6866">
        <f>SUM(W114:W115)</f>
        <v>5810.4599999999982</v>
      </c>
      <c r="X116" s="6865"/>
      <c r="Y116" s="6900">
        <f>SUM(Y114:Y115)</f>
        <v>1122.4929999999995</v>
      </c>
      <c r="Z116" s="6880"/>
      <c r="AA116" s="6867">
        <f>SUM(AA114:AA115)</f>
        <v>3320.3129999999983</v>
      </c>
      <c r="AB116" s="6902"/>
      <c r="AC116" s="6868">
        <f>SUM(AC114:AC115)</f>
        <v>6932.9529999999977</v>
      </c>
      <c r="AD116" s="6865"/>
      <c r="AE116" s="6900">
        <f>SUM(AE114:AE115)</f>
        <v>1338.4319999999991</v>
      </c>
      <c r="AF116" s="6879"/>
      <c r="AG116" s="6866">
        <f>SUM(AG114:AG115)</f>
        <v>8271.3849999999966</v>
      </c>
      <c r="AH116" s="6865"/>
      <c r="AI116" s="6900">
        <f>SUM(AI114:AI115)</f>
        <v>291.7679999999998</v>
      </c>
      <c r="AJ116" s="6879"/>
      <c r="AK116" s="6866">
        <f>SUM(AK114:AK115)</f>
        <v>8563.1529999999966</v>
      </c>
      <c r="AL116" s="6865"/>
      <c r="AM116" s="6900">
        <f>SUM(AM114:AM115)</f>
        <v>1284.6119999999999</v>
      </c>
      <c r="AN116" s="6880"/>
      <c r="AO116" s="6867">
        <f>SUM(AO114:AO115)</f>
        <v>2914.811999999999</v>
      </c>
      <c r="AP116" s="6879"/>
      <c r="AQ116" s="6866">
        <f>SUM(AQ114:AQ115)</f>
        <v>9847.7649999999958</v>
      </c>
      <c r="AR116" s="6865"/>
      <c r="AS116" s="6900">
        <f>SUM(AS114:AS115)</f>
        <v>1676.7339999999995</v>
      </c>
      <c r="AT116" s="6879"/>
      <c r="AU116" s="6866">
        <f>SUM(AU114:AU115)</f>
        <v>11524.498999999996</v>
      </c>
      <c r="AV116" s="6865"/>
      <c r="AW116" s="6900">
        <f>SUM(AW114:AW115)</f>
        <v>1452.8739999999998</v>
      </c>
      <c r="AX116" s="6879"/>
      <c r="AY116" s="6866">
        <f>SUM(AY114:AY115)</f>
        <v>12977.372999999994</v>
      </c>
      <c r="AZ116" s="6865"/>
      <c r="BA116" s="6900">
        <f>SUM(BA114:BA115)</f>
        <v>1676.6589999999999</v>
      </c>
      <c r="BB116" s="6880"/>
      <c r="BC116" s="6867">
        <f>SUM(BC114:BC115)</f>
        <v>4806.2669999999989</v>
      </c>
      <c r="BD116" s="6903"/>
      <c r="BE116" s="6869">
        <f>SUM(BE114:BE115)</f>
        <v>7721.0789999999979</v>
      </c>
      <c r="BF116" s="6879"/>
      <c r="BG116" s="6885">
        <f>SUM(BG114:BG115)</f>
        <v>14654.031999999994</v>
      </c>
      <c r="BH116" s="1222"/>
      <c r="BI116" s="1222"/>
      <c r="BJ116" s="26"/>
      <c r="BK116" s="26"/>
      <c r="BL116" s="26"/>
      <c r="BM116" s="26"/>
      <c r="BN116" s="1222"/>
    </row>
    <row r="117" spans="2:66" x14ac:dyDescent="0.25">
      <c r="B117" s="6909" t="s">
        <v>822</v>
      </c>
      <c r="C117" s="6901"/>
      <c r="D117" s="6901"/>
      <c r="E117" s="6538" t="s">
        <v>49</v>
      </c>
      <c r="F117" s="6865"/>
      <c r="G117" s="6904">
        <f>+G116/G5</f>
        <v>2.3291551848486736E-2</v>
      </c>
      <c r="H117" s="6865"/>
      <c r="I117" s="6904">
        <f>+I116/I5</f>
        <v>2.5684364894429577E-2</v>
      </c>
      <c r="J117" s="6879"/>
      <c r="K117" s="6905">
        <f>+K116/K5</f>
        <v>2.4573412414332307E-2</v>
      </c>
      <c r="L117" s="6865"/>
      <c r="M117" s="6904">
        <f>+M116/M5</f>
        <v>2.7526939037144482E-2</v>
      </c>
      <c r="N117" s="6880"/>
      <c r="O117" s="6906">
        <f>+O116/O5</f>
        <v>2.5183691440610043E-2</v>
      </c>
      <c r="P117" s="6865"/>
      <c r="Q117" s="6904">
        <f>+Q116/Q5</f>
        <v>2.5976603296873312E-2</v>
      </c>
      <c r="R117" s="6879"/>
      <c r="S117" s="6905">
        <f>+S116/S5</f>
        <v>2.5381158499290273E-2</v>
      </c>
      <c r="T117" s="6865"/>
      <c r="U117" s="6904">
        <f>+U116/U5</f>
        <v>2.5863759660959378E-2</v>
      </c>
      <c r="V117" s="6879"/>
      <c r="W117" s="6905">
        <f>+W116/W5</f>
        <v>2.5459815071652632E-2</v>
      </c>
      <c r="X117" s="6865"/>
      <c r="Y117" s="6904">
        <f>+Y116/Y5</f>
        <v>2.4252526529458657E-2</v>
      </c>
      <c r="Z117" s="6880"/>
      <c r="AA117" s="6906">
        <f>+AA116/AA5</f>
        <v>2.5335687773555268E-2</v>
      </c>
      <c r="AB117" s="6902"/>
      <c r="AC117" s="6907">
        <f>+AC116/AC5</f>
        <v>2.5256256936729168E-2</v>
      </c>
      <c r="AD117" s="6865"/>
      <c r="AE117" s="6904">
        <f>+AE116/AE5</f>
        <v>2.8048763697099941E-2</v>
      </c>
      <c r="AF117" s="6879"/>
      <c r="AG117" s="6905">
        <f>+AG116/AG5</f>
        <v>2.5669800318949249E-2</v>
      </c>
      <c r="AH117" s="6865"/>
      <c r="AI117" s="6904">
        <f>+AI116/AI5</f>
        <v>3.184337713896801E-2</v>
      </c>
      <c r="AJ117" s="6879"/>
      <c r="AK117" s="6905">
        <f>+AK116/AK5</f>
        <v>2.5840496001434985E-2</v>
      </c>
      <c r="AL117" s="6865"/>
      <c r="AM117" s="6904">
        <f>+AM116/AM5</f>
        <v>2.919639082706425E-2</v>
      </c>
      <c r="AN117" s="6880"/>
      <c r="AO117" s="6906">
        <f>+AO116/AO5</f>
        <v>2.8893958627031105E-2</v>
      </c>
      <c r="AP117" s="6879"/>
      <c r="AQ117" s="6905">
        <f>+AQ116/AQ5</f>
        <v>2.6233842582250207E-2</v>
      </c>
      <c r="AR117" s="6865"/>
      <c r="AS117" s="6904">
        <f>+AS116/AS5</f>
        <v>3.0726190081547991E-2</v>
      </c>
      <c r="AT117" s="6879"/>
      <c r="AU117" s="6905">
        <f>+AU116/AU5</f>
        <v>2.6804015529114558E-2</v>
      </c>
      <c r="AV117" s="6865"/>
      <c r="AW117" s="6904">
        <f>+AW116/AW5</f>
        <v>2.6797717949681318E-2</v>
      </c>
      <c r="AX117" s="6879"/>
      <c r="AY117" s="6905">
        <f>+AY116/AY5</f>
        <v>2.6803310340256941E-2</v>
      </c>
      <c r="AZ117" s="6865"/>
      <c r="BA117" s="6904">
        <f>+BA116/BA5</f>
        <v>2.5416034597818663E-2</v>
      </c>
      <c r="BB117" s="6880"/>
      <c r="BC117" s="6906">
        <f>+BC116/BC5</f>
        <v>2.7502875252709391E-2</v>
      </c>
      <c r="BD117" s="6903"/>
      <c r="BE117" s="6908">
        <f>+BE116/BE5</f>
        <v>2.8011998300257596E-2</v>
      </c>
      <c r="BF117" s="6879"/>
      <c r="BG117" s="6910">
        <f>+BG116/BG5</f>
        <v>2.663695863978454E-2</v>
      </c>
      <c r="BH117" s="1222"/>
      <c r="BI117" s="1222"/>
      <c r="BJ117" s="26"/>
      <c r="BK117" s="26"/>
      <c r="BL117" s="26"/>
      <c r="BM117" s="26"/>
      <c r="BN117" s="1222"/>
    </row>
    <row r="118" spans="2:66" x14ac:dyDescent="0.25">
      <c r="B118" s="6909" t="s">
        <v>825</v>
      </c>
      <c r="C118" s="6901"/>
      <c r="D118" s="6901"/>
      <c r="E118" s="6538" t="s">
        <v>50</v>
      </c>
      <c r="F118" s="6865"/>
      <c r="G118" s="6640">
        <f>+G90</f>
        <v>491.54999999999995</v>
      </c>
      <c r="H118" s="6865"/>
      <c r="I118" s="6640">
        <f>+I90</f>
        <v>373.24</v>
      </c>
      <c r="J118" s="6879"/>
      <c r="K118" s="6866">
        <f>+K90</f>
        <v>864.79</v>
      </c>
      <c r="L118" s="6865"/>
      <c r="M118" s="6640">
        <f>+M90</f>
        <v>54.72</v>
      </c>
      <c r="N118" s="6880"/>
      <c r="O118" s="6867">
        <f>+O90</f>
        <v>919.50999999999988</v>
      </c>
      <c r="P118" s="6865"/>
      <c r="Q118" s="6640">
        <f>+Q90</f>
        <v>451.64799999999997</v>
      </c>
      <c r="R118" s="6879"/>
      <c r="S118" s="6866">
        <f>+S90</f>
        <v>1371.1580000000001</v>
      </c>
      <c r="T118" s="6865"/>
      <c r="U118" s="6640">
        <f>+U90</f>
        <v>878.27999999999975</v>
      </c>
      <c r="V118" s="6879"/>
      <c r="W118" s="6866">
        <f>+W90</f>
        <v>2249.4379999999996</v>
      </c>
      <c r="X118" s="6865"/>
      <c r="Y118" s="6640">
        <f>+Y90</f>
        <v>273.01</v>
      </c>
      <c r="Z118" s="6880"/>
      <c r="AA118" s="6867">
        <f>+AA90</f>
        <v>1602.9379999999994</v>
      </c>
      <c r="AB118" s="6902"/>
      <c r="AC118" s="6868">
        <f>+AC90</f>
        <v>2522.4479999999994</v>
      </c>
      <c r="AD118" s="6865"/>
      <c r="AE118" s="6640">
        <f>+AE90</f>
        <v>79.149999999999991</v>
      </c>
      <c r="AF118" s="6879"/>
      <c r="AG118" s="6866">
        <f>+AG90</f>
        <v>2601.5979999999995</v>
      </c>
      <c r="AH118" s="6865"/>
      <c r="AI118" s="6640">
        <f>+AI90</f>
        <v>0</v>
      </c>
      <c r="AJ118" s="6879"/>
      <c r="AK118" s="6866">
        <f>+AK90</f>
        <v>2601.5979999999995</v>
      </c>
      <c r="AL118" s="6865"/>
      <c r="AM118" s="6640">
        <f>+AM90</f>
        <v>1585.3</v>
      </c>
      <c r="AN118" s="6880"/>
      <c r="AO118" s="6867">
        <f>+AO90</f>
        <v>1664.4500000000003</v>
      </c>
      <c r="AP118" s="6879"/>
      <c r="AQ118" s="6866">
        <f>+AQ90</f>
        <v>4186.8979999999992</v>
      </c>
      <c r="AR118" s="6865"/>
      <c r="AS118" s="6640">
        <f>+AS90</f>
        <v>999.57</v>
      </c>
      <c r="AT118" s="6879"/>
      <c r="AU118" s="6866">
        <f>+AU90</f>
        <v>5186.4679999999998</v>
      </c>
      <c r="AV118" s="6865"/>
      <c r="AW118" s="6640">
        <f>+AW90</f>
        <v>190.55</v>
      </c>
      <c r="AX118" s="6879"/>
      <c r="AY118" s="6866">
        <f>+AY90</f>
        <v>5377.0179999999991</v>
      </c>
      <c r="AZ118" s="6865"/>
      <c r="BA118" s="6640">
        <f>+BA90</f>
        <v>294.49</v>
      </c>
      <c r="BB118" s="6880"/>
      <c r="BC118" s="6867">
        <f>+BC90</f>
        <v>1484.6100000000001</v>
      </c>
      <c r="BD118" s="6903"/>
      <c r="BE118" s="6869">
        <f>+BE90</f>
        <v>3149.0600000000004</v>
      </c>
      <c r="BF118" s="6879"/>
      <c r="BG118" s="6885">
        <f>+BG90</f>
        <v>5671.5079999999998</v>
      </c>
      <c r="BH118" s="1222"/>
      <c r="BI118" s="1222"/>
      <c r="BJ118" s="26"/>
      <c r="BK118" s="26"/>
      <c r="BL118" s="26"/>
      <c r="BM118" s="26"/>
      <c r="BN118" s="1222"/>
    </row>
    <row r="119" spans="2:66" x14ac:dyDescent="0.25">
      <c r="B119" s="6886" t="s">
        <v>1641</v>
      </c>
      <c r="C119" s="6865"/>
      <c r="D119" s="6865"/>
      <c r="E119" s="6531" t="s">
        <v>50</v>
      </c>
      <c r="F119" s="6865"/>
      <c r="G119" s="6640">
        <v>1023.3239999999997</v>
      </c>
      <c r="H119" s="6865"/>
      <c r="I119" s="6640">
        <v>1166.4859999999996</v>
      </c>
      <c r="J119" s="6879"/>
      <c r="K119" s="6672">
        <f>+G119+I119</f>
        <v>2189.8099999999995</v>
      </c>
      <c r="L119" s="6865"/>
      <c r="M119" s="6640">
        <v>551.72722628041504</v>
      </c>
      <c r="N119" s="6880"/>
      <c r="O119" s="6680">
        <f>+G119+I119+M119</f>
        <v>2741.5372262804144</v>
      </c>
      <c r="P119" s="6865"/>
      <c r="Q119" s="6640">
        <v>849.29500000000519</v>
      </c>
      <c r="R119" s="6879"/>
      <c r="S119" s="6672">
        <f>+O119+Q119</f>
        <v>3590.8322262804195</v>
      </c>
      <c r="T119" s="6865"/>
      <c r="U119" s="6640">
        <v>690.61250000000484</v>
      </c>
      <c r="V119" s="6879"/>
      <c r="W119" s="6672">
        <f>+S119+U119</f>
        <v>4281.4447262804242</v>
      </c>
      <c r="X119" s="6865"/>
      <c r="Y119" s="6640">
        <v>851.45599999999251</v>
      </c>
      <c r="Z119" s="6880"/>
      <c r="AA119" s="6680">
        <f>+Q119+U119+Y119</f>
        <v>2391.3635000000027</v>
      </c>
      <c r="AB119" s="6847"/>
      <c r="AC119" s="6848">
        <f>+AA119+O119</f>
        <v>5132.9007262804171</v>
      </c>
      <c r="AD119" s="6865"/>
      <c r="AE119" s="6640">
        <v>921.44761632023335</v>
      </c>
      <c r="AF119" s="6879"/>
      <c r="AG119" s="6672">
        <f>+AC119+AE119</f>
        <v>6054.3483426006505</v>
      </c>
      <c r="AH119" s="6865"/>
      <c r="AI119" s="6640">
        <v>175.74999999999994</v>
      </c>
      <c r="AJ119" s="6879"/>
      <c r="AK119" s="6672">
        <f>+AG119+AI119</f>
        <v>6230.0983426006505</v>
      </c>
      <c r="AL119" s="6865"/>
      <c r="AM119" s="6640">
        <v>624.91243439363234</v>
      </c>
      <c r="AN119" s="6880"/>
      <c r="AO119" s="6680">
        <f>+AE119+AI119+AM119</f>
        <v>1722.1100507138656</v>
      </c>
      <c r="AP119" s="6879"/>
      <c r="AQ119" s="6672">
        <f t="shared" ref="AQ119:AQ120" si="151">AK119+AM119</f>
        <v>6855.0107769942824</v>
      </c>
      <c r="AR119" s="6865"/>
      <c r="AS119" s="6640">
        <v>523.88300000000879</v>
      </c>
      <c r="AT119" s="6879"/>
      <c r="AU119" s="6672">
        <f>+AQ119+AS119</f>
        <v>7378.8937769942913</v>
      </c>
      <c r="AV119" s="6865"/>
      <c r="AW119" s="6640">
        <v>1003.5519999999985</v>
      </c>
      <c r="AX119" s="6879"/>
      <c r="AY119" s="6672">
        <f>+AU119+AW119</f>
        <v>8382.4457769942892</v>
      </c>
      <c r="AZ119" s="6865"/>
      <c r="BA119" s="6640">
        <v>1262.0720000000001</v>
      </c>
      <c r="BB119" s="6880"/>
      <c r="BC119" s="6680">
        <f>+AS119+AW119+BA119</f>
        <v>2789.5070000000073</v>
      </c>
      <c r="BD119" s="6849"/>
      <c r="BE119" s="6850">
        <f t="shared" ref="BE119:BE120" si="152">+AO119+BC119</f>
        <v>4511.6170507138731</v>
      </c>
      <c r="BF119" s="6879"/>
      <c r="BG119" s="6535">
        <f>+AY119+BA119</f>
        <v>9644.5177769942893</v>
      </c>
      <c r="BH119" s="1222"/>
      <c r="BI119" s="1222"/>
      <c r="BJ119" s="26"/>
      <c r="BK119" s="26"/>
      <c r="BL119" s="26"/>
      <c r="BM119" s="26"/>
      <c r="BN119" s="1222"/>
    </row>
    <row r="120" spans="2:66" ht="15.75" thickBot="1" x14ac:dyDescent="0.3">
      <c r="B120" s="6887" t="s">
        <v>1094</v>
      </c>
      <c r="C120" s="6888"/>
      <c r="D120" s="6888"/>
      <c r="E120" s="6546" t="s">
        <v>50</v>
      </c>
      <c r="F120" s="6888"/>
      <c r="G120" s="6890">
        <v>551.3950000000001</v>
      </c>
      <c r="H120" s="6888"/>
      <c r="I120" s="6890">
        <v>644.9369999999999</v>
      </c>
      <c r="J120" s="6911"/>
      <c r="K120" s="6689">
        <f>+G120+I120</f>
        <v>1196.3319999999999</v>
      </c>
      <c r="L120" s="6888"/>
      <c r="M120" s="6890">
        <v>339.48022628041502</v>
      </c>
      <c r="N120" s="6912"/>
      <c r="O120" s="6691">
        <f>+G120+I120+M120</f>
        <v>1535.812226280415</v>
      </c>
      <c r="P120" s="6888"/>
      <c r="Q120" s="6890">
        <v>328.07600000000531</v>
      </c>
      <c r="R120" s="6911"/>
      <c r="S120" s="6689">
        <f>+O120+Q120</f>
        <v>1863.8882262804202</v>
      </c>
      <c r="T120" s="6888"/>
      <c r="U120" s="6890">
        <v>275.63150000000462</v>
      </c>
      <c r="V120" s="6911"/>
      <c r="W120" s="6689">
        <f>+S120+U120</f>
        <v>2139.5197262804249</v>
      </c>
      <c r="X120" s="6888"/>
      <c r="Y120" s="6890">
        <v>365.93499999999244</v>
      </c>
      <c r="Z120" s="6912"/>
      <c r="AA120" s="6691">
        <f>+Q120+U120+Y120</f>
        <v>969.64250000000243</v>
      </c>
      <c r="AB120" s="6861"/>
      <c r="AC120" s="6862">
        <f>+AA120+O120</f>
        <v>2505.4547262804172</v>
      </c>
      <c r="AD120" s="6888"/>
      <c r="AE120" s="6890">
        <v>478.80761632023331</v>
      </c>
      <c r="AF120" s="6911"/>
      <c r="AG120" s="6689">
        <f>+AC120+AE120</f>
        <v>2984.2623426006503</v>
      </c>
      <c r="AH120" s="6888"/>
      <c r="AI120" s="6890">
        <v>110.09399999999998</v>
      </c>
      <c r="AJ120" s="6911"/>
      <c r="AK120" s="6689">
        <f>+AG120+AI120</f>
        <v>3094.3563426006504</v>
      </c>
      <c r="AL120" s="6888"/>
      <c r="AM120" s="6890">
        <v>437.6684343936322</v>
      </c>
      <c r="AN120" s="6912"/>
      <c r="AO120" s="6691">
        <f>+AE120+AI120+AM120</f>
        <v>1026.5700507138654</v>
      </c>
      <c r="AP120" s="6911"/>
      <c r="AQ120" s="6689">
        <f t="shared" si="151"/>
        <v>3532.0247769942825</v>
      </c>
      <c r="AR120" s="6888"/>
      <c r="AS120" s="6890">
        <v>330.83300000000895</v>
      </c>
      <c r="AT120" s="6911"/>
      <c r="AU120" s="6689">
        <f>+AQ120+AS120</f>
        <v>3862.8577769942913</v>
      </c>
      <c r="AV120" s="6888"/>
      <c r="AW120" s="6890">
        <v>560.07699999999829</v>
      </c>
      <c r="AX120" s="6911"/>
      <c r="AY120" s="6689">
        <f>+AU120+AW120</f>
        <v>4422.9347769942897</v>
      </c>
      <c r="AZ120" s="6888"/>
      <c r="BA120" s="6890">
        <v>663.44099999999992</v>
      </c>
      <c r="BB120" s="6912"/>
      <c r="BC120" s="6691">
        <f>+AS120+AW120+BA120</f>
        <v>1554.3510000000072</v>
      </c>
      <c r="BD120" s="6863"/>
      <c r="BE120" s="6864">
        <f t="shared" si="152"/>
        <v>2580.9210507138723</v>
      </c>
      <c r="BF120" s="6911"/>
      <c r="BG120" s="6690">
        <f>+AY120+BA120</f>
        <v>5086.3757769942895</v>
      </c>
      <c r="BH120" s="1222"/>
      <c r="BI120" s="1222"/>
      <c r="BJ120" s="26"/>
      <c r="BK120" s="26"/>
      <c r="BL120" s="26"/>
      <c r="BM120" s="26"/>
      <c r="BN120" s="1222"/>
    </row>
    <row r="121" spans="2:66" ht="19.5" thickBot="1" x14ac:dyDescent="0.35">
      <c r="B121" s="884" t="s">
        <v>827</v>
      </c>
      <c r="C121" s="884"/>
      <c r="D121" s="88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222"/>
      <c r="BI121" s="1222"/>
      <c r="BJ121" s="26"/>
      <c r="BK121" s="26"/>
      <c r="BL121" s="26"/>
      <c r="BM121" s="26"/>
      <c r="BN121" s="1222"/>
    </row>
    <row r="122" spans="2:66" x14ac:dyDescent="0.25">
      <c r="B122" s="1056" t="s">
        <v>828</v>
      </c>
      <c r="C122" s="1057"/>
      <c r="D122" s="1057"/>
      <c r="E122" s="820" t="s">
        <v>50</v>
      </c>
      <c r="F122" s="1074"/>
      <c r="G122" s="1058">
        <f>+G5</f>
        <v>52840.79</v>
      </c>
      <c r="H122" s="1074"/>
      <c r="I122" s="1058">
        <f>+I5</f>
        <v>60969.777000000002</v>
      </c>
      <c r="J122" s="1075"/>
      <c r="K122" s="1060">
        <f>+K5</f>
        <v>113810.56700000001</v>
      </c>
      <c r="L122" s="1074"/>
      <c r="M122" s="1058">
        <f>+M5</f>
        <v>29641</v>
      </c>
      <c r="N122" s="1076"/>
      <c r="O122" s="1077">
        <f>+O5</f>
        <v>143451.56700000001</v>
      </c>
      <c r="P122" s="1074"/>
      <c r="Q122" s="1058">
        <f>+Q5</f>
        <v>47572.771000000008</v>
      </c>
      <c r="R122" s="1075"/>
      <c r="S122" s="1060">
        <f>+S5</f>
        <v>191024.33800000002</v>
      </c>
      <c r="T122" s="1074"/>
      <c r="U122" s="1058">
        <f>+U5</f>
        <v>37196.487000000001</v>
      </c>
      <c r="V122" s="1075"/>
      <c r="W122" s="1060">
        <f>+W5</f>
        <v>228220.82500000001</v>
      </c>
      <c r="X122" s="1074"/>
      <c r="Y122" s="1058">
        <f>+Y5</f>
        <v>46283.548999999992</v>
      </c>
      <c r="Z122" s="1076"/>
      <c r="AA122" s="1077">
        <f>+AA5</f>
        <v>131052.807</v>
      </c>
      <c r="AB122" s="6881"/>
      <c r="AC122" s="1080">
        <f>+AC5</f>
        <v>274504.37400000001</v>
      </c>
      <c r="AD122" s="1074"/>
      <c r="AE122" s="1058">
        <f>+AE5</f>
        <v>47718.038999999997</v>
      </c>
      <c r="AF122" s="1075"/>
      <c r="AG122" s="1060">
        <f>+AG5</f>
        <v>322222.413</v>
      </c>
      <c r="AH122" s="1074"/>
      <c r="AI122" s="1058">
        <f>+AI5</f>
        <v>9162.5960000000014</v>
      </c>
      <c r="AJ122" s="1075"/>
      <c r="AK122" s="1060">
        <f>+AK5</f>
        <v>331385.00900000002</v>
      </c>
      <c r="AL122" s="1074"/>
      <c r="AM122" s="1058">
        <f>+AM5</f>
        <v>43999</v>
      </c>
      <c r="AN122" s="1076"/>
      <c r="AO122" s="1077">
        <f>+AO5</f>
        <v>100879.63499999999</v>
      </c>
      <c r="AP122" s="1075"/>
      <c r="AQ122" s="1060">
        <f>+AQ5</f>
        <v>375384.00900000002</v>
      </c>
      <c r="AR122" s="1074"/>
      <c r="AS122" s="1058">
        <f>+AS5</f>
        <v>54570.189000000006</v>
      </c>
      <c r="AT122" s="1075"/>
      <c r="AU122" s="1060">
        <f>+AU5</f>
        <v>429954.19800000003</v>
      </c>
      <c r="AV122" s="1074"/>
      <c r="AW122" s="1058">
        <f>+AW5</f>
        <v>54216.333000000006</v>
      </c>
      <c r="AX122" s="1075"/>
      <c r="AY122" s="1060">
        <f>+AY5</f>
        <v>484170.53100000002</v>
      </c>
      <c r="AZ122" s="1074"/>
      <c r="BA122" s="1058">
        <f>+BA5</f>
        <v>65968.552000000011</v>
      </c>
      <c r="BB122" s="1076"/>
      <c r="BC122" s="1077">
        <f>+BC5</f>
        <v>174755.07400000002</v>
      </c>
      <c r="BD122" s="6882"/>
      <c r="BE122" s="6883">
        <f>+BE5</f>
        <v>275634.70900000003</v>
      </c>
      <c r="BF122" s="1075"/>
      <c r="BG122" s="1081">
        <f>+BG5</f>
        <v>550139.08299999998</v>
      </c>
      <c r="BH122" s="1222"/>
      <c r="BI122" s="1222"/>
      <c r="BJ122" s="26"/>
      <c r="BK122" s="26"/>
      <c r="BL122" s="26"/>
      <c r="BM122" s="26"/>
      <c r="BN122" s="1222"/>
    </row>
    <row r="123" spans="2:66" ht="30" x14ac:dyDescent="0.25">
      <c r="B123" s="6884" t="s">
        <v>833</v>
      </c>
      <c r="C123" s="6878"/>
      <c r="D123" s="6878"/>
      <c r="E123" s="6531" t="s">
        <v>50</v>
      </c>
      <c r="F123" s="6873"/>
      <c r="G123" s="6640">
        <f>+G116</f>
        <v>1230.7439999999995</v>
      </c>
      <c r="H123" s="6873"/>
      <c r="I123" s="6640">
        <f>+I116</f>
        <v>1565.9699999999998</v>
      </c>
      <c r="J123" s="6874"/>
      <c r="K123" s="6866">
        <f>+K116</f>
        <v>2796.713999999999</v>
      </c>
      <c r="L123" s="6873"/>
      <c r="M123" s="6640">
        <f>+M116</f>
        <v>815.92599999999959</v>
      </c>
      <c r="N123" s="6875"/>
      <c r="O123" s="6867">
        <f>+O116</f>
        <v>3612.6399999999985</v>
      </c>
      <c r="P123" s="6873"/>
      <c r="Q123" s="6640">
        <f>+Q116</f>
        <v>1235.7789999999993</v>
      </c>
      <c r="R123" s="6874"/>
      <c r="S123" s="6866">
        <f>+S116</f>
        <v>4848.4189999999981</v>
      </c>
      <c r="T123" s="6873"/>
      <c r="U123" s="6640">
        <f>+U116</f>
        <v>962.04099999999994</v>
      </c>
      <c r="V123" s="6874"/>
      <c r="W123" s="6866">
        <f>+W116</f>
        <v>5810.4599999999982</v>
      </c>
      <c r="X123" s="6873"/>
      <c r="Y123" s="6640">
        <f>+Y116</f>
        <v>1122.4929999999995</v>
      </c>
      <c r="Z123" s="6875"/>
      <c r="AA123" s="6867">
        <f>+AA116</f>
        <v>3320.3129999999983</v>
      </c>
      <c r="AB123" s="6876"/>
      <c r="AC123" s="6868">
        <f>+AC116</f>
        <v>6932.9529999999977</v>
      </c>
      <c r="AD123" s="6873"/>
      <c r="AE123" s="6640">
        <f>+AE116</f>
        <v>1338.4319999999991</v>
      </c>
      <c r="AF123" s="6874"/>
      <c r="AG123" s="6866">
        <f>+AG116</f>
        <v>8271.3849999999966</v>
      </c>
      <c r="AH123" s="6873"/>
      <c r="AI123" s="6640">
        <f>+AI116</f>
        <v>291.7679999999998</v>
      </c>
      <c r="AJ123" s="6874"/>
      <c r="AK123" s="6866">
        <f>+AK116</f>
        <v>8563.1529999999966</v>
      </c>
      <c r="AL123" s="6873"/>
      <c r="AM123" s="6640">
        <f>+AM116</f>
        <v>1284.6119999999999</v>
      </c>
      <c r="AN123" s="6875"/>
      <c r="AO123" s="6867">
        <f>+AO116</f>
        <v>2914.811999999999</v>
      </c>
      <c r="AP123" s="6874"/>
      <c r="AQ123" s="6866">
        <f>+AQ116</f>
        <v>9847.7649999999958</v>
      </c>
      <c r="AR123" s="6873"/>
      <c r="AS123" s="6640">
        <f>+AS116</f>
        <v>1676.7339999999995</v>
      </c>
      <c r="AT123" s="6874"/>
      <c r="AU123" s="6866">
        <f>+AU116</f>
        <v>11524.498999999996</v>
      </c>
      <c r="AV123" s="6873"/>
      <c r="AW123" s="6640">
        <f>+AW116</f>
        <v>1452.8739999999998</v>
      </c>
      <c r="AX123" s="6874"/>
      <c r="AY123" s="6866">
        <f>+AY116</f>
        <v>12977.372999999994</v>
      </c>
      <c r="AZ123" s="6873"/>
      <c r="BA123" s="6640">
        <f>+BA116</f>
        <v>1676.6589999999999</v>
      </c>
      <c r="BB123" s="6875"/>
      <c r="BC123" s="6867">
        <f>+BC116</f>
        <v>4806.2669999999989</v>
      </c>
      <c r="BD123" s="6877"/>
      <c r="BE123" s="6869">
        <f>+BE116</f>
        <v>7721.0789999999979</v>
      </c>
      <c r="BF123" s="6874"/>
      <c r="BG123" s="6885">
        <f>+BG116</f>
        <v>14654.031999999994</v>
      </c>
      <c r="BH123" s="1222"/>
      <c r="BI123" s="1222"/>
      <c r="BJ123" s="26"/>
      <c r="BK123" s="26"/>
      <c r="BL123" s="26"/>
      <c r="BM123" s="26"/>
      <c r="BN123" s="1222"/>
    </row>
    <row r="124" spans="2:66" x14ac:dyDescent="0.25">
      <c r="B124" s="6886" t="s">
        <v>804</v>
      </c>
      <c r="C124" s="6865"/>
      <c r="D124" s="6865"/>
      <c r="E124" s="6531" t="s">
        <v>50</v>
      </c>
      <c r="F124" s="6873"/>
      <c r="G124" s="6640">
        <f>+G119</f>
        <v>1023.3239999999997</v>
      </c>
      <c r="H124" s="6873"/>
      <c r="I124" s="6640">
        <f>+I119</f>
        <v>1166.4859999999996</v>
      </c>
      <c r="J124" s="6874"/>
      <c r="K124" s="6866">
        <f>+K119</f>
        <v>2189.8099999999995</v>
      </c>
      <c r="L124" s="6873"/>
      <c r="M124" s="6640">
        <f>+M119</f>
        <v>551.72722628041504</v>
      </c>
      <c r="N124" s="6875"/>
      <c r="O124" s="6867">
        <f>+O119</f>
        <v>2741.5372262804144</v>
      </c>
      <c r="P124" s="6873"/>
      <c r="Q124" s="6640">
        <f>+Q119</f>
        <v>849.29500000000519</v>
      </c>
      <c r="R124" s="6874"/>
      <c r="S124" s="6866">
        <f>+S119</f>
        <v>3590.8322262804195</v>
      </c>
      <c r="T124" s="6873"/>
      <c r="U124" s="6640">
        <f>+U119</f>
        <v>690.61250000000484</v>
      </c>
      <c r="V124" s="6874"/>
      <c r="W124" s="6866">
        <f>+W119</f>
        <v>4281.4447262804242</v>
      </c>
      <c r="X124" s="6873"/>
      <c r="Y124" s="6640">
        <f>+Y119</f>
        <v>851.45599999999251</v>
      </c>
      <c r="Z124" s="6875"/>
      <c r="AA124" s="6867">
        <f>+AA119</f>
        <v>2391.3635000000027</v>
      </c>
      <c r="AB124" s="6876"/>
      <c r="AC124" s="6868">
        <f>+AC119</f>
        <v>5132.9007262804171</v>
      </c>
      <c r="AD124" s="6873"/>
      <c r="AE124" s="6640">
        <f>+AE119</f>
        <v>921.44761632023335</v>
      </c>
      <c r="AF124" s="6874"/>
      <c r="AG124" s="6866">
        <f>+AG119</f>
        <v>6054.3483426006505</v>
      </c>
      <c r="AH124" s="6873"/>
      <c r="AI124" s="6640">
        <f>+AI119</f>
        <v>175.74999999999994</v>
      </c>
      <c r="AJ124" s="6874"/>
      <c r="AK124" s="6866">
        <f>+AK119</f>
        <v>6230.0983426006505</v>
      </c>
      <c r="AL124" s="6873"/>
      <c r="AM124" s="6640">
        <f>+AM119</f>
        <v>624.91243439363234</v>
      </c>
      <c r="AN124" s="6875"/>
      <c r="AO124" s="6867">
        <f>+AO119</f>
        <v>1722.1100507138656</v>
      </c>
      <c r="AP124" s="6874"/>
      <c r="AQ124" s="6866">
        <f>+AQ119</f>
        <v>6855.0107769942824</v>
      </c>
      <c r="AR124" s="6873"/>
      <c r="AS124" s="6640">
        <f>+AS119</f>
        <v>523.88300000000879</v>
      </c>
      <c r="AT124" s="6874"/>
      <c r="AU124" s="6866">
        <f>+AU119</f>
        <v>7378.8937769942913</v>
      </c>
      <c r="AV124" s="6873"/>
      <c r="AW124" s="6640">
        <f>+AW119</f>
        <v>1003.5519999999985</v>
      </c>
      <c r="AX124" s="6874"/>
      <c r="AY124" s="6866">
        <f>+AY119</f>
        <v>8382.4457769942892</v>
      </c>
      <c r="AZ124" s="6873"/>
      <c r="BA124" s="6640">
        <f>+BA119</f>
        <v>1262.0720000000001</v>
      </c>
      <c r="BB124" s="6875"/>
      <c r="BC124" s="6867">
        <f>+BC119</f>
        <v>2789.5070000000073</v>
      </c>
      <c r="BD124" s="6877"/>
      <c r="BE124" s="6869">
        <f>+BE119</f>
        <v>4511.6170507138731</v>
      </c>
      <c r="BF124" s="6874"/>
      <c r="BG124" s="6885">
        <f>+BG119</f>
        <v>9644.5177769942893</v>
      </c>
      <c r="BH124" s="1222"/>
      <c r="BI124" s="1222"/>
      <c r="BJ124" s="26"/>
      <c r="BK124" s="26"/>
      <c r="BL124" s="26"/>
      <c r="BM124" s="26"/>
      <c r="BN124" s="1222"/>
    </row>
    <row r="125" spans="2:66" x14ac:dyDescent="0.25">
      <c r="B125" s="6886" t="s">
        <v>1094</v>
      </c>
      <c r="C125" s="6865"/>
      <c r="D125" s="6865"/>
      <c r="E125" s="6531" t="s">
        <v>50</v>
      </c>
      <c r="F125" s="6865"/>
      <c r="G125" s="6640">
        <f>+G120</f>
        <v>551.3950000000001</v>
      </c>
      <c r="H125" s="6865"/>
      <c r="I125" s="6640">
        <f>+I120</f>
        <v>644.9369999999999</v>
      </c>
      <c r="J125" s="6879"/>
      <c r="K125" s="6672">
        <f>+G125+I125</f>
        <v>1196.3319999999999</v>
      </c>
      <c r="L125" s="6865"/>
      <c r="M125" s="6640">
        <f>+M120</f>
        <v>339.48022628041502</v>
      </c>
      <c r="N125" s="6880"/>
      <c r="O125" s="6680">
        <f>+G125+I125+M125</f>
        <v>1535.812226280415</v>
      </c>
      <c r="P125" s="6865"/>
      <c r="Q125" s="6640">
        <f>+Q120</f>
        <v>328.07600000000531</v>
      </c>
      <c r="R125" s="6879"/>
      <c r="S125" s="6672">
        <f>+O125+Q125</f>
        <v>1863.8882262804202</v>
      </c>
      <c r="T125" s="6865"/>
      <c r="U125" s="6640">
        <f>+U120</f>
        <v>275.63150000000462</v>
      </c>
      <c r="V125" s="6879"/>
      <c r="W125" s="6672">
        <f>+S125+U125</f>
        <v>2139.5197262804249</v>
      </c>
      <c r="X125" s="6865"/>
      <c r="Y125" s="6640">
        <f>+Y120</f>
        <v>365.93499999999244</v>
      </c>
      <c r="Z125" s="6880"/>
      <c r="AA125" s="6680">
        <f>+Q125+U125+Y125</f>
        <v>969.64250000000243</v>
      </c>
      <c r="AB125" s="6847"/>
      <c r="AC125" s="6848">
        <f>+AA125+O125</f>
        <v>2505.4547262804172</v>
      </c>
      <c r="AD125" s="6865"/>
      <c r="AE125" s="6640">
        <f>+AE120</f>
        <v>478.80761632023331</v>
      </c>
      <c r="AF125" s="6879"/>
      <c r="AG125" s="6672">
        <f>+AC125+AE125</f>
        <v>2984.2623426006503</v>
      </c>
      <c r="AH125" s="6865"/>
      <c r="AI125" s="6640">
        <f>+AI120</f>
        <v>110.09399999999998</v>
      </c>
      <c r="AJ125" s="6879"/>
      <c r="AK125" s="6672">
        <f>+AG125+AI125</f>
        <v>3094.3563426006504</v>
      </c>
      <c r="AL125" s="6865"/>
      <c r="AM125" s="6640">
        <f>+AM120</f>
        <v>437.6684343936322</v>
      </c>
      <c r="AN125" s="6880"/>
      <c r="AO125" s="6680">
        <f>+AE125+AI125+AM125</f>
        <v>1026.5700507138654</v>
      </c>
      <c r="AP125" s="6879"/>
      <c r="AQ125" s="6672">
        <f t="shared" ref="AQ125" si="153">AK125+AM125</f>
        <v>3532.0247769942825</v>
      </c>
      <c r="AR125" s="6865"/>
      <c r="AS125" s="6640">
        <f>+AS120</f>
        <v>330.83300000000895</v>
      </c>
      <c r="AT125" s="6879"/>
      <c r="AU125" s="6672">
        <f>+AQ125+AS125</f>
        <v>3862.8577769942913</v>
      </c>
      <c r="AV125" s="6865"/>
      <c r="AW125" s="6640">
        <f>+AW120</f>
        <v>560.07699999999829</v>
      </c>
      <c r="AX125" s="6879"/>
      <c r="AY125" s="6672">
        <f>+AU125+AW125</f>
        <v>4422.9347769942897</v>
      </c>
      <c r="AZ125" s="6865"/>
      <c r="BA125" s="6640">
        <f>+BA120</f>
        <v>663.44099999999992</v>
      </c>
      <c r="BB125" s="6880"/>
      <c r="BC125" s="6680">
        <f>+AS125+AW125+BA125</f>
        <v>1554.3510000000072</v>
      </c>
      <c r="BD125" s="6849"/>
      <c r="BE125" s="6850">
        <f>+BC125+AO125</f>
        <v>2580.9210507138723</v>
      </c>
      <c r="BF125" s="6879"/>
      <c r="BG125" s="6535">
        <f>+AY125+BA125</f>
        <v>5086.3757769942895</v>
      </c>
      <c r="BH125" s="1222"/>
      <c r="BI125" s="1222"/>
      <c r="BJ125" s="26"/>
      <c r="BK125" s="26"/>
      <c r="BL125" s="26"/>
      <c r="BM125" s="26"/>
      <c r="BN125" s="1222"/>
    </row>
    <row r="126" spans="2:66" x14ac:dyDescent="0.25">
      <c r="B126" s="6886" t="s">
        <v>831</v>
      </c>
      <c r="C126" s="6865"/>
      <c r="D126" s="6865"/>
      <c r="E126" s="6531" t="s">
        <v>50</v>
      </c>
      <c r="F126" s="6873"/>
      <c r="G126" s="6640">
        <f>+G88</f>
        <v>50035.327000000005</v>
      </c>
      <c r="H126" s="6873"/>
      <c r="I126" s="6640">
        <f>+I88</f>
        <v>57592.384000000013</v>
      </c>
      <c r="J126" s="6874"/>
      <c r="K126" s="6866">
        <f>+K88</f>
        <v>107627.71099999998</v>
      </c>
      <c r="L126" s="6873"/>
      <c r="M126" s="6640">
        <f>+M88</f>
        <v>27934.053000000004</v>
      </c>
      <c r="N126" s="6875"/>
      <c r="O126" s="6867">
        <f>+O88</f>
        <v>135561.76399999997</v>
      </c>
      <c r="P126" s="6873"/>
      <c r="Q126" s="6640">
        <f>+Q88</f>
        <v>45159.640999999989</v>
      </c>
      <c r="R126" s="6874"/>
      <c r="S126" s="6866">
        <f>+S88</f>
        <v>180721.40500000003</v>
      </c>
      <c r="T126" s="6873"/>
      <c r="U126" s="6640">
        <f>+U88</f>
        <v>35268.412000000011</v>
      </c>
      <c r="V126" s="6874"/>
      <c r="W126" s="6866">
        <f>+W88</f>
        <v>215989.81700000001</v>
      </c>
      <c r="X126" s="6873"/>
      <c r="Y126" s="6640">
        <f>+Y88</f>
        <v>43943.804999999993</v>
      </c>
      <c r="Z126" s="6875"/>
      <c r="AA126" s="6867">
        <f>+AA88</f>
        <v>124371.85800000001</v>
      </c>
      <c r="AB126" s="6876"/>
      <c r="AC126" s="6868">
        <f>+AC88</f>
        <v>259933.622</v>
      </c>
      <c r="AD126" s="6873"/>
      <c r="AE126" s="6640">
        <f>+AE88</f>
        <v>44979.451000000008</v>
      </c>
      <c r="AF126" s="6874"/>
      <c r="AG126" s="6866">
        <f>+AG88</f>
        <v>304700.98099999991</v>
      </c>
      <c r="AH126" s="6873"/>
      <c r="AI126" s="6640">
        <f>+AI88</f>
        <v>8584.9840000000004</v>
      </c>
      <c r="AJ126" s="6874"/>
      <c r="AK126" s="6866">
        <f>+AK88</f>
        <v>313285.96499999985</v>
      </c>
      <c r="AL126" s="6873"/>
      <c r="AM126" s="6640">
        <f>+AM88</f>
        <v>41652.068000000007</v>
      </c>
      <c r="AN126" s="6875"/>
      <c r="AO126" s="6867">
        <f>+AO88</f>
        <v>95216.502999999982</v>
      </c>
      <c r="AP126" s="6874"/>
      <c r="AQ126" s="6866">
        <f>+AQ88</f>
        <v>354938.03299999988</v>
      </c>
      <c r="AR126" s="6873"/>
      <c r="AS126" s="6640">
        <f>+AS88</f>
        <v>52038.748999999996</v>
      </c>
      <c r="AT126" s="6874"/>
      <c r="AU126" s="6866">
        <f>+AU88</f>
        <v>406976.78199999983</v>
      </c>
      <c r="AV126" s="6873"/>
      <c r="AW126" s="6640">
        <f>+AW88</f>
        <v>51200.030000000006</v>
      </c>
      <c r="AX126" s="6874"/>
      <c r="AY126" s="6866">
        <f>+AY88</f>
        <v>458176.81199999992</v>
      </c>
      <c r="AZ126" s="6873"/>
      <c r="BA126" s="6640">
        <f>+BA88</f>
        <v>62366.380000000005</v>
      </c>
      <c r="BB126" s="6875"/>
      <c r="BC126" s="6867">
        <f>+BC88</f>
        <v>165605.15899999999</v>
      </c>
      <c r="BD126" s="6877"/>
      <c r="BE126" s="6869">
        <f>+BE88</f>
        <v>260821.66199999998</v>
      </c>
      <c r="BF126" s="6874"/>
      <c r="BG126" s="6885">
        <f>+BG88</f>
        <v>520543.19200000004</v>
      </c>
      <c r="BH126" s="1222"/>
      <c r="BI126" s="1222"/>
      <c r="BJ126" s="26"/>
      <c r="BK126" s="26"/>
      <c r="BL126" s="26"/>
      <c r="BM126" s="26"/>
      <c r="BN126" s="1222"/>
    </row>
    <row r="127" spans="2:66" x14ac:dyDescent="0.25">
      <c r="B127" s="6886" t="s">
        <v>829</v>
      </c>
      <c r="C127" s="6865"/>
      <c r="D127" s="6865"/>
      <c r="E127" s="6531" t="s">
        <v>50</v>
      </c>
      <c r="F127" s="6873"/>
      <c r="G127" s="6640">
        <f>+G90</f>
        <v>491.54999999999995</v>
      </c>
      <c r="H127" s="6873"/>
      <c r="I127" s="6640">
        <f>+I90</f>
        <v>373.24</v>
      </c>
      <c r="J127" s="6874"/>
      <c r="K127" s="6866">
        <f>+K90</f>
        <v>864.79</v>
      </c>
      <c r="L127" s="6873"/>
      <c r="M127" s="6640">
        <f>+M90</f>
        <v>54.72</v>
      </c>
      <c r="N127" s="6875"/>
      <c r="O127" s="6867">
        <f>+O90</f>
        <v>919.50999999999988</v>
      </c>
      <c r="P127" s="6873"/>
      <c r="Q127" s="6640">
        <f>+Q90</f>
        <v>451.64799999999997</v>
      </c>
      <c r="R127" s="6874"/>
      <c r="S127" s="6866">
        <f>+S90</f>
        <v>1371.1580000000001</v>
      </c>
      <c r="T127" s="6873"/>
      <c r="U127" s="6640">
        <f>+U90</f>
        <v>878.27999999999975</v>
      </c>
      <c r="V127" s="6874"/>
      <c r="W127" s="6866">
        <f>+W90</f>
        <v>2249.4379999999996</v>
      </c>
      <c r="X127" s="6873"/>
      <c r="Y127" s="6640">
        <f>+Y90</f>
        <v>273.01</v>
      </c>
      <c r="Z127" s="6875"/>
      <c r="AA127" s="6867">
        <f>+AA90</f>
        <v>1602.9379999999994</v>
      </c>
      <c r="AB127" s="6876"/>
      <c r="AC127" s="6868">
        <f>+AC90</f>
        <v>2522.4479999999994</v>
      </c>
      <c r="AD127" s="6873"/>
      <c r="AE127" s="6640">
        <f>+AE90</f>
        <v>79.149999999999991</v>
      </c>
      <c r="AF127" s="6874"/>
      <c r="AG127" s="6866">
        <f>+AG90</f>
        <v>2601.5979999999995</v>
      </c>
      <c r="AH127" s="6873"/>
      <c r="AI127" s="6640">
        <f>+AI90</f>
        <v>0</v>
      </c>
      <c r="AJ127" s="6874"/>
      <c r="AK127" s="6866">
        <f>+AK90</f>
        <v>2601.5979999999995</v>
      </c>
      <c r="AL127" s="6873"/>
      <c r="AM127" s="6640">
        <f>+AM90</f>
        <v>1585.3</v>
      </c>
      <c r="AN127" s="6875"/>
      <c r="AO127" s="6867">
        <f>+AO90</f>
        <v>1664.4500000000003</v>
      </c>
      <c r="AP127" s="6874"/>
      <c r="AQ127" s="6866">
        <f>+AQ90</f>
        <v>4186.8979999999992</v>
      </c>
      <c r="AR127" s="6873"/>
      <c r="AS127" s="6640">
        <f>+AS90</f>
        <v>999.57</v>
      </c>
      <c r="AT127" s="6874"/>
      <c r="AU127" s="6866">
        <f>+AU90</f>
        <v>5186.4679999999998</v>
      </c>
      <c r="AV127" s="6873"/>
      <c r="AW127" s="6640">
        <f>+AW90</f>
        <v>190.55</v>
      </c>
      <c r="AX127" s="6874"/>
      <c r="AY127" s="6866">
        <f>+AY90</f>
        <v>5377.0179999999991</v>
      </c>
      <c r="AZ127" s="6873"/>
      <c r="BA127" s="6640">
        <f>+BA90</f>
        <v>294.49</v>
      </c>
      <c r="BB127" s="6875"/>
      <c r="BC127" s="6867">
        <f>+BC90</f>
        <v>1484.6100000000001</v>
      </c>
      <c r="BD127" s="6877"/>
      <c r="BE127" s="6869">
        <f>+BE90</f>
        <v>3149.0600000000004</v>
      </c>
      <c r="BF127" s="6874"/>
      <c r="BG127" s="6885">
        <f>+BG90</f>
        <v>5671.5079999999998</v>
      </c>
      <c r="BH127" s="1222"/>
      <c r="BI127" s="1222"/>
      <c r="BJ127" s="26"/>
      <c r="BK127" s="26"/>
      <c r="BL127" s="26"/>
      <c r="BM127" s="26"/>
      <c r="BN127" s="1222"/>
    </row>
    <row r="128" spans="2:66" ht="15.75" thickBot="1" x14ac:dyDescent="0.3">
      <c r="B128" s="6887" t="s">
        <v>1595</v>
      </c>
      <c r="C128" s="6888"/>
      <c r="D128" s="6888"/>
      <c r="E128" s="6546" t="s">
        <v>50</v>
      </c>
      <c r="F128" s="6889"/>
      <c r="G128" s="6890">
        <f>+G126-G127</f>
        <v>49543.777000000002</v>
      </c>
      <c r="H128" s="6889"/>
      <c r="I128" s="6890">
        <f>+I126-I127</f>
        <v>57219.144000000015</v>
      </c>
      <c r="J128" s="6891"/>
      <c r="K128" s="6892">
        <f>+K126-K127</f>
        <v>106762.92099999999</v>
      </c>
      <c r="L128" s="6889"/>
      <c r="M128" s="6890">
        <f>+M126-M127</f>
        <v>27879.333000000002</v>
      </c>
      <c r="N128" s="6893"/>
      <c r="O128" s="6894">
        <f>+O126-O127</f>
        <v>134642.25399999996</v>
      </c>
      <c r="P128" s="6889"/>
      <c r="Q128" s="6890">
        <f>+Q126-Q127</f>
        <v>44707.992999999988</v>
      </c>
      <c r="R128" s="6891"/>
      <c r="S128" s="6892">
        <f>+S126-S127</f>
        <v>179350.24700000003</v>
      </c>
      <c r="T128" s="6889"/>
      <c r="U128" s="6890">
        <f>+U126-U127</f>
        <v>34390.132000000012</v>
      </c>
      <c r="V128" s="6891"/>
      <c r="W128" s="6892">
        <f>+W126-W127</f>
        <v>213740.37900000002</v>
      </c>
      <c r="X128" s="6889"/>
      <c r="Y128" s="6890">
        <f>+Y126-Y127</f>
        <v>43670.794999999991</v>
      </c>
      <c r="Z128" s="6893"/>
      <c r="AA128" s="6894">
        <f>+AA126-AA127</f>
        <v>122768.92000000001</v>
      </c>
      <c r="AB128" s="6895"/>
      <c r="AC128" s="6896">
        <f>+AC126-AC127</f>
        <v>257411.174</v>
      </c>
      <c r="AD128" s="6889"/>
      <c r="AE128" s="6890">
        <f>+AE126-AE127</f>
        <v>44900.301000000007</v>
      </c>
      <c r="AF128" s="6891"/>
      <c r="AG128" s="6892">
        <f>+AG126-AG127</f>
        <v>302099.38299999991</v>
      </c>
      <c r="AH128" s="6889"/>
      <c r="AI128" s="6890">
        <f>+AI126-AI127</f>
        <v>8584.9840000000004</v>
      </c>
      <c r="AJ128" s="6891"/>
      <c r="AK128" s="6892">
        <f>+AK126-AK127</f>
        <v>310684.36699999985</v>
      </c>
      <c r="AL128" s="6889"/>
      <c r="AM128" s="6890">
        <f>+AM126-AM127</f>
        <v>40066.768000000004</v>
      </c>
      <c r="AN128" s="6893"/>
      <c r="AO128" s="6894">
        <f>+AO126-AO127</f>
        <v>93552.052999999985</v>
      </c>
      <c r="AP128" s="6891"/>
      <c r="AQ128" s="6892">
        <f>+AQ126-AQ127</f>
        <v>350751.13499999989</v>
      </c>
      <c r="AR128" s="6889"/>
      <c r="AS128" s="6890">
        <f>+AS126-AS127</f>
        <v>51039.178999999996</v>
      </c>
      <c r="AT128" s="6891"/>
      <c r="AU128" s="6892">
        <f>+AU126-AU127</f>
        <v>401790.31399999984</v>
      </c>
      <c r="AV128" s="6889"/>
      <c r="AW128" s="6890">
        <f>+AW126-AW127</f>
        <v>51009.48</v>
      </c>
      <c r="AX128" s="6891"/>
      <c r="AY128" s="6892">
        <f>+AY126-AY127</f>
        <v>452799.79399999994</v>
      </c>
      <c r="AZ128" s="6889"/>
      <c r="BA128" s="6890">
        <f>+BA126-BA127</f>
        <v>62071.890000000007</v>
      </c>
      <c r="BB128" s="6893"/>
      <c r="BC128" s="6894">
        <f>+BC126-BC127</f>
        <v>164120.549</v>
      </c>
      <c r="BD128" s="6897"/>
      <c r="BE128" s="6898">
        <f>+BE126-BE127</f>
        <v>257672.60199999998</v>
      </c>
      <c r="BF128" s="6891"/>
      <c r="BG128" s="6899">
        <f>+BG126-BG127</f>
        <v>514871.68400000007</v>
      </c>
      <c r="BH128" s="1222"/>
      <c r="BI128" s="1222"/>
      <c r="BJ128" s="26"/>
      <c r="BK128" s="26"/>
      <c r="BL128" s="26"/>
    </row>
    <row r="129" spans="2:64" ht="15.75" thickBot="1" x14ac:dyDescent="0.3"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1222"/>
      <c r="BI129" s="26"/>
      <c r="BJ129" s="26"/>
      <c r="BK129" s="26"/>
      <c r="BL129" s="26"/>
    </row>
    <row r="130" spans="2:64" ht="15.75" thickBot="1" x14ac:dyDescent="0.3">
      <c r="B130" s="792" t="s">
        <v>1095</v>
      </c>
      <c r="C130" s="1085"/>
      <c r="D130" s="1085"/>
      <c r="E130" s="789" t="s">
        <v>50</v>
      </c>
      <c r="F130" s="6822"/>
      <c r="G130" s="1086">
        <f>+G122-G123-G124-G126-G125</f>
        <v>-3.2969182939268649E-12</v>
      </c>
      <c r="H130" s="6822"/>
      <c r="I130" s="1086">
        <f>+I122-I123-I124-I126-I125</f>
        <v>-9.0949470177292824E-12</v>
      </c>
      <c r="J130" s="6823"/>
      <c r="K130" s="1087">
        <f>+K122-K123-K124-K126-K125</f>
        <v>3.865352482534945E-11</v>
      </c>
      <c r="L130" s="6822"/>
      <c r="M130" s="1086">
        <f>+M122-M123-M124-M126-M125</f>
        <v>-0.18645256083249251</v>
      </c>
      <c r="N130" s="6824"/>
      <c r="O130" s="1088">
        <f>+O122-O123-O124-O126-O125</f>
        <v>-0.18645256075751604</v>
      </c>
      <c r="P130" s="6822"/>
      <c r="Q130" s="1086">
        <f>+Q122-Q123-Q124-Q126-Q125</f>
        <v>-1.9999999993899564E-2</v>
      </c>
      <c r="R130" s="6823"/>
      <c r="S130" s="1087">
        <f>+S122-S123-S124-S126-S125</f>
        <v>-0.20645256083867025</v>
      </c>
      <c r="T130" s="6822"/>
      <c r="U130" s="6706">
        <f>+U122-U123-U124-U126-U125</f>
        <v>-0.21000000001515673</v>
      </c>
      <c r="V130" s="6823"/>
      <c r="W130" s="1087">
        <f>+W122-W123-W124-W126-W125</f>
        <v>-0.41645256084666471</v>
      </c>
      <c r="X130" s="6822"/>
      <c r="Y130" s="1086">
        <f>+Y122-Y123-Y124-Y126-Y125</f>
        <v>-0.13999999998691237</v>
      </c>
      <c r="Z130" s="6824"/>
      <c r="AA130" s="1088">
        <f>+AA122-AA123-AA124-AA126-AA125</f>
        <v>-0.37000000001057742</v>
      </c>
      <c r="AB130" s="6870"/>
      <c r="AC130" s="1091">
        <f>+AC122-AC123-AC124-AC126-AC125</f>
        <v>-0.55645256079696992</v>
      </c>
      <c r="AD130" s="6822"/>
      <c r="AE130" s="1086">
        <f>+AE122-AE123-AE124-AE126-AE125</f>
        <v>-9.9232640479556267E-2</v>
      </c>
      <c r="AF130" s="6823"/>
      <c r="AG130" s="1087">
        <f>+AG122-AG123-AG124-AG126-AG125</f>
        <v>211.43631479880059</v>
      </c>
      <c r="AH130" s="6822"/>
      <c r="AI130" s="1086">
        <f>+AI122-AI123-AI124-AI126-AI125</f>
        <v>9.8054897534893826E-13</v>
      </c>
      <c r="AJ130" s="6823"/>
      <c r="AK130" s="1087">
        <f>+AK122-AK123-AK124-AK126-AK125</f>
        <v>211.43631479889973</v>
      </c>
      <c r="AL130" s="6822"/>
      <c r="AM130" s="1086">
        <f>+AM122-AM123-AM124-AM126-AM125</f>
        <v>-0.26086878727437579</v>
      </c>
      <c r="AN130" s="6824"/>
      <c r="AO130" s="1088">
        <f>+AO122-AO123-AO124-AO126-AO125</f>
        <v>-0.36010142772011022</v>
      </c>
      <c r="AP130" s="6823"/>
      <c r="AQ130" s="1087">
        <f>+AQ122-AQ123-AQ124-AQ126-AQ125</f>
        <v>211.17544601155987</v>
      </c>
      <c r="AR130" s="6822"/>
      <c r="AS130" s="1086">
        <f>+AS122-AS123-AS124-AS126-AS125</f>
        <v>-1.0000000004993126E-2</v>
      </c>
      <c r="AT130" s="6823"/>
      <c r="AU130" s="1087">
        <f>+AU122-AU123-AU124-AU126-AU125</f>
        <v>211.16544601158421</v>
      </c>
      <c r="AV130" s="6822"/>
      <c r="AW130" s="1086">
        <f>+AW122-AW123-AW124-AW126-AW125</f>
        <v>-0.19999999999788542</v>
      </c>
      <c r="AX130" s="6823"/>
      <c r="AY130" s="1087">
        <f>+AY122-AY123-AY124-AY126-AY125</f>
        <v>210.96544601150617</v>
      </c>
      <c r="AZ130" s="6822"/>
      <c r="BA130" s="1086">
        <f>+BA122-BA123-BA124-BA126-BA125</f>
        <v>6.2527760746888816E-12</v>
      </c>
      <c r="BB130" s="6824"/>
      <c r="BC130" s="1088">
        <f>+BC122-BC123-BC124-BC126-BC125</f>
        <v>-0.2099999999747979</v>
      </c>
      <c r="BD130" s="6871"/>
      <c r="BE130" s="6872">
        <f>+BE122-BE123-BE124-BE126-BE125</f>
        <v>-0.57010142770923267</v>
      </c>
      <c r="BF130" s="6823"/>
      <c r="BG130" s="1092">
        <f>+BG122-BG123-BG124-BG126-BG125</f>
        <v>210.96544601138157</v>
      </c>
      <c r="BH130" s="1222"/>
      <c r="BI130" s="26"/>
      <c r="BJ130" s="26"/>
      <c r="BK130" s="26"/>
      <c r="BL130" s="26"/>
    </row>
    <row r="131" spans="2:64" x14ac:dyDescent="0.25">
      <c r="H131" s="3409"/>
      <c r="I131" s="3409"/>
      <c r="L131" s="3427"/>
      <c r="M131" s="3427"/>
      <c r="P131" s="4712"/>
      <c r="Q131" s="4712"/>
      <c r="T131" s="4712"/>
      <c r="U131" s="4712"/>
      <c r="V131" s="4712"/>
      <c r="W131" s="4712"/>
      <c r="X131" s="4712"/>
      <c r="Y131" s="4712"/>
      <c r="AF131" s="2631"/>
      <c r="AG131" s="2631"/>
      <c r="AH131" s="5172"/>
      <c r="AI131" s="5172"/>
      <c r="AJ131" s="5172"/>
      <c r="AK131" s="5172"/>
      <c r="AL131" s="5172"/>
      <c r="AM131" s="5172"/>
      <c r="AN131" s="2744"/>
      <c r="AO131" s="2744"/>
      <c r="AP131" s="2744"/>
      <c r="AQ131" s="2744"/>
      <c r="AR131" s="5172"/>
      <c r="AS131" s="5172"/>
      <c r="AT131" s="2809"/>
      <c r="AU131" s="2809"/>
      <c r="AV131" s="5172"/>
      <c r="AW131" s="5172"/>
      <c r="AX131" s="5172"/>
      <c r="AY131" s="5172"/>
      <c r="AZ131" s="5172"/>
      <c r="BA131" s="5172"/>
      <c r="BF131" s="3056"/>
      <c r="BG131" s="3056"/>
      <c r="BH131" s="1222"/>
      <c r="BI131" s="26"/>
      <c r="BJ131" s="26"/>
      <c r="BK131" s="26"/>
      <c r="BL131" s="26"/>
    </row>
    <row r="132" spans="2:64" s="5172" customFormat="1" x14ac:dyDescent="0.25">
      <c r="BH132" s="1222"/>
      <c r="BI132" s="26"/>
      <c r="BJ132" s="26"/>
      <c r="BK132" s="26"/>
      <c r="BL132" s="26"/>
    </row>
    <row r="139" spans="2:64" hidden="1" x14ac:dyDescent="0.25">
      <c r="B139" t="s">
        <v>1183</v>
      </c>
      <c r="G139" s="26">
        <f t="shared" ref="G139:AL139" si="154">+SUM(G6:G52)</f>
        <v>36340.903000000006</v>
      </c>
      <c r="H139" s="26">
        <f t="shared" si="154"/>
        <v>0</v>
      </c>
      <c r="I139" s="26">
        <f t="shared" si="154"/>
        <v>44993.633999999998</v>
      </c>
      <c r="J139" s="26">
        <f t="shared" si="154"/>
        <v>0</v>
      </c>
      <c r="K139" s="26">
        <f t="shared" si="154"/>
        <v>81334.536999999997</v>
      </c>
      <c r="L139" s="26">
        <f t="shared" si="154"/>
        <v>0</v>
      </c>
      <c r="M139" s="26">
        <f t="shared" si="154"/>
        <v>16171.032999999999</v>
      </c>
      <c r="N139" s="26">
        <f t="shared" si="154"/>
        <v>0</v>
      </c>
      <c r="O139" s="26">
        <f t="shared" si="154"/>
        <v>97505.569999999992</v>
      </c>
      <c r="P139" s="26">
        <f t="shared" si="154"/>
        <v>0</v>
      </c>
      <c r="Q139" s="26">
        <f t="shared" si="154"/>
        <v>33806.939999999995</v>
      </c>
      <c r="R139" s="26">
        <f t="shared" si="154"/>
        <v>0</v>
      </c>
      <c r="S139" s="26">
        <f t="shared" si="154"/>
        <v>131312.50999999998</v>
      </c>
      <c r="T139" s="26">
        <f t="shared" si="154"/>
        <v>0</v>
      </c>
      <c r="U139" s="26">
        <f t="shared" si="154"/>
        <v>25023.575000000001</v>
      </c>
      <c r="V139" s="26">
        <f t="shared" si="154"/>
        <v>0</v>
      </c>
      <c r="W139" s="26">
        <f t="shared" si="154"/>
        <v>156336.08499999999</v>
      </c>
      <c r="X139" s="26">
        <f t="shared" si="154"/>
        <v>0</v>
      </c>
      <c r="Y139" s="26">
        <f t="shared" si="154"/>
        <v>31597.719999999998</v>
      </c>
      <c r="Z139" s="26">
        <f t="shared" si="154"/>
        <v>0</v>
      </c>
      <c r="AA139" s="26">
        <f t="shared" si="154"/>
        <v>90428.235000000001</v>
      </c>
      <c r="AB139" s="26">
        <f t="shared" si="154"/>
        <v>0</v>
      </c>
      <c r="AC139" s="26">
        <f t="shared" si="154"/>
        <v>187933.80499999999</v>
      </c>
      <c r="AD139" s="26">
        <f t="shared" si="154"/>
        <v>0</v>
      </c>
      <c r="AE139" s="26">
        <f t="shared" si="154"/>
        <v>34793.764999999999</v>
      </c>
      <c r="AF139" s="26">
        <f t="shared" si="154"/>
        <v>0</v>
      </c>
      <c r="AG139" s="26">
        <f t="shared" si="154"/>
        <v>222515.478</v>
      </c>
      <c r="AH139" s="26">
        <f t="shared" si="154"/>
        <v>0</v>
      </c>
      <c r="AI139" s="26">
        <f t="shared" si="154"/>
        <v>2029.9330000000009</v>
      </c>
      <c r="AJ139" s="26">
        <f t="shared" si="154"/>
        <v>0</v>
      </c>
      <c r="AK139" s="26">
        <f t="shared" si="154"/>
        <v>224545.41099999996</v>
      </c>
      <c r="AL139" s="26">
        <f t="shared" si="154"/>
        <v>0</v>
      </c>
      <c r="AM139" s="26">
        <f t="shared" ref="AM139:BG139" si="155">+SUM(AM6:AM52)</f>
        <v>29630.324000000004</v>
      </c>
      <c r="AN139" s="26">
        <f t="shared" si="155"/>
        <v>0</v>
      </c>
      <c r="AO139" s="26">
        <f t="shared" si="155"/>
        <v>66454.022000000012</v>
      </c>
      <c r="AP139" s="26">
        <f t="shared" si="155"/>
        <v>0</v>
      </c>
      <c r="AQ139" s="26">
        <f t="shared" si="155"/>
        <v>254175.73500000002</v>
      </c>
      <c r="AR139" s="26">
        <f t="shared" si="155"/>
        <v>0</v>
      </c>
      <c r="AS139" s="26">
        <f t="shared" si="155"/>
        <v>38310.493000000002</v>
      </c>
      <c r="AT139" s="26">
        <f t="shared" si="155"/>
        <v>0</v>
      </c>
      <c r="AU139" s="26">
        <f t="shared" si="155"/>
        <v>292486.22800000006</v>
      </c>
      <c r="AV139" s="26">
        <f t="shared" si="155"/>
        <v>0</v>
      </c>
      <c r="AW139" s="26">
        <f t="shared" si="155"/>
        <v>36772.828000000009</v>
      </c>
      <c r="AX139" s="26">
        <f t="shared" si="155"/>
        <v>0</v>
      </c>
      <c r="AY139" s="26">
        <f t="shared" si="155"/>
        <v>329259.05600000004</v>
      </c>
      <c r="AZ139" s="26">
        <f t="shared" si="155"/>
        <v>0</v>
      </c>
      <c r="BA139" s="26">
        <f t="shared" si="155"/>
        <v>48620.817000000003</v>
      </c>
      <c r="BB139" s="26">
        <f t="shared" si="155"/>
        <v>0</v>
      </c>
      <c r="BC139" s="26">
        <f t="shared" si="155"/>
        <v>123704.13799999999</v>
      </c>
      <c r="BD139" s="26">
        <f t="shared" si="155"/>
        <v>0</v>
      </c>
      <c r="BE139" s="26">
        <f t="shared" si="155"/>
        <v>190158.15999999997</v>
      </c>
      <c r="BF139" s="26">
        <f t="shared" si="155"/>
        <v>0</v>
      </c>
      <c r="BG139" s="26">
        <f t="shared" si="155"/>
        <v>377879.87299999996</v>
      </c>
    </row>
    <row r="140" spans="2:64" hidden="1" x14ac:dyDescent="0.25">
      <c r="B140" t="s">
        <v>1184</v>
      </c>
      <c r="G140" s="26">
        <f t="shared" ref="G140:AL140" si="156">+SUM(G53:G63)</f>
        <v>8108.2379999999994</v>
      </c>
      <c r="H140" s="26">
        <f t="shared" si="156"/>
        <v>0</v>
      </c>
      <c r="I140" s="26">
        <f t="shared" si="156"/>
        <v>5159.0289999999995</v>
      </c>
      <c r="J140" s="26">
        <f t="shared" si="156"/>
        <v>0</v>
      </c>
      <c r="K140" s="26">
        <f t="shared" si="156"/>
        <v>13267.267</v>
      </c>
      <c r="L140" s="26">
        <f t="shared" si="156"/>
        <v>0</v>
      </c>
      <c r="M140" s="26">
        <f t="shared" si="156"/>
        <v>4576.1469999999999</v>
      </c>
      <c r="N140" s="26">
        <f t="shared" si="156"/>
        <v>0</v>
      </c>
      <c r="O140" s="26">
        <f t="shared" si="156"/>
        <v>17843.414000000001</v>
      </c>
      <c r="P140" s="26">
        <f t="shared" si="156"/>
        <v>0</v>
      </c>
      <c r="Q140" s="26">
        <f t="shared" si="156"/>
        <v>4752.4150000000009</v>
      </c>
      <c r="R140" s="26">
        <f t="shared" si="156"/>
        <v>0</v>
      </c>
      <c r="S140" s="26">
        <f t="shared" si="156"/>
        <v>22595.829000000002</v>
      </c>
      <c r="T140" s="26">
        <f t="shared" si="156"/>
        <v>0</v>
      </c>
      <c r="U140" s="26">
        <f t="shared" si="156"/>
        <v>0</v>
      </c>
      <c r="V140" s="26">
        <f t="shared" si="156"/>
        <v>0</v>
      </c>
      <c r="W140" s="26">
        <f t="shared" si="156"/>
        <v>22595.829000000002</v>
      </c>
      <c r="X140" s="26">
        <f t="shared" si="156"/>
        <v>0</v>
      </c>
      <c r="Y140" s="26">
        <f t="shared" si="156"/>
        <v>1979.182</v>
      </c>
      <c r="Z140" s="26">
        <f t="shared" si="156"/>
        <v>0</v>
      </c>
      <c r="AA140" s="26">
        <f t="shared" si="156"/>
        <v>6731.5970000000007</v>
      </c>
      <c r="AB140" s="26">
        <f t="shared" si="156"/>
        <v>0</v>
      </c>
      <c r="AC140" s="26">
        <f t="shared" si="156"/>
        <v>24575.010999999999</v>
      </c>
      <c r="AD140" s="26">
        <f t="shared" si="156"/>
        <v>0</v>
      </c>
      <c r="AE140" s="26">
        <f t="shared" si="156"/>
        <v>2513.3280000000004</v>
      </c>
      <c r="AF140" s="26">
        <f t="shared" si="156"/>
        <v>0</v>
      </c>
      <c r="AG140" s="26">
        <f t="shared" si="156"/>
        <v>27088.338999999996</v>
      </c>
      <c r="AH140" s="26">
        <f t="shared" si="156"/>
        <v>0</v>
      </c>
      <c r="AI140" s="26">
        <f t="shared" si="156"/>
        <v>0</v>
      </c>
      <c r="AJ140" s="26">
        <f t="shared" si="156"/>
        <v>0</v>
      </c>
      <c r="AK140" s="26">
        <f t="shared" si="156"/>
        <v>27088.338999999996</v>
      </c>
      <c r="AL140" s="26">
        <f t="shared" si="156"/>
        <v>0</v>
      </c>
      <c r="AM140" s="26">
        <f t="shared" ref="AM140:BG140" si="157">+SUM(AM53:AM63)</f>
        <v>4923.0200000000004</v>
      </c>
      <c r="AN140" s="26">
        <f t="shared" si="157"/>
        <v>0</v>
      </c>
      <c r="AO140" s="26">
        <f t="shared" si="157"/>
        <v>7436.348</v>
      </c>
      <c r="AP140" s="26">
        <f t="shared" si="157"/>
        <v>0</v>
      </c>
      <c r="AQ140" s="26">
        <f t="shared" si="157"/>
        <v>32011.359</v>
      </c>
      <c r="AR140" s="26">
        <f t="shared" si="157"/>
        <v>0</v>
      </c>
      <c r="AS140" s="26">
        <f t="shared" si="157"/>
        <v>5654.5990000000002</v>
      </c>
      <c r="AT140" s="26">
        <f t="shared" si="157"/>
        <v>0</v>
      </c>
      <c r="AU140" s="26">
        <f t="shared" si="157"/>
        <v>37665.958000000006</v>
      </c>
      <c r="AV140" s="26">
        <f t="shared" si="157"/>
        <v>0</v>
      </c>
      <c r="AW140" s="26">
        <f t="shared" si="157"/>
        <v>7646.8819999999996</v>
      </c>
      <c r="AX140" s="26">
        <f t="shared" si="157"/>
        <v>0</v>
      </c>
      <c r="AY140" s="26">
        <f t="shared" si="157"/>
        <v>45312.840000000011</v>
      </c>
      <c r="AZ140" s="26">
        <f t="shared" si="157"/>
        <v>0</v>
      </c>
      <c r="BA140" s="26">
        <f t="shared" si="157"/>
        <v>7746.7179999999989</v>
      </c>
      <c r="BB140" s="26">
        <f t="shared" si="157"/>
        <v>0</v>
      </c>
      <c r="BC140" s="26">
        <f t="shared" si="157"/>
        <v>21048.199000000001</v>
      </c>
      <c r="BD140" s="26">
        <f t="shared" si="157"/>
        <v>0</v>
      </c>
      <c r="BE140" s="26">
        <f t="shared" si="157"/>
        <v>28484.547000000002</v>
      </c>
      <c r="BF140" s="26">
        <f t="shared" si="157"/>
        <v>0</v>
      </c>
      <c r="BG140" s="26">
        <f t="shared" si="157"/>
        <v>53059.557999999997</v>
      </c>
    </row>
    <row r="141" spans="2:64" hidden="1" x14ac:dyDescent="0.25">
      <c r="B141" t="s">
        <v>940</v>
      </c>
      <c r="G141" s="26">
        <f t="shared" ref="G141:AL141" si="158">+SUM(G66:G73)</f>
        <v>5094.6359999999995</v>
      </c>
      <c r="H141" s="26">
        <f t="shared" si="158"/>
        <v>0</v>
      </c>
      <c r="I141" s="26">
        <f t="shared" si="158"/>
        <v>7066.4809999999998</v>
      </c>
      <c r="J141" s="26">
        <f t="shared" si="158"/>
        <v>0</v>
      </c>
      <c r="K141" s="26">
        <f t="shared" si="158"/>
        <v>12161.116999999998</v>
      </c>
      <c r="L141" s="26">
        <f t="shared" si="158"/>
        <v>0</v>
      </c>
      <c r="M141" s="26">
        <f t="shared" si="158"/>
        <v>7132.1530000000002</v>
      </c>
      <c r="N141" s="26">
        <f t="shared" si="158"/>
        <v>0</v>
      </c>
      <c r="O141" s="26">
        <f t="shared" si="158"/>
        <v>19293.269999999997</v>
      </c>
      <c r="P141" s="26">
        <f t="shared" si="158"/>
        <v>0</v>
      </c>
      <c r="Q141" s="26">
        <f t="shared" si="158"/>
        <v>6148.6380000000008</v>
      </c>
      <c r="R141" s="26">
        <f t="shared" si="158"/>
        <v>0</v>
      </c>
      <c r="S141" s="26">
        <f t="shared" si="158"/>
        <v>25441.907999999996</v>
      </c>
      <c r="T141" s="26">
        <f t="shared" si="158"/>
        <v>0</v>
      </c>
      <c r="U141" s="26">
        <f t="shared" si="158"/>
        <v>9366.5570000000025</v>
      </c>
      <c r="V141" s="26">
        <f t="shared" si="158"/>
        <v>0</v>
      </c>
      <c r="W141" s="26">
        <f t="shared" si="158"/>
        <v>34808.465000000004</v>
      </c>
      <c r="X141" s="26">
        <f t="shared" si="158"/>
        <v>0</v>
      </c>
      <c r="Y141" s="26">
        <f t="shared" si="158"/>
        <v>10093.893</v>
      </c>
      <c r="Z141" s="26">
        <f t="shared" si="158"/>
        <v>0</v>
      </c>
      <c r="AA141" s="26">
        <f t="shared" si="158"/>
        <v>25609.088000000003</v>
      </c>
      <c r="AB141" s="26">
        <f t="shared" si="158"/>
        <v>0</v>
      </c>
      <c r="AC141" s="26">
        <f t="shared" si="158"/>
        <v>44902.358000000007</v>
      </c>
      <c r="AD141" s="26">
        <f t="shared" si="158"/>
        <v>0</v>
      </c>
      <c r="AE141" s="26">
        <f t="shared" si="158"/>
        <v>6063.3640000000005</v>
      </c>
      <c r="AF141" s="26">
        <f t="shared" si="158"/>
        <v>0</v>
      </c>
      <c r="AG141" s="26">
        <f t="shared" si="158"/>
        <v>50965.722000000009</v>
      </c>
      <c r="AH141" s="26">
        <f t="shared" si="158"/>
        <v>0</v>
      </c>
      <c r="AI141" s="26">
        <f t="shared" si="158"/>
        <v>6555.0509999999995</v>
      </c>
      <c r="AJ141" s="26">
        <f t="shared" si="158"/>
        <v>0</v>
      </c>
      <c r="AK141" s="26">
        <f t="shared" si="158"/>
        <v>57520.773000000001</v>
      </c>
      <c r="AL141" s="26">
        <f t="shared" si="158"/>
        <v>0</v>
      </c>
      <c r="AM141" s="26">
        <f t="shared" ref="AM141:BG141" si="159">+SUM(AM66:AM73)</f>
        <v>5513.4240000000009</v>
      </c>
      <c r="AN141" s="26">
        <f t="shared" si="159"/>
        <v>0</v>
      </c>
      <c r="AO141" s="26">
        <f t="shared" si="159"/>
        <v>18131.839</v>
      </c>
      <c r="AP141" s="26">
        <f t="shared" si="159"/>
        <v>0</v>
      </c>
      <c r="AQ141" s="26">
        <f t="shared" si="159"/>
        <v>63034.197</v>
      </c>
      <c r="AR141" s="26">
        <f t="shared" si="159"/>
        <v>0</v>
      </c>
      <c r="AS141" s="26">
        <f t="shared" si="159"/>
        <v>7074.0869999999995</v>
      </c>
      <c r="AT141" s="26">
        <f t="shared" si="159"/>
        <v>0</v>
      </c>
      <c r="AU141" s="26">
        <f t="shared" si="159"/>
        <v>70108.284</v>
      </c>
      <c r="AV141" s="26">
        <f t="shared" si="159"/>
        <v>0</v>
      </c>
      <c r="AW141" s="26">
        <f t="shared" si="159"/>
        <v>6589.77</v>
      </c>
      <c r="AX141" s="26">
        <f t="shared" si="159"/>
        <v>0</v>
      </c>
      <c r="AY141" s="26">
        <f t="shared" si="159"/>
        <v>76698.054000000004</v>
      </c>
      <c r="AZ141" s="26">
        <f t="shared" si="159"/>
        <v>0</v>
      </c>
      <c r="BA141" s="26">
        <f t="shared" si="159"/>
        <v>5704.3549999999996</v>
      </c>
      <c r="BB141" s="26">
        <f t="shared" si="159"/>
        <v>0</v>
      </c>
      <c r="BC141" s="26">
        <f t="shared" si="159"/>
        <v>19368.212</v>
      </c>
      <c r="BD141" s="26">
        <f t="shared" si="159"/>
        <v>0</v>
      </c>
      <c r="BE141" s="26">
        <f t="shared" si="159"/>
        <v>37500.050999999999</v>
      </c>
      <c r="BF141" s="26">
        <f t="shared" si="159"/>
        <v>0</v>
      </c>
      <c r="BG141" s="26">
        <f t="shared" si="159"/>
        <v>82402.409</v>
      </c>
    </row>
    <row r="142" spans="2:64" hidden="1" x14ac:dyDescent="0.25">
      <c r="B142" t="s">
        <v>687</v>
      </c>
      <c r="G142" s="26">
        <f t="shared" ref="G142:AL142" si="160">+SUM(G64:G65)</f>
        <v>0</v>
      </c>
      <c r="H142" s="26">
        <f t="shared" si="160"/>
        <v>0</v>
      </c>
      <c r="I142" s="26">
        <f t="shared" si="160"/>
        <v>0</v>
      </c>
      <c r="J142" s="26">
        <f t="shared" si="160"/>
        <v>0</v>
      </c>
      <c r="K142" s="26">
        <f t="shared" si="160"/>
        <v>0</v>
      </c>
      <c r="L142" s="26">
        <f t="shared" si="160"/>
        <v>0</v>
      </c>
      <c r="M142" s="26">
        <f t="shared" si="160"/>
        <v>0</v>
      </c>
      <c r="N142" s="26">
        <f t="shared" si="160"/>
        <v>0</v>
      </c>
      <c r="O142" s="26">
        <f t="shared" si="160"/>
        <v>0</v>
      </c>
      <c r="P142" s="26">
        <f t="shared" si="160"/>
        <v>0</v>
      </c>
      <c r="Q142" s="26">
        <f t="shared" si="160"/>
        <v>0</v>
      </c>
      <c r="R142" s="26">
        <f t="shared" si="160"/>
        <v>0</v>
      </c>
      <c r="S142" s="26">
        <f t="shared" si="160"/>
        <v>0</v>
      </c>
      <c r="T142" s="26">
        <f t="shared" si="160"/>
        <v>0</v>
      </c>
      <c r="U142" s="26">
        <f t="shared" si="160"/>
        <v>0</v>
      </c>
      <c r="V142" s="26">
        <f t="shared" si="160"/>
        <v>0</v>
      </c>
      <c r="W142" s="26">
        <f t="shared" si="160"/>
        <v>0</v>
      </c>
      <c r="X142" s="26">
        <f t="shared" si="160"/>
        <v>0</v>
      </c>
      <c r="Y142" s="26">
        <f t="shared" si="160"/>
        <v>0</v>
      </c>
      <c r="Z142" s="26">
        <f t="shared" si="160"/>
        <v>0</v>
      </c>
      <c r="AA142" s="26">
        <f t="shared" si="160"/>
        <v>0</v>
      </c>
      <c r="AB142" s="26">
        <f t="shared" si="160"/>
        <v>0</v>
      </c>
      <c r="AC142" s="26">
        <f t="shared" si="160"/>
        <v>0</v>
      </c>
      <c r="AD142" s="26">
        <f t="shared" si="160"/>
        <v>0</v>
      </c>
      <c r="AE142" s="26">
        <f t="shared" si="160"/>
        <v>1529.8440000000001</v>
      </c>
      <c r="AF142" s="26">
        <f t="shared" si="160"/>
        <v>0</v>
      </c>
      <c r="AG142" s="26">
        <f t="shared" si="160"/>
        <v>1529.8440000000001</v>
      </c>
      <c r="AH142" s="26">
        <f t="shared" si="160"/>
        <v>0</v>
      </c>
      <c r="AI142" s="26">
        <f t="shared" si="160"/>
        <v>0</v>
      </c>
      <c r="AJ142" s="26">
        <f t="shared" si="160"/>
        <v>0</v>
      </c>
      <c r="AK142" s="26">
        <f t="shared" si="160"/>
        <v>1529.8440000000001</v>
      </c>
      <c r="AL142" s="26">
        <f t="shared" si="160"/>
        <v>0</v>
      </c>
      <c r="AM142" s="26">
        <f t="shared" ref="AM142:BG142" si="161">+SUM(AM64:AM65)</f>
        <v>0</v>
      </c>
      <c r="AN142" s="26">
        <f t="shared" si="161"/>
        <v>0</v>
      </c>
      <c r="AO142" s="26">
        <f t="shared" si="161"/>
        <v>1529.8440000000001</v>
      </c>
      <c r="AP142" s="26">
        <f t="shared" si="161"/>
        <v>0</v>
      </c>
      <c r="AQ142" s="26">
        <f t="shared" si="161"/>
        <v>1529.8440000000001</v>
      </c>
      <c r="AR142" s="26">
        <f t="shared" si="161"/>
        <v>0</v>
      </c>
      <c r="AS142" s="26">
        <f t="shared" si="161"/>
        <v>0</v>
      </c>
      <c r="AT142" s="26">
        <f t="shared" si="161"/>
        <v>0</v>
      </c>
      <c r="AU142" s="26">
        <f t="shared" si="161"/>
        <v>1529.8440000000001</v>
      </c>
      <c r="AV142" s="26">
        <f t="shared" si="161"/>
        <v>0</v>
      </c>
      <c r="AW142" s="26">
        <f t="shared" si="161"/>
        <v>0</v>
      </c>
      <c r="AX142" s="26">
        <f t="shared" si="161"/>
        <v>0</v>
      </c>
      <c r="AY142" s="26">
        <f t="shared" si="161"/>
        <v>1529.8440000000001</v>
      </c>
      <c r="AZ142" s="26">
        <f t="shared" si="161"/>
        <v>0</v>
      </c>
      <c r="BA142" s="26">
        <f t="shared" si="161"/>
        <v>0</v>
      </c>
      <c r="BB142" s="26">
        <f t="shared" si="161"/>
        <v>0</v>
      </c>
      <c r="BC142" s="26">
        <f t="shared" si="161"/>
        <v>0</v>
      </c>
      <c r="BD142" s="26">
        <f t="shared" si="161"/>
        <v>0</v>
      </c>
      <c r="BE142" s="26">
        <f t="shared" si="161"/>
        <v>1529.8440000000001</v>
      </c>
      <c r="BF142" s="26">
        <f t="shared" si="161"/>
        <v>0</v>
      </c>
      <c r="BG142" s="26">
        <f t="shared" si="161"/>
        <v>1529.8440000000001</v>
      </c>
    </row>
    <row r="143" spans="2:64" hidden="1" x14ac:dyDescent="0.25">
      <c r="G143" s="26">
        <f>SUM(G139:G142)</f>
        <v>49543.777000000002</v>
      </c>
      <c r="H143" s="26">
        <f t="shared" ref="H143:BG143" si="162">SUM(H139:H142)</f>
        <v>0</v>
      </c>
      <c r="I143" s="26">
        <f t="shared" si="162"/>
        <v>57219.144</v>
      </c>
      <c r="J143" s="26">
        <f t="shared" si="162"/>
        <v>0</v>
      </c>
      <c r="K143" s="26">
        <f t="shared" si="162"/>
        <v>106762.921</v>
      </c>
      <c r="L143" s="26">
        <f t="shared" si="162"/>
        <v>0</v>
      </c>
      <c r="M143" s="26">
        <f t="shared" si="162"/>
        <v>27879.332999999999</v>
      </c>
      <c r="N143" s="26">
        <f t="shared" si="162"/>
        <v>0</v>
      </c>
      <c r="O143" s="26">
        <f t="shared" si="162"/>
        <v>134642.25399999999</v>
      </c>
      <c r="P143" s="26">
        <f t="shared" si="162"/>
        <v>0</v>
      </c>
      <c r="Q143" s="26">
        <f t="shared" si="162"/>
        <v>44707.992999999995</v>
      </c>
      <c r="R143" s="26">
        <f t="shared" si="162"/>
        <v>0</v>
      </c>
      <c r="S143" s="26">
        <f t="shared" si="162"/>
        <v>179350.24699999997</v>
      </c>
      <c r="T143" s="26">
        <f t="shared" si="162"/>
        <v>0</v>
      </c>
      <c r="U143" s="26">
        <f t="shared" si="162"/>
        <v>34390.132000000005</v>
      </c>
      <c r="V143" s="26">
        <f t="shared" si="162"/>
        <v>0</v>
      </c>
      <c r="W143" s="26">
        <f t="shared" si="162"/>
        <v>213740.37899999999</v>
      </c>
      <c r="X143" s="26">
        <f t="shared" si="162"/>
        <v>0</v>
      </c>
      <c r="Y143" s="26">
        <f t="shared" si="162"/>
        <v>43670.794999999998</v>
      </c>
      <c r="Z143" s="26">
        <f t="shared" si="162"/>
        <v>0</v>
      </c>
      <c r="AA143" s="26">
        <f t="shared" si="162"/>
        <v>122768.92</v>
      </c>
      <c r="AB143" s="26">
        <f t="shared" si="162"/>
        <v>0</v>
      </c>
      <c r="AC143" s="26">
        <f t="shared" si="162"/>
        <v>257411.174</v>
      </c>
      <c r="AD143" s="26">
        <f t="shared" si="162"/>
        <v>0</v>
      </c>
      <c r="AE143" s="26">
        <f t="shared" si="162"/>
        <v>44900.300999999999</v>
      </c>
      <c r="AF143" s="26">
        <f t="shared" si="162"/>
        <v>0</v>
      </c>
      <c r="AG143" s="26">
        <f t="shared" si="162"/>
        <v>302099.38299999997</v>
      </c>
      <c r="AH143" s="26">
        <f t="shared" si="162"/>
        <v>0</v>
      </c>
      <c r="AI143" s="26">
        <f t="shared" si="162"/>
        <v>8584.9840000000004</v>
      </c>
      <c r="AJ143" s="26">
        <f t="shared" si="162"/>
        <v>0</v>
      </c>
      <c r="AK143" s="26">
        <f t="shared" si="162"/>
        <v>310684.36699999997</v>
      </c>
      <c r="AL143" s="26">
        <f t="shared" si="162"/>
        <v>0</v>
      </c>
      <c r="AM143" s="26">
        <f t="shared" si="162"/>
        <v>40066.768000000004</v>
      </c>
      <c r="AN143" s="26">
        <f t="shared" si="162"/>
        <v>0</v>
      </c>
      <c r="AO143" s="26">
        <f t="shared" si="162"/>
        <v>93552.053</v>
      </c>
      <c r="AP143" s="26">
        <f t="shared" si="162"/>
        <v>0</v>
      </c>
      <c r="AQ143" s="26">
        <f t="shared" si="162"/>
        <v>350751.13500000001</v>
      </c>
      <c r="AR143" s="26">
        <f t="shared" si="162"/>
        <v>0</v>
      </c>
      <c r="AS143" s="26">
        <f t="shared" si="162"/>
        <v>51039.179000000004</v>
      </c>
      <c r="AT143" s="26">
        <f t="shared" si="162"/>
        <v>0</v>
      </c>
      <c r="AU143" s="26">
        <f t="shared" si="162"/>
        <v>401790.31400000001</v>
      </c>
      <c r="AV143" s="26">
        <f t="shared" si="162"/>
        <v>0</v>
      </c>
      <c r="AW143" s="26">
        <f t="shared" si="162"/>
        <v>51009.48000000001</v>
      </c>
      <c r="AX143" s="26">
        <f t="shared" si="162"/>
        <v>0</v>
      </c>
      <c r="AY143" s="26">
        <f t="shared" si="162"/>
        <v>452799.79400000005</v>
      </c>
      <c r="AZ143" s="26">
        <f t="shared" si="162"/>
        <v>0</v>
      </c>
      <c r="BA143" s="26">
        <f t="shared" si="162"/>
        <v>62071.89</v>
      </c>
      <c r="BB143" s="26">
        <f t="shared" si="162"/>
        <v>0</v>
      </c>
      <c r="BC143" s="26">
        <f t="shared" si="162"/>
        <v>164120.549</v>
      </c>
      <c r="BD143" s="26">
        <f t="shared" si="162"/>
        <v>0</v>
      </c>
      <c r="BE143" s="26">
        <f t="shared" si="162"/>
        <v>257672.60199999998</v>
      </c>
      <c r="BF143" s="26">
        <f t="shared" si="162"/>
        <v>0</v>
      </c>
      <c r="BG143" s="26">
        <f t="shared" si="162"/>
        <v>514871.68399999995</v>
      </c>
    </row>
    <row r="145" spans="7:59" x14ac:dyDescent="0.25"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</sheetData>
  <autoFilter ref="C5:C112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8"/>
    <col min="5" max="5" width="55.140625" style="1158" bestFit="1" customWidth="1"/>
    <col min="6" max="6" width="15.5703125" style="1158" hidden="1" customWidth="1"/>
    <col min="7" max="7" width="11.85546875" style="1158" hidden="1" customWidth="1"/>
    <col min="8" max="8" width="10.42578125" style="1158" hidden="1" customWidth="1"/>
    <col min="9" max="10" width="9.7109375" style="1158" hidden="1" customWidth="1"/>
    <col min="11" max="12" width="8.42578125" style="1158" hidden="1" customWidth="1"/>
    <col min="13" max="14" width="7.85546875" style="1158" hidden="1" customWidth="1"/>
    <col min="15" max="15" width="8.42578125" style="1158" hidden="1" customWidth="1"/>
    <col min="16" max="16" width="9.85546875" style="1158" hidden="1" customWidth="1"/>
    <col min="17" max="17" width="8.42578125" style="1158" hidden="1" customWidth="1"/>
    <col min="18" max="23" width="9.85546875" style="1158" hidden="1" customWidth="1"/>
    <col min="24" max="24" width="12" style="1158" hidden="1" customWidth="1"/>
    <col min="25" max="25" width="8.5703125" style="1158" hidden="1" customWidth="1"/>
    <col min="26" max="26" width="9.140625" style="1158" hidden="1" customWidth="1"/>
    <col min="27" max="29" width="8.28515625" style="1158" hidden="1" customWidth="1"/>
    <col min="30" max="30" width="8.7109375" style="1158" hidden="1" customWidth="1"/>
    <col min="31" max="34" width="8.28515625" style="1158" hidden="1" customWidth="1"/>
    <col min="35" max="35" width="8.85546875" style="1158" hidden="1" customWidth="1"/>
    <col min="36" max="38" width="8.28515625" style="1158" hidden="1" customWidth="1"/>
    <col min="39" max="39" width="8.140625" style="1158" hidden="1" customWidth="1"/>
    <col min="40" max="40" width="9.42578125" style="1158" hidden="1" customWidth="1"/>
    <col min="41" max="42" width="8.28515625" style="1158" hidden="1" customWidth="1"/>
    <col min="43" max="43" width="9" style="1158" hidden="1" customWidth="1"/>
    <col min="44" max="44" width="13.28515625" style="1158" hidden="1" customWidth="1"/>
    <col min="45" max="45" width="13.28515625" style="5146" hidden="1" customWidth="1"/>
    <col min="46" max="46" width="5.42578125" style="1158" hidden="1" customWidth="1"/>
    <col min="47" max="47" width="16" style="1158" customWidth="1"/>
    <col min="48" max="48" width="16" style="1158" hidden="1" customWidth="1"/>
    <col min="49" max="49" width="18.140625" style="1158" customWidth="1"/>
    <col min="50" max="52" width="18.140625" style="1158" hidden="1" customWidth="1"/>
    <col min="53" max="53" width="10.140625" style="1158" customWidth="1"/>
    <col min="54" max="54" width="10.140625" style="1158" hidden="1" customWidth="1"/>
    <col min="55" max="55" width="10.140625" style="1158" customWidth="1"/>
    <col min="56" max="56" width="10.140625" style="1158" hidden="1" customWidth="1"/>
    <col min="57" max="57" width="10.140625" style="1158" customWidth="1"/>
    <col min="58" max="60" width="10.140625" style="1158" hidden="1" customWidth="1"/>
    <col min="61" max="61" width="10.140625" style="1158" customWidth="1"/>
    <col min="62" max="64" width="10.140625" style="1158" hidden="1" customWidth="1"/>
    <col min="65" max="65" width="10.140625" style="1158" customWidth="1"/>
    <col min="66" max="66" width="10.140625" style="1158" hidden="1" customWidth="1"/>
    <col min="67" max="67" width="10.140625" style="1158" customWidth="1"/>
    <col min="68" max="68" width="10.140625" style="1158" hidden="1" customWidth="1"/>
    <col min="69" max="69" width="10.140625" style="1158" customWidth="1"/>
    <col min="70" max="70" width="10.140625" style="1158" hidden="1" customWidth="1"/>
    <col min="71" max="71" width="10.140625" style="1158" customWidth="1"/>
    <col min="72" max="74" width="10.140625" style="1158" hidden="1" customWidth="1"/>
    <col min="75" max="75" width="10.140625" style="1158" customWidth="1"/>
    <col min="76" max="78" width="10.140625" style="1158" hidden="1" customWidth="1"/>
    <col min="79" max="79" width="10.140625" style="1158" customWidth="1"/>
    <col min="80" max="80" width="10.140625" style="1158" hidden="1" customWidth="1"/>
    <col min="81" max="81" width="10.140625" style="1158" customWidth="1"/>
    <col min="82" max="84" width="10.140625" style="1158" hidden="1" customWidth="1"/>
    <col min="85" max="85" width="10.140625" style="1158" customWidth="1"/>
    <col min="86" max="88" width="10.140625" style="1158" hidden="1" customWidth="1"/>
    <col min="89" max="89" width="10.140625" style="1158" customWidth="1"/>
    <col min="90" max="92" width="10.140625" style="1158" hidden="1" customWidth="1"/>
    <col min="93" max="93" width="10.140625" style="1158" customWidth="1"/>
    <col min="94" max="94" width="10.140625" style="1158" hidden="1" customWidth="1"/>
    <col min="95" max="95" width="10.140625" style="1158" customWidth="1"/>
    <col min="96" max="96" width="10.140625" style="1158" hidden="1" customWidth="1"/>
    <col min="97" max="97" width="10.140625" style="1158" customWidth="1"/>
    <col min="98" max="98" width="10.140625" style="1158" hidden="1" customWidth="1"/>
    <col min="99" max="100" width="10.7109375" style="1158" customWidth="1"/>
    <col min="101" max="102" width="9.140625" style="1158" customWidth="1"/>
    <col min="103" max="103" width="10.140625" style="1158" customWidth="1"/>
    <col min="104" max="104" width="9.140625" style="1158"/>
    <col min="105" max="105" width="12" style="1158" bestFit="1" customWidth="1"/>
    <col min="106" max="16384" width="9.140625" style="1158"/>
  </cols>
  <sheetData>
    <row r="1" spans="1:101" x14ac:dyDescent="0.25">
      <c r="A1" s="5130"/>
      <c r="B1" s="5130"/>
      <c r="C1" s="5130"/>
      <c r="D1" s="5130"/>
      <c r="E1" s="5129"/>
      <c r="F1" s="5130"/>
      <c r="G1" s="5130"/>
      <c r="H1" s="5130"/>
      <c r="I1" s="5130"/>
      <c r="J1" s="5130"/>
      <c r="K1" s="5130"/>
      <c r="L1" s="5130"/>
      <c r="M1" s="5130"/>
      <c r="N1" s="5130"/>
      <c r="O1" s="5130"/>
      <c r="P1" s="5130"/>
      <c r="Q1" s="5130"/>
      <c r="R1" s="5130"/>
      <c r="S1" s="5128"/>
      <c r="T1" s="5128"/>
      <c r="U1" s="5128"/>
      <c r="V1" s="5128"/>
      <c r="W1" s="5128"/>
      <c r="X1" s="5130"/>
      <c r="Y1" s="5130"/>
      <c r="Z1" s="5130"/>
      <c r="AA1" s="5130"/>
      <c r="AB1" s="5130"/>
      <c r="AC1" s="5130"/>
      <c r="AD1" s="5130"/>
      <c r="AE1" s="5130"/>
      <c r="AF1" s="5130"/>
      <c r="AG1" s="5130"/>
      <c r="AH1" s="5130"/>
      <c r="AI1" s="5130"/>
      <c r="AJ1" s="5130"/>
      <c r="AK1" s="5130"/>
      <c r="AL1" s="5128"/>
      <c r="AM1" s="5128"/>
      <c r="AN1" s="5128"/>
      <c r="AO1" s="5128"/>
      <c r="AP1" s="5128"/>
      <c r="AQ1" s="5128"/>
      <c r="AR1" s="5130"/>
      <c r="AS1" s="5130"/>
      <c r="AT1" s="5130"/>
      <c r="AU1" s="5130"/>
      <c r="AV1" s="5130"/>
      <c r="AW1" s="5130"/>
      <c r="AX1" s="5130"/>
      <c r="AY1" s="5130"/>
      <c r="AZ1" s="5130"/>
      <c r="BA1" s="5130"/>
      <c r="BB1" s="5130"/>
      <c r="BC1" s="5130"/>
      <c r="BD1" s="5130"/>
      <c r="BE1" s="5130"/>
      <c r="BF1" s="5130"/>
      <c r="BG1" s="5130"/>
      <c r="BH1" s="5130"/>
      <c r="BI1" s="5130"/>
      <c r="BJ1" s="5130"/>
      <c r="BK1" s="5130"/>
      <c r="BL1" s="5130"/>
      <c r="BM1" s="5130"/>
      <c r="BN1" s="5130"/>
      <c r="BO1" s="5130"/>
      <c r="BP1" s="5130"/>
      <c r="BQ1" s="5130"/>
      <c r="BR1" s="5130"/>
      <c r="BS1" s="5130"/>
      <c r="BT1" s="5130"/>
      <c r="BU1" s="5130"/>
      <c r="BV1" s="5130"/>
      <c r="BW1" s="5130"/>
      <c r="BX1" s="5130"/>
      <c r="BY1" s="5130"/>
      <c r="BZ1" s="5130"/>
      <c r="CA1" s="5130"/>
      <c r="CB1" s="5130"/>
      <c r="CC1" s="5130"/>
      <c r="CD1" s="5130"/>
      <c r="CE1" s="5130"/>
      <c r="CF1" s="5130"/>
      <c r="CG1" s="5130"/>
      <c r="CH1" s="5130"/>
      <c r="CI1" s="5130"/>
      <c r="CJ1" s="5130"/>
      <c r="CK1" s="5130"/>
      <c r="CL1" s="5130"/>
      <c r="CM1" s="5130"/>
      <c r="CN1" s="5130"/>
      <c r="CO1" s="5130"/>
      <c r="CP1" s="5130"/>
      <c r="CQ1" s="5130"/>
      <c r="CR1" s="5130"/>
      <c r="CS1" s="5130"/>
      <c r="CT1" s="5130"/>
      <c r="CU1" s="5130"/>
      <c r="CV1" s="5130"/>
    </row>
    <row r="2" spans="1:101" ht="18.75" x14ac:dyDescent="0.25">
      <c r="A2" s="5130"/>
      <c r="B2" s="5130"/>
      <c r="C2" s="5130"/>
      <c r="D2" s="5130"/>
      <c r="E2" s="7737" t="s">
        <v>1766</v>
      </c>
      <c r="F2" s="7737"/>
      <c r="G2" s="7737"/>
      <c r="H2" s="7737"/>
      <c r="I2" s="7737"/>
      <c r="J2" s="7737"/>
      <c r="K2" s="7737"/>
      <c r="L2" s="7737"/>
      <c r="M2" s="7737"/>
      <c r="N2" s="7737"/>
      <c r="O2" s="7737"/>
      <c r="P2" s="7737"/>
      <c r="Q2" s="7737"/>
      <c r="R2" s="7737"/>
      <c r="S2" s="7737"/>
      <c r="T2" s="7737"/>
      <c r="U2" s="7737"/>
      <c r="V2" s="7737"/>
      <c r="W2" s="7737"/>
      <c r="X2" s="7737"/>
      <c r="Y2" s="7737"/>
      <c r="Z2" s="7737"/>
      <c r="AA2" s="7737"/>
      <c r="AB2" s="7737"/>
      <c r="AC2" s="7737"/>
      <c r="AD2" s="7737"/>
      <c r="AE2" s="7737"/>
      <c r="AF2" s="7737"/>
      <c r="AG2" s="7737"/>
      <c r="AH2" s="7737"/>
      <c r="AI2" s="7737"/>
      <c r="AJ2" s="7737"/>
      <c r="AK2" s="7737"/>
      <c r="AL2" s="7737"/>
      <c r="AM2" s="7737"/>
      <c r="AN2" s="7737"/>
      <c r="AO2" s="7737"/>
      <c r="AP2" s="7737"/>
      <c r="AQ2" s="7737"/>
      <c r="AR2" s="7737"/>
      <c r="AS2" s="7737"/>
      <c r="AT2" s="7737"/>
      <c r="AU2" s="7737"/>
      <c r="AV2" s="7737"/>
      <c r="AW2" s="7737"/>
      <c r="AX2" s="7737"/>
      <c r="AY2" s="7737"/>
      <c r="AZ2" s="7737"/>
      <c r="BA2" s="7737"/>
      <c r="BB2" s="7737"/>
      <c r="BC2" s="7737"/>
      <c r="BD2" s="7737"/>
      <c r="BE2" s="7737"/>
      <c r="BF2" s="7737"/>
      <c r="BG2" s="7737"/>
      <c r="BH2" s="7737"/>
      <c r="BI2" s="7737"/>
      <c r="BJ2" s="7737"/>
      <c r="BK2" s="7737"/>
      <c r="BL2" s="7737"/>
      <c r="BM2" s="7737"/>
      <c r="BN2" s="7737"/>
      <c r="BO2" s="7737"/>
      <c r="BP2" s="7737"/>
      <c r="BQ2" s="7737"/>
      <c r="BR2" s="7737"/>
      <c r="BS2" s="7737"/>
      <c r="BT2" s="7737"/>
      <c r="BU2" s="7737"/>
      <c r="BV2" s="7737"/>
      <c r="BW2" s="7737"/>
      <c r="BX2" s="7737"/>
      <c r="BY2" s="7737"/>
      <c r="BZ2" s="7737"/>
      <c r="CA2" s="7737"/>
      <c r="CB2" s="7737"/>
      <c r="CC2" s="7737"/>
      <c r="CD2" s="7737"/>
      <c r="CE2" s="7737"/>
      <c r="CF2" s="7737"/>
      <c r="CG2" s="7737"/>
      <c r="CH2" s="7737"/>
      <c r="CI2" s="7737"/>
      <c r="CJ2" s="7737"/>
      <c r="CK2" s="7737"/>
      <c r="CL2" s="7737"/>
      <c r="CM2" s="7737"/>
      <c r="CN2" s="7737"/>
      <c r="CO2" s="7737"/>
      <c r="CP2" s="7737"/>
      <c r="CQ2" s="7737"/>
      <c r="CR2" s="7737"/>
      <c r="CS2" s="7737"/>
      <c r="CT2" s="7737"/>
      <c r="CU2" s="7737"/>
      <c r="CV2" s="5171"/>
    </row>
    <row r="3" spans="1:101" ht="16.5" thickBot="1" x14ac:dyDescent="0.3">
      <c r="A3" s="5130"/>
      <c r="B3" s="5130"/>
      <c r="C3" s="5130"/>
      <c r="D3" s="5130"/>
      <c r="E3" s="5129"/>
      <c r="F3" s="5130"/>
      <c r="G3" s="5130"/>
      <c r="H3" s="5130"/>
      <c r="I3" s="5130"/>
      <c r="J3" s="5130"/>
      <c r="K3" s="5130"/>
      <c r="L3" s="5130"/>
      <c r="M3" s="5130"/>
      <c r="N3" s="5130"/>
      <c r="O3" s="5130"/>
      <c r="P3" s="5130"/>
      <c r="Q3" s="5130"/>
      <c r="R3" s="5130"/>
      <c r="S3" s="5130"/>
      <c r="T3" s="5130"/>
      <c r="U3" s="5130"/>
      <c r="V3" s="5130"/>
      <c r="W3" s="5130"/>
      <c r="X3" s="5130"/>
      <c r="Y3" s="5130"/>
      <c r="Z3" s="5130"/>
      <c r="AA3" s="5130"/>
      <c r="AB3" s="5130"/>
      <c r="AC3" s="5130"/>
      <c r="AD3" s="5130"/>
      <c r="AE3" s="5130"/>
      <c r="AF3" s="5130"/>
      <c r="AG3" s="5130"/>
      <c r="AH3" s="5130"/>
      <c r="AI3" s="5130"/>
      <c r="AJ3" s="5130"/>
      <c r="AK3" s="5130"/>
      <c r="AL3" s="5130"/>
      <c r="AM3" s="5130"/>
      <c r="AN3" s="5130"/>
      <c r="AO3" s="5130"/>
      <c r="AP3" s="5130"/>
      <c r="AQ3" s="5130"/>
      <c r="AR3" s="5130"/>
      <c r="AS3" s="5130"/>
      <c r="AT3" s="5130"/>
      <c r="AU3" s="5130"/>
      <c r="AV3" s="5130"/>
      <c r="AW3" s="5130"/>
      <c r="AX3" s="5130"/>
      <c r="AY3" s="5130"/>
      <c r="AZ3" s="5130"/>
      <c r="BA3" s="5130"/>
      <c r="BB3" s="5130"/>
      <c r="BC3" s="5130"/>
      <c r="BD3" s="5130"/>
      <c r="BE3" s="5130"/>
      <c r="BF3" s="5130"/>
      <c r="BG3" s="5130"/>
      <c r="BH3" s="5130"/>
      <c r="BI3" s="5130"/>
      <c r="BJ3" s="5130"/>
      <c r="BK3" s="5130"/>
      <c r="BL3" s="5130"/>
      <c r="BM3" s="5128"/>
      <c r="BN3" s="5128"/>
      <c r="BO3" s="5128"/>
      <c r="BP3" s="5128"/>
      <c r="BQ3" s="5128"/>
      <c r="BR3" s="5128"/>
      <c r="BS3" s="5130"/>
      <c r="BT3" s="5130"/>
      <c r="BU3" s="5130"/>
      <c r="BV3" s="5130"/>
      <c r="BW3" s="5130"/>
      <c r="BX3" s="5130"/>
      <c r="BY3" s="5130"/>
      <c r="BZ3" s="5130"/>
      <c r="CA3" s="5130"/>
      <c r="CB3" s="5130"/>
      <c r="CC3" s="5130"/>
      <c r="CD3" s="5130"/>
      <c r="CE3" s="5130"/>
      <c r="CF3" s="5130"/>
      <c r="CG3" s="5130"/>
      <c r="CH3" s="5130"/>
      <c r="CI3" s="5130"/>
      <c r="CJ3" s="5130"/>
      <c r="CK3" s="5130"/>
      <c r="CL3" s="5130"/>
      <c r="CM3" s="5130"/>
      <c r="CN3" s="5130"/>
      <c r="CO3" s="5130"/>
      <c r="CP3" s="5130"/>
      <c r="CQ3" s="5130"/>
      <c r="CR3" s="5130"/>
      <c r="CS3" s="5130"/>
      <c r="CT3" s="5130"/>
      <c r="CU3" s="5130"/>
      <c r="CV3" s="5127"/>
    </row>
    <row r="4" spans="1:101" ht="16.5" thickBot="1" x14ac:dyDescent="0.3">
      <c r="A4" s="5170"/>
      <c r="B4" s="5170"/>
      <c r="C4" s="5170"/>
      <c r="D4" s="5170"/>
      <c r="E4" s="5169"/>
      <c r="F4" s="7738" t="s">
        <v>639</v>
      </c>
      <c r="G4" s="7739"/>
      <c r="H4" s="7739"/>
      <c r="I4" s="7739"/>
      <c r="J4" s="7739"/>
      <c r="K4" s="7739"/>
      <c r="L4" s="7739"/>
      <c r="M4" s="7739"/>
      <c r="N4" s="7739"/>
      <c r="O4" s="7739"/>
      <c r="P4" s="7739"/>
      <c r="Q4" s="7739"/>
      <c r="R4" s="7739"/>
      <c r="S4" s="7739"/>
      <c r="T4" s="7739"/>
      <c r="U4" s="7739"/>
      <c r="V4" s="7739"/>
      <c r="W4" s="7739"/>
      <c r="X4" s="7740"/>
      <c r="Y4" s="7741" t="s">
        <v>640</v>
      </c>
      <c r="Z4" s="7742"/>
      <c r="AA4" s="7742"/>
      <c r="AB4" s="7743"/>
      <c r="AC4" s="7743"/>
      <c r="AD4" s="7743"/>
      <c r="AE4" s="7743"/>
      <c r="AF4" s="7743"/>
      <c r="AG4" s="7743"/>
      <c r="AH4" s="7743"/>
      <c r="AI4" s="7743"/>
      <c r="AJ4" s="7743"/>
      <c r="AK4" s="7743"/>
      <c r="AL4" s="7743"/>
      <c r="AM4" s="7743"/>
      <c r="AN4" s="7743"/>
      <c r="AO4" s="7743"/>
      <c r="AP4" s="7743"/>
      <c r="AQ4" s="7743"/>
      <c r="AR4" s="5168" t="s">
        <v>126</v>
      </c>
      <c r="AS4" s="5121"/>
      <c r="AT4" s="7744" t="s">
        <v>1750</v>
      </c>
      <c r="AU4" s="7745"/>
      <c r="AV4" s="7735" t="s">
        <v>1868</v>
      </c>
      <c r="AW4" s="7734"/>
      <c r="AX4" s="7731" t="s">
        <v>14</v>
      </c>
      <c r="AY4" s="7732"/>
      <c r="AZ4" s="7746" t="s">
        <v>1903</v>
      </c>
      <c r="BA4" s="7747"/>
      <c r="BB4" s="7748" t="s">
        <v>637</v>
      </c>
      <c r="BC4" s="7749"/>
      <c r="BD4" s="7733" t="s">
        <v>1937</v>
      </c>
      <c r="BE4" s="7734"/>
      <c r="BF4" s="7731" t="s">
        <v>17</v>
      </c>
      <c r="BG4" s="7732"/>
      <c r="BH4" s="7733" t="s">
        <v>1961</v>
      </c>
      <c r="BI4" s="7734"/>
      <c r="BJ4" s="7731" t="s">
        <v>18</v>
      </c>
      <c r="BK4" s="7732"/>
      <c r="BL4" s="7735" t="s">
        <v>1983</v>
      </c>
      <c r="BM4" s="7736"/>
      <c r="BN4" s="7729" t="s">
        <v>839</v>
      </c>
      <c r="BO4" s="7729"/>
      <c r="BP4" s="7730" t="s">
        <v>657</v>
      </c>
      <c r="BQ4" s="7730"/>
      <c r="BR4" s="7733" t="s">
        <v>2002</v>
      </c>
      <c r="BS4" s="7734"/>
      <c r="BT4" s="7731" t="s">
        <v>24</v>
      </c>
      <c r="BU4" s="7732"/>
      <c r="BV4" s="7733" t="s">
        <v>2018</v>
      </c>
      <c r="BW4" s="7734"/>
      <c r="BX4" s="7731" t="s">
        <v>27</v>
      </c>
      <c r="BY4" s="7732"/>
      <c r="BZ4" s="7735" t="s">
        <v>2033</v>
      </c>
      <c r="CA4" s="7736"/>
      <c r="CB4" s="7729" t="s">
        <v>1682</v>
      </c>
      <c r="CC4" s="7729"/>
      <c r="CD4" s="7731" t="s">
        <v>1683</v>
      </c>
      <c r="CE4" s="7732"/>
      <c r="CF4" s="7733" t="s">
        <v>2137</v>
      </c>
      <c r="CG4" s="7734"/>
      <c r="CH4" s="7731" t="s">
        <v>28</v>
      </c>
      <c r="CI4" s="7732"/>
      <c r="CJ4" s="7733" t="s">
        <v>2151</v>
      </c>
      <c r="CK4" s="7734"/>
      <c r="CL4" s="7731" t="s">
        <v>30</v>
      </c>
      <c r="CM4" s="7732"/>
      <c r="CN4" s="7733" t="s">
        <v>2163</v>
      </c>
      <c r="CO4" s="7734"/>
      <c r="CP4" s="7729" t="s">
        <v>1727</v>
      </c>
      <c r="CQ4" s="7729"/>
      <c r="CR4" s="7730" t="s">
        <v>671</v>
      </c>
      <c r="CS4" s="7730"/>
      <c r="CT4" s="7731" t="s">
        <v>1765</v>
      </c>
      <c r="CU4" s="7732"/>
      <c r="CV4" s="5127"/>
    </row>
    <row r="5" spans="1:101" ht="16.5" thickBot="1" x14ac:dyDescent="0.3">
      <c r="A5" s="5170"/>
      <c r="B5" s="5170"/>
      <c r="C5" s="5170"/>
      <c r="D5" s="5170" t="s">
        <v>1414</v>
      </c>
      <c r="E5" s="5126"/>
      <c r="F5" s="5125" t="s">
        <v>1764</v>
      </c>
      <c r="G5" s="5124" t="s">
        <v>1828</v>
      </c>
      <c r="H5" s="5124" t="s">
        <v>1829</v>
      </c>
      <c r="I5" s="5167" t="s">
        <v>637</v>
      </c>
      <c r="J5" s="5123" t="s">
        <v>1830</v>
      </c>
      <c r="K5" s="5123" t="s">
        <v>1831</v>
      </c>
      <c r="L5" s="5123" t="s">
        <v>1832</v>
      </c>
      <c r="M5" s="5167" t="s">
        <v>660</v>
      </c>
      <c r="N5" s="5166" t="s">
        <v>512</v>
      </c>
      <c r="O5" s="5123" t="s">
        <v>1833</v>
      </c>
      <c r="P5" s="5123" t="s">
        <v>1834</v>
      </c>
      <c r="Q5" s="5123" t="s">
        <v>1835</v>
      </c>
      <c r="R5" s="5167" t="s">
        <v>662</v>
      </c>
      <c r="S5" s="5165" t="s">
        <v>1836</v>
      </c>
      <c r="T5" s="5165" t="s">
        <v>1837</v>
      </c>
      <c r="U5" s="5165" t="s">
        <v>1838</v>
      </c>
      <c r="V5" s="5167" t="s">
        <v>663</v>
      </c>
      <c r="W5" s="5167" t="s">
        <v>550</v>
      </c>
      <c r="X5" s="5164" t="s">
        <v>1765</v>
      </c>
      <c r="Y5" s="5151" t="s">
        <v>1764</v>
      </c>
      <c r="Z5" s="5122" t="s">
        <v>1828</v>
      </c>
      <c r="AA5" s="5122" t="s">
        <v>1829</v>
      </c>
      <c r="AB5" s="5122" t="s">
        <v>637</v>
      </c>
      <c r="AC5" s="5122" t="s">
        <v>1830</v>
      </c>
      <c r="AD5" s="5122" t="s">
        <v>1831</v>
      </c>
      <c r="AE5" s="5163" t="s">
        <v>1832</v>
      </c>
      <c r="AF5" s="5162" t="s">
        <v>660</v>
      </c>
      <c r="AG5" s="5166" t="s">
        <v>512</v>
      </c>
      <c r="AH5" s="5163" t="s">
        <v>1833</v>
      </c>
      <c r="AI5" s="5163" t="s">
        <v>1834</v>
      </c>
      <c r="AJ5" s="5163" t="s">
        <v>1835</v>
      </c>
      <c r="AK5" s="5162" t="s">
        <v>662</v>
      </c>
      <c r="AL5" s="5163" t="s">
        <v>1836</v>
      </c>
      <c r="AM5" s="5163" t="s">
        <v>1837</v>
      </c>
      <c r="AN5" s="5161" t="s">
        <v>1838</v>
      </c>
      <c r="AO5" s="5162" t="s">
        <v>663</v>
      </c>
      <c r="AP5" s="5166" t="s">
        <v>550</v>
      </c>
      <c r="AQ5" s="5148" t="s">
        <v>1765</v>
      </c>
      <c r="AR5" s="5160" t="s">
        <v>1765</v>
      </c>
      <c r="AS5" s="5159"/>
      <c r="AT5" s="3666" t="s">
        <v>173</v>
      </c>
      <c r="AU5" s="2876" t="s">
        <v>174</v>
      </c>
      <c r="AV5" s="3667" t="s">
        <v>173</v>
      </c>
      <c r="AW5" s="3668" t="s">
        <v>174</v>
      </c>
      <c r="AX5" s="3669" t="s">
        <v>173</v>
      </c>
      <c r="AY5" s="3670" t="s">
        <v>174</v>
      </c>
      <c r="AZ5" s="3671" t="s">
        <v>173</v>
      </c>
      <c r="BA5" s="3672" t="s">
        <v>174</v>
      </c>
      <c r="BB5" s="3673" t="s">
        <v>173</v>
      </c>
      <c r="BC5" s="3674" t="s">
        <v>174</v>
      </c>
      <c r="BD5" s="3671" t="s">
        <v>173</v>
      </c>
      <c r="BE5" s="3668" t="s">
        <v>174</v>
      </c>
      <c r="BF5" s="3669" t="s">
        <v>173</v>
      </c>
      <c r="BG5" s="3670" t="s">
        <v>174</v>
      </c>
      <c r="BH5" s="3671" t="s">
        <v>173</v>
      </c>
      <c r="BI5" s="3668" t="s">
        <v>174</v>
      </c>
      <c r="BJ5" s="3669" t="s">
        <v>173</v>
      </c>
      <c r="BK5" s="3670" t="s">
        <v>174</v>
      </c>
      <c r="BL5" s="3676" t="s">
        <v>173</v>
      </c>
      <c r="BM5" s="806" t="s">
        <v>174</v>
      </c>
      <c r="BN5" s="3677" t="s">
        <v>173</v>
      </c>
      <c r="BO5" s="3677" t="s">
        <v>174</v>
      </c>
      <c r="BP5" s="3678" t="s">
        <v>173</v>
      </c>
      <c r="BQ5" s="3678" t="s">
        <v>174</v>
      </c>
      <c r="BR5" s="3675" t="s">
        <v>173</v>
      </c>
      <c r="BS5" s="3668" t="s">
        <v>174</v>
      </c>
      <c r="BT5" s="3669" t="s">
        <v>173</v>
      </c>
      <c r="BU5" s="3670" t="s">
        <v>174</v>
      </c>
      <c r="BV5" s="3675" t="s">
        <v>173</v>
      </c>
      <c r="BW5" s="3668" t="s">
        <v>174</v>
      </c>
      <c r="BX5" s="3669" t="s">
        <v>173</v>
      </c>
      <c r="BY5" s="3670" t="s">
        <v>174</v>
      </c>
      <c r="BZ5" s="3676" t="s">
        <v>173</v>
      </c>
      <c r="CA5" s="806" t="s">
        <v>174</v>
      </c>
      <c r="CB5" s="3677" t="s">
        <v>173</v>
      </c>
      <c r="CC5" s="3677" t="s">
        <v>174</v>
      </c>
      <c r="CD5" s="3669" t="s">
        <v>173</v>
      </c>
      <c r="CE5" s="3670" t="s">
        <v>174</v>
      </c>
      <c r="CF5" s="3675" t="s">
        <v>173</v>
      </c>
      <c r="CG5" s="3668" t="s">
        <v>174</v>
      </c>
      <c r="CH5" s="3669" t="s">
        <v>173</v>
      </c>
      <c r="CI5" s="3670" t="s">
        <v>174</v>
      </c>
      <c r="CJ5" s="3675" t="s">
        <v>173</v>
      </c>
      <c r="CK5" s="3668" t="s">
        <v>174</v>
      </c>
      <c r="CL5" s="3669" t="s">
        <v>173</v>
      </c>
      <c r="CM5" s="3670" t="s">
        <v>174</v>
      </c>
      <c r="CN5" s="3675" t="s">
        <v>173</v>
      </c>
      <c r="CO5" s="3668" t="s">
        <v>174</v>
      </c>
      <c r="CP5" s="3677" t="s">
        <v>173</v>
      </c>
      <c r="CQ5" s="3677" t="s">
        <v>174</v>
      </c>
      <c r="CR5" s="3678" t="s">
        <v>173</v>
      </c>
      <c r="CS5" s="3678" t="s">
        <v>174</v>
      </c>
      <c r="CT5" s="3669" t="s">
        <v>173</v>
      </c>
      <c r="CU5" s="3670" t="s">
        <v>174</v>
      </c>
      <c r="CV5" s="5127"/>
    </row>
    <row r="6" spans="1:101" x14ac:dyDescent="0.25">
      <c r="A6" s="5170"/>
      <c r="B6" s="5170"/>
      <c r="C6" s="5170"/>
      <c r="D6" s="5170"/>
      <c r="E6" s="5158" t="s">
        <v>1419</v>
      </c>
      <c r="F6" s="5150">
        <v>10690</v>
      </c>
      <c r="G6" s="5108">
        <v>7384</v>
      </c>
      <c r="H6" s="5108">
        <v>8316</v>
      </c>
      <c r="I6" s="5157">
        <f t="shared" ref="I6:I69" si="0">SUM(F6:H6)</f>
        <v>26390</v>
      </c>
      <c r="J6" s="5108">
        <v>6985</v>
      </c>
      <c r="K6" s="5108">
        <v>7915</v>
      </c>
      <c r="L6" s="5108">
        <v>2902.5219999999999</v>
      </c>
      <c r="M6" s="5157">
        <f t="shared" ref="M6:M69" si="1">SUM(J6:L6)</f>
        <v>17802.522000000001</v>
      </c>
      <c r="N6" s="5156">
        <f t="shared" ref="N6:N69" si="2">+I6+M6</f>
        <v>44192.521999999997</v>
      </c>
      <c r="O6" s="5104">
        <v>9369.2479999999996</v>
      </c>
      <c r="P6" s="5104">
        <v>99.358000000000004</v>
      </c>
      <c r="Q6" s="5108">
        <v>6465</v>
      </c>
      <c r="R6" s="5157">
        <f t="shared" ref="R6:R69" si="3">SUM(O6:Q6)</f>
        <v>15933.606</v>
      </c>
      <c r="S6" s="5108">
        <v>4052.538</v>
      </c>
      <c r="T6" s="5108">
        <v>10944.178</v>
      </c>
      <c r="U6" s="5155">
        <v>8230</v>
      </c>
      <c r="V6" s="5157">
        <f t="shared" ref="V6:V69" si="4">SUM(S6:U6)</f>
        <v>23226.716</v>
      </c>
      <c r="W6" s="5156">
        <f t="shared" ref="W6:W69" si="5">+R6+V6</f>
        <v>39160.322</v>
      </c>
      <c r="X6" s="5120">
        <f t="shared" ref="X6:X69" si="6">+F6+G6+H6+J6+K6+L6+O6+P6+Q6+S6+T6+U6</f>
        <v>83352.843999999997</v>
      </c>
      <c r="Y6" s="5119">
        <v>0</v>
      </c>
      <c r="Z6" s="5108">
        <v>0</v>
      </c>
      <c r="AA6" s="5108">
        <v>1996</v>
      </c>
      <c r="AB6" s="5157">
        <f t="shared" ref="AB6:AB69" si="7">+Y6+Z6+AA6</f>
        <v>1996</v>
      </c>
      <c r="AC6" s="5108">
        <v>0</v>
      </c>
      <c r="AD6" s="5108">
        <v>0</v>
      </c>
      <c r="AE6" s="5108">
        <v>0</v>
      </c>
      <c r="AF6" s="5118">
        <f t="shared" ref="AF6:AF69" si="8">SUM(AC6:AE6)</f>
        <v>0</v>
      </c>
      <c r="AG6" s="5156">
        <f t="shared" ref="AG6:AG69" si="9">+AB6+AF6</f>
        <v>1996</v>
      </c>
      <c r="AH6" s="5104">
        <v>0</v>
      </c>
      <c r="AI6" s="5104">
        <v>0</v>
      </c>
      <c r="AJ6" s="5104">
        <v>0</v>
      </c>
      <c r="AK6" s="5157">
        <f t="shared" ref="AK6:AK69" si="10">SUM(AH6:AJ6)</f>
        <v>0</v>
      </c>
      <c r="AL6" s="5108">
        <v>0</v>
      </c>
      <c r="AM6" s="5108">
        <v>143.75200000000001</v>
      </c>
      <c r="AN6" s="5155">
        <v>0</v>
      </c>
      <c r="AO6" s="5157">
        <f t="shared" ref="AO6:AO69" si="11">+AL6+AM6+AN6</f>
        <v>143.75200000000001</v>
      </c>
      <c r="AP6" s="5156">
        <f t="shared" ref="AP6:AP69" si="12">+AK6+AO6</f>
        <v>143.75200000000001</v>
      </c>
      <c r="AQ6" s="5117">
        <f t="shared" ref="AQ6:AQ69" si="13">SUM(Y6:AA6,AC6:AE6,AH6:AJ6,AL6:AN6)</f>
        <v>2139.752</v>
      </c>
      <c r="AR6" s="5107">
        <f t="shared" ref="AR6:AR69" si="14">+X6+AQ6</f>
        <v>85492.59599999999</v>
      </c>
      <c r="AS6" s="5154"/>
      <c r="AT6" s="5110"/>
      <c r="AU6" s="5116">
        <f t="shared" ref="AU6:AU69" si="15">+F6+Y6</f>
        <v>10690</v>
      </c>
      <c r="AV6" s="5115"/>
      <c r="AW6" s="5114">
        <f t="shared" ref="AW6:AW69" si="16">+G6+Z6</f>
        <v>7384</v>
      </c>
      <c r="AX6" s="5113"/>
      <c r="AY6" s="5113">
        <f t="shared" ref="AY6:AY69" si="17">AU6+AW6</f>
        <v>18074</v>
      </c>
      <c r="AZ6" s="5113"/>
      <c r="BA6" s="5114">
        <f t="shared" ref="BA6:BA69" si="18">+H6+AA6</f>
        <v>10312</v>
      </c>
      <c r="BB6" s="5112"/>
      <c r="BC6" s="5112">
        <f t="shared" ref="BC6:BC69" si="19">AU6+AW6+BA6</f>
        <v>28386</v>
      </c>
      <c r="BD6" s="5113"/>
      <c r="BE6" s="5114">
        <f t="shared" ref="BE6:BE69" si="20">+J6+AC6</f>
        <v>6985</v>
      </c>
      <c r="BF6" s="5111"/>
      <c r="BG6" s="5111">
        <f t="shared" ref="BG6:BG69" si="21">+BC6+BE6</f>
        <v>35371</v>
      </c>
      <c r="BH6" s="5113"/>
      <c r="BI6" s="5114">
        <f t="shared" ref="BI6:BI69" si="22">K6+AD6</f>
        <v>7915</v>
      </c>
      <c r="BJ6" s="5111"/>
      <c r="BK6" s="5111">
        <f t="shared" ref="BK6:BK69" si="23">+BG6+BI6</f>
        <v>43286</v>
      </c>
      <c r="BL6" s="5113"/>
      <c r="BM6" s="5114">
        <f t="shared" ref="BM6:BM69" si="24">+L6+AE6</f>
        <v>2902.5219999999999</v>
      </c>
      <c r="BN6" s="5113"/>
      <c r="BO6" s="5112">
        <f t="shared" ref="BO6:BO69" si="25">BE6+BI6+BM6</f>
        <v>17802.522000000001</v>
      </c>
      <c r="BP6" s="5113"/>
      <c r="BQ6" s="5136">
        <f t="shared" ref="BQ6:BQ69" si="26">BC6+BO6</f>
        <v>46188.521999999997</v>
      </c>
      <c r="BR6" s="5113"/>
      <c r="BS6" s="5114">
        <f t="shared" ref="BS6:BS69" si="27">+O6+AH6</f>
        <v>9369.2479999999996</v>
      </c>
      <c r="BT6" s="5113"/>
      <c r="BU6" s="5113">
        <f t="shared" ref="BU6:BU69" si="28">BQ6+BS6</f>
        <v>55557.77</v>
      </c>
      <c r="BV6" s="5113"/>
      <c r="BW6" s="5114">
        <f t="shared" ref="BW6:BW69" si="29">+P6+AI6</f>
        <v>99.358000000000004</v>
      </c>
      <c r="BX6" s="5113"/>
      <c r="BY6" s="5113">
        <f t="shared" ref="BY6:BY69" si="30">BU6+BW6</f>
        <v>55657.127999999997</v>
      </c>
      <c r="BZ6" s="5113"/>
      <c r="CA6" s="5114">
        <f t="shared" ref="CA6:CA69" si="31">+Q6+AJ6</f>
        <v>6465</v>
      </c>
      <c r="CB6" s="5113"/>
      <c r="CC6" s="5112">
        <f t="shared" ref="CC6:CC69" si="32">BS6+BW6+CA6</f>
        <v>15933.606</v>
      </c>
      <c r="CD6" s="5113"/>
      <c r="CE6" s="5113">
        <f t="shared" ref="CE6:CE69" si="33">BY6+CA6</f>
        <v>62122.127999999997</v>
      </c>
      <c r="CF6" s="5113"/>
      <c r="CG6" s="5114">
        <f t="shared" ref="CG6:CG69" si="34">+S6+AL6</f>
        <v>4052.538</v>
      </c>
      <c r="CH6" s="5113"/>
      <c r="CI6" s="5113">
        <f t="shared" ref="CI6:CI69" si="35">CG6+CE6</f>
        <v>66174.665999999997</v>
      </c>
      <c r="CJ6" s="5113"/>
      <c r="CK6" s="5114">
        <f t="shared" ref="CK6:CK69" si="36">+T6+AM6</f>
        <v>11087.93</v>
      </c>
      <c r="CL6" s="5113"/>
      <c r="CM6" s="5113">
        <f t="shared" ref="CM6:CM69" si="37">CI6+CK6</f>
        <v>77262.59599999999</v>
      </c>
      <c r="CN6" s="5113"/>
      <c r="CO6" s="5114">
        <f t="shared" ref="CO6:CO69" si="38">+U6+AN6</f>
        <v>8230</v>
      </c>
      <c r="CP6" s="5113"/>
      <c r="CQ6" s="5112">
        <f t="shared" ref="CQ6:CQ69" si="39">CG6+CK6+CO6</f>
        <v>23370.468000000001</v>
      </c>
      <c r="CR6" s="5113"/>
      <c r="CS6" s="5136">
        <f t="shared" ref="CS6:CS69" si="40">CC6+CQ6</f>
        <v>39304.074000000001</v>
      </c>
      <c r="CT6" s="5111"/>
      <c r="CU6" s="5139">
        <f t="shared" ref="CU6:CU69" si="41">SUM(AU6,AW6,BA6,BE6,BI6,BM6,BS6,BW6,CA6,CG6,CK6,CO6)</f>
        <v>85492.59599999999</v>
      </c>
      <c r="CV6" s="5138"/>
      <c r="CW6" s="5147"/>
    </row>
    <row r="7" spans="1:101" x14ac:dyDescent="0.25">
      <c r="A7" s="5170"/>
      <c r="B7" s="5170"/>
      <c r="C7" s="5170"/>
      <c r="D7" s="5170"/>
      <c r="E7" s="5158" t="s">
        <v>1480</v>
      </c>
      <c r="F7" s="5150">
        <v>975</v>
      </c>
      <c r="G7" s="5108">
        <v>1008</v>
      </c>
      <c r="H7" s="5108"/>
      <c r="I7" s="5157">
        <f t="shared" si="0"/>
        <v>1983</v>
      </c>
      <c r="J7" s="5108">
        <v>734</v>
      </c>
      <c r="K7" s="5108">
        <v>731</v>
      </c>
      <c r="L7" s="5108">
        <v>2682.6660000000002</v>
      </c>
      <c r="M7" s="5157">
        <f t="shared" si="1"/>
        <v>4147.6660000000002</v>
      </c>
      <c r="N7" s="5156">
        <f t="shared" si="2"/>
        <v>6130.6660000000002</v>
      </c>
      <c r="O7" s="5104">
        <v>507.36</v>
      </c>
      <c r="P7" s="5104"/>
      <c r="Q7" s="5108">
        <v>746</v>
      </c>
      <c r="R7" s="5157">
        <f t="shared" si="3"/>
        <v>1253.3600000000001</v>
      </c>
      <c r="S7" s="5108">
        <v>1088.71</v>
      </c>
      <c r="T7" s="5108"/>
      <c r="U7" s="5155"/>
      <c r="V7" s="5157">
        <f t="shared" si="4"/>
        <v>1088.71</v>
      </c>
      <c r="W7" s="5156">
        <f t="shared" si="5"/>
        <v>2342.0700000000002</v>
      </c>
      <c r="X7" s="5120">
        <f t="shared" si="6"/>
        <v>8472.7360000000008</v>
      </c>
      <c r="Y7" s="5119">
        <v>0</v>
      </c>
      <c r="Z7" s="5108">
        <v>0</v>
      </c>
      <c r="AA7" s="5108"/>
      <c r="AB7" s="5157">
        <f t="shared" si="7"/>
        <v>0</v>
      </c>
      <c r="AC7" s="5108">
        <v>0</v>
      </c>
      <c r="AD7" s="5108">
        <v>0</v>
      </c>
      <c r="AE7" s="5108">
        <v>0</v>
      </c>
      <c r="AF7" s="5118">
        <f t="shared" si="8"/>
        <v>0</v>
      </c>
      <c r="AG7" s="5156">
        <f t="shared" si="9"/>
        <v>0</v>
      </c>
      <c r="AH7" s="5104">
        <v>0</v>
      </c>
      <c r="AI7" s="5104"/>
      <c r="AJ7" s="5104">
        <v>0</v>
      </c>
      <c r="AK7" s="5157">
        <f t="shared" si="10"/>
        <v>0</v>
      </c>
      <c r="AL7" s="5108">
        <v>0</v>
      </c>
      <c r="AM7" s="5108"/>
      <c r="AN7" s="5155"/>
      <c r="AO7" s="5157">
        <f t="shared" si="11"/>
        <v>0</v>
      </c>
      <c r="AP7" s="5156">
        <f t="shared" si="12"/>
        <v>0</v>
      </c>
      <c r="AQ7" s="5117">
        <f t="shared" si="13"/>
        <v>0</v>
      </c>
      <c r="AR7" s="5107">
        <f t="shared" si="14"/>
        <v>8472.7360000000008</v>
      </c>
      <c r="AS7" s="5154"/>
      <c r="AT7" s="5110"/>
      <c r="AU7" s="5116">
        <f t="shared" si="15"/>
        <v>975</v>
      </c>
      <c r="AV7" s="5115"/>
      <c r="AW7" s="5114">
        <f t="shared" si="16"/>
        <v>1008</v>
      </c>
      <c r="AX7" s="5113"/>
      <c r="AY7" s="5113">
        <f t="shared" si="17"/>
        <v>1983</v>
      </c>
      <c r="AZ7" s="5113"/>
      <c r="BA7" s="5114">
        <f t="shared" si="18"/>
        <v>0</v>
      </c>
      <c r="BB7" s="5112"/>
      <c r="BC7" s="5112">
        <f t="shared" si="19"/>
        <v>1983</v>
      </c>
      <c r="BD7" s="5113"/>
      <c r="BE7" s="5114">
        <f t="shared" si="20"/>
        <v>734</v>
      </c>
      <c r="BF7" s="5111"/>
      <c r="BG7" s="5111">
        <f t="shared" si="21"/>
        <v>2717</v>
      </c>
      <c r="BH7" s="5113"/>
      <c r="BI7" s="5114">
        <f t="shared" si="22"/>
        <v>731</v>
      </c>
      <c r="BJ7" s="5111"/>
      <c r="BK7" s="5111">
        <f t="shared" si="23"/>
        <v>3448</v>
      </c>
      <c r="BL7" s="5113"/>
      <c r="BM7" s="5114">
        <f t="shared" si="24"/>
        <v>2682.6660000000002</v>
      </c>
      <c r="BN7" s="5113"/>
      <c r="BO7" s="5112">
        <f t="shared" si="25"/>
        <v>4147.6660000000002</v>
      </c>
      <c r="BP7" s="5113"/>
      <c r="BQ7" s="5136">
        <f t="shared" si="26"/>
        <v>6130.6660000000002</v>
      </c>
      <c r="BR7" s="5113"/>
      <c r="BS7" s="5114">
        <f t="shared" si="27"/>
        <v>507.36</v>
      </c>
      <c r="BT7" s="5113"/>
      <c r="BU7" s="5113">
        <f t="shared" si="28"/>
        <v>6638.0259999999998</v>
      </c>
      <c r="BV7" s="5113"/>
      <c r="BW7" s="5114">
        <f t="shared" si="29"/>
        <v>0</v>
      </c>
      <c r="BX7" s="5113"/>
      <c r="BY7" s="5113">
        <f t="shared" si="30"/>
        <v>6638.0259999999998</v>
      </c>
      <c r="BZ7" s="5113"/>
      <c r="CA7" s="5114">
        <f t="shared" si="31"/>
        <v>746</v>
      </c>
      <c r="CB7" s="5113"/>
      <c r="CC7" s="5112">
        <f t="shared" si="32"/>
        <v>1253.3600000000001</v>
      </c>
      <c r="CD7" s="5113"/>
      <c r="CE7" s="5113">
        <f t="shared" si="33"/>
        <v>7384.0259999999998</v>
      </c>
      <c r="CF7" s="5113"/>
      <c r="CG7" s="5114">
        <f t="shared" si="34"/>
        <v>1088.71</v>
      </c>
      <c r="CH7" s="5113"/>
      <c r="CI7" s="5113">
        <f t="shared" si="35"/>
        <v>8472.7360000000008</v>
      </c>
      <c r="CJ7" s="5113"/>
      <c r="CK7" s="5114">
        <f t="shared" si="36"/>
        <v>0</v>
      </c>
      <c r="CL7" s="5113"/>
      <c r="CM7" s="5113">
        <f t="shared" si="37"/>
        <v>8472.7360000000008</v>
      </c>
      <c r="CN7" s="5113"/>
      <c r="CO7" s="5114">
        <f t="shared" si="38"/>
        <v>0</v>
      </c>
      <c r="CP7" s="5113"/>
      <c r="CQ7" s="5112">
        <f t="shared" si="39"/>
        <v>1088.71</v>
      </c>
      <c r="CR7" s="5113"/>
      <c r="CS7" s="5136">
        <f t="shared" si="40"/>
        <v>2342.0700000000002</v>
      </c>
      <c r="CT7" s="5111"/>
      <c r="CU7" s="5139">
        <f t="shared" si="41"/>
        <v>8472.7360000000008</v>
      </c>
      <c r="CV7" s="5138"/>
      <c r="CW7" s="5147"/>
    </row>
    <row r="8" spans="1:101" x14ac:dyDescent="0.25">
      <c r="A8" s="5170"/>
      <c r="B8" s="5170"/>
      <c r="C8" s="5170"/>
      <c r="D8" s="5170"/>
      <c r="E8" s="5158" t="s">
        <v>1423</v>
      </c>
      <c r="F8" s="5150"/>
      <c r="G8" s="5108">
        <v>1239</v>
      </c>
      <c r="H8" s="5108"/>
      <c r="I8" s="5157">
        <f t="shared" si="0"/>
        <v>1239</v>
      </c>
      <c r="J8" s="5108">
        <v>1974</v>
      </c>
      <c r="K8" s="5108">
        <v>1258</v>
      </c>
      <c r="L8" s="5108">
        <v>1549.5619999999999</v>
      </c>
      <c r="M8" s="5157">
        <f t="shared" si="1"/>
        <v>4781.5619999999999</v>
      </c>
      <c r="N8" s="5156">
        <f t="shared" si="2"/>
        <v>6020.5619999999999</v>
      </c>
      <c r="O8" s="5104">
        <v>1471.3440000000001</v>
      </c>
      <c r="P8" s="5104"/>
      <c r="Q8" s="5108">
        <v>989</v>
      </c>
      <c r="R8" s="5157">
        <f t="shared" si="3"/>
        <v>2460.3440000000001</v>
      </c>
      <c r="S8" s="5108"/>
      <c r="T8" s="5108">
        <v>780.06600000000003</v>
      </c>
      <c r="U8" s="5155"/>
      <c r="V8" s="5157">
        <f t="shared" si="4"/>
        <v>780.06600000000003</v>
      </c>
      <c r="W8" s="5156">
        <f t="shared" si="5"/>
        <v>3240.41</v>
      </c>
      <c r="X8" s="5120">
        <f t="shared" si="6"/>
        <v>9260.9719999999998</v>
      </c>
      <c r="Y8" s="5119"/>
      <c r="Z8" s="5108">
        <v>0</v>
      </c>
      <c r="AA8" s="5108"/>
      <c r="AB8" s="5157">
        <f t="shared" si="7"/>
        <v>0</v>
      </c>
      <c r="AC8" s="5108">
        <v>0</v>
      </c>
      <c r="AD8" s="5108">
        <v>0</v>
      </c>
      <c r="AE8" s="5108">
        <v>0</v>
      </c>
      <c r="AF8" s="5118">
        <f t="shared" si="8"/>
        <v>0</v>
      </c>
      <c r="AG8" s="5156">
        <f t="shared" si="9"/>
        <v>0</v>
      </c>
      <c r="AH8" s="5104">
        <v>0</v>
      </c>
      <c r="AI8" s="5104"/>
      <c r="AJ8" s="5104">
        <v>0</v>
      </c>
      <c r="AK8" s="5157">
        <f t="shared" si="10"/>
        <v>0</v>
      </c>
      <c r="AL8" s="5108"/>
      <c r="AM8" s="5108">
        <v>0</v>
      </c>
      <c r="AN8" s="5155"/>
      <c r="AO8" s="5157">
        <f t="shared" si="11"/>
        <v>0</v>
      </c>
      <c r="AP8" s="5156">
        <f t="shared" si="12"/>
        <v>0</v>
      </c>
      <c r="AQ8" s="5117">
        <f t="shared" si="13"/>
        <v>0</v>
      </c>
      <c r="AR8" s="5107">
        <f t="shared" si="14"/>
        <v>9260.9719999999998</v>
      </c>
      <c r="AS8" s="5154"/>
      <c r="AT8" s="5110"/>
      <c r="AU8" s="5116">
        <f t="shared" si="15"/>
        <v>0</v>
      </c>
      <c r="AV8" s="5115"/>
      <c r="AW8" s="5114">
        <f t="shared" si="16"/>
        <v>1239</v>
      </c>
      <c r="AX8" s="5113"/>
      <c r="AY8" s="5113">
        <f t="shared" si="17"/>
        <v>1239</v>
      </c>
      <c r="AZ8" s="5113"/>
      <c r="BA8" s="5114">
        <f t="shared" si="18"/>
        <v>0</v>
      </c>
      <c r="BB8" s="5112"/>
      <c r="BC8" s="5112">
        <f t="shared" si="19"/>
        <v>1239</v>
      </c>
      <c r="BD8" s="5113"/>
      <c r="BE8" s="5114">
        <f t="shared" si="20"/>
        <v>1974</v>
      </c>
      <c r="BF8" s="5111"/>
      <c r="BG8" s="5111">
        <f t="shared" si="21"/>
        <v>3213</v>
      </c>
      <c r="BH8" s="5113"/>
      <c r="BI8" s="5114">
        <f t="shared" si="22"/>
        <v>1258</v>
      </c>
      <c r="BJ8" s="5111"/>
      <c r="BK8" s="5111">
        <f t="shared" si="23"/>
        <v>4471</v>
      </c>
      <c r="BL8" s="5113"/>
      <c r="BM8" s="5114">
        <f t="shared" si="24"/>
        <v>1549.5619999999999</v>
      </c>
      <c r="BN8" s="5113"/>
      <c r="BO8" s="5112">
        <f t="shared" si="25"/>
        <v>4781.5619999999999</v>
      </c>
      <c r="BP8" s="5113"/>
      <c r="BQ8" s="5136">
        <f t="shared" si="26"/>
        <v>6020.5619999999999</v>
      </c>
      <c r="BR8" s="5113"/>
      <c r="BS8" s="5114">
        <f t="shared" si="27"/>
        <v>1471.3440000000001</v>
      </c>
      <c r="BT8" s="5113"/>
      <c r="BU8" s="5113">
        <f t="shared" si="28"/>
        <v>7491.9059999999999</v>
      </c>
      <c r="BV8" s="5113"/>
      <c r="BW8" s="5114">
        <f t="shared" si="29"/>
        <v>0</v>
      </c>
      <c r="BX8" s="5113"/>
      <c r="BY8" s="5113">
        <f t="shared" si="30"/>
        <v>7491.9059999999999</v>
      </c>
      <c r="BZ8" s="5113"/>
      <c r="CA8" s="5114">
        <f t="shared" si="31"/>
        <v>989</v>
      </c>
      <c r="CB8" s="5113"/>
      <c r="CC8" s="5112">
        <f t="shared" si="32"/>
        <v>2460.3440000000001</v>
      </c>
      <c r="CD8" s="5113"/>
      <c r="CE8" s="5113">
        <f t="shared" si="33"/>
        <v>8480.905999999999</v>
      </c>
      <c r="CF8" s="5113"/>
      <c r="CG8" s="5114">
        <f t="shared" si="34"/>
        <v>0</v>
      </c>
      <c r="CH8" s="5113"/>
      <c r="CI8" s="5113">
        <f t="shared" si="35"/>
        <v>8480.905999999999</v>
      </c>
      <c r="CJ8" s="5113"/>
      <c r="CK8" s="5114">
        <f t="shared" si="36"/>
        <v>780.06600000000003</v>
      </c>
      <c r="CL8" s="5113"/>
      <c r="CM8" s="5113">
        <f t="shared" si="37"/>
        <v>9260.9719999999998</v>
      </c>
      <c r="CN8" s="5113"/>
      <c r="CO8" s="5114">
        <f t="shared" si="38"/>
        <v>0</v>
      </c>
      <c r="CP8" s="5113"/>
      <c r="CQ8" s="5112">
        <f t="shared" si="39"/>
        <v>780.06600000000003</v>
      </c>
      <c r="CR8" s="5113"/>
      <c r="CS8" s="5136">
        <f t="shared" si="40"/>
        <v>3240.41</v>
      </c>
      <c r="CT8" s="5111"/>
      <c r="CU8" s="5139">
        <f t="shared" si="41"/>
        <v>9260.9719999999998</v>
      </c>
      <c r="CV8" s="5138"/>
      <c r="CW8" s="5147"/>
    </row>
    <row r="9" spans="1:101" x14ac:dyDescent="0.25">
      <c r="A9" s="5170"/>
      <c r="B9" s="5170"/>
      <c r="C9" s="5170"/>
      <c r="D9" s="5170"/>
      <c r="E9" s="5158" t="s">
        <v>1214</v>
      </c>
      <c r="F9" s="5150">
        <v>7008</v>
      </c>
      <c r="G9" s="5108">
        <v>2363</v>
      </c>
      <c r="H9" s="5108">
        <v>1459</v>
      </c>
      <c r="I9" s="5157">
        <f t="shared" si="0"/>
        <v>10830</v>
      </c>
      <c r="J9" s="5108">
        <v>4241</v>
      </c>
      <c r="K9" s="5108">
        <v>3091</v>
      </c>
      <c r="L9" s="5108">
        <v>9940.0280000000002</v>
      </c>
      <c r="M9" s="5157">
        <f t="shared" si="1"/>
        <v>17272.027999999998</v>
      </c>
      <c r="N9" s="5156">
        <f t="shared" si="2"/>
        <v>28102.027999999998</v>
      </c>
      <c r="O9" s="5104">
        <v>329.78399999999999</v>
      </c>
      <c r="P9" s="5104">
        <v>0</v>
      </c>
      <c r="Q9" s="5108">
        <v>6676</v>
      </c>
      <c r="R9" s="5157">
        <f t="shared" si="3"/>
        <v>7005.7839999999997</v>
      </c>
      <c r="S9" s="5108">
        <v>8240.3719999999994</v>
      </c>
      <c r="T9" s="5108">
        <v>5712.0280000000002</v>
      </c>
      <c r="U9" s="5155">
        <v>16386</v>
      </c>
      <c r="V9" s="5157">
        <f t="shared" si="4"/>
        <v>30338.400000000001</v>
      </c>
      <c r="W9" s="5156">
        <f t="shared" si="5"/>
        <v>37344.184000000001</v>
      </c>
      <c r="X9" s="5120">
        <f t="shared" si="6"/>
        <v>65446.211999999992</v>
      </c>
      <c r="Y9" s="5119">
        <v>2247</v>
      </c>
      <c r="Z9" s="5108">
        <v>945</v>
      </c>
      <c r="AA9" s="5108">
        <v>723</v>
      </c>
      <c r="AB9" s="5157">
        <f t="shared" si="7"/>
        <v>3915</v>
      </c>
      <c r="AC9" s="5108">
        <v>1353</v>
      </c>
      <c r="AD9" s="5108">
        <v>7429</v>
      </c>
      <c r="AE9" s="5108">
        <v>2179.5340000000001</v>
      </c>
      <c r="AF9" s="5118">
        <f t="shared" si="8"/>
        <v>10961.534</v>
      </c>
      <c r="AG9" s="5156">
        <f t="shared" si="9"/>
        <v>14876.534</v>
      </c>
      <c r="AH9" s="5104">
        <v>4972.1279999999997</v>
      </c>
      <c r="AI9" s="5104">
        <v>12.683999999999999</v>
      </c>
      <c r="AJ9" s="5104">
        <v>6550</v>
      </c>
      <c r="AK9" s="5157">
        <f t="shared" si="10"/>
        <v>11534.812</v>
      </c>
      <c r="AL9" s="5108">
        <v>8477.14</v>
      </c>
      <c r="AM9" s="5108">
        <v>12079.396000000001</v>
      </c>
      <c r="AN9" s="5155">
        <v>4469</v>
      </c>
      <c r="AO9" s="5157">
        <f t="shared" si="11"/>
        <v>25025.536</v>
      </c>
      <c r="AP9" s="5156">
        <f t="shared" si="12"/>
        <v>36560.347999999998</v>
      </c>
      <c r="AQ9" s="5117">
        <f t="shared" si="13"/>
        <v>51436.882000000005</v>
      </c>
      <c r="AR9" s="5107">
        <f t="shared" si="14"/>
        <v>116883.094</v>
      </c>
      <c r="AS9" s="5154"/>
      <c r="AT9" s="5110"/>
      <c r="AU9" s="5116">
        <f t="shared" si="15"/>
        <v>9255</v>
      </c>
      <c r="AV9" s="5115"/>
      <c r="AW9" s="5114">
        <f t="shared" si="16"/>
        <v>3308</v>
      </c>
      <c r="AX9" s="5113"/>
      <c r="AY9" s="5113">
        <f t="shared" si="17"/>
        <v>12563</v>
      </c>
      <c r="AZ9" s="5113"/>
      <c r="BA9" s="5114">
        <f t="shared" si="18"/>
        <v>2182</v>
      </c>
      <c r="BB9" s="5112"/>
      <c r="BC9" s="5112">
        <f t="shared" si="19"/>
        <v>14745</v>
      </c>
      <c r="BD9" s="5113"/>
      <c r="BE9" s="5114">
        <f t="shared" si="20"/>
        <v>5594</v>
      </c>
      <c r="BF9" s="5111"/>
      <c r="BG9" s="5111">
        <f t="shared" si="21"/>
        <v>20339</v>
      </c>
      <c r="BH9" s="5113"/>
      <c r="BI9" s="5114">
        <f t="shared" si="22"/>
        <v>10520</v>
      </c>
      <c r="BJ9" s="5111"/>
      <c r="BK9" s="5111">
        <f t="shared" si="23"/>
        <v>30859</v>
      </c>
      <c r="BL9" s="5113"/>
      <c r="BM9" s="5114">
        <f t="shared" si="24"/>
        <v>12119.562</v>
      </c>
      <c r="BN9" s="5113"/>
      <c r="BO9" s="5112">
        <f t="shared" si="25"/>
        <v>28233.561999999998</v>
      </c>
      <c r="BP9" s="5113"/>
      <c r="BQ9" s="5136">
        <f t="shared" si="26"/>
        <v>42978.561999999998</v>
      </c>
      <c r="BR9" s="5113"/>
      <c r="BS9" s="5114">
        <f t="shared" si="27"/>
        <v>5301.9119999999994</v>
      </c>
      <c r="BT9" s="5113"/>
      <c r="BU9" s="5113">
        <f t="shared" si="28"/>
        <v>48280.473999999995</v>
      </c>
      <c r="BV9" s="5113"/>
      <c r="BW9" s="5114">
        <f t="shared" si="29"/>
        <v>12.683999999999999</v>
      </c>
      <c r="BX9" s="5113"/>
      <c r="BY9" s="5113">
        <f t="shared" si="30"/>
        <v>48293.157999999996</v>
      </c>
      <c r="BZ9" s="5113"/>
      <c r="CA9" s="5114">
        <f t="shared" si="31"/>
        <v>13226</v>
      </c>
      <c r="CB9" s="5113"/>
      <c r="CC9" s="5112">
        <f t="shared" si="32"/>
        <v>18540.595999999998</v>
      </c>
      <c r="CD9" s="5113"/>
      <c r="CE9" s="5113">
        <f t="shared" si="33"/>
        <v>61519.157999999996</v>
      </c>
      <c r="CF9" s="5113"/>
      <c r="CG9" s="5114">
        <f t="shared" si="34"/>
        <v>16717.511999999999</v>
      </c>
      <c r="CH9" s="5113"/>
      <c r="CI9" s="5113">
        <f t="shared" si="35"/>
        <v>78236.67</v>
      </c>
      <c r="CJ9" s="5113"/>
      <c r="CK9" s="5114">
        <f t="shared" si="36"/>
        <v>17791.423999999999</v>
      </c>
      <c r="CL9" s="5113"/>
      <c r="CM9" s="5113">
        <f t="shared" si="37"/>
        <v>96028.093999999997</v>
      </c>
      <c r="CN9" s="5113"/>
      <c r="CO9" s="5114">
        <f t="shared" si="38"/>
        <v>20855</v>
      </c>
      <c r="CP9" s="5113"/>
      <c r="CQ9" s="5112">
        <f t="shared" si="39"/>
        <v>55363.936000000002</v>
      </c>
      <c r="CR9" s="5113"/>
      <c r="CS9" s="5136">
        <f t="shared" si="40"/>
        <v>73904.532000000007</v>
      </c>
      <c r="CT9" s="5111"/>
      <c r="CU9" s="5139">
        <f t="shared" si="41"/>
        <v>116883.094</v>
      </c>
      <c r="CV9" s="5138"/>
      <c r="CW9" s="5147"/>
    </row>
    <row r="10" spans="1:101" x14ac:dyDescent="0.25">
      <c r="A10" s="5170"/>
      <c r="B10" s="5170"/>
      <c r="C10" s="5170"/>
      <c r="D10" s="5170"/>
      <c r="E10" s="5158" t="s">
        <v>1421</v>
      </c>
      <c r="F10" s="5150">
        <v>1019</v>
      </c>
      <c r="G10" s="5108"/>
      <c r="H10" s="5108"/>
      <c r="I10" s="5157">
        <f t="shared" si="0"/>
        <v>1019</v>
      </c>
      <c r="J10" s="5108">
        <v>719</v>
      </c>
      <c r="K10" s="5108">
        <v>1526</v>
      </c>
      <c r="L10" s="5108"/>
      <c r="M10" s="5157">
        <f t="shared" si="1"/>
        <v>2245</v>
      </c>
      <c r="N10" s="5156">
        <f t="shared" si="2"/>
        <v>3264</v>
      </c>
      <c r="O10" s="5104">
        <v>925.93200000000002</v>
      </c>
      <c r="P10" s="5104"/>
      <c r="Q10" s="5108">
        <v>581</v>
      </c>
      <c r="R10" s="5157">
        <f t="shared" si="3"/>
        <v>1506.932</v>
      </c>
      <c r="S10" s="5108">
        <v>410.11599999999999</v>
      </c>
      <c r="T10" s="5108">
        <v>585.57799999999997</v>
      </c>
      <c r="U10" s="5155"/>
      <c r="V10" s="5157">
        <f t="shared" si="4"/>
        <v>995.69399999999996</v>
      </c>
      <c r="W10" s="5156">
        <f t="shared" si="5"/>
        <v>2502.6260000000002</v>
      </c>
      <c r="X10" s="5120">
        <f t="shared" si="6"/>
        <v>5766.6260000000002</v>
      </c>
      <c r="Y10" s="5119">
        <v>0</v>
      </c>
      <c r="Z10" s="5108"/>
      <c r="AA10" s="5108"/>
      <c r="AB10" s="5157">
        <f t="shared" si="7"/>
        <v>0</v>
      </c>
      <c r="AC10" s="5108">
        <v>0</v>
      </c>
      <c r="AD10" s="5108">
        <v>0</v>
      </c>
      <c r="AE10" s="5108"/>
      <c r="AF10" s="5118">
        <f t="shared" si="8"/>
        <v>0</v>
      </c>
      <c r="AG10" s="5156">
        <f t="shared" si="9"/>
        <v>0</v>
      </c>
      <c r="AH10" s="5104">
        <v>0</v>
      </c>
      <c r="AI10" s="5104"/>
      <c r="AJ10" s="5104">
        <v>0</v>
      </c>
      <c r="AK10" s="5157">
        <f t="shared" si="10"/>
        <v>0</v>
      </c>
      <c r="AL10" s="5108">
        <v>0</v>
      </c>
      <c r="AM10" s="5108">
        <v>0</v>
      </c>
      <c r="AN10" s="5155"/>
      <c r="AO10" s="5157">
        <f t="shared" si="11"/>
        <v>0</v>
      </c>
      <c r="AP10" s="5156">
        <f t="shared" si="12"/>
        <v>0</v>
      </c>
      <c r="AQ10" s="5117">
        <f t="shared" si="13"/>
        <v>0</v>
      </c>
      <c r="AR10" s="5107">
        <f t="shared" si="14"/>
        <v>5766.6260000000002</v>
      </c>
      <c r="AS10" s="5154"/>
      <c r="AT10" s="5110"/>
      <c r="AU10" s="5116">
        <f t="shared" si="15"/>
        <v>1019</v>
      </c>
      <c r="AV10" s="5115"/>
      <c r="AW10" s="5114">
        <f t="shared" si="16"/>
        <v>0</v>
      </c>
      <c r="AX10" s="5113"/>
      <c r="AY10" s="5113">
        <f t="shared" si="17"/>
        <v>1019</v>
      </c>
      <c r="AZ10" s="5113"/>
      <c r="BA10" s="5114">
        <f t="shared" si="18"/>
        <v>0</v>
      </c>
      <c r="BB10" s="5112"/>
      <c r="BC10" s="5112">
        <f t="shared" si="19"/>
        <v>1019</v>
      </c>
      <c r="BD10" s="5113"/>
      <c r="BE10" s="5114">
        <f t="shared" si="20"/>
        <v>719</v>
      </c>
      <c r="BF10" s="5111"/>
      <c r="BG10" s="5111">
        <f t="shared" si="21"/>
        <v>1738</v>
      </c>
      <c r="BH10" s="5113"/>
      <c r="BI10" s="5114">
        <f t="shared" si="22"/>
        <v>1526</v>
      </c>
      <c r="BJ10" s="5111"/>
      <c r="BK10" s="5111">
        <f t="shared" si="23"/>
        <v>3264</v>
      </c>
      <c r="BL10" s="5113"/>
      <c r="BM10" s="5114">
        <f t="shared" si="24"/>
        <v>0</v>
      </c>
      <c r="BN10" s="5113"/>
      <c r="BO10" s="5112">
        <f t="shared" si="25"/>
        <v>2245</v>
      </c>
      <c r="BP10" s="5113"/>
      <c r="BQ10" s="5136">
        <f t="shared" si="26"/>
        <v>3264</v>
      </c>
      <c r="BR10" s="5113"/>
      <c r="BS10" s="5114">
        <f t="shared" si="27"/>
        <v>925.93200000000002</v>
      </c>
      <c r="BT10" s="5113"/>
      <c r="BU10" s="5113">
        <f t="shared" si="28"/>
        <v>4189.9319999999998</v>
      </c>
      <c r="BV10" s="5113"/>
      <c r="BW10" s="5114">
        <f t="shared" si="29"/>
        <v>0</v>
      </c>
      <c r="BX10" s="5113"/>
      <c r="BY10" s="5113">
        <f t="shared" si="30"/>
        <v>4189.9319999999998</v>
      </c>
      <c r="BZ10" s="5113"/>
      <c r="CA10" s="5114">
        <f t="shared" si="31"/>
        <v>581</v>
      </c>
      <c r="CB10" s="5113"/>
      <c r="CC10" s="5112">
        <f t="shared" si="32"/>
        <v>1506.932</v>
      </c>
      <c r="CD10" s="5113"/>
      <c r="CE10" s="5113">
        <f t="shared" si="33"/>
        <v>4770.9319999999998</v>
      </c>
      <c r="CF10" s="5113"/>
      <c r="CG10" s="5114">
        <f t="shared" si="34"/>
        <v>410.11599999999999</v>
      </c>
      <c r="CH10" s="5113"/>
      <c r="CI10" s="5113">
        <f t="shared" si="35"/>
        <v>5181.0479999999998</v>
      </c>
      <c r="CJ10" s="5113"/>
      <c r="CK10" s="5114">
        <f t="shared" si="36"/>
        <v>585.57799999999997</v>
      </c>
      <c r="CL10" s="5113"/>
      <c r="CM10" s="5113">
        <f t="shared" si="37"/>
        <v>5766.6260000000002</v>
      </c>
      <c r="CN10" s="5113"/>
      <c r="CO10" s="5114">
        <f t="shared" si="38"/>
        <v>0</v>
      </c>
      <c r="CP10" s="5113"/>
      <c r="CQ10" s="5112">
        <f t="shared" si="39"/>
        <v>995.69399999999996</v>
      </c>
      <c r="CR10" s="5113"/>
      <c r="CS10" s="5136">
        <f t="shared" si="40"/>
        <v>2502.6260000000002</v>
      </c>
      <c r="CT10" s="5111"/>
      <c r="CU10" s="5139">
        <f t="shared" si="41"/>
        <v>5766.6260000000002</v>
      </c>
      <c r="CV10" s="5138"/>
      <c r="CW10" s="5147"/>
    </row>
    <row r="11" spans="1:101" x14ac:dyDescent="0.25">
      <c r="A11" s="5170"/>
      <c r="B11" s="5170"/>
      <c r="C11" s="5170"/>
      <c r="D11" s="5170"/>
      <c r="E11" s="5158" t="s">
        <v>1987</v>
      </c>
      <c r="F11" s="5150"/>
      <c r="G11" s="5108"/>
      <c r="H11" s="5108"/>
      <c r="I11" s="5157">
        <f t="shared" si="0"/>
        <v>0</v>
      </c>
      <c r="J11" s="5108"/>
      <c r="K11" s="5108"/>
      <c r="L11" s="5108">
        <v>1777.874</v>
      </c>
      <c r="M11" s="5157">
        <f t="shared" si="1"/>
        <v>1777.874</v>
      </c>
      <c r="N11" s="5156">
        <f t="shared" si="2"/>
        <v>1777.874</v>
      </c>
      <c r="O11" s="5104"/>
      <c r="P11" s="5104"/>
      <c r="Q11" s="5108"/>
      <c r="R11" s="5157">
        <f t="shared" si="3"/>
        <v>0</v>
      </c>
      <c r="S11" s="5108">
        <v>708.19</v>
      </c>
      <c r="T11" s="5108"/>
      <c r="U11" s="5155"/>
      <c r="V11" s="5157">
        <f t="shared" si="4"/>
        <v>708.19</v>
      </c>
      <c r="W11" s="5156">
        <f t="shared" si="5"/>
        <v>708.19</v>
      </c>
      <c r="X11" s="5120">
        <f t="shared" si="6"/>
        <v>2486.0640000000003</v>
      </c>
      <c r="Y11" s="5119"/>
      <c r="Z11" s="5108"/>
      <c r="AA11" s="5108"/>
      <c r="AB11" s="5157">
        <f t="shared" si="7"/>
        <v>0</v>
      </c>
      <c r="AC11" s="5108"/>
      <c r="AD11" s="5108"/>
      <c r="AE11" s="5108">
        <v>0</v>
      </c>
      <c r="AF11" s="5118">
        <f t="shared" si="8"/>
        <v>0</v>
      </c>
      <c r="AG11" s="5156">
        <f t="shared" si="9"/>
        <v>0</v>
      </c>
      <c r="AH11" s="5104"/>
      <c r="AI11" s="5104"/>
      <c r="AJ11" s="5104"/>
      <c r="AK11" s="5157">
        <f t="shared" si="10"/>
        <v>0</v>
      </c>
      <c r="AL11" s="5108">
        <v>0</v>
      </c>
      <c r="AM11" s="5108"/>
      <c r="AN11" s="5155"/>
      <c r="AO11" s="5157">
        <f t="shared" si="11"/>
        <v>0</v>
      </c>
      <c r="AP11" s="5156">
        <f t="shared" si="12"/>
        <v>0</v>
      </c>
      <c r="AQ11" s="5117">
        <f t="shared" si="13"/>
        <v>0</v>
      </c>
      <c r="AR11" s="5107">
        <f t="shared" si="14"/>
        <v>2486.0640000000003</v>
      </c>
      <c r="AS11" s="5154"/>
      <c r="AT11" s="5110"/>
      <c r="AU11" s="5116">
        <f t="shared" si="15"/>
        <v>0</v>
      </c>
      <c r="AV11" s="5115"/>
      <c r="AW11" s="5114">
        <f t="shared" si="16"/>
        <v>0</v>
      </c>
      <c r="AX11" s="5113"/>
      <c r="AY11" s="5113">
        <f t="shared" si="17"/>
        <v>0</v>
      </c>
      <c r="AZ11" s="5113"/>
      <c r="BA11" s="5114">
        <f t="shared" si="18"/>
        <v>0</v>
      </c>
      <c r="BB11" s="5112"/>
      <c r="BC11" s="5112">
        <f t="shared" si="19"/>
        <v>0</v>
      </c>
      <c r="BD11" s="5113"/>
      <c r="BE11" s="5114">
        <f t="shared" si="20"/>
        <v>0</v>
      </c>
      <c r="BF11" s="5111"/>
      <c r="BG11" s="5111">
        <f t="shared" si="21"/>
        <v>0</v>
      </c>
      <c r="BH11" s="5113"/>
      <c r="BI11" s="5114">
        <f t="shared" si="22"/>
        <v>0</v>
      </c>
      <c r="BJ11" s="5111"/>
      <c r="BK11" s="5111">
        <f t="shared" si="23"/>
        <v>0</v>
      </c>
      <c r="BL11" s="5113"/>
      <c r="BM11" s="5114">
        <f t="shared" si="24"/>
        <v>1777.874</v>
      </c>
      <c r="BN11" s="5113"/>
      <c r="BO11" s="5112">
        <f t="shared" si="25"/>
        <v>1777.874</v>
      </c>
      <c r="BP11" s="5113"/>
      <c r="BQ11" s="5136">
        <f t="shared" si="26"/>
        <v>1777.874</v>
      </c>
      <c r="BR11" s="5113"/>
      <c r="BS11" s="5114">
        <f t="shared" si="27"/>
        <v>0</v>
      </c>
      <c r="BT11" s="5113"/>
      <c r="BU11" s="5113">
        <f t="shared" si="28"/>
        <v>1777.874</v>
      </c>
      <c r="BV11" s="5113"/>
      <c r="BW11" s="5114">
        <f t="shared" si="29"/>
        <v>0</v>
      </c>
      <c r="BX11" s="5113"/>
      <c r="BY11" s="5113">
        <f t="shared" si="30"/>
        <v>1777.874</v>
      </c>
      <c r="BZ11" s="5113"/>
      <c r="CA11" s="5114">
        <f t="shared" si="31"/>
        <v>0</v>
      </c>
      <c r="CB11" s="5113"/>
      <c r="CC11" s="5112">
        <f t="shared" si="32"/>
        <v>0</v>
      </c>
      <c r="CD11" s="5113"/>
      <c r="CE11" s="5113">
        <f t="shared" si="33"/>
        <v>1777.874</v>
      </c>
      <c r="CF11" s="5113"/>
      <c r="CG11" s="5114">
        <f t="shared" si="34"/>
        <v>708.19</v>
      </c>
      <c r="CH11" s="5113"/>
      <c r="CI11" s="5113">
        <f t="shared" si="35"/>
        <v>2486.0640000000003</v>
      </c>
      <c r="CJ11" s="5113"/>
      <c r="CK11" s="5114">
        <f t="shared" si="36"/>
        <v>0</v>
      </c>
      <c r="CL11" s="5113"/>
      <c r="CM11" s="5113">
        <f t="shared" si="37"/>
        <v>2486.0640000000003</v>
      </c>
      <c r="CN11" s="5113"/>
      <c r="CO11" s="5114">
        <f t="shared" si="38"/>
        <v>0</v>
      </c>
      <c r="CP11" s="5113"/>
      <c r="CQ11" s="5112">
        <f t="shared" si="39"/>
        <v>708.19</v>
      </c>
      <c r="CR11" s="5113"/>
      <c r="CS11" s="5136">
        <f t="shared" si="40"/>
        <v>708.19</v>
      </c>
      <c r="CT11" s="5111"/>
      <c r="CU11" s="5139">
        <f t="shared" si="41"/>
        <v>2486.0640000000003</v>
      </c>
      <c r="CV11" s="5138"/>
      <c r="CW11" s="5147"/>
    </row>
    <row r="12" spans="1:101" x14ac:dyDescent="0.25">
      <c r="A12" s="5170"/>
      <c r="B12" s="5170"/>
      <c r="C12" s="5170"/>
      <c r="D12" s="5170"/>
      <c r="E12" s="5158" t="s">
        <v>2155</v>
      </c>
      <c r="F12" s="5150"/>
      <c r="G12" s="5108"/>
      <c r="H12" s="5108"/>
      <c r="I12" s="5157">
        <f t="shared" si="0"/>
        <v>0</v>
      </c>
      <c r="J12" s="5108"/>
      <c r="K12" s="5108"/>
      <c r="L12" s="5108"/>
      <c r="M12" s="5157">
        <f t="shared" si="1"/>
        <v>0</v>
      </c>
      <c r="N12" s="5156">
        <f t="shared" si="2"/>
        <v>0</v>
      </c>
      <c r="O12" s="5104"/>
      <c r="P12" s="5104"/>
      <c r="Q12" s="5108"/>
      <c r="R12" s="5157">
        <f t="shared" si="3"/>
        <v>0</v>
      </c>
      <c r="S12" s="5108"/>
      <c r="T12" s="5108">
        <v>107.81399999999999</v>
      </c>
      <c r="U12" s="5155">
        <v>150</v>
      </c>
      <c r="V12" s="5157">
        <f t="shared" si="4"/>
        <v>257.81399999999996</v>
      </c>
      <c r="W12" s="5156">
        <f t="shared" si="5"/>
        <v>257.81399999999996</v>
      </c>
      <c r="X12" s="5120">
        <f t="shared" si="6"/>
        <v>257.81399999999996</v>
      </c>
      <c r="Y12" s="5119"/>
      <c r="Z12" s="5108"/>
      <c r="AA12" s="5108"/>
      <c r="AB12" s="5157">
        <f t="shared" si="7"/>
        <v>0</v>
      </c>
      <c r="AC12" s="5108"/>
      <c r="AD12" s="5108"/>
      <c r="AE12" s="5108"/>
      <c r="AF12" s="5118">
        <f t="shared" si="8"/>
        <v>0</v>
      </c>
      <c r="AG12" s="5156">
        <f t="shared" si="9"/>
        <v>0</v>
      </c>
      <c r="AH12" s="5104"/>
      <c r="AI12" s="5104"/>
      <c r="AJ12" s="5104"/>
      <c r="AK12" s="5157">
        <f t="shared" si="10"/>
        <v>0</v>
      </c>
      <c r="AL12" s="5108"/>
      <c r="AM12" s="5108">
        <v>0</v>
      </c>
      <c r="AN12" s="5155">
        <v>0</v>
      </c>
      <c r="AO12" s="5157">
        <f t="shared" si="11"/>
        <v>0</v>
      </c>
      <c r="AP12" s="5156">
        <f t="shared" si="12"/>
        <v>0</v>
      </c>
      <c r="AQ12" s="5117">
        <f t="shared" si="13"/>
        <v>0</v>
      </c>
      <c r="AR12" s="5107">
        <f t="shared" si="14"/>
        <v>257.81399999999996</v>
      </c>
      <c r="AS12" s="5154"/>
      <c r="AT12" s="5110"/>
      <c r="AU12" s="5116">
        <f t="shared" si="15"/>
        <v>0</v>
      </c>
      <c r="AV12" s="5115"/>
      <c r="AW12" s="5114">
        <f t="shared" si="16"/>
        <v>0</v>
      </c>
      <c r="AX12" s="5113"/>
      <c r="AY12" s="5113">
        <f t="shared" si="17"/>
        <v>0</v>
      </c>
      <c r="AZ12" s="5113"/>
      <c r="BA12" s="5114">
        <f t="shared" si="18"/>
        <v>0</v>
      </c>
      <c r="BB12" s="5112"/>
      <c r="BC12" s="5112">
        <f t="shared" si="19"/>
        <v>0</v>
      </c>
      <c r="BD12" s="5113"/>
      <c r="BE12" s="5114">
        <f t="shared" si="20"/>
        <v>0</v>
      </c>
      <c r="BF12" s="5111"/>
      <c r="BG12" s="5111">
        <f t="shared" si="21"/>
        <v>0</v>
      </c>
      <c r="BH12" s="5113"/>
      <c r="BI12" s="5114">
        <f t="shared" si="22"/>
        <v>0</v>
      </c>
      <c r="BJ12" s="5111"/>
      <c r="BK12" s="5111">
        <f t="shared" si="23"/>
        <v>0</v>
      </c>
      <c r="BL12" s="5113"/>
      <c r="BM12" s="5114">
        <f t="shared" si="24"/>
        <v>0</v>
      </c>
      <c r="BN12" s="5113"/>
      <c r="BO12" s="5112">
        <f t="shared" si="25"/>
        <v>0</v>
      </c>
      <c r="BP12" s="5113"/>
      <c r="BQ12" s="5136">
        <f t="shared" si="26"/>
        <v>0</v>
      </c>
      <c r="BR12" s="5113"/>
      <c r="BS12" s="5114">
        <f t="shared" si="27"/>
        <v>0</v>
      </c>
      <c r="BT12" s="5113"/>
      <c r="BU12" s="5113">
        <f t="shared" si="28"/>
        <v>0</v>
      </c>
      <c r="BV12" s="5113"/>
      <c r="BW12" s="5114">
        <f t="shared" si="29"/>
        <v>0</v>
      </c>
      <c r="BX12" s="5113"/>
      <c r="BY12" s="5113">
        <f t="shared" si="30"/>
        <v>0</v>
      </c>
      <c r="BZ12" s="5113"/>
      <c r="CA12" s="5114">
        <f t="shared" si="31"/>
        <v>0</v>
      </c>
      <c r="CB12" s="5113"/>
      <c r="CC12" s="5112">
        <f t="shared" si="32"/>
        <v>0</v>
      </c>
      <c r="CD12" s="5113"/>
      <c r="CE12" s="5113">
        <f t="shared" si="33"/>
        <v>0</v>
      </c>
      <c r="CF12" s="5113"/>
      <c r="CG12" s="5114">
        <f t="shared" si="34"/>
        <v>0</v>
      </c>
      <c r="CH12" s="5113"/>
      <c r="CI12" s="5113">
        <f t="shared" si="35"/>
        <v>0</v>
      </c>
      <c r="CJ12" s="5113"/>
      <c r="CK12" s="5114">
        <f t="shared" si="36"/>
        <v>107.81399999999999</v>
      </c>
      <c r="CL12" s="5113"/>
      <c r="CM12" s="5113">
        <f t="shared" si="37"/>
        <v>107.81399999999999</v>
      </c>
      <c r="CN12" s="5113"/>
      <c r="CO12" s="5114">
        <f t="shared" si="38"/>
        <v>150</v>
      </c>
      <c r="CP12" s="5113"/>
      <c r="CQ12" s="5112">
        <f t="shared" si="39"/>
        <v>257.81399999999996</v>
      </c>
      <c r="CR12" s="5113"/>
      <c r="CS12" s="5136">
        <f t="shared" si="40"/>
        <v>257.81399999999996</v>
      </c>
      <c r="CT12" s="5111"/>
      <c r="CU12" s="5139">
        <f t="shared" si="41"/>
        <v>257.81399999999996</v>
      </c>
      <c r="CV12" s="5138"/>
      <c r="CW12" s="5147"/>
    </row>
    <row r="13" spans="1:101" x14ac:dyDescent="0.25">
      <c r="A13" s="5170"/>
      <c r="B13" s="5170"/>
      <c r="C13" s="5170"/>
      <c r="D13" s="5170"/>
      <c r="E13" s="5158" t="s">
        <v>1439</v>
      </c>
      <c r="F13" s="5150">
        <v>1311</v>
      </c>
      <c r="G13" s="5108">
        <v>323</v>
      </c>
      <c r="H13" s="5108">
        <v>1412</v>
      </c>
      <c r="I13" s="5157">
        <f t="shared" si="0"/>
        <v>3046</v>
      </c>
      <c r="J13" s="5108">
        <v>1325</v>
      </c>
      <c r="K13" s="5108">
        <v>528</v>
      </c>
      <c r="L13" s="5108">
        <v>1621.4380000000001</v>
      </c>
      <c r="M13" s="5157">
        <f t="shared" si="1"/>
        <v>3474.4380000000001</v>
      </c>
      <c r="N13" s="5156">
        <f t="shared" si="2"/>
        <v>6520.4380000000001</v>
      </c>
      <c r="O13" s="5104">
        <v>215.62799999999999</v>
      </c>
      <c r="P13" s="5104"/>
      <c r="Q13" s="5108">
        <v>1687</v>
      </c>
      <c r="R13" s="5157">
        <f t="shared" si="3"/>
        <v>1902.6279999999999</v>
      </c>
      <c r="S13" s="5108"/>
      <c r="T13" s="5108"/>
      <c r="U13" s="5155"/>
      <c r="V13" s="5157">
        <f t="shared" si="4"/>
        <v>0</v>
      </c>
      <c r="W13" s="5156">
        <f t="shared" si="5"/>
        <v>1902.6279999999999</v>
      </c>
      <c r="X13" s="5120">
        <f t="shared" si="6"/>
        <v>8423.0659999999989</v>
      </c>
      <c r="Y13" s="5119">
        <v>1245</v>
      </c>
      <c r="Z13" s="5108">
        <v>1714</v>
      </c>
      <c r="AA13" s="5108">
        <v>774</v>
      </c>
      <c r="AB13" s="5157">
        <f t="shared" si="7"/>
        <v>3733</v>
      </c>
      <c r="AC13" s="5108">
        <v>2949</v>
      </c>
      <c r="AD13" s="5108">
        <v>2816</v>
      </c>
      <c r="AE13" s="5108">
        <v>4257.5959999999995</v>
      </c>
      <c r="AF13" s="5118">
        <f t="shared" si="8"/>
        <v>10022.596</v>
      </c>
      <c r="AG13" s="5156">
        <f t="shared" si="9"/>
        <v>13755.596</v>
      </c>
      <c r="AH13" s="5104">
        <v>684.93600000000004</v>
      </c>
      <c r="AI13" s="5104"/>
      <c r="AJ13" s="5104">
        <v>2516</v>
      </c>
      <c r="AK13" s="5157">
        <f t="shared" si="10"/>
        <v>3200.9360000000001</v>
      </c>
      <c r="AL13" s="5108"/>
      <c r="AM13" s="5108"/>
      <c r="AN13" s="5155"/>
      <c r="AO13" s="5157">
        <f t="shared" si="11"/>
        <v>0</v>
      </c>
      <c r="AP13" s="5156">
        <f t="shared" si="12"/>
        <v>3200.9360000000001</v>
      </c>
      <c r="AQ13" s="5117">
        <f t="shared" si="13"/>
        <v>16956.531999999999</v>
      </c>
      <c r="AR13" s="5107">
        <f t="shared" si="14"/>
        <v>25379.597999999998</v>
      </c>
      <c r="AS13" s="5154"/>
      <c r="AT13" s="5110"/>
      <c r="AU13" s="5116">
        <f t="shared" si="15"/>
        <v>2556</v>
      </c>
      <c r="AV13" s="5115"/>
      <c r="AW13" s="5114">
        <f t="shared" si="16"/>
        <v>2037</v>
      </c>
      <c r="AX13" s="5113"/>
      <c r="AY13" s="5113">
        <f t="shared" si="17"/>
        <v>4593</v>
      </c>
      <c r="AZ13" s="5113"/>
      <c r="BA13" s="5114">
        <f t="shared" si="18"/>
        <v>2186</v>
      </c>
      <c r="BB13" s="5112"/>
      <c r="BC13" s="5112">
        <f t="shared" si="19"/>
        <v>6779</v>
      </c>
      <c r="BD13" s="5113"/>
      <c r="BE13" s="5114">
        <f t="shared" si="20"/>
        <v>4274</v>
      </c>
      <c r="BF13" s="5111"/>
      <c r="BG13" s="5111">
        <f t="shared" si="21"/>
        <v>11053</v>
      </c>
      <c r="BH13" s="5113"/>
      <c r="BI13" s="5114">
        <f t="shared" si="22"/>
        <v>3344</v>
      </c>
      <c r="BJ13" s="5111"/>
      <c r="BK13" s="5111">
        <f t="shared" si="23"/>
        <v>14397</v>
      </c>
      <c r="BL13" s="5113"/>
      <c r="BM13" s="5114">
        <f t="shared" si="24"/>
        <v>5879.0339999999997</v>
      </c>
      <c r="BN13" s="5113"/>
      <c r="BO13" s="5112">
        <f t="shared" si="25"/>
        <v>13497.034</v>
      </c>
      <c r="BP13" s="5113"/>
      <c r="BQ13" s="5136">
        <f t="shared" si="26"/>
        <v>20276.034</v>
      </c>
      <c r="BR13" s="5113"/>
      <c r="BS13" s="5114">
        <f t="shared" si="27"/>
        <v>900.56400000000008</v>
      </c>
      <c r="BT13" s="5113"/>
      <c r="BU13" s="5113">
        <f t="shared" si="28"/>
        <v>21176.597999999998</v>
      </c>
      <c r="BV13" s="5113"/>
      <c r="BW13" s="5114">
        <f t="shared" si="29"/>
        <v>0</v>
      </c>
      <c r="BX13" s="5113"/>
      <c r="BY13" s="5113">
        <f t="shared" si="30"/>
        <v>21176.597999999998</v>
      </c>
      <c r="BZ13" s="5113"/>
      <c r="CA13" s="5114">
        <f t="shared" si="31"/>
        <v>4203</v>
      </c>
      <c r="CB13" s="5113"/>
      <c r="CC13" s="5112">
        <f t="shared" si="32"/>
        <v>5103.5640000000003</v>
      </c>
      <c r="CD13" s="5113"/>
      <c r="CE13" s="5113">
        <f t="shared" si="33"/>
        <v>25379.597999999998</v>
      </c>
      <c r="CF13" s="5113"/>
      <c r="CG13" s="5114">
        <f t="shared" si="34"/>
        <v>0</v>
      </c>
      <c r="CH13" s="5113"/>
      <c r="CI13" s="5113">
        <f t="shared" si="35"/>
        <v>25379.597999999998</v>
      </c>
      <c r="CJ13" s="5113"/>
      <c r="CK13" s="5114">
        <f t="shared" si="36"/>
        <v>0</v>
      </c>
      <c r="CL13" s="5113"/>
      <c r="CM13" s="5113">
        <f t="shared" si="37"/>
        <v>25379.597999999998</v>
      </c>
      <c r="CN13" s="5113"/>
      <c r="CO13" s="5114">
        <f t="shared" si="38"/>
        <v>0</v>
      </c>
      <c r="CP13" s="5113"/>
      <c r="CQ13" s="5112">
        <f t="shared" si="39"/>
        <v>0</v>
      </c>
      <c r="CR13" s="5113"/>
      <c r="CS13" s="5136">
        <f t="shared" si="40"/>
        <v>5103.5640000000003</v>
      </c>
      <c r="CT13" s="5111"/>
      <c r="CU13" s="5139">
        <f t="shared" si="41"/>
        <v>25379.597999999998</v>
      </c>
      <c r="CV13" s="5138"/>
      <c r="CW13" s="5147"/>
    </row>
    <row r="14" spans="1:101" x14ac:dyDescent="0.25">
      <c r="A14" s="5170"/>
      <c r="B14" s="5170"/>
      <c r="C14" s="5170"/>
      <c r="D14" s="5170"/>
      <c r="E14" s="5158" t="s">
        <v>1438</v>
      </c>
      <c r="F14" s="5150">
        <v>0</v>
      </c>
      <c r="G14" s="5108">
        <v>0</v>
      </c>
      <c r="H14" s="5108">
        <v>0</v>
      </c>
      <c r="I14" s="5157">
        <f t="shared" si="0"/>
        <v>0</v>
      </c>
      <c r="J14" s="5108">
        <v>0</v>
      </c>
      <c r="K14" s="5108"/>
      <c r="L14" s="5108">
        <v>0</v>
      </c>
      <c r="M14" s="5157">
        <f t="shared" si="1"/>
        <v>0</v>
      </c>
      <c r="N14" s="5156">
        <f t="shared" si="2"/>
        <v>0</v>
      </c>
      <c r="O14" s="5104">
        <v>0</v>
      </c>
      <c r="P14" s="5104"/>
      <c r="Q14" s="5108">
        <v>0</v>
      </c>
      <c r="R14" s="5157">
        <f t="shared" si="3"/>
        <v>0</v>
      </c>
      <c r="S14" s="5108">
        <v>0</v>
      </c>
      <c r="T14" s="5108">
        <v>0</v>
      </c>
      <c r="U14" s="5155">
        <v>0</v>
      </c>
      <c r="V14" s="5157">
        <f t="shared" si="4"/>
        <v>0</v>
      </c>
      <c r="W14" s="5156">
        <f t="shared" si="5"/>
        <v>0</v>
      </c>
      <c r="X14" s="5120">
        <f t="shared" si="6"/>
        <v>0</v>
      </c>
      <c r="Y14" s="5119">
        <v>888</v>
      </c>
      <c r="Z14" s="5108">
        <v>131</v>
      </c>
      <c r="AA14" s="5108">
        <v>1423</v>
      </c>
      <c r="AB14" s="5157">
        <f t="shared" si="7"/>
        <v>2442</v>
      </c>
      <c r="AC14" s="5108">
        <v>2437</v>
      </c>
      <c r="AD14" s="5108"/>
      <c r="AE14" s="5108">
        <v>2386.7060000000001</v>
      </c>
      <c r="AF14" s="5118">
        <f t="shared" si="8"/>
        <v>4823.7060000000001</v>
      </c>
      <c r="AG14" s="5156">
        <f t="shared" si="9"/>
        <v>7265.7060000000001</v>
      </c>
      <c r="AH14" s="5104">
        <v>1678.5160000000001</v>
      </c>
      <c r="AI14" s="5104"/>
      <c r="AJ14" s="5104">
        <v>1133</v>
      </c>
      <c r="AK14" s="5157">
        <f t="shared" si="10"/>
        <v>2811.5160000000001</v>
      </c>
      <c r="AL14" s="5108">
        <v>4010.2579999999998</v>
      </c>
      <c r="AM14" s="5108">
        <v>1705.998</v>
      </c>
      <c r="AN14" s="5155">
        <v>2334</v>
      </c>
      <c r="AO14" s="5157">
        <f t="shared" si="11"/>
        <v>8050.2559999999994</v>
      </c>
      <c r="AP14" s="5156">
        <f t="shared" si="12"/>
        <v>10861.771999999999</v>
      </c>
      <c r="AQ14" s="5117">
        <f t="shared" si="13"/>
        <v>18127.477999999999</v>
      </c>
      <c r="AR14" s="5107">
        <f t="shared" si="14"/>
        <v>18127.477999999999</v>
      </c>
      <c r="AS14" s="5154"/>
      <c r="AT14" s="5110"/>
      <c r="AU14" s="5116">
        <f t="shared" si="15"/>
        <v>888</v>
      </c>
      <c r="AV14" s="5115"/>
      <c r="AW14" s="5114">
        <f t="shared" si="16"/>
        <v>131</v>
      </c>
      <c r="AX14" s="5113"/>
      <c r="AY14" s="5113">
        <f t="shared" si="17"/>
        <v>1019</v>
      </c>
      <c r="AZ14" s="5113"/>
      <c r="BA14" s="5114">
        <f t="shared" si="18"/>
        <v>1423</v>
      </c>
      <c r="BB14" s="5112"/>
      <c r="BC14" s="5112">
        <f t="shared" si="19"/>
        <v>2442</v>
      </c>
      <c r="BD14" s="5113"/>
      <c r="BE14" s="5114">
        <f t="shared" si="20"/>
        <v>2437</v>
      </c>
      <c r="BF14" s="5111"/>
      <c r="BG14" s="5111">
        <f t="shared" si="21"/>
        <v>4879</v>
      </c>
      <c r="BH14" s="5113"/>
      <c r="BI14" s="5114">
        <f t="shared" si="22"/>
        <v>0</v>
      </c>
      <c r="BJ14" s="5111"/>
      <c r="BK14" s="5111">
        <f t="shared" si="23"/>
        <v>4879</v>
      </c>
      <c r="BL14" s="5113"/>
      <c r="BM14" s="5114">
        <f t="shared" si="24"/>
        <v>2386.7060000000001</v>
      </c>
      <c r="BN14" s="5113"/>
      <c r="BO14" s="5112">
        <f t="shared" si="25"/>
        <v>4823.7060000000001</v>
      </c>
      <c r="BP14" s="5113"/>
      <c r="BQ14" s="5136">
        <f t="shared" si="26"/>
        <v>7265.7060000000001</v>
      </c>
      <c r="BR14" s="5113"/>
      <c r="BS14" s="5114">
        <f t="shared" si="27"/>
        <v>1678.5160000000001</v>
      </c>
      <c r="BT14" s="5113"/>
      <c r="BU14" s="5113">
        <f t="shared" si="28"/>
        <v>8944.2219999999998</v>
      </c>
      <c r="BV14" s="5113"/>
      <c r="BW14" s="5114">
        <f t="shared" si="29"/>
        <v>0</v>
      </c>
      <c r="BX14" s="5113"/>
      <c r="BY14" s="5113">
        <f t="shared" si="30"/>
        <v>8944.2219999999998</v>
      </c>
      <c r="BZ14" s="5113"/>
      <c r="CA14" s="5114">
        <f t="shared" si="31"/>
        <v>1133</v>
      </c>
      <c r="CB14" s="5113"/>
      <c r="CC14" s="5112">
        <f t="shared" si="32"/>
        <v>2811.5160000000001</v>
      </c>
      <c r="CD14" s="5113"/>
      <c r="CE14" s="5113">
        <f t="shared" si="33"/>
        <v>10077.222</v>
      </c>
      <c r="CF14" s="5113"/>
      <c r="CG14" s="5114">
        <f t="shared" si="34"/>
        <v>4010.2579999999998</v>
      </c>
      <c r="CH14" s="5113"/>
      <c r="CI14" s="5113">
        <f t="shared" si="35"/>
        <v>14087.48</v>
      </c>
      <c r="CJ14" s="5113"/>
      <c r="CK14" s="5114">
        <f t="shared" si="36"/>
        <v>1705.998</v>
      </c>
      <c r="CL14" s="5113"/>
      <c r="CM14" s="5113">
        <f t="shared" si="37"/>
        <v>15793.477999999999</v>
      </c>
      <c r="CN14" s="5113"/>
      <c r="CO14" s="5114">
        <f t="shared" si="38"/>
        <v>2334</v>
      </c>
      <c r="CP14" s="5113"/>
      <c r="CQ14" s="5112">
        <f t="shared" si="39"/>
        <v>8050.2559999999994</v>
      </c>
      <c r="CR14" s="5113"/>
      <c r="CS14" s="5136">
        <f t="shared" si="40"/>
        <v>10861.771999999999</v>
      </c>
      <c r="CT14" s="5111"/>
      <c r="CU14" s="5139">
        <f t="shared" si="41"/>
        <v>18127.477999999999</v>
      </c>
      <c r="CV14" s="5138"/>
      <c r="CW14" s="5147"/>
    </row>
    <row r="15" spans="1:101" x14ac:dyDescent="0.25">
      <c r="A15" s="5170"/>
      <c r="B15" s="5170"/>
      <c r="C15" s="5170"/>
      <c r="D15" s="5170"/>
      <c r="E15" s="5158" t="s">
        <v>1215</v>
      </c>
      <c r="F15" s="5150">
        <v>1180</v>
      </c>
      <c r="G15" s="5108">
        <v>1163</v>
      </c>
      <c r="H15" s="5108">
        <v>1148</v>
      </c>
      <c r="I15" s="5157">
        <f t="shared" si="0"/>
        <v>3491</v>
      </c>
      <c r="J15" s="5108">
        <v>0</v>
      </c>
      <c r="K15" s="5108">
        <v>0</v>
      </c>
      <c r="L15" s="5108">
        <v>0</v>
      </c>
      <c r="M15" s="5157">
        <f t="shared" si="1"/>
        <v>0</v>
      </c>
      <c r="N15" s="5156">
        <f t="shared" si="2"/>
        <v>3491</v>
      </c>
      <c r="O15" s="5104">
        <v>837.14400000000001</v>
      </c>
      <c r="P15" s="5104">
        <v>300.18799999999999</v>
      </c>
      <c r="Q15" s="5108">
        <v>435</v>
      </c>
      <c r="R15" s="5157">
        <f t="shared" si="3"/>
        <v>1572.3319999999999</v>
      </c>
      <c r="S15" s="5108"/>
      <c r="T15" s="5108"/>
      <c r="U15" s="5155"/>
      <c r="V15" s="5157">
        <f t="shared" si="4"/>
        <v>0</v>
      </c>
      <c r="W15" s="5156">
        <f t="shared" si="5"/>
        <v>1572.3319999999999</v>
      </c>
      <c r="X15" s="5120">
        <f t="shared" si="6"/>
        <v>5063.3320000000003</v>
      </c>
      <c r="Y15" s="5119">
        <v>74922</v>
      </c>
      <c r="Z15" s="5108">
        <v>73850</v>
      </c>
      <c r="AA15" s="5108">
        <v>45971</v>
      </c>
      <c r="AB15" s="5157">
        <f t="shared" si="7"/>
        <v>194743</v>
      </c>
      <c r="AC15" s="5108">
        <v>76273</v>
      </c>
      <c r="AD15" s="5108">
        <v>76178</v>
      </c>
      <c r="AE15" s="5108">
        <v>71981.7</v>
      </c>
      <c r="AF15" s="5118">
        <f t="shared" si="8"/>
        <v>224432.7</v>
      </c>
      <c r="AG15" s="5156">
        <f t="shared" si="9"/>
        <v>419175.7</v>
      </c>
      <c r="AH15" s="5104">
        <v>84722.778000000006</v>
      </c>
      <c r="AI15" s="5104">
        <v>3929.9259999999999</v>
      </c>
      <c r="AJ15" s="5104">
        <v>70641</v>
      </c>
      <c r="AK15" s="5157">
        <f t="shared" si="10"/>
        <v>159293.70400000003</v>
      </c>
      <c r="AL15" s="5108"/>
      <c r="AM15" s="5108"/>
      <c r="AN15" s="5155"/>
      <c r="AO15" s="5157">
        <f t="shared" si="11"/>
        <v>0</v>
      </c>
      <c r="AP15" s="5156">
        <f t="shared" si="12"/>
        <v>159293.70400000003</v>
      </c>
      <c r="AQ15" s="5117">
        <f t="shared" si="13"/>
        <v>578469.40399999998</v>
      </c>
      <c r="AR15" s="5107">
        <f t="shared" si="14"/>
        <v>583532.73600000003</v>
      </c>
      <c r="AS15" s="5154"/>
      <c r="AT15" s="5110"/>
      <c r="AU15" s="5116">
        <f t="shared" si="15"/>
        <v>76102</v>
      </c>
      <c r="AV15" s="5115"/>
      <c r="AW15" s="5114">
        <f t="shared" si="16"/>
        <v>75013</v>
      </c>
      <c r="AX15" s="5113"/>
      <c r="AY15" s="5113">
        <f t="shared" si="17"/>
        <v>151115</v>
      </c>
      <c r="AZ15" s="5113"/>
      <c r="BA15" s="5114">
        <f t="shared" si="18"/>
        <v>47119</v>
      </c>
      <c r="BB15" s="5112"/>
      <c r="BC15" s="5112">
        <f t="shared" si="19"/>
        <v>198234</v>
      </c>
      <c r="BD15" s="5113"/>
      <c r="BE15" s="5114">
        <f t="shared" si="20"/>
        <v>76273</v>
      </c>
      <c r="BF15" s="5111"/>
      <c r="BG15" s="5111">
        <f t="shared" si="21"/>
        <v>274507</v>
      </c>
      <c r="BH15" s="5113"/>
      <c r="BI15" s="5114">
        <f t="shared" si="22"/>
        <v>76178</v>
      </c>
      <c r="BJ15" s="5111"/>
      <c r="BK15" s="5111">
        <f t="shared" si="23"/>
        <v>350685</v>
      </c>
      <c r="BL15" s="5113"/>
      <c r="BM15" s="5114">
        <f t="shared" si="24"/>
        <v>71981.7</v>
      </c>
      <c r="BN15" s="5113"/>
      <c r="BO15" s="5112">
        <f t="shared" si="25"/>
        <v>224432.7</v>
      </c>
      <c r="BP15" s="5113"/>
      <c r="BQ15" s="5136">
        <f t="shared" si="26"/>
        <v>422666.7</v>
      </c>
      <c r="BR15" s="5113"/>
      <c r="BS15" s="5114">
        <f t="shared" si="27"/>
        <v>85559.922000000006</v>
      </c>
      <c r="BT15" s="5113"/>
      <c r="BU15" s="5113">
        <f t="shared" si="28"/>
        <v>508226.62200000003</v>
      </c>
      <c r="BV15" s="5113"/>
      <c r="BW15" s="5114">
        <f t="shared" si="29"/>
        <v>4230.1139999999996</v>
      </c>
      <c r="BX15" s="5113"/>
      <c r="BY15" s="5113">
        <f t="shared" si="30"/>
        <v>512456.73600000003</v>
      </c>
      <c r="BZ15" s="5113"/>
      <c r="CA15" s="5114">
        <f t="shared" si="31"/>
        <v>71076</v>
      </c>
      <c r="CB15" s="5113"/>
      <c r="CC15" s="5112">
        <f t="shared" si="32"/>
        <v>160866.03600000002</v>
      </c>
      <c r="CD15" s="5113"/>
      <c r="CE15" s="5113">
        <f t="shared" si="33"/>
        <v>583532.73600000003</v>
      </c>
      <c r="CF15" s="5113"/>
      <c r="CG15" s="5114">
        <f t="shared" si="34"/>
        <v>0</v>
      </c>
      <c r="CH15" s="5113"/>
      <c r="CI15" s="5113">
        <f t="shared" si="35"/>
        <v>583532.73600000003</v>
      </c>
      <c r="CJ15" s="5113"/>
      <c r="CK15" s="5114">
        <f t="shared" si="36"/>
        <v>0</v>
      </c>
      <c r="CL15" s="5113"/>
      <c r="CM15" s="5113">
        <f t="shared" si="37"/>
        <v>583532.73600000003</v>
      </c>
      <c r="CN15" s="5113"/>
      <c r="CO15" s="5114">
        <f t="shared" si="38"/>
        <v>0</v>
      </c>
      <c r="CP15" s="5113"/>
      <c r="CQ15" s="5112">
        <f t="shared" si="39"/>
        <v>0</v>
      </c>
      <c r="CR15" s="5113"/>
      <c r="CS15" s="5136">
        <f t="shared" si="40"/>
        <v>160866.03600000002</v>
      </c>
      <c r="CT15" s="5111"/>
      <c r="CU15" s="5139">
        <f t="shared" si="41"/>
        <v>583532.73600000003</v>
      </c>
      <c r="CV15" s="5138"/>
      <c r="CW15" s="5147"/>
    </row>
    <row r="16" spans="1:101" x14ac:dyDescent="0.25">
      <c r="A16" s="5170"/>
      <c r="B16" s="5170"/>
      <c r="C16" s="5170"/>
      <c r="D16" s="5170"/>
      <c r="E16" s="5158" t="s">
        <v>1208</v>
      </c>
      <c r="F16" s="5150">
        <v>4733</v>
      </c>
      <c r="G16" s="5108">
        <v>4262</v>
      </c>
      <c r="H16" s="5108">
        <v>4539</v>
      </c>
      <c r="I16" s="5157">
        <f t="shared" si="0"/>
        <v>13534</v>
      </c>
      <c r="J16" s="5108">
        <v>7655</v>
      </c>
      <c r="K16" s="5108">
        <v>6424</v>
      </c>
      <c r="L16" s="5108">
        <v>5972.05</v>
      </c>
      <c r="M16" s="5157">
        <f t="shared" si="1"/>
        <v>20051.05</v>
      </c>
      <c r="N16" s="5156">
        <f t="shared" si="2"/>
        <v>33585.050000000003</v>
      </c>
      <c r="O16" s="5104">
        <v>11333.154</v>
      </c>
      <c r="P16" s="5104">
        <v>1327.5920000000001</v>
      </c>
      <c r="Q16" s="5108">
        <v>6486</v>
      </c>
      <c r="R16" s="5157">
        <f t="shared" si="3"/>
        <v>19146.745999999999</v>
      </c>
      <c r="S16" s="5108">
        <v>6559.7420000000002</v>
      </c>
      <c r="T16" s="5108">
        <v>8658.9439999999995</v>
      </c>
      <c r="U16" s="5155">
        <v>3501</v>
      </c>
      <c r="V16" s="5157">
        <f t="shared" si="4"/>
        <v>18719.686000000002</v>
      </c>
      <c r="W16" s="5156">
        <f t="shared" si="5"/>
        <v>37866.432000000001</v>
      </c>
      <c r="X16" s="5120">
        <f t="shared" si="6"/>
        <v>71451.482000000004</v>
      </c>
      <c r="Y16" s="5119">
        <v>0</v>
      </c>
      <c r="Z16" s="5108">
        <v>0</v>
      </c>
      <c r="AA16" s="5108">
        <v>0</v>
      </c>
      <c r="AB16" s="5157">
        <f t="shared" si="7"/>
        <v>0</v>
      </c>
      <c r="AC16" s="5108">
        <v>0</v>
      </c>
      <c r="AD16" s="5108">
        <v>412</v>
      </c>
      <c r="AE16" s="5108">
        <v>0</v>
      </c>
      <c r="AF16" s="5118">
        <f t="shared" si="8"/>
        <v>412</v>
      </c>
      <c r="AG16" s="5156">
        <f t="shared" si="9"/>
        <v>412</v>
      </c>
      <c r="AH16" s="5104">
        <v>310.75799999999998</v>
      </c>
      <c r="AI16" s="5104">
        <v>0</v>
      </c>
      <c r="AJ16" s="5104">
        <v>0</v>
      </c>
      <c r="AK16" s="5157">
        <f t="shared" si="10"/>
        <v>310.75799999999998</v>
      </c>
      <c r="AL16" s="5108">
        <v>0</v>
      </c>
      <c r="AM16" s="5108">
        <v>147.97999999999999</v>
      </c>
      <c r="AN16" s="5155">
        <v>0</v>
      </c>
      <c r="AO16" s="5157">
        <f t="shared" si="11"/>
        <v>147.97999999999999</v>
      </c>
      <c r="AP16" s="5156">
        <f t="shared" si="12"/>
        <v>458.73799999999994</v>
      </c>
      <c r="AQ16" s="5117">
        <f t="shared" si="13"/>
        <v>870.73800000000006</v>
      </c>
      <c r="AR16" s="5107">
        <f t="shared" si="14"/>
        <v>72322.22</v>
      </c>
      <c r="AS16" s="5154"/>
      <c r="AT16" s="5110"/>
      <c r="AU16" s="5116">
        <f t="shared" si="15"/>
        <v>4733</v>
      </c>
      <c r="AV16" s="5115"/>
      <c r="AW16" s="5114">
        <f t="shared" si="16"/>
        <v>4262</v>
      </c>
      <c r="AX16" s="5113"/>
      <c r="AY16" s="5113">
        <f t="shared" si="17"/>
        <v>8995</v>
      </c>
      <c r="AZ16" s="5113"/>
      <c r="BA16" s="5114">
        <f t="shared" si="18"/>
        <v>4539</v>
      </c>
      <c r="BB16" s="5112"/>
      <c r="BC16" s="5112">
        <f t="shared" si="19"/>
        <v>13534</v>
      </c>
      <c r="BD16" s="5113"/>
      <c r="BE16" s="5114">
        <f t="shared" si="20"/>
        <v>7655</v>
      </c>
      <c r="BF16" s="5111"/>
      <c r="BG16" s="5111">
        <f t="shared" si="21"/>
        <v>21189</v>
      </c>
      <c r="BH16" s="5113"/>
      <c r="BI16" s="5114">
        <f t="shared" si="22"/>
        <v>6836</v>
      </c>
      <c r="BJ16" s="5111"/>
      <c r="BK16" s="5111">
        <f t="shared" si="23"/>
        <v>28025</v>
      </c>
      <c r="BL16" s="5113"/>
      <c r="BM16" s="5114">
        <f t="shared" si="24"/>
        <v>5972.05</v>
      </c>
      <c r="BN16" s="5113"/>
      <c r="BO16" s="5112">
        <f t="shared" si="25"/>
        <v>20463.05</v>
      </c>
      <c r="BP16" s="5113"/>
      <c r="BQ16" s="5136">
        <f t="shared" si="26"/>
        <v>33997.050000000003</v>
      </c>
      <c r="BR16" s="5113"/>
      <c r="BS16" s="5114">
        <f t="shared" si="27"/>
        <v>11643.912</v>
      </c>
      <c r="BT16" s="5113"/>
      <c r="BU16" s="5113">
        <f t="shared" si="28"/>
        <v>45640.962</v>
      </c>
      <c r="BV16" s="5113"/>
      <c r="BW16" s="5114">
        <f t="shared" si="29"/>
        <v>1327.5920000000001</v>
      </c>
      <c r="BX16" s="5113"/>
      <c r="BY16" s="5113">
        <f t="shared" si="30"/>
        <v>46968.553999999996</v>
      </c>
      <c r="BZ16" s="5113"/>
      <c r="CA16" s="5114">
        <f t="shared" si="31"/>
        <v>6486</v>
      </c>
      <c r="CB16" s="5113"/>
      <c r="CC16" s="5112">
        <f t="shared" si="32"/>
        <v>19457.504000000001</v>
      </c>
      <c r="CD16" s="5113"/>
      <c r="CE16" s="5113">
        <f t="shared" si="33"/>
        <v>53454.553999999996</v>
      </c>
      <c r="CF16" s="5113"/>
      <c r="CG16" s="5114">
        <f t="shared" si="34"/>
        <v>6559.7420000000002</v>
      </c>
      <c r="CH16" s="5113"/>
      <c r="CI16" s="5113">
        <f t="shared" si="35"/>
        <v>60014.295999999995</v>
      </c>
      <c r="CJ16" s="5113"/>
      <c r="CK16" s="5114">
        <f t="shared" si="36"/>
        <v>8806.9239999999991</v>
      </c>
      <c r="CL16" s="5113"/>
      <c r="CM16" s="5113">
        <f t="shared" si="37"/>
        <v>68821.22</v>
      </c>
      <c r="CN16" s="5113"/>
      <c r="CO16" s="5114">
        <f t="shared" si="38"/>
        <v>3501</v>
      </c>
      <c r="CP16" s="5113"/>
      <c r="CQ16" s="5112">
        <f t="shared" si="39"/>
        <v>18867.665999999997</v>
      </c>
      <c r="CR16" s="5113"/>
      <c r="CS16" s="5136">
        <f t="shared" si="40"/>
        <v>38325.17</v>
      </c>
      <c r="CT16" s="5111"/>
      <c r="CU16" s="5139">
        <f t="shared" si="41"/>
        <v>72322.22</v>
      </c>
      <c r="CV16" s="5138"/>
      <c r="CW16" s="5147"/>
    </row>
    <row r="17" spans="1:101" x14ac:dyDescent="0.25">
      <c r="A17" s="5170"/>
      <c r="B17" s="5170"/>
      <c r="C17" s="5170"/>
      <c r="D17" s="5170"/>
      <c r="E17" s="5158" t="s">
        <v>1430</v>
      </c>
      <c r="F17" s="5150">
        <v>110</v>
      </c>
      <c r="G17" s="5108">
        <v>816</v>
      </c>
      <c r="H17" s="5108">
        <v>101</v>
      </c>
      <c r="I17" s="5157">
        <f t="shared" si="0"/>
        <v>1027</v>
      </c>
      <c r="J17" s="5108">
        <v>670</v>
      </c>
      <c r="K17" s="5108">
        <v>998</v>
      </c>
      <c r="L17" s="5108">
        <v>1249.374</v>
      </c>
      <c r="M17" s="5157">
        <f t="shared" si="1"/>
        <v>2917.3739999999998</v>
      </c>
      <c r="N17" s="5156">
        <f t="shared" si="2"/>
        <v>3944.3739999999998</v>
      </c>
      <c r="O17" s="5104">
        <v>572.89400000000001</v>
      </c>
      <c r="P17" s="5104"/>
      <c r="Q17" s="5108">
        <v>1239</v>
      </c>
      <c r="R17" s="5157">
        <f t="shared" si="3"/>
        <v>1811.894</v>
      </c>
      <c r="S17" s="5108">
        <v>1109.8499999999999</v>
      </c>
      <c r="T17" s="5108">
        <v>591.91999999999996</v>
      </c>
      <c r="U17" s="5155">
        <v>1074</v>
      </c>
      <c r="V17" s="5157">
        <f t="shared" si="4"/>
        <v>2775.77</v>
      </c>
      <c r="W17" s="5156">
        <f t="shared" si="5"/>
        <v>4587.6639999999998</v>
      </c>
      <c r="X17" s="5120">
        <f t="shared" si="6"/>
        <v>8532.0380000000005</v>
      </c>
      <c r="Y17" s="5119">
        <v>0</v>
      </c>
      <c r="Z17" s="5108">
        <v>0</v>
      </c>
      <c r="AA17" s="5108">
        <v>0</v>
      </c>
      <c r="AB17" s="5157">
        <f t="shared" si="7"/>
        <v>0</v>
      </c>
      <c r="AC17" s="5108">
        <v>0</v>
      </c>
      <c r="AD17" s="5108">
        <v>0</v>
      </c>
      <c r="AE17" s="5108">
        <v>0</v>
      </c>
      <c r="AF17" s="5118">
        <f t="shared" si="8"/>
        <v>0</v>
      </c>
      <c r="AG17" s="5156">
        <f t="shared" si="9"/>
        <v>0</v>
      </c>
      <c r="AH17" s="5104">
        <v>0</v>
      </c>
      <c r="AI17" s="5104"/>
      <c r="AJ17" s="5104">
        <v>0</v>
      </c>
      <c r="AK17" s="5157">
        <f t="shared" si="10"/>
        <v>0</v>
      </c>
      <c r="AL17" s="5108">
        <v>0</v>
      </c>
      <c r="AM17" s="5108">
        <v>0</v>
      </c>
      <c r="AN17" s="5155">
        <v>0</v>
      </c>
      <c r="AO17" s="5157">
        <f t="shared" si="11"/>
        <v>0</v>
      </c>
      <c r="AP17" s="5156">
        <f t="shared" si="12"/>
        <v>0</v>
      </c>
      <c r="AQ17" s="5117">
        <f t="shared" si="13"/>
        <v>0</v>
      </c>
      <c r="AR17" s="5107">
        <f t="shared" si="14"/>
        <v>8532.0380000000005</v>
      </c>
      <c r="AS17" s="5154"/>
      <c r="AT17" s="5110"/>
      <c r="AU17" s="5116">
        <f t="shared" si="15"/>
        <v>110</v>
      </c>
      <c r="AV17" s="5115"/>
      <c r="AW17" s="5114">
        <f t="shared" si="16"/>
        <v>816</v>
      </c>
      <c r="AX17" s="5113"/>
      <c r="AY17" s="5113">
        <f t="shared" si="17"/>
        <v>926</v>
      </c>
      <c r="AZ17" s="5113"/>
      <c r="BA17" s="5114">
        <f t="shared" si="18"/>
        <v>101</v>
      </c>
      <c r="BB17" s="5112"/>
      <c r="BC17" s="5112">
        <f t="shared" si="19"/>
        <v>1027</v>
      </c>
      <c r="BD17" s="5113"/>
      <c r="BE17" s="5114">
        <f t="shared" si="20"/>
        <v>670</v>
      </c>
      <c r="BF17" s="5111"/>
      <c r="BG17" s="5111">
        <f t="shared" si="21"/>
        <v>1697</v>
      </c>
      <c r="BH17" s="5113"/>
      <c r="BI17" s="5114">
        <f t="shared" si="22"/>
        <v>998</v>
      </c>
      <c r="BJ17" s="5111"/>
      <c r="BK17" s="5111">
        <f t="shared" si="23"/>
        <v>2695</v>
      </c>
      <c r="BL17" s="5113"/>
      <c r="BM17" s="5114">
        <f t="shared" si="24"/>
        <v>1249.374</v>
      </c>
      <c r="BN17" s="5113"/>
      <c r="BO17" s="5112">
        <f t="shared" si="25"/>
        <v>2917.3739999999998</v>
      </c>
      <c r="BP17" s="5113"/>
      <c r="BQ17" s="5136">
        <f t="shared" si="26"/>
        <v>3944.3739999999998</v>
      </c>
      <c r="BR17" s="5113"/>
      <c r="BS17" s="5114">
        <f t="shared" si="27"/>
        <v>572.89400000000001</v>
      </c>
      <c r="BT17" s="5113"/>
      <c r="BU17" s="5113">
        <f t="shared" si="28"/>
        <v>4517.268</v>
      </c>
      <c r="BV17" s="5113"/>
      <c r="BW17" s="5114">
        <f t="shared" si="29"/>
        <v>0</v>
      </c>
      <c r="BX17" s="5113"/>
      <c r="BY17" s="5113">
        <f t="shared" si="30"/>
        <v>4517.268</v>
      </c>
      <c r="BZ17" s="5113"/>
      <c r="CA17" s="5114">
        <f t="shared" si="31"/>
        <v>1239</v>
      </c>
      <c r="CB17" s="5113"/>
      <c r="CC17" s="5112">
        <f t="shared" si="32"/>
        <v>1811.894</v>
      </c>
      <c r="CD17" s="5113"/>
      <c r="CE17" s="5113">
        <f t="shared" si="33"/>
        <v>5756.268</v>
      </c>
      <c r="CF17" s="5113"/>
      <c r="CG17" s="5114">
        <f t="shared" si="34"/>
        <v>1109.8499999999999</v>
      </c>
      <c r="CH17" s="5113"/>
      <c r="CI17" s="5113">
        <f t="shared" si="35"/>
        <v>6866.1180000000004</v>
      </c>
      <c r="CJ17" s="5113"/>
      <c r="CK17" s="5114">
        <f t="shared" si="36"/>
        <v>591.91999999999996</v>
      </c>
      <c r="CL17" s="5113"/>
      <c r="CM17" s="5113">
        <f t="shared" si="37"/>
        <v>7458.0380000000005</v>
      </c>
      <c r="CN17" s="5113"/>
      <c r="CO17" s="5114">
        <f t="shared" si="38"/>
        <v>1074</v>
      </c>
      <c r="CP17" s="5113"/>
      <c r="CQ17" s="5112">
        <f t="shared" si="39"/>
        <v>2775.77</v>
      </c>
      <c r="CR17" s="5113"/>
      <c r="CS17" s="5136">
        <f t="shared" si="40"/>
        <v>4587.6639999999998</v>
      </c>
      <c r="CT17" s="5111"/>
      <c r="CU17" s="5139">
        <f t="shared" si="41"/>
        <v>8532.0380000000005</v>
      </c>
      <c r="CV17" s="5138"/>
      <c r="CW17" s="5147"/>
    </row>
    <row r="18" spans="1:101" x14ac:dyDescent="0.25">
      <c r="A18" s="5170"/>
      <c r="B18" s="5170"/>
      <c r="C18" s="5170"/>
      <c r="D18" s="5170"/>
      <c r="E18" s="5158" t="s">
        <v>1429</v>
      </c>
      <c r="F18" s="5150">
        <v>332</v>
      </c>
      <c r="G18" s="5108"/>
      <c r="H18" s="5108"/>
      <c r="I18" s="5157">
        <f t="shared" si="0"/>
        <v>332</v>
      </c>
      <c r="J18" s="5108">
        <v>209</v>
      </c>
      <c r="K18" s="5108">
        <v>543</v>
      </c>
      <c r="L18" s="5108">
        <v>1399.4680000000001</v>
      </c>
      <c r="M18" s="5157">
        <f t="shared" si="1"/>
        <v>2151.4679999999998</v>
      </c>
      <c r="N18" s="5156">
        <f t="shared" si="2"/>
        <v>2483.4679999999998</v>
      </c>
      <c r="O18" s="5104">
        <v>287.50400000000002</v>
      </c>
      <c r="P18" s="5104"/>
      <c r="Q18" s="5108">
        <v>545</v>
      </c>
      <c r="R18" s="5157">
        <f t="shared" si="3"/>
        <v>832.50400000000002</v>
      </c>
      <c r="S18" s="5108">
        <v>1602.412</v>
      </c>
      <c r="T18" s="5108">
        <v>841.37199999999996</v>
      </c>
      <c r="U18" s="5155">
        <v>738</v>
      </c>
      <c r="V18" s="5157">
        <f t="shared" si="4"/>
        <v>3181.7840000000001</v>
      </c>
      <c r="W18" s="5156">
        <f t="shared" si="5"/>
        <v>4014.288</v>
      </c>
      <c r="X18" s="5120">
        <f t="shared" si="6"/>
        <v>6497.7560000000003</v>
      </c>
      <c r="Y18" s="5119">
        <v>0</v>
      </c>
      <c r="Z18" s="5108"/>
      <c r="AA18" s="5108"/>
      <c r="AB18" s="5157">
        <f t="shared" si="7"/>
        <v>0</v>
      </c>
      <c r="AC18" s="5108">
        <v>0</v>
      </c>
      <c r="AD18" s="5108">
        <v>0</v>
      </c>
      <c r="AE18" s="5108">
        <v>0</v>
      </c>
      <c r="AF18" s="5118">
        <f t="shared" si="8"/>
        <v>0</v>
      </c>
      <c r="AG18" s="5156">
        <f t="shared" si="9"/>
        <v>0</v>
      </c>
      <c r="AH18" s="5104">
        <v>0</v>
      </c>
      <c r="AI18" s="5104"/>
      <c r="AJ18" s="5104">
        <v>0</v>
      </c>
      <c r="AK18" s="5157">
        <f t="shared" si="10"/>
        <v>0</v>
      </c>
      <c r="AL18" s="5108">
        <v>0</v>
      </c>
      <c r="AM18" s="5108">
        <v>0</v>
      </c>
      <c r="AN18" s="5155">
        <v>0</v>
      </c>
      <c r="AO18" s="5157">
        <f t="shared" si="11"/>
        <v>0</v>
      </c>
      <c r="AP18" s="5156">
        <f t="shared" si="12"/>
        <v>0</v>
      </c>
      <c r="AQ18" s="5117">
        <f t="shared" si="13"/>
        <v>0</v>
      </c>
      <c r="AR18" s="5107">
        <f t="shared" si="14"/>
        <v>6497.7560000000003</v>
      </c>
      <c r="AS18" s="5154"/>
      <c r="AT18" s="5110"/>
      <c r="AU18" s="5116">
        <f t="shared" si="15"/>
        <v>332</v>
      </c>
      <c r="AV18" s="5115"/>
      <c r="AW18" s="5114">
        <f t="shared" si="16"/>
        <v>0</v>
      </c>
      <c r="AX18" s="5113"/>
      <c r="AY18" s="5113">
        <f t="shared" si="17"/>
        <v>332</v>
      </c>
      <c r="AZ18" s="5113"/>
      <c r="BA18" s="5114">
        <f t="shared" si="18"/>
        <v>0</v>
      </c>
      <c r="BB18" s="5112"/>
      <c r="BC18" s="5112">
        <f t="shared" si="19"/>
        <v>332</v>
      </c>
      <c r="BD18" s="5113"/>
      <c r="BE18" s="5114">
        <f t="shared" si="20"/>
        <v>209</v>
      </c>
      <c r="BF18" s="5111"/>
      <c r="BG18" s="5111">
        <f t="shared" si="21"/>
        <v>541</v>
      </c>
      <c r="BH18" s="5113"/>
      <c r="BI18" s="5114">
        <f t="shared" si="22"/>
        <v>543</v>
      </c>
      <c r="BJ18" s="5111"/>
      <c r="BK18" s="5111">
        <f t="shared" si="23"/>
        <v>1084</v>
      </c>
      <c r="BL18" s="5113"/>
      <c r="BM18" s="5114">
        <f t="shared" si="24"/>
        <v>1399.4680000000001</v>
      </c>
      <c r="BN18" s="5113"/>
      <c r="BO18" s="5112">
        <f t="shared" si="25"/>
        <v>2151.4679999999998</v>
      </c>
      <c r="BP18" s="5113"/>
      <c r="BQ18" s="5136">
        <f t="shared" si="26"/>
        <v>2483.4679999999998</v>
      </c>
      <c r="BR18" s="5113"/>
      <c r="BS18" s="5114">
        <f t="shared" si="27"/>
        <v>287.50400000000002</v>
      </c>
      <c r="BT18" s="5113"/>
      <c r="BU18" s="5113">
        <f t="shared" si="28"/>
        <v>2770.9719999999998</v>
      </c>
      <c r="BV18" s="5113"/>
      <c r="BW18" s="5114">
        <f t="shared" si="29"/>
        <v>0</v>
      </c>
      <c r="BX18" s="5113"/>
      <c r="BY18" s="5113">
        <f t="shared" si="30"/>
        <v>2770.9719999999998</v>
      </c>
      <c r="BZ18" s="5113"/>
      <c r="CA18" s="5114">
        <f t="shared" si="31"/>
        <v>545</v>
      </c>
      <c r="CB18" s="5113"/>
      <c r="CC18" s="5112">
        <f t="shared" si="32"/>
        <v>832.50400000000002</v>
      </c>
      <c r="CD18" s="5113"/>
      <c r="CE18" s="5113">
        <f t="shared" si="33"/>
        <v>3315.9719999999998</v>
      </c>
      <c r="CF18" s="5113"/>
      <c r="CG18" s="5114">
        <f t="shared" si="34"/>
        <v>1602.412</v>
      </c>
      <c r="CH18" s="5113"/>
      <c r="CI18" s="5113">
        <f t="shared" si="35"/>
        <v>4918.384</v>
      </c>
      <c r="CJ18" s="5113"/>
      <c r="CK18" s="5114">
        <f t="shared" si="36"/>
        <v>841.37199999999996</v>
      </c>
      <c r="CL18" s="5113"/>
      <c r="CM18" s="5113">
        <f t="shared" si="37"/>
        <v>5759.7560000000003</v>
      </c>
      <c r="CN18" s="5113"/>
      <c r="CO18" s="5114">
        <f t="shared" si="38"/>
        <v>738</v>
      </c>
      <c r="CP18" s="5113"/>
      <c r="CQ18" s="5112">
        <f t="shared" si="39"/>
        <v>3181.7840000000001</v>
      </c>
      <c r="CR18" s="5113"/>
      <c r="CS18" s="5136">
        <f t="shared" si="40"/>
        <v>4014.288</v>
      </c>
      <c r="CT18" s="5111"/>
      <c r="CU18" s="5139">
        <f t="shared" si="41"/>
        <v>6497.7560000000003</v>
      </c>
      <c r="CV18" s="5138"/>
      <c r="CW18" s="5147"/>
    </row>
    <row r="19" spans="1:101" x14ac:dyDescent="0.25">
      <c r="A19" s="5170"/>
      <c r="B19" s="5170"/>
      <c r="C19" s="5170"/>
      <c r="D19" s="5170"/>
      <c r="E19" s="5158" t="s">
        <v>1428</v>
      </c>
      <c r="F19" s="5150"/>
      <c r="G19" s="5108">
        <v>1319</v>
      </c>
      <c r="H19" s="5108"/>
      <c r="I19" s="5157">
        <f t="shared" si="0"/>
        <v>1319</v>
      </c>
      <c r="J19" s="5108">
        <v>1425</v>
      </c>
      <c r="K19" s="5108">
        <v>2228</v>
      </c>
      <c r="L19" s="5108">
        <v>1221.8920000000001</v>
      </c>
      <c r="M19" s="5157">
        <f t="shared" si="1"/>
        <v>4874.8919999999998</v>
      </c>
      <c r="N19" s="5156">
        <f t="shared" si="2"/>
        <v>6193.8919999999998</v>
      </c>
      <c r="O19" s="5104">
        <v>3716.4119999999998</v>
      </c>
      <c r="P19" s="5104"/>
      <c r="Q19" s="5108">
        <v>2380</v>
      </c>
      <c r="R19" s="5157">
        <f t="shared" si="3"/>
        <v>6096.4120000000003</v>
      </c>
      <c r="S19" s="5108">
        <v>1118.306</v>
      </c>
      <c r="T19" s="5108">
        <v>3037.8180000000002</v>
      </c>
      <c r="U19" s="5155">
        <v>2319</v>
      </c>
      <c r="V19" s="5157">
        <f t="shared" si="4"/>
        <v>6475.1239999999998</v>
      </c>
      <c r="W19" s="5156">
        <f t="shared" si="5"/>
        <v>12571.536</v>
      </c>
      <c r="X19" s="5120">
        <f t="shared" si="6"/>
        <v>18765.428</v>
      </c>
      <c r="Y19" s="5119"/>
      <c r="Z19" s="5108">
        <v>0</v>
      </c>
      <c r="AA19" s="5108"/>
      <c r="AB19" s="5157">
        <f t="shared" si="7"/>
        <v>0</v>
      </c>
      <c r="AC19" s="5108">
        <v>0</v>
      </c>
      <c r="AD19" s="5108">
        <v>0</v>
      </c>
      <c r="AE19" s="5108">
        <v>0</v>
      </c>
      <c r="AF19" s="5118">
        <f t="shared" si="8"/>
        <v>0</v>
      </c>
      <c r="AG19" s="5156">
        <f t="shared" si="9"/>
        <v>0</v>
      </c>
      <c r="AH19" s="5104">
        <v>0</v>
      </c>
      <c r="AI19" s="5104"/>
      <c r="AJ19" s="5104">
        <v>0</v>
      </c>
      <c r="AK19" s="5157">
        <f t="shared" si="10"/>
        <v>0</v>
      </c>
      <c r="AL19" s="5108">
        <v>0</v>
      </c>
      <c r="AM19" s="5108">
        <v>0</v>
      </c>
      <c r="AN19" s="5155">
        <v>0</v>
      </c>
      <c r="AO19" s="5157">
        <f t="shared" si="11"/>
        <v>0</v>
      </c>
      <c r="AP19" s="5156">
        <f t="shared" si="12"/>
        <v>0</v>
      </c>
      <c r="AQ19" s="5117">
        <f t="shared" si="13"/>
        <v>0</v>
      </c>
      <c r="AR19" s="5107">
        <f t="shared" si="14"/>
        <v>18765.428</v>
      </c>
      <c r="AS19" s="5154"/>
      <c r="AT19" s="5110"/>
      <c r="AU19" s="5116">
        <f t="shared" si="15"/>
        <v>0</v>
      </c>
      <c r="AV19" s="5115"/>
      <c r="AW19" s="5114">
        <f t="shared" si="16"/>
        <v>1319</v>
      </c>
      <c r="AX19" s="5113"/>
      <c r="AY19" s="5113">
        <f t="shared" si="17"/>
        <v>1319</v>
      </c>
      <c r="AZ19" s="5113"/>
      <c r="BA19" s="5114">
        <f t="shared" si="18"/>
        <v>0</v>
      </c>
      <c r="BB19" s="5112"/>
      <c r="BC19" s="5112">
        <f t="shared" si="19"/>
        <v>1319</v>
      </c>
      <c r="BD19" s="5113"/>
      <c r="BE19" s="5114">
        <f t="shared" si="20"/>
        <v>1425</v>
      </c>
      <c r="BF19" s="5111"/>
      <c r="BG19" s="5111">
        <f t="shared" si="21"/>
        <v>2744</v>
      </c>
      <c r="BH19" s="5113"/>
      <c r="BI19" s="5114">
        <f t="shared" si="22"/>
        <v>2228</v>
      </c>
      <c r="BJ19" s="5111"/>
      <c r="BK19" s="5111">
        <f t="shared" si="23"/>
        <v>4972</v>
      </c>
      <c r="BL19" s="5113"/>
      <c r="BM19" s="5114">
        <f t="shared" si="24"/>
        <v>1221.8920000000001</v>
      </c>
      <c r="BN19" s="5113"/>
      <c r="BO19" s="5112">
        <f t="shared" si="25"/>
        <v>4874.8919999999998</v>
      </c>
      <c r="BP19" s="5113"/>
      <c r="BQ19" s="5136">
        <f t="shared" si="26"/>
        <v>6193.8919999999998</v>
      </c>
      <c r="BR19" s="5113"/>
      <c r="BS19" s="5114">
        <f t="shared" si="27"/>
        <v>3716.4119999999998</v>
      </c>
      <c r="BT19" s="5113"/>
      <c r="BU19" s="5113">
        <f t="shared" si="28"/>
        <v>9910.3040000000001</v>
      </c>
      <c r="BV19" s="5113"/>
      <c r="BW19" s="5114">
        <f t="shared" si="29"/>
        <v>0</v>
      </c>
      <c r="BX19" s="5113"/>
      <c r="BY19" s="5113">
        <f t="shared" si="30"/>
        <v>9910.3040000000001</v>
      </c>
      <c r="BZ19" s="5113"/>
      <c r="CA19" s="5114">
        <f t="shared" si="31"/>
        <v>2380</v>
      </c>
      <c r="CB19" s="5113"/>
      <c r="CC19" s="5112">
        <f t="shared" si="32"/>
        <v>6096.4120000000003</v>
      </c>
      <c r="CD19" s="5113"/>
      <c r="CE19" s="5113">
        <f t="shared" si="33"/>
        <v>12290.304</v>
      </c>
      <c r="CF19" s="5113"/>
      <c r="CG19" s="5114">
        <f t="shared" si="34"/>
        <v>1118.306</v>
      </c>
      <c r="CH19" s="5113"/>
      <c r="CI19" s="5113">
        <f t="shared" si="35"/>
        <v>13408.61</v>
      </c>
      <c r="CJ19" s="5113"/>
      <c r="CK19" s="5114">
        <f t="shared" si="36"/>
        <v>3037.8180000000002</v>
      </c>
      <c r="CL19" s="5113"/>
      <c r="CM19" s="5113">
        <f t="shared" si="37"/>
        <v>16446.428</v>
      </c>
      <c r="CN19" s="5113"/>
      <c r="CO19" s="5114">
        <f t="shared" si="38"/>
        <v>2319</v>
      </c>
      <c r="CP19" s="5113"/>
      <c r="CQ19" s="5112">
        <f t="shared" si="39"/>
        <v>6475.1239999999998</v>
      </c>
      <c r="CR19" s="5113"/>
      <c r="CS19" s="5136">
        <f t="shared" si="40"/>
        <v>12571.536</v>
      </c>
      <c r="CT19" s="5111"/>
      <c r="CU19" s="5139">
        <f t="shared" si="41"/>
        <v>18765.428</v>
      </c>
      <c r="CV19" s="5138"/>
      <c r="CW19" s="5147"/>
    </row>
    <row r="20" spans="1:101" x14ac:dyDescent="0.25">
      <c r="A20" s="5170"/>
      <c r="B20" s="5170"/>
      <c r="C20" s="5170"/>
      <c r="D20" s="5170"/>
      <c r="E20" s="5158" t="s">
        <v>1427</v>
      </c>
      <c r="F20" s="5150">
        <v>133</v>
      </c>
      <c r="G20" s="5108">
        <v>243</v>
      </c>
      <c r="H20" s="5108"/>
      <c r="I20" s="5157">
        <f t="shared" si="0"/>
        <v>376</v>
      </c>
      <c r="J20" s="5108">
        <v>120</v>
      </c>
      <c r="K20" s="5108"/>
      <c r="L20" s="5108">
        <v>238.88200000000001</v>
      </c>
      <c r="M20" s="5157">
        <f t="shared" si="1"/>
        <v>358.88200000000001</v>
      </c>
      <c r="N20" s="5156">
        <f t="shared" si="2"/>
        <v>734.88200000000006</v>
      </c>
      <c r="O20" s="5104"/>
      <c r="P20" s="5104"/>
      <c r="Q20" s="5108"/>
      <c r="R20" s="5157">
        <f t="shared" si="3"/>
        <v>0</v>
      </c>
      <c r="S20" s="5108">
        <v>264.25</v>
      </c>
      <c r="T20" s="5108"/>
      <c r="U20" s="5155"/>
      <c r="V20" s="5157">
        <f t="shared" si="4"/>
        <v>264.25</v>
      </c>
      <c r="W20" s="5156">
        <f t="shared" si="5"/>
        <v>264.25</v>
      </c>
      <c r="X20" s="5120">
        <f t="shared" si="6"/>
        <v>999.13200000000006</v>
      </c>
      <c r="Y20" s="5119">
        <v>0</v>
      </c>
      <c r="Z20" s="5108">
        <v>0</v>
      </c>
      <c r="AA20" s="5108"/>
      <c r="AB20" s="5157">
        <f t="shared" si="7"/>
        <v>0</v>
      </c>
      <c r="AC20" s="5108">
        <v>0</v>
      </c>
      <c r="AD20" s="5108"/>
      <c r="AE20" s="5108">
        <v>0</v>
      </c>
      <c r="AF20" s="5118">
        <f t="shared" si="8"/>
        <v>0</v>
      </c>
      <c r="AG20" s="5156">
        <f t="shared" si="9"/>
        <v>0</v>
      </c>
      <c r="AH20" s="5104"/>
      <c r="AI20" s="5104"/>
      <c r="AJ20" s="5104"/>
      <c r="AK20" s="5157">
        <f t="shared" si="10"/>
        <v>0</v>
      </c>
      <c r="AL20" s="5108">
        <v>0</v>
      </c>
      <c r="AM20" s="5108"/>
      <c r="AN20" s="5155"/>
      <c r="AO20" s="5157">
        <f t="shared" si="11"/>
        <v>0</v>
      </c>
      <c r="AP20" s="5156">
        <f t="shared" si="12"/>
        <v>0</v>
      </c>
      <c r="AQ20" s="5117">
        <f t="shared" si="13"/>
        <v>0</v>
      </c>
      <c r="AR20" s="5107">
        <f t="shared" si="14"/>
        <v>999.13200000000006</v>
      </c>
      <c r="AS20" s="5154"/>
      <c r="AT20" s="5110"/>
      <c r="AU20" s="5116">
        <f t="shared" si="15"/>
        <v>133</v>
      </c>
      <c r="AV20" s="5115"/>
      <c r="AW20" s="5114">
        <f t="shared" si="16"/>
        <v>243</v>
      </c>
      <c r="AX20" s="5113"/>
      <c r="AY20" s="5113">
        <f t="shared" si="17"/>
        <v>376</v>
      </c>
      <c r="AZ20" s="5113"/>
      <c r="BA20" s="5114">
        <f t="shared" si="18"/>
        <v>0</v>
      </c>
      <c r="BB20" s="5112"/>
      <c r="BC20" s="5112">
        <f t="shared" si="19"/>
        <v>376</v>
      </c>
      <c r="BD20" s="5113"/>
      <c r="BE20" s="5114">
        <f t="shared" si="20"/>
        <v>120</v>
      </c>
      <c r="BF20" s="5111"/>
      <c r="BG20" s="5111">
        <f t="shared" si="21"/>
        <v>496</v>
      </c>
      <c r="BH20" s="5113"/>
      <c r="BI20" s="5114">
        <f t="shared" si="22"/>
        <v>0</v>
      </c>
      <c r="BJ20" s="5111"/>
      <c r="BK20" s="5111">
        <f t="shared" si="23"/>
        <v>496</v>
      </c>
      <c r="BL20" s="5113"/>
      <c r="BM20" s="5114">
        <f t="shared" si="24"/>
        <v>238.88200000000001</v>
      </c>
      <c r="BN20" s="5113"/>
      <c r="BO20" s="5112">
        <f t="shared" si="25"/>
        <v>358.88200000000001</v>
      </c>
      <c r="BP20" s="5113"/>
      <c r="BQ20" s="5136">
        <f t="shared" si="26"/>
        <v>734.88200000000006</v>
      </c>
      <c r="BR20" s="5113"/>
      <c r="BS20" s="5114">
        <f t="shared" si="27"/>
        <v>0</v>
      </c>
      <c r="BT20" s="5113"/>
      <c r="BU20" s="5113">
        <f t="shared" si="28"/>
        <v>734.88200000000006</v>
      </c>
      <c r="BV20" s="5113"/>
      <c r="BW20" s="5114">
        <f t="shared" si="29"/>
        <v>0</v>
      </c>
      <c r="BX20" s="5113"/>
      <c r="BY20" s="5113">
        <f t="shared" si="30"/>
        <v>734.88200000000006</v>
      </c>
      <c r="BZ20" s="5113"/>
      <c r="CA20" s="5114">
        <f t="shared" si="31"/>
        <v>0</v>
      </c>
      <c r="CB20" s="5113"/>
      <c r="CC20" s="5112">
        <f t="shared" si="32"/>
        <v>0</v>
      </c>
      <c r="CD20" s="5113"/>
      <c r="CE20" s="5113">
        <f t="shared" si="33"/>
        <v>734.88200000000006</v>
      </c>
      <c r="CF20" s="5113"/>
      <c r="CG20" s="5114">
        <f t="shared" si="34"/>
        <v>264.25</v>
      </c>
      <c r="CH20" s="5113"/>
      <c r="CI20" s="5113">
        <f t="shared" si="35"/>
        <v>999.13200000000006</v>
      </c>
      <c r="CJ20" s="5113"/>
      <c r="CK20" s="5114">
        <f t="shared" si="36"/>
        <v>0</v>
      </c>
      <c r="CL20" s="5113"/>
      <c r="CM20" s="5113">
        <f t="shared" si="37"/>
        <v>999.13200000000006</v>
      </c>
      <c r="CN20" s="5113"/>
      <c r="CO20" s="5114">
        <f t="shared" si="38"/>
        <v>0</v>
      </c>
      <c r="CP20" s="5113"/>
      <c r="CQ20" s="5112">
        <f t="shared" si="39"/>
        <v>264.25</v>
      </c>
      <c r="CR20" s="5113"/>
      <c r="CS20" s="5136">
        <f t="shared" si="40"/>
        <v>264.25</v>
      </c>
      <c r="CT20" s="5111"/>
      <c r="CU20" s="5139">
        <f t="shared" si="41"/>
        <v>999.13200000000006</v>
      </c>
      <c r="CV20" s="5138"/>
      <c r="CW20" s="5147"/>
    </row>
    <row r="21" spans="1:101" x14ac:dyDescent="0.25">
      <c r="A21" s="5170"/>
      <c r="B21" s="5170"/>
      <c r="C21" s="5170"/>
      <c r="D21" s="5170"/>
      <c r="E21" s="5158" t="s">
        <v>1426</v>
      </c>
      <c r="F21" s="5150">
        <v>1712</v>
      </c>
      <c r="G21" s="5108">
        <v>1006</v>
      </c>
      <c r="H21" s="5108">
        <v>476</v>
      </c>
      <c r="I21" s="5157">
        <f t="shared" si="0"/>
        <v>3194</v>
      </c>
      <c r="J21" s="5108">
        <v>736</v>
      </c>
      <c r="K21" s="5108">
        <v>2862</v>
      </c>
      <c r="L21" s="5108">
        <v>1898.3720000000001</v>
      </c>
      <c r="M21" s="5157">
        <f t="shared" si="1"/>
        <v>5496.3720000000003</v>
      </c>
      <c r="N21" s="5156">
        <f t="shared" si="2"/>
        <v>8690.3719999999994</v>
      </c>
      <c r="O21" s="5104">
        <v>1234.576</v>
      </c>
      <c r="P21" s="5104"/>
      <c r="Q21" s="5108">
        <v>2294</v>
      </c>
      <c r="R21" s="5157">
        <f t="shared" si="3"/>
        <v>3528.576</v>
      </c>
      <c r="S21" s="5108">
        <v>2515.66</v>
      </c>
      <c r="T21" s="5108">
        <v>2437.442</v>
      </c>
      <c r="U21" s="5155">
        <v>539</v>
      </c>
      <c r="V21" s="5157">
        <f t="shared" si="4"/>
        <v>5492.1019999999999</v>
      </c>
      <c r="W21" s="5156">
        <f t="shared" si="5"/>
        <v>9020.6779999999999</v>
      </c>
      <c r="X21" s="5120">
        <f t="shared" si="6"/>
        <v>17711.05</v>
      </c>
      <c r="Y21" s="5119">
        <v>0</v>
      </c>
      <c r="Z21" s="5108">
        <v>0</v>
      </c>
      <c r="AA21" s="5108">
        <v>0</v>
      </c>
      <c r="AB21" s="5157">
        <f t="shared" si="7"/>
        <v>0</v>
      </c>
      <c r="AC21" s="5108">
        <v>0</v>
      </c>
      <c r="AD21" s="5108">
        <v>0</v>
      </c>
      <c r="AE21" s="5108">
        <v>0</v>
      </c>
      <c r="AF21" s="5118">
        <f t="shared" si="8"/>
        <v>0</v>
      </c>
      <c r="AG21" s="5156">
        <f t="shared" si="9"/>
        <v>0</v>
      </c>
      <c r="AH21" s="5104">
        <v>0</v>
      </c>
      <c r="AI21" s="5104"/>
      <c r="AJ21" s="5104">
        <v>0</v>
      </c>
      <c r="AK21" s="5157">
        <f t="shared" si="10"/>
        <v>0</v>
      </c>
      <c r="AL21" s="5108">
        <v>0</v>
      </c>
      <c r="AM21" s="5108">
        <v>0</v>
      </c>
      <c r="AN21" s="5155">
        <v>0</v>
      </c>
      <c r="AO21" s="5157">
        <f t="shared" si="11"/>
        <v>0</v>
      </c>
      <c r="AP21" s="5156">
        <f t="shared" si="12"/>
        <v>0</v>
      </c>
      <c r="AQ21" s="5117">
        <f t="shared" si="13"/>
        <v>0</v>
      </c>
      <c r="AR21" s="5107">
        <f t="shared" si="14"/>
        <v>17711.05</v>
      </c>
      <c r="AS21" s="5154"/>
      <c r="AT21" s="5110"/>
      <c r="AU21" s="5116">
        <f t="shared" si="15"/>
        <v>1712</v>
      </c>
      <c r="AV21" s="5115"/>
      <c r="AW21" s="5114">
        <f t="shared" si="16"/>
        <v>1006</v>
      </c>
      <c r="AX21" s="5113"/>
      <c r="AY21" s="5113">
        <f t="shared" si="17"/>
        <v>2718</v>
      </c>
      <c r="AZ21" s="5113"/>
      <c r="BA21" s="5114">
        <f t="shared" si="18"/>
        <v>476</v>
      </c>
      <c r="BB21" s="5112"/>
      <c r="BC21" s="5112">
        <f t="shared" si="19"/>
        <v>3194</v>
      </c>
      <c r="BD21" s="5113"/>
      <c r="BE21" s="5114">
        <f t="shared" si="20"/>
        <v>736</v>
      </c>
      <c r="BF21" s="5111"/>
      <c r="BG21" s="5111">
        <f t="shared" si="21"/>
        <v>3930</v>
      </c>
      <c r="BH21" s="5113"/>
      <c r="BI21" s="5114">
        <f t="shared" si="22"/>
        <v>2862</v>
      </c>
      <c r="BJ21" s="5111"/>
      <c r="BK21" s="5111">
        <f t="shared" si="23"/>
        <v>6792</v>
      </c>
      <c r="BL21" s="5113"/>
      <c r="BM21" s="5114">
        <f t="shared" si="24"/>
        <v>1898.3720000000001</v>
      </c>
      <c r="BN21" s="5113"/>
      <c r="BO21" s="5112">
        <f t="shared" si="25"/>
        <v>5496.3720000000003</v>
      </c>
      <c r="BP21" s="5113"/>
      <c r="BQ21" s="5136">
        <f t="shared" si="26"/>
        <v>8690.3719999999994</v>
      </c>
      <c r="BR21" s="5113"/>
      <c r="BS21" s="5114">
        <f t="shared" si="27"/>
        <v>1234.576</v>
      </c>
      <c r="BT21" s="5113"/>
      <c r="BU21" s="5113">
        <f t="shared" si="28"/>
        <v>9924.9480000000003</v>
      </c>
      <c r="BV21" s="5113"/>
      <c r="BW21" s="5114">
        <f t="shared" si="29"/>
        <v>0</v>
      </c>
      <c r="BX21" s="5113"/>
      <c r="BY21" s="5113">
        <f t="shared" si="30"/>
        <v>9924.9480000000003</v>
      </c>
      <c r="BZ21" s="5113"/>
      <c r="CA21" s="5114">
        <f t="shared" si="31"/>
        <v>2294</v>
      </c>
      <c r="CB21" s="5113"/>
      <c r="CC21" s="5112">
        <f t="shared" si="32"/>
        <v>3528.576</v>
      </c>
      <c r="CD21" s="5113"/>
      <c r="CE21" s="5113">
        <f t="shared" si="33"/>
        <v>12218.948</v>
      </c>
      <c r="CF21" s="5113"/>
      <c r="CG21" s="5114">
        <f t="shared" si="34"/>
        <v>2515.66</v>
      </c>
      <c r="CH21" s="5113"/>
      <c r="CI21" s="5113">
        <f t="shared" si="35"/>
        <v>14734.608</v>
      </c>
      <c r="CJ21" s="5113"/>
      <c r="CK21" s="5114">
        <f t="shared" si="36"/>
        <v>2437.442</v>
      </c>
      <c r="CL21" s="5113"/>
      <c r="CM21" s="5113">
        <f t="shared" si="37"/>
        <v>17172.05</v>
      </c>
      <c r="CN21" s="5113"/>
      <c r="CO21" s="5114">
        <f t="shared" si="38"/>
        <v>539</v>
      </c>
      <c r="CP21" s="5113"/>
      <c r="CQ21" s="5112">
        <f t="shared" si="39"/>
        <v>5492.1019999999999</v>
      </c>
      <c r="CR21" s="5113"/>
      <c r="CS21" s="5136">
        <f t="shared" si="40"/>
        <v>9020.6779999999999</v>
      </c>
      <c r="CT21" s="5111"/>
      <c r="CU21" s="5139">
        <f t="shared" si="41"/>
        <v>17711.05</v>
      </c>
      <c r="CV21" s="5138"/>
      <c r="CW21" s="5147"/>
    </row>
    <row r="22" spans="1:101" x14ac:dyDescent="0.25">
      <c r="A22" s="5170"/>
      <c r="B22" s="5170"/>
      <c r="C22" s="5170"/>
      <c r="D22" s="5170"/>
      <c r="E22" s="5158" t="s">
        <v>1425</v>
      </c>
      <c r="F22" s="5150">
        <v>104</v>
      </c>
      <c r="G22" s="5108">
        <v>628</v>
      </c>
      <c r="H22" s="5108"/>
      <c r="I22" s="5157">
        <f t="shared" si="0"/>
        <v>732</v>
      </c>
      <c r="J22" s="5108"/>
      <c r="K22" s="5108"/>
      <c r="L22" s="5108"/>
      <c r="M22" s="5157">
        <f t="shared" si="1"/>
        <v>0</v>
      </c>
      <c r="N22" s="5156">
        <f t="shared" si="2"/>
        <v>732</v>
      </c>
      <c r="O22" s="5104"/>
      <c r="P22" s="5104"/>
      <c r="Q22" s="5108"/>
      <c r="R22" s="5157">
        <f t="shared" si="3"/>
        <v>0</v>
      </c>
      <c r="S22" s="5108"/>
      <c r="T22" s="5108"/>
      <c r="U22" s="5155"/>
      <c r="V22" s="5157">
        <f t="shared" si="4"/>
        <v>0</v>
      </c>
      <c r="W22" s="5156">
        <f t="shared" si="5"/>
        <v>0</v>
      </c>
      <c r="X22" s="5120">
        <f t="shared" si="6"/>
        <v>732</v>
      </c>
      <c r="Y22" s="5119">
        <v>0</v>
      </c>
      <c r="Z22" s="5108">
        <v>0</v>
      </c>
      <c r="AA22" s="5108"/>
      <c r="AB22" s="5157">
        <f t="shared" si="7"/>
        <v>0</v>
      </c>
      <c r="AC22" s="5108"/>
      <c r="AD22" s="5108"/>
      <c r="AE22" s="5108"/>
      <c r="AF22" s="5118">
        <f t="shared" si="8"/>
        <v>0</v>
      </c>
      <c r="AG22" s="5156">
        <f t="shared" si="9"/>
        <v>0</v>
      </c>
      <c r="AH22" s="5104"/>
      <c r="AI22" s="5104"/>
      <c r="AJ22" s="5104"/>
      <c r="AK22" s="5157">
        <f t="shared" si="10"/>
        <v>0</v>
      </c>
      <c r="AL22" s="5108"/>
      <c r="AM22" s="5108"/>
      <c r="AN22" s="5155"/>
      <c r="AO22" s="5157">
        <f t="shared" si="11"/>
        <v>0</v>
      </c>
      <c r="AP22" s="5156">
        <f t="shared" si="12"/>
        <v>0</v>
      </c>
      <c r="AQ22" s="5117">
        <f t="shared" si="13"/>
        <v>0</v>
      </c>
      <c r="AR22" s="5107">
        <f t="shared" si="14"/>
        <v>732</v>
      </c>
      <c r="AS22" s="5154"/>
      <c r="AT22" s="5110"/>
      <c r="AU22" s="5116">
        <f t="shared" si="15"/>
        <v>104</v>
      </c>
      <c r="AV22" s="5115"/>
      <c r="AW22" s="5114">
        <f t="shared" si="16"/>
        <v>628</v>
      </c>
      <c r="AX22" s="5113"/>
      <c r="AY22" s="5113">
        <f t="shared" si="17"/>
        <v>732</v>
      </c>
      <c r="AZ22" s="5113"/>
      <c r="BA22" s="5114">
        <f t="shared" si="18"/>
        <v>0</v>
      </c>
      <c r="BB22" s="5112"/>
      <c r="BC22" s="5112">
        <f t="shared" si="19"/>
        <v>732</v>
      </c>
      <c r="BD22" s="5113"/>
      <c r="BE22" s="5114">
        <f t="shared" si="20"/>
        <v>0</v>
      </c>
      <c r="BF22" s="5111"/>
      <c r="BG22" s="5111">
        <f t="shared" si="21"/>
        <v>732</v>
      </c>
      <c r="BH22" s="5113"/>
      <c r="BI22" s="5114">
        <f t="shared" si="22"/>
        <v>0</v>
      </c>
      <c r="BJ22" s="5111"/>
      <c r="BK22" s="5111">
        <f t="shared" si="23"/>
        <v>732</v>
      </c>
      <c r="BL22" s="5113"/>
      <c r="BM22" s="5114">
        <f t="shared" si="24"/>
        <v>0</v>
      </c>
      <c r="BN22" s="5113"/>
      <c r="BO22" s="5112">
        <f t="shared" si="25"/>
        <v>0</v>
      </c>
      <c r="BP22" s="5113"/>
      <c r="BQ22" s="5136">
        <f t="shared" si="26"/>
        <v>732</v>
      </c>
      <c r="BR22" s="5113"/>
      <c r="BS22" s="5114">
        <f t="shared" si="27"/>
        <v>0</v>
      </c>
      <c r="BT22" s="5113"/>
      <c r="BU22" s="5113">
        <f t="shared" si="28"/>
        <v>732</v>
      </c>
      <c r="BV22" s="5113"/>
      <c r="BW22" s="5114">
        <f t="shared" si="29"/>
        <v>0</v>
      </c>
      <c r="BX22" s="5113"/>
      <c r="BY22" s="5113">
        <f t="shared" si="30"/>
        <v>732</v>
      </c>
      <c r="BZ22" s="5113"/>
      <c r="CA22" s="5114">
        <f t="shared" si="31"/>
        <v>0</v>
      </c>
      <c r="CB22" s="5113"/>
      <c r="CC22" s="5112">
        <f t="shared" si="32"/>
        <v>0</v>
      </c>
      <c r="CD22" s="5113"/>
      <c r="CE22" s="5113">
        <f t="shared" si="33"/>
        <v>732</v>
      </c>
      <c r="CF22" s="5113"/>
      <c r="CG22" s="5114">
        <f t="shared" si="34"/>
        <v>0</v>
      </c>
      <c r="CH22" s="5113"/>
      <c r="CI22" s="5113">
        <f t="shared" si="35"/>
        <v>732</v>
      </c>
      <c r="CJ22" s="5113"/>
      <c r="CK22" s="5114">
        <f t="shared" si="36"/>
        <v>0</v>
      </c>
      <c r="CL22" s="5113"/>
      <c r="CM22" s="5113">
        <f t="shared" si="37"/>
        <v>732</v>
      </c>
      <c r="CN22" s="5113"/>
      <c r="CO22" s="5114">
        <f t="shared" si="38"/>
        <v>0</v>
      </c>
      <c r="CP22" s="5113"/>
      <c r="CQ22" s="5112">
        <f t="shared" si="39"/>
        <v>0</v>
      </c>
      <c r="CR22" s="5113"/>
      <c r="CS22" s="5136">
        <f t="shared" si="40"/>
        <v>0</v>
      </c>
      <c r="CT22" s="5111"/>
      <c r="CU22" s="5139">
        <f t="shared" si="41"/>
        <v>732</v>
      </c>
      <c r="CV22" s="5138"/>
      <c r="CW22" s="5147"/>
    </row>
    <row r="23" spans="1:101" x14ac:dyDescent="0.25">
      <c r="A23" s="5170"/>
      <c r="B23" s="5170"/>
      <c r="C23" s="5170"/>
      <c r="D23" s="5170"/>
      <c r="E23" s="5158" t="s">
        <v>846</v>
      </c>
      <c r="F23" s="5150">
        <v>4380</v>
      </c>
      <c r="G23" s="5108">
        <v>10671</v>
      </c>
      <c r="H23" s="5108">
        <v>8479</v>
      </c>
      <c r="I23" s="5157">
        <f t="shared" si="0"/>
        <v>23530</v>
      </c>
      <c r="J23" s="5108">
        <v>5653</v>
      </c>
      <c r="K23" s="5108">
        <v>14098</v>
      </c>
      <c r="L23" s="5108">
        <v>10352.258</v>
      </c>
      <c r="M23" s="5157">
        <f t="shared" si="1"/>
        <v>30103.258000000002</v>
      </c>
      <c r="N23" s="5156">
        <f t="shared" si="2"/>
        <v>53633.258000000002</v>
      </c>
      <c r="O23" s="5104">
        <v>19262.768</v>
      </c>
      <c r="P23" s="5104"/>
      <c r="Q23" s="5108">
        <v>6553</v>
      </c>
      <c r="R23" s="5157">
        <f t="shared" si="3"/>
        <v>25815.768</v>
      </c>
      <c r="S23" s="5108">
        <v>15003.058000000001</v>
      </c>
      <c r="T23" s="5108">
        <v>4443.6279999999997</v>
      </c>
      <c r="U23" s="5155">
        <v>4621</v>
      </c>
      <c r="V23" s="5157">
        <f t="shared" si="4"/>
        <v>24067.686000000002</v>
      </c>
      <c r="W23" s="5156">
        <f t="shared" si="5"/>
        <v>49883.453999999998</v>
      </c>
      <c r="X23" s="5120">
        <f t="shared" si="6"/>
        <v>103516.712</v>
      </c>
      <c r="Y23" s="5119">
        <v>0</v>
      </c>
      <c r="Z23" s="5108">
        <v>0</v>
      </c>
      <c r="AA23" s="5108">
        <v>0</v>
      </c>
      <c r="AB23" s="5157">
        <f t="shared" si="7"/>
        <v>0</v>
      </c>
      <c r="AC23" s="5108">
        <v>0</v>
      </c>
      <c r="AD23" s="5108">
        <v>0</v>
      </c>
      <c r="AE23" s="5108">
        <v>0</v>
      </c>
      <c r="AF23" s="5118">
        <f t="shared" si="8"/>
        <v>0</v>
      </c>
      <c r="AG23" s="5156">
        <f t="shared" si="9"/>
        <v>0</v>
      </c>
      <c r="AH23" s="5104">
        <v>0</v>
      </c>
      <c r="AI23" s="5104"/>
      <c r="AJ23" s="5104">
        <v>0</v>
      </c>
      <c r="AK23" s="5157">
        <f t="shared" si="10"/>
        <v>0</v>
      </c>
      <c r="AL23" s="5108">
        <v>0</v>
      </c>
      <c r="AM23" s="5108">
        <v>0</v>
      </c>
      <c r="AN23" s="5155">
        <v>0</v>
      </c>
      <c r="AO23" s="5157">
        <f t="shared" si="11"/>
        <v>0</v>
      </c>
      <c r="AP23" s="5156">
        <f t="shared" si="12"/>
        <v>0</v>
      </c>
      <c r="AQ23" s="5117">
        <f t="shared" si="13"/>
        <v>0</v>
      </c>
      <c r="AR23" s="5107">
        <f t="shared" si="14"/>
        <v>103516.712</v>
      </c>
      <c r="AS23" s="5154"/>
      <c r="AT23" s="5110"/>
      <c r="AU23" s="5116">
        <f t="shared" si="15"/>
        <v>4380</v>
      </c>
      <c r="AV23" s="5115"/>
      <c r="AW23" s="5114">
        <f t="shared" si="16"/>
        <v>10671</v>
      </c>
      <c r="AX23" s="5113"/>
      <c r="AY23" s="5113">
        <f t="shared" si="17"/>
        <v>15051</v>
      </c>
      <c r="AZ23" s="5113"/>
      <c r="BA23" s="5114">
        <f t="shared" si="18"/>
        <v>8479</v>
      </c>
      <c r="BB23" s="5112"/>
      <c r="BC23" s="5112">
        <f t="shared" si="19"/>
        <v>23530</v>
      </c>
      <c r="BD23" s="5113"/>
      <c r="BE23" s="5114">
        <f t="shared" si="20"/>
        <v>5653</v>
      </c>
      <c r="BF23" s="5111"/>
      <c r="BG23" s="5111">
        <f t="shared" si="21"/>
        <v>29183</v>
      </c>
      <c r="BH23" s="5113"/>
      <c r="BI23" s="5114">
        <f t="shared" si="22"/>
        <v>14098</v>
      </c>
      <c r="BJ23" s="5111"/>
      <c r="BK23" s="5111">
        <f t="shared" si="23"/>
        <v>43281</v>
      </c>
      <c r="BL23" s="5113"/>
      <c r="BM23" s="5114">
        <f t="shared" si="24"/>
        <v>10352.258</v>
      </c>
      <c r="BN23" s="5113"/>
      <c r="BO23" s="5112">
        <f t="shared" si="25"/>
        <v>30103.258000000002</v>
      </c>
      <c r="BP23" s="5113"/>
      <c r="BQ23" s="5136">
        <f t="shared" si="26"/>
        <v>53633.258000000002</v>
      </c>
      <c r="BR23" s="5113"/>
      <c r="BS23" s="5114">
        <f t="shared" si="27"/>
        <v>19262.768</v>
      </c>
      <c r="BT23" s="5113"/>
      <c r="BU23" s="5113">
        <f t="shared" si="28"/>
        <v>72896.025999999998</v>
      </c>
      <c r="BV23" s="5113"/>
      <c r="BW23" s="5114">
        <f t="shared" si="29"/>
        <v>0</v>
      </c>
      <c r="BX23" s="5113"/>
      <c r="BY23" s="5113">
        <f t="shared" si="30"/>
        <v>72896.025999999998</v>
      </c>
      <c r="BZ23" s="5113"/>
      <c r="CA23" s="5114">
        <f t="shared" si="31"/>
        <v>6553</v>
      </c>
      <c r="CB23" s="5113"/>
      <c r="CC23" s="5112">
        <f t="shared" si="32"/>
        <v>25815.768</v>
      </c>
      <c r="CD23" s="5113"/>
      <c r="CE23" s="5113">
        <f t="shared" si="33"/>
        <v>79449.025999999998</v>
      </c>
      <c r="CF23" s="5113"/>
      <c r="CG23" s="5114">
        <f t="shared" si="34"/>
        <v>15003.058000000001</v>
      </c>
      <c r="CH23" s="5113"/>
      <c r="CI23" s="5113">
        <f t="shared" si="35"/>
        <v>94452.084000000003</v>
      </c>
      <c r="CJ23" s="5113"/>
      <c r="CK23" s="5114">
        <f t="shared" si="36"/>
        <v>4443.6279999999997</v>
      </c>
      <c r="CL23" s="5113"/>
      <c r="CM23" s="5113">
        <f t="shared" si="37"/>
        <v>98895.712</v>
      </c>
      <c r="CN23" s="5113"/>
      <c r="CO23" s="5114">
        <f t="shared" si="38"/>
        <v>4621</v>
      </c>
      <c r="CP23" s="5113"/>
      <c r="CQ23" s="5112">
        <f t="shared" si="39"/>
        <v>24067.686000000002</v>
      </c>
      <c r="CR23" s="5113"/>
      <c r="CS23" s="5136">
        <f t="shared" si="40"/>
        <v>49883.453999999998</v>
      </c>
      <c r="CT23" s="5111"/>
      <c r="CU23" s="5139">
        <f t="shared" si="41"/>
        <v>103516.712</v>
      </c>
      <c r="CV23" s="5138"/>
      <c r="CW23" s="5147"/>
    </row>
    <row r="24" spans="1:101" x14ac:dyDescent="0.25">
      <c r="A24" s="5170"/>
      <c r="B24" s="5170"/>
      <c r="C24" s="5170"/>
      <c r="D24" s="5170"/>
      <c r="E24" s="5158" t="s">
        <v>1988</v>
      </c>
      <c r="F24" s="5150"/>
      <c r="G24" s="5108"/>
      <c r="H24" s="5108"/>
      <c r="I24" s="5157">
        <f t="shared" si="0"/>
        <v>0</v>
      </c>
      <c r="J24" s="5108"/>
      <c r="K24" s="5108"/>
      <c r="L24" s="5108">
        <v>255.79400000000001</v>
      </c>
      <c r="M24" s="5157">
        <f t="shared" si="1"/>
        <v>255.79400000000001</v>
      </c>
      <c r="N24" s="5156">
        <f t="shared" si="2"/>
        <v>255.79400000000001</v>
      </c>
      <c r="O24" s="5104"/>
      <c r="P24" s="5104"/>
      <c r="Q24" s="5108"/>
      <c r="R24" s="5157">
        <f t="shared" si="3"/>
        <v>0</v>
      </c>
      <c r="S24" s="5108"/>
      <c r="T24" s="5108">
        <v>729.33</v>
      </c>
      <c r="U24" s="5155"/>
      <c r="V24" s="5157">
        <f t="shared" si="4"/>
        <v>729.33</v>
      </c>
      <c r="W24" s="5156">
        <f t="shared" si="5"/>
        <v>729.33</v>
      </c>
      <c r="X24" s="5120">
        <f t="shared" si="6"/>
        <v>985.12400000000002</v>
      </c>
      <c r="Y24" s="5119"/>
      <c r="Z24" s="5108"/>
      <c r="AA24" s="5108"/>
      <c r="AB24" s="5157">
        <f t="shared" si="7"/>
        <v>0</v>
      </c>
      <c r="AC24" s="5108"/>
      <c r="AD24" s="5108"/>
      <c r="AE24" s="5108">
        <v>0</v>
      </c>
      <c r="AF24" s="5118">
        <f t="shared" si="8"/>
        <v>0</v>
      </c>
      <c r="AG24" s="5156">
        <f t="shared" si="9"/>
        <v>0</v>
      </c>
      <c r="AH24" s="5104"/>
      <c r="AI24" s="5104"/>
      <c r="AJ24" s="5104"/>
      <c r="AK24" s="5157">
        <f t="shared" si="10"/>
        <v>0</v>
      </c>
      <c r="AL24" s="5108"/>
      <c r="AM24" s="5108">
        <v>0</v>
      </c>
      <c r="AN24" s="5155"/>
      <c r="AO24" s="5157">
        <f t="shared" si="11"/>
        <v>0</v>
      </c>
      <c r="AP24" s="5156">
        <f t="shared" si="12"/>
        <v>0</v>
      </c>
      <c r="AQ24" s="5117">
        <f t="shared" si="13"/>
        <v>0</v>
      </c>
      <c r="AR24" s="5107">
        <f t="shared" si="14"/>
        <v>985.12400000000002</v>
      </c>
      <c r="AS24" s="5154"/>
      <c r="AT24" s="5110"/>
      <c r="AU24" s="5116">
        <f t="shared" si="15"/>
        <v>0</v>
      </c>
      <c r="AV24" s="5115"/>
      <c r="AW24" s="5114">
        <f t="shared" si="16"/>
        <v>0</v>
      </c>
      <c r="AX24" s="5113"/>
      <c r="AY24" s="5113">
        <f t="shared" si="17"/>
        <v>0</v>
      </c>
      <c r="AZ24" s="5113"/>
      <c r="BA24" s="5114">
        <f t="shared" si="18"/>
        <v>0</v>
      </c>
      <c r="BB24" s="5112"/>
      <c r="BC24" s="5112">
        <f t="shared" si="19"/>
        <v>0</v>
      </c>
      <c r="BD24" s="5113"/>
      <c r="BE24" s="5114">
        <f t="shared" si="20"/>
        <v>0</v>
      </c>
      <c r="BF24" s="5111"/>
      <c r="BG24" s="5111">
        <f t="shared" si="21"/>
        <v>0</v>
      </c>
      <c r="BH24" s="5113"/>
      <c r="BI24" s="5114">
        <f t="shared" si="22"/>
        <v>0</v>
      </c>
      <c r="BJ24" s="5111"/>
      <c r="BK24" s="5111">
        <f t="shared" si="23"/>
        <v>0</v>
      </c>
      <c r="BL24" s="5113"/>
      <c r="BM24" s="5114">
        <f t="shared" si="24"/>
        <v>255.79400000000001</v>
      </c>
      <c r="BN24" s="5113"/>
      <c r="BO24" s="5112">
        <f t="shared" si="25"/>
        <v>255.79400000000001</v>
      </c>
      <c r="BP24" s="5113"/>
      <c r="BQ24" s="5136">
        <f t="shared" si="26"/>
        <v>255.79400000000001</v>
      </c>
      <c r="BR24" s="5113"/>
      <c r="BS24" s="5114">
        <f t="shared" si="27"/>
        <v>0</v>
      </c>
      <c r="BT24" s="5113"/>
      <c r="BU24" s="5113">
        <f t="shared" si="28"/>
        <v>255.79400000000001</v>
      </c>
      <c r="BV24" s="5113"/>
      <c r="BW24" s="5114">
        <f t="shared" si="29"/>
        <v>0</v>
      </c>
      <c r="BX24" s="5113"/>
      <c r="BY24" s="5113">
        <f t="shared" si="30"/>
        <v>255.79400000000001</v>
      </c>
      <c r="BZ24" s="5113"/>
      <c r="CA24" s="5114">
        <f t="shared" si="31"/>
        <v>0</v>
      </c>
      <c r="CB24" s="5113"/>
      <c r="CC24" s="5112">
        <f t="shared" si="32"/>
        <v>0</v>
      </c>
      <c r="CD24" s="5113"/>
      <c r="CE24" s="5113">
        <f t="shared" si="33"/>
        <v>255.79400000000001</v>
      </c>
      <c r="CF24" s="5113"/>
      <c r="CG24" s="5114">
        <f t="shared" si="34"/>
        <v>0</v>
      </c>
      <c r="CH24" s="5113"/>
      <c r="CI24" s="5113">
        <f t="shared" si="35"/>
        <v>255.79400000000001</v>
      </c>
      <c r="CJ24" s="5113"/>
      <c r="CK24" s="5114">
        <f t="shared" si="36"/>
        <v>729.33</v>
      </c>
      <c r="CL24" s="5113"/>
      <c r="CM24" s="5113">
        <f t="shared" si="37"/>
        <v>985.12400000000002</v>
      </c>
      <c r="CN24" s="5113"/>
      <c r="CO24" s="5114">
        <f t="shared" si="38"/>
        <v>0</v>
      </c>
      <c r="CP24" s="5113"/>
      <c r="CQ24" s="5112">
        <f t="shared" si="39"/>
        <v>729.33</v>
      </c>
      <c r="CR24" s="5113"/>
      <c r="CS24" s="5136">
        <f t="shared" si="40"/>
        <v>729.33</v>
      </c>
      <c r="CT24" s="5111"/>
      <c r="CU24" s="5139">
        <f t="shared" si="41"/>
        <v>985.12400000000002</v>
      </c>
      <c r="CV24" s="5138"/>
      <c r="CW24" s="5147"/>
    </row>
    <row r="25" spans="1:101" x14ac:dyDescent="0.25">
      <c r="A25" s="5170"/>
      <c r="B25" s="5170"/>
      <c r="C25" s="5170"/>
      <c r="D25" s="5170"/>
      <c r="E25" s="5158" t="s">
        <v>2013</v>
      </c>
      <c r="F25" s="5150"/>
      <c r="G25" s="5108"/>
      <c r="H25" s="5108"/>
      <c r="I25" s="5157">
        <f t="shared" si="0"/>
        <v>0</v>
      </c>
      <c r="J25" s="5108"/>
      <c r="K25" s="5108"/>
      <c r="L25" s="5108"/>
      <c r="M25" s="5157">
        <f t="shared" si="1"/>
        <v>0</v>
      </c>
      <c r="N25" s="5156">
        <f t="shared" si="2"/>
        <v>0</v>
      </c>
      <c r="O25" s="5104">
        <v>249.452</v>
      </c>
      <c r="P25" s="5104"/>
      <c r="Q25" s="5108"/>
      <c r="R25" s="5157">
        <f t="shared" si="3"/>
        <v>249.452</v>
      </c>
      <c r="S25" s="5108"/>
      <c r="T25" s="5108"/>
      <c r="U25" s="5155"/>
      <c r="V25" s="5157">
        <f t="shared" si="4"/>
        <v>0</v>
      </c>
      <c r="W25" s="5156">
        <f t="shared" si="5"/>
        <v>249.452</v>
      </c>
      <c r="X25" s="5120">
        <f t="shared" si="6"/>
        <v>249.452</v>
      </c>
      <c r="Y25" s="5119"/>
      <c r="Z25" s="5108"/>
      <c r="AA25" s="5108"/>
      <c r="AB25" s="5157">
        <f t="shared" si="7"/>
        <v>0</v>
      </c>
      <c r="AC25" s="5108"/>
      <c r="AD25" s="5108"/>
      <c r="AE25" s="5108"/>
      <c r="AF25" s="5118">
        <f t="shared" si="8"/>
        <v>0</v>
      </c>
      <c r="AG25" s="5156">
        <f t="shared" si="9"/>
        <v>0</v>
      </c>
      <c r="AH25" s="5104">
        <v>0</v>
      </c>
      <c r="AI25" s="5104"/>
      <c r="AJ25" s="5104"/>
      <c r="AK25" s="5157">
        <f t="shared" si="10"/>
        <v>0</v>
      </c>
      <c r="AL25" s="5108"/>
      <c r="AM25" s="5108"/>
      <c r="AN25" s="5155"/>
      <c r="AO25" s="5157">
        <f t="shared" si="11"/>
        <v>0</v>
      </c>
      <c r="AP25" s="5156">
        <f t="shared" si="12"/>
        <v>0</v>
      </c>
      <c r="AQ25" s="5117">
        <f t="shared" si="13"/>
        <v>0</v>
      </c>
      <c r="AR25" s="5107">
        <f t="shared" si="14"/>
        <v>249.452</v>
      </c>
      <c r="AS25" s="5154"/>
      <c r="AT25" s="5110"/>
      <c r="AU25" s="5116">
        <f t="shared" si="15"/>
        <v>0</v>
      </c>
      <c r="AV25" s="5115"/>
      <c r="AW25" s="5114">
        <f t="shared" si="16"/>
        <v>0</v>
      </c>
      <c r="AX25" s="5113"/>
      <c r="AY25" s="5113">
        <f t="shared" si="17"/>
        <v>0</v>
      </c>
      <c r="AZ25" s="5113"/>
      <c r="BA25" s="5114">
        <f t="shared" si="18"/>
        <v>0</v>
      </c>
      <c r="BB25" s="5112"/>
      <c r="BC25" s="5112">
        <f t="shared" si="19"/>
        <v>0</v>
      </c>
      <c r="BD25" s="5113"/>
      <c r="BE25" s="5114">
        <f t="shared" si="20"/>
        <v>0</v>
      </c>
      <c r="BF25" s="5111"/>
      <c r="BG25" s="5111">
        <f t="shared" si="21"/>
        <v>0</v>
      </c>
      <c r="BH25" s="5113"/>
      <c r="BI25" s="5114">
        <f t="shared" si="22"/>
        <v>0</v>
      </c>
      <c r="BJ25" s="5111"/>
      <c r="BK25" s="5111">
        <f t="shared" si="23"/>
        <v>0</v>
      </c>
      <c r="BL25" s="5113"/>
      <c r="BM25" s="5114">
        <f t="shared" si="24"/>
        <v>0</v>
      </c>
      <c r="BN25" s="5113"/>
      <c r="BO25" s="5112">
        <f t="shared" si="25"/>
        <v>0</v>
      </c>
      <c r="BP25" s="5113"/>
      <c r="BQ25" s="5136">
        <f t="shared" si="26"/>
        <v>0</v>
      </c>
      <c r="BR25" s="5113"/>
      <c r="BS25" s="5114">
        <f t="shared" si="27"/>
        <v>249.452</v>
      </c>
      <c r="BT25" s="5113"/>
      <c r="BU25" s="5113">
        <f t="shared" si="28"/>
        <v>249.452</v>
      </c>
      <c r="BV25" s="5113"/>
      <c r="BW25" s="5114">
        <f t="shared" si="29"/>
        <v>0</v>
      </c>
      <c r="BX25" s="5113"/>
      <c r="BY25" s="5113">
        <f t="shared" si="30"/>
        <v>249.452</v>
      </c>
      <c r="BZ25" s="5113"/>
      <c r="CA25" s="5114">
        <f t="shared" si="31"/>
        <v>0</v>
      </c>
      <c r="CB25" s="5113"/>
      <c r="CC25" s="5112">
        <f t="shared" si="32"/>
        <v>249.452</v>
      </c>
      <c r="CD25" s="5113"/>
      <c r="CE25" s="5113">
        <f t="shared" si="33"/>
        <v>249.452</v>
      </c>
      <c r="CF25" s="5113"/>
      <c r="CG25" s="5114">
        <f t="shared" si="34"/>
        <v>0</v>
      </c>
      <c r="CH25" s="5113"/>
      <c r="CI25" s="5113">
        <f t="shared" si="35"/>
        <v>249.452</v>
      </c>
      <c r="CJ25" s="5113"/>
      <c r="CK25" s="5114">
        <f t="shared" si="36"/>
        <v>0</v>
      </c>
      <c r="CL25" s="5113"/>
      <c r="CM25" s="5113">
        <f t="shared" si="37"/>
        <v>249.452</v>
      </c>
      <c r="CN25" s="5113"/>
      <c r="CO25" s="5114">
        <f t="shared" si="38"/>
        <v>0</v>
      </c>
      <c r="CP25" s="5113"/>
      <c r="CQ25" s="5112">
        <f t="shared" si="39"/>
        <v>0</v>
      </c>
      <c r="CR25" s="5113"/>
      <c r="CS25" s="5136">
        <f t="shared" si="40"/>
        <v>249.452</v>
      </c>
      <c r="CT25" s="5111"/>
      <c r="CU25" s="5139">
        <f t="shared" si="41"/>
        <v>249.452</v>
      </c>
      <c r="CV25" s="5138"/>
      <c r="CW25" s="5147"/>
    </row>
    <row r="26" spans="1:101" x14ac:dyDescent="0.25">
      <c r="A26" s="5170"/>
      <c r="B26" s="5170"/>
      <c r="C26" s="5170"/>
      <c r="D26" s="5170"/>
      <c r="E26" s="5158" t="s">
        <v>2188</v>
      </c>
      <c r="F26" s="5150"/>
      <c r="G26" s="5108"/>
      <c r="H26" s="5108"/>
      <c r="I26" s="5157">
        <f t="shared" si="0"/>
        <v>0</v>
      </c>
      <c r="J26" s="5108"/>
      <c r="K26" s="5108"/>
      <c r="L26" s="5108"/>
      <c r="M26" s="5157">
        <f t="shared" si="1"/>
        <v>0</v>
      </c>
      <c r="N26" s="5156">
        <f t="shared" si="2"/>
        <v>0</v>
      </c>
      <c r="O26" s="5104"/>
      <c r="P26" s="5104"/>
      <c r="Q26" s="5108">
        <v>123</v>
      </c>
      <c r="R26" s="5157">
        <f t="shared" si="3"/>
        <v>123</v>
      </c>
      <c r="S26" s="5108"/>
      <c r="T26" s="5108"/>
      <c r="U26" s="5155"/>
      <c r="V26" s="5157">
        <f t="shared" si="4"/>
        <v>0</v>
      </c>
      <c r="W26" s="5156">
        <f t="shared" si="5"/>
        <v>123</v>
      </c>
      <c r="X26" s="5120">
        <f t="shared" si="6"/>
        <v>123</v>
      </c>
      <c r="Y26" s="5119"/>
      <c r="Z26" s="5108"/>
      <c r="AA26" s="5108"/>
      <c r="AB26" s="5157">
        <f t="shared" si="7"/>
        <v>0</v>
      </c>
      <c r="AC26" s="5108"/>
      <c r="AD26" s="5108"/>
      <c r="AE26" s="5108"/>
      <c r="AF26" s="5118">
        <f t="shared" si="8"/>
        <v>0</v>
      </c>
      <c r="AG26" s="5156">
        <f t="shared" si="9"/>
        <v>0</v>
      </c>
      <c r="AH26" s="5104"/>
      <c r="AI26" s="5104"/>
      <c r="AJ26" s="5104">
        <v>0</v>
      </c>
      <c r="AK26" s="5157">
        <f t="shared" si="10"/>
        <v>0</v>
      </c>
      <c r="AL26" s="5108"/>
      <c r="AM26" s="5108"/>
      <c r="AN26" s="5155"/>
      <c r="AO26" s="5157">
        <f t="shared" si="11"/>
        <v>0</v>
      </c>
      <c r="AP26" s="5156">
        <f t="shared" si="12"/>
        <v>0</v>
      </c>
      <c r="AQ26" s="5117">
        <f t="shared" si="13"/>
        <v>0</v>
      </c>
      <c r="AR26" s="5107">
        <f t="shared" si="14"/>
        <v>123</v>
      </c>
      <c r="AS26" s="5154"/>
      <c r="AT26" s="5110"/>
      <c r="AU26" s="5116">
        <f t="shared" si="15"/>
        <v>0</v>
      </c>
      <c r="AV26" s="5115"/>
      <c r="AW26" s="5114">
        <f t="shared" si="16"/>
        <v>0</v>
      </c>
      <c r="AX26" s="5113"/>
      <c r="AY26" s="5113">
        <f t="shared" si="17"/>
        <v>0</v>
      </c>
      <c r="AZ26" s="5113"/>
      <c r="BA26" s="5114">
        <f t="shared" si="18"/>
        <v>0</v>
      </c>
      <c r="BB26" s="5112"/>
      <c r="BC26" s="5112">
        <f t="shared" si="19"/>
        <v>0</v>
      </c>
      <c r="BD26" s="5113"/>
      <c r="BE26" s="5114">
        <f t="shared" si="20"/>
        <v>0</v>
      </c>
      <c r="BF26" s="5111"/>
      <c r="BG26" s="5111">
        <f t="shared" si="21"/>
        <v>0</v>
      </c>
      <c r="BH26" s="5113"/>
      <c r="BI26" s="5114">
        <f t="shared" si="22"/>
        <v>0</v>
      </c>
      <c r="BJ26" s="5111"/>
      <c r="BK26" s="5111">
        <f t="shared" si="23"/>
        <v>0</v>
      </c>
      <c r="BL26" s="5113"/>
      <c r="BM26" s="5114">
        <f t="shared" si="24"/>
        <v>0</v>
      </c>
      <c r="BN26" s="5113"/>
      <c r="BO26" s="5112">
        <f t="shared" si="25"/>
        <v>0</v>
      </c>
      <c r="BP26" s="5113"/>
      <c r="BQ26" s="5136">
        <f t="shared" si="26"/>
        <v>0</v>
      </c>
      <c r="BR26" s="5113"/>
      <c r="BS26" s="5114">
        <f t="shared" si="27"/>
        <v>0</v>
      </c>
      <c r="BT26" s="5113"/>
      <c r="BU26" s="5113">
        <f t="shared" si="28"/>
        <v>0</v>
      </c>
      <c r="BV26" s="5113"/>
      <c r="BW26" s="5114">
        <f t="shared" si="29"/>
        <v>0</v>
      </c>
      <c r="BX26" s="5113"/>
      <c r="BY26" s="5113">
        <f t="shared" si="30"/>
        <v>0</v>
      </c>
      <c r="BZ26" s="5113"/>
      <c r="CA26" s="5114">
        <f t="shared" si="31"/>
        <v>123</v>
      </c>
      <c r="CB26" s="5113"/>
      <c r="CC26" s="5112">
        <f t="shared" si="32"/>
        <v>123</v>
      </c>
      <c r="CD26" s="5113"/>
      <c r="CE26" s="5113">
        <f t="shared" si="33"/>
        <v>123</v>
      </c>
      <c r="CF26" s="5113"/>
      <c r="CG26" s="5114">
        <f t="shared" si="34"/>
        <v>0</v>
      </c>
      <c r="CH26" s="5113"/>
      <c r="CI26" s="5113">
        <f t="shared" si="35"/>
        <v>123</v>
      </c>
      <c r="CJ26" s="5113"/>
      <c r="CK26" s="5114">
        <f t="shared" si="36"/>
        <v>0</v>
      </c>
      <c r="CL26" s="5113"/>
      <c r="CM26" s="5113">
        <f t="shared" si="37"/>
        <v>123</v>
      </c>
      <c r="CN26" s="5113"/>
      <c r="CO26" s="5114">
        <f t="shared" si="38"/>
        <v>0</v>
      </c>
      <c r="CP26" s="5113"/>
      <c r="CQ26" s="5112">
        <f t="shared" si="39"/>
        <v>0</v>
      </c>
      <c r="CR26" s="5113"/>
      <c r="CS26" s="5136">
        <f t="shared" si="40"/>
        <v>123</v>
      </c>
      <c r="CT26" s="5111"/>
      <c r="CU26" s="5139">
        <f t="shared" si="41"/>
        <v>123</v>
      </c>
      <c r="CV26" s="5138"/>
      <c r="CW26" s="5147"/>
    </row>
    <row r="27" spans="1:101" x14ac:dyDescent="0.25">
      <c r="A27" s="5170"/>
      <c r="B27" s="5170"/>
      <c r="C27" s="5170"/>
      <c r="D27" s="5170"/>
      <c r="E27" s="5158" t="s">
        <v>2189</v>
      </c>
      <c r="F27" s="5150"/>
      <c r="G27" s="5108"/>
      <c r="H27" s="5108"/>
      <c r="I27" s="5157">
        <f t="shared" si="0"/>
        <v>0</v>
      </c>
      <c r="J27" s="5108"/>
      <c r="K27" s="5108"/>
      <c r="L27" s="5108"/>
      <c r="M27" s="5157">
        <f t="shared" si="1"/>
        <v>0</v>
      </c>
      <c r="N27" s="5156">
        <f t="shared" si="2"/>
        <v>0</v>
      </c>
      <c r="O27" s="5104"/>
      <c r="P27" s="5104"/>
      <c r="Q27" s="5108">
        <v>1099</v>
      </c>
      <c r="R27" s="5157">
        <f t="shared" si="3"/>
        <v>1099</v>
      </c>
      <c r="S27" s="5108"/>
      <c r="T27" s="5108"/>
      <c r="U27" s="5155"/>
      <c r="V27" s="5157">
        <f t="shared" si="4"/>
        <v>0</v>
      </c>
      <c r="W27" s="5156">
        <f t="shared" si="5"/>
        <v>1099</v>
      </c>
      <c r="X27" s="5120">
        <f t="shared" si="6"/>
        <v>1099</v>
      </c>
      <c r="Y27" s="5119"/>
      <c r="Z27" s="5108"/>
      <c r="AA27" s="5108"/>
      <c r="AB27" s="5157">
        <f t="shared" si="7"/>
        <v>0</v>
      </c>
      <c r="AC27" s="5108"/>
      <c r="AD27" s="5108"/>
      <c r="AE27" s="5108"/>
      <c r="AF27" s="5118">
        <f t="shared" si="8"/>
        <v>0</v>
      </c>
      <c r="AG27" s="5156">
        <f t="shared" si="9"/>
        <v>0</v>
      </c>
      <c r="AH27" s="5104"/>
      <c r="AI27" s="5104"/>
      <c r="AJ27" s="5104">
        <v>0</v>
      </c>
      <c r="AK27" s="5157">
        <f t="shared" si="10"/>
        <v>0</v>
      </c>
      <c r="AL27" s="5108"/>
      <c r="AM27" s="5108"/>
      <c r="AN27" s="5155"/>
      <c r="AO27" s="5157">
        <f t="shared" si="11"/>
        <v>0</v>
      </c>
      <c r="AP27" s="5156">
        <f t="shared" si="12"/>
        <v>0</v>
      </c>
      <c r="AQ27" s="5117">
        <f t="shared" si="13"/>
        <v>0</v>
      </c>
      <c r="AR27" s="5107">
        <f t="shared" si="14"/>
        <v>1099</v>
      </c>
      <c r="AS27" s="5154"/>
      <c r="AT27" s="5110"/>
      <c r="AU27" s="5116">
        <f t="shared" si="15"/>
        <v>0</v>
      </c>
      <c r="AV27" s="5115"/>
      <c r="AW27" s="5114">
        <f t="shared" si="16"/>
        <v>0</v>
      </c>
      <c r="AX27" s="5113"/>
      <c r="AY27" s="5113">
        <f t="shared" si="17"/>
        <v>0</v>
      </c>
      <c r="AZ27" s="5113"/>
      <c r="BA27" s="5114">
        <f t="shared" si="18"/>
        <v>0</v>
      </c>
      <c r="BB27" s="5112"/>
      <c r="BC27" s="5112">
        <f t="shared" si="19"/>
        <v>0</v>
      </c>
      <c r="BD27" s="5113"/>
      <c r="BE27" s="5114">
        <f t="shared" si="20"/>
        <v>0</v>
      </c>
      <c r="BF27" s="5111"/>
      <c r="BG27" s="5111">
        <f t="shared" si="21"/>
        <v>0</v>
      </c>
      <c r="BH27" s="5113"/>
      <c r="BI27" s="5114">
        <f t="shared" si="22"/>
        <v>0</v>
      </c>
      <c r="BJ27" s="5111"/>
      <c r="BK27" s="5111">
        <f t="shared" si="23"/>
        <v>0</v>
      </c>
      <c r="BL27" s="5113"/>
      <c r="BM27" s="5114">
        <f t="shared" si="24"/>
        <v>0</v>
      </c>
      <c r="BN27" s="5113"/>
      <c r="BO27" s="5112">
        <f t="shared" si="25"/>
        <v>0</v>
      </c>
      <c r="BP27" s="5113"/>
      <c r="BQ27" s="5136">
        <f t="shared" si="26"/>
        <v>0</v>
      </c>
      <c r="BR27" s="5113"/>
      <c r="BS27" s="5114">
        <f t="shared" si="27"/>
        <v>0</v>
      </c>
      <c r="BT27" s="5113"/>
      <c r="BU27" s="5113">
        <f t="shared" si="28"/>
        <v>0</v>
      </c>
      <c r="BV27" s="5113"/>
      <c r="BW27" s="5114">
        <f t="shared" si="29"/>
        <v>0</v>
      </c>
      <c r="BX27" s="5113"/>
      <c r="BY27" s="5113">
        <f t="shared" si="30"/>
        <v>0</v>
      </c>
      <c r="BZ27" s="5113"/>
      <c r="CA27" s="5114">
        <f t="shared" si="31"/>
        <v>1099</v>
      </c>
      <c r="CB27" s="5113"/>
      <c r="CC27" s="5112">
        <f t="shared" si="32"/>
        <v>1099</v>
      </c>
      <c r="CD27" s="5113"/>
      <c r="CE27" s="5113">
        <f t="shared" si="33"/>
        <v>1099</v>
      </c>
      <c r="CF27" s="5113"/>
      <c r="CG27" s="5114">
        <f t="shared" si="34"/>
        <v>0</v>
      </c>
      <c r="CH27" s="5113"/>
      <c r="CI27" s="5113">
        <f t="shared" si="35"/>
        <v>1099</v>
      </c>
      <c r="CJ27" s="5113"/>
      <c r="CK27" s="5114">
        <f t="shared" si="36"/>
        <v>0</v>
      </c>
      <c r="CL27" s="5113"/>
      <c r="CM27" s="5113">
        <f t="shared" si="37"/>
        <v>1099</v>
      </c>
      <c r="CN27" s="5113"/>
      <c r="CO27" s="5114">
        <f t="shared" si="38"/>
        <v>0</v>
      </c>
      <c r="CP27" s="5113"/>
      <c r="CQ27" s="5112">
        <f t="shared" si="39"/>
        <v>0</v>
      </c>
      <c r="CR27" s="5113"/>
      <c r="CS27" s="5136">
        <f t="shared" si="40"/>
        <v>1099</v>
      </c>
      <c r="CT27" s="5111"/>
      <c r="CU27" s="5139">
        <f t="shared" si="41"/>
        <v>1099</v>
      </c>
      <c r="CV27" s="5138"/>
      <c r="CW27" s="5147"/>
    </row>
    <row r="28" spans="1:101" x14ac:dyDescent="0.25">
      <c r="A28" s="5170"/>
      <c r="B28" s="5170"/>
      <c r="C28" s="5170"/>
      <c r="D28" s="5170"/>
      <c r="E28" s="5158" t="s">
        <v>1688</v>
      </c>
      <c r="F28" s="5150"/>
      <c r="G28" s="5108"/>
      <c r="H28" s="5108">
        <v>260</v>
      </c>
      <c r="I28" s="5157">
        <f t="shared" si="0"/>
        <v>260</v>
      </c>
      <c r="J28" s="5108"/>
      <c r="K28" s="5108"/>
      <c r="L28" s="5108"/>
      <c r="M28" s="5157">
        <f t="shared" si="1"/>
        <v>0</v>
      </c>
      <c r="N28" s="5156">
        <f t="shared" si="2"/>
        <v>260</v>
      </c>
      <c r="O28" s="5104"/>
      <c r="P28" s="5104"/>
      <c r="Q28" s="5108"/>
      <c r="R28" s="5157">
        <f t="shared" si="3"/>
        <v>0</v>
      </c>
      <c r="S28" s="5108"/>
      <c r="T28" s="5108"/>
      <c r="U28" s="5155"/>
      <c r="V28" s="5157">
        <f t="shared" si="4"/>
        <v>0</v>
      </c>
      <c r="W28" s="5156">
        <f t="shared" si="5"/>
        <v>0</v>
      </c>
      <c r="X28" s="5120">
        <f t="shared" si="6"/>
        <v>260</v>
      </c>
      <c r="Y28" s="5119"/>
      <c r="Z28" s="5108"/>
      <c r="AA28" s="5108">
        <v>0</v>
      </c>
      <c r="AB28" s="5157">
        <f t="shared" si="7"/>
        <v>0</v>
      </c>
      <c r="AC28" s="5108"/>
      <c r="AD28" s="5108"/>
      <c r="AE28" s="5108"/>
      <c r="AF28" s="5118">
        <f t="shared" si="8"/>
        <v>0</v>
      </c>
      <c r="AG28" s="5156">
        <f t="shared" si="9"/>
        <v>0</v>
      </c>
      <c r="AH28" s="5104"/>
      <c r="AI28" s="5104"/>
      <c r="AJ28" s="5104"/>
      <c r="AK28" s="5157">
        <f t="shared" si="10"/>
        <v>0</v>
      </c>
      <c r="AL28" s="5108"/>
      <c r="AM28" s="5108"/>
      <c r="AN28" s="5155"/>
      <c r="AO28" s="5157">
        <f t="shared" si="11"/>
        <v>0</v>
      </c>
      <c r="AP28" s="5156">
        <f t="shared" si="12"/>
        <v>0</v>
      </c>
      <c r="AQ28" s="5117">
        <f t="shared" si="13"/>
        <v>0</v>
      </c>
      <c r="AR28" s="5107">
        <f t="shared" si="14"/>
        <v>260</v>
      </c>
      <c r="AS28" s="5154"/>
      <c r="AT28" s="5110"/>
      <c r="AU28" s="5116">
        <f t="shared" si="15"/>
        <v>0</v>
      </c>
      <c r="AV28" s="5115"/>
      <c r="AW28" s="5114">
        <f t="shared" si="16"/>
        <v>0</v>
      </c>
      <c r="AX28" s="5113"/>
      <c r="AY28" s="5113">
        <f t="shared" si="17"/>
        <v>0</v>
      </c>
      <c r="AZ28" s="5113"/>
      <c r="BA28" s="5114">
        <f t="shared" si="18"/>
        <v>260</v>
      </c>
      <c r="BB28" s="5112"/>
      <c r="BC28" s="5112">
        <f t="shared" si="19"/>
        <v>260</v>
      </c>
      <c r="BD28" s="5113"/>
      <c r="BE28" s="5114">
        <f t="shared" si="20"/>
        <v>0</v>
      </c>
      <c r="BF28" s="5111"/>
      <c r="BG28" s="5111">
        <f t="shared" si="21"/>
        <v>260</v>
      </c>
      <c r="BH28" s="5113"/>
      <c r="BI28" s="5114">
        <f t="shared" si="22"/>
        <v>0</v>
      </c>
      <c r="BJ28" s="5111"/>
      <c r="BK28" s="5111">
        <f t="shared" si="23"/>
        <v>260</v>
      </c>
      <c r="BL28" s="5113"/>
      <c r="BM28" s="5114">
        <f t="shared" si="24"/>
        <v>0</v>
      </c>
      <c r="BN28" s="5113"/>
      <c r="BO28" s="5112">
        <f t="shared" si="25"/>
        <v>0</v>
      </c>
      <c r="BP28" s="5113"/>
      <c r="BQ28" s="5136">
        <f t="shared" si="26"/>
        <v>260</v>
      </c>
      <c r="BR28" s="5113"/>
      <c r="BS28" s="5114">
        <f t="shared" si="27"/>
        <v>0</v>
      </c>
      <c r="BT28" s="5113"/>
      <c r="BU28" s="5113">
        <f t="shared" si="28"/>
        <v>260</v>
      </c>
      <c r="BV28" s="5113"/>
      <c r="BW28" s="5114">
        <f t="shared" si="29"/>
        <v>0</v>
      </c>
      <c r="BX28" s="5113"/>
      <c r="BY28" s="5113">
        <f t="shared" si="30"/>
        <v>260</v>
      </c>
      <c r="BZ28" s="5113"/>
      <c r="CA28" s="5114">
        <f t="shared" si="31"/>
        <v>0</v>
      </c>
      <c r="CB28" s="5113"/>
      <c r="CC28" s="5112">
        <f t="shared" si="32"/>
        <v>0</v>
      </c>
      <c r="CD28" s="5113"/>
      <c r="CE28" s="5113">
        <f t="shared" si="33"/>
        <v>260</v>
      </c>
      <c r="CF28" s="5113"/>
      <c r="CG28" s="5114">
        <f t="shared" si="34"/>
        <v>0</v>
      </c>
      <c r="CH28" s="5113"/>
      <c r="CI28" s="5113">
        <f t="shared" si="35"/>
        <v>260</v>
      </c>
      <c r="CJ28" s="5113"/>
      <c r="CK28" s="5114">
        <f t="shared" si="36"/>
        <v>0</v>
      </c>
      <c r="CL28" s="5113"/>
      <c r="CM28" s="5113">
        <f t="shared" si="37"/>
        <v>260</v>
      </c>
      <c r="CN28" s="5113"/>
      <c r="CO28" s="5114">
        <f t="shared" si="38"/>
        <v>0</v>
      </c>
      <c r="CP28" s="5113"/>
      <c r="CQ28" s="5112">
        <f t="shared" si="39"/>
        <v>0</v>
      </c>
      <c r="CR28" s="5113"/>
      <c r="CS28" s="5136">
        <f t="shared" si="40"/>
        <v>0</v>
      </c>
      <c r="CT28" s="5111"/>
      <c r="CU28" s="5139">
        <f t="shared" si="41"/>
        <v>260</v>
      </c>
      <c r="CV28" s="5138"/>
      <c r="CW28" s="5147"/>
    </row>
    <row r="29" spans="1:101" x14ac:dyDescent="0.25">
      <c r="A29" s="5170"/>
      <c r="B29" s="5170"/>
      <c r="C29" s="5170"/>
      <c r="D29" s="5170"/>
      <c r="E29" s="5158" t="s">
        <v>1719</v>
      </c>
      <c r="F29" s="5150">
        <v>154</v>
      </c>
      <c r="G29" s="5108">
        <v>1251</v>
      </c>
      <c r="H29" s="5108"/>
      <c r="I29" s="5157">
        <f t="shared" si="0"/>
        <v>1405</v>
      </c>
      <c r="J29" s="5108">
        <v>469</v>
      </c>
      <c r="K29" s="5108">
        <v>843</v>
      </c>
      <c r="L29" s="5108">
        <v>1253.6020000000001</v>
      </c>
      <c r="M29" s="5157">
        <f t="shared" si="1"/>
        <v>2565.6019999999999</v>
      </c>
      <c r="N29" s="5156">
        <f t="shared" si="2"/>
        <v>3970.6019999999999</v>
      </c>
      <c r="O29" s="5104">
        <v>1410.038</v>
      </c>
      <c r="P29" s="5104"/>
      <c r="Q29" s="5108">
        <v>928</v>
      </c>
      <c r="R29" s="5157">
        <f t="shared" si="3"/>
        <v>2338.038</v>
      </c>
      <c r="S29" s="5108">
        <v>1278.97</v>
      </c>
      <c r="T29" s="5108">
        <v>213.51400000000001</v>
      </c>
      <c r="U29" s="5155">
        <v>725</v>
      </c>
      <c r="V29" s="5157">
        <f t="shared" si="4"/>
        <v>2217.4839999999999</v>
      </c>
      <c r="W29" s="5156">
        <f t="shared" si="5"/>
        <v>4555.5219999999999</v>
      </c>
      <c r="X29" s="5120">
        <f t="shared" si="6"/>
        <v>8526.1239999999998</v>
      </c>
      <c r="Y29" s="5119">
        <v>0</v>
      </c>
      <c r="Z29" s="5108">
        <v>0</v>
      </c>
      <c r="AA29" s="5108"/>
      <c r="AB29" s="5157">
        <f t="shared" si="7"/>
        <v>0</v>
      </c>
      <c r="AC29" s="5108">
        <v>0</v>
      </c>
      <c r="AD29" s="5108">
        <v>0</v>
      </c>
      <c r="AE29" s="5108">
        <v>0</v>
      </c>
      <c r="AF29" s="5118">
        <f t="shared" si="8"/>
        <v>0</v>
      </c>
      <c r="AG29" s="5156">
        <f t="shared" si="9"/>
        <v>0</v>
      </c>
      <c r="AH29" s="5104">
        <v>0</v>
      </c>
      <c r="AI29" s="5104"/>
      <c r="AJ29" s="5104">
        <v>0</v>
      </c>
      <c r="AK29" s="5157">
        <f t="shared" si="10"/>
        <v>0</v>
      </c>
      <c r="AL29" s="5108">
        <v>0</v>
      </c>
      <c r="AM29" s="5108">
        <v>0</v>
      </c>
      <c r="AN29" s="5155">
        <v>0</v>
      </c>
      <c r="AO29" s="5157">
        <f t="shared" si="11"/>
        <v>0</v>
      </c>
      <c r="AP29" s="5156">
        <f t="shared" si="12"/>
        <v>0</v>
      </c>
      <c r="AQ29" s="5117">
        <f t="shared" si="13"/>
        <v>0</v>
      </c>
      <c r="AR29" s="5107">
        <f t="shared" si="14"/>
        <v>8526.1239999999998</v>
      </c>
      <c r="AS29" s="5154"/>
      <c r="AT29" s="5110"/>
      <c r="AU29" s="5116">
        <f t="shared" si="15"/>
        <v>154</v>
      </c>
      <c r="AV29" s="5115"/>
      <c r="AW29" s="5114">
        <f t="shared" si="16"/>
        <v>1251</v>
      </c>
      <c r="AX29" s="5113"/>
      <c r="AY29" s="5113">
        <f t="shared" si="17"/>
        <v>1405</v>
      </c>
      <c r="AZ29" s="5113"/>
      <c r="BA29" s="5114">
        <f t="shared" si="18"/>
        <v>0</v>
      </c>
      <c r="BB29" s="5112"/>
      <c r="BC29" s="5112">
        <f t="shared" si="19"/>
        <v>1405</v>
      </c>
      <c r="BD29" s="5113"/>
      <c r="BE29" s="5114">
        <f t="shared" si="20"/>
        <v>469</v>
      </c>
      <c r="BF29" s="5111"/>
      <c r="BG29" s="5111">
        <f t="shared" si="21"/>
        <v>1874</v>
      </c>
      <c r="BH29" s="5113"/>
      <c r="BI29" s="5114">
        <f t="shared" si="22"/>
        <v>843</v>
      </c>
      <c r="BJ29" s="5111"/>
      <c r="BK29" s="5111">
        <f t="shared" si="23"/>
        <v>2717</v>
      </c>
      <c r="BL29" s="5113"/>
      <c r="BM29" s="5114">
        <f t="shared" si="24"/>
        <v>1253.6020000000001</v>
      </c>
      <c r="BN29" s="5113"/>
      <c r="BO29" s="5112">
        <f t="shared" si="25"/>
        <v>2565.6019999999999</v>
      </c>
      <c r="BP29" s="5113"/>
      <c r="BQ29" s="5136">
        <f t="shared" si="26"/>
        <v>3970.6019999999999</v>
      </c>
      <c r="BR29" s="5113"/>
      <c r="BS29" s="5114">
        <f t="shared" si="27"/>
        <v>1410.038</v>
      </c>
      <c r="BT29" s="5113"/>
      <c r="BU29" s="5113">
        <f t="shared" si="28"/>
        <v>5380.6399999999994</v>
      </c>
      <c r="BV29" s="5113"/>
      <c r="BW29" s="5114">
        <f t="shared" si="29"/>
        <v>0</v>
      </c>
      <c r="BX29" s="5113"/>
      <c r="BY29" s="5113">
        <f t="shared" si="30"/>
        <v>5380.6399999999994</v>
      </c>
      <c r="BZ29" s="5113"/>
      <c r="CA29" s="5114">
        <f t="shared" si="31"/>
        <v>928</v>
      </c>
      <c r="CB29" s="5113"/>
      <c r="CC29" s="5112">
        <f t="shared" si="32"/>
        <v>2338.038</v>
      </c>
      <c r="CD29" s="5113"/>
      <c r="CE29" s="5113">
        <f t="shared" si="33"/>
        <v>6308.6399999999994</v>
      </c>
      <c r="CF29" s="5113"/>
      <c r="CG29" s="5114">
        <f t="shared" si="34"/>
        <v>1278.97</v>
      </c>
      <c r="CH29" s="5113"/>
      <c r="CI29" s="5113">
        <f t="shared" si="35"/>
        <v>7587.61</v>
      </c>
      <c r="CJ29" s="5113"/>
      <c r="CK29" s="5114">
        <f t="shared" si="36"/>
        <v>213.51400000000001</v>
      </c>
      <c r="CL29" s="5113"/>
      <c r="CM29" s="5113">
        <f t="shared" si="37"/>
        <v>7801.1239999999998</v>
      </c>
      <c r="CN29" s="5113"/>
      <c r="CO29" s="5114">
        <f t="shared" si="38"/>
        <v>725</v>
      </c>
      <c r="CP29" s="5113"/>
      <c r="CQ29" s="5112">
        <f t="shared" si="39"/>
        <v>2217.4839999999999</v>
      </c>
      <c r="CR29" s="5113"/>
      <c r="CS29" s="5136">
        <f t="shared" si="40"/>
        <v>4555.5219999999999</v>
      </c>
      <c r="CT29" s="5111"/>
      <c r="CU29" s="5139">
        <f t="shared" si="41"/>
        <v>8526.1239999999998</v>
      </c>
      <c r="CV29" s="5138"/>
      <c r="CW29" s="5147"/>
    </row>
    <row r="30" spans="1:101" x14ac:dyDescent="0.25">
      <c r="A30" s="5170"/>
      <c r="B30" s="5170"/>
      <c r="C30" s="5170"/>
      <c r="D30" s="5170"/>
      <c r="E30" s="5158" t="s">
        <v>1718</v>
      </c>
      <c r="F30" s="5150">
        <v>759</v>
      </c>
      <c r="G30" s="5108"/>
      <c r="H30" s="5108"/>
      <c r="I30" s="5157">
        <f t="shared" si="0"/>
        <v>759</v>
      </c>
      <c r="J30" s="5108"/>
      <c r="K30" s="5108"/>
      <c r="L30" s="5108"/>
      <c r="M30" s="5157">
        <f t="shared" si="1"/>
        <v>0</v>
      </c>
      <c r="N30" s="5156">
        <f t="shared" si="2"/>
        <v>759</v>
      </c>
      <c r="O30" s="5104"/>
      <c r="P30" s="5104"/>
      <c r="Q30" s="5108"/>
      <c r="R30" s="5157">
        <f t="shared" si="3"/>
        <v>0</v>
      </c>
      <c r="S30" s="5108"/>
      <c r="T30" s="5108"/>
      <c r="U30" s="5155"/>
      <c r="V30" s="5157">
        <f t="shared" si="4"/>
        <v>0</v>
      </c>
      <c r="W30" s="5156">
        <f t="shared" si="5"/>
        <v>0</v>
      </c>
      <c r="X30" s="5120">
        <f t="shared" si="6"/>
        <v>759</v>
      </c>
      <c r="Y30" s="5119">
        <v>0</v>
      </c>
      <c r="Z30" s="5108"/>
      <c r="AA30" s="5108"/>
      <c r="AB30" s="5157">
        <f t="shared" si="7"/>
        <v>0</v>
      </c>
      <c r="AC30" s="5108"/>
      <c r="AD30" s="5108"/>
      <c r="AE30" s="5108"/>
      <c r="AF30" s="5118">
        <f t="shared" si="8"/>
        <v>0</v>
      </c>
      <c r="AG30" s="5156">
        <f t="shared" si="9"/>
        <v>0</v>
      </c>
      <c r="AH30" s="5104"/>
      <c r="AI30" s="5104"/>
      <c r="AJ30" s="5104"/>
      <c r="AK30" s="5157">
        <f t="shared" si="10"/>
        <v>0</v>
      </c>
      <c r="AL30" s="5108"/>
      <c r="AM30" s="5108"/>
      <c r="AN30" s="5155"/>
      <c r="AO30" s="5157">
        <f t="shared" si="11"/>
        <v>0</v>
      </c>
      <c r="AP30" s="5156">
        <f t="shared" si="12"/>
        <v>0</v>
      </c>
      <c r="AQ30" s="5117">
        <f t="shared" si="13"/>
        <v>0</v>
      </c>
      <c r="AR30" s="5107">
        <f t="shared" si="14"/>
        <v>759</v>
      </c>
      <c r="AS30" s="5154"/>
      <c r="AT30" s="5110"/>
      <c r="AU30" s="5116">
        <f t="shared" si="15"/>
        <v>759</v>
      </c>
      <c r="AV30" s="5115"/>
      <c r="AW30" s="5114">
        <f t="shared" si="16"/>
        <v>0</v>
      </c>
      <c r="AX30" s="5113"/>
      <c r="AY30" s="5113">
        <f t="shared" si="17"/>
        <v>759</v>
      </c>
      <c r="AZ30" s="5113"/>
      <c r="BA30" s="5114">
        <f t="shared" si="18"/>
        <v>0</v>
      </c>
      <c r="BB30" s="5112"/>
      <c r="BC30" s="5112">
        <f t="shared" si="19"/>
        <v>759</v>
      </c>
      <c r="BD30" s="5113"/>
      <c r="BE30" s="5114">
        <f t="shared" si="20"/>
        <v>0</v>
      </c>
      <c r="BF30" s="5111"/>
      <c r="BG30" s="5111">
        <f t="shared" si="21"/>
        <v>759</v>
      </c>
      <c r="BH30" s="5113"/>
      <c r="BI30" s="5114">
        <f t="shared" si="22"/>
        <v>0</v>
      </c>
      <c r="BJ30" s="5111"/>
      <c r="BK30" s="5111">
        <f t="shared" si="23"/>
        <v>759</v>
      </c>
      <c r="BL30" s="5113"/>
      <c r="BM30" s="5114">
        <f t="shared" si="24"/>
        <v>0</v>
      </c>
      <c r="BN30" s="5113"/>
      <c r="BO30" s="5112">
        <f t="shared" si="25"/>
        <v>0</v>
      </c>
      <c r="BP30" s="5113"/>
      <c r="BQ30" s="5136">
        <f t="shared" si="26"/>
        <v>759</v>
      </c>
      <c r="BR30" s="5113"/>
      <c r="BS30" s="5114">
        <f t="shared" si="27"/>
        <v>0</v>
      </c>
      <c r="BT30" s="5113"/>
      <c r="BU30" s="5113">
        <f t="shared" si="28"/>
        <v>759</v>
      </c>
      <c r="BV30" s="5113"/>
      <c r="BW30" s="5114">
        <f t="shared" si="29"/>
        <v>0</v>
      </c>
      <c r="BX30" s="5113"/>
      <c r="BY30" s="5113">
        <f t="shared" si="30"/>
        <v>759</v>
      </c>
      <c r="BZ30" s="5113"/>
      <c r="CA30" s="5114">
        <f t="shared" si="31"/>
        <v>0</v>
      </c>
      <c r="CB30" s="5113"/>
      <c r="CC30" s="5112">
        <f t="shared" si="32"/>
        <v>0</v>
      </c>
      <c r="CD30" s="5113"/>
      <c r="CE30" s="5113">
        <f t="shared" si="33"/>
        <v>759</v>
      </c>
      <c r="CF30" s="5113"/>
      <c r="CG30" s="5114">
        <f t="shared" si="34"/>
        <v>0</v>
      </c>
      <c r="CH30" s="5113"/>
      <c r="CI30" s="5113">
        <f t="shared" si="35"/>
        <v>759</v>
      </c>
      <c r="CJ30" s="5113"/>
      <c r="CK30" s="5114">
        <f t="shared" si="36"/>
        <v>0</v>
      </c>
      <c r="CL30" s="5113"/>
      <c r="CM30" s="5113">
        <f t="shared" si="37"/>
        <v>759</v>
      </c>
      <c r="CN30" s="5113"/>
      <c r="CO30" s="5114">
        <f t="shared" si="38"/>
        <v>0</v>
      </c>
      <c r="CP30" s="5113"/>
      <c r="CQ30" s="5112">
        <f t="shared" si="39"/>
        <v>0</v>
      </c>
      <c r="CR30" s="5113"/>
      <c r="CS30" s="5136">
        <f t="shared" si="40"/>
        <v>0</v>
      </c>
      <c r="CT30" s="5111"/>
      <c r="CU30" s="5139">
        <f t="shared" si="41"/>
        <v>759</v>
      </c>
      <c r="CV30" s="5138"/>
      <c r="CW30" s="5147"/>
    </row>
    <row r="31" spans="1:101" x14ac:dyDescent="0.25">
      <c r="A31" s="5170"/>
      <c r="B31" s="5170"/>
      <c r="C31" s="5170"/>
      <c r="D31" s="5170"/>
      <c r="E31" s="5158" t="s">
        <v>2190</v>
      </c>
      <c r="F31" s="5150">
        <v>3272</v>
      </c>
      <c r="G31" s="5108">
        <v>3175</v>
      </c>
      <c r="H31" s="5108">
        <v>3759</v>
      </c>
      <c r="I31" s="5157">
        <f t="shared" si="0"/>
        <v>10206</v>
      </c>
      <c r="J31" s="5108">
        <v>2712</v>
      </c>
      <c r="K31" s="5108">
        <v>2826</v>
      </c>
      <c r="L31" s="5108">
        <v>1560.1320000000001</v>
      </c>
      <c r="M31" s="5157">
        <f t="shared" si="1"/>
        <v>7098.1319999999996</v>
      </c>
      <c r="N31" s="5156">
        <f t="shared" si="2"/>
        <v>17304.131999999998</v>
      </c>
      <c r="O31" s="5104">
        <v>2255.6379999999999</v>
      </c>
      <c r="P31" s="5104">
        <v>306.52999999999997</v>
      </c>
      <c r="Q31" s="5108">
        <v>2184</v>
      </c>
      <c r="R31" s="5157">
        <f t="shared" si="3"/>
        <v>4746.1679999999997</v>
      </c>
      <c r="S31" s="5108">
        <v>2418.4160000000002</v>
      </c>
      <c r="T31" s="5108">
        <v>4008.1439999999998</v>
      </c>
      <c r="U31" s="5155">
        <v>5306</v>
      </c>
      <c r="V31" s="5157">
        <f t="shared" si="4"/>
        <v>11732.56</v>
      </c>
      <c r="W31" s="5156">
        <f t="shared" si="5"/>
        <v>16478.727999999999</v>
      </c>
      <c r="X31" s="5120">
        <f t="shared" si="6"/>
        <v>33782.86</v>
      </c>
      <c r="Y31" s="5119">
        <v>0</v>
      </c>
      <c r="Z31" s="5108">
        <v>0</v>
      </c>
      <c r="AA31" s="5108">
        <v>347</v>
      </c>
      <c r="AB31" s="5157">
        <f t="shared" si="7"/>
        <v>347</v>
      </c>
      <c r="AC31" s="5108">
        <v>0</v>
      </c>
      <c r="AD31" s="5108">
        <v>0</v>
      </c>
      <c r="AE31" s="5108">
        <v>0</v>
      </c>
      <c r="AF31" s="5118">
        <f t="shared" si="8"/>
        <v>0</v>
      </c>
      <c r="AG31" s="5156">
        <f t="shared" si="9"/>
        <v>347</v>
      </c>
      <c r="AH31" s="5104">
        <v>0</v>
      </c>
      <c r="AI31" s="5104">
        <v>0</v>
      </c>
      <c r="AJ31" s="5104">
        <v>0</v>
      </c>
      <c r="AK31" s="5157">
        <f t="shared" si="10"/>
        <v>0</v>
      </c>
      <c r="AL31" s="5108">
        <v>0</v>
      </c>
      <c r="AM31" s="5108">
        <v>0</v>
      </c>
      <c r="AN31" s="5155">
        <v>161</v>
      </c>
      <c r="AO31" s="5157">
        <f t="shared" si="11"/>
        <v>161</v>
      </c>
      <c r="AP31" s="5156">
        <f t="shared" si="12"/>
        <v>161</v>
      </c>
      <c r="AQ31" s="5117">
        <f t="shared" si="13"/>
        <v>508</v>
      </c>
      <c r="AR31" s="5107">
        <f t="shared" si="14"/>
        <v>34290.86</v>
      </c>
      <c r="AS31" s="5154"/>
      <c r="AT31" s="5110"/>
      <c r="AU31" s="5116">
        <f t="shared" si="15"/>
        <v>3272</v>
      </c>
      <c r="AV31" s="5115"/>
      <c r="AW31" s="5114">
        <f t="shared" si="16"/>
        <v>3175</v>
      </c>
      <c r="AX31" s="5113"/>
      <c r="AY31" s="5113">
        <f t="shared" si="17"/>
        <v>6447</v>
      </c>
      <c r="AZ31" s="5113"/>
      <c r="BA31" s="5114">
        <f t="shared" si="18"/>
        <v>4106</v>
      </c>
      <c r="BB31" s="5112"/>
      <c r="BC31" s="5112">
        <f t="shared" si="19"/>
        <v>10553</v>
      </c>
      <c r="BD31" s="5113"/>
      <c r="BE31" s="5114">
        <f t="shared" si="20"/>
        <v>2712</v>
      </c>
      <c r="BF31" s="5111"/>
      <c r="BG31" s="5111">
        <f t="shared" si="21"/>
        <v>13265</v>
      </c>
      <c r="BH31" s="5113"/>
      <c r="BI31" s="5114">
        <f t="shared" si="22"/>
        <v>2826</v>
      </c>
      <c r="BJ31" s="5111"/>
      <c r="BK31" s="5111">
        <f t="shared" si="23"/>
        <v>16091</v>
      </c>
      <c r="BL31" s="5113"/>
      <c r="BM31" s="5114">
        <f t="shared" si="24"/>
        <v>1560.1320000000001</v>
      </c>
      <c r="BN31" s="5113"/>
      <c r="BO31" s="5112">
        <f t="shared" si="25"/>
        <v>7098.1319999999996</v>
      </c>
      <c r="BP31" s="5113"/>
      <c r="BQ31" s="5136">
        <f t="shared" si="26"/>
        <v>17651.131999999998</v>
      </c>
      <c r="BR31" s="5113"/>
      <c r="BS31" s="5114">
        <f t="shared" si="27"/>
        <v>2255.6379999999999</v>
      </c>
      <c r="BT31" s="5113"/>
      <c r="BU31" s="5113">
        <f t="shared" si="28"/>
        <v>19906.769999999997</v>
      </c>
      <c r="BV31" s="5113"/>
      <c r="BW31" s="5114">
        <f t="shared" si="29"/>
        <v>306.52999999999997</v>
      </c>
      <c r="BX31" s="5113"/>
      <c r="BY31" s="5113">
        <f t="shared" si="30"/>
        <v>20213.299999999996</v>
      </c>
      <c r="BZ31" s="5113"/>
      <c r="CA31" s="5114">
        <f t="shared" si="31"/>
        <v>2184</v>
      </c>
      <c r="CB31" s="5113"/>
      <c r="CC31" s="5112">
        <f t="shared" si="32"/>
        <v>4746.1679999999997</v>
      </c>
      <c r="CD31" s="5113"/>
      <c r="CE31" s="5113">
        <f t="shared" si="33"/>
        <v>22397.299999999996</v>
      </c>
      <c r="CF31" s="5113"/>
      <c r="CG31" s="5114">
        <f t="shared" si="34"/>
        <v>2418.4160000000002</v>
      </c>
      <c r="CH31" s="5113"/>
      <c r="CI31" s="5113">
        <f t="shared" si="35"/>
        <v>24815.715999999997</v>
      </c>
      <c r="CJ31" s="5113"/>
      <c r="CK31" s="5114">
        <f t="shared" si="36"/>
        <v>4008.1439999999998</v>
      </c>
      <c r="CL31" s="5113"/>
      <c r="CM31" s="5113">
        <f t="shared" si="37"/>
        <v>28823.859999999997</v>
      </c>
      <c r="CN31" s="5113"/>
      <c r="CO31" s="5114">
        <f t="shared" si="38"/>
        <v>5467</v>
      </c>
      <c r="CP31" s="5113"/>
      <c r="CQ31" s="5112">
        <f t="shared" si="39"/>
        <v>11893.56</v>
      </c>
      <c r="CR31" s="5113"/>
      <c r="CS31" s="5136">
        <f t="shared" si="40"/>
        <v>16639.727999999999</v>
      </c>
      <c r="CT31" s="5111"/>
      <c r="CU31" s="5139">
        <f t="shared" si="41"/>
        <v>34290.86</v>
      </c>
      <c r="CV31" s="5138"/>
      <c r="CW31" s="5147"/>
    </row>
    <row r="32" spans="1:101" x14ac:dyDescent="0.25">
      <c r="A32" s="5170"/>
      <c r="B32" s="5170"/>
      <c r="C32" s="5170"/>
      <c r="D32" s="5170"/>
      <c r="E32" s="5158" t="s">
        <v>1211</v>
      </c>
      <c r="F32" s="5150">
        <v>1097</v>
      </c>
      <c r="G32" s="5108">
        <v>1173</v>
      </c>
      <c r="H32" s="5108">
        <v>1955</v>
      </c>
      <c r="I32" s="5157">
        <f t="shared" si="0"/>
        <v>4225</v>
      </c>
      <c r="J32" s="5108">
        <v>746</v>
      </c>
      <c r="K32" s="5108">
        <v>3015</v>
      </c>
      <c r="L32" s="5108">
        <v>1756.7339999999999</v>
      </c>
      <c r="M32" s="5157">
        <f t="shared" si="1"/>
        <v>5517.7340000000004</v>
      </c>
      <c r="N32" s="5156">
        <f t="shared" si="2"/>
        <v>9742.7340000000004</v>
      </c>
      <c r="O32" s="5104">
        <v>4589.4939999999997</v>
      </c>
      <c r="P32" s="5104">
        <v>742.01400000000001</v>
      </c>
      <c r="Q32" s="5108">
        <v>2023</v>
      </c>
      <c r="R32" s="5157">
        <f t="shared" si="3"/>
        <v>7354.5079999999998</v>
      </c>
      <c r="S32" s="5108">
        <v>1849.75</v>
      </c>
      <c r="T32" s="5108"/>
      <c r="U32" s="5155">
        <v>700</v>
      </c>
      <c r="V32" s="5157">
        <f t="shared" si="4"/>
        <v>2549.75</v>
      </c>
      <c r="W32" s="5156">
        <f t="shared" si="5"/>
        <v>9904.2579999999998</v>
      </c>
      <c r="X32" s="5120">
        <f t="shared" si="6"/>
        <v>19646.991999999998</v>
      </c>
      <c r="Y32" s="5119">
        <v>0</v>
      </c>
      <c r="Z32" s="5108">
        <v>0</v>
      </c>
      <c r="AA32" s="5108">
        <v>0</v>
      </c>
      <c r="AB32" s="5157">
        <f t="shared" si="7"/>
        <v>0</v>
      </c>
      <c r="AC32" s="5108">
        <v>0</v>
      </c>
      <c r="AD32" s="5108">
        <v>0</v>
      </c>
      <c r="AE32" s="5108">
        <v>0</v>
      </c>
      <c r="AF32" s="5118">
        <f t="shared" si="8"/>
        <v>0</v>
      </c>
      <c r="AG32" s="5156">
        <f t="shared" si="9"/>
        <v>0</v>
      </c>
      <c r="AH32" s="5104">
        <v>0</v>
      </c>
      <c r="AI32" s="5104">
        <v>0</v>
      </c>
      <c r="AJ32" s="5104">
        <v>0</v>
      </c>
      <c r="AK32" s="5157">
        <f t="shared" si="10"/>
        <v>0</v>
      </c>
      <c r="AL32" s="5108">
        <v>0</v>
      </c>
      <c r="AM32" s="5108"/>
      <c r="AN32" s="5155">
        <v>0</v>
      </c>
      <c r="AO32" s="5157">
        <f t="shared" si="11"/>
        <v>0</v>
      </c>
      <c r="AP32" s="5156">
        <f t="shared" si="12"/>
        <v>0</v>
      </c>
      <c r="AQ32" s="5117">
        <f t="shared" si="13"/>
        <v>0</v>
      </c>
      <c r="AR32" s="5107">
        <f t="shared" si="14"/>
        <v>19646.991999999998</v>
      </c>
      <c r="AS32" s="5154"/>
      <c r="AT32" s="5110"/>
      <c r="AU32" s="5116">
        <f t="shared" si="15"/>
        <v>1097</v>
      </c>
      <c r="AV32" s="5115"/>
      <c r="AW32" s="5114">
        <f t="shared" si="16"/>
        <v>1173</v>
      </c>
      <c r="AX32" s="5113"/>
      <c r="AY32" s="5113">
        <f t="shared" si="17"/>
        <v>2270</v>
      </c>
      <c r="AZ32" s="5113"/>
      <c r="BA32" s="5114">
        <f t="shared" si="18"/>
        <v>1955</v>
      </c>
      <c r="BB32" s="5112"/>
      <c r="BC32" s="5112">
        <f t="shared" si="19"/>
        <v>4225</v>
      </c>
      <c r="BD32" s="5113"/>
      <c r="BE32" s="5114">
        <f t="shared" si="20"/>
        <v>746</v>
      </c>
      <c r="BF32" s="5111"/>
      <c r="BG32" s="5111">
        <f t="shared" si="21"/>
        <v>4971</v>
      </c>
      <c r="BH32" s="5113"/>
      <c r="BI32" s="5114">
        <f t="shared" si="22"/>
        <v>3015</v>
      </c>
      <c r="BJ32" s="5111"/>
      <c r="BK32" s="5111">
        <f t="shared" si="23"/>
        <v>7986</v>
      </c>
      <c r="BL32" s="5113"/>
      <c r="BM32" s="5114">
        <f t="shared" si="24"/>
        <v>1756.7339999999999</v>
      </c>
      <c r="BN32" s="5113"/>
      <c r="BO32" s="5112">
        <f t="shared" si="25"/>
        <v>5517.7340000000004</v>
      </c>
      <c r="BP32" s="5113"/>
      <c r="BQ32" s="5136">
        <f t="shared" si="26"/>
        <v>9742.7340000000004</v>
      </c>
      <c r="BR32" s="5113"/>
      <c r="BS32" s="5114">
        <f t="shared" si="27"/>
        <v>4589.4939999999997</v>
      </c>
      <c r="BT32" s="5113"/>
      <c r="BU32" s="5113">
        <f t="shared" si="28"/>
        <v>14332.227999999999</v>
      </c>
      <c r="BV32" s="5113"/>
      <c r="BW32" s="5114">
        <f t="shared" si="29"/>
        <v>742.01400000000001</v>
      </c>
      <c r="BX32" s="5113"/>
      <c r="BY32" s="5113">
        <f t="shared" si="30"/>
        <v>15074.241999999998</v>
      </c>
      <c r="BZ32" s="5113"/>
      <c r="CA32" s="5114">
        <f t="shared" si="31"/>
        <v>2023</v>
      </c>
      <c r="CB32" s="5113"/>
      <c r="CC32" s="5112">
        <f t="shared" si="32"/>
        <v>7354.5079999999998</v>
      </c>
      <c r="CD32" s="5113"/>
      <c r="CE32" s="5113">
        <f t="shared" si="33"/>
        <v>17097.241999999998</v>
      </c>
      <c r="CF32" s="5113"/>
      <c r="CG32" s="5114">
        <f t="shared" si="34"/>
        <v>1849.75</v>
      </c>
      <c r="CH32" s="5113"/>
      <c r="CI32" s="5113">
        <f t="shared" si="35"/>
        <v>18946.991999999998</v>
      </c>
      <c r="CJ32" s="5113"/>
      <c r="CK32" s="5114">
        <f t="shared" si="36"/>
        <v>0</v>
      </c>
      <c r="CL32" s="5113"/>
      <c r="CM32" s="5113">
        <f t="shared" si="37"/>
        <v>18946.991999999998</v>
      </c>
      <c r="CN32" s="5113"/>
      <c r="CO32" s="5114">
        <f t="shared" si="38"/>
        <v>700</v>
      </c>
      <c r="CP32" s="5113"/>
      <c r="CQ32" s="5112">
        <f t="shared" si="39"/>
        <v>2549.75</v>
      </c>
      <c r="CR32" s="5113"/>
      <c r="CS32" s="5136">
        <f t="shared" si="40"/>
        <v>9904.2579999999998</v>
      </c>
      <c r="CT32" s="5111"/>
      <c r="CU32" s="5139">
        <f t="shared" si="41"/>
        <v>19646.991999999998</v>
      </c>
      <c r="CV32" s="5138"/>
      <c r="CW32" s="5147"/>
    </row>
    <row r="33" spans="1:101" x14ac:dyDescent="0.25">
      <c r="A33" s="5170"/>
      <c r="B33" s="5170"/>
      <c r="C33" s="5170"/>
      <c r="D33" s="5170"/>
      <c r="E33" s="5158" t="s">
        <v>1422</v>
      </c>
      <c r="F33" s="5150">
        <v>435</v>
      </c>
      <c r="G33" s="5108">
        <v>1621</v>
      </c>
      <c r="H33" s="5108">
        <v>154</v>
      </c>
      <c r="I33" s="5157">
        <f t="shared" si="0"/>
        <v>2210</v>
      </c>
      <c r="J33" s="5108"/>
      <c r="K33" s="5108"/>
      <c r="L33" s="5108">
        <v>247.33799999999999</v>
      </c>
      <c r="M33" s="5157">
        <f t="shared" si="1"/>
        <v>247.33799999999999</v>
      </c>
      <c r="N33" s="5156">
        <f t="shared" si="2"/>
        <v>2457.3380000000002</v>
      </c>
      <c r="O33" s="5104">
        <v>190.26</v>
      </c>
      <c r="P33" s="5104">
        <v>179.69</v>
      </c>
      <c r="Q33" s="5108">
        <v>106</v>
      </c>
      <c r="R33" s="5157">
        <f t="shared" si="3"/>
        <v>475.95</v>
      </c>
      <c r="S33" s="5108">
        <v>270.59199999999998</v>
      </c>
      <c r="T33" s="5108">
        <v>97.244</v>
      </c>
      <c r="U33" s="5155"/>
      <c r="V33" s="5157">
        <f t="shared" si="4"/>
        <v>367.83600000000001</v>
      </c>
      <c r="W33" s="5156">
        <f t="shared" si="5"/>
        <v>843.78600000000006</v>
      </c>
      <c r="X33" s="5120">
        <f t="shared" si="6"/>
        <v>3301.1240000000003</v>
      </c>
      <c r="Y33" s="5119">
        <v>0</v>
      </c>
      <c r="Z33" s="5108">
        <v>0</v>
      </c>
      <c r="AA33" s="5108">
        <v>0</v>
      </c>
      <c r="AB33" s="5157">
        <f t="shared" si="7"/>
        <v>0</v>
      </c>
      <c r="AC33" s="5108"/>
      <c r="AD33" s="5108"/>
      <c r="AE33" s="5108">
        <v>0</v>
      </c>
      <c r="AF33" s="5118">
        <f t="shared" si="8"/>
        <v>0</v>
      </c>
      <c r="AG33" s="5156">
        <f t="shared" si="9"/>
        <v>0</v>
      </c>
      <c r="AH33" s="5104">
        <v>0</v>
      </c>
      <c r="AI33" s="5104">
        <v>0</v>
      </c>
      <c r="AJ33" s="5104">
        <v>0</v>
      </c>
      <c r="AK33" s="5157">
        <f t="shared" si="10"/>
        <v>0</v>
      </c>
      <c r="AL33" s="5108">
        <v>0</v>
      </c>
      <c r="AM33" s="5108">
        <v>0</v>
      </c>
      <c r="AN33" s="5155"/>
      <c r="AO33" s="5157">
        <f t="shared" si="11"/>
        <v>0</v>
      </c>
      <c r="AP33" s="5156">
        <f t="shared" si="12"/>
        <v>0</v>
      </c>
      <c r="AQ33" s="5117">
        <f t="shared" si="13"/>
        <v>0</v>
      </c>
      <c r="AR33" s="5107">
        <f t="shared" si="14"/>
        <v>3301.1240000000003</v>
      </c>
      <c r="AS33" s="5154"/>
      <c r="AT33" s="5110"/>
      <c r="AU33" s="5116">
        <f t="shared" si="15"/>
        <v>435</v>
      </c>
      <c r="AV33" s="5115"/>
      <c r="AW33" s="5114">
        <f t="shared" si="16"/>
        <v>1621</v>
      </c>
      <c r="AX33" s="5113"/>
      <c r="AY33" s="5113">
        <f t="shared" si="17"/>
        <v>2056</v>
      </c>
      <c r="AZ33" s="5113"/>
      <c r="BA33" s="5114">
        <f t="shared" si="18"/>
        <v>154</v>
      </c>
      <c r="BB33" s="5112"/>
      <c r="BC33" s="5112">
        <f t="shared" si="19"/>
        <v>2210</v>
      </c>
      <c r="BD33" s="5113"/>
      <c r="BE33" s="5114">
        <f t="shared" si="20"/>
        <v>0</v>
      </c>
      <c r="BF33" s="5111"/>
      <c r="BG33" s="5111">
        <f t="shared" si="21"/>
        <v>2210</v>
      </c>
      <c r="BH33" s="5113"/>
      <c r="BI33" s="5114">
        <f t="shared" si="22"/>
        <v>0</v>
      </c>
      <c r="BJ33" s="5111"/>
      <c r="BK33" s="5111">
        <f t="shared" si="23"/>
        <v>2210</v>
      </c>
      <c r="BL33" s="5113"/>
      <c r="BM33" s="5114">
        <f t="shared" si="24"/>
        <v>247.33799999999999</v>
      </c>
      <c r="BN33" s="5113"/>
      <c r="BO33" s="5112">
        <f t="shared" si="25"/>
        <v>247.33799999999999</v>
      </c>
      <c r="BP33" s="5113"/>
      <c r="BQ33" s="5136">
        <f t="shared" si="26"/>
        <v>2457.3380000000002</v>
      </c>
      <c r="BR33" s="5113"/>
      <c r="BS33" s="5114">
        <f t="shared" si="27"/>
        <v>190.26</v>
      </c>
      <c r="BT33" s="5113"/>
      <c r="BU33" s="5113">
        <f t="shared" si="28"/>
        <v>2647.598</v>
      </c>
      <c r="BV33" s="5113"/>
      <c r="BW33" s="5114">
        <f t="shared" si="29"/>
        <v>179.69</v>
      </c>
      <c r="BX33" s="5113"/>
      <c r="BY33" s="5113">
        <f t="shared" si="30"/>
        <v>2827.288</v>
      </c>
      <c r="BZ33" s="5113"/>
      <c r="CA33" s="5114">
        <f t="shared" si="31"/>
        <v>106</v>
      </c>
      <c r="CB33" s="5113"/>
      <c r="CC33" s="5112">
        <f t="shared" si="32"/>
        <v>475.95</v>
      </c>
      <c r="CD33" s="5113"/>
      <c r="CE33" s="5113">
        <f t="shared" si="33"/>
        <v>2933.288</v>
      </c>
      <c r="CF33" s="5113"/>
      <c r="CG33" s="5114">
        <f t="shared" si="34"/>
        <v>270.59199999999998</v>
      </c>
      <c r="CH33" s="5113"/>
      <c r="CI33" s="5113">
        <f t="shared" si="35"/>
        <v>3203.88</v>
      </c>
      <c r="CJ33" s="5113"/>
      <c r="CK33" s="5114">
        <f t="shared" si="36"/>
        <v>97.244</v>
      </c>
      <c r="CL33" s="5113"/>
      <c r="CM33" s="5113">
        <f t="shared" si="37"/>
        <v>3301.1240000000003</v>
      </c>
      <c r="CN33" s="5113"/>
      <c r="CO33" s="5114">
        <f t="shared" si="38"/>
        <v>0</v>
      </c>
      <c r="CP33" s="5113"/>
      <c r="CQ33" s="5112">
        <f t="shared" si="39"/>
        <v>367.83600000000001</v>
      </c>
      <c r="CR33" s="5113"/>
      <c r="CS33" s="5136">
        <f t="shared" si="40"/>
        <v>843.78600000000006</v>
      </c>
      <c r="CT33" s="5111"/>
      <c r="CU33" s="5139">
        <f t="shared" si="41"/>
        <v>3301.1240000000003</v>
      </c>
      <c r="CV33" s="5138"/>
      <c r="CW33" s="5147"/>
    </row>
    <row r="34" spans="1:101" x14ac:dyDescent="0.25">
      <c r="A34" s="5170"/>
      <c r="B34" s="5170"/>
      <c r="C34" s="5170"/>
      <c r="D34" s="5170"/>
      <c r="E34" s="5158" t="s">
        <v>2191</v>
      </c>
      <c r="F34" s="5150">
        <v>1342</v>
      </c>
      <c r="G34" s="5108"/>
      <c r="H34" s="5108">
        <v>1509</v>
      </c>
      <c r="I34" s="5157">
        <f t="shared" si="0"/>
        <v>2851</v>
      </c>
      <c r="J34" s="5108">
        <v>3989</v>
      </c>
      <c r="K34" s="5108"/>
      <c r="L34" s="5108">
        <v>2864.47</v>
      </c>
      <c r="M34" s="5157">
        <f t="shared" si="1"/>
        <v>6853.4699999999993</v>
      </c>
      <c r="N34" s="5156">
        <f t="shared" si="2"/>
        <v>9704.4699999999993</v>
      </c>
      <c r="O34" s="5104">
        <v>989.35199999999998</v>
      </c>
      <c r="P34" s="5104"/>
      <c r="Q34" s="5108">
        <v>3065</v>
      </c>
      <c r="R34" s="5157">
        <f t="shared" si="3"/>
        <v>4054.3519999999999</v>
      </c>
      <c r="S34" s="5108">
        <v>2247.1819999999998</v>
      </c>
      <c r="T34" s="5108">
        <v>581.35</v>
      </c>
      <c r="U34" s="5155">
        <v>465</v>
      </c>
      <c r="V34" s="5157">
        <f t="shared" si="4"/>
        <v>3293.5319999999997</v>
      </c>
      <c r="W34" s="5156">
        <f t="shared" si="5"/>
        <v>7347.884</v>
      </c>
      <c r="X34" s="5120">
        <f t="shared" si="6"/>
        <v>17052.353999999999</v>
      </c>
      <c r="Y34" s="5119">
        <v>0</v>
      </c>
      <c r="Z34" s="5108"/>
      <c r="AA34" s="5108">
        <v>0</v>
      </c>
      <c r="AB34" s="5157">
        <f t="shared" si="7"/>
        <v>0</v>
      </c>
      <c r="AC34" s="5108">
        <v>0</v>
      </c>
      <c r="AD34" s="5108"/>
      <c r="AE34" s="5108">
        <v>0</v>
      </c>
      <c r="AF34" s="5118">
        <f t="shared" si="8"/>
        <v>0</v>
      </c>
      <c r="AG34" s="5156">
        <f t="shared" si="9"/>
        <v>0</v>
      </c>
      <c r="AH34" s="5104">
        <v>0</v>
      </c>
      <c r="AI34" s="5104"/>
      <c r="AJ34" s="5104">
        <v>0</v>
      </c>
      <c r="AK34" s="5157">
        <f t="shared" si="10"/>
        <v>0</v>
      </c>
      <c r="AL34" s="5108">
        <v>0</v>
      </c>
      <c r="AM34" s="5108">
        <v>0</v>
      </c>
      <c r="AN34" s="5155">
        <v>0</v>
      </c>
      <c r="AO34" s="5157">
        <f t="shared" si="11"/>
        <v>0</v>
      </c>
      <c r="AP34" s="5156">
        <f t="shared" si="12"/>
        <v>0</v>
      </c>
      <c r="AQ34" s="5117">
        <f t="shared" si="13"/>
        <v>0</v>
      </c>
      <c r="AR34" s="5107">
        <f t="shared" si="14"/>
        <v>17052.353999999999</v>
      </c>
      <c r="AS34" s="5154"/>
      <c r="AT34" s="5110"/>
      <c r="AU34" s="5116">
        <f t="shared" si="15"/>
        <v>1342</v>
      </c>
      <c r="AV34" s="5115"/>
      <c r="AW34" s="5114">
        <f t="shared" si="16"/>
        <v>0</v>
      </c>
      <c r="AX34" s="5113"/>
      <c r="AY34" s="5113">
        <f t="shared" si="17"/>
        <v>1342</v>
      </c>
      <c r="AZ34" s="5113"/>
      <c r="BA34" s="5114">
        <f t="shared" si="18"/>
        <v>1509</v>
      </c>
      <c r="BB34" s="5112"/>
      <c r="BC34" s="5112">
        <f t="shared" si="19"/>
        <v>2851</v>
      </c>
      <c r="BD34" s="5113"/>
      <c r="BE34" s="5114">
        <f t="shared" si="20"/>
        <v>3989</v>
      </c>
      <c r="BF34" s="5111"/>
      <c r="BG34" s="5111">
        <f t="shared" si="21"/>
        <v>6840</v>
      </c>
      <c r="BH34" s="5113"/>
      <c r="BI34" s="5114">
        <f t="shared" si="22"/>
        <v>0</v>
      </c>
      <c r="BJ34" s="5111"/>
      <c r="BK34" s="5111">
        <f t="shared" si="23"/>
        <v>6840</v>
      </c>
      <c r="BL34" s="5113"/>
      <c r="BM34" s="5114">
        <f t="shared" si="24"/>
        <v>2864.47</v>
      </c>
      <c r="BN34" s="5113"/>
      <c r="BO34" s="5112">
        <f t="shared" si="25"/>
        <v>6853.4699999999993</v>
      </c>
      <c r="BP34" s="5113"/>
      <c r="BQ34" s="5136">
        <f t="shared" si="26"/>
        <v>9704.4699999999993</v>
      </c>
      <c r="BR34" s="5113"/>
      <c r="BS34" s="5114">
        <f t="shared" si="27"/>
        <v>989.35199999999998</v>
      </c>
      <c r="BT34" s="5113"/>
      <c r="BU34" s="5113">
        <f t="shared" si="28"/>
        <v>10693.822</v>
      </c>
      <c r="BV34" s="5113"/>
      <c r="BW34" s="5114">
        <f t="shared" si="29"/>
        <v>0</v>
      </c>
      <c r="BX34" s="5113"/>
      <c r="BY34" s="5113">
        <f t="shared" si="30"/>
        <v>10693.822</v>
      </c>
      <c r="BZ34" s="5113"/>
      <c r="CA34" s="5114">
        <f t="shared" si="31"/>
        <v>3065</v>
      </c>
      <c r="CB34" s="5113"/>
      <c r="CC34" s="5112">
        <f t="shared" si="32"/>
        <v>4054.3519999999999</v>
      </c>
      <c r="CD34" s="5113"/>
      <c r="CE34" s="5113">
        <f t="shared" si="33"/>
        <v>13758.822</v>
      </c>
      <c r="CF34" s="5113"/>
      <c r="CG34" s="5114">
        <f t="shared" si="34"/>
        <v>2247.1819999999998</v>
      </c>
      <c r="CH34" s="5113"/>
      <c r="CI34" s="5113">
        <f t="shared" si="35"/>
        <v>16006.004000000001</v>
      </c>
      <c r="CJ34" s="5113"/>
      <c r="CK34" s="5114">
        <f t="shared" si="36"/>
        <v>581.35</v>
      </c>
      <c r="CL34" s="5113"/>
      <c r="CM34" s="5113">
        <f t="shared" si="37"/>
        <v>16587.353999999999</v>
      </c>
      <c r="CN34" s="5113"/>
      <c r="CO34" s="5114">
        <f t="shared" si="38"/>
        <v>465</v>
      </c>
      <c r="CP34" s="5113"/>
      <c r="CQ34" s="5112">
        <f t="shared" si="39"/>
        <v>3293.5319999999997</v>
      </c>
      <c r="CR34" s="5113"/>
      <c r="CS34" s="5136">
        <f t="shared" si="40"/>
        <v>7347.884</v>
      </c>
      <c r="CT34" s="5111"/>
      <c r="CU34" s="5139">
        <f t="shared" si="41"/>
        <v>17052.353999999999</v>
      </c>
      <c r="CV34" s="5138"/>
      <c r="CW34" s="5147"/>
    </row>
    <row r="35" spans="1:101" x14ac:dyDescent="0.25">
      <c r="A35" s="5170"/>
      <c r="B35" s="5170"/>
      <c r="C35" s="5170"/>
      <c r="D35" s="5170"/>
      <c r="E35" s="5158" t="s">
        <v>1209</v>
      </c>
      <c r="F35" s="5150">
        <v>2325</v>
      </c>
      <c r="G35" s="5108"/>
      <c r="H35" s="5108">
        <v>808</v>
      </c>
      <c r="I35" s="5157">
        <f t="shared" si="0"/>
        <v>3133</v>
      </c>
      <c r="J35" s="5108">
        <v>1569</v>
      </c>
      <c r="K35" s="5108">
        <v>0</v>
      </c>
      <c r="L35" s="5108">
        <v>600.37599999999998</v>
      </c>
      <c r="M35" s="5157">
        <f t="shared" si="1"/>
        <v>2169.3760000000002</v>
      </c>
      <c r="N35" s="5156">
        <f t="shared" si="2"/>
        <v>5302.3760000000002</v>
      </c>
      <c r="O35" s="5104">
        <v>1887.8019999999999</v>
      </c>
      <c r="P35" s="5104"/>
      <c r="Q35" s="5108">
        <v>197</v>
      </c>
      <c r="R35" s="5157">
        <f t="shared" si="3"/>
        <v>2084.8019999999997</v>
      </c>
      <c r="S35" s="5108">
        <v>101.47199999999999</v>
      </c>
      <c r="T35" s="5108">
        <v>1228.2339999999999</v>
      </c>
      <c r="U35" s="5155">
        <v>429</v>
      </c>
      <c r="V35" s="5157">
        <f t="shared" si="4"/>
        <v>1758.7059999999999</v>
      </c>
      <c r="W35" s="5156">
        <f t="shared" si="5"/>
        <v>3843.5079999999998</v>
      </c>
      <c r="X35" s="5120">
        <f t="shared" si="6"/>
        <v>9145.884</v>
      </c>
      <c r="Y35" s="5119">
        <v>0</v>
      </c>
      <c r="Z35" s="5108"/>
      <c r="AA35" s="5108">
        <v>0</v>
      </c>
      <c r="AB35" s="5157">
        <f t="shared" si="7"/>
        <v>0</v>
      </c>
      <c r="AC35" s="5108">
        <v>0</v>
      </c>
      <c r="AD35" s="5108">
        <v>435</v>
      </c>
      <c r="AE35" s="5108">
        <v>0</v>
      </c>
      <c r="AF35" s="5118">
        <f t="shared" si="8"/>
        <v>435</v>
      </c>
      <c r="AG35" s="5156">
        <f t="shared" si="9"/>
        <v>435</v>
      </c>
      <c r="AH35" s="5104">
        <v>0</v>
      </c>
      <c r="AI35" s="5104"/>
      <c r="AJ35" s="5104">
        <v>0</v>
      </c>
      <c r="AK35" s="5157">
        <f t="shared" si="10"/>
        <v>0</v>
      </c>
      <c r="AL35" s="5108">
        <v>0</v>
      </c>
      <c r="AM35" s="5108">
        <v>0</v>
      </c>
      <c r="AN35" s="5155">
        <v>0</v>
      </c>
      <c r="AO35" s="5157">
        <f t="shared" si="11"/>
        <v>0</v>
      </c>
      <c r="AP35" s="5156">
        <f t="shared" si="12"/>
        <v>0</v>
      </c>
      <c r="AQ35" s="5117">
        <f t="shared" si="13"/>
        <v>435</v>
      </c>
      <c r="AR35" s="5107">
        <f t="shared" si="14"/>
        <v>9580.884</v>
      </c>
      <c r="AS35" s="5154"/>
      <c r="AT35" s="5110"/>
      <c r="AU35" s="5116">
        <f t="shared" si="15"/>
        <v>2325</v>
      </c>
      <c r="AV35" s="5115"/>
      <c r="AW35" s="5114">
        <f t="shared" si="16"/>
        <v>0</v>
      </c>
      <c r="AX35" s="5113"/>
      <c r="AY35" s="5113">
        <f t="shared" si="17"/>
        <v>2325</v>
      </c>
      <c r="AZ35" s="5113"/>
      <c r="BA35" s="5114">
        <f t="shared" si="18"/>
        <v>808</v>
      </c>
      <c r="BB35" s="5112"/>
      <c r="BC35" s="5112">
        <f t="shared" si="19"/>
        <v>3133</v>
      </c>
      <c r="BD35" s="5113"/>
      <c r="BE35" s="5114">
        <f t="shared" si="20"/>
        <v>1569</v>
      </c>
      <c r="BF35" s="5111"/>
      <c r="BG35" s="5111">
        <f t="shared" si="21"/>
        <v>4702</v>
      </c>
      <c r="BH35" s="5113"/>
      <c r="BI35" s="5114">
        <f t="shared" si="22"/>
        <v>435</v>
      </c>
      <c r="BJ35" s="5111"/>
      <c r="BK35" s="5111">
        <f t="shared" si="23"/>
        <v>5137</v>
      </c>
      <c r="BL35" s="5113"/>
      <c r="BM35" s="5114">
        <f t="shared" si="24"/>
        <v>600.37599999999998</v>
      </c>
      <c r="BN35" s="5113"/>
      <c r="BO35" s="5112">
        <f t="shared" si="25"/>
        <v>2604.3760000000002</v>
      </c>
      <c r="BP35" s="5113"/>
      <c r="BQ35" s="5136">
        <f t="shared" si="26"/>
        <v>5737.3760000000002</v>
      </c>
      <c r="BR35" s="5113"/>
      <c r="BS35" s="5114">
        <f t="shared" si="27"/>
        <v>1887.8019999999999</v>
      </c>
      <c r="BT35" s="5113"/>
      <c r="BU35" s="5113">
        <f t="shared" si="28"/>
        <v>7625.1779999999999</v>
      </c>
      <c r="BV35" s="5113"/>
      <c r="BW35" s="5114">
        <f t="shared" si="29"/>
        <v>0</v>
      </c>
      <c r="BX35" s="5113"/>
      <c r="BY35" s="5113">
        <f t="shared" si="30"/>
        <v>7625.1779999999999</v>
      </c>
      <c r="BZ35" s="5113"/>
      <c r="CA35" s="5114">
        <f t="shared" si="31"/>
        <v>197</v>
      </c>
      <c r="CB35" s="5113"/>
      <c r="CC35" s="5112">
        <f t="shared" si="32"/>
        <v>2084.8019999999997</v>
      </c>
      <c r="CD35" s="5113"/>
      <c r="CE35" s="5113">
        <f t="shared" si="33"/>
        <v>7822.1779999999999</v>
      </c>
      <c r="CF35" s="5113"/>
      <c r="CG35" s="5114">
        <f t="shared" si="34"/>
        <v>101.47199999999999</v>
      </c>
      <c r="CH35" s="5113"/>
      <c r="CI35" s="5113">
        <f t="shared" si="35"/>
        <v>7923.65</v>
      </c>
      <c r="CJ35" s="5113"/>
      <c r="CK35" s="5114">
        <f t="shared" si="36"/>
        <v>1228.2339999999999</v>
      </c>
      <c r="CL35" s="5113"/>
      <c r="CM35" s="5113">
        <f t="shared" si="37"/>
        <v>9151.884</v>
      </c>
      <c r="CN35" s="5113"/>
      <c r="CO35" s="5114">
        <f t="shared" si="38"/>
        <v>429</v>
      </c>
      <c r="CP35" s="5113"/>
      <c r="CQ35" s="5112">
        <f t="shared" si="39"/>
        <v>1758.7059999999999</v>
      </c>
      <c r="CR35" s="5113"/>
      <c r="CS35" s="5136">
        <f t="shared" si="40"/>
        <v>3843.5079999999998</v>
      </c>
      <c r="CT35" s="5111"/>
      <c r="CU35" s="5139">
        <f t="shared" si="41"/>
        <v>9580.884</v>
      </c>
      <c r="CV35" s="5138"/>
      <c r="CW35" s="5147"/>
    </row>
    <row r="36" spans="1:101" x14ac:dyDescent="0.25">
      <c r="A36" s="5170"/>
      <c r="B36" s="5170"/>
      <c r="C36" s="5170"/>
      <c r="D36" s="5170"/>
      <c r="E36" s="5158" t="s">
        <v>2192</v>
      </c>
      <c r="F36" s="5150">
        <v>2416</v>
      </c>
      <c r="G36" s="5108">
        <v>4399</v>
      </c>
      <c r="H36" s="5108">
        <v>4027</v>
      </c>
      <c r="I36" s="5157">
        <f t="shared" si="0"/>
        <v>10842</v>
      </c>
      <c r="J36" s="5108">
        <v>4427</v>
      </c>
      <c r="K36" s="5108"/>
      <c r="L36" s="5108">
        <v>3160.43</v>
      </c>
      <c r="M36" s="5157">
        <f t="shared" si="1"/>
        <v>7587.43</v>
      </c>
      <c r="N36" s="5156">
        <f t="shared" si="2"/>
        <v>18429.43</v>
      </c>
      <c r="O36" s="5104">
        <v>2646.7280000000001</v>
      </c>
      <c r="P36" s="5104"/>
      <c r="Q36" s="5108">
        <v>5754</v>
      </c>
      <c r="R36" s="5157">
        <f t="shared" si="3"/>
        <v>8400.7279999999992</v>
      </c>
      <c r="S36" s="5108">
        <v>2978.6260000000002</v>
      </c>
      <c r="T36" s="5108"/>
      <c r="U36" s="5155">
        <v>1478</v>
      </c>
      <c r="V36" s="5157">
        <f t="shared" si="4"/>
        <v>4456.6260000000002</v>
      </c>
      <c r="W36" s="5156">
        <f t="shared" si="5"/>
        <v>12857.353999999999</v>
      </c>
      <c r="X36" s="5120">
        <f t="shared" si="6"/>
        <v>31286.784</v>
      </c>
      <c r="Y36" s="5119">
        <v>0</v>
      </c>
      <c r="Z36" s="5108">
        <v>0</v>
      </c>
      <c r="AA36" s="5108">
        <v>0</v>
      </c>
      <c r="AB36" s="5157">
        <f t="shared" si="7"/>
        <v>0</v>
      </c>
      <c r="AC36" s="5108">
        <v>0</v>
      </c>
      <c r="AD36" s="5108"/>
      <c r="AE36" s="5108">
        <v>0</v>
      </c>
      <c r="AF36" s="5118">
        <f t="shared" si="8"/>
        <v>0</v>
      </c>
      <c r="AG36" s="5156">
        <f t="shared" si="9"/>
        <v>0</v>
      </c>
      <c r="AH36" s="5104">
        <v>0</v>
      </c>
      <c r="AI36" s="5104"/>
      <c r="AJ36" s="5104">
        <v>0</v>
      </c>
      <c r="AK36" s="5157">
        <f t="shared" si="10"/>
        <v>0</v>
      </c>
      <c r="AL36" s="5108">
        <v>0</v>
      </c>
      <c r="AM36" s="5108"/>
      <c r="AN36" s="5155">
        <v>0</v>
      </c>
      <c r="AO36" s="5157">
        <f t="shared" si="11"/>
        <v>0</v>
      </c>
      <c r="AP36" s="5156">
        <f t="shared" si="12"/>
        <v>0</v>
      </c>
      <c r="AQ36" s="5117">
        <f t="shared" si="13"/>
        <v>0</v>
      </c>
      <c r="AR36" s="5107">
        <f t="shared" si="14"/>
        <v>31286.784</v>
      </c>
      <c r="AS36" s="5154"/>
      <c r="AT36" s="5110"/>
      <c r="AU36" s="5116">
        <f t="shared" si="15"/>
        <v>2416</v>
      </c>
      <c r="AV36" s="5115"/>
      <c r="AW36" s="5114">
        <f t="shared" si="16"/>
        <v>4399</v>
      </c>
      <c r="AX36" s="5113"/>
      <c r="AY36" s="5113">
        <f t="shared" si="17"/>
        <v>6815</v>
      </c>
      <c r="AZ36" s="5113"/>
      <c r="BA36" s="5114">
        <f t="shared" si="18"/>
        <v>4027</v>
      </c>
      <c r="BB36" s="5112"/>
      <c r="BC36" s="5112">
        <f t="shared" si="19"/>
        <v>10842</v>
      </c>
      <c r="BD36" s="5113"/>
      <c r="BE36" s="5114">
        <f t="shared" si="20"/>
        <v>4427</v>
      </c>
      <c r="BF36" s="5111"/>
      <c r="BG36" s="5111">
        <f t="shared" si="21"/>
        <v>15269</v>
      </c>
      <c r="BH36" s="5113"/>
      <c r="BI36" s="5114">
        <f t="shared" si="22"/>
        <v>0</v>
      </c>
      <c r="BJ36" s="5111"/>
      <c r="BK36" s="5111">
        <f t="shared" si="23"/>
        <v>15269</v>
      </c>
      <c r="BL36" s="5113"/>
      <c r="BM36" s="5114">
        <f t="shared" si="24"/>
        <v>3160.43</v>
      </c>
      <c r="BN36" s="5113"/>
      <c r="BO36" s="5112">
        <f t="shared" si="25"/>
        <v>7587.43</v>
      </c>
      <c r="BP36" s="5113"/>
      <c r="BQ36" s="5136">
        <f t="shared" si="26"/>
        <v>18429.43</v>
      </c>
      <c r="BR36" s="5113"/>
      <c r="BS36" s="5114">
        <f t="shared" si="27"/>
        <v>2646.7280000000001</v>
      </c>
      <c r="BT36" s="5113"/>
      <c r="BU36" s="5113">
        <f t="shared" si="28"/>
        <v>21076.157999999999</v>
      </c>
      <c r="BV36" s="5113"/>
      <c r="BW36" s="5114">
        <f t="shared" si="29"/>
        <v>0</v>
      </c>
      <c r="BX36" s="5113"/>
      <c r="BY36" s="5113">
        <f t="shared" si="30"/>
        <v>21076.157999999999</v>
      </c>
      <c r="BZ36" s="5113"/>
      <c r="CA36" s="5114">
        <f t="shared" si="31"/>
        <v>5754</v>
      </c>
      <c r="CB36" s="5113"/>
      <c r="CC36" s="5112">
        <f t="shared" si="32"/>
        <v>8400.7279999999992</v>
      </c>
      <c r="CD36" s="5113"/>
      <c r="CE36" s="5113">
        <f t="shared" si="33"/>
        <v>26830.157999999999</v>
      </c>
      <c r="CF36" s="5113"/>
      <c r="CG36" s="5114">
        <f t="shared" si="34"/>
        <v>2978.6260000000002</v>
      </c>
      <c r="CH36" s="5113"/>
      <c r="CI36" s="5113">
        <f t="shared" si="35"/>
        <v>29808.784</v>
      </c>
      <c r="CJ36" s="5113"/>
      <c r="CK36" s="5114">
        <f t="shared" si="36"/>
        <v>0</v>
      </c>
      <c r="CL36" s="5113"/>
      <c r="CM36" s="5113">
        <f t="shared" si="37"/>
        <v>29808.784</v>
      </c>
      <c r="CN36" s="5113"/>
      <c r="CO36" s="5114">
        <f t="shared" si="38"/>
        <v>1478</v>
      </c>
      <c r="CP36" s="5113"/>
      <c r="CQ36" s="5112">
        <f t="shared" si="39"/>
        <v>4456.6260000000002</v>
      </c>
      <c r="CR36" s="5113"/>
      <c r="CS36" s="5136">
        <f t="shared" si="40"/>
        <v>12857.353999999999</v>
      </c>
      <c r="CT36" s="5111"/>
      <c r="CU36" s="5139">
        <f t="shared" si="41"/>
        <v>31286.784</v>
      </c>
      <c r="CV36" s="5138"/>
      <c r="CW36" s="5147"/>
    </row>
    <row r="37" spans="1:101" x14ac:dyDescent="0.25">
      <c r="A37" s="5170"/>
      <c r="B37" s="5170"/>
      <c r="C37" s="5170"/>
      <c r="D37" s="5170"/>
      <c r="E37" s="5158" t="s">
        <v>2193</v>
      </c>
      <c r="F37" s="5150">
        <v>1150</v>
      </c>
      <c r="G37" s="5108">
        <v>907</v>
      </c>
      <c r="H37" s="5108">
        <v>304</v>
      </c>
      <c r="I37" s="5157">
        <f t="shared" si="0"/>
        <v>2361</v>
      </c>
      <c r="J37" s="5108">
        <v>5105</v>
      </c>
      <c r="K37" s="5108">
        <v>345</v>
      </c>
      <c r="L37" s="5108">
        <v>1602.412</v>
      </c>
      <c r="M37" s="5157">
        <f t="shared" si="1"/>
        <v>7052.4120000000003</v>
      </c>
      <c r="N37" s="5156">
        <f t="shared" si="2"/>
        <v>9413.4120000000003</v>
      </c>
      <c r="O37" s="5104">
        <v>481.99200000000002</v>
      </c>
      <c r="P37" s="5104">
        <v>870.96799999999996</v>
      </c>
      <c r="Q37" s="5108">
        <v>25</v>
      </c>
      <c r="R37" s="5157">
        <f t="shared" si="3"/>
        <v>1377.96</v>
      </c>
      <c r="S37" s="5108">
        <v>1297.9960000000001</v>
      </c>
      <c r="T37" s="5108">
        <v>128.95400000000001</v>
      </c>
      <c r="U37" s="5155">
        <v>617</v>
      </c>
      <c r="V37" s="5157">
        <f t="shared" si="4"/>
        <v>2043.95</v>
      </c>
      <c r="W37" s="5156">
        <f t="shared" si="5"/>
        <v>3421.91</v>
      </c>
      <c r="X37" s="5120">
        <f t="shared" si="6"/>
        <v>12835.322000000002</v>
      </c>
      <c r="Y37" s="5119">
        <v>0</v>
      </c>
      <c r="Z37" s="5108">
        <v>0</v>
      </c>
      <c r="AA37" s="5108">
        <v>0</v>
      </c>
      <c r="AB37" s="5157">
        <f t="shared" si="7"/>
        <v>0</v>
      </c>
      <c r="AC37" s="5108">
        <v>0</v>
      </c>
      <c r="AD37" s="5108">
        <v>812</v>
      </c>
      <c r="AE37" s="5108">
        <v>448.16800000000001</v>
      </c>
      <c r="AF37" s="5118">
        <f t="shared" si="8"/>
        <v>1260.1680000000001</v>
      </c>
      <c r="AG37" s="5156">
        <f t="shared" si="9"/>
        <v>1260.1680000000001</v>
      </c>
      <c r="AH37" s="5104">
        <v>0</v>
      </c>
      <c r="AI37" s="5104">
        <v>0</v>
      </c>
      <c r="AJ37" s="5104">
        <v>0</v>
      </c>
      <c r="AK37" s="5157">
        <f t="shared" si="10"/>
        <v>0</v>
      </c>
      <c r="AL37" s="5108">
        <v>0</v>
      </c>
      <c r="AM37" s="5108">
        <v>0</v>
      </c>
      <c r="AN37" s="5155">
        <v>0</v>
      </c>
      <c r="AO37" s="5157">
        <f t="shared" si="11"/>
        <v>0</v>
      </c>
      <c r="AP37" s="5156">
        <f t="shared" si="12"/>
        <v>0</v>
      </c>
      <c r="AQ37" s="5117">
        <f t="shared" si="13"/>
        <v>1260.1680000000001</v>
      </c>
      <c r="AR37" s="5107">
        <f t="shared" si="14"/>
        <v>14095.490000000002</v>
      </c>
      <c r="AS37" s="5154"/>
      <c r="AT37" s="5110"/>
      <c r="AU37" s="5116">
        <f t="shared" si="15"/>
        <v>1150</v>
      </c>
      <c r="AV37" s="5115"/>
      <c r="AW37" s="5114">
        <f t="shared" si="16"/>
        <v>907</v>
      </c>
      <c r="AX37" s="5113"/>
      <c r="AY37" s="5113">
        <f t="shared" si="17"/>
        <v>2057</v>
      </c>
      <c r="AZ37" s="5113"/>
      <c r="BA37" s="5114">
        <f t="shared" si="18"/>
        <v>304</v>
      </c>
      <c r="BB37" s="5112"/>
      <c r="BC37" s="5112">
        <f t="shared" si="19"/>
        <v>2361</v>
      </c>
      <c r="BD37" s="5113"/>
      <c r="BE37" s="5114">
        <f t="shared" si="20"/>
        <v>5105</v>
      </c>
      <c r="BF37" s="5111"/>
      <c r="BG37" s="5111">
        <f t="shared" si="21"/>
        <v>7466</v>
      </c>
      <c r="BH37" s="5113"/>
      <c r="BI37" s="5114">
        <f t="shared" si="22"/>
        <v>1157</v>
      </c>
      <c r="BJ37" s="5111"/>
      <c r="BK37" s="5111">
        <f t="shared" si="23"/>
        <v>8623</v>
      </c>
      <c r="BL37" s="5113"/>
      <c r="BM37" s="5114">
        <f t="shared" si="24"/>
        <v>2050.58</v>
      </c>
      <c r="BN37" s="5113"/>
      <c r="BO37" s="5112">
        <f t="shared" si="25"/>
        <v>8312.58</v>
      </c>
      <c r="BP37" s="5113"/>
      <c r="BQ37" s="5136">
        <f t="shared" si="26"/>
        <v>10673.58</v>
      </c>
      <c r="BR37" s="5113"/>
      <c r="BS37" s="5114">
        <f t="shared" si="27"/>
        <v>481.99200000000002</v>
      </c>
      <c r="BT37" s="5113"/>
      <c r="BU37" s="5113">
        <f t="shared" si="28"/>
        <v>11155.572</v>
      </c>
      <c r="BV37" s="5113"/>
      <c r="BW37" s="5114">
        <f t="shared" si="29"/>
        <v>870.96799999999996</v>
      </c>
      <c r="BX37" s="5113"/>
      <c r="BY37" s="5113">
        <f t="shared" si="30"/>
        <v>12026.54</v>
      </c>
      <c r="BZ37" s="5113"/>
      <c r="CA37" s="5114">
        <f t="shared" si="31"/>
        <v>25</v>
      </c>
      <c r="CB37" s="5113"/>
      <c r="CC37" s="5112">
        <f t="shared" si="32"/>
        <v>1377.96</v>
      </c>
      <c r="CD37" s="5113"/>
      <c r="CE37" s="5113">
        <f t="shared" si="33"/>
        <v>12051.54</v>
      </c>
      <c r="CF37" s="5113"/>
      <c r="CG37" s="5114">
        <f t="shared" si="34"/>
        <v>1297.9960000000001</v>
      </c>
      <c r="CH37" s="5113"/>
      <c r="CI37" s="5113">
        <f t="shared" si="35"/>
        <v>13349.536</v>
      </c>
      <c r="CJ37" s="5113"/>
      <c r="CK37" s="5114">
        <f t="shared" si="36"/>
        <v>128.95400000000001</v>
      </c>
      <c r="CL37" s="5113"/>
      <c r="CM37" s="5113">
        <f t="shared" si="37"/>
        <v>13478.49</v>
      </c>
      <c r="CN37" s="5113"/>
      <c r="CO37" s="5114">
        <f t="shared" si="38"/>
        <v>617</v>
      </c>
      <c r="CP37" s="5113"/>
      <c r="CQ37" s="5112">
        <f t="shared" si="39"/>
        <v>2043.95</v>
      </c>
      <c r="CR37" s="5113"/>
      <c r="CS37" s="5136">
        <f t="shared" si="40"/>
        <v>3421.91</v>
      </c>
      <c r="CT37" s="5111"/>
      <c r="CU37" s="5139">
        <f t="shared" si="41"/>
        <v>14095.49</v>
      </c>
      <c r="CV37" s="5138"/>
      <c r="CW37" s="5147"/>
    </row>
    <row r="38" spans="1:101" x14ac:dyDescent="0.25">
      <c r="A38" s="5170"/>
      <c r="B38" s="5170"/>
      <c r="C38" s="5170"/>
      <c r="D38" s="5170"/>
      <c r="E38" s="5158" t="s">
        <v>1481</v>
      </c>
      <c r="F38" s="5150">
        <v>258</v>
      </c>
      <c r="G38" s="5108">
        <v>127</v>
      </c>
      <c r="H38" s="5108"/>
      <c r="I38" s="5157">
        <f t="shared" si="0"/>
        <v>385</v>
      </c>
      <c r="J38" s="5108">
        <v>514</v>
      </c>
      <c r="K38" s="5108"/>
      <c r="L38" s="5108">
        <v>976.66800000000001</v>
      </c>
      <c r="M38" s="5157">
        <f t="shared" si="1"/>
        <v>1490.6680000000001</v>
      </c>
      <c r="N38" s="5156">
        <f t="shared" si="2"/>
        <v>1875.6680000000001</v>
      </c>
      <c r="O38" s="5104"/>
      <c r="P38" s="5104"/>
      <c r="Q38" s="5108">
        <v>632</v>
      </c>
      <c r="R38" s="5157">
        <f t="shared" si="3"/>
        <v>632</v>
      </c>
      <c r="S38" s="5108">
        <v>1052.7719999999999</v>
      </c>
      <c r="T38" s="5108"/>
      <c r="U38" s="5155"/>
      <c r="V38" s="5157">
        <f t="shared" si="4"/>
        <v>1052.7719999999999</v>
      </c>
      <c r="W38" s="5156">
        <f t="shared" si="5"/>
        <v>1684.7719999999999</v>
      </c>
      <c r="X38" s="5120">
        <f t="shared" si="6"/>
        <v>3560.44</v>
      </c>
      <c r="Y38" s="5119">
        <v>0</v>
      </c>
      <c r="Z38" s="5108">
        <v>0</v>
      </c>
      <c r="AA38" s="5108"/>
      <c r="AB38" s="5157">
        <f t="shared" si="7"/>
        <v>0</v>
      </c>
      <c r="AC38" s="5108">
        <v>0</v>
      </c>
      <c r="AD38" s="5108"/>
      <c r="AE38" s="5108">
        <v>0</v>
      </c>
      <c r="AF38" s="5118">
        <f t="shared" si="8"/>
        <v>0</v>
      </c>
      <c r="AG38" s="5156">
        <f t="shared" si="9"/>
        <v>0</v>
      </c>
      <c r="AH38" s="5104"/>
      <c r="AI38" s="5104"/>
      <c r="AJ38" s="5104">
        <v>0</v>
      </c>
      <c r="AK38" s="5157">
        <f t="shared" si="10"/>
        <v>0</v>
      </c>
      <c r="AL38" s="5108">
        <v>0</v>
      </c>
      <c r="AM38" s="5108"/>
      <c r="AN38" s="5155"/>
      <c r="AO38" s="5157">
        <f t="shared" si="11"/>
        <v>0</v>
      </c>
      <c r="AP38" s="5156">
        <f t="shared" si="12"/>
        <v>0</v>
      </c>
      <c r="AQ38" s="5117">
        <f t="shared" si="13"/>
        <v>0</v>
      </c>
      <c r="AR38" s="5107">
        <f t="shared" si="14"/>
        <v>3560.44</v>
      </c>
      <c r="AS38" s="5154"/>
      <c r="AT38" s="5110"/>
      <c r="AU38" s="5116">
        <f t="shared" si="15"/>
        <v>258</v>
      </c>
      <c r="AV38" s="5115"/>
      <c r="AW38" s="5114">
        <f t="shared" si="16"/>
        <v>127</v>
      </c>
      <c r="AX38" s="5113"/>
      <c r="AY38" s="5113">
        <f t="shared" si="17"/>
        <v>385</v>
      </c>
      <c r="AZ38" s="5113"/>
      <c r="BA38" s="5114">
        <f t="shared" si="18"/>
        <v>0</v>
      </c>
      <c r="BB38" s="5112"/>
      <c r="BC38" s="5112">
        <f t="shared" si="19"/>
        <v>385</v>
      </c>
      <c r="BD38" s="5113"/>
      <c r="BE38" s="5114">
        <f t="shared" si="20"/>
        <v>514</v>
      </c>
      <c r="BF38" s="5111"/>
      <c r="BG38" s="5111">
        <f t="shared" si="21"/>
        <v>899</v>
      </c>
      <c r="BH38" s="5113"/>
      <c r="BI38" s="5114">
        <f t="shared" si="22"/>
        <v>0</v>
      </c>
      <c r="BJ38" s="5111"/>
      <c r="BK38" s="5111">
        <f t="shared" si="23"/>
        <v>899</v>
      </c>
      <c r="BL38" s="5113"/>
      <c r="BM38" s="5114">
        <f t="shared" si="24"/>
        <v>976.66800000000001</v>
      </c>
      <c r="BN38" s="5113"/>
      <c r="BO38" s="5112">
        <f t="shared" si="25"/>
        <v>1490.6680000000001</v>
      </c>
      <c r="BP38" s="5113"/>
      <c r="BQ38" s="5136">
        <f t="shared" si="26"/>
        <v>1875.6680000000001</v>
      </c>
      <c r="BR38" s="5113"/>
      <c r="BS38" s="5114">
        <f t="shared" si="27"/>
        <v>0</v>
      </c>
      <c r="BT38" s="5113"/>
      <c r="BU38" s="5113">
        <f t="shared" si="28"/>
        <v>1875.6680000000001</v>
      </c>
      <c r="BV38" s="5113"/>
      <c r="BW38" s="5114">
        <f t="shared" si="29"/>
        <v>0</v>
      </c>
      <c r="BX38" s="5113"/>
      <c r="BY38" s="5113">
        <f t="shared" si="30"/>
        <v>1875.6680000000001</v>
      </c>
      <c r="BZ38" s="5113"/>
      <c r="CA38" s="5114">
        <f t="shared" si="31"/>
        <v>632</v>
      </c>
      <c r="CB38" s="5113"/>
      <c r="CC38" s="5112">
        <f t="shared" si="32"/>
        <v>632</v>
      </c>
      <c r="CD38" s="5113"/>
      <c r="CE38" s="5113">
        <f t="shared" si="33"/>
        <v>2507.6680000000001</v>
      </c>
      <c r="CF38" s="5113"/>
      <c r="CG38" s="5114">
        <f t="shared" si="34"/>
        <v>1052.7719999999999</v>
      </c>
      <c r="CH38" s="5113"/>
      <c r="CI38" s="5113">
        <f t="shared" si="35"/>
        <v>3560.44</v>
      </c>
      <c r="CJ38" s="5113"/>
      <c r="CK38" s="5114">
        <f t="shared" si="36"/>
        <v>0</v>
      </c>
      <c r="CL38" s="5113"/>
      <c r="CM38" s="5113">
        <f t="shared" si="37"/>
        <v>3560.44</v>
      </c>
      <c r="CN38" s="5113"/>
      <c r="CO38" s="5114">
        <f t="shared" si="38"/>
        <v>0</v>
      </c>
      <c r="CP38" s="5113"/>
      <c r="CQ38" s="5112">
        <f t="shared" si="39"/>
        <v>1052.7719999999999</v>
      </c>
      <c r="CR38" s="5113"/>
      <c r="CS38" s="5136">
        <f t="shared" si="40"/>
        <v>1684.7719999999999</v>
      </c>
      <c r="CT38" s="5111"/>
      <c r="CU38" s="5139">
        <f t="shared" si="41"/>
        <v>3560.44</v>
      </c>
      <c r="CV38" s="5138"/>
      <c r="CW38" s="5147"/>
    </row>
    <row r="39" spans="1:101" x14ac:dyDescent="0.25">
      <c r="A39" s="5170"/>
      <c r="B39" s="5170"/>
      <c r="C39" s="5170"/>
      <c r="D39" s="5170"/>
      <c r="E39" s="5158" t="s">
        <v>2194</v>
      </c>
      <c r="F39" s="5150"/>
      <c r="G39" s="5108"/>
      <c r="H39" s="5108"/>
      <c r="I39" s="5157">
        <f t="shared" si="0"/>
        <v>0</v>
      </c>
      <c r="J39" s="5108"/>
      <c r="K39" s="5108"/>
      <c r="L39" s="5108">
        <v>0</v>
      </c>
      <c r="M39" s="5157">
        <f t="shared" si="1"/>
        <v>0</v>
      </c>
      <c r="N39" s="5156">
        <f t="shared" si="2"/>
        <v>0</v>
      </c>
      <c r="O39" s="5104">
        <v>105.7</v>
      </c>
      <c r="P39" s="5104"/>
      <c r="Q39" s="5108">
        <v>1010</v>
      </c>
      <c r="R39" s="5157">
        <f t="shared" si="3"/>
        <v>1115.7</v>
      </c>
      <c r="S39" s="5108">
        <v>323.44200000000001</v>
      </c>
      <c r="T39" s="5108">
        <v>109.928</v>
      </c>
      <c r="U39" s="5155"/>
      <c r="V39" s="5157">
        <f t="shared" si="4"/>
        <v>433.37</v>
      </c>
      <c r="W39" s="5156">
        <f t="shared" si="5"/>
        <v>1549.0700000000002</v>
      </c>
      <c r="X39" s="5120">
        <f t="shared" si="6"/>
        <v>1549.0700000000002</v>
      </c>
      <c r="Y39" s="5119"/>
      <c r="Z39" s="5108"/>
      <c r="AA39" s="5108"/>
      <c r="AB39" s="5157">
        <f t="shared" si="7"/>
        <v>0</v>
      </c>
      <c r="AC39" s="5108"/>
      <c r="AD39" s="5108"/>
      <c r="AE39" s="5108">
        <v>405.88799999999998</v>
      </c>
      <c r="AF39" s="5118">
        <f t="shared" si="8"/>
        <v>405.88799999999998</v>
      </c>
      <c r="AG39" s="5156">
        <f t="shared" si="9"/>
        <v>405.88799999999998</v>
      </c>
      <c r="AH39" s="5104">
        <v>0</v>
      </c>
      <c r="AI39" s="5104"/>
      <c r="AJ39" s="5104">
        <v>0</v>
      </c>
      <c r="AK39" s="5157">
        <f t="shared" si="10"/>
        <v>0</v>
      </c>
      <c r="AL39" s="5108">
        <v>0</v>
      </c>
      <c r="AM39" s="5108">
        <v>0</v>
      </c>
      <c r="AN39" s="5155"/>
      <c r="AO39" s="5157">
        <f t="shared" si="11"/>
        <v>0</v>
      </c>
      <c r="AP39" s="5156">
        <f t="shared" si="12"/>
        <v>0</v>
      </c>
      <c r="AQ39" s="5117">
        <f t="shared" si="13"/>
        <v>405.88799999999998</v>
      </c>
      <c r="AR39" s="5107">
        <f t="shared" si="14"/>
        <v>1954.9580000000001</v>
      </c>
      <c r="AS39" s="5154"/>
      <c r="AT39" s="5110"/>
      <c r="AU39" s="5116">
        <f t="shared" si="15"/>
        <v>0</v>
      </c>
      <c r="AV39" s="5115"/>
      <c r="AW39" s="5114">
        <f t="shared" si="16"/>
        <v>0</v>
      </c>
      <c r="AX39" s="5113"/>
      <c r="AY39" s="5113">
        <f t="shared" si="17"/>
        <v>0</v>
      </c>
      <c r="AZ39" s="5113"/>
      <c r="BA39" s="5114">
        <f t="shared" si="18"/>
        <v>0</v>
      </c>
      <c r="BB39" s="5112"/>
      <c r="BC39" s="5112">
        <f t="shared" si="19"/>
        <v>0</v>
      </c>
      <c r="BD39" s="5113"/>
      <c r="BE39" s="5114">
        <f t="shared" si="20"/>
        <v>0</v>
      </c>
      <c r="BF39" s="5111"/>
      <c r="BG39" s="5111">
        <f t="shared" si="21"/>
        <v>0</v>
      </c>
      <c r="BH39" s="5113"/>
      <c r="BI39" s="5114">
        <f t="shared" si="22"/>
        <v>0</v>
      </c>
      <c r="BJ39" s="5111"/>
      <c r="BK39" s="5111">
        <f t="shared" si="23"/>
        <v>0</v>
      </c>
      <c r="BL39" s="5113"/>
      <c r="BM39" s="5114">
        <f t="shared" si="24"/>
        <v>405.88799999999998</v>
      </c>
      <c r="BN39" s="5113"/>
      <c r="BO39" s="5112">
        <f t="shared" si="25"/>
        <v>405.88799999999998</v>
      </c>
      <c r="BP39" s="5113"/>
      <c r="BQ39" s="5136">
        <f t="shared" si="26"/>
        <v>405.88799999999998</v>
      </c>
      <c r="BR39" s="5113"/>
      <c r="BS39" s="5114">
        <f t="shared" si="27"/>
        <v>105.7</v>
      </c>
      <c r="BT39" s="5113"/>
      <c r="BU39" s="5113">
        <f t="shared" si="28"/>
        <v>511.58799999999997</v>
      </c>
      <c r="BV39" s="5113"/>
      <c r="BW39" s="5114">
        <f t="shared" si="29"/>
        <v>0</v>
      </c>
      <c r="BX39" s="5113"/>
      <c r="BY39" s="5113">
        <f t="shared" si="30"/>
        <v>511.58799999999997</v>
      </c>
      <c r="BZ39" s="5113"/>
      <c r="CA39" s="5114">
        <f t="shared" si="31"/>
        <v>1010</v>
      </c>
      <c r="CB39" s="5113"/>
      <c r="CC39" s="5112">
        <f t="shared" si="32"/>
        <v>1115.7</v>
      </c>
      <c r="CD39" s="5113"/>
      <c r="CE39" s="5113">
        <f t="shared" si="33"/>
        <v>1521.588</v>
      </c>
      <c r="CF39" s="5113"/>
      <c r="CG39" s="5114">
        <f t="shared" si="34"/>
        <v>323.44200000000001</v>
      </c>
      <c r="CH39" s="5113"/>
      <c r="CI39" s="5113">
        <f t="shared" si="35"/>
        <v>1845.03</v>
      </c>
      <c r="CJ39" s="5113"/>
      <c r="CK39" s="5114">
        <f t="shared" si="36"/>
        <v>109.928</v>
      </c>
      <c r="CL39" s="5113"/>
      <c r="CM39" s="5113">
        <f t="shared" si="37"/>
        <v>1954.9580000000001</v>
      </c>
      <c r="CN39" s="5113"/>
      <c r="CO39" s="5114">
        <f t="shared" si="38"/>
        <v>0</v>
      </c>
      <c r="CP39" s="5113"/>
      <c r="CQ39" s="5112">
        <f t="shared" si="39"/>
        <v>433.37</v>
      </c>
      <c r="CR39" s="5113"/>
      <c r="CS39" s="5136">
        <f t="shared" si="40"/>
        <v>1549.0700000000002</v>
      </c>
      <c r="CT39" s="5111"/>
      <c r="CU39" s="5139">
        <f t="shared" si="41"/>
        <v>1954.9580000000001</v>
      </c>
      <c r="CV39" s="5138"/>
      <c r="CW39" s="5147"/>
    </row>
    <row r="40" spans="1:101" x14ac:dyDescent="0.25">
      <c r="A40" s="5170"/>
      <c r="B40" s="5170"/>
      <c r="C40" s="5170"/>
      <c r="D40" s="5170"/>
      <c r="E40" s="5158" t="s">
        <v>1437</v>
      </c>
      <c r="F40" s="5150"/>
      <c r="G40" s="5108"/>
      <c r="H40" s="5108"/>
      <c r="I40" s="5157">
        <f t="shared" si="0"/>
        <v>0</v>
      </c>
      <c r="J40" s="5108">
        <v>0</v>
      </c>
      <c r="K40" s="5108"/>
      <c r="L40" s="5108">
        <v>372.06400000000002</v>
      </c>
      <c r="M40" s="5157">
        <f t="shared" si="1"/>
        <v>372.06400000000002</v>
      </c>
      <c r="N40" s="5156">
        <f t="shared" si="2"/>
        <v>372.06400000000002</v>
      </c>
      <c r="O40" s="5104"/>
      <c r="P40" s="5104"/>
      <c r="Q40" s="5108"/>
      <c r="R40" s="5157">
        <f t="shared" si="3"/>
        <v>0</v>
      </c>
      <c r="S40" s="5108"/>
      <c r="T40" s="5108"/>
      <c r="U40" s="5155"/>
      <c r="V40" s="5157">
        <f t="shared" si="4"/>
        <v>0</v>
      </c>
      <c r="W40" s="5156">
        <f t="shared" si="5"/>
        <v>0</v>
      </c>
      <c r="X40" s="5120">
        <f t="shared" si="6"/>
        <v>372.06400000000002</v>
      </c>
      <c r="Y40" s="5119"/>
      <c r="Z40" s="5108"/>
      <c r="AA40" s="5108"/>
      <c r="AB40" s="5157">
        <f t="shared" si="7"/>
        <v>0</v>
      </c>
      <c r="AC40" s="5108">
        <v>108</v>
      </c>
      <c r="AD40" s="5108"/>
      <c r="AE40" s="5108">
        <v>0</v>
      </c>
      <c r="AF40" s="5118">
        <f t="shared" si="8"/>
        <v>108</v>
      </c>
      <c r="AG40" s="5156">
        <f t="shared" si="9"/>
        <v>108</v>
      </c>
      <c r="AH40" s="5104"/>
      <c r="AI40" s="5104"/>
      <c r="AJ40" s="5104"/>
      <c r="AK40" s="5157">
        <f t="shared" si="10"/>
        <v>0</v>
      </c>
      <c r="AL40" s="5108"/>
      <c r="AM40" s="5108"/>
      <c r="AN40" s="5155"/>
      <c r="AO40" s="5157">
        <f t="shared" si="11"/>
        <v>0</v>
      </c>
      <c r="AP40" s="5156">
        <f t="shared" si="12"/>
        <v>0</v>
      </c>
      <c r="AQ40" s="5117">
        <f t="shared" si="13"/>
        <v>108</v>
      </c>
      <c r="AR40" s="5107">
        <f t="shared" si="14"/>
        <v>480.06400000000002</v>
      </c>
      <c r="AS40" s="5154"/>
      <c r="AT40" s="5110"/>
      <c r="AU40" s="5116">
        <f t="shared" si="15"/>
        <v>0</v>
      </c>
      <c r="AV40" s="5115"/>
      <c r="AW40" s="5114">
        <f t="shared" si="16"/>
        <v>0</v>
      </c>
      <c r="AX40" s="5113"/>
      <c r="AY40" s="5113">
        <f t="shared" si="17"/>
        <v>0</v>
      </c>
      <c r="AZ40" s="5113"/>
      <c r="BA40" s="5114">
        <f t="shared" si="18"/>
        <v>0</v>
      </c>
      <c r="BB40" s="5112"/>
      <c r="BC40" s="5112">
        <f t="shared" si="19"/>
        <v>0</v>
      </c>
      <c r="BD40" s="5113"/>
      <c r="BE40" s="5114">
        <f t="shared" si="20"/>
        <v>108</v>
      </c>
      <c r="BF40" s="5111"/>
      <c r="BG40" s="5111">
        <f t="shared" si="21"/>
        <v>108</v>
      </c>
      <c r="BH40" s="5113"/>
      <c r="BI40" s="5114">
        <f t="shared" si="22"/>
        <v>0</v>
      </c>
      <c r="BJ40" s="5111"/>
      <c r="BK40" s="5111">
        <f t="shared" si="23"/>
        <v>108</v>
      </c>
      <c r="BL40" s="5113"/>
      <c r="BM40" s="5114">
        <f t="shared" si="24"/>
        <v>372.06400000000002</v>
      </c>
      <c r="BN40" s="5113"/>
      <c r="BO40" s="5112">
        <f t="shared" si="25"/>
        <v>480.06400000000002</v>
      </c>
      <c r="BP40" s="5113"/>
      <c r="BQ40" s="5136">
        <f t="shared" si="26"/>
        <v>480.06400000000002</v>
      </c>
      <c r="BR40" s="5113"/>
      <c r="BS40" s="5114">
        <f t="shared" si="27"/>
        <v>0</v>
      </c>
      <c r="BT40" s="5113"/>
      <c r="BU40" s="5113">
        <f t="shared" si="28"/>
        <v>480.06400000000002</v>
      </c>
      <c r="BV40" s="5113"/>
      <c r="BW40" s="5114">
        <f t="shared" si="29"/>
        <v>0</v>
      </c>
      <c r="BX40" s="5113"/>
      <c r="BY40" s="5113">
        <f t="shared" si="30"/>
        <v>480.06400000000002</v>
      </c>
      <c r="BZ40" s="5113"/>
      <c r="CA40" s="5114">
        <f t="shared" si="31"/>
        <v>0</v>
      </c>
      <c r="CB40" s="5113"/>
      <c r="CC40" s="5112">
        <f t="shared" si="32"/>
        <v>0</v>
      </c>
      <c r="CD40" s="5113"/>
      <c r="CE40" s="5113">
        <f t="shared" si="33"/>
        <v>480.06400000000002</v>
      </c>
      <c r="CF40" s="5113"/>
      <c r="CG40" s="5114">
        <f t="shared" si="34"/>
        <v>0</v>
      </c>
      <c r="CH40" s="5113"/>
      <c r="CI40" s="5113">
        <f t="shared" si="35"/>
        <v>480.06400000000002</v>
      </c>
      <c r="CJ40" s="5113"/>
      <c r="CK40" s="5114">
        <f t="shared" si="36"/>
        <v>0</v>
      </c>
      <c r="CL40" s="5113"/>
      <c r="CM40" s="5113">
        <f t="shared" si="37"/>
        <v>480.06400000000002</v>
      </c>
      <c r="CN40" s="5113"/>
      <c r="CO40" s="5114">
        <f t="shared" si="38"/>
        <v>0</v>
      </c>
      <c r="CP40" s="5113"/>
      <c r="CQ40" s="5112">
        <f t="shared" si="39"/>
        <v>0</v>
      </c>
      <c r="CR40" s="5113"/>
      <c r="CS40" s="5136">
        <f t="shared" si="40"/>
        <v>0</v>
      </c>
      <c r="CT40" s="5111"/>
      <c r="CU40" s="5139">
        <f t="shared" si="41"/>
        <v>480.06400000000002</v>
      </c>
      <c r="CV40" s="5138"/>
      <c r="CW40" s="5147"/>
    </row>
    <row r="41" spans="1:101" x14ac:dyDescent="0.25">
      <c r="A41" s="5170"/>
      <c r="B41" s="5170"/>
      <c r="C41" s="5170"/>
      <c r="D41" s="5170"/>
      <c r="E41" s="5158" t="s">
        <v>1671</v>
      </c>
      <c r="F41" s="5150">
        <v>404</v>
      </c>
      <c r="G41" s="5108"/>
      <c r="H41" s="5108"/>
      <c r="I41" s="5157">
        <f t="shared" si="0"/>
        <v>404</v>
      </c>
      <c r="J41" s="5108"/>
      <c r="K41" s="5108">
        <v>651</v>
      </c>
      <c r="L41" s="5108"/>
      <c r="M41" s="5157">
        <f t="shared" si="1"/>
        <v>651</v>
      </c>
      <c r="N41" s="5156">
        <f t="shared" si="2"/>
        <v>1055</v>
      </c>
      <c r="O41" s="5104"/>
      <c r="P41" s="5104"/>
      <c r="Q41" s="5108"/>
      <c r="R41" s="5157">
        <f t="shared" si="3"/>
        <v>0</v>
      </c>
      <c r="S41" s="5108"/>
      <c r="T41" s="5108"/>
      <c r="U41" s="5155"/>
      <c r="V41" s="5157">
        <f t="shared" si="4"/>
        <v>0</v>
      </c>
      <c r="W41" s="5156">
        <f t="shared" si="5"/>
        <v>0</v>
      </c>
      <c r="X41" s="5120">
        <f t="shared" si="6"/>
        <v>1055</v>
      </c>
      <c r="Y41" s="5119">
        <v>0</v>
      </c>
      <c r="Z41" s="5108"/>
      <c r="AA41" s="5108"/>
      <c r="AB41" s="5157">
        <f t="shared" si="7"/>
        <v>0</v>
      </c>
      <c r="AC41" s="5108"/>
      <c r="AD41" s="5108">
        <v>0</v>
      </c>
      <c r="AE41" s="5108"/>
      <c r="AF41" s="5118">
        <f t="shared" si="8"/>
        <v>0</v>
      </c>
      <c r="AG41" s="5156">
        <f t="shared" si="9"/>
        <v>0</v>
      </c>
      <c r="AH41" s="5104"/>
      <c r="AI41" s="5104"/>
      <c r="AJ41" s="5104"/>
      <c r="AK41" s="5157">
        <f t="shared" si="10"/>
        <v>0</v>
      </c>
      <c r="AL41" s="5108"/>
      <c r="AM41" s="5108"/>
      <c r="AN41" s="5155"/>
      <c r="AO41" s="5157">
        <f t="shared" si="11"/>
        <v>0</v>
      </c>
      <c r="AP41" s="5156">
        <f t="shared" si="12"/>
        <v>0</v>
      </c>
      <c r="AQ41" s="5117">
        <f t="shared" si="13"/>
        <v>0</v>
      </c>
      <c r="AR41" s="5107">
        <f t="shared" si="14"/>
        <v>1055</v>
      </c>
      <c r="AS41" s="5154"/>
      <c r="AT41" s="5110"/>
      <c r="AU41" s="5116">
        <f t="shared" si="15"/>
        <v>404</v>
      </c>
      <c r="AV41" s="5115"/>
      <c r="AW41" s="5114">
        <f t="shared" si="16"/>
        <v>0</v>
      </c>
      <c r="AX41" s="5113"/>
      <c r="AY41" s="5113">
        <f t="shared" si="17"/>
        <v>404</v>
      </c>
      <c r="AZ41" s="5113"/>
      <c r="BA41" s="5114">
        <f t="shared" si="18"/>
        <v>0</v>
      </c>
      <c r="BB41" s="5112"/>
      <c r="BC41" s="5112">
        <f t="shared" si="19"/>
        <v>404</v>
      </c>
      <c r="BD41" s="5113"/>
      <c r="BE41" s="5114">
        <f t="shared" si="20"/>
        <v>0</v>
      </c>
      <c r="BF41" s="5111"/>
      <c r="BG41" s="5111">
        <f t="shared" si="21"/>
        <v>404</v>
      </c>
      <c r="BH41" s="5113"/>
      <c r="BI41" s="5114">
        <f t="shared" si="22"/>
        <v>651</v>
      </c>
      <c r="BJ41" s="5111"/>
      <c r="BK41" s="5111">
        <f t="shared" si="23"/>
        <v>1055</v>
      </c>
      <c r="BL41" s="5113"/>
      <c r="BM41" s="5114">
        <f t="shared" si="24"/>
        <v>0</v>
      </c>
      <c r="BN41" s="5113"/>
      <c r="BO41" s="5112">
        <f t="shared" si="25"/>
        <v>651</v>
      </c>
      <c r="BP41" s="5113"/>
      <c r="BQ41" s="5136">
        <f t="shared" si="26"/>
        <v>1055</v>
      </c>
      <c r="BR41" s="5113"/>
      <c r="BS41" s="5114">
        <f t="shared" si="27"/>
        <v>0</v>
      </c>
      <c r="BT41" s="5113"/>
      <c r="BU41" s="5113">
        <f t="shared" si="28"/>
        <v>1055</v>
      </c>
      <c r="BV41" s="5113"/>
      <c r="BW41" s="5114">
        <f t="shared" si="29"/>
        <v>0</v>
      </c>
      <c r="BX41" s="5113"/>
      <c r="BY41" s="5113">
        <f t="shared" si="30"/>
        <v>1055</v>
      </c>
      <c r="BZ41" s="5113"/>
      <c r="CA41" s="5114">
        <f t="shared" si="31"/>
        <v>0</v>
      </c>
      <c r="CB41" s="5113"/>
      <c r="CC41" s="5112">
        <f t="shared" si="32"/>
        <v>0</v>
      </c>
      <c r="CD41" s="5113"/>
      <c r="CE41" s="5113">
        <f t="shared" si="33"/>
        <v>1055</v>
      </c>
      <c r="CF41" s="5113"/>
      <c r="CG41" s="5114">
        <f t="shared" si="34"/>
        <v>0</v>
      </c>
      <c r="CH41" s="5113"/>
      <c r="CI41" s="5113">
        <f t="shared" si="35"/>
        <v>1055</v>
      </c>
      <c r="CJ41" s="5113"/>
      <c r="CK41" s="5114">
        <f t="shared" si="36"/>
        <v>0</v>
      </c>
      <c r="CL41" s="5113"/>
      <c r="CM41" s="5113">
        <f t="shared" si="37"/>
        <v>1055</v>
      </c>
      <c r="CN41" s="5113"/>
      <c r="CO41" s="5114">
        <f t="shared" si="38"/>
        <v>0</v>
      </c>
      <c r="CP41" s="5113"/>
      <c r="CQ41" s="5112">
        <f t="shared" si="39"/>
        <v>0</v>
      </c>
      <c r="CR41" s="5113"/>
      <c r="CS41" s="5136">
        <f t="shared" si="40"/>
        <v>0</v>
      </c>
      <c r="CT41" s="5111"/>
      <c r="CU41" s="5139">
        <f t="shared" si="41"/>
        <v>1055</v>
      </c>
      <c r="CV41" s="5138"/>
      <c r="CW41" s="5147"/>
    </row>
    <row r="42" spans="1:101" x14ac:dyDescent="0.25">
      <c r="A42" s="5170"/>
      <c r="B42" s="5170"/>
      <c r="C42" s="5170"/>
      <c r="D42" s="5170"/>
      <c r="E42" s="5158" t="s">
        <v>2195</v>
      </c>
      <c r="F42" s="5150"/>
      <c r="G42" s="5108"/>
      <c r="H42" s="5108"/>
      <c r="I42" s="5157">
        <f t="shared" si="0"/>
        <v>0</v>
      </c>
      <c r="J42" s="5108"/>
      <c r="K42" s="5108"/>
      <c r="L42" s="5108"/>
      <c r="M42" s="5157">
        <f t="shared" si="1"/>
        <v>0</v>
      </c>
      <c r="N42" s="5156">
        <f t="shared" si="2"/>
        <v>0</v>
      </c>
      <c r="O42" s="5104"/>
      <c r="P42" s="5104"/>
      <c r="Q42" s="5108">
        <v>258</v>
      </c>
      <c r="R42" s="5157">
        <f t="shared" si="3"/>
        <v>258</v>
      </c>
      <c r="S42" s="5108"/>
      <c r="T42" s="5108">
        <v>215.62799999999999</v>
      </c>
      <c r="U42" s="5155"/>
      <c r="V42" s="5157">
        <f t="shared" si="4"/>
        <v>215.62799999999999</v>
      </c>
      <c r="W42" s="5156">
        <f t="shared" si="5"/>
        <v>473.62799999999999</v>
      </c>
      <c r="X42" s="5120">
        <f t="shared" si="6"/>
        <v>473.62799999999999</v>
      </c>
      <c r="Y42" s="5119"/>
      <c r="Z42" s="5108"/>
      <c r="AA42" s="5108"/>
      <c r="AB42" s="5157">
        <f t="shared" si="7"/>
        <v>0</v>
      </c>
      <c r="AC42" s="5108"/>
      <c r="AD42" s="5108"/>
      <c r="AE42" s="5108"/>
      <c r="AF42" s="5118">
        <f t="shared" si="8"/>
        <v>0</v>
      </c>
      <c r="AG42" s="5156">
        <f t="shared" si="9"/>
        <v>0</v>
      </c>
      <c r="AH42" s="5104"/>
      <c r="AI42" s="5104"/>
      <c r="AJ42" s="5104">
        <v>0</v>
      </c>
      <c r="AK42" s="5157">
        <f t="shared" si="10"/>
        <v>0</v>
      </c>
      <c r="AL42" s="5108"/>
      <c r="AM42" s="5108">
        <v>0</v>
      </c>
      <c r="AN42" s="5155"/>
      <c r="AO42" s="5157">
        <f t="shared" si="11"/>
        <v>0</v>
      </c>
      <c r="AP42" s="5156">
        <f t="shared" si="12"/>
        <v>0</v>
      </c>
      <c r="AQ42" s="5117">
        <f t="shared" si="13"/>
        <v>0</v>
      </c>
      <c r="AR42" s="5107">
        <f t="shared" si="14"/>
        <v>473.62799999999999</v>
      </c>
      <c r="AS42" s="5154"/>
      <c r="AT42" s="5110"/>
      <c r="AU42" s="5116">
        <f t="shared" si="15"/>
        <v>0</v>
      </c>
      <c r="AV42" s="5115"/>
      <c r="AW42" s="5114">
        <f t="shared" si="16"/>
        <v>0</v>
      </c>
      <c r="AX42" s="5113"/>
      <c r="AY42" s="5113">
        <f t="shared" si="17"/>
        <v>0</v>
      </c>
      <c r="AZ42" s="5113"/>
      <c r="BA42" s="5114">
        <f t="shared" si="18"/>
        <v>0</v>
      </c>
      <c r="BB42" s="5112"/>
      <c r="BC42" s="5112">
        <f t="shared" si="19"/>
        <v>0</v>
      </c>
      <c r="BD42" s="5113"/>
      <c r="BE42" s="5114">
        <f t="shared" si="20"/>
        <v>0</v>
      </c>
      <c r="BF42" s="5111"/>
      <c r="BG42" s="5111">
        <f t="shared" si="21"/>
        <v>0</v>
      </c>
      <c r="BH42" s="5113"/>
      <c r="BI42" s="5114">
        <f t="shared" si="22"/>
        <v>0</v>
      </c>
      <c r="BJ42" s="5111"/>
      <c r="BK42" s="5111">
        <f t="shared" si="23"/>
        <v>0</v>
      </c>
      <c r="BL42" s="5113"/>
      <c r="BM42" s="5114">
        <f t="shared" si="24"/>
        <v>0</v>
      </c>
      <c r="BN42" s="5113"/>
      <c r="BO42" s="5112">
        <f t="shared" si="25"/>
        <v>0</v>
      </c>
      <c r="BP42" s="5113"/>
      <c r="BQ42" s="5136">
        <f t="shared" si="26"/>
        <v>0</v>
      </c>
      <c r="BR42" s="5113"/>
      <c r="BS42" s="5114">
        <f t="shared" si="27"/>
        <v>0</v>
      </c>
      <c r="BT42" s="5113"/>
      <c r="BU42" s="5113">
        <f t="shared" si="28"/>
        <v>0</v>
      </c>
      <c r="BV42" s="5113"/>
      <c r="BW42" s="5114">
        <f t="shared" si="29"/>
        <v>0</v>
      </c>
      <c r="BX42" s="5113"/>
      <c r="BY42" s="5113">
        <f t="shared" si="30"/>
        <v>0</v>
      </c>
      <c r="BZ42" s="5113"/>
      <c r="CA42" s="5114">
        <f t="shared" si="31"/>
        <v>258</v>
      </c>
      <c r="CB42" s="5113"/>
      <c r="CC42" s="5112">
        <f t="shared" si="32"/>
        <v>258</v>
      </c>
      <c r="CD42" s="5113"/>
      <c r="CE42" s="5113">
        <f t="shared" si="33"/>
        <v>258</v>
      </c>
      <c r="CF42" s="5113"/>
      <c r="CG42" s="5114">
        <f t="shared" si="34"/>
        <v>0</v>
      </c>
      <c r="CH42" s="5113"/>
      <c r="CI42" s="5113">
        <f t="shared" si="35"/>
        <v>258</v>
      </c>
      <c r="CJ42" s="5113"/>
      <c r="CK42" s="5114">
        <f t="shared" si="36"/>
        <v>215.62799999999999</v>
      </c>
      <c r="CL42" s="5113"/>
      <c r="CM42" s="5113">
        <f t="shared" si="37"/>
        <v>473.62799999999999</v>
      </c>
      <c r="CN42" s="5113"/>
      <c r="CO42" s="5114">
        <f t="shared" si="38"/>
        <v>0</v>
      </c>
      <c r="CP42" s="5113"/>
      <c r="CQ42" s="5112">
        <f t="shared" si="39"/>
        <v>215.62799999999999</v>
      </c>
      <c r="CR42" s="5113"/>
      <c r="CS42" s="5136">
        <f t="shared" si="40"/>
        <v>473.62799999999999</v>
      </c>
      <c r="CT42" s="5111"/>
      <c r="CU42" s="5139">
        <f t="shared" si="41"/>
        <v>473.62799999999999</v>
      </c>
      <c r="CV42" s="5138"/>
      <c r="CW42" s="5147"/>
    </row>
    <row r="43" spans="1:101" x14ac:dyDescent="0.25">
      <c r="A43" s="5170"/>
      <c r="B43" s="5170"/>
      <c r="C43" s="5170"/>
      <c r="D43" s="5170"/>
      <c r="E43" s="5158" t="s">
        <v>1436</v>
      </c>
      <c r="F43" s="5150">
        <v>224</v>
      </c>
      <c r="G43" s="5108"/>
      <c r="H43" s="5108"/>
      <c r="I43" s="5157">
        <f t="shared" si="0"/>
        <v>224</v>
      </c>
      <c r="J43" s="5108"/>
      <c r="K43" s="5108">
        <v>268</v>
      </c>
      <c r="L43" s="5108">
        <v>253.68</v>
      </c>
      <c r="M43" s="5157">
        <f t="shared" si="1"/>
        <v>521.68000000000006</v>
      </c>
      <c r="N43" s="5156">
        <f t="shared" si="2"/>
        <v>745.68000000000006</v>
      </c>
      <c r="O43" s="5104"/>
      <c r="P43" s="5104"/>
      <c r="Q43" s="5108"/>
      <c r="R43" s="5157">
        <f t="shared" si="3"/>
        <v>0</v>
      </c>
      <c r="S43" s="5108"/>
      <c r="T43" s="5108"/>
      <c r="U43" s="5155"/>
      <c r="V43" s="5157">
        <f t="shared" si="4"/>
        <v>0</v>
      </c>
      <c r="W43" s="5156">
        <f t="shared" si="5"/>
        <v>0</v>
      </c>
      <c r="X43" s="5120">
        <f t="shared" si="6"/>
        <v>745.68000000000006</v>
      </c>
      <c r="Y43" s="5119">
        <v>135</v>
      </c>
      <c r="Z43" s="5108"/>
      <c r="AA43" s="5108"/>
      <c r="AB43" s="5157">
        <f t="shared" si="7"/>
        <v>135</v>
      </c>
      <c r="AC43" s="5108"/>
      <c r="AD43" s="5108">
        <v>0</v>
      </c>
      <c r="AE43" s="5108">
        <v>0</v>
      </c>
      <c r="AF43" s="5118">
        <f t="shared" si="8"/>
        <v>0</v>
      </c>
      <c r="AG43" s="5156">
        <f t="shared" si="9"/>
        <v>135</v>
      </c>
      <c r="AH43" s="5104"/>
      <c r="AI43" s="5104"/>
      <c r="AJ43" s="5104"/>
      <c r="AK43" s="5157">
        <f t="shared" si="10"/>
        <v>0</v>
      </c>
      <c r="AL43" s="5108"/>
      <c r="AM43" s="5108"/>
      <c r="AN43" s="5155"/>
      <c r="AO43" s="5157">
        <f t="shared" si="11"/>
        <v>0</v>
      </c>
      <c r="AP43" s="5156">
        <f t="shared" si="12"/>
        <v>0</v>
      </c>
      <c r="AQ43" s="5117">
        <f t="shared" si="13"/>
        <v>135</v>
      </c>
      <c r="AR43" s="5107">
        <f t="shared" si="14"/>
        <v>880.68000000000006</v>
      </c>
      <c r="AS43" s="5154"/>
      <c r="AT43" s="5110"/>
      <c r="AU43" s="5116">
        <f t="shared" si="15"/>
        <v>359</v>
      </c>
      <c r="AV43" s="5115"/>
      <c r="AW43" s="5114">
        <f t="shared" si="16"/>
        <v>0</v>
      </c>
      <c r="AX43" s="5113"/>
      <c r="AY43" s="5113">
        <f t="shared" si="17"/>
        <v>359</v>
      </c>
      <c r="AZ43" s="5113"/>
      <c r="BA43" s="5114">
        <f t="shared" si="18"/>
        <v>0</v>
      </c>
      <c r="BB43" s="5112"/>
      <c r="BC43" s="5112">
        <f t="shared" si="19"/>
        <v>359</v>
      </c>
      <c r="BD43" s="5113"/>
      <c r="BE43" s="5114">
        <f t="shared" si="20"/>
        <v>0</v>
      </c>
      <c r="BF43" s="5111"/>
      <c r="BG43" s="5111">
        <f t="shared" si="21"/>
        <v>359</v>
      </c>
      <c r="BH43" s="5113"/>
      <c r="BI43" s="5114">
        <f t="shared" si="22"/>
        <v>268</v>
      </c>
      <c r="BJ43" s="5111"/>
      <c r="BK43" s="5111">
        <f t="shared" si="23"/>
        <v>627</v>
      </c>
      <c r="BL43" s="5113"/>
      <c r="BM43" s="5114">
        <f t="shared" si="24"/>
        <v>253.68</v>
      </c>
      <c r="BN43" s="5113"/>
      <c r="BO43" s="5112">
        <f t="shared" si="25"/>
        <v>521.68000000000006</v>
      </c>
      <c r="BP43" s="5113"/>
      <c r="BQ43" s="5136">
        <f t="shared" si="26"/>
        <v>880.68000000000006</v>
      </c>
      <c r="BR43" s="5113"/>
      <c r="BS43" s="5114">
        <f t="shared" si="27"/>
        <v>0</v>
      </c>
      <c r="BT43" s="5113"/>
      <c r="BU43" s="5113">
        <f t="shared" si="28"/>
        <v>880.68000000000006</v>
      </c>
      <c r="BV43" s="5113"/>
      <c r="BW43" s="5114">
        <f t="shared" si="29"/>
        <v>0</v>
      </c>
      <c r="BX43" s="5113"/>
      <c r="BY43" s="5113">
        <f t="shared" si="30"/>
        <v>880.68000000000006</v>
      </c>
      <c r="BZ43" s="5113"/>
      <c r="CA43" s="5114">
        <f t="shared" si="31"/>
        <v>0</v>
      </c>
      <c r="CB43" s="5113"/>
      <c r="CC43" s="5112">
        <f t="shared" si="32"/>
        <v>0</v>
      </c>
      <c r="CD43" s="5113"/>
      <c r="CE43" s="5113">
        <f t="shared" si="33"/>
        <v>880.68000000000006</v>
      </c>
      <c r="CF43" s="5113"/>
      <c r="CG43" s="5114">
        <f t="shared" si="34"/>
        <v>0</v>
      </c>
      <c r="CH43" s="5113"/>
      <c r="CI43" s="5113">
        <f t="shared" si="35"/>
        <v>880.68000000000006</v>
      </c>
      <c r="CJ43" s="5113"/>
      <c r="CK43" s="5114">
        <f t="shared" si="36"/>
        <v>0</v>
      </c>
      <c r="CL43" s="5113"/>
      <c r="CM43" s="5113">
        <f t="shared" si="37"/>
        <v>880.68000000000006</v>
      </c>
      <c r="CN43" s="5113"/>
      <c r="CO43" s="5114">
        <f t="shared" si="38"/>
        <v>0</v>
      </c>
      <c r="CP43" s="5113"/>
      <c r="CQ43" s="5112">
        <f t="shared" si="39"/>
        <v>0</v>
      </c>
      <c r="CR43" s="5113"/>
      <c r="CS43" s="5136">
        <f t="shared" si="40"/>
        <v>0</v>
      </c>
      <c r="CT43" s="5111"/>
      <c r="CU43" s="5139">
        <f t="shared" si="41"/>
        <v>880.68000000000006</v>
      </c>
      <c r="CV43" s="5138"/>
      <c r="CW43" s="5147"/>
    </row>
    <row r="44" spans="1:101" x14ac:dyDescent="0.25">
      <c r="A44" s="5170"/>
      <c r="B44" s="5170"/>
      <c r="C44" s="5170"/>
      <c r="D44" s="5170"/>
      <c r="E44" s="5158" t="s">
        <v>2014</v>
      </c>
      <c r="F44" s="5150"/>
      <c r="G44" s="5108"/>
      <c r="H44" s="5108"/>
      <c r="I44" s="5157">
        <f t="shared" si="0"/>
        <v>0</v>
      </c>
      <c r="J44" s="5108"/>
      <c r="K44" s="5108"/>
      <c r="L44" s="5108"/>
      <c r="M44" s="5157">
        <f t="shared" si="1"/>
        <v>0</v>
      </c>
      <c r="N44" s="5156">
        <f t="shared" si="2"/>
        <v>0</v>
      </c>
      <c r="O44" s="5104">
        <v>0</v>
      </c>
      <c r="P44" s="5104"/>
      <c r="Q44" s="5108"/>
      <c r="R44" s="5157">
        <f t="shared" si="3"/>
        <v>0</v>
      </c>
      <c r="S44" s="5108"/>
      <c r="T44" s="5108"/>
      <c r="U44" s="5155"/>
      <c r="V44" s="5157">
        <f t="shared" si="4"/>
        <v>0</v>
      </c>
      <c r="W44" s="5156">
        <f t="shared" si="5"/>
        <v>0</v>
      </c>
      <c r="X44" s="5120">
        <f t="shared" si="6"/>
        <v>0</v>
      </c>
      <c r="Y44" s="5119"/>
      <c r="Z44" s="5108"/>
      <c r="AA44" s="5108"/>
      <c r="AB44" s="5157">
        <f t="shared" si="7"/>
        <v>0</v>
      </c>
      <c r="AC44" s="5108"/>
      <c r="AD44" s="5108"/>
      <c r="AE44" s="5108"/>
      <c r="AF44" s="5118">
        <f t="shared" si="8"/>
        <v>0</v>
      </c>
      <c r="AG44" s="5156">
        <f t="shared" si="9"/>
        <v>0</v>
      </c>
      <c r="AH44" s="5104">
        <v>293.846</v>
      </c>
      <c r="AI44" s="5104"/>
      <c r="AJ44" s="5104"/>
      <c r="AK44" s="5157">
        <f t="shared" si="10"/>
        <v>293.846</v>
      </c>
      <c r="AL44" s="5108"/>
      <c r="AM44" s="5108"/>
      <c r="AN44" s="5155"/>
      <c r="AO44" s="5157">
        <f t="shared" si="11"/>
        <v>0</v>
      </c>
      <c r="AP44" s="5156">
        <f t="shared" si="12"/>
        <v>293.846</v>
      </c>
      <c r="AQ44" s="5117">
        <f t="shared" si="13"/>
        <v>293.846</v>
      </c>
      <c r="AR44" s="5107">
        <f t="shared" si="14"/>
        <v>293.846</v>
      </c>
      <c r="AS44" s="5154"/>
      <c r="AT44" s="5110"/>
      <c r="AU44" s="5116">
        <f t="shared" si="15"/>
        <v>0</v>
      </c>
      <c r="AV44" s="5115"/>
      <c r="AW44" s="5114">
        <f t="shared" si="16"/>
        <v>0</v>
      </c>
      <c r="AX44" s="5113"/>
      <c r="AY44" s="5113">
        <f t="shared" si="17"/>
        <v>0</v>
      </c>
      <c r="AZ44" s="5113"/>
      <c r="BA44" s="5114">
        <f t="shared" si="18"/>
        <v>0</v>
      </c>
      <c r="BB44" s="5112"/>
      <c r="BC44" s="5112">
        <f t="shared" si="19"/>
        <v>0</v>
      </c>
      <c r="BD44" s="5113"/>
      <c r="BE44" s="5114">
        <f t="shared" si="20"/>
        <v>0</v>
      </c>
      <c r="BF44" s="5111"/>
      <c r="BG44" s="5111">
        <f t="shared" si="21"/>
        <v>0</v>
      </c>
      <c r="BH44" s="5113"/>
      <c r="BI44" s="5114">
        <f t="shared" si="22"/>
        <v>0</v>
      </c>
      <c r="BJ44" s="5111"/>
      <c r="BK44" s="5111">
        <f t="shared" si="23"/>
        <v>0</v>
      </c>
      <c r="BL44" s="5113"/>
      <c r="BM44" s="5114">
        <f t="shared" si="24"/>
        <v>0</v>
      </c>
      <c r="BN44" s="5113"/>
      <c r="BO44" s="5112">
        <f t="shared" si="25"/>
        <v>0</v>
      </c>
      <c r="BP44" s="5113"/>
      <c r="BQ44" s="5136">
        <f t="shared" si="26"/>
        <v>0</v>
      </c>
      <c r="BR44" s="5113"/>
      <c r="BS44" s="5114">
        <f t="shared" si="27"/>
        <v>293.846</v>
      </c>
      <c r="BT44" s="5113"/>
      <c r="BU44" s="5113">
        <f t="shared" si="28"/>
        <v>293.846</v>
      </c>
      <c r="BV44" s="5113"/>
      <c r="BW44" s="5114">
        <f t="shared" si="29"/>
        <v>0</v>
      </c>
      <c r="BX44" s="5113"/>
      <c r="BY44" s="5113">
        <f t="shared" si="30"/>
        <v>293.846</v>
      </c>
      <c r="BZ44" s="5113"/>
      <c r="CA44" s="5114">
        <f t="shared" si="31"/>
        <v>0</v>
      </c>
      <c r="CB44" s="5113"/>
      <c r="CC44" s="5112">
        <f t="shared" si="32"/>
        <v>293.846</v>
      </c>
      <c r="CD44" s="5113"/>
      <c r="CE44" s="5113">
        <f t="shared" si="33"/>
        <v>293.846</v>
      </c>
      <c r="CF44" s="5113"/>
      <c r="CG44" s="5114">
        <f t="shared" si="34"/>
        <v>0</v>
      </c>
      <c r="CH44" s="5113"/>
      <c r="CI44" s="5113">
        <f t="shared" si="35"/>
        <v>293.846</v>
      </c>
      <c r="CJ44" s="5113"/>
      <c r="CK44" s="5114">
        <f t="shared" si="36"/>
        <v>0</v>
      </c>
      <c r="CL44" s="5113"/>
      <c r="CM44" s="5113">
        <f t="shared" si="37"/>
        <v>293.846</v>
      </c>
      <c r="CN44" s="5113"/>
      <c r="CO44" s="5114">
        <f t="shared" si="38"/>
        <v>0</v>
      </c>
      <c r="CP44" s="5113"/>
      <c r="CQ44" s="5112">
        <f t="shared" si="39"/>
        <v>0</v>
      </c>
      <c r="CR44" s="5113"/>
      <c r="CS44" s="5136">
        <f t="shared" si="40"/>
        <v>293.846</v>
      </c>
      <c r="CT44" s="5111"/>
      <c r="CU44" s="5139">
        <f t="shared" si="41"/>
        <v>293.846</v>
      </c>
      <c r="CV44" s="5138"/>
      <c r="CW44" s="5147"/>
    </row>
    <row r="45" spans="1:101" x14ac:dyDescent="0.25">
      <c r="A45" s="5170"/>
      <c r="B45" s="5170"/>
      <c r="C45" s="5170"/>
      <c r="D45" s="5170"/>
      <c r="E45" s="6778" t="s">
        <v>2196</v>
      </c>
      <c r="F45" s="5150"/>
      <c r="G45" s="5108"/>
      <c r="H45" s="5108"/>
      <c r="I45" s="5157">
        <f t="shared" si="0"/>
        <v>0</v>
      </c>
      <c r="J45" s="5108"/>
      <c r="K45" s="5108"/>
      <c r="L45" s="5108">
        <v>0</v>
      </c>
      <c r="M45" s="5157">
        <f t="shared" si="1"/>
        <v>0</v>
      </c>
      <c r="N45" s="5156">
        <f t="shared" si="2"/>
        <v>0</v>
      </c>
      <c r="O45" s="5104"/>
      <c r="P45" s="5104"/>
      <c r="Q45" s="5108">
        <v>5799</v>
      </c>
      <c r="R45" s="5157">
        <f t="shared" si="3"/>
        <v>5799</v>
      </c>
      <c r="S45" s="5108">
        <v>7842.94</v>
      </c>
      <c r="T45" s="5108">
        <v>2771.4540000000002</v>
      </c>
      <c r="U45" s="5155">
        <v>4262</v>
      </c>
      <c r="V45" s="5157">
        <f t="shared" si="4"/>
        <v>14876.394</v>
      </c>
      <c r="W45" s="5156">
        <f t="shared" si="5"/>
        <v>20675.394</v>
      </c>
      <c r="X45" s="5120">
        <f t="shared" si="6"/>
        <v>20675.394</v>
      </c>
      <c r="Y45" s="5119"/>
      <c r="Z45" s="5108"/>
      <c r="AA45" s="5108"/>
      <c r="AB45" s="5157">
        <f t="shared" si="7"/>
        <v>0</v>
      </c>
      <c r="AC45" s="5108"/>
      <c r="AD45" s="5108"/>
      <c r="AE45" s="5108">
        <v>103.586</v>
      </c>
      <c r="AF45" s="5118">
        <f t="shared" si="8"/>
        <v>103.586</v>
      </c>
      <c r="AG45" s="5156">
        <f t="shared" si="9"/>
        <v>103.586</v>
      </c>
      <c r="AH45" s="5104"/>
      <c r="AI45" s="5104"/>
      <c r="AJ45" s="5104">
        <v>3757</v>
      </c>
      <c r="AK45" s="5157">
        <f t="shared" si="10"/>
        <v>3757</v>
      </c>
      <c r="AL45" s="5108">
        <v>251.566</v>
      </c>
      <c r="AM45" s="5108">
        <v>0</v>
      </c>
      <c r="AN45" s="5155">
        <v>374</v>
      </c>
      <c r="AO45" s="5157">
        <f t="shared" si="11"/>
        <v>625.56600000000003</v>
      </c>
      <c r="AP45" s="5156">
        <f t="shared" si="12"/>
        <v>4382.5659999999998</v>
      </c>
      <c r="AQ45" s="5117">
        <f t="shared" si="13"/>
        <v>4486.152</v>
      </c>
      <c r="AR45" s="5107">
        <f t="shared" si="14"/>
        <v>25161.546000000002</v>
      </c>
      <c r="AS45" s="5154"/>
      <c r="AT45" s="5110"/>
      <c r="AU45" s="5116">
        <f t="shared" si="15"/>
        <v>0</v>
      </c>
      <c r="AV45" s="5115"/>
      <c r="AW45" s="5114">
        <f t="shared" si="16"/>
        <v>0</v>
      </c>
      <c r="AX45" s="5113"/>
      <c r="AY45" s="5113">
        <f t="shared" si="17"/>
        <v>0</v>
      </c>
      <c r="AZ45" s="5113"/>
      <c r="BA45" s="5114">
        <f t="shared" si="18"/>
        <v>0</v>
      </c>
      <c r="BB45" s="5112"/>
      <c r="BC45" s="5112">
        <f t="shared" si="19"/>
        <v>0</v>
      </c>
      <c r="BD45" s="5113"/>
      <c r="BE45" s="5114">
        <f t="shared" si="20"/>
        <v>0</v>
      </c>
      <c r="BF45" s="5111"/>
      <c r="BG45" s="5111">
        <f t="shared" si="21"/>
        <v>0</v>
      </c>
      <c r="BH45" s="5113"/>
      <c r="BI45" s="5114">
        <f t="shared" si="22"/>
        <v>0</v>
      </c>
      <c r="BJ45" s="5111"/>
      <c r="BK45" s="5111">
        <f t="shared" si="23"/>
        <v>0</v>
      </c>
      <c r="BL45" s="5113"/>
      <c r="BM45" s="5114">
        <f t="shared" si="24"/>
        <v>103.586</v>
      </c>
      <c r="BN45" s="5113"/>
      <c r="BO45" s="5112">
        <f t="shared" si="25"/>
        <v>103.586</v>
      </c>
      <c r="BP45" s="5113"/>
      <c r="BQ45" s="5136">
        <f t="shared" si="26"/>
        <v>103.586</v>
      </c>
      <c r="BR45" s="5113"/>
      <c r="BS45" s="5114">
        <f t="shared" si="27"/>
        <v>0</v>
      </c>
      <c r="BT45" s="5113"/>
      <c r="BU45" s="5113">
        <f t="shared" si="28"/>
        <v>103.586</v>
      </c>
      <c r="BV45" s="5113"/>
      <c r="BW45" s="5114">
        <f t="shared" si="29"/>
        <v>0</v>
      </c>
      <c r="BX45" s="5113"/>
      <c r="BY45" s="5113">
        <f t="shared" si="30"/>
        <v>103.586</v>
      </c>
      <c r="BZ45" s="5113"/>
      <c r="CA45" s="5114">
        <f t="shared" si="31"/>
        <v>9556</v>
      </c>
      <c r="CB45" s="5113"/>
      <c r="CC45" s="5112">
        <f t="shared" si="32"/>
        <v>9556</v>
      </c>
      <c r="CD45" s="5113"/>
      <c r="CE45" s="5113">
        <f t="shared" si="33"/>
        <v>9659.5859999999993</v>
      </c>
      <c r="CF45" s="5113"/>
      <c r="CG45" s="5114">
        <f t="shared" si="34"/>
        <v>8094.5059999999994</v>
      </c>
      <c r="CH45" s="5113"/>
      <c r="CI45" s="5113">
        <f t="shared" si="35"/>
        <v>17754.091999999997</v>
      </c>
      <c r="CJ45" s="5113"/>
      <c r="CK45" s="5114">
        <f t="shared" si="36"/>
        <v>2771.4540000000002</v>
      </c>
      <c r="CL45" s="5113"/>
      <c r="CM45" s="5113">
        <f t="shared" si="37"/>
        <v>20525.545999999998</v>
      </c>
      <c r="CN45" s="5113"/>
      <c r="CO45" s="5114">
        <f t="shared" si="38"/>
        <v>4636</v>
      </c>
      <c r="CP45" s="5113"/>
      <c r="CQ45" s="5112">
        <f t="shared" si="39"/>
        <v>15501.96</v>
      </c>
      <c r="CR45" s="5113"/>
      <c r="CS45" s="5136">
        <f t="shared" si="40"/>
        <v>25057.96</v>
      </c>
      <c r="CT45" s="5111"/>
      <c r="CU45" s="5139">
        <f t="shared" si="41"/>
        <v>25161.545999999998</v>
      </c>
      <c r="CV45" s="5138"/>
      <c r="CW45" s="5147"/>
    </row>
    <row r="46" spans="1:101" s="5146" customFormat="1" x14ac:dyDescent="0.25">
      <c r="A46" s="5130"/>
      <c r="B46" s="5130"/>
      <c r="C46" s="5130"/>
      <c r="D46" s="5130"/>
      <c r="E46" s="6778" t="s">
        <v>1296</v>
      </c>
      <c r="F46" s="5150">
        <v>3061</v>
      </c>
      <c r="G46" s="5108">
        <v>4450</v>
      </c>
      <c r="H46" s="5108">
        <v>4093</v>
      </c>
      <c r="I46" s="5157">
        <f>SUM(F46:H46)</f>
        <v>11604</v>
      </c>
      <c r="J46" s="5108">
        <v>7484</v>
      </c>
      <c r="K46" s="5108">
        <v>1776</v>
      </c>
      <c r="L46" s="5108">
        <v>3826.34</v>
      </c>
      <c r="M46" s="5157">
        <f>SUM(J46:L46)</f>
        <v>13086.34</v>
      </c>
      <c r="N46" s="5156">
        <f>+I46+M46</f>
        <v>24690.34</v>
      </c>
      <c r="O46" s="5104"/>
      <c r="P46" s="5104"/>
      <c r="Q46" s="5108"/>
      <c r="R46" s="5157">
        <f>SUM(O46:Q46)</f>
        <v>0</v>
      </c>
      <c r="S46" s="5108"/>
      <c r="T46" s="5108"/>
      <c r="U46" s="5155"/>
      <c r="V46" s="5157">
        <f>SUM(S46:U46)</f>
        <v>0</v>
      </c>
      <c r="W46" s="5156">
        <f>+R46+V46</f>
        <v>0</v>
      </c>
      <c r="X46" s="5120">
        <f>+F46+G46+H46+J46+K46+L46+O46+P46+Q46+S46+T46+U46</f>
        <v>24690.34</v>
      </c>
      <c r="Y46" s="5119">
        <v>281</v>
      </c>
      <c r="Z46" s="5108">
        <v>721</v>
      </c>
      <c r="AA46" s="5108">
        <v>3072</v>
      </c>
      <c r="AB46" s="5157">
        <f>+Y46+Z46+AA46</f>
        <v>4074</v>
      </c>
      <c r="AC46" s="5108">
        <v>767</v>
      </c>
      <c r="AD46" s="5108">
        <v>1226</v>
      </c>
      <c r="AE46" s="5108">
        <v>5130.6779999999999</v>
      </c>
      <c r="AF46" s="5118">
        <f>SUM(AC46:AE46)</f>
        <v>7123.6779999999999</v>
      </c>
      <c r="AG46" s="5156">
        <f>+AB46+AF46</f>
        <v>11197.678</v>
      </c>
      <c r="AH46" s="5104"/>
      <c r="AI46" s="5104"/>
      <c r="AJ46" s="5104"/>
      <c r="AK46" s="5157">
        <f>SUM(AH46:AJ46)</f>
        <v>0</v>
      </c>
      <c r="AL46" s="5108"/>
      <c r="AM46" s="5108"/>
      <c r="AN46" s="5155"/>
      <c r="AO46" s="5157">
        <f>+AL46+AM46+AN46</f>
        <v>0</v>
      </c>
      <c r="AP46" s="5156">
        <f>+AK46+AO46</f>
        <v>0</v>
      </c>
      <c r="AQ46" s="5117">
        <f>SUM(Y46:AA46,AC46:AE46,AH46:AJ46,AL46:AN46)</f>
        <v>11197.678</v>
      </c>
      <c r="AR46" s="5107">
        <f>+X46+AQ46</f>
        <v>35888.017999999996</v>
      </c>
      <c r="AS46" s="5154"/>
      <c r="AT46" s="5110"/>
      <c r="AU46" s="5116">
        <f>+F46+Y46</f>
        <v>3342</v>
      </c>
      <c r="AV46" s="5115"/>
      <c r="AW46" s="5114">
        <f>+G46+Z46</f>
        <v>5171</v>
      </c>
      <c r="AX46" s="5113"/>
      <c r="AY46" s="5113">
        <f>AU46+AW46</f>
        <v>8513</v>
      </c>
      <c r="AZ46" s="5113"/>
      <c r="BA46" s="5114">
        <f>+H46+AA46</f>
        <v>7165</v>
      </c>
      <c r="BB46" s="5112"/>
      <c r="BC46" s="5112">
        <f>AU46+AW46+BA46</f>
        <v>15678</v>
      </c>
      <c r="BD46" s="5113"/>
      <c r="BE46" s="5114">
        <f>+J46+AC46</f>
        <v>8251</v>
      </c>
      <c r="BF46" s="5111"/>
      <c r="BG46" s="5111">
        <f>+BC46+BE46</f>
        <v>23929</v>
      </c>
      <c r="BH46" s="5113"/>
      <c r="BI46" s="5114">
        <f>K46+AD46</f>
        <v>3002</v>
      </c>
      <c r="BJ46" s="5111"/>
      <c r="BK46" s="5111">
        <f>+BG46+BI46</f>
        <v>26931</v>
      </c>
      <c r="BL46" s="5113"/>
      <c r="BM46" s="5114">
        <f>+L46+AE46</f>
        <v>8957.018</v>
      </c>
      <c r="BN46" s="5113"/>
      <c r="BO46" s="5112">
        <f>BE46+BI46+BM46</f>
        <v>20210.018</v>
      </c>
      <c r="BP46" s="5113"/>
      <c r="BQ46" s="5136">
        <f>BC46+BO46</f>
        <v>35888.017999999996</v>
      </c>
      <c r="BR46" s="5113"/>
      <c r="BS46" s="5114">
        <f>+O46+AH46</f>
        <v>0</v>
      </c>
      <c r="BT46" s="5113"/>
      <c r="BU46" s="5113">
        <f>BQ46+BS46</f>
        <v>35888.017999999996</v>
      </c>
      <c r="BV46" s="5113"/>
      <c r="BW46" s="5114">
        <f>+P46+AI46</f>
        <v>0</v>
      </c>
      <c r="BX46" s="5113"/>
      <c r="BY46" s="5113">
        <f>BU46+BW46</f>
        <v>35888.017999999996</v>
      </c>
      <c r="BZ46" s="5113"/>
      <c r="CA46" s="5114">
        <f>+Q46+AJ46</f>
        <v>0</v>
      </c>
      <c r="CB46" s="5113"/>
      <c r="CC46" s="5112">
        <f>BS46+BW46+CA46</f>
        <v>0</v>
      </c>
      <c r="CD46" s="5113"/>
      <c r="CE46" s="5113">
        <f>BY46+CA46</f>
        <v>35888.017999999996</v>
      </c>
      <c r="CF46" s="5113"/>
      <c r="CG46" s="5114">
        <f>+S46+AL46</f>
        <v>0</v>
      </c>
      <c r="CH46" s="5113"/>
      <c r="CI46" s="5113">
        <f>CG46+CE46</f>
        <v>35888.017999999996</v>
      </c>
      <c r="CJ46" s="5113"/>
      <c r="CK46" s="5114">
        <f>+T46+AM46</f>
        <v>0</v>
      </c>
      <c r="CL46" s="5113"/>
      <c r="CM46" s="5113">
        <f>CI46+CK46</f>
        <v>35888.017999999996</v>
      </c>
      <c r="CN46" s="5113"/>
      <c r="CO46" s="5114">
        <f>+U46+AN46</f>
        <v>0</v>
      </c>
      <c r="CP46" s="5113"/>
      <c r="CQ46" s="5112">
        <f>CG46+CK46+CO46</f>
        <v>0</v>
      </c>
      <c r="CR46" s="5113"/>
      <c r="CS46" s="5136">
        <f>CC46+CQ46</f>
        <v>0</v>
      </c>
      <c r="CT46" s="5111"/>
      <c r="CU46" s="5139">
        <f>SUM(AU46,AW46,BA46,BE46,BI46,BM46,BS46,BW46,CA46,CG46,CK46,CO46)</f>
        <v>35888.017999999996</v>
      </c>
      <c r="CV46" s="5138"/>
      <c r="CW46" s="6783"/>
    </row>
    <row r="47" spans="1:101" x14ac:dyDescent="0.25">
      <c r="A47" s="5170"/>
      <c r="B47" s="5170"/>
      <c r="C47" s="5170"/>
      <c r="D47" s="5170"/>
      <c r="E47" s="6779" t="s">
        <v>2197</v>
      </c>
      <c r="F47" s="5150"/>
      <c r="G47" s="5108"/>
      <c r="H47" s="5108"/>
      <c r="I47" s="5157">
        <f t="shared" si="0"/>
        <v>0</v>
      </c>
      <c r="J47" s="5108"/>
      <c r="K47" s="5108"/>
      <c r="L47" s="5108">
        <v>160.66399999999999</v>
      </c>
      <c r="M47" s="5157">
        <f t="shared" si="1"/>
        <v>160.66399999999999</v>
      </c>
      <c r="N47" s="5156">
        <f t="shared" si="2"/>
        <v>160.66399999999999</v>
      </c>
      <c r="O47" s="5104"/>
      <c r="P47" s="5104"/>
      <c r="Q47" s="5108"/>
      <c r="R47" s="5157">
        <f t="shared" si="3"/>
        <v>0</v>
      </c>
      <c r="S47" s="5108"/>
      <c r="T47" s="5108"/>
      <c r="U47" s="5155"/>
      <c r="V47" s="5157">
        <f t="shared" si="4"/>
        <v>0</v>
      </c>
      <c r="W47" s="5156">
        <f t="shared" si="5"/>
        <v>0</v>
      </c>
      <c r="X47" s="5120">
        <f t="shared" si="6"/>
        <v>160.66399999999999</v>
      </c>
      <c r="Y47" s="5119"/>
      <c r="Z47" s="5108"/>
      <c r="AA47" s="5108"/>
      <c r="AB47" s="5157">
        <f t="shared" si="7"/>
        <v>0</v>
      </c>
      <c r="AC47" s="5108"/>
      <c r="AD47" s="5108"/>
      <c r="AE47" s="5108">
        <v>0</v>
      </c>
      <c r="AF47" s="5118">
        <f t="shared" si="8"/>
        <v>0</v>
      </c>
      <c r="AG47" s="5156">
        <f t="shared" si="9"/>
        <v>0</v>
      </c>
      <c r="AH47" s="5104"/>
      <c r="AI47" s="5104"/>
      <c r="AJ47" s="5104"/>
      <c r="AK47" s="5157">
        <f t="shared" si="10"/>
        <v>0</v>
      </c>
      <c r="AL47" s="5108"/>
      <c r="AM47" s="5108"/>
      <c r="AN47" s="5155"/>
      <c r="AO47" s="5157">
        <f t="shared" si="11"/>
        <v>0</v>
      </c>
      <c r="AP47" s="5156">
        <f t="shared" si="12"/>
        <v>0</v>
      </c>
      <c r="AQ47" s="5117">
        <f t="shared" si="13"/>
        <v>0</v>
      </c>
      <c r="AR47" s="5107">
        <f t="shared" si="14"/>
        <v>160.66399999999999</v>
      </c>
      <c r="AS47" s="5154"/>
      <c r="AT47" s="5110"/>
      <c r="AU47" s="5116">
        <f t="shared" si="15"/>
        <v>0</v>
      </c>
      <c r="AV47" s="5115"/>
      <c r="AW47" s="5114">
        <f t="shared" si="16"/>
        <v>0</v>
      </c>
      <c r="AX47" s="5113"/>
      <c r="AY47" s="5113">
        <f t="shared" si="17"/>
        <v>0</v>
      </c>
      <c r="AZ47" s="5113"/>
      <c r="BA47" s="5114">
        <f t="shared" si="18"/>
        <v>0</v>
      </c>
      <c r="BB47" s="5112"/>
      <c r="BC47" s="5112">
        <f t="shared" si="19"/>
        <v>0</v>
      </c>
      <c r="BD47" s="5113"/>
      <c r="BE47" s="5114">
        <f t="shared" si="20"/>
        <v>0</v>
      </c>
      <c r="BF47" s="5111"/>
      <c r="BG47" s="5111">
        <f t="shared" si="21"/>
        <v>0</v>
      </c>
      <c r="BH47" s="5113"/>
      <c r="BI47" s="5114">
        <f t="shared" si="22"/>
        <v>0</v>
      </c>
      <c r="BJ47" s="5111"/>
      <c r="BK47" s="5111">
        <f t="shared" si="23"/>
        <v>0</v>
      </c>
      <c r="BL47" s="5113"/>
      <c r="BM47" s="5114">
        <f t="shared" si="24"/>
        <v>160.66399999999999</v>
      </c>
      <c r="BN47" s="5113"/>
      <c r="BO47" s="5112">
        <f t="shared" si="25"/>
        <v>160.66399999999999</v>
      </c>
      <c r="BP47" s="5113"/>
      <c r="BQ47" s="5136">
        <f t="shared" si="26"/>
        <v>160.66399999999999</v>
      </c>
      <c r="BR47" s="5113"/>
      <c r="BS47" s="5114">
        <f t="shared" si="27"/>
        <v>0</v>
      </c>
      <c r="BT47" s="5113"/>
      <c r="BU47" s="5113">
        <f t="shared" si="28"/>
        <v>160.66399999999999</v>
      </c>
      <c r="BV47" s="5113"/>
      <c r="BW47" s="5114">
        <f t="shared" si="29"/>
        <v>0</v>
      </c>
      <c r="BX47" s="5113"/>
      <c r="BY47" s="5113">
        <f t="shared" si="30"/>
        <v>160.66399999999999</v>
      </c>
      <c r="BZ47" s="5113"/>
      <c r="CA47" s="5114">
        <f t="shared" si="31"/>
        <v>0</v>
      </c>
      <c r="CB47" s="5113"/>
      <c r="CC47" s="5112">
        <f t="shared" si="32"/>
        <v>0</v>
      </c>
      <c r="CD47" s="5113"/>
      <c r="CE47" s="5113">
        <f t="shared" si="33"/>
        <v>160.66399999999999</v>
      </c>
      <c r="CF47" s="5113"/>
      <c r="CG47" s="5114">
        <f t="shared" si="34"/>
        <v>0</v>
      </c>
      <c r="CH47" s="5113"/>
      <c r="CI47" s="5113">
        <f t="shared" si="35"/>
        <v>160.66399999999999</v>
      </c>
      <c r="CJ47" s="5113"/>
      <c r="CK47" s="5114">
        <f t="shared" si="36"/>
        <v>0</v>
      </c>
      <c r="CL47" s="5113"/>
      <c r="CM47" s="5113">
        <f t="shared" si="37"/>
        <v>160.66399999999999</v>
      </c>
      <c r="CN47" s="5113"/>
      <c r="CO47" s="5114">
        <f t="shared" si="38"/>
        <v>0</v>
      </c>
      <c r="CP47" s="5113"/>
      <c r="CQ47" s="5112">
        <f t="shared" si="39"/>
        <v>0</v>
      </c>
      <c r="CR47" s="5113"/>
      <c r="CS47" s="5136">
        <f t="shared" si="40"/>
        <v>0</v>
      </c>
      <c r="CT47" s="5111"/>
      <c r="CU47" s="5139">
        <f t="shared" si="41"/>
        <v>160.66399999999999</v>
      </c>
      <c r="CV47" s="5138"/>
      <c r="CW47" s="5147"/>
    </row>
    <row r="48" spans="1:101" s="5146" customFormat="1" x14ac:dyDescent="0.25">
      <c r="A48" s="5130"/>
      <c r="B48" s="5130"/>
      <c r="C48" s="5130"/>
      <c r="D48" s="5130"/>
      <c r="E48" s="6779" t="s">
        <v>1670</v>
      </c>
      <c r="F48" s="5150"/>
      <c r="G48" s="5108"/>
      <c r="H48" s="5108"/>
      <c r="I48" s="5157">
        <f>SUM(F48:H48)</f>
        <v>0</v>
      </c>
      <c r="J48" s="5108">
        <v>583</v>
      </c>
      <c r="K48" s="5108"/>
      <c r="L48" s="5108"/>
      <c r="M48" s="5157">
        <f>SUM(J48:L48)</f>
        <v>583</v>
      </c>
      <c r="N48" s="5156">
        <f>+I48+M48</f>
        <v>583</v>
      </c>
      <c r="O48" s="5104"/>
      <c r="P48" s="5104"/>
      <c r="Q48" s="5108"/>
      <c r="R48" s="5157">
        <f>SUM(O48:Q48)</f>
        <v>0</v>
      </c>
      <c r="S48" s="5108"/>
      <c r="T48" s="5108"/>
      <c r="U48" s="5155"/>
      <c r="V48" s="5157">
        <f>SUM(S48:U48)</f>
        <v>0</v>
      </c>
      <c r="W48" s="5156">
        <f>+R48+V48</f>
        <v>0</v>
      </c>
      <c r="X48" s="5120">
        <f>+F48+G48+H48+J48+K48+L48+O48+P48+Q48+S48+T48+U48</f>
        <v>583</v>
      </c>
      <c r="Y48" s="5119"/>
      <c r="Z48" s="5108"/>
      <c r="AA48" s="5108"/>
      <c r="AB48" s="5157">
        <f>+Y48+Z48+AA48</f>
        <v>0</v>
      </c>
      <c r="AC48" s="5108">
        <v>0</v>
      </c>
      <c r="AD48" s="5108"/>
      <c r="AE48" s="5108"/>
      <c r="AF48" s="5118">
        <f>SUM(AC48:AE48)</f>
        <v>0</v>
      </c>
      <c r="AG48" s="5156">
        <f>+AB48+AF48</f>
        <v>0</v>
      </c>
      <c r="AH48" s="5104"/>
      <c r="AI48" s="5104"/>
      <c r="AJ48" s="5104"/>
      <c r="AK48" s="5157">
        <f>SUM(AH48:AJ48)</f>
        <v>0</v>
      </c>
      <c r="AL48" s="5108"/>
      <c r="AM48" s="5108"/>
      <c r="AN48" s="5155"/>
      <c r="AO48" s="5157">
        <f>+AL48+AM48+AN48</f>
        <v>0</v>
      </c>
      <c r="AP48" s="5156">
        <f>+AK48+AO48</f>
        <v>0</v>
      </c>
      <c r="AQ48" s="5117">
        <f>SUM(Y48:AA48,AC48:AE48,AH48:AJ48,AL48:AN48)</f>
        <v>0</v>
      </c>
      <c r="AR48" s="5107">
        <f>+X48+AQ48</f>
        <v>583</v>
      </c>
      <c r="AS48" s="5154"/>
      <c r="AT48" s="5110"/>
      <c r="AU48" s="5116">
        <f>+F48+Y48</f>
        <v>0</v>
      </c>
      <c r="AV48" s="5115"/>
      <c r="AW48" s="5114">
        <f>+G48+Z48</f>
        <v>0</v>
      </c>
      <c r="AX48" s="5113"/>
      <c r="AY48" s="5113">
        <f>AU48+AW48</f>
        <v>0</v>
      </c>
      <c r="AZ48" s="5113"/>
      <c r="BA48" s="5114">
        <f>+H48+AA48</f>
        <v>0</v>
      </c>
      <c r="BB48" s="5112"/>
      <c r="BC48" s="5112">
        <f>AU48+AW48+BA48</f>
        <v>0</v>
      </c>
      <c r="BD48" s="5113"/>
      <c r="BE48" s="5114">
        <f>+J48+AC48</f>
        <v>583</v>
      </c>
      <c r="BF48" s="5111"/>
      <c r="BG48" s="5111">
        <f>+BC48+BE48</f>
        <v>583</v>
      </c>
      <c r="BH48" s="5113"/>
      <c r="BI48" s="5114">
        <f>K48+AD48</f>
        <v>0</v>
      </c>
      <c r="BJ48" s="5111"/>
      <c r="BK48" s="5111">
        <f>+BG48+BI48</f>
        <v>583</v>
      </c>
      <c r="BL48" s="5113"/>
      <c r="BM48" s="5114">
        <f>+L48+AE48</f>
        <v>0</v>
      </c>
      <c r="BN48" s="5113"/>
      <c r="BO48" s="5112">
        <f>BE48+BI48+BM48</f>
        <v>583</v>
      </c>
      <c r="BP48" s="5113"/>
      <c r="BQ48" s="5136">
        <f>BC48+BO48</f>
        <v>583</v>
      </c>
      <c r="BR48" s="5113"/>
      <c r="BS48" s="5114">
        <f>+O48+AH48</f>
        <v>0</v>
      </c>
      <c r="BT48" s="5113"/>
      <c r="BU48" s="5113">
        <f>BQ48+BS48</f>
        <v>583</v>
      </c>
      <c r="BV48" s="5113"/>
      <c r="BW48" s="5114">
        <f>+P48+AI48</f>
        <v>0</v>
      </c>
      <c r="BX48" s="5113"/>
      <c r="BY48" s="5113">
        <f>BU48+BW48</f>
        <v>583</v>
      </c>
      <c r="BZ48" s="5113"/>
      <c r="CA48" s="5114">
        <f>+Q48+AJ48</f>
        <v>0</v>
      </c>
      <c r="CB48" s="5113"/>
      <c r="CC48" s="5112">
        <f>BS48+BW48+CA48</f>
        <v>0</v>
      </c>
      <c r="CD48" s="5113"/>
      <c r="CE48" s="5113">
        <f>BY48+CA48</f>
        <v>583</v>
      </c>
      <c r="CF48" s="5113"/>
      <c r="CG48" s="5114">
        <f>+S48+AL48</f>
        <v>0</v>
      </c>
      <c r="CH48" s="5113"/>
      <c r="CI48" s="5113">
        <f>CG48+CE48</f>
        <v>583</v>
      </c>
      <c r="CJ48" s="5113"/>
      <c r="CK48" s="5114">
        <f>+T48+AM48</f>
        <v>0</v>
      </c>
      <c r="CL48" s="5113"/>
      <c r="CM48" s="5113">
        <f>CI48+CK48</f>
        <v>583</v>
      </c>
      <c r="CN48" s="5113"/>
      <c r="CO48" s="5114">
        <f>+U48+AN48</f>
        <v>0</v>
      </c>
      <c r="CP48" s="5113"/>
      <c r="CQ48" s="5112">
        <f>CG48+CK48+CO48</f>
        <v>0</v>
      </c>
      <c r="CR48" s="5113"/>
      <c r="CS48" s="5136">
        <f>CC48+CQ48</f>
        <v>0</v>
      </c>
      <c r="CT48" s="5111"/>
      <c r="CU48" s="5139">
        <f>SUM(AU48,AW48,BA48,BE48,BI48,BM48,BS48,BW48,CA48,CG48,CK48,CO48)</f>
        <v>583</v>
      </c>
      <c r="CV48" s="5138"/>
      <c r="CW48" s="6783"/>
    </row>
    <row r="49" spans="1:101" x14ac:dyDescent="0.25">
      <c r="A49" s="5170"/>
      <c r="B49" s="5170"/>
      <c r="C49" s="5170"/>
      <c r="D49" s="5170"/>
      <c r="E49" s="6780" t="s">
        <v>2198</v>
      </c>
      <c r="F49" s="5150"/>
      <c r="G49" s="5108"/>
      <c r="H49" s="5108"/>
      <c r="I49" s="5157">
        <f t="shared" si="0"/>
        <v>0</v>
      </c>
      <c r="J49" s="5108"/>
      <c r="K49" s="5108"/>
      <c r="L49" s="5108"/>
      <c r="M49" s="5157">
        <f t="shared" si="1"/>
        <v>0</v>
      </c>
      <c r="N49" s="5156">
        <f t="shared" si="2"/>
        <v>0</v>
      </c>
      <c r="O49" s="5104"/>
      <c r="P49" s="5104"/>
      <c r="Q49" s="5108"/>
      <c r="R49" s="5157">
        <f t="shared" si="3"/>
        <v>0</v>
      </c>
      <c r="S49" s="5108"/>
      <c r="T49" s="5108">
        <v>1828.61</v>
      </c>
      <c r="U49" s="5155">
        <v>577</v>
      </c>
      <c r="V49" s="5157">
        <f t="shared" si="4"/>
        <v>2405.6099999999997</v>
      </c>
      <c r="W49" s="5156">
        <f t="shared" si="5"/>
        <v>2405.6099999999997</v>
      </c>
      <c r="X49" s="5120">
        <f t="shared" si="6"/>
        <v>2405.6099999999997</v>
      </c>
      <c r="Y49" s="5119"/>
      <c r="Z49" s="5108"/>
      <c r="AA49" s="5108"/>
      <c r="AB49" s="5157">
        <f t="shared" si="7"/>
        <v>0</v>
      </c>
      <c r="AC49" s="5108"/>
      <c r="AD49" s="5108"/>
      <c r="AE49" s="5108"/>
      <c r="AF49" s="5118">
        <f t="shared" si="8"/>
        <v>0</v>
      </c>
      <c r="AG49" s="5156">
        <f t="shared" si="9"/>
        <v>0</v>
      </c>
      <c r="AH49" s="5104"/>
      <c r="AI49" s="5104"/>
      <c r="AJ49" s="5104"/>
      <c r="AK49" s="5157">
        <f t="shared" si="10"/>
        <v>0</v>
      </c>
      <c r="AL49" s="5108"/>
      <c r="AM49" s="5108">
        <v>0</v>
      </c>
      <c r="AN49" s="5155">
        <v>0</v>
      </c>
      <c r="AO49" s="5157">
        <f t="shared" si="11"/>
        <v>0</v>
      </c>
      <c r="AP49" s="5156">
        <f t="shared" si="12"/>
        <v>0</v>
      </c>
      <c r="AQ49" s="5117">
        <f t="shared" si="13"/>
        <v>0</v>
      </c>
      <c r="AR49" s="5107">
        <f t="shared" si="14"/>
        <v>2405.6099999999997</v>
      </c>
      <c r="AS49" s="5154"/>
      <c r="AT49" s="5110"/>
      <c r="AU49" s="5116">
        <f t="shared" si="15"/>
        <v>0</v>
      </c>
      <c r="AV49" s="5115"/>
      <c r="AW49" s="5114">
        <f t="shared" si="16"/>
        <v>0</v>
      </c>
      <c r="AX49" s="5113"/>
      <c r="AY49" s="5113">
        <f t="shared" si="17"/>
        <v>0</v>
      </c>
      <c r="AZ49" s="5113"/>
      <c r="BA49" s="5114">
        <f t="shared" si="18"/>
        <v>0</v>
      </c>
      <c r="BB49" s="5112"/>
      <c r="BC49" s="5112">
        <f t="shared" si="19"/>
        <v>0</v>
      </c>
      <c r="BD49" s="5113"/>
      <c r="BE49" s="5114">
        <f t="shared" si="20"/>
        <v>0</v>
      </c>
      <c r="BF49" s="5111"/>
      <c r="BG49" s="5111">
        <f t="shared" si="21"/>
        <v>0</v>
      </c>
      <c r="BH49" s="5113"/>
      <c r="BI49" s="5114">
        <f t="shared" si="22"/>
        <v>0</v>
      </c>
      <c r="BJ49" s="5111"/>
      <c r="BK49" s="5111">
        <f t="shared" si="23"/>
        <v>0</v>
      </c>
      <c r="BL49" s="5113"/>
      <c r="BM49" s="5114">
        <f t="shared" si="24"/>
        <v>0</v>
      </c>
      <c r="BN49" s="5113"/>
      <c r="BO49" s="5112">
        <f t="shared" si="25"/>
        <v>0</v>
      </c>
      <c r="BP49" s="5113"/>
      <c r="BQ49" s="5136">
        <f t="shared" si="26"/>
        <v>0</v>
      </c>
      <c r="BR49" s="5113"/>
      <c r="BS49" s="5114">
        <f t="shared" si="27"/>
        <v>0</v>
      </c>
      <c r="BT49" s="5113"/>
      <c r="BU49" s="5113">
        <f t="shared" si="28"/>
        <v>0</v>
      </c>
      <c r="BV49" s="5113"/>
      <c r="BW49" s="5114">
        <f t="shared" si="29"/>
        <v>0</v>
      </c>
      <c r="BX49" s="5113"/>
      <c r="BY49" s="5113">
        <f t="shared" si="30"/>
        <v>0</v>
      </c>
      <c r="BZ49" s="5113"/>
      <c r="CA49" s="5114">
        <f t="shared" si="31"/>
        <v>0</v>
      </c>
      <c r="CB49" s="5113"/>
      <c r="CC49" s="5112">
        <f t="shared" si="32"/>
        <v>0</v>
      </c>
      <c r="CD49" s="5113"/>
      <c r="CE49" s="5113">
        <f t="shared" si="33"/>
        <v>0</v>
      </c>
      <c r="CF49" s="5113"/>
      <c r="CG49" s="5114">
        <f t="shared" si="34"/>
        <v>0</v>
      </c>
      <c r="CH49" s="5113"/>
      <c r="CI49" s="5113">
        <f t="shared" si="35"/>
        <v>0</v>
      </c>
      <c r="CJ49" s="5113"/>
      <c r="CK49" s="5114">
        <f t="shared" si="36"/>
        <v>1828.61</v>
      </c>
      <c r="CL49" s="5113"/>
      <c r="CM49" s="5113">
        <f t="shared" si="37"/>
        <v>1828.61</v>
      </c>
      <c r="CN49" s="5113"/>
      <c r="CO49" s="5114">
        <f t="shared" si="38"/>
        <v>577</v>
      </c>
      <c r="CP49" s="5113"/>
      <c r="CQ49" s="5112">
        <f t="shared" si="39"/>
        <v>2405.6099999999997</v>
      </c>
      <c r="CR49" s="5113"/>
      <c r="CS49" s="5136">
        <f t="shared" si="40"/>
        <v>2405.6099999999997</v>
      </c>
      <c r="CT49" s="5111"/>
      <c r="CU49" s="5139">
        <f t="shared" si="41"/>
        <v>2405.6099999999997</v>
      </c>
      <c r="CV49" s="5138"/>
      <c r="CW49" s="5147"/>
    </row>
    <row r="50" spans="1:101" s="5146" customFormat="1" x14ac:dyDescent="0.25">
      <c r="A50" s="5130"/>
      <c r="B50" s="5130"/>
      <c r="C50" s="5130"/>
      <c r="D50" s="5130"/>
      <c r="E50" s="6780" t="s">
        <v>1435</v>
      </c>
      <c r="F50" s="5150">
        <v>0</v>
      </c>
      <c r="G50" s="5108"/>
      <c r="H50" s="5108"/>
      <c r="I50" s="5157">
        <f>SUM(F50:H50)</f>
        <v>0</v>
      </c>
      <c r="J50" s="5108"/>
      <c r="K50" s="5108"/>
      <c r="L50" s="5108"/>
      <c r="M50" s="5157">
        <f>SUM(J50:L50)</f>
        <v>0</v>
      </c>
      <c r="N50" s="5156">
        <f>+I50+M50</f>
        <v>0</v>
      </c>
      <c r="O50" s="5104"/>
      <c r="P50" s="5104"/>
      <c r="Q50" s="5108"/>
      <c r="R50" s="5157">
        <f>SUM(O50:Q50)</f>
        <v>0</v>
      </c>
      <c r="S50" s="5108"/>
      <c r="T50" s="5108"/>
      <c r="U50" s="5155"/>
      <c r="V50" s="5157">
        <f>SUM(S50:U50)</f>
        <v>0</v>
      </c>
      <c r="W50" s="5156">
        <f>+R50+V50</f>
        <v>0</v>
      </c>
      <c r="X50" s="5120">
        <f>+F50+G50+H50+J50+K50+L50+O50+P50+Q50+S50+T50+U50</f>
        <v>0</v>
      </c>
      <c r="Y50" s="5119">
        <v>101</v>
      </c>
      <c r="Z50" s="5108"/>
      <c r="AA50" s="5108"/>
      <c r="AB50" s="5157">
        <f>+Y50+Z50+AA50</f>
        <v>101</v>
      </c>
      <c r="AC50" s="5108"/>
      <c r="AD50" s="5108"/>
      <c r="AE50" s="5108"/>
      <c r="AF50" s="5118">
        <f>SUM(AC50:AE50)</f>
        <v>0</v>
      </c>
      <c r="AG50" s="5156">
        <f>+AB50+AF50</f>
        <v>101</v>
      </c>
      <c r="AH50" s="5104"/>
      <c r="AI50" s="5104"/>
      <c r="AJ50" s="5104"/>
      <c r="AK50" s="5157">
        <f>SUM(AH50:AJ50)</f>
        <v>0</v>
      </c>
      <c r="AL50" s="5108"/>
      <c r="AM50" s="5108"/>
      <c r="AN50" s="5155"/>
      <c r="AO50" s="5157">
        <f>+AL50+AM50+AN50</f>
        <v>0</v>
      </c>
      <c r="AP50" s="5156">
        <f>+AK50+AO50</f>
        <v>0</v>
      </c>
      <c r="AQ50" s="5117">
        <f>SUM(Y50:AA50,AC50:AE50,AH50:AJ50,AL50:AN50)</f>
        <v>101</v>
      </c>
      <c r="AR50" s="5107">
        <f>+X50+AQ50</f>
        <v>101</v>
      </c>
      <c r="AS50" s="5154"/>
      <c r="AT50" s="5110"/>
      <c r="AU50" s="5116">
        <f>+F50+Y50</f>
        <v>101</v>
      </c>
      <c r="AV50" s="5115"/>
      <c r="AW50" s="5114">
        <f>+G50+Z50</f>
        <v>0</v>
      </c>
      <c r="AX50" s="5113"/>
      <c r="AY50" s="5113">
        <f>AU50+AW50</f>
        <v>101</v>
      </c>
      <c r="AZ50" s="5113"/>
      <c r="BA50" s="5114">
        <f>+H50+AA50</f>
        <v>0</v>
      </c>
      <c r="BB50" s="5112"/>
      <c r="BC50" s="5112">
        <f>AU50+AW50+BA50</f>
        <v>101</v>
      </c>
      <c r="BD50" s="5113"/>
      <c r="BE50" s="5114">
        <f>+J50+AC50</f>
        <v>0</v>
      </c>
      <c r="BF50" s="5111"/>
      <c r="BG50" s="5111">
        <f>+BC50+BE50</f>
        <v>101</v>
      </c>
      <c r="BH50" s="5113"/>
      <c r="BI50" s="5114">
        <f>K50+AD50</f>
        <v>0</v>
      </c>
      <c r="BJ50" s="5111"/>
      <c r="BK50" s="5111">
        <f>+BG50+BI50</f>
        <v>101</v>
      </c>
      <c r="BL50" s="5113"/>
      <c r="BM50" s="5114">
        <f>+L50+AE50</f>
        <v>0</v>
      </c>
      <c r="BN50" s="5113"/>
      <c r="BO50" s="5112">
        <f>BE50+BI50+BM50</f>
        <v>0</v>
      </c>
      <c r="BP50" s="5113"/>
      <c r="BQ50" s="5136">
        <f>BC50+BO50</f>
        <v>101</v>
      </c>
      <c r="BR50" s="5113"/>
      <c r="BS50" s="5114">
        <f>+O50+AH50</f>
        <v>0</v>
      </c>
      <c r="BT50" s="5113"/>
      <c r="BU50" s="5113">
        <f>BQ50+BS50</f>
        <v>101</v>
      </c>
      <c r="BV50" s="5113"/>
      <c r="BW50" s="5114">
        <f>+P50+AI50</f>
        <v>0</v>
      </c>
      <c r="BX50" s="5113"/>
      <c r="BY50" s="5113">
        <f>BU50+BW50</f>
        <v>101</v>
      </c>
      <c r="BZ50" s="5113"/>
      <c r="CA50" s="5114">
        <f>+Q50+AJ50</f>
        <v>0</v>
      </c>
      <c r="CB50" s="5113"/>
      <c r="CC50" s="5112">
        <f>BS50+BW50+CA50</f>
        <v>0</v>
      </c>
      <c r="CD50" s="5113"/>
      <c r="CE50" s="5113">
        <f>BY50+CA50</f>
        <v>101</v>
      </c>
      <c r="CF50" s="5113"/>
      <c r="CG50" s="5114">
        <f>+S50+AL50</f>
        <v>0</v>
      </c>
      <c r="CH50" s="5113"/>
      <c r="CI50" s="5113">
        <f>CG50+CE50</f>
        <v>101</v>
      </c>
      <c r="CJ50" s="5113"/>
      <c r="CK50" s="5114">
        <f>+T50+AM50</f>
        <v>0</v>
      </c>
      <c r="CL50" s="5113"/>
      <c r="CM50" s="5113">
        <f>CI50+CK50</f>
        <v>101</v>
      </c>
      <c r="CN50" s="5113"/>
      <c r="CO50" s="5114">
        <f>+U50+AN50</f>
        <v>0</v>
      </c>
      <c r="CP50" s="5113"/>
      <c r="CQ50" s="5112">
        <f>CG50+CK50+CO50</f>
        <v>0</v>
      </c>
      <c r="CR50" s="5113"/>
      <c r="CS50" s="5136">
        <f>CC50+CQ50</f>
        <v>0</v>
      </c>
      <c r="CT50" s="5111"/>
      <c r="CU50" s="5139">
        <f>SUM(AU50,AW50,BA50,BE50,BI50,BM50,BS50,BW50,CA50,CG50,CK50,CO50)</f>
        <v>101</v>
      </c>
      <c r="CV50" s="5138"/>
      <c r="CW50" s="6783"/>
    </row>
    <row r="51" spans="1:101" x14ac:dyDescent="0.25">
      <c r="A51" s="5170"/>
      <c r="B51" s="5170"/>
      <c r="C51" s="5170"/>
      <c r="D51" s="5170"/>
      <c r="E51" s="6781" t="s">
        <v>2199</v>
      </c>
      <c r="F51" s="5150"/>
      <c r="G51" s="5108"/>
      <c r="H51" s="5108"/>
      <c r="I51" s="5157">
        <f t="shared" si="0"/>
        <v>0</v>
      </c>
      <c r="J51" s="5108"/>
      <c r="K51" s="5108"/>
      <c r="L51" s="5108"/>
      <c r="M51" s="5157">
        <f t="shared" si="1"/>
        <v>0</v>
      </c>
      <c r="N51" s="5156">
        <f t="shared" si="2"/>
        <v>0</v>
      </c>
      <c r="O51" s="5104">
        <v>710.30399999999997</v>
      </c>
      <c r="P51" s="5104"/>
      <c r="Q51" s="5108"/>
      <c r="R51" s="5157">
        <f t="shared" si="3"/>
        <v>710.30399999999997</v>
      </c>
      <c r="S51" s="5108"/>
      <c r="T51" s="5108"/>
      <c r="U51" s="5155"/>
      <c r="V51" s="5157">
        <f t="shared" si="4"/>
        <v>0</v>
      </c>
      <c r="W51" s="5156">
        <f t="shared" si="5"/>
        <v>710.30399999999997</v>
      </c>
      <c r="X51" s="5120">
        <f t="shared" si="6"/>
        <v>710.30399999999997</v>
      </c>
      <c r="Y51" s="5119"/>
      <c r="Z51" s="5108"/>
      <c r="AA51" s="5108"/>
      <c r="AB51" s="5157">
        <f t="shared" si="7"/>
        <v>0</v>
      </c>
      <c r="AC51" s="5108"/>
      <c r="AD51" s="5108"/>
      <c r="AE51" s="5108"/>
      <c r="AF51" s="5118">
        <f t="shared" si="8"/>
        <v>0</v>
      </c>
      <c r="AG51" s="5156">
        <f t="shared" si="9"/>
        <v>0</v>
      </c>
      <c r="AH51" s="5104">
        <v>0</v>
      </c>
      <c r="AI51" s="5104"/>
      <c r="AJ51" s="5104"/>
      <c r="AK51" s="5157">
        <f t="shared" si="10"/>
        <v>0</v>
      </c>
      <c r="AL51" s="5108"/>
      <c r="AM51" s="5108"/>
      <c r="AN51" s="5155"/>
      <c r="AO51" s="5157">
        <f t="shared" si="11"/>
        <v>0</v>
      </c>
      <c r="AP51" s="5156">
        <f t="shared" si="12"/>
        <v>0</v>
      </c>
      <c r="AQ51" s="5117">
        <f t="shared" si="13"/>
        <v>0</v>
      </c>
      <c r="AR51" s="5107">
        <f t="shared" si="14"/>
        <v>710.30399999999997</v>
      </c>
      <c r="AS51" s="5154"/>
      <c r="AT51" s="5110"/>
      <c r="AU51" s="5116">
        <f t="shared" si="15"/>
        <v>0</v>
      </c>
      <c r="AV51" s="5115"/>
      <c r="AW51" s="5114">
        <f t="shared" si="16"/>
        <v>0</v>
      </c>
      <c r="AX51" s="5113"/>
      <c r="AY51" s="5113">
        <f t="shared" si="17"/>
        <v>0</v>
      </c>
      <c r="AZ51" s="5113"/>
      <c r="BA51" s="5114">
        <f t="shared" si="18"/>
        <v>0</v>
      </c>
      <c r="BB51" s="5112"/>
      <c r="BC51" s="5112">
        <f t="shared" si="19"/>
        <v>0</v>
      </c>
      <c r="BD51" s="5113"/>
      <c r="BE51" s="5114">
        <f t="shared" si="20"/>
        <v>0</v>
      </c>
      <c r="BF51" s="5111"/>
      <c r="BG51" s="5111">
        <f t="shared" si="21"/>
        <v>0</v>
      </c>
      <c r="BH51" s="5113"/>
      <c r="BI51" s="5114">
        <f t="shared" si="22"/>
        <v>0</v>
      </c>
      <c r="BJ51" s="5111"/>
      <c r="BK51" s="5111">
        <f t="shared" si="23"/>
        <v>0</v>
      </c>
      <c r="BL51" s="5113"/>
      <c r="BM51" s="5114">
        <f t="shared" si="24"/>
        <v>0</v>
      </c>
      <c r="BN51" s="5113"/>
      <c r="BO51" s="5112">
        <f t="shared" si="25"/>
        <v>0</v>
      </c>
      <c r="BP51" s="5113"/>
      <c r="BQ51" s="5136">
        <f t="shared" si="26"/>
        <v>0</v>
      </c>
      <c r="BR51" s="5113"/>
      <c r="BS51" s="5114">
        <f t="shared" si="27"/>
        <v>710.30399999999997</v>
      </c>
      <c r="BT51" s="5113"/>
      <c r="BU51" s="5113">
        <f t="shared" si="28"/>
        <v>710.30399999999997</v>
      </c>
      <c r="BV51" s="5113"/>
      <c r="BW51" s="5114">
        <f t="shared" si="29"/>
        <v>0</v>
      </c>
      <c r="BX51" s="5113"/>
      <c r="BY51" s="5113">
        <f t="shared" si="30"/>
        <v>710.30399999999997</v>
      </c>
      <c r="BZ51" s="5113"/>
      <c r="CA51" s="5114">
        <f t="shared" si="31"/>
        <v>0</v>
      </c>
      <c r="CB51" s="5113"/>
      <c r="CC51" s="5112">
        <f t="shared" si="32"/>
        <v>710.30399999999997</v>
      </c>
      <c r="CD51" s="5113"/>
      <c r="CE51" s="5113">
        <f t="shared" si="33"/>
        <v>710.30399999999997</v>
      </c>
      <c r="CF51" s="5113"/>
      <c r="CG51" s="5114">
        <f t="shared" si="34"/>
        <v>0</v>
      </c>
      <c r="CH51" s="5113"/>
      <c r="CI51" s="5113">
        <f t="shared" si="35"/>
        <v>710.30399999999997</v>
      </c>
      <c r="CJ51" s="5113"/>
      <c r="CK51" s="5114">
        <f t="shared" si="36"/>
        <v>0</v>
      </c>
      <c r="CL51" s="5113"/>
      <c r="CM51" s="5113">
        <f t="shared" si="37"/>
        <v>710.30399999999997</v>
      </c>
      <c r="CN51" s="5113"/>
      <c r="CO51" s="5114">
        <f t="shared" si="38"/>
        <v>0</v>
      </c>
      <c r="CP51" s="5113"/>
      <c r="CQ51" s="5112">
        <f t="shared" si="39"/>
        <v>0</v>
      </c>
      <c r="CR51" s="5113"/>
      <c r="CS51" s="5136">
        <f t="shared" si="40"/>
        <v>710.30399999999997</v>
      </c>
      <c r="CT51" s="5111"/>
      <c r="CU51" s="5139">
        <f t="shared" si="41"/>
        <v>710.30399999999997</v>
      </c>
      <c r="CV51" s="5138"/>
      <c r="CW51" s="5147"/>
    </row>
    <row r="52" spans="1:101" s="5146" customFormat="1" x14ac:dyDescent="0.25">
      <c r="A52" s="5130"/>
      <c r="B52" s="5130"/>
      <c r="C52" s="5130"/>
      <c r="D52" s="5130"/>
      <c r="E52" s="6781" t="s">
        <v>1418</v>
      </c>
      <c r="F52" s="5150">
        <v>8109</v>
      </c>
      <c r="G52" s="5108">
        <v>2549</v>
      </c>
      <c r="H52" s="5108">
        <v>3623</v>
      </c>
      <c r="I52" s="5157">
        <f>SUM(F52:H52)</f>
        <v>14281</v>
      </c>
      <c r="J52" s="5108">
        <v>6369</v>
      </c>
      <c r="K52" s="5108">
        <v>2725</v>
      </c>
      <c r="L52" s="5108">
        <v>3101.2379999999998</v>
      </c>
      <c r="M52" s="5157">
        <f>SUM(J52:L52)</f>
        <v>12195.237999999999</v>
      </c>
      <c r="N52" s="5156">
        <f>+I52+M52</f>
        <v>26476.237999999998</v>
      </c>
      <c r="O52" s="5104"/>
      <c r="P52" s="5104"/>
      <c r="Q52" s="5108"/>
      <c r="R52" s="5157">
        <f>SUM(O52:Q52)</f>
        <v>0</v>
      </c>
      <c r="S52" s="5108"/>
      <c r="T52" s="5108"/>
      <c r="U52" s="5155"/>
      <c r="V52" s="5157">
        <f>SUM(S52:U52)</f>
        <v>0</v>
      </c>
      <c r="W52" s="5156">
        <f>+R52+V52</f>
        <v>0</v>
      </c>
      <c r="X52" s="5120">
        <f>+F52+G52+H52+J52+K52+L52+O52+P52+Q52+S52+T52+U52</f>
        <v>26476.238000000001</v>
      </c>
      <c r="Y52" s="5119">
        <v>161</v>
      </c>
      <c r="Z52" s="5108">
        <v>169</v>
      </c>
      <c r="AA52" s="5108">
        <v>135</v>
      </c>
      <c r="AB52" s="5157">
        <f>+Y52+Z52+AA52</f>
        <v>465</v>
      </c>
      <c r="AC52" s="5108">
        <v>137</v>
      </c>
      <c r="AD52" s="5108">
        <v>5175</v>
      </c>
      <c r="AE52" s="5108">
        <v>262.13600000000002</v>
      </c>
      <c r="AF52" s="5118">
        <f>SUM(AC52:AE52)</f>
        <v>5574.1360000000004</v>
      </c>
      <c r="AG52" s="5156">
        <f>+AB52+AF52</f>
        <v>6039.1360000000004</v>
      </c>
      <c r="AH52" s="5104"/>
      <c r="AI52" s="5104"/>
      <c r="AJ52" s="5104"/>
      <c r="AK52" s="5157">
        <f>SUM(AH52:AJ52)</f>
        <v>0</v>
      </c>
      <c r="AL52" s="5108"/>
      <c r="AM52" s="5108"/>
      <c r="AN52" s="5155"/>
      <c r="AO52" s="5157">
        <f>+AL52+AM52+AN52</f>
        <v>0</v>
      </c>
      <c r="AP52" s="5156">
        <f>+AK52+AO52</f>
        <v>0</v>
      </c>
      <c r="AQ52" s="5117">
        <f>SUM(Y52:AA52,AC52:AE52,AH52:AJ52,AL52:AN52)</f>
        <v>6039.1360000000004</v>
      </c>
      <c r="AR52" s="5107">
        <f>+X52+AQ52</f>
        <v>32515.374000000003</v>
      </c>
      <c r="AS52" s="5154"/>
      <c r="AT52" s="5110"/>
      <c r="AU52" s="5116">
        <f>+F52+Y52</f>
        <v>8270</v>
      </c>
      <c r="AV52" s="5115"/>
      <c r="AW52" s="5114">
        <f>+G52+Z52</f>
        <v>2718</v>
      </c>
      <c r="AX52" s="5113"/>
      <c r="AY52" s="5113">
        <f>AU52+AW52</f>
        <v>10988</v>
      </c>
      <c r="AZ52" s="5113"/>
      <c r="BA52" s="5114">
        <f>+H52+AA52</f>
        <v>3758</v>
      </c>
      <c r="BB52" s="5112"/>
      <c r="BC52" s="5112">
        <f>AU52+AW52+BA52</f>
        <v>14746</v>
      </c>
      <c r="BD52" s="5113"/>
      <c r="BE52" s="5114">
        <f>+J52+AC52</f>
        <v>6506</v>
      </c>
      <c r="BF52" s="5111"/>
      <c r="BG52" s="5111">
        <f>+BC52+BE52</f>
        <v>21252</v>
      </c>
      <c r="BH52" s="5113"/>
      <c r="BI52" s="5114">
        <f>K52+AD52</f>
        <v>7900</v>
      </c>
      <c r="BJ52" s="5111"/>
      <c r="BK52" s="5111">
        <f>+BG52+BI52</f>
        <v>29152</v>
      </c>
      <c r="BL52" s="5113"/>
      <c r="BM52" s="5114">
        <f>+L52+AE52</f>
        <v>3363.3739999999998</v>
      </c>
      <c r="BN52" s="5113"/>
      <c r="BO52" s="5112">
        <f>BE52+BI52+BM52</f>
        <v>17769.374</v>
      </c>
      <c r="BP52" s="5113"/>
      <c r="BQ52" s="5136">
        <f>BC52+BO52</f>
        <v>32515.374</v>
      </c>
      <c r="BR52" s="5113"/>
      <c r="BS52" s="5114">
        <f>+O52+AH52</f>
        <v>0</v>
      </c>
      <c r="BT52" s="5113"/>
      <c r="BU52" s="5113">
        <f>BQ52+BS52</f>
        <v>32515.374</v>
      </c>
      <c r="BV52" s="5113"/>
      <c r="BW52" s="5114">
        <f>+P52+AI52</f>
        <v>0</v>
      </c>
      <c r="BX52" s="5113"/>
      <c r="BY52" s="5113">
        <f>BU52+BW52</f>
        <v>32515.374</v>
      </c>
      <c r="BZ52" s="5113"/>
      <c r="CA52" s="5114">
        <f>+Q52+AJ52</f>
        <v>0</v>
      </c>
      <c r="CB52" s="5113"/>
      <c r="CC52" s="5112">
        <f>BS52+BW52+CA52</f>
        <v>0</v>
      </c>
      <c r="CD52" s="5113"/>
      <c r="CE52" s="5113">
        <f>BY52+CA52</f>
        <v>32515.374</v>
      </c>
      <c r="CF52" s="5113"/>
      <c r="CG52" s="5114">
        <f>+S52+AL52</f>
        <v>0</v>
      </c>
      <c r="CH52" s="5113"/>
      <c r="CI52" s="5113">
        <f>CG52+CE52</f>
        <v>32515.374</v>
      </c>
      <c r="CJ52" s="5113"/>
      <c r="CK52" s="5114">
        <f>+T52+AM52</f>
        <v>0</v>
      </c>
      <c r="CL52" s="5113"/>
      <c r="CM52" s="5113">
        <f>CI52+CK52</f>
        <v>32515.374</v>
      </c>
      <c r="CN52" s="5113"/>
      <c r="CO52" s="5114">
        <f>+U52+AN52</f>
        <v>0</v>
      </c>
      <c r="CP52" s="5113"/>
      <c r="CQ52" s="5112">
        <f>CG52+CK52+CO52</f>
        <v>0</v>
      </c>
      <c r="CR52" s="5113"/>
      <c r="CS52" s="5136">
        <f>CC52+CQ52</f>
        <v>0</v>
      </c>
      <c r="CT52" s="5111"/>
      <c r="CU52" s="5139">
        <f>SUM(AU52,AW52,BA52,BE52,BI52,BM52,BS52,BW52,CA52,CG52,CK52,CO52)</f>
        <v>32515.374</v>
      </c>
      <c r="CV52" s="5138"/>
      <c r="CW52" s="6783"/>
    </row>
    <row r="53" spans="1:101" x14ac:dyDescent="0.25">
      <c r="A53" s="5170"/>
      <c r="B53" s="5170"/>
      <c r="C53" s="5170"/>
      <c r="D53" s="5170"/>
      <c r="E53" s="6771" t="s">
        <v>2200</v>
      </c>
      <c r="F53" s="5150"/>
      <c r="G53" s="5108"/>
      <c r="H53" s="5108"/>
      <c r="I53" s="5157">
        <f t="shared" si="0"/>
        <v>0</v>
      </c>
      <c r="J53" s="5108"/>
      <c r="K53" s="5108"/>
      <c r="L53" s="5108"/>
      <c r="M53" s="5157">
        <f t="shared" si="1"/>
        <v>0</v>
      </c>
      <c r="N53" s="5156">
        <f t="shared" si="2"/>
        <v>0</v>
      </c>
      <c r="O53" s="5104"/>
      <c r="P53" s="5104"/>
      <c r="Q53" s="5108">
        <v>110</v>
      </c>
      <c r="R53" s="5157">
        <f t="shared" si="3"/>
        <v>110</v>
      </c>
      <c r="S53" s="5108"/>
      <c r="T53" s="5108"/>
      <c r="U53" s="5155"/>
      <c r="V53" s="5157">
        <f t="shared" si="4"/>
        <v>0</v>
      </c>
      <c r="W53" s="5156">
        <f t="shared" si="5"/>
        <v>110</v>
      </c>
      <c r="X53" s="5120">
        <f t="shared" si="6"/>
        <v>110</v>
      </c>
      <c r="Y53" s="5119"/>
      <c r="Z53" s="5108"/>
      <c r="AA53" s="5108"/>
      <c r="AB53" s="5157">
        <f t="shared" si="7"/>
        <v>0</v>
      </c>
      <c r="AC53" s="5108"/>
      <c r="AD53" s="5108"/>
      <c r="AE53" s="5108"/>
      <c r="AF53" s="5118">
        <f t="shared" si="8"/>
        <v>0</v>
      </c>
      <c r="AG53" s="5156">
        <f t="shared" si="9"/>
        <v>0</v>
      </c>
      <c r="AH53" s="5104"/>
      <c r="AI53" s="5104"/>
      <c r="AJ53" s="5104">
        <v>0</v>
      </c>
      <c r="AK53" s="5157">
        <f t="shared" si="10"/>
        <v>0</v>
      </c>
      <c r="AL53" s="5108"/>
      <c r="AM53" s="5108"/>
      <c r="AN53" s="5155"/>
      <c r="AO53" s="5157">
        <f t="shared" si="11"/>
        <v>0</v>
      </c>
      <c r="AP53" s="5156">
        <f t="shared" si="12"/>
        <v>0</v>
      </c>
      <c r="AQ53" s="5117">
        <f t="shared" si="13"/>
        <v>0</v>
      </c>
      <c r="AR53" s="5107">
        <f t="shared" si="14"/>
        <v>110</v>
      </c>
      <c r="AS53" s="5154"/>
      <c r="AT53" s="5110"/>
      <c r="AU53" s="5116">
        <f t="shared" si="15"/>
        <v>0</v>
      </c>
      <c r="AV53" s="5115"/>
      <c r="AW53" s="5114">
        <f t="shared" si="16"/>
        <v>0</v>
      </c>
      <c r="AX53" s="5113"/>
      <c r="AY53" s="5113">
        <f t="shared" si="17"/>
        <v>0</v>
      </c>
      <c r="AZ53" s="5113"/>
      <c r="BA53" s="5114">
        <f t="shared" si="18"/>
        <v>0</v>
      </c>
      <c r="BB53" s="5112"/>
      <c r="BC53" s="5112">
        <f t="shared" si="19"/>
        <v>0</v>
      </c>
      <c r="BD53" s="5113"/>
      <c r="BE53" s="5114">
        <f t="shared" si="20"/>
        <v>0</v>
      </c>
      <c r="BF53" s="5111"/>
      <c r="BG53" s="5111">
        <f t="shared" si="21"/>
        <v>0</v>
      </c>
      <c r="BH53" s="5113"/>
      <c r="BI53" s="5114">
        <f t="shared" si="22"/>
        <v>0</v>
      </c>
      <c r="BJ53" s="5111"/>
      <c r="BK53" s="5111">
        <f t="shared" si="23"/>
        <v>0</v>
      </c>
      <c r="BL53" s="5113"/>
      <c r="BM53" s="5114">
        <f t="shared" si="24"/>
        <v>0</v>
      </c>
      <c r="BN53" s="5113"/>
      <c r="BO53" s="5112">
        <f t="shared" si="25"/>
        <v>0</v>
      </c>
      <c r="BP53" s="5113"/>
      <c r="BQ53" s="5136">
        <f t="shared" si="26"/>
        <v>0</v>
      </c>
      <c r="BR53" s="5113"/>
      <c r="BS53" s="5114">
        <f t="shared" si="27"/>
        <v>0</v>
      </c>
      <c r="BT53" s="5113"/>
      <c r="BU53" s="5113">
        <f t="shared" si="28"/>
        <v>0</v>
      </c>
      <c r="BV53" s="5113"/>
      <c r="BW53" s="5114">
        <f t="shared" si="29"/>
        <v>0</v>
      </c>
      <c r="BX53" s="5113"/>
      <c r="BY53" s="5113">
        <f t="shared" si="30"/>
        <v>0</v>
      </c>
      <c r="BZ53" s="5113"/>
      <c r="CA53" s="5114">
        <f t="shared" si="31"/>
        <v>110</v>
      </c>
      <c r="CB53" s="5113"/>
      <c r="CC53" s="5112">
        <f t="shared" si="32"/>
        <v>110</v>
      </c>
      <c r="CD53" s="5113"/>
      <c r="CE53" s="5113">
        <f t="shared" si="33"/>
        <v>110</v>
      </c>
      <c r="CF53" s="5113"/>
      <c r="CG53" s="5114">
        <f t="shared" si="34"/>
        <v>0</v>
      </c>
      <c r="CH53" s="5113"/>
      <c r="CI53" s="5113">
        <f t="shared" si="35"/>
        <v>110</v>
      </c>
      <c r="CJ53" s="5113"/>
      <c r="CK53" s="5114">
        <f t="shared" si="36"/>
        <v>0</v>
      </c>
      <c r="CL53" s="5113"/>
      <c r="CM53" s="5113">
        <f t="shared" si="37"/>
        <v>110</v>
      </c>
      <c r="CN53" s="5113"/>
      <c r="CO53" s="5114">
        <f t="shared" si="38"/>
        <v>0</v>
      </c>
      <c r="CP53" s="5113"/>
      <c r="CQ53" s="5112">
        <f t="shared" si="39"/>
        <v>0</v>
      </c>
      <c r="CR53" s="5113"/>
      <c r="CS53" s="5136">
        <f t="shared" si="40"/>
        <v>110</v>
      </c>
      <c r="CT53" s="5111"/>
      <c r="CU53" s="5139">
        <f t="shared" si="41"/>
        <v>110</v>
      </c>
      <c r="CV53" s="5138"/>
      <c r="CW53" s="5147"/>
    </row>
    <row r="54" spans="1:101" x14ac:dyDescent="0.25">
      <c r="A54" s="5170"/>
      <c r="B54" s="5170"/>
      <c r="C54" s="5170"/>
      <c r="D54" s="5170"/>
      <c r="E54" s="6771" t="s">
        <v>1962</v>
      </c>
      <c r="F54" s="5150"/>
      <c r="G54" s="5108"/>
      <c r="H54" s="5108"/>
      <c r="I54" s="5157">
        <f>SUM(F54:H54)</f>
        <v>0</v>
      </c>
      <c r="J54" s="5108"/>
      <c r="K54" s="5108">
        <v>1442</v>
      </c>
      <c r="L54" s="5108">
        <v>150.09399999999999</v>
      </c>
      <c r="M54" s="5157">
        <f>SUM(J54:L54)</f>
        <v>1592.0940000000001</v>
      </c>
      <c r="N54" s="5156">
        <f>+I54+M54</f>
        <v>1592.0940000000001</v>
      </c>
      <c r="O54" s="5104"/>
      <c r="P54" s="5104"/>
      <c r="Q54" s="5108"/>
      <c r="R54" s="5157">
        <f>SUM(O54:Q54)</f>
        <v>0</v>
      </c>
      <c r="S54" s="5108"/>
      <c r="T54" s="5108"/>
      <c r="U54" s="5155"/>
      <c r="V54" s="5157">
        <f>SUM(S54:U54)</f>
        <v>0</v>
      </c>
      <c r="W54" s="5156">
        <f>+R54+V54</f>
        <v>0</v>
      </c>
      <c r="X54" s="5120">
        <f>+F54+G54+H54+J54+K54+L54+O54+P54+Q54+S54+T54+U54</f>
        <v>1592.0940000000001</v>
      </c>
      <c r="Y54" s="5119"/>
      <c r="Z54" s="5108"/>
      <c r="AA54" s="5108"/>
      <c r="AB54" s="5157">
        <f>+Y54+Z54+AA54</f>
        <v>0</v>
      </c>
      <c r="AC54" s="5108"/>
      <c r="AD54" s="5108">
        <v>0</v>
      </c>
      <c r="AE54" s="5108">
        <v>0</v>
      </c>
      <c r="AF54" s="5118">
        <f>SUM(AC54:AE54)</f>
        <v>0</v>
      </c>
      <c r="AG54" s="5156">
        <f>+AB54+AF54</f>
        <v>0</v>
      </c>
      <c r="AH54" s="5104"/>
      <c r="AI54" s="5104"/>
      <c r="AJ54" s="5104"/>
      <c r="AK54" s="5157">
        <f>SUM(AH54:AJ54)</f>
        <v>0</v>
      </c>
      <c r="AL54" s="5108"/>
      <c r="AM54" s="5108"/>
      <c r="AN54" s="5155"/>
      <c r="AO54" s="5157">
        <f>+AL54+AM54+AN54</f>
        <v>0</v>
      </c>
      <c r="AP54" s="5156">
        <f>+AK54+AO54</f>
        <v>0</v>
      </c>
      <c r="AQ54" s="5117">
        <f>SUM(Y54:AA54,AC54:AE54,AH54:AJ54,AL54:AN54)</f>
        <v>0</v>
      </c>
      <c r="AR54" s="5107">
        <f>+X54+AQ54</f>
        <v>1592.0940000000001</v>
      </c>
      <c r="AS54" s="5154"/>
      <c r="AT54" s="5110"/>
      <c r="AU54" s="5116">
        <f>+F54+Y54</f>
        <v>0</v>
      </c>
      <c r="AV54" s="5115"/>
      <c r="AW54" s="5114">
        <f>+G54+Z54</f>
        <v>0</v>
      </c>
      <c r="AX54" s="5113"/>
      <c r="AY54" s="5113">
        <f>AU54+AW54</f>
        <v>0</v>
      </c>
      <c r="AZ54" s="5113"/>
      <c r="BA54" s="5114">
        <f>+H54+AA54</f>
        <v>0</v>
      </c>
      <c r="BB54" s="5112"/>
      <c r="BC54" s="5112">
        <f>AU54+AW54+BA54</f>
        <v>0</v>
      </c>
      <c r="BD54" s="5113"/>
      <c r="BE54" s="5114">
        <f>+J54+AC54</f>
        <v>0</v>
      </c>
      <c r="BF54" s="5111"/>
      <c r="BG54" s="5111">
        <f>+BC54+BE54</f>
        <v>0</v>
      </c>
      <c r="BH54" s="5113"/>
      <c r="BI54" s="5114">
        <f>K54+AD54</f>
        <v>1442</v>
      </c>
      <c r="BJ54" s="5111"/>
      <c r="BK54" s="5111">
        <f>+BG54+BI54</f>
        <v>1442</v>
      </c>
      <c r="BL54" s="5113"/>
      <c r="BM54" s="5114">
        <f>+L54+AE54</f>
        <v>150.09399999999999</v>
      </c>
      <c r="BN54" s="5113"/>
      <c r="BO54" s="5112">
        <f>BE54+BI54+BM54</f>
        <v>1592.0940000000001</v>
      </c>
      <c r="BP54" s="5113"/>
      <c r="BQ54" s="5136">
        <f>BC54+BO54</f>
        <v>1592.0940000000001</v>
      </c>
      <c r="BR54" s="5113"/>
      <c r="BS54" s="5114">
        <f>+O54+AH54</f>
        <v>0</v>
      </c>
      <c r="BT54" s="5113"/>
      <c r="BU54" s="5113">
        <f>BQ54+BS54</f>
        <v>1592.0940000000001</v>
      </c>
      <c r="BV54" s="5113"/>
      <c r="BW54" s="5114">
        <f>+P54+AI54</f>
        <v>0</v>
      </c>
      <c r="BX54" s="5113"/>
      <c r="BY54" s="5113">
        <f>BU54+BW54</f>
        <v>1592.0940000000001</v>
      </c>
      <c r="BZ54" s="5113"/>
      <c r="CA54" s="5114">
        <f>+Q54+AJ54</f>
        <v>0</v>
      </c>
      <c r="CB54" s="5113"/>
      <c r="CC54" s="5112">
        <f>BS54+BW54+CA54</f>
        <v>0</v>
      </c>
      <c r="CD54" s="5113"/>
      <c r="CE54" s="5113">
        <f>BY54+CA54</f>
        <v>1592.0940000000001</v>
      </c>
      <c r="CF54" s="5113"/>
      <c r="CG54" s="5114">
        <f>+S54+AL54</f>
        <v>0</v>
      </c>
      <c r="CH54" s="5113"/>
      <c r="CI54" s="5113">
        <f>CG54+CE54</f>
        <v>1592.0940000000001</v>
      </c>
      <c r="CJ54" s="5113"/>
      <c r="CK54" s="5114">
        <f>+T54+AM54</f>
        <v>0</v>
      </c>
      <c r="CL54" s="5113"/>
      <c r="CM54" s="5113">
        <f>CI54+CK54</f>
        <v>1592.0940000000001</v>
      </c>
      <c r="CN54" s="5113"/>
      <c r="CO54" s="5114">
        <f>+U54+AN54</f>
        <v>0</v>
      </c>
      <c r="CP54" s="5113"/>
      <c r="CQ54" s="5112">
        <f>CG54+CK54+CO54</f>
        <v>0</v>
      </c>
      <c r="CR54" s="5113"/>
      <c r="CS54" s="5136">
        <f>CC54+CQ54</f>
        <v>0</v>
      </c>
      <c r="CT54" s="5111"/>
      <c r="CU54" s="5139">
        <f>SUM(AU54,AW54,BA54,BE54,BI54,BM54,BS54,BW54,CA54,CG54,CK54,CO54)</f>
        <v>1592.0940000000001</v>
      </c>
      <c r="CV54" s="5138"/>
      <c r="CW54" s="5147"/>
    </row>
    <row r="55" spans="1:101" x14ac:dyDescent="0.25">
      <c r="A55" s="5170"/>
      <c r="B55" s="5170"/>
      <c r="C55" s="5170"/>
      <c r="D55" s="5170"/>
      <c r="E55" s="6782" t="s">
        <v>2201</v>
      </c>
      <c r="F55" s="5150"/>
      <c r="G55" s="5108"/>
      <c r="H55" s="5108"/>
      <c r="I55" s="5157">
        <f t="shared" si="0"/>
        <v>0</v>
      </c>
      <c r="J55" s="5108"/>
      <c r="K55" s="5108"/>
      <c r="L55" s="5108">
        <v>262.13600000000002</v>
      </c>
      <c r="M55" s="5157">
        <f t="shared" si="1"/>
        <v>262.13600000000002</v>
      </c>
      <c r="N55" s="5156">
        <f t="shared" si="2"/>
        <v>262.13600000000002</v>
      </c>
      <c r="O55" s="5104">
        <v>1522.08</v>
      </c>
      <c r="P55" s="5104">
        <v>105.7</v>
      </c>
      <c r="Q55" s="5108">
        <v>2108</v>
      </c>
      <c r="R55" s="5157">
        <f t="shared" si="3"/>
        <v>3735.7799999999997</v>
      </c>
      <c r="S55" s="5108">
        <v>1272.6279999999999</v>
      </c>
      <c r="T55" s="5108">
        <v>1938.538</v>
      </c>
      <c r="U55" s="5155">
        <v>2171</v>
      </c>
      <c r="V55" s="5157">
        <f t="shared" si="4"/>
        <v>5382.1660000000002</v>
      </c>
      <c r="W55" s="5156">
        <f t="shared" si="5"/>
        <v>9117.9459999999999</v>
      </c>
      <c r="X55" s="5120">
        <f t="shared" si="6"/>
        <v>9380.0820000000003</v>
      </c>
      <c r="Y55" s="5119"/>
      <c r="Z55" s="5108"/>
      <c r="AA55" s="5108"/>
      <c r="AB55" s="5157">
        <f t="shared" si="7"/>
        <v>0</v>
      </c>
      <c r="AC55" s="5108"/>
      <c r="AD55" s="5108"/>
      <c r="AE55" s="5108">
        <v>10.57</v>
      </c>
      <c r="AF55" s="5118">
        <f t="shared" si="8"/>
        <v>10.57</v>
      </c>
      <c r="AG55" s="5156">
        <f t="shared" si="9"/>
        <v>10.57</v>
      </c>
      <c r="AH55" s="5104">
        <v>234.654</v>
      </c>
      <c r="AI55" s="5104">
        <v>0</v>
      </c>
      <c r="AJ55" s="5104">
        <v>806</v>
      </c>
      <c r="AK55" s="5157">
        <f t="shared" si="10"/>
        <v>1040.654</v>
      </c>
      <c r="AL55" s="5108">
        <v>147.97999999999999</v>
      </c>
      <c r="AM55" s="5108">
        <v>270.59199999999998</v>
      </c>
      <c r="AN55" s="5155">
        <v>378</v>
      </c>
      <c r="AO55" s="5157">
        <f t="shared" si="11"/>
        <v>796.572</v>
      </c>
      <c r="AP55" s="5156">
        <f t="shared" si="12"/>
        <v>1837.2260000000001</v>
      </c>
      <c r="AQ55" s="5117">
        <f t="shared" si="13"/>
        <v>1847.7959999999998</v>
      </c>
      <c r="AR55" s="5107">
        <f t="shared" si="14"/>
        <v>11227.878000000001</v>
      </c>
      <c r="AS55" s="5154"/>
      <c r="AT55" s="5110"/>
      <c r="AU55" s="5116">
        <f t="shared" si="15"/>
        <v>0</v>
      </c>
      <c r="AV55" s="5115"/>
      <c r="AW55" s="5114">
        <f t="shared" si="16"/>
        <v>0</v>
      </c>
      <c r="AX55" s="5113"/>
      <c r="AY55" s="5113">
        <f t="shared" si="17"/>
        <v>0</v>
      </c>
      <c r="AZ55" s="5113"/>
      <c r="BA55" s="5114">
        <f t="shared" si="18"/>
        <v>0</v>
      </c>
      <c r="BB55" s="5112"/>
      <c r="BC55" s="5112">
        <f t="shared" si="19"/>
        <v>0</v>
      </c>
      <c r="BD55" s="5113"/>
      <c r="BE55" s="5114">
        <f t="shared" si="20"/>
        <v>0</v>
      </c>
      <c r="BF55" s="5111"/>
      <c r="BG55" s="5111">
        <f t="shared" si="21"/>
        <v>0</v>
      </c>
      <c r="BH55" s="5113"/>
      <c r="BI55" s="5114">
        <f t="shared" si="22"/>
        <v>0</v>
      </c>
      <c r="BJ55" s="5111"/>
      <c r="BK55" s="5111">
        <f t="shared" si="23"/>
        <v>0</v>
      </c>
      <c r="BL55" s="5113"/>
      <c r="BM55" s="5114">
        <f t="shared" si="24"/>
        <v>272.70600000000002</v>
      </c>
      <c r="BN55" s="5113"/>
      <c r="BO55" s="5112">
        <f t="shared" si="25"/>
        <v>272.70600000000002</v>
      </c>
      <c r="BP55" s="5113"/>
      <c r="BQ55" s="5136">
        <f t="shared" si="26"/>
        <v>272.70600000000002</v>
      </c>
      <c r="BR55" s="5113"/>
      <c r="BS55" s="5114">
        <f t="shared" si="27"/>
        <v>1756.7339999999999</v>
      </c>
      <c r="BT55" s="5113"/>
      <c r="BU55" s="5113">
        <f t="shared" si="28"/>
        <v>2029.44</v>
      </c>
      <c r="BV55" s="5113"/>
      <c r="BW55" s="5114">
        <f t="shared" si="29"/>
        <v>105.7</v>
      </c>
      <c r="BX55" s="5113"/>
      <c r="BY55" s="5113">
        <f t="shared" si="30"/>
        <v>2135.14</v>
      </c>
      <c r="BZ55" s="5113"/>
      <c r="CA55" s="5114">
        <f t="shared" si="31"/>
        <v>2914</v>
      </c>
      <c r="CB55" s="5113"/>
      <c r="CC55" s="5112">
        <f t="shared" si="32"/>
        <v>4776.4340000000002</v>
      </c>
      <c r="CD55" s="5113"/>
      <c r="CE55" s="5113">
        <f t="shared" si="33"/>
        <v>5049.1399999999994</v>
      </c>
      <c r="CF55" s="5113"/>
      <c r="CG55" s="5114">
        <f t="shared" si="34"/>
        <v>1420.6079999999999</v>
      </c>
      <c r="CH55" s="5113"/>
      <c r="CI55" s="5113">
        <f t="shared" si="35"/>
        <v>6469.7479999999996</v>
      </c>
      <c r="CJ55" s="5113"/>
      <c r="CK55" s="5114">
        <f t="shared" si="36"/>
        <v>2209.13</v>
      </c>
      <c r="CL55" s="5113"/>
      <c r="CM55" s="5113">
        <f t="shared" si="37"/>
        <v>8678.8780000000006</v>
      </c>
      <c r="CN55" s="5113"/>
      <c r="CO55" s="5114">
        <f t="shared" si="38"/>
        <v>2549</v>
      </c>
      <c r="CP55" s="5113"/>
      <c r="CQ55" s="5112">
        <f t="shared" si="39"/>
        <v>6178.7380000000003</v>
      </c>
      <c r="CR55" s="5113"/>
      <c r="CS55" s="5136">
        <f t="shared" si="40"/>
        <v>10955.172</v>
      </c>
      <c r="CT55" s="5111"/>
      <c r="CU55" s="5139">
        <f t="shared" si="41"/>
        <v>11227.878000000001</v>
      </c>
      <c r="CV55" s="5138"/>
      <c r="CW55" s="5147"/>
    </row>
    <row r="56" spans="1:101" x14ac:dyDescent="0.25">
      <c r="A56" s="5170"/>
      <c r="B56" s="5170"/>
      <c r="C56" s="5170"/>
      <c r="D56" s="5170"/>
      <c r="E56" s="6782" t="s">
        <v>1216</v>
      </c>
      <c r="F56" s="5150">
        <v>2810</v>
      </c>
      <c r="G56" s="5108">
        <v>1812</v>
      </c>
      <c r="H56" s="5108">
        <v>1275</v>
      </c>
      <c r="I56" s="5157">
        <f>SUM(F56:H56)</f>
        <v>5897</v>
      </c>
      <c r="J56" s="5108">
        <v>1431</v>
      </c>
      <c r="K56" s="5108">
        <v>1072</v>
      </c>
      <c r="L56" s="5108">
        <v>2185.8760000000002</v>
      </c>
      <c r="M56" s="5157">
        <f>SUM(J56:L56)</f>
        <v>4688.8760000000002</v>
      </c>
      <c r="N56" s="5156">
        <f>+I56+M56</f>
        <v>10585.876</v>
      </c>
      <c r="O56" s="5104"/>
      <c r="P56" s="5104"/>
      <c r="Q56" s="5108"/>
      <c r="R56" s="5157">
        <f>SUM(O56:Q56)</f>
        <v>0</v>
      </c>
      <c r="S56" s="5108"/>
      <c r="T56" s="5108"/>
      <c r="U56" s="5155"/>
      <c r="V56" s="5157">
        <f>SUM(S56:U56)</f>
        <v>0</v>
      </c>
      <c r="W56" s="5156">
        <f>+R56+V56</f>
        <v>0</v>
      </c>
      <c r="X56" s="5120">
        <f>+F56+G56+H56+J56+K56+L56+O56+P56+Q56+S56+T56+U56</f>
        <v>10585.876</v>
      </c>
      <c r="Y56" s="5119">
        <v>85</v>
      </c>
      <c r="Z56" s="5108">
        <v>281</v>
      </c>
      <c r="AA56" s="5108">
        <v>505</v>
      </c>
      <c r="AB56" s="5157">
        <f>+Y56+Z56+AA56</f>
        <v>871</v>
      </c>
      <c r="AC56" s="5108">
        <v>326</v>
      </c>
      <c r="AD56" s="5108">
        <v>326</v>
      </c>
      <c r="AE56" s="5108">
        <v>167.006</v>
      </c>
      <c r="AF56" s="5118">
        <f>SUM(AC56:AE56)</f>
        <v>819.00599999999997</v>
      </c>
      <c r="AG56" s="5156">
        <f>+AB56+AF56</f>
        <v>1690.0059999999999</v>
      </c>
      <c r="AH56" s="5104"/>
      <c r="AI56" s="5104"/>
      <c r="AJ56" s="5104"/>
      <c r="AK56" s="5157">
        <f>SUM(AH56:AJ56)</f>
        <v>0</v>
      </c>
      <c r="AL56" s="5108"/>
      <c r="AM56" s="5108"/>
      <c r="AN56" s="5155"/>
      <c r="AO56" s="5157">
        <f>+AL56+AM56+AN56</f>
        <v>0</v>
      </c>
      <c r="AP56" s="5156">
        <f>+AK56+AO56</f>
        <v>0</v>
      </c>
      <c r="AQ56" s="5117">
        <f>SUM(Y56:AA56,AC56:AE56,AH56:AJ56,AL56:AN56)</f>
        <v>1690.0060000000001</v>
      </c>
      <c r="AR56" s="5107">
        <f>+X56+AQ56</f>
        <v>12275.882</v>
      </c>
      <c r="AS56" s="5154"/>
      <c r="AT56" s="5110"/>
      <c r="AU56" s="5116">
        <f>+F56+Y56</f>
        <v>2895</v>
      </c>
      <c r="AV56" s="5115"/>
      <c r="AW56" s="5114">
        <f>+G56+Z56</f>
        <v>2093</v>
      </c>
      <c r="AX56" s="5113"/>
      <c r="AY56" s="5113">
        <f>AU56+AW56</f>
        <v>4988</v>
      </c>
      <c r="AZ56" s="5113"/>
      <c r="BA56" s="5114">
        <f>+H56+AA56</f>
        <v>1780</v>
      </c>
      <c r="BB56" s="5112"/>
      <c r="BC56" s="5112">
        <f>AU56+AW56+BA56</f>
        <v>6768</v>
      </c>
      <c r="BD56" s="5113"/>
      <c r="BE56" s="5114">
        <f>+J56+AC56</f>
        <v>1757</v>
      </c>
      <c r="BF56" s="5111"/>
      <c r="BG56" s="5111">
        <f>+BC56+BE56</f>
        <v>8525</v>
      </c>
      <c r="BH56" s="5113"/>
      <c r="BI56" s="5114">
        <f>K56+AD56</f>
        <v>1398</v>
      </c>
      <c r="BJ56" s="5111"/>
      <c r="BK56" s="5111">
        <f>+BG56+BI56</f>
        <v>9923</v>
      </c>
      <c r="BL56" s="5113"/>
      <c r="BM56" s="5114">
        <f>+L56+AE56</f>
        <v>2352.8820000000001</v>
      </c>
      <c r="BN56" s="5113"/>
      <c r="BO56" s="5112">
        <f>BE56+BI56+BM56</f>
        <v>5507.8819999999996</v>
      </c>
      <c r="BP56" s="5113"/>
      <c r="BQ56" s="5136">
        <f>BC56+BO56</f>
        <v>12275.882</v>
      </c>
      <c r="BR56" s="5113"/>
      <c r="BS56" s="5114">
        <f>+O56+AH56</f>
        <v>0</v>
      </c>
      <c r="BT56" s="5113"/>
      <c r="BU56" s="5113">
        <f>BQ56+BS56</f>
        <v>12275.882</v>
      </c>
      <c r="BV56" s="5113"/>
      <c r="BW56" s="5114">
        <f>+P56+AI56</f>
        <v>0</v>
      </c>
      <c r="BX56" s="5113"/>
      <c r="BY56" s="5113">
        <f>BU56+BW56</f>
        <v>12275.882</v>
      </c>
      <c r="BZ56" s="5113"/>
      <c r="CA56" s="5114">
        <f>+Q56+AJ56</f>
        <v>0</v>
      </c>
      <c r="CB56" s="5113"/>
      <c r="CC56" s="5112">
        <f>BS56+BW56+CA56</f>
        <v>0</v>
      </c>
      <c r="CD56" s="5113"/>
      <c r="CE56" s="5113">
        <f>BY56+CA56</f>
        <v>12275.882</v>
      </c>
      <c r="CF56" s="5113"/>
      <c r="CG56" s="5114">
        <f>+S56+AL56</f>
        <v>0</v>
      </c>
      <c r="CH56" s="5113"/>
      <c r="CI56" s="5113">
        <f>CG56+CE56</f>
        <v>12275.882</v>
      </c>
      <c r="CJ56" s="5113"/>
      <c r="CK56" s="5114">
        <f>+T56+AM56</f>
        <v>0</v>
      </c>
      <c r="CL56" s="5113"/>
      <c r="CM56" s="5113">
        <f>CI56+CK56</f>
        <v>12275.882</v>
      </c>
      <c r="CN56" s="5113"/>
      <c r="CO56" s="5114">
        <f>+U56+AN56</f>
        <v>0</v>
      </c>
      <c r="CP56" s="5113"/>
      <c r="CQ56" s="5112">
        <f>CG56+CK56+CO56</f>
        <v>0</v>
      </c>
      <c r="CR56" s="5113"/>
      <c r="CS56" s="5136">
        <f>CC56+CQ56</f>
        <v>0</v>
      </c>
      <c r="CT56" s="5111"/>
      <c r="CU56" s="5139">
        <f>SUM(AU56,AW56,BA56,BE56,BI56,BM56,BS56,BW56,CA56,CG56,CK56,CO56)</f>
        <v>12275.882</v>
      </c>
      <c r="CV56" s="5138"/>
      <c r="CW56" s="5147"/>
    </row>
    <row r="57" spans="1:101" x14ac:dyDescent="0.25">
      <c r="A57" s="5170"/>
      <c r="B57" s="5170"/>
      <c r="C57" s="5170"/>
      <c r="D57" s="5170"/>
      <c r="E57" s="6784" t="s">
        <v>2202</v>
      </c>
      <c r="F57" s="5150"/>
      <c r="G57" s="5108"/>
      <c r="H57" s="5108"/>
      <c r="I57" s="5157">
        <f t="shared" si="0"/>
        <v>0</v>
      </c>
      <c r="J57" s="5108"/>
      <c r="K57" s="5108"/>
      <c r="L57" s="5108"/>
      <c r="M57" s="5157">
        <f t="shared" si="1"/>
        <v>0</v>
      </c>
      <c r="N57" s="5156">
        <f t="shared" si="2"/>
        <v>0</v>
      </c>
      <c r="O57" s="5104"/>
      <c r="P57" s="5104"/>
      <c r="Q57" s="5108">
        <v>4281</v>
      </c>
      <c r="R57" s="5157">
        <f t="shared" si="3"/>
        <v>4281</v>
      </c>
      <c r="S57" s="5108">
        <v>4955.2160000000003</v>
      </c>
      <c r="T57" s="5108">
        <v>3521.924</v>
      </c>
      <c r="U57" s="5155">
        <v>1951</v>
      </c>
      <c r="V57" s="5157">
        <f t="shared" si="4"/>
        <v>10428.14</v>
      </c>
      <c r="W57" s="5156">
        <f t="shared" si="5"/>
        <v>14709.14</v>
      </c>
      <c r="X57" s="5120">
        <f t="shared" si="6"/>
        <v>14709.14</v>
      </c>
      <c r="Y57" s="5119"/>
      <c r="Z57" s="5108"/>
      <c r="AA57" s="5108"/>
      <c r="AB57" s="5157">
        <f t="shared" si="7"/>
        <v>0</v>
      </c>
      <c r="AC57" s="5108"/>
      <c r="AD57" s="5108"/>
      <c r="AE57" s="5108"/>
      <c r="AF57" s="5118">
        <f t="shared" si="8"/>
        <v>0</v>
      </c>
      <c r="AG57" s="5156">
        <f t="shared" si="9"/>
        <v>0</v>
      </c>
      <c r="AH57" s="5104"/>
      <c r="AI57" s="5104"/>
      <c r="AJ57" s="5104">
        <v>3146</v>
      </c>
      <c r="AK57" s="5157">
        <f t="shared" si="10"/>
        <v>3146</v>
      </c>
      <c r="AL57" s="5108">
        <v>109.928</v>
      </c>
      <c r="AM57" s="5108">
        <v>270.59199999999998</v>
      </c>
      <c r="AN57" s="5155">
        <v>0</v>
      </c>
      <c r="AO57" s="5157">
        <f t="shared" si="11"/>
        <v>380.52</v>
      </c>
      <c r="AP57" s="5156">
        <f t="shared" si="12"/>
        <v>3526.52</v>
      </c>
      <c r="AQ57" s="5117">
        <f t="shared" si="13"/>
        <v>3526.52</v>
      </c>
      <c r="AR57" s="5107">
        <f t="shared" si="14"/>
        <v>18235.66</v>
      </c>
      <c r="AS57" s="5154"/>
      <c r="AT57" s="5110"/>
      <c r="AU57" s="5116">
        <f t="shared" si="15"/>
        <v>0</v>
      </c>
      <c r="AV57" s="5115"/>
      <c r="AW57" s="5114">
        <f t="shared" si="16"/>
        <v>0</v>
      </c>
      <c r="AX57" s="5113"/>
      <c r="AY57" s="5113">
        <f t="shared" si="17"/>
        <v>0</v>
      </c>
      <c r="AZ57" s="5113"/>
      <c r="BA57" s="5114">
        <f t="shared" si="18"/>
        <v>0</v>
      </c>
      <c r="BB57" s="5112"/>
      <c r="BC57" s="5112">
        <f t="shared" si="19"/>
        <v>0</v>
      </c>
      <c r="BD57" s="5113"/>
      <c r="BE57" s="5114">
        <f t="shared" si="20"/>
        <v>0</v>
      </c>
      <c r="BF57" s="5111"/>
      <c r="BG57" s="5111">
        <f t="shared" si="21"/>
        <v>0</v>
      </c>
      <c r="BH57" s="5113"/>
      <c r="BI57" s="5114">
        <f t="shared" si="22"/>
        <v>0</v>
      </c>
      <c r="BJ57" s="5111"/>
      <c r="BK57" s="5111">
        <f t="shared" si="23"/>
        <v>0</v>
      </c>
      <c r="BL57" s="5113"/>
      <c r="BM57" s="5114">
        <f t="shared" si="24"/>
        <v>0</v>
      </c>
      <c r="BN57" s="5113"/>
      <c r="BO57" s="5112">
        <f t="shared" si="25"/>
        <v>0</v>
      </c>
      <c r="BP57" s="5113"/>
      <c r="BQ57" s="5136">
        <f t="shared" si="26"/>
        <v>0</v>
      </c>
      <c r="BR57" s="5113"/>
      <c r="BS57" s="5114">
        <f t="shared" si="27"/>
        <v>0</v>
      </c>
      <c r="BT57" s="5113"/>
      <c r="BU57" s="5113">
        <f t="shared" si="28"/>
        <v>0</v>
      </c>
      <c r="BV57" s="5113"/>
      <c r="BW57" s="5114">
        <f t="shared" si="29"/>
        <v>0</v>
      </c>
      <c r="BX57" s="5113"/>
      <c r="BY57" s="5113">
        <f t="shared" si="30"/>
        <v>0</v>
      </c>
      <c r="BZ57" s="5113"/>
      <c r="CA57" s="5114">
        <f t="shared" si="31"/>
        <v>7427</v>
      </c>
      <c r="CB57" s="5113"/>
      <c r="CC57" s="5112">
        <f t="shared" si="32"/>
        <v>7427</v>
      </c>
      <c r="CD57" s="5113"/>
      <c r="CE57" s="5113">
        <f t="shared" si="33"/>
        <v>7427</v>
      </c>
      <c r="CF57" s="5113"/>
      <c r="CG57" s="5114">
        <f t="shared" si="34"/>
        <v>5065.1440000000002</v>
      </c>
      <c r="CH57" s="5113"/>
      <c r="CI57" s="5113">
        <f t="shared" si="35"/>
        <v>12492.144</v>
      </c>
      <c r="CJ57" s="5113"/>
      <c r="CK57" s="5114">
        <f t="shared" si="36"/>
        <v>3792.5160000000001</v>
      </c>
      <c r="CL57" s="5113"/>
      <c r="CM57" s="5113">
        <f t="shared" si="37"/>
        <v>16284.66</v>
      </c>
      <c r="CN57" s="5113"/>
      <c r="CO57" s="5114">
        <f t="shared" si="38"/>
        <v>1951</v>
      </c>
      <c r="CP57" s="5113"/>
      <c r="CQ57" s="5112">
        <f t="shared" si="39"/>
        <v>10808.66</v>
      </c>
      <c r="CR57" s="5113"/>
      <c r="CS57" s="5136">
        <f t="shared" si="40"/>
        <v>18235.66</v>
      </c>
      <c r="CT57" s="5111"/>
      <c r="CU57" s="5139">
        <f t="shared" si="41"/>
        <v>18235.66</v>
      </c>
      <c r="CV57" s="5138"/>
      <c r="CW57" s="5147"/>
    </row>
    <row r="58" spans="1:101" x14ac:dyDescent="0.25">
      <c r="A58" s="5170"/>
      <c r="B58" s="5170"/>
      <c r="C58" s="5170"/>
      <c r="D58" s="5170"/>
      <c r="E58" s="6784" t="s">
        <v>1434</v>
      </c>
      <c r="F58" s="5150">
        <v>1446</v>
      </c>
      <c r="G58" s="5108"/>
      <c r="H58" s="5108">
        <v>1962</v>
      </c>
      <c r="I58" s="5157">
        <f t="shared" si="0"/>
        <v>3408</v>
      </c>
      <c r="J58" s="5108">
        <v>0</v>
      </c>
      <c r="K58" s="5108">
        <v>406</v>
      </c>
      <c r="L58" s="5108">
        <v>0</v>
      </c>
      <c r="M58" s="5157">
        <f t="shared" si="1"/>
        <v>406</v>
      </c>
      <c r="N58" s="5156">
        <f t="shared" si="2"/>
        <v>3814</v>
      </c>
      <c r="O58" s="5104"/>
      <c r="P58" s="5104"/>
      <c r="Q58" s="5108"/>
      <c r="R58" s="5157">
        <f t="shared" si="3"/>
        <v>0</v>
      </c>
      <c r="S58" s="5108"/>
      <c r="T58" s="5108"/>
      <c r="U58" s="5155"/>
      <c r="V58" s="5157">
        <f t="shared" si="4"/>
        <v>0</v>
      </c>
      <c r="W58" s="5156">
        <f t="shared" si="5"/>
        <v>0</v>
      </c>
      <c r="X58" s="5120">
        <f t="shared" si="6"/>
        <v>3814</v>
      </c>
      <c r="Y58" s="5119">
        <v>1357</v>
      </c>
      <c r="Z58" s="5108"/>
      <c r="AA58" s="5108">
        <v>1087</v>
      </c>
      <c r="AB58" s="5157">
        <f t="shared" si="7"/>
        <v>2444</v>
      </c>
      <c r="AC58" s="5108">
        <v>564</v>
      </c>
      <c r="AD58" s="5108">
        <v>799</v>
      </c>
      <c r="AE58" s="5108">
        <v>517.92999999999995</v>
      </c>
      <c r="AF58" s="5118">
        <f t="shared" si="8"/>
        <v>1880.9299999999998</v>
      </c>
      <c r="AG58" s="5156">
        <f t="shared" si="9"/>
        <v>4324.93</v>
      </c>
      <c r="AH58" s="5104"/>
      <c r="AI58" s="5104"/>
      <c r="AJ58" s="5104"/>
      <c r="AK58" s="5157">
        <f t="shared" si="10"/>
        <v>0</v>
      </c>
      <c r="AL58" s="5108"/>
      <c r="AM58" s="5108"/>
      <c r="AN58" s="5155"/>
      <c r="AO58" s="5157">
        <f t="shared" si="11"/>
        <v>0</v>
      </c>
      <c r="AP58" s="5156">
        <f t="shared" si="12"/>
        <v>0</v>
      </c>
      <c r="AQ58" s="5117">
        <f t="shared" si="13"/>
        <v>4324.93</v>
      </c>
      <c r="AR58" s="5107">
        <f t="shared" si="14"/>
        <v>8138.93</v>
      </c>
      <c r="AS58" s="5154"/>
      <c r="AT58" s="5110"/>
      <c r="AU58" s="5116">
        <f t="shared" si="15"/>
        <v>2803</v>
      </c>
      <c r="AV58" s="5115"/>
      <c r="AW58" s="5114">
        <f t="shared" si="16"/>
        <v>0</v>
      </c>
      <c r="AX58" s="5113"/>
      <c r="AY58" s="5113">
        <f t="shared" si="17"/>
        <v>2803</v>
      </c>
      <c r="AZ58" s="5113"/>
      <c r="BA58" s="5114">
        <f t="shared" si="18"/>
        <v>3049</v>
      </c>
      <c r="BB58" s="5112"/>
      <c r="BC58" s="5112">
        <f t="shared" si="19"/>
        <v>5852</v>
      </c>
      <c r="BD58" s="5113"/>
      <c r="BE58" s="5114">
        <f t="shared" si="20"/>
        <v>564</v>
      </c>
      <c r="BF58" s="5111"/>
      <c r="BG58" s="5111">
        <f t="shared" si="21"/>
        <v>6416</v>
      </c>
      <c r="BH58" s="5113"/>
      <c r="BI58" s="5114">
        <f t="shared" si="22"/>
        <v>1205</v>
      </c>
      <c r="BJ58" s="5111"/>
      <c r="BK58" s="5111">
        <f t="shared" si="23"/>
        <v>7621</v>
      </c>
      <c r="BL58" s="5113"/>
      <c r="BM58" s="5114">
        <f t="shared" si="24"/>
        <v>517.92999999999995</v>
      </c>
      <c r="BN58" s="5113"/>
      <c r="BO58" s="5112">
        <f t="shared" si="25"/>
        <v>2286.9299999999998</v>
      </c>
      <c r="BP58" s="5113"/>
      <c r="BQ58" s="5136">
        <f t="shared" si="26"/>
        <v>8138.93</v>
      </c>
      <c r="BR58" s="5113"/>
      <c r="BS58" s="5114">
        <f t="shared" si="27"/>
        <v>0</v>
      </c>
      <c r="BT58" s="5113"/>
      <c r="BU58" s="5113">
        <f t="shared" si="28"/>
        <v>8138.93</v>
      </c>
      <c r="BV58" s="5113"/>
      <c r="BW58" s="5114">
        <f t="shared" si="29"/>
        <v>0</v>
      </c>
      <c r="BX58" s="5113"/>
      <c r="BY58" s="5113">
        <f t="shared" si="30"/>
        <v>8138.93</v>
      </c>
      <c r="BZ58" s="5113"/>
      <c r="CA58" s="5114">
        <f t="shared" si="31"/>
        <v>0</v>
      </c>
      <c r="CB58" s="5113"/>
      <c r="CC58" s="5112">
        <f t="shared" si="32"/>
        <v>0</v>
      </c>
      <c r="CD58" s="5113"/>
      <c r="CE58" s="5113">
        <f t="shared" si="33"/>
        <v>8138.93</v>
      </c>
      <c r="CF58" s="5113"/>
      <c r="CG58" s="5114">
        <f t="shared" si="34"/>
        <v>0</v>
      </c>
      <c r="CH58" s="5113"/>
      <c r="CI58" s="5113">
        <f t="shared" si="35"/>
        <v>8138.93</v>
      </c>
      <c r="CJ58" s="5113"/>
      <c r="CK58" s="5114">
        <f t="shared" si="36"/>
        <v>0</v>
      </c>
      <c r="CL58" s="5113"/>
      <c r="CM58" s="5113">
        <f t="shared" si="37"/>
        <v>8138.93</v>
      </c>
      <c r="CN58" s="5113"/>
      <c r="CO58" s="5114">
        <f t="shared" si="38"/>
        <v>0</v>
      </c>
      <c r="CP58" s="5113"/>
      <c r="CQ58" s="5112">
        <f t="shared" si="39"/>
        <v>0</v>
      </c>
      <c r="CR58" s="5113"/>
      <c r="CS58" s="5136">
        <f t="shared" si="40"/>
        <v>0</v>
      </c>
      <c r="CT58" s="5111"/>
      <c r="CU58" s="5139">
        <f t="shared" si="41"/>
        <v>8138.93</v>
      </c>
      <c r="CV58" s="5138"/>
      <c r="CW58" s="5147"/>
    </row>
    <row r="59" spans="1:101" x14ac:dyDescent="0.25">
      <c r="A59" s="5170"/>
      <c r="B59" s="5170"/>
      <c r="C59" s="5170"/>
      <c r="D59" s="5170"/>
      <c r="E59" s="5158" t="s">
        <v>2042</v>
      </c>
      <c r="F59" s="5150"/>
      <c r="G59" s="5108"/>
      <c r="H59" s="5108"/>
      <c r="I59" s="5157">
        <f t="shared" si="0"/>
        <v>0</v>
      </c>
      <c r="J59" s="5108"/>
      <c r="K59" s="5108"/>
      <c r="L59" s="5108"/>
      <c r="M59" s="5157">
        <f t="shared" si="1"/>
        <v>0</v>
      </c>
      <c r="N59" s="5156">
        <f t="shared" si="2"/>
        <v>0</v>
      </c>
      <c r="O59" s="5104">
        <v>5542.9080000000004</v>
      </c>
      <c r="P59" s="5104"/>
      <c r="Q59" s="5108">
        <v>767</v>
      </c>
      <c r="R59" s="5157">
        <f t="shared" si="3"/>
        <v>6309.9080000000004</v>
      </c>
      <c r="S59" s="5108">
        <v>541.18399999999997</v>
      </c>
      <c r="T59" s="5108">
        <v>1946.9939999999999</v>
      </c>
      <c r="U59" s="5155">
        <v>2919</v>
      </c>
      <c r="V59" s="5157">
        <f t="shared" si="4"/>
        <v>5407.1779999999999</v>
      </c>
      <c r="W59" s="5156">
        <f t="shared" si="5"/>
        <v>11717.085999999999</v>
      </c>
      <c r="X59" s="5120">
        <f t="shared" si="6"/>
        <v>11717.086000000001</v>
      </c>
      <c r="Y59" s="5119"/>
      <c r="Z59" s="5108"/>
      <c r="AA59" s="5108"/>
      <c r="AB59" s="5157">
        <f t="shared" si="7"/>
        <v>0</v>
      </c>
      <c r="AC59" s="5108"/>
      <c r="AD59" s="5108"/>
      <c r="AE59" s="5108"/>
      <c r="AF59" s="5118">
        <f t="shared" si="8"/>
        <v>0</v>
      </c>
      <c r="AG59" s="5156">
        <f t="shared" si="9"/>
        <v>0</v>
      </c>
      <c r="AH59" s="5104">
        <v>0</v>
      </c>
      <c r="AI59" s="5104"/>
      <c r="AJ59" s="5104">
        <v>30</v>
      </c>
      <c r="AK59" s="5157">
        <f t="shared" si="10"/>
        <v>30</v>
      </c>
      <c r="AL59" s="5108">
        <v>4.2279999999999998</v>
      </c>
      <c r="AM59" s="5108">
        <v>4.2279999999999998</v>
      </c>
      <c r="AN59" s="5155">
        <v>17</v>
      </c>
      <c r="AO59" s="5157">
        <f t="shared" si="11"/>
        <v>25.456</v>
      </c>
      <c r="AP59" s="5156">
        <f t="shared" si="12"/>
        <v>55.456000000000003</v>
      </c>
      <c r="AQ59" s="5117">
        <f t="shared" si="13"/>
        <v>55.456000000000003</v>
      </c>
      <c r="AR59" s="5107">
        <f t="shared" si="14"/>
        <v>11772.542000000001</v>
      </c>
      <c r="AS59" s="5154"/>
      <c r="AT59" s="5110"/>
      <c r="AU59" s="5116">
        <f t="shared" si="15"/>
        <v>0</v>
      </c>
      <c r="AV59" s="5115"/>
      <c r="AW59" s="5114">
        <f t="shared" si="16"/>
        <v>0</v>
      </c>
      <c r="AX59" s="5113"/>
      <c r="AY59" s="5113">
        <f t="shared" si="17"/>
        <v>0</v>
      </c>
      <c r="AZ59" s="5113"/>
      <c r="BA59" s="5114">
        <f t="shared" si="18"/>
        <v>0</v>
      </c>
      <c r="BB59" s="5112"/>
      <c r="BC59" s="5112">
        <f t="shared" si="19"/>
        <v>0</v>
      </c>
      <c r="BD59" s="5113"/>
      <c r="BE59" s="5114">
        <f t="shared" si="20"/>
        <v>0</v>
      </c>
      <c r="BF59" s="5111"/>
      <c r="BG59" s="5111">
        <f t="shared" si="21"/>
        <v>0</v>
      </c>
      <c r="BH59" s="5113"/>
      <c r="BI59" s="5114">
        <f t="shared" si="22"/>
        <v>0</v>
      </c>
      <c r="BJ59" s="5111"/>
      <c r="BK59" s="5111">
        <f t="shared" si="23"/>
        <v>0</v>
      </c>
      <c r="BL59" s="5113"/>
      <c r="BM59" s="5114">
        <f t="shared" si="24"/>
        <v>0</v>
      </c>
      <c r="BN59" s="5113"/>
      <c r="BO59" s="5112">
        <f t="shared" si="25"/>
        <v>0</v>
      </c>
      <c r="BP59" s="5113"/>
      <c r="BQ59" s="5136">
        <f t="shared" si="26"/>
        <v>0</v>
      </c>
      <c r="BR59" s="5113"/>
      <c r="BS59" s="5114">
        <f t="shared" si="27"/>
        <v>5542.9080000000004</v>
      </c>
      <c r="BT59" s="5113"/>
      <c r="BU59" s="5113">
        <f t="shared" si="28"/>
        <v>5542.9080000000004</v>
      </c>
      <c r="BV59" s="5113"/>
      <c r="BW59" s="5114">
        <f t="shared" si="29"/>
        <v>0</v>
      </c>
      <c r="BX59" s="5113"/>
      <c r="BY59" s="5113">
        <f t="shared" si="30"/>
        <v>5542.9080000000004</v>
      </c>
      <c r="BZ59" s="5113"/>
      <c r="CA59" s="5114">
        <f t="shared" si="31"/>
        <v>797</v>
      </c>
      <c r="CB59" s="5113"/>
      <c r="CC59" s="5112">
        <f t="shared" si="32"/>
        <v>6339.9080000000004</v>
      </c>
      <c r="CD59" s="5113"/>
      <c r="CE59" s="5113">
        <f t="shared" si="33"/>
        <v>6339.9080000000004</v>
      </c>
      <c r="CF59" s="5113"/>
      <c r="CG59" s="5114">
        <f t="shared" si="34"/>
        <v>545.41199999999992</v>
      </c>
      <c r="CH59" s="5113"/>
      <c r="CI59" s="5113">
        <f t="shared" si="35"/>
        <v>6885.3200000000006</v>
      </c>
      <c r="CJ59" s="5113"/>
      <c r="CK59" s="5114">
        <f t="shared" si="36"/>
        <v>1951.222</v>
      </c>
      <c r="CL59" s="5113"/>
      <c r="CM59" s="5113">
        <f t="shared" si="37"/>
        <v>8836.5420000000013</v>
      </c>
      <c r="CN59" s="5113"/>
      <c r="CO59" s="5114">
        <f t="shared" si="38"/>
        <v>2936</v>
      </c>
      <c r="CP59" s="5113"/>
      <c r="CQ59" s="5112">
        <f t="shared" si="39"/>
        <v>5432.634</v>
      </c>
      <c r="CR59" s="5113"/>
      <c r="CS59" s="5136">
        <f t="shared" si="40"/>
        <v>11772.542000000001</v>
      </c>
      <c r="CT59" s="5111"/>
      <c r="CU59" s="5139">
        <f t="shared" si="41"/>
        <v>11772.542000000001</v>
      </c>
      <c r="CV59" s="5138"/>
      <c r="CW59" s="5147"/>
    </row>
    <row r="60" spans="1:101" x14ac:dyDescent="0.25">
      <c r="A60" s="5170"/>
      <c r="B60" s="5170"/>
      <c r="C60" s="5170"/>
      <c r="D60" s="5170"/>
      <c r="E60" s="6770" t="s">
        <v>1424</v>
      </c>
      <c r="F60" s="5150">
        <v>564</v>
      </c>
      <c r="G60" s="5108"/>
      <c r="H60" s="5108"/>
      <c r="I60" s="5157">
        <f t="shared" si="0"/>
        <v>564</v>
      </c>
      <c r="J60" s="5108"/>
      <c r="K60" s="5108"/>
      <c r="L60" s="5108">
        <v>536.95600000000002</v>
      </c>
      <c r="M60" s="5157">
        <f t="shared" si="1"/>
        <v>536.95600000000002</v>
      </c>
      <c r="N60" s="5156">
        <f t="shared" si="2"/>
        <v>1100.9560000000001</v>
      </c>
      <c r="O60" s="5104"/>
      <c r="P60" s="5104"/>
      <c r="Q60" s="5108"/>
      <c r="R60" s="5157">
        <f t="shared" si="3"/>
        <v>0</v>
      </c>
      <c r="S60" s="5108"/>
      <c r="T60" s="5108"/>
      <c r="U60" s="5155"/>
      <c r="V60" s="5157">
        <f t="shared" si="4"/>
        <v>0</v>
      </c>
      <c r="W60" s="5156">
        <f t="shared" si="5"/>
        <v>0</v>
      </c>
      <c r="X60" s="5120">
        <f t="shared" si="6"/>
        <v>1100.9560000000001</v>
      </c>
      <c r="Y60" s="5119">
        <v>0</v>
      </c>
      <c r="Z60" s="5108"/>
      <c r="AA60" s="5108"/>
      <c r="AB60" s="5157">
        <f t="shared" si="7"/>
        <v>0</v>
      </c>
      <c r="AC60" s="5108"/>
      <c r="AD60" s="5108"/>
      <c r="AE60" s="5108">
        <v>152.208</v>
      </c>
      <c r="AF60" s="5118">
        <f t="shared" si="8"/>
        <v>152.208</v>
      </c>
      <c r="AG60" s="5156">
        <f t="shared" si="9"/>
        <v>152.208</v>
      </c>
      <c r="AH60" s="5104"/>
      <c r="AI60" s="5104"/>
      <c r="AJ60" s="5104"/>
      <c r="AK60" s="5157">
        <f t="shared" si="10"/>
        <v>0</v>
      </c>
      <c r="AL60" s="5108"/>
      <c r="AM60" s="5108"/>
      <c r="AN60" s="5155"/>
      <c r="AO60" s="5157">
        <f t="shared" si="11"/>
        <v>0</v>
      </c>
      <c r="AP60" s="5156">
        <f t="shared" si="12"/>
        <v>0</v>
      </c>
      <c r="AQ60" s="5117">
        <f t="shared" si="13"/>
        <v>152.208</v>
      </c>
      <c r="AR60" s="5107">
        <f t="shared" si="14"/>
        <v>1253.1640000000002</v>
      </c>
      <c r="AS60" s="5154"/>
      <c r="AT60" s="5110"/>
      <c r="AU60" s="5116">
        <f t="shared" si="15"/>
        <v>564</v>
      </c>
      <c r="AV60" s="5115"/>
      <c r="AW60" s="5114">
        <f t="shared" si="16"/>
        <v>0</v>
      </c>
      <c r="AX60" s="5113"/>
      <c r="AY60" s="5113">
        <f t="shared" si="17"/>
        <v>564</v>
      </c>
      <c r="AZ60" s="5113"/>
      <c r="BA60" s="5114">
        <f t="shared" si="18"/>
        <v>0</v>
      </c>
      <c r="BB60" s="5112"/>
      <c r="BC60" s="5112">
        <f t="shared" si="19"/>
        <v>564</v>
      </c>
      <c r="BD60" s="5113"/>
      <c r="BE60" s="5114">
        <f t="shared" si="20"/>
        <v>0</v>
      </c>
      <c r="BF60" s="5111"/>
      <c r="BG60" s="5111">
        <f t="shared" si="21"/>
        <v>564</v>
      </c>
      <c r="BH60" s="5113"/>
      <c r="BI60" s="5114">
        <f t="shared" si="22"/>
        <v>0</v>
      </c>
      <c r="BJ60" s="5111"/>
      <c r="BK60" s="5111">
        <f t="shared" si="23"/>
        <v>564</v>
      </c>
      <c r="BL60" s="5113"/>
      <c r="BM60" s="5114">
        <f t="shared" si="24"/>
        <v>689.16399999999999</v>
      </c>
      <c r="BN60" s="5113"/>
      <c r="BO60" s="5112">
        <f t="shared" si="25"/>
        <v>689.16399999999999</v>
      </c>
      <c r="BP60" s="5113"/>
      <c r="BQ60" s="5136">
        <f t="shared" si="26"/>
        <v>1253.164</v>
      </c>
      <c r="BR60" s="5113"/>
      <c r="BS60" s="5114">
        <f t="shared" si="27"/>
        <v>0</v>
      </c>
      <c r="BT60" s="5113"/>
      <c r="BU60" s="5113">
        <f t="shared" si="28"/>
        <v>1253.164</v>
      </c>
      <c r="BV60" s="5113"/>
      <c r="BW60" s="5114">
        <f t="shared" si="29"/>
        <v>0</v>
      </c>
      <c r="BX60" s="5113"/>
      <c r="BY60" s="5113">
        <f t="shared" si="30"/>
        <v>1253.164</v>
      </c>
      <c r="BZ60" s="5113"/>
      <c r="CA60" s="5114">
        <f t="shared" si="31"/>
        <v>0</v>
      </c>
      <c r="CB60" s="5113"/>
      <c r="CC60" s="5112">
        <f t="shared" si="32"/>
        <v>0</v>
      </c>
      <c r="CD60" s="5113"/>
      <c r="CE60" s="5113">
        <f t="shared" si="33"/>
        <v>1253.164</v>
      </c>
      <c r="CF60" s="5113"/>
      <c r="CG60" s="5114">
        <f t="shared" si="34"/>
        <v>0</v>
      </c>
      <c r="CH60" s="5113"/>
      <c r="CI60" s="5113">
        <f t="shared" si="35"/>
        <v>1253.164</v>
      </c>
      <c r="CJ60" s="5113"/>
      <c r="CK60" s="5114">
        <f t="shared" si="36"/>
        <v>0</v>
      </c>
      <c r="CL60" s="5113"/>
      <c r="CM60" s="5113">
        <f t="shared" si="37"/>
        <v>1253.164</v>
      </c>
      <c r="CN60" s="5113"/>
      <c r="CO60" s="5114">
        <f t="shared" si="38"/>
        <v>0</v>
      </c>
      <c r="CP60" s="5113"/>
      <c r="CQ60" s="5112">
        <f t="shared" si="39"/>
        <v>0</v>
      </c>
      <c r="CR60" s="5113"/>
      <c r="CS60" s="5136">
        <f t="shared" si="40"/>
        <v>0</v>
      </c>
      <c r="CT60" s="5111"/>
      <c r="CU60" s="5139">
        <f t="shared" si="41"/>
        <v>1253.164</v>
      </c>
      <c r="CV60" s="5138"/>
      <c r="CW60" s="5147"/>
    </row>
    <row r="61" spans="1:101" x14ac:dyDescent="0.25">
      <c r="A61" s="5170"/>
      <c r="B61" s="5170"/>
      <c r="C61" s="5170"/>
      <c r="D61" s="5170"/>
      <c r="E61" s="6770" t="s">
        <v>1548</v>
      </c>
      <c r="F61" s="5150"/>
      <c r="G61" s="5108"/>
      <c r="H61" s="5108">
        <v>588</v>
      </c>
      <c r="I61" s="5157">
        <f t="shared" si="0"/>
        <v>588</v>
      </c>
      <c r="J61" s="5108">
        <v>0</v>
      </c>
      <c r="K61" s="5108"/>
      <c r="L61" s="5108"/>
      <c r="M61" s="5157">
        <f t="shared" si="1"/>
        <v>0</v>
      </c>
      <c r="N61" s="5156">
        <f t="shared" si="2"/>
        <v>588</v>
      </c>
      <c r="O61" s="5104"/>
      <c r="P61" s="5104"/>
      <c r="Q61" s="5108"/>
      <c r="R61" s="5157">
        <f t="shared" si="3"/>
        <v>0</v>
      </c>
      <c r="S61" s="5108"/>
      <c r="T61" s="5108"/>
      <c r="U61" s="5155"/>
      <c r="V61" s="5157">
        <f t="shared" si="4"/>
        <v>0</v>
      </c>
      <c r="W61" s="5156">
        <f t="shared" si="5"/>
        <v>0</v>
      </c>
      <c r="X61" s="5120">
        <f t="shared" si="6"/>
        <v>588</v>
      </c>
      <c r="Y61" s="5119"/>
      <c r="Z61" s="5108"/>
      <c r="AA61" s="5108">
        <v>0</v>
      </c>
      <c r="AB61" s="5157">
        <f t="shared" si="7"/>
        <v>0</v>
      </c>
      <c r="AC61" s="5108">
        <v>254</v>
      </c>
      <c r="AD61" s="5108"/>
      <c r="AE61" s="5108"/>
      <c r="AF61" s="5118">
        <f t="shared" si="8"/>
        <v>254</v>
      </c>
      <c r="AG61" s="5156">
        <f t="shared" si="9"/>
        <v>254</v>
      </c>
      <c r="AH61" s="5104"/>
      <c r="AI61" s="5104"/>
      <c r="AJ61" s="5104"/>
      <c r="AK61" s="5157">
        <f t="shared" si="10"/>
        <v>0</v>
      </c>
      <c r="AL61" s="5108"/>
      <c r="AM61" s="5108"/>
      <c r="AN61" s="5155"/>
      <c r="AO61" s="5157">
        <f t="shared" si="11"/>
        <v>0</v>
      </c>
      <c r="AP61" s="5156">
        <f t="shared" si="12"/>
        <v>0</v>
      </c>
      <c r="AQ61" s="5117">
        <f t="shared" si="13"/>
        <v>254</v>
      </c>
      <c r="AR61" s="5107">
        <f t="shared" si="14"/>
        <v>842</v>
      </c>
      <c r="AS61" s="5154"/>
      <c r="AT61" s="5110"/>
      <c r="AU61" s="5116">
        <f t="shared" si="15"/>
        <v>0</v>
      </c>
      <c r="AV61" s="5115"/>
      <c r="AW61" s="5114">
        <f t="shared" si="16"/>
        <v>0</v>
      </c>
      <c r="AX61" s="5113"/>
      <c r="AY61" s="5113">
        <f t="shared" si="17"/>
        <v>0</v>
      </c>
      <c r="AZ61" s="5113"/>
      <c r="BA61" s="5114">
        <f t="shared" si="18"/>
        <v>588</v>
      </c>
      <c r="BB61" s="5112"/>
      <c r="BC61" s="5112">
        <f t="shared" si="19"/>
        <v>588</v>
      </c>
      <c r="BD61" s="5113"/>
      <c r="BE61" s="5114">
        <f t="shared" si="20"/>
        <v>254</v>
      </c>
      <c r="BF61" s="5111"/>
      <c r="BG61" s="5111">
        <f t="shared" si="21"/>
        <v>842</v>
      </c>
      <c r="BH61" s="5113"/>
      <c r="BI61" s="5114">
        <f t="shared" si="22"/>
        <v>0</v>
      </c>
      <c r="BJ61" s="5111"/>
      <c r="BK61" s="5111">
        <f t="shared" si="23"/>
        <v>842</v>
      </c>
      <c r="BL61" s="5113"/>
      <c r="BM61" s="5114">
        <f t="shared" si="24"/>
        <v>0</v>
      </c>
      <c r="BN61" s="5113"/>
      <c r="BO61" s="5112">
        <f t="shared" si="25"/>
        <v>254</v>
      </c>
      <c r="BP61" s="5113"/>
      <c r="BQ61" s="5136">
        <f t="shared" si="26"/>
        <v>842</v>
      </c>
      <c r="BR61" s="5113"/>
      <c r="BS61" s="5114">
        <f t="shared" si="27"/>
        <v>0</v>
      </c>
      <c r="BT61" s="5113"/>
      <c r="BU61" s="5113">
        <f t="shared" si="28"/>
        <v>842</v>
      </c>
      <c r="BV61" s="5113"/>
      <c r="BW61" s="5114">
        <f t="shared" si="29"/>
        <v>0</v>
      </c>
      <c r="BX61" s="5113"/>
      <c r="BY61" s="5113">
        <f t="shared" si="30"/>
        <v>842</v>
      </c>
      <c r="BZ61" s="5113"/>
      <c r="CA61" s="5114">
        <f t="shared" si="31"/>
        <v>0</v>
      </c>
      <c r="CB61" s="5113"/>
      <c r="CC61" s="5112">
        <f t="shared" si="32"/>
        <v>0</v>
      </c>
      <c r="CD61" s="5113"/>
      <c r="CE61" s="5113">
        <f t="shared" si="33"/>
        <v>842</v>
      </c>
      <c r="CF61" s="5113"/>
      <c r="CG61" s="5114">
        <f t="shared" si="34"/>
        <v>0</v>
      </c>
      <c r="CH61" s="5113"/>
      <c r="CI61" s="5113">
        <f t="shared" si="35"/>
        <v>842</v>
      </c>
      <c r="CJ61" s="5113"/>
      <c r="CK61" s="5114">
        <f t="shared" si="36"/>
        <v>0</v>
      </c>
      <c r="CL61" s="5113"/>
      <c r="CM61" s="5113">
        <f t="shared" si="37"/>
        <v>842</v>
      </c>
      <c r="CN61" s="5113"/>
      <c r="CO61" s="5114">
        <f t="shared" si="38"/>
        <v>0</v>
      </c>
      <c r="CP61" s="5113"/>
      <c r="CQ61" s="5112">
        <f t="shared" si="39"/>
        <v>0</v>
      </c>
      <c r="CR61" s="5113"/>
      <c r="CS61" s="5136">
        <f t="shared" si="40"/>
        <v>0</v>
      </c>
      <c r="CT61" s="5111"/>
      <c r="CU61" s="5139">
        <f t="shared" si="41"/>
        <v>842</v>
      </c>
      <c r="CV61" s="5138"/>
      <c r="CW61" s="5147"/>
    </row>
    <row r="62" spans="1:101" x14ac:dyDescent="0.25">
      <c r="A62" s="5170"/>
      <c r="B62" s="5170"/>
      <c r="C62" s="5170"/>
      <c r="D62" s="5170"/>
      <c r="E62" s="6770" t="s">
        <v>1260</v>
      </c>
      <c r="F62" s="5150">
        <v>144</v>
      </c>
      <c r="G62" s="5108"/>
      <c r="H62" s="5108"/>
      <c r="I62" s="5157">
        <f t="shared" si="0"/>
        <v>144</v>
      </c>
      <c r="J62" s="5108"/>
      <c r="K62" s="5108"/>
      <c r="L62" s="5108"/>
      <c r="M62" s="5157">
        <f t="shared" si="1"/>
        <v>0</v>
      </c>
      <c r="N62" s="5156">
        <f t="shared" si="2"/>
        <v>144</v>
      </c>
      <c r="O62" s="5104"/>
      <c r="P62" s="5104"/>
      <c r="Q62" s="5108"/>
      <c r="R62" s="5157">
        <f t="shared" si="3"/>
        <v>0</v>
      </c>
      <c r="S62" s="5108"/>
      <c r="T62" s="5108"/>
      <c r="U62" s="5155"/>
      <c r="V62" s="5157">
        <f t="shared" si="4"/>
        <v>0</v>
      </c>
      <c r="W62" s="5156">
        <f t="shared" si="5"/>
        <v>0</v>
      </c>
      <c r="X62" s="5120">
        <f t="shared" si="6"/>
        <v>144</v>
      </c>
      <c r="Y62" s="5119">
        <v>114</v>
      </c>
      <c r="Z62" s="5108"/>
      <c r="AA62" s="5108"/>
      <c r="AB62" s="5157">
        <f t="shared" si="7"/>
        <v>114</v>
      </c>
      <c r="AC62" s="5108"/>
      <c r="AD62" s="5108"/>
      <c r="AE62" s="5108"/>
      <c r="AF62" s="5118">
        <f t="shared" si="8"/>
        <v>0</v>
      </c>
      <c r="AG62" s="5156">
        <f t="shared" si="9"/>
        <v>114</v>
      </c>
      <c r="AH62" s="5104"/>
      <c r="AI62" s="5104"/>
      <c r="AJ62" s="5104"/>
      <c r="AK62" s="5157">
        <f t="shared" si="10"/>
        <v>0</v>
      </c>
      <c r="AL62" s="5108"/>
      <c r="AM62" s="5108"/>
      <c r="AN62" s="5155"/>
      <c r="AO62" s="5157">
        <f t="shared" si="11"/>
        <v>0</v>
      </c>
      <c r="AP62" s="5156">
        <f t="shared" si="12"/>
        <v>0</v>
      </c>
      <c r="AQ62" s="5117">
        <f t="shared" si="13"/>
        <v>114</v>
      </c>
      <c r="AR62" s="5107">
        <f t="shared" si="14"/>
        <v>258</v>
      </c>
      <c r="AS62" s="5154"/>
      <c r="AT62" s="5110"/>
      <c r="AU62" s="5116">
        <f t="shared" si="15"/>
        <v>258</v>
      </c>
      <c r="AV62" s="5115"/>
      <c r="AW62" s="5114">
        <f t="shared" si="16"/>
        <v>0</v>
      </c>
      <c r="AX62" s="5113"/>
      <c r="AY62" s="5113">
        <f t="shared" si="17"/>
        <v>258</v>
      </c>
      <c r="AZ62" s="5113"/>
      <c r="BA62" s="5114">
        <f t="shared" si="18"/>
        <v>0</v>
      </c>
      <c r="BB62" s="5112"/>
      <c r="BC62" s="5112">
        <f t="shared" si="19"/>
        <v>258</v>
      </c>
      <c r="BD62" s="5113"/>
      <c r="BE62" s="5114">
        <f t="shared" si="20"/>
        <v>0</v>
      </c>
      <c r="BF62" s="5111"/>
      <c r="BG62" s="5111">
        <f t="shared" si="21"/>
        <v>258</v>
      </c>
      <c r="BH62" s="5113"/>
      <c r="BI62" s="5114">
        <f t="shared" si="22"/>
        <v>0</v>
      </c>
      <c r="BJ62" s="5111"/>
      <c r="BK62" s="5111">
        <f t="shared" si="23"/>
        <v>258</v>
      </c>
      <c r="BL62" s="5113"/>
      <c r="BM62" s="5114">
        <f t="shared" si="24"/>
        <v>0</v>
      </c>
      <c r="BN62" s="5113"/>
      <c r="BO62" s="5112">
        <f t="shared" si="25"/>
        <v>0</v>
      </c>
      <c r="BP62" s="5113"/>
      <c r="BQ62" s="5136">
        <f t="shared" si="26"/>
        <v>258</v>
      </c>
      <c r="BR62" s="5113"/>
      <c r="BS62" s="5114">
        <f t="shared" si="27"/>
        <v>0</v>
      </c>
      <c r="BT62" s="5113"/>
      <c r="BU62" s="5113">
        <f t="shared" si="28"/>
        <v>258</v>
      </c>
      <c r="BV62" s="5113"/>
      <c r="BW62" s="5114">
        <f t="shared" si="29"/>
        <v>0</v>
      </c>
      <c r="BX62" s="5113"/>
      <c r="BY62" s="5113">
        <f t="shared" si="30"/>
        <v>258</v>
      </c>
      <c r="BZ62" s="5113"/>
      <c r="CA62" s="5114">
        <f t="shared" si="31"/>
        <v>0</v>
      </c>
      <c r="CB62" s="5113"/>
      <c r="CC62" s="5112">
        <f t="shared" si="32"/>
        <v>0</v>
      </c>
      <c r="CD62" s="5113"/>
      <c r="CE62" s="5113">
        <f t="shared" si="33"/>
        <v>258</v>
      </c>
      <c r="CF62" s="5113"/>
      <c r="CG62" s="5114">
        <f t="shared" si="34"/>
        <v>0</v>
      </c>
      <c r="CH62" s="5113"/>
      <c r="CI62" s="5113">
        <f t="shared" si="35"/>
        <v>258</v>
      </c>
      <c r="CJ62" s="5113"/>
      <c r="CK62" s="5114">
        <f t="shared" si="36"/>
        <v>0</v>
      </c>
      <c r="CL62" s="5113"/>
      <c r="CM62" s="5113">
        <f t="shared" si="37"/>
        <v>258</v>
      </c>
      <c r="CN62" s="5113"/>
      <c r="CO62" s="5114">
        <f t="shared" si="38"/>
        <v>0</v>
      </c>
      <c r="CP62" s="5113"/>
      <c r="CQ62" s="5112">
        <f t="shared" si="39"/>
        <v>0</v>
      </c>
      <c r="CR62" s="5113"/>
      <c r="CS62" s="5136">
        <f t="shared" si="40"/>
        <v>0</v>
      </c>
      <c r="CT62" s="5111"/>
      <c r="CU62" s="5139">
        <f t="shared" si="41"/>
        <v>258</v>
      </c>
      <c r="CV62" s="5138"/>
      <c r="CW62" s="5147"/>
    </row>
    <row r="63" spans="1:101" x14ac:dyDescent="0.25">
      <c r="A63" s="5170"/>
      <c r="B63" s="5170"/>
      <c r="C63" s="5170"/>
      <c r="D63" s="5170"/>
      <c r="E63" s="6770" t="s">
        <v>1733</v>
      </c>
      <c r="F63" s="5150"/>
      <c r="G63" s="5108">
        <v>95</v>
      </c>
      <c r="H63" s="5108"/>
      <c r="I63" s="5157">
        <f t="shared" si="0"/>
        <v>95</v>
      </c>
      <c r="J63" s="5108"/>
      <c r="K63" s="5108"/>
      <c r="L63" s="5108">
        <v>725.10199999999998</v>
      </c>
      <c r="M63" s="5157">
        <f t="shared" si="1"/>
        <v>725.10199999999998</v>
      </c>
      <c r="N63" s="5156">
        <f t="shared" si="2"/>
        <v>820.10199999999998</v>
      </c>
      <c r="O63" s="5104"/>
      <c r="P63" s="5104"/>
      <c r="Q63" s="5108">
        <v>258</v>
      </c>
      <c r="R63" s="5157">
        <f t="shared" si="3"/>
        <v>258</v>
      </c>
      <c r="S63" s="5108"/>
      <c r="T63" s="5108"/>
      <c r="U63" s="5155"/>
      <c r="V63" s="5157">
        <f t="shared" si="4"/>
        <v>0</v>
      </c>
      <c r="W63" s="5156">
        <f t="shared" si="5"/>
        <v>258</v>
      </c>
      <c r="X63" s="5120">
        <f t="shared" si="6"/>
        <v>1078.1019999999999</v>
      </c>
      <c r="Y63" s="5119"/>
      <c r="Z63" s="5108">
        <v>0</v>
      </c>
      <c r="AA63" s="5108"/>
      <c r="AB63" s="5157">
        <f t="shared" si="7"/>
        <v>0</v>
      </c>
      <c r="AC63" s="5108"/>
      <c r="AD63" s="5108"/>
      <c r="AE63" s="5108">
        <v>0</v>
      </c>
      <c r="AF63" s="5118">
        <f t="shared" si="8"/>
        <v>0</v>
      </c>
      <c r="AG63" s="5156">
        <f t="shared" si="9"/>
        <v>0</v>
      </c>
      <c r="AH63" s="5104"/>
      <c r="AI63" s="5104"/>
      <c r="AJ63" s="5104">
        <v>0</v>
      </c>
      <c r="AK63" s="5157">
        <f t="shared" si="10"/>
        <v>0</v>
      </c>
      <c r="AL63" s="5108"/>
      <c r="AM63" s="5108"/>
      <c r="AN63" s="5155"/>
      <c r="AO63" s="5157">
        <f t="shared" si="11"/>
        <v>0</v>
      </c>
      <c r="AP63" s="5156">
        <f t="shared" si="12"/>
        <v>0</v>
      </c>
      <c r="AQ63" s="5117">
        <f t="shared" si="13"/>
        <v>0</v>
      </c>
      <c r="AR63" s="5107">
        <f t="shared" si="14"/>
        <v>1078.1019999999999</v>
      </c>
      <c r="AS63" s="5154"/>
      <c r="AT63" s="5110"/>
      <c r="AU63" s="5116">
        <f t="shared" si="15"/>
        <v>0</v>
      </c>
      <c r="AV63" s="5115"/>
      <c r="AW63" s="5114">
        <f t="shared" si="16"/>
        <v>95</v>
      </c>
      <c r="AX63" s="5113"/>
      <c r="AY63" s="5113">
        <f t="shared" si="17"/>
        <v>95</v>
      </c>
      <c r="AZ63" s="5113"/>
      <c r="BA63" s="5114">
        <f t="shared" si="18"/>
        <v>0</v>
      </c>
      <c r="BB63" s="5112"/>
      <c r="BC63" s="5112">
        <f t="shared" si="19"/>
        <v>95</v>
      </c>
      <c r="BD63" s="5113"/>
      <c r="BE63" s="5114">
        <f t="shared" si="20"/>
        <v>0</v>
      </c>
      <c r="BF63" s="5111"/>
      <c r="BG63" s="5111">
        <f t="shared" si="21"/>
        <v>95</v>
      </c>
      <c r="BH63" s="5113"/>
      <c r="BI63" s="5114">
        <f t="shared" si="22"/>
        <v>0</v>
      </c>
      <c r="BJ63" s="5111"/>
      <c r="BK63" s="5111">
        <f t="shared" si="23"/>
        <v>95</v>
      </c>
      <c r="BL63" s="5113"/>
      <c r="BM63" s="5114">
        <f t="shared" si="24"/>
        <v>725.10199999999998</v>
      </c>
      <c r="BN63" s="5113"/>
      <c r="BO63" s="5112">
        <f t="shared" si="25"/>
        <v>725.10199999999998</v>
      </c>
      <c r="BP63" s="5113"/>
      <c r="BQ63" s="5136">
        <f t="shared" si="26"/>
        <v>820.10199999999998</v>
      </c>
      <c r="BR63" s="5113"/>
      <c r="BS63" s="5114">
        <f t="shared" si="27"/>
        <v>0</v>
      </c>
      <c r="BT63" s="5113"/>
      <c r="BU63" s="5113">
        <f t="shared" si="28"/>
        <v>820.10199999999998</v>
      </c>
      <c r="BV63" s="5113"/>
      <c r="BW63" s="5114">
        <f t="shared" si="29"/>
        <v>0</v>
      </c>
      <c r="BX63" s="5113"/>
      <c r="BY63" s="5113">
        <f t="shared" si="30"/>
        <v>820.10199999999998</v>
      </c>
      <c r="BZ63" s="5113"/>
      <c r="CA63" s="5114">
        <f t="shared" si="31"/>
        <v>258</v>
      </c>
      <c r="CB63" s="5113"/>
      <c r="CC63" s="5112">
        <f t="shared" si="32"/>
        <v>258</v>
      </c>
      <c r="CD63" s="5113"/>
      <c r="CE63" s="5113">
        <f t="shared" si="33"/>
        <v>1078.1019999999999</v>
      </c>
      <c r="CF63" s="5113"/>
      <c r="CG63" s="5114">
        <f t="shared" si="34"/>
        <v>0</v>
      </c>
      <c r="CH63" s="5113"/>
      <c r="CI63" s="5113">
        <f t="shared" si="35"/>
        <v>1078.1019999999999</v>
      </c>
      <c r="CJ63" s="5113"/>
      <c r="CK63" s="5114">
        <f t="shared" si="36"/>
        <v>0</v>
      </c>
      <c r="CL63" s="5113"/>
      <c r="CM63" s="5113">
        <f t="shared" si="37"/>
        <v>1078.1019999999999</v>
      </c>
      <c r="CN63" s="5113"/>
      <c r="CO63" s="5114">
        <f t="shared" si="38"/>
        <v>0</v>
      </c>
      <c r="CP63" s="5113"/>
      <c r="CQ63" s="5112">
        <f t="shared" si="39"/>
        <v>0</v>
      </c>
      <c r="CR63" s="5113"/>
      <c r="CS63" s="5136">
        <f t="shared" si="40"/>
        <v>258</v>
      </c>
      <c r="CT63" s="5111"/>
      <c r="CU63" s="5139">
        <f t="shared" si="41"/>
        <v>1078.1019999999999</v>
      </c>
      <c r="CV63" s="5138"/>
      <c r="CW63" s="5147"/>
    </row>
    <row r="64" spans="1:101" x14ac:dyDescent="0.25">
      <c r="A64" s="5170"/>
      <c r="B64" s="5170"/>
      <c r="C64" s="5170"/>
      <c r="D64" s="5170"/>
      <c r="E64" s="5158" t="s">
        <v>2203</v>
      </c>
      <c r="F64" s="5150"/>
      <c r="G64" s="5108"/>
      <c r="H64" s="5108"/>
      <c r="I64" s="5157">
        <f t="shared" si="0"/>
        <v>0</v>
      </c>
      <c r="J64" s="5108"/>
      <c r="K64" s="5108"/>
      <c r="L64" s="5108"/>
      <c r="M64" s="5157">
        <f t="shared" si="1"/>
        <v>0</v>
      </c>
      <c r="N64" s="5156">
        <f t="shared" si="2"/>
        <v>0</v>
      </c>
      <c r="O64" s="5104"/>
      <c r="P64" s="5104"/>
      <c r="Q64" s="5108">
        <v>1459</v>
      </c>
      <c r="R64" s="5157">
        <f t="shared" si="3"/>
        <v>1459</v>
      </c>
      <c r="S64" s="5108">
        <v>2228.1559999999999</v>
      </c>
      <c r="T64" s="5108"/>
      <c r="U64" s="5155"/>
      <c r="V64" s="5157">
        <f t="shared" si="4"/>
        <v>2228.1559999999999</v>
      </c>
      <c r="W64" s="5156">
        <f t="shared" si="5"/>
        <v>3687.1559999999999</v>
      </c>
      <c r="X64" s="5120">
        <f t="shared" si="6"/>
        <v>3687.1559999999999</v>
      </c>
      <c r="Y64" s="5119"/>
      <c r="Z64" s="5108"/>
      <c r="AA64" s="5108"/>
      <c r="AB64" s="5157">
        <f t="shared" si="7"/>
        <v>0</v>
      </c>
      <c r="AC64" s="5108"/>
      <c r="AD64" s="5108"/>
      <c r="AE64" s="5108"/>
      <c r="AF64" s="5118">
        <f t="shared" si="8"/>
        <v>0</v>
      </c>
      <c r="AG64" s="5156">
        <f t="shared" si="9"/>
        <v>0</v>
      </c>
      <c r="AH64" s="5104"/>
      <c r="AI64" s="5104"/>
      <c r="AJ64" s="5104">
        <v>0</v>
      </c>
      <c r="AK64" s="5157">
        <f t="shared" si="10"/>
        <v>0</v>
      </c>
      <c r="AL64" s="5108">
        <v>0</v>
      </c>
      <c r="AM64" s="5108"/>
      <c r="AN64" s="5155"/>
      <c r="AO64" s="5157">
        <f t="shared" si="11"/>
        <v>0</v>
      </c>
      <c r="AP64" s="5156">
        <f t="shared" si="12"/>
        <v>0</v>
      </c>
      <c r="AQ64" s="5117">
        <f t="shared" si="13"/>
        <v>0</v>
      </c>
      <c r="AR64" s="5107">
        <f t="shared" si="14"/>
        <v>3687.1559999999999</v>
      </c>
      <c r="AS64" s="5154"/>
      <c r="AT64" s="5110"/>
      <c r="AU64" s="5116">
        <f t="shared" si="15"/>
        <v>0</v>
      </c>
      <c r="AV64" s="5115"/>
      <c r="AW64" s="5114">
        <f t="shared" si="16"/>
        <v>0</v>
      </c>
      <c r="AX64" s="5113"/>
      <c r="AY64" s="5113">
        <f t="shared" si="17"/>
        <v>0</v>
      </c>
      <c r="AZ64" s="5113"/>
      <c r="BA64" s="5114">
        <f t="shared" si="18"/>
        <v>0</v>
      </c>
      <c r="BB64" s="5112"/>
      <c r="BC64" s="5112">
        <f t="shared" si="19"/>
        <v>0</v>
      </c>
      <c r="BD64" s="5113"/>
      <c r="BE64" s="5114">
        <f t="shared" si="20"/>
        <v>0</v>
      </c>
      <c r="BF64" s="5111"/>
      <c r="BG64" s="5111">
        <f t="shared" si="21"/>
        <v>0</v>
      </c>
      <c r="BH64" s="5113"/>
      <c r="BI64" s="5114">
        <f t="shared" si="22"/>
        <v>0</v>
      </c>
      <c r="BJ64" s="5111"/>
      <c r="BK64" s="5111">
        <f t="shared" si="23"/>
        <v>0</v>
      </c>
      <c r="BL64" s="5113"/>
      <c r="BM64" s="5114">
        <f t="shared" si="24"/>
        <v>0</v>
      </c>
      <c r="BN64" s="5113"/>
      <c r="BO64" s="5112">
        <f t="shared" si="25"/>
        <v>0</v>
      </c>
      <c r="BP64" s="5113"/>
      <c r="BQ64" s="5136">
        <f t="shared" si="26"/>
        <v>0</v>
      </c>
      <c r="BR64" s="5113"/>
      <c r="BS64" s="5114">
        <f t="shared" si="27"/>
        <v>0</v>
      </c>
      <c r="BT64" s="5113"/>
      <c r="BU64" s="5113">
        <f t="shared" si="28"/>
        <v>0</v>
      </c>
      <c r="BV64" s="5113"/>
      <c r="BW64" s="5114">
        <f t="shared" si="29"/>
        <v>0</v>
      </c>
      <c r="BX64" s="5113"/>
      <c r="BY64" s="5113">
        <f t="shared" si="30"/>
        <v>0</v>
      </c>
      <c r="BZ64" s="5113"/>
      <c r="CA64" s="5114">
        <f t="shared" si="31"/>
        <v>1459</v>
      </c>
      <c r="CB64" s="5113"/>
      <c r="CC64" s="5112">
        <f t="shared" si="32"/>
        <v>1459</v>
      </c>
      <c r="CD64" s="5113"/>
      <c r="CE64" s="5113">
        <f t="shared" si="33"/>
        <v>1459</v>
      </c>
      <c r="CF64" s="5113"/>
      <c r="CG64" s="5114">
        <f t="shared" si="34"/>
        <v>2228.1559999999999</v>
      </c>
      <c r="CH64" s="5113"/>
      <c r="CI64" s="5113">
        <f t="shared" si="35"/>
        <v>3687.1559999999999</v>
      </c>
      <c r="CJ64" s="5113"/>
      <c r="CK64" s="5114">
        <f t="shared" si="36"/>
        <v>0</v>
      </c>
      <c r="CL64" s="5113"/>
      <c r="CM64" s="5113">
        <f t="shared" si="37"/>
        <v>3687.1559999999999</v>
      </c>
      <c r="CN64" s="5113"/>
      <c r="CO64" s="5114">
        <f t="shared" si="38"/>
        <v>0</v>
      </c>
      <c r="CP64" s="5113"/>
      <c r="CQ64" s="5112">
        <f t="shared" si="39"/>
        <v>2228.1559999999999</v>
      </c>
      <c r="CR64" s="5113"/>
      <c r="CS64" s="5136">
        <f t="shared" si="40"/>
        <v>3687.1559999999999</v>
      </c>
      <c r="CT64" s="5111"/>
      <c r="CU64" s="5139">
        <f t="shared" si="41"/>
        <v>3687.1559999999999</v>
      </c>
      <c r="CV64" s="5138"/>
      <c r="CW64" s="5147"/>
    </row>
    <row r="65" spans="1:103" x14ac:dyDescent="0.25">
      <c r="A65" s="5170"/>
      <c r="B65" s="5170"/>
      <c r="C65" s="5170"/>
      <c r="D65" s="5170"/>
      <c r="E65" s="5158" t="s">
        <v>1212</v>
      </c>
      <c r="F65" s="5150">
        <v>9984</v>
      </c>
      <c r="G65" s="5108">
        <v>3129</v>
      </c>
      <c r="H65" s="5108">
        <v>2932</v>
      </c>
      <c r="I65" s="5157">
        <f t="shared" si="0"/>
        <v>16045</v>
      </c>
      <c r="J65" s="5108">
        <v>10428</v>
      </c>
      <c r="K65" s="5108">
        <v>10346</v>
      </c>
      <c r="L65" s="5108">
        <v>6306.0619999999999</v>
      </c>
      <c r="M65" s="5157">
        <f t="shared" si="1"/>
        <v>27080.061999999998</v>
      </c>
      <c r="N65" s="5156">
        <f t="shared" si="2"/>
        <v>43125.061999999998</v>
      </c>
      <c r="O65" s="5104"/>
      <c r="P65" s="5104"/>
      <c r="Q65" s="5108">
        <v>6357</v>
      </c>
      <c r="R65" s="5157">
        <f t="shared" si="3"/>
        <v>6357</v>
      </c>
      <c r="S65" s="5108">
        <v>11612.201999999999</v>
      </c>
      <c r="T65" s="5108">
        <v>13929.146000000001</v>
      </c>
      <c r="U65" s="5155">
        <v>15519</v>
      </c>
      <c r="V65" s="5157">
        <f t="shared" si="4"/>
        <v>41060.347999999998</v>
      </c>
      <c r="W65" s="5156">
        <f t="shared" si="5"/>
        <v>47417.347999999998</v>
      </c>
      <c r="X65" s="5120">
        <f t="shared" si="6"/>
        <v>90542.41</v>
      </c>
      <c r="Y65" s="5119">
        <v>1533</v>
      </c>
      <c r="Z65" s="5108">
        <v>3313</v>
      </c>
      <c r="AA65" s="5108">
        <v>0</v>
      </c>
      <c r="AB65" s="5157">
        <f t="shared" si="7"/>
        <v>4846</v>
      </c>
      <c r="AC65" s="5108">
        <v>5420</v>
      </c>
      <c r="AD65" s="5108">
        <v>3926</v>
      </c>
      <c r="AE65" s="5108">
        <v>4627.5460000000003</v>
      </c>
      <c r="AF65" s="5118">
        <f t="shared" si="8"/>
        <v>13973.546</v>
      </c>
      <c r="AG65" s="5156">
        <f t="shared" si="9"/>
        <v>18819.546000000002</v>
      </c>
      <c r="AH65" s="5104"/>
      <c r="AI65" s="5104"/>
      <c r="AJ65" s="5104">
        <v>9360</v>
      </c>
      <c r="AK65" s="5157">
        <f t="shared" si="10"/>
        <v>9360</v>
      </c>
      <c r="AL65" s="5108">
        <v>6263.7820000000002</v>
      </c>
      <c r="AM65" s="5108">
        <v>1566.4739999999999</v>
      </c>
      <c r="AN65" s="5155">
        <v>611</v>
      </c>
      <c r="AO65" s="5157">
        <f t="shared" si="11"/>
        <v>8441.2560000000012</v>
      </c>
      <c r="AP65" s="5156">
        <f t="shared" si="12"/>
        <v>17801.256000000001</v>
      </c>
      <c r="AQ65" s="5117">
        <f t="shared" si="13"/>
        <v>36620.802000000003</v>
      </c>
      <c r="AR65" s="5107">
        <f t="shared" si="14"/>
        <v>127163.212</v>
      </c>
      <c r="AS65" s="5154"/>
      <c r="AT65" s="5110"/>
      <c r="AU65" s="5116">
        <f t="shared" si="15"/>
        <v>11517</v>
      </c>
      <c r="AV65" s="5115"/>
      <c r="AW65" s="5114">
        <f t="shared" si="16"/>
        <v>6442</v>
      </c>
      <c r="AX65" s="5113"/>
      <c r="AY65" s="5113">
        <f t="shared" si="17"/>
        <v>17959</v>
      </c>
      <c r="AZ65" s="5113"/>
      <c r="BA65" s="5114">
        <f t="shared" si="18"/>
        <v>2932</v>
      </c>
      <c r="BB65" s="5112"/>
      <c r="BC65" s="5112">
        <f t="shared" si="19"/>
        <v>20891</v>
      </c>
      <c r="BD65" s="5113"/>
      <c r="BE65" s="5114">
        <f t="shared" si="20"/>
        <v>15848</v>
      </c>
      <c r="BF65" s="5111"/>
      <c r="BG65" s="5111">
        <f t="shared" si="21"/>
        <v>36739</v>
      </c>
      <c r="BH65" s="5113"/>
      <c r="BI65" s="5114">
        <f t="shared" si="22"/>
        <v>14272</v>
      </c>
      <c r="BJ65" s="5111"/>
      <c r="BK65" s="5111">
        <f t="shared" si="23"/>
        <v>51011</v>
      </c>
      <c r="BL65" s="5113"/>
      <c r="BM65" s="5114">
        <f t="shared" si="24"/>
        <v>10933.608</v>
      </c>
      <c r="BN65" s="5113"/>
      <c r="BO65" s="5112">
        <f t="shared" si="25"/>
        <v>41053.608</v>
      </c>
      <c r="BP65" s="5113"/>
      <c r="BQ65" s="5136">
        <f t="shared" si="26"/>
        <v>61944.608</v>
      </c>
      <c r="BR65" s="5113"/>
      <c r="BS65" s="5114">
        <f t="shared" si="27"/>
        <v>0</v>
      </c>
      <c r="BT65" s="5113"/>
      <c r="BU65" s="5113">
        <f t="shared" si="28"/>
        <v>61944.608</v>
      </c>
      <c r="BV65" s="5113"/>
      <c r="BW65" s="5114">
        <f t="shared" si="29"/>
        <v>0</v>
      </c>
      <c r="BX65" s="5113"/>
      <c r="BY65" s="5113">
        <f t="shared" si="30"/>
        <v>61944.608</v>
      </c>
      <c r="BZ65" s="5113"/>
      <c r="CA65" s="5114">
        <f t="shared" si="31"/>
        <v>15717</v>
      </c>
      <c r="CB65" s="5113"/>
      <c r="CC65" s="5112">
        <f t="shared" si="32"/>
        <v>15717</v>
      </c>
      <c r="CD65" s="5113"/>
      <c r="CE65" s="5113">
        <f t="shared" si="33"/>
        <v>77661.608000000007</v>
      </c>
      <c r="CF65" s="5113"/>
      <c r="CG65" s="5114">
        <f t="shared" si="34"/>
        <v>17875.984</v>
      </c>
      <c r="CH65" s="5113"/>
      <c r="CI65" s="5113">
        <f t="shared" si="35"/>
        <v>95537.592000000004</v>
      </c>
      <c r="CJ65" s="5113"/>
      <c r="CK65" s="5114">
        <f t="shared" si="36"/>
        <v>15495.62</v>
      </c>
      <c r="CL65" s="5113"/>
      <c r="CM65" s="5113">
        <f t="shared" si="37"/>
        <v>111033.212</v>
      </c>
      <c r="CN65" s="5113"/>
      <c r="CO65" s="5114">
        <f t="shared" si="38"/>
        <v>16130</v>
      </c>
      <c r="CP65" s="5113"/>
      <c r="CQ65" s="5112">
        <f t="shared" si="39"/>
        <v>49501.603999999999</v>
      </c>
      <c r="CR65" s="5113"/>
      <c r="CS65" s="5136">
        <f t="shared" si="40"/>
        <v>65218.603999999999</v>
      </c>
      <c r="CT65" s="5111"/>
      <c r="CU65" s="5139">
        <f t="shared" si="41"/>
        <v>127163.212</v>
      </c>
      <c r="CV65" s="5138"/>
      <c r="CW65" s="5147"/>
    </row>
    <row r="66" spans="1:103" x14ac:dyDescent="0.25">
      <c r="A66" s="5170"/>
      <c r="B66" s="5170"/>
      <c r="C66" s="5170"/>
      <c r="D66" s="5170"/>
      <c r="E66" s="5158" t="s">
        <v>1213</v>
      </c>
      <c r="F66" s="5150">
        <v>0</v>
      </c>
      <c r="G66" s="5108"/>
      <c r="H66" s="5108"/>
      <c r="I66" s="5157">
        <f t="shared" si="0"/>
        <v>0</v>
      </c>
      <c r="J66" s="5108"/>
      <c r="K66" s="5108">
        <v>288</v>
      </c>
      <c r="L66" s="5108">
        <v>408.00200000000001</v>
      </c>
      <c r="M66" s="5157">
        <f t="shared" si="1"/>
        <v>696.00199999999995</v>
      </c>
      <c r="N66" s="5156">
        <f t="shared" si="2"/>
        <v>696.00199999999995</v>
      </c>
      <c r="O66" s="5104">
        <v>0</v>
      </c>
      <c r="P66" s="5104"/>
      <c r="Q66" s="5108"/>
      <c r="R66" s="5157">
        <f t="shared" si="3"/>
        <v>0</v>
      </c>
      <c r="S66" s="5108">
        <v>80.331999999999994</v>
      </c>
      <c r="T66" s="5108"/>
      <c r="U66" s="5155"/>
      <c r="V66" s="5157">
        <f t="shared" si="4"/>
        <v>80.331999999999994</v>
      </c>
      <c r="W66" s="5156">
        <f t="shared" si="5"/>
        <v>80.331999999999994</v>
      </c>
      <c r="X66" s="5120">
        <f t="shared" si="6"/>
        <v>776.33399999999995</v>
      </c>
      <c r="Y66" s="5119">
        <v>110</v>
      </c>
      <c r="Z66" s="5108"/>
      <c r="AA66" s="5108"/>
      <c r="AB66" s="5157">
        <f t="shared" si="7"/>
        <v>110</v>
      </c>
      <c r="AC66" s="5108"/>
      <c r="AD66" s="5108">
        <v>188</v>
      </c>
      <c r="AE66" s="5108">
        <v>0</v>
      </c>
      <c r="AF66" s="5118">
        <f t="shared" si="8"/>
        <v>188</v>
      </c>
      <c r="AG66" s="5156">
        <f t="shared" si="9"/>
        <v>298</v>
      </c>
      <c r="AH66" s="5104">
        <v>105.7</v>
      </c>
      <c r="AI66" s="5104"/>
      <c r="AJ66" s="5104"/>
      <c r="AK66" s="5157">
        <f t="shared" si="10"/>
        <v>105.7</v>
      </c>
      <c r="AL66" s="5108">
        <v>270.59199999999998</v>
      </c>
      <c r="AM66" s="5108"/>
      <c r="AN66" s="5155"/>
      <c r="AO66" s="5157">
        <f t="shared" si="11"/>
        <v>270.59199999999998</v>
      </c>
      <c r="AP66" s="5156">
        <f t="shared" si="12"/>
        <v>376.29199999999997</v>
      </c>
      <c r="AQ66" s="5117">
        <f t="shared" si="13"/>
        <v>674.29199999999992</v>
      </c>
      <c r="AR66" s="5107">
        <f t="shared" si="14"/>
        <v>1450.6259999999997</v>
      </c>
      <c r="AS66" s="5154"/>
      <c r="AT66" s="5110"/>
      <c r="AU66" s="5116">
        <f t="shared" si="15"/>
        <v>110</v>
      </c>
      <c r="AV66" s="5115"/>
      <c r="AW66" s="5114">
        <f t="shared" si="16"/>
        <v>0</v>
      </c>
      <c r="AX66" s="5113"/>
      <c r="AY66" s="5113">
        <f t="shared" si="17"/>
        <v>110</v>
      </c>
      <c r="AZ66" s="5113"/>
      <c r="BA66" s="5114">
        <f t="shared" si="18"/>
        <v>0</v>
      </c>
      <c r="BB66" s="5112"/>
      <c r="BC66" s="5112">
        <f t="shared" si="19"/>
        <v>110</v>
      </c>
      <c r="BD66" s="5113"/>
      <c r="BE66" s="5114">
        <f t="shared" si="20"/>
        <v>0</v>
      </c>
      <c r="BF66" s="5111"/>
      <c r="BG66" s="5111">
        <f t="shared" si="21"/>
        <v>110</v>
      </c>
      <c r="BH66" s="5113"/>
      <c r="BI66" s="5114">
        <f t="shared" si="22"/>
        <v>476</v>
      </c>
      <c r="BJ66" s="5111"/>
      <c r="BK66" s="5111">
        <f t="shared" si="23"/>
        <v>586</v>
      </c>
      <c r="BL66" s="5113"/>
      <c r="BM66" s="5114">
        <f t="shared" si="24"/>
        <v>408.00200000000001</v>
      </c>
      <c r="BN66" s="5113"/>
      <c r="BO66" s="5112">
        <f t="shared" si="25"/>
        <v>884.00199999999995</v>
      </c>
      <c r="BP66" s="5113"/>
      <c r="BQ66" s="5136">
        <f t="shared" si="26"/>
        <v>994.00199999999995</v>
      </c>
      <c r="BR66" s="5113"/>
      <c r="BS66" s="5114">
        <f t="shared" si="27"/>
        <v>105.7</v>
      </c>
      <c r="BT66" s="5113"/>
      <c r="BU66" s="5113">
        <f t="shared" si="28"/>
        <v>1099.702</v>
      </c>
      <c r="BV66" s="5113"/>
      <c r="BW66" s="5114">
        <f t="shared" si="29"/>
        <v>0</v>
      </c>
      <c r="BX66" s="5113"/>
      <c r="BY66" s="5113">
        <f t="shared" si="30"/>
        <v>1099.702</v>
      </c>
      <c r="BZ66" s="5113"/>
      <c r="CA66" s="5114">
        <f t="shared" si="31"/>
        <v>0</v>
      </c>
      <c r="CB66" s="5113"/>
      <c r="CC66" s="5112">
        <f t="shared" si="32"/>
        <v>105.7</v>
      </c>
      <c r="CD66" s="5113"/>
      <c r="CE66" s="5113">
        <f t="shared" si="33"/>
        <v>1099.702</v>
      </c>
      <c r="CF66" s="5113"/>
      <c r="CG66" s="5114">
        <f t="shared" si="34"/>
        <v>350.92399999999998</v>
      </c>
      <c r="CH66" s="5113"/>
      <c r="CI66" s="5113">
        <f t="shared" si="35"/>
        <v>1450.626</v>
      </c>
      <c r="CJ66" s="5113"/>
      <c r="CK66" s="5114">
        <f t="shared" si="36"/>
        <v>0</v>
      </c>
      <c r="CL66" s="5113"/>
      <c r="CM66" s="5113">
        <f t="shared" si="37"/>
        <v>1450.626</v>
      </c>
      <c r="CN66" s="5113"/>
      <c r="CO66" s="5114">
        <f t="shared" si="38"/>
        <v>0</v>
      </c>
      <c r="CP66" s="5113"/>
      <c r="CQ66" s="5112">
        <f t="shared" si="39"/>
        <v>350.92399999999998</v>
      </c>
      <c r="CR66" s="5113"/>
      <c r="CS66" s="5136">
        <f t="shared" si="40"/>
        <v>456.62399999999997</v>
      </c>
      <c r="CT66" s="5111"/>
      <c r="CU66" s="5139">
        <f t="shared" si="41"/>
        <v>1450.626</v>
      </c>
      <c r="CV66" s="5138"/>
      <c r="CW66" s="5147"/>
    </row>
    <row r="67" spans="1:103" x14ac:dyDescent="0.25">
      <c r="A67" s="5170"/>
      <c r="B67" s="5170"/>
      <c r="C67" s="5170"/>
      <c r="D67" s="5170"/>
      <c r="E67" s="5158" t="s">
        <v>1417</v>
      </c>
      <c r="F67" s="5150">
        <v>3809</v>
      </c>
      <c r="G67" s="5108"/>
      <c r="H67" s="5108"/>
      <c r="I67" s="5157">
        <f t="shared" si="0"/>
        <v>3809</v>
      </c>
      <c r="J67" s="5108">
        <v>271</v>
      </c>
      <c r="K67" s="5108">
        <v>2370</v>
      </c>
      <c r="L67" s="5108">
        <v>3644.5360000000001</v>
      </c>
      <c r="M67" s="5157">
        <f t="shared" si="1"/>
        <v>6285.5360000000001</v>
      </c>
      <c r="N67" s="5156">
        <f t="shared" si="2"/>
        <v>10094.536</v>
      </c>
      <c r="O67" s="5104"/>
      <c r="P67" s="5104"/>
      <c r="Q67" s="5108"/>
      <c r="R67" s="5157">
        <f t="shared" si="3"/>
        <v>0</v>
      </c>
      <c r="S67" s="5108"/>
      <c r="T67" s="5108"/>
      <c r="U67" s="5155"/>
      <c r="V67" s="5157">
        <f t="shared" si="4"/>
        <v>0</v>
      </c>
      <c r="W67" s="5156">
        <f t="shared" si="5"/>
        <v>0</v>
      </c>
      <c r="X67" s="5120">
        <f t="shared" si="6"/>
        <v>10094.536</v>
      </c>
      <c r="Y67" s="5119">
        <v>0</v>
      </c>
      <c r="Z67" s="5108"/>
      <c r="AA67" s="5108"/>
      <c r="AB67" s="5157">
        <f t="shared" si="7"/>
        <v>0</v>
      </c>
      <c r="AC67" s="5108">
        <v>0</v>
      </c>
      <c r="AD67" s="5108">
        <v>0</v>
      </c>
      <c r="AE67" s="5108">
        <v>0</v>
      </c>
      <c r="AF67" s="5118">
        <f t="shared" si="8"/>
        <v>0</v>
      </c>
      <c r="AG67" s="5156">
        <f t="shared" si="9"/>
        <v>0</v>
      </c>
      <c r="AH67" s="5104"/>
      <c r="AI67" s="5104"/>
      <c r="AJ67" s="5104"/>
      <c r="AK67" s="5157">
        <f t="shared" si="10"/>
        <v>0</v>
      </c>
      <c r="AL67" s="5108"/>
      <c r="AM67" s="5108"/>
      <c r="AN67" s="5155"/>
      <c r="AO67" s="5157">
        <f t="shared" si="11"/>
        <v>0</v>
      </c>
      <c r="AP67" s="5156">
        <f t="shared" si="12"/>
        <v>0</v>
      </c>
      <c r="AQ67" s="5117">
        <f t="shared" si="13"/>
        <v>0</v>
      </c>
      <c r="AR67" s="5107">
        <f t="shared" si="14"/>
        <v>10094.536</v>
      </c>
      <c r="AS67" s="5154"/>
      <c r="AT67" s="5110"/>
      <c r="AU67" s="5116">
        <f t="shared" si="15"/>
        <v>3809</v>
      </c>
      <c r="AV67" s="5115"/>
      <c r="AW67" s="5114">
        <f t="shared" si="16"/>
        <v>0</v>
      </c>
      <c r="AX67" s="5113"/>
      <c r="AY67" s="5113">
        <f t="shared" si="17"/>
        <v>3809</v>
      </c>
      <c r="AZ67" s="5113"/>
      <c r="BA67" s="5114">
        <f t="shared" si="18"/>
        <v>0</v>
      </c>
      <c r="BB67" s="5112"/>
      <c r="BC67" s="5112">
        <f t="shared" si="19"/>
        <v>3809</v>
      </c>
      <c r="BD67" s="5113"/>
      <c r="BE67" s="5114">
        <f t="shared" si="20"/>
        <v>271</v>
      </c>
      <c r="BF67" s="5111"/>
      <c r="BG67" s="5111">
        <f t="shared" si="21"/>
        <v>4080</v>
      </c>
      <c r="BH67" s="5113"/>
      <c r="BI67" s="5114">
        <f t="shared" si="22"/>
        <v>2370</v>
      </c>
      <c r="BJ67" s="5111"/>
      <c r="BK67" s="5111">
        <f t="shared" si="23"/>
        <v>6450</v>
      </c>
      <c r="BL67" s="5113"/>
      <c r="BM67" s="5114">
        <f t="shared" si="24"/>
        <v>3644.5360000000001</v>
      </c>
      <c r="BN67" s="5113"/>
      <c r="BO67" s="5112">
        <f t="shared" si="25"/>
        <v>6285.5360000000001</v>
      </c>
      <c r="BP67" s="5113"/>
      <c r="BQ67" s="5136">
        <f t="shared" si="26"/>
        <v>10094.536</v>
      </c>
      <c r="BR67" s="5113"/>
      <c r="BS67" s="5114">
        <f t="shared" si="27"/>
        <v>0</v>
      </c>
      <c r="BT67" s="5113"/>
      <c r="BU67" s="5113">
        <f t="shared" si="28"/>
        <v>10094.536</v>
      </c>
      <c r="BV67" s="5113"/>
      <c r="BW67" s="5114">
        <f t="shared" si="29"/>
        <v>0</v>
      </c>
      <c r="BX67" s="5113"/>
      <c r="BY67" s="5113">
        <f t="shared" si="30"/>
        <v>10094.536</v>
      </c>
      <c r="BZ67" s="5113"/>
      <c r="CA67" s="5114">
        <f t="shared" si="31"/>
        <v>0</v>
      </c>
      <c r="CB67" s="5113"/>
      <c r="CC67" s="5112">
        <f t="shared" si="32"/>
        <v>0</v>
      </c>
      <c r="CD67" s="5113"/>
      <c r="CE67" s="5113">
        <f t="shared" si="33"/>
        <v>10094.536</v>
      </c>
      <c r="CF67" s="5113"/>
      <c r="CG67" s="5114">
        <f t="shared" si="34"/>
        <v>0</v>
      </c>
      <c r="CH67" s="5113"/>
      <c r="CI67" s="5113">
        <f t="shared" si="35"/>
        <v>10094.536</v>
      </c>
      <c r="CJ67" s="5113"/>
      <c r="CK67" s="5114">
        <f t="shared" si="36"/>
        <v>0</v>
      </c>
      <c r="CL67" s="5113"/>
      <c r="CM67" s="5113">
        <f t="shared" si="37"/>
        <v>10094.536</v>
      </c>
      <c r="CN67" s="5113"/>
      <c r="CO67" s="5114">
        <f t="shared" si="38"/>
        <v>0</v>
      </c>
      <c r="CP67" s="5113"/>
      <c r="CQ67" s="5112">
        <f t="shared" si="39"/>
        <v>0</v>
      </c>
      <c r="CR67" s="5113"/>
      <c r="CS67" s="5136">
        <f t="shared" si="40"/>
        <v>0</v>
      </c>
      <c r="CT67" s="5111"/>
      <c r="CU67" s="5139">
        <f t="shared" si="41"/>
        <v>10094.536</v>
      </c>
      <c r="CV67" s="5138"/>
      <c r="CW67" s="5147"/>
    </row>
    <row r="68" spans="1:103" x14ac:dyDescent="0.25">
      <c r="A68" s="5170"/>
      <c r="B68" s="5170"/>
      <c r="C68" s="5170"/>
      <c r="D68" s="5170"/>
      <c r="E68" s="5158" t="s">
        <v>1310</v>
      </c>
      <c r="F68" s="5150"/>
      <c r="G68" s="5108"/>
      <c r="H68" s="5108"/>
      <c r="I68" s="5157">
        <f t="shared" si="0"/>
        <v>0</v>
      </c>
      <c r="J68" s="5108"/>
      <c r="K68" s="5108"/>
      <c r="L68" s="5108">
        <v>458.738</v>
      </c>
      <c r="M68" s="5157">
        <f t="shared" si="1"/>
        <v>458.738</v>
      </c>
      <c r="N68" s="5156">
        <f t="shared" si="2"/>
        <v>458.738</v>
      </c>
      <c r="O68" s="5104"/>
      <c r="P68" s="5104"/>
      <c r="Q68" s="5108"/>
      <c r="R68" s="5157">
        <f t="shared" si="3"/>
        <v>0</v>
      </c>
      <c r="S68" s="5108"/>
      <c r="T68" s="5108"/>
      <c r="U68" s="5155"/>
      <c r="V68" s="5157">
        <f t="shared" si="4"/>
        <v>0</v>
      </c>
      <c r="W68" s="5156">
        <f t="shared" si="5"/>
        <v>0</v>
      </c>
      <c r="X68" s="5120">
        <f t="shared" si="6"/>
        <v>458.738</v>
      </c>
      <c r="Y68" s="5119"/>
      <c r="Z68" s="5108"/>
      <c r="AA68" s="5108"/>
      <c r="AB68" s="5157">
        <f t="shared" si="7"/>
        <v>0</v>
      </c>
      <c r="AC68" s="5108"/>
      <c r="AD68" s="5108"/>
      <c r="AE68" s="5108">
        <v>0</v>
      </c>
      <c r="AF68" s="5118">
        <f t="shared" si="8"/>
        <v>0</v>
      </c>
      <c r="AG68" s="5156">
        <f t="shared" si="9"/>
        <v>0</v>
      </c>
      <c r="AH68" s="5104"/>
      <c r="AI68" s="5104"/>
      <c r="AJ68" s="5104"/>
      <c r="AK68" s="5157">
        <f t="shared" si="10"/>
        <v>0</v>
      </c>
      <c r="AL68" s="5108"/>
      <c r="AM68" s="5108"/>
      <c r="AN68" s="5155"/>
      <c r="AO68" s="5157">
        <f t="shared" si="11"/>
        <v>0</v>
      </c>
      <c r="AP68" s="5156">
        <f t="shared" si="12"/>
        <v>0</v>
      </c>
      <c r="AQ68" s="5117">
        <f t="shared" si="13"/>
        <v>0</v>
      </c>
      <c r="AR68" s="5107">
        <f t="shared" si="14"/>
        <v>458.738</v>
      </c>
      <c r="AS68" s="5154"/>
      <c r="AT68" s="5110"/>
      <c r="AU68" s="5116">
        <f t="shared" si="15"/>
        <v>0</v>
      </c>
      <c r="AV68" s="5115"/>
      <c r="AW68" s="5114">
        <f t="shared" si="16"/>
        <v>0</v>
      </c>
      <c r="AX68" s="5113"/>
      <c r="AY68" s="5113">
        <f t="shared" si="17"/>
        <v>0</v>
      </c>
      <c r="AZ68" s="5113"/>
      <c r="BA68" s="5114">
        <f t="shared" si="18"/>
        <v>0</v>
      </c>
      <c r="BB68" s="5112"/>
      <c r="BC68" s="5112">
        <f t="shared" si="19"/>
        <v>0</v>
      </c>
      <c r="BD68" s="5113"/>
      <c r="BE68" s="5114">
        <f t="shared" si="20"/>
        <v>0</v>
      </c>
      <c r="BF68" s="5111"/>
      <c r="BG68" s="5111">
        <f t="shared" si="21"/>
        <v>0</v>
      </c>
      <c r="BH68" s="5113"/>
      <c r="BI68" s="5114">
        <f t="shared" si="22"/>
        <v>0</v>
      </c>
      <c r="BJ68" s="5111"/>
      <c r="BK68" s="5111">
        <f t="shared" si="23"/>
        <v>0</v>
      </c>
      <c r="BL68" s="5113"/>
      <c r="BM68" s="5114">
        <f t="shared" si="24"/>
        <v>458.738</v>
      </c>
      <c r="BN68" s="5113"/>
      <c r="BO68" s="5112">
        <f t="shared" si="25"/>
        <v>458.738</v>
      </c>
      <c r="BP68" s="5113"/>
      <c r="BQ68" s="5136">
        <f t="shared" si="26"/>
        <v>458.738</v>
      </c>
      <c r="BR68" s="5113"/>
      <c r="BS68" s="5114">
        <f t="shared" si="27"/>
        <v>0</v>
      </c>
      <c r="BT68" s="5113"/>
      <c r="BU68" s="5113">
        <f t="shared" si="28"/>
        <v>458.738</v>
      </c>
      <c r="BV68" s="5113"/>
      <c r="BW68" s="5114">
        <f t="shared" si="29"/>
        <v>0</v>
      </c>
      <c r="BX68" s="5113"/>
      <c r="BY68" s="5113">
        <f t="shared" si="30"/>
        <v>458.738</v>
      </c>
      <c r="BZ68" s="5113"/>
      <c r="CA68" s="5114">
        <f t="shared" si="31"/>
        <v>0</v>
      </c>
      <c r="CB68" s="5113"/>
      <c r="CC68" s="5112">
        <f t="shared" si="32"/>
        <v>0</v>
      </c>
      <c r="CD68" s="5113"/>
      <c r="CE68" s="5113">
        <f t="shared" si="33"/>
        <v>458.738</v>
      </c>
      <c r="CF68" s="5113"/>
      <c r="CG68" s="5114">
        <f t="shared" si="34"/>
        <v>0</v>
      </c>
      <c r="CH68" s="5113"/>
      <c r="CI68" s="5113">
        <f t="shared" si="35"/>
        <v>458.738</v>
      </c>
      <c r="CJ68" s="5113"/>
      <c r="CK68" s="5114">
        <f t="shared" si="36"/>
        <v>0</v>
      </c>
      <c r="CL68" s="5113"/>
      <c r="CM68" s="5113">
        <f t="shared" si="37"/>
        <v>458.738</v>
      </c>
      <c r="CN68" s="5113"/>
      <c r="CO68" s="5114">
        <f t="shared" si="38"/>
        <v>0</v>
      </c>
      <c r="CP68" s="5113"/>
      <c r="CQ68" s="5112">
        <f t="shared" si="39"/>
        <v>0</v>
      </c>
      <c r="CR68" s="5113"/>
      <c r="CS68" s="5136">
        <f t="shared" si="40"/>
        <v>0</v>
      </c>
      <c r="CT68" s="5111"/>
      <c r="CU68" s="5139">
        <f t="shared" si="41"/>
        <v>458.738</v>
      </c>
      <c r="CV68" s="5138"/>
      <c r="CW68" s="5147"/>
    </row>
    <row r="69" spans="1:103" x14ac:dyDescent="0.25">
      <c r="A69" s="5170"/>
      <c r="B69" s="5170"/>
      <c r="C69" s="5170"/>
      <c r="D69" s="5170"/>
      <c r="E69" s="5158" t="s">
        <v>1580</v>
      </c>
      <c r="F69" s="5150">
        <v>1503</v>
      </c>
      <c r="G69" s="5108"/>
      <c r="H69" s="5108"/>
      <c r="I69" s="5157">
        <f t="shared" si="0"/>
        <v>1503</v>
      </c>
      <c r="J69" s="5108">
        <v>3702</v>
      </c>
      <c r="K69" s="5108">
        <v>408</v>
      </c>
      <c r="L69" s="5108"/>
      <c r="M69" s="5157">
        <f t="shared" si="1"/>
        <v>4110</v>
      </c>
      <c r="N69" s="5156">
        <f t="shared" si="2"/>
        <v>5613</v>
      </c>
      <c r="O69" s="5104"/>
      <c r="P69" s="5104"/>
      <c r="Q69" s="5108"/>
      <c r="R69" s="5157">
        <f t="shared" si="3"/>
        <v>0</v>
      </c>
      <c r="S69" s="5108">
        <v>832.91600000000005</v>
      </c>
      <c r="T69" s="5108">
        <v>1663.7180000000001</v>
      </c>
      <c r="U69" s="5155"/>
      <c r="V69" s="5157">
        <f t="shared" si="4"/>
        <v>2496.634</v>
      </c>
      <c r="W69" s="5156">
        <f t="shared" si="5"/>
        <v>2496.634</v>
      </c>
      <c r="X69" s="5120">
        <f t="shared" si="6"/>
        <v>8109.634</v>
      </c>
      <c r="Y69" s="5119">
        <v>0</v>
      </c>
      <c r="Z69" s="5108"/>
      <c r="AA69" s="5108"/>
      <c r="AB69" s="5157">
        <f t="shared" si="7"/>
        <v>0</v>
      </c>
      <c r="AC69" s="5108">
        <v>0</v>
      </c>
      <c r="AD69" s="5108">
        <v>0</v>
      </c>
      <c r="AE69" s="5108"/>
      <c r="AF69" s="5118">
        <f t="shared" si="8"/>
        <v>0</v>
      </c>
      <c r="AG69" s="5156">
        <f t="shared" si="9"/>
        <v>0</v>
      </c>
      <c r="AH69" s="5104"/>
      <c r="AI69" s="5104"/>
      <c r="AJ69" s="5104"/>
      <c r="AK69" s="5157">
        <f t="shared" si="10"/>
        <v>0</v>
      </c>
      <c r="AL69" s="5108">
        <v>0</v>
      </c>
      <c r="AM69" s="5108">
        <v>0</v>
      </c>
      <c r="AN69" s="5155"/>
      <c r="AO69" s="5157">
        <f t="shared" si="11"/>
        <v>0</v>
      </c>
      <c r="AP69" s="5156">
        <f t="shared" si="12"/>
        <v>0</v>
      </c>
      <c r="AQ69" s="5117">
        <f t="shared" si="13"/>
        <v>0</v>
      </c>
      <c r="AR69" s="5107">
        <f t="shared" si="14"/>
        <v>8109.634</v>
      </c>
      <c r="AS69" s="5154"/>
      <c r="AT69" s="5110"/>
      <c r="AU69" s="5116">
        <f t="shared" si="15"/>
        <v>1503</v>
      </c>
      <c r="AV69" s="5115"/>
      <c r="AW69" s="5114">
        <f t="shared" si="16"/>
        <v>0</v>
      </c>
      <c r="AX69" s="5113"/>
      <c r="AY69" s="5113">
        <f t="shared" si="17"/>
        <v>1503</v>
      </c>
      <c r="AZ69" s="5113"/>
      <c r="BA69" s="5114">
        <f t="shared" si="18"/>
        <v>0</v>
      </c>
      <c r="BB69" s="5112"/>
      <c r="BC69" s="5112">
        <f t="shared" si="19"/>
        <v>1503</v>
      </c>
      <c r="BD69" s="5113"/>
      <c r="BE69" s="5114">
        <f t="shared" si="20"/>
        <v>3702</v>
      </c>
      <c r="BF69" s="5111"/>
      <c r="BG69" s="5111">
        <f t="shared" si="21"/>
        <v>5205</v>
      </c>
      <c r="BH69" s="5113"/>
      <c r="BI69" s="5114">
        <f t="shared" si="22"/>
        <v>408</v>
      </c>
      <c r="BJ69" s="5111"/>
      <c r="BK69" s="5111">
        <f t="shared" si="23"/>
        <v>5613</v>
      </c>
      <c r="BL69" s="5113"/>
      <c r="BM69" s="5114">
        <f t="shared" si="24"/>
        <v>0</v>
      </c>
      <c r="BN69" s="5113"/>
      <c r="BO69" s="5112">
        <f t="shared" si="25"/>
        <v>4110</v>
      </c>
      <c r="BP69" s="5113"/>
      <c r="BQ69" s="5136">
        <f t="shared" si="26"/>
        <v>5613</v>
      </c>
      <c r="BR69" s="5113"/>
      <c r="BS69" s="5114">
        <f t="shared" si="27"/>
        <v>0</v>
      </c>
      <c r="BT69" s="5113"/>
      <c r="BU69" s="5113">
        <f t="shared" si="28"/>
        <v>5613</v>
      </c>
      <c r="BV69" s="5113"/>
      <c r="BW69" s="5114">
        <f t="shared" si="29"/>
        <v>0</v>
      </c>
      <c r="BX69" s="5113"/>
      <c r="BY69" s="5113">
        <f t="shared" si="30"/>
        <v>5613</v>
      </c>
      <c r="BZ69" s="5113"/>
      <c r="CA69" s="5114">
        <f t="shared" si="31"/>
        <v>0</v>
      </c>
      <c r="CB69" s="5113"/>
      <c r="CC69" s="5112">
        <f t="shared" si="32"/>
        <v>0</v>
      </c>
      <c r="CD69" s="5113"/>
      <c r="CE69" s="5113">
        <f t="shared" si="33"/>
        <v>5613</v>
      </c>
      <c r="CF69" s="5113"/>
      <c r="CG69" s="5114">
        <f t="shared" si="34"/>
        <v>832.91600000000005</v>
      </c>
      <c r="CH69" s="5113"/>
      <c r="CI69" s="5113">
        <f t="shared" si="35"/>
        <v>6445.9160000000002</v>
      </c>
      <c r="CJ69" s="5113"/>
      <c r="CK69" s="5114">
        <f t="shared" si="36"/>
        <v>1663.7180000000001</v>
      </c>
      <c r="CL69" s="5113"/>
      <c r="CM69" s="5113">
        <f t="shared" si="37"/>
        <v>8109.634</v>
      </c>
      <c r="CN69" s="5113"/>
      <c r="CO69" s="5114">
        <f t="shared" si="38"/>
        <v>0</v>
      </c>
      <c r="CP69" s="5113"/>
      <c r="CQ69" s="5112">
        <f t="shared" si="39"/>
        <v>2496.634</v>
      </c>
      <c r="CR69" s="5113"/>
      <c r="CS69" s="5136">
        <f t="shared" si="40"/>
        <v>2496.634</v>
      </c>
      <c r="CT69" s="5111"/>
      <c r="CU69" s="5139">
        <f t="shared" si="41"/>
        <v>8109.634</v>
      </c>
      <c r="CV69" s="5138"/>
      <c r="CW69" s="5147"/>
    </row>
    <row r="70" spans="1:103" x14ac:dyDescent="0.25">
      <c r="A70" s="5170"/>
      <c r="B70" s="5170"/>
      <c r="C70" s="5170"/>
      <c r="D70" s="5170"/>
      <c r="E70" s="5158" t="s">
        <v>1732</v>
      </c>
      <c r="F70" s="5150">
        <v>2116</v>
      </c>
      <c r="G70" s="5108">
        <v>1002</v>
      </c>
      <c r="H70" s="5108">
        <v>0</v>
      </c>
      <c r="I70" s="5157">
        <f t="shared" ref="I70:I72" si="42">SUM(F70:H70)</f>
        <v>3118</v>
      </c>
      <c r="J70" s="5108"/>
      <c r="K70" s="5108">
        <v>696</v>
      </c>
      <c r="L70" s="5108"/>
      <c r="M70" s="5157">
        <f t="shared" ref="M70:M72" si="43">SUM(J70:L70)</f>
        <v>696</v>
      </c>
      <c r="N70" s="5156">
        <f t="shared" ref="N70:N72" si="44">+I70+M70</f>
        <v>3814</v>
      </c>
      <c r="O70" s="5104"/>
      <c r="P70" s="5104"/>
      <c r="Q70" s="5108"/>
      <c r="R70" s="5157">
        <f t="shared" ref="R70:R72" si="45">SUM(O70:Q70)</f>
        <v>0</v>
      </c>
      <c r="S70" s="5108"/>
      <c r="T70" s="5108"/>
      <c r="U70" s="5155"/>
      <c r="V70" s="5157">
        <f t="shared" ref="V70:V72" si="46">SUM(S70:U70)</f>
        <v>0</v>
      </c>
      <c r="W70" s="5156">
        <f t="shared" ref="W70:W72" si="47">+R70+V70</f>
        <v>0</v>
      </c>
      <c r="X70" s="5120">
        <f t="shared" ref="X70:X72" si="48">+F70+G70+H70+J70+K70+L70+O70+P70+Q70+S70+T70+U70</f>
        <v>3814</v>
      </c>
      <c r="Y70" s="5119">
        <v>0</v>
      </c>
      <c r="Z70" s="5108">
        <v>0</v>
      </c>
      <c r="AA70" s="5108">
        <v>99</v>
      </c>
      <c r="AB70" s="5157">
        <f t="shared" ref="AB70:AB72" si="49">+Y70+Z70+AA70</f>
        <v>99</v>
      </c>
      <c r="AC70" s="5108"/>
      <c r="AD70" s="5108">
        <v>0</v>
      </c>
      <c r="AE70" s="5108"/>
      <c r="AF70" s="5118">
        <f t="shared" ref="AF70:AF72" si="50">SUM(AC70:AE70)</f>
        <v>0</v>
      </c>
      <c r="AG70" s="5156">
        <f t="shared" ref="AG70:AG72" si="51">+AB70+AF70</f>
        <v>99</v>
      </c>
      <c r="AH70" s="5104"/>
      <c r="AI70" s="5104"/>
      <c r="AJ70" s="5104"/>
      <c r="AK70" s="5157">
        <f t="shared" ref="AK70:AK72" si="52">SUM(AH70:AJ70)</f>
        <v>0</v>
      </c>
      <c r="AL70" s="5108"/>
      <c r="AM70" s="5108"/>
      <c r="AN70" s="5155"/>
      <c r="AO70" s="5157">
        <f t="shared" ref="AO70:AO72" si="53">+AL70+AM70+AN70</f>
        <v>0</v>
      </c>
      <c r="AP70" s="5156">
        <f t="shared" ref="AP70:AP72" si="54">+AK70+AO70</f>
        <v>0</v>
      </c>
      <c r="AQ70" s="5117">
        <f t="shared" ref="AQ70:AQ72" si="55">SUM(Y70:AA70,AC70:AE70,AH70:AJ70,AL70:AN70)</f>
        <v>99</v>
      </c>
      <c r="AR70" s="5107">
        <f t="shared" ref="AR70:AR72" si="56">+X70+AQ70</f>
        <v>3913</v>
      </c>
      <c r="AS70" s="5154"/>
      <c r="AT70" s="5110"/>
      <c r="AU70" s="5116">
        <f t="shared" ref="AU70:AU72" si="57">+F70+Y70</f>
        <v>2116</v>
      </c>
      <c r="AV70" s="5115"/>
      <c r="AW70" s="5114">
        <f t="shared" ref="AW70:AW72" si="58">+G70+Z70</f>
        <v>1002</v>
      </c>
      <c r="AX70" s="5113"/>
      <c r="AY70" s="5113">
        <f t="shared" ref="AY70:AY72" si="59">AU70+AW70</f>
        <v>3118</v>
      </c>
      <c r="AZ70" s="5113"/>
      <c r="BA70" s="5114">
        <f t="shared" ref="BA70:BA72" si="60">+H70+AA70</f>
        <v>99</v>
      </c>
      <c r="BB70" s="5112"/>
      <c r="BC70" s="5112">
        <f t="shared" ref="BC70:BC72" si="61">AU70+AW70+BA70</f>
        <v>3217</v>
      </c>
      <c r="BD70" s="5113"/>
      <c r="BE70" s="5114">
        <f t="shared" ref="BE70:BE72" si="62">+J70+AC70</f>
        <v>0</v>
      </c>
      <c r="BF70" s="5111"/>
      <c r="BG70" s="5111">
        <f t="shared" ref="BG70:BG72" si="63">+BC70+BE70</f>
        <v>3217</v>
      </c>
      <c r="BH70" s="5113"/>
      <c r="BI70" s="5114">
        <f t="shared" ref="BI70:BI72" si="64">K70+AD70</f>
        <v>696</v>
      </c>
      <c r="BJ70" s="5111"/>
      <c r="BK70" s="5111">
        <f t="shared" ref="BK70:BK72" si="65">+BG70+BI70</f>
        <v>3913</v>
      </c>
      <c r="BL70" s="5113"/>
      <c r="BM70" s="5114">
        <f t="shared" ref="BM70:BM72" si="66">+L70+AE70</f>
        <v>0</v>
      </c>
      <c r="BN70" s="5113"/>
      <c r="BO70" s="5112">
        <f t="shared" ref="BO70:BO72" si="67">BE70+BI70+BM70</f>
        <v>696</v>
      </c>
      <c r="BP70" s="5113"/>
      <c r="BQ70" s="5136">
        <f t="shared" ref="BQ70:BQ72" si="68">BC70+BO70</f>
        <v>3913</v>
      </c>
      <c r="BR70" s="5113"/>
      <c r="BS70" s="5114">
        <f t="shared" ref="BS70:BS72" si="69">+O70+AH70</f>
        <v>0</v>
      </c>
      <c r="BT70" s="5113"/>
      <c r="BU70" s="5113">
        <f t="shared" ref="BU70:BU72" si="70">BQ70+BS70</f>
        <v>3913</v>
      </c>
      <c r="BV70" s="5113"/>
      <c r="BW70" s="5114">
        <f t="shared" ref="BW70:BW72" si="71">+P70+AI70</f>
        <v>0</v>
      </c>
      <c r="BX70" s="5113"/>
      <c r="BY70" s="5113">
        <f t="shared" ref="BY70:BY72" si="72">BU70+BW70</f>
        <v>3913</v>
      </c>
      <c r="BZ70" s="5113"/>
      <c r="CA70" s="5114">
        <f t="shared" ref="CA70:CA72" si="73">+Q70+AJ70</f>
        <v>0</v>
      </c>
      <c r="CB70" s="5113"/>
      <c r="CC70" s="5112">
        <f t="shared" ref="CC70:CC72" si="74">BS70+BW70+CA70</f>
        <v>0</v>
      </c>
      <c r="CD70" s="5113"/>
      <c r="CE70" s="5113">
        <f t="shared" ref="CE70:CE72" si="75">BY70+CA70</f>
        <v>3913</v>
      </c>
      <c r="CF70" s="5113"/>
      <c r="CG70" s="5114">
        <f t="shared" ref="CG70:CG72" si="76">+S70+AL70</f>
        <v>0</v>
      </c>
      <c r="CH70" s="5113"/>
      <c r="CI70" s="5113">
        <f t="shared" ref="CI70:CI72" si="77">CG70+CE70</f>
        <v>3913</v>
      </c>
      <c r="CJ70" s="5113"/>
      <c r="CK70" s="5114">
        <f t="shared" ref="CK70:CK72" si="78">+T70+AM70</f>
        <v>0</v>
      </c>
      <c r="CL70" s="5113"/>
      <c r="CM70" s="5113">
        <f t="shared" ref="CM70:CM72" si="79">CI70+CK70</f>
        <v>3913</v>
      </c>
      <c r="CN70" s="5113"/>
      <c r="CO70" s="5114">
        <f t="shared" ref="CO70:CO72" si="80">+U70+AN70</f>
        <v>0</v>
      </c>
      <c r="CP70" s="5113"/>
      <c r="CQ70" s="5112">
        <f t="shared" ref="CQ70:CQ72" si="81">CG70+CK70+CO70</f>
        <v>0</v>
      </c>
      <c r="CR70" s="5113"/>
      <c r="CS70" s="5136">
        <f t="shared" ref="CS70:CS72" si="82">CC70+CQ70</f>
        <v>0</v>
      </c>
      <c r="CT70" s="5111"/>
      <c r="CU70" s="5139">
        <f t="shared" ref="CU70:CU72" si="83">SUM(AU70,AW70,BA70,BE70,BI70,BM70,BS70,BW70,CA70,CG70,CK70,CO70)</f>
        <v>3913</v>
      </c>
      <c r="CV70" s="5138"/>
      <c r="CW70" s="5147"/>
    </row>
    <row r="71" spans="1:103" x14ac:dyDescent="0.25">
      <c r="A71" s="5170"/>
      <c r="B71" s="5170"/>
      <c r="C71" s="5170"/>
      <c r="D71" s="5170"/>
      <c r="E71" s="5158" t="s">
        <v>2204</v>
      </c>
      <c r="F71" s="5150"/>
      <c r="G71" s="5108"/>
      <c r="H71" s="5108"/>
      <c r="I71" s="5157">
        <f t="shared" si="42"/>
        <v>0</v>
      </c>
      <c r="J71" s="5108"/>
      <c r="K71" s="5108"/>
      <c r="L71" s="5108"/>
      <c r="M71" s="5157">
        <f t="shared" si="43"/>
        <v>0</v>
      </c>
      <c r="N71" s="5156">
        <f t="shared" si="44"/>
        <v>0</v>
      </c>
      <c r="O71" s="5104"/>
      <c r="P71" s="5104"/>
      <c r="Q71" s="5108"/>
      <c r="R71" s="5157">
        <f t="shared" si="45"/>
        <v>0</v>
      </c>
      <c r="S71" s="5108">
        <v>742.01400000000001</v>
      </c>
      <c r="T71" s="5108">
        <v>1488.2560000000001</v>
      </c>
      <c r="U71" s="5155">
        <v>1163</v>
      </c>
      <c r="V71" s="5157">
        <f t="shared" si="46"/>
        <v>3393.27</v>
      </c>
      <c r="W71" s="5156">
        <f t="shared" si="47"/>
        <v>3393.27</v>
      </c>
      <c r="X71" s="5120">
        <f t="shared" si="48"/>
        <v>3393.27</v>
      </c>
      <c r="Y71" s="5119"/>
      <c r="Z71" s="5108"/>
      <c r="AA71" s="5108"/>
      <c r="AB71" s="5157">
        <f t="shared" si="49"/>
        <v>0</v>
      </c>
      <c r="AC71" s="5108"/>
      <c r="AD71" s="5108"/>
      <c r="AE71" s="5108"/>
      <c r="AF71" s="5118">
        <f t="shared" si="50"/>
        <v>0</v>
      </c>
      <c r="AG71" s="5156">
        <f t="shared" si="51"/>
        <v>0</v>
      </c>
      <c r="AH71" s="5104"/>
      <c r="AI71" s="5104"/>
      <c r="AJ71" s="5104"/>
      <c r="AK71" s="5157">
        <f t="shared" si="52"/>
        <v>0</v>
      </c>
      <c r="AL71" s="5108">
        <v>71102.275999999998</v>
      </c>
      <c r="AM71" s="5108">
        <v>68108.851999999999</v>
      </c>
      <c r="AN71" s="5155">
        <v>83454</v>
      </c>
      <c r="AO71" s="5157">
        <f t="shared" si="53"/>
        <v>222665.128</v>
      </c>
      <c r="AP71" s="5156">
        <f t="shared" si="54"/>
        <v>222665.128</v>
      </c>
      <c r="AQ71" s="5117">
        <f t="shared" si="55"/>
        <v>222665.128</v>
      </c>
      <c r="AR71" s="5107">
        <f t="shared" si="56"/>
        <v>226058.39799999999</v>
      </c>
      <c r="AS71" s="5154"/>
      <c r="AT71" s="5110"/>
      <c r="AU71" s="5116">
        <f t="shared" si="57"/>
        <v>0</v>
      </c>
      <c r="AV71" s="5115"/>
      <c r="AW71" s="5114">
        <f t="shared" si="58"/>
        <v>0</v>
      </c>
      <c r="AX71" s="5113"/>
      <c r="AY71" s="5113">
        <f t="shared" si="59"/>
        <v>0</v>
      </c>
      <c r="AZ71" s="5113"/>
      <c r="BA71" s="5114">
        <f t="shared" si="60"/>
        <v>0</v>
      </c>
      <c r="BB71" s="5112"/>
      <c r="BC71" s="5112">
        <f t="shared" si="61"/>
        <v>0</v>
      </c>
      <c r="BD71" s="5113"/>
      <c r="BE71" s="5114">
        <f t="shared" si="62"/>
        <v>0</v>
      </c>
      <c r="BF71" s="5111"/>
      <c r="BG71" s="5111">
        <f t="shared" si="63"/>
        <v>0</v>
      </c>
      <c r="BH71" s="5113"/>
      <c r="BI71" s="5114">
        <f t="shared" si="64"/>
        <v>0</v>
      </c>
      <c r="BJ71" s="5111"/>
      <c r="BK71" s="5111">
        <f t="shared" si="65"/>
        <v>0</v>
      </c>
      <c r="BL71" s="5113"/>
      <c r="BM71" s="5114">
        <f t="shared" si="66"/>
        <v>0</v>
      </c>
      <c r="BN71" s="5113"/>
      <c r="BO71" s="5112">
        <f t="shared" si="67"/>
        <v>0</v>
      </c>
      <c r="BP71" s="5113"/>
      <c r="BQ71" s="5136">
        <f t="shared" si="68"/>
        <v>0</v>
      </c>
      <c r="BR71" s="5113"/>
      <c r="BS71" s="5114">
        <f t="shared" si="69"/>
        <v>0</v>
      </c>
      <c r="BT71" s="5113"/>
      <c r="BU71" s="5113">
        <f t="shared" si="70"/>
        <v>0</v>
      </c>
      <c r="BV71" s="5113"/>
      <c r="BW71" s="5114">
        <f t="shared" si="71"/>
        <v>0</v>
      </c>
      <c r="BX71" s="5113"/>
      <c r="BY71" s="5113">
        <f t="shared" si="72"/>
        <v>0</v>
      </c>
      <c r="BZ71" s="5113"/>
      <c r="CA71" s="5114">
        <f t="shared" si="73"/>
        <v>0</v>
      </c>
      <c r="CB71" s="5113"/>
      <c r="CC71" s="5112">
        <f t="shared" si="74"/>
        <v>0</v>
      </c>
      <c r="CD71" s="5113"/>
      <c r="CE71" s="5113">
        <f t="shared" si="75"/>
        <v>0</v>
      </c>
      <c r="CF71" s="5113"/>
      <c r="CG71" s="5114">
        <f t="shared" si="76"/>
        <v>71844.289999999994</v>
      </c>
      <c r="CH71" s="5113"/>
      <c r="CI71" s="5113">
        <f t="shared" si="77"/>
        <v>71844.289999999994</v>
      </c>
      <c r="CJ71" s="5113"/>
      <c r="CK71" s="5114">
        <f t="shared" si="78"/>
        <v>69597.107999999993</v>
      </c>
      <c r="CL71" s="5113"/>
      <c r="CM71" s="5113">
        <f t="shared" si="79"/>
        <v>141441.39799999999</v>
      </c>
      <c r="CN71" s="5113"/>
      <c r="CO71" s="5114">
        <f t="shared" si="80"/>
        <v>84617</v>
      </c>
      <c r="CP71" s="5113"/>
      <c r="CQ71" s="5112">
        <f t="shared" si="81"/>
        <v>226058.39799999999</v>
      </c>
      <c r="CR71" s="5113"/>
      <c r="CS71" s="5136">
        <f t="shared" si="82"/>
        <v>226058.39799999999</v>
      </c>
      <c r="CT71" s="5111"/>
      <c r="CU71" s="5139">
        <f t="shared" si="83"/>
        <v>226058.39799999999</v>
      </c>
      <c r="CV71" s="5138"/>
      <c r="CW71" s="5147"/>
    </row>
    <row r="72" spans="1:103" x14ac:dyDescent="0.25">
      <c r="A72" s="5170"/>
      <c r="B72" s="5170"/>
      <c r="C72" s="5170"/>
      <c r="D72" s="5170"/>
      <c r="E72" s="5158" t="s">
        <v>2205</v>
      </c>
      <c r="F72" s="5150"/>
      <c r="G72" s="5108"/>
      <c r="H72" s="5108">
        <v>476</v>
      </c>
      <c r="I72" s="5157">
        <f t="shared" si="42"/>
        <v>476</v>
      </c>
      <c r="J72" s="5108"/>
      <c r="K72" s="5108"/>
      <c r="L72" s="5108"/>
      <c r="M72" s="5157">
        <f t="shared" si="43"/>
        <v>0</v>
      </c>
      <c r="N72" s="5156">
        <f t="shared" si="44"/>
        <v>476</v>
      </c>
      <c r="O72" s="5104"/>
      <c r="P72" s="5104"/>
      <c r="Q72" s="5108"/>
      <c r="R72" s="5157">
        <f t="shared" si="45"/>
        <v>0</v>
      </c>
      <c r="S72" s="5108">
        <v>1224.0060000000001</v>
      </c>
      <c r="T72" s="5108">
        <v>1517.8520000000001</v>
      </c>
      <c r="U72" s="5155">
        <v>1194</v>
      </c>
      <c r="V72" s="5157">
        <f t="shared" si="46"/>
        <v>3935.8580000000002</v>
      </c>
      <c r="W72" s="5156">
        <f t="shared" si="47"/>
        <v>3935.8580000000002</v>
      </c>
      <c r="X72" s="5120">
        <f t="shared" si="48"/>
        <v>4411.8580000000002</v>
      </c>
      <c r="Y72" s="5119"/>
      <c r="Z72" s="5108"/>
      <c r="AA72" s="5108">
        <v>683</v>
      </c>
      <c r="AB72" s="5157">
        <f t="shared" si="49"/>
        <v>683</v>
      </c>
      <c r="AC72" s="5108"/>
      <c r="AD72" s="5108"/>
      <c r="AE72" s="5108"/>
      <c r="AF72" s="5118">
        <f t="shared" si="50"/>
        <v>0</v>
      </c>
      <c r="AG72" s="5156">
        <f t="shared" si="51"/>
        <v>683</v>
      </c>
      <c r="AH72" s="5104"/>
      <c r="AI72" s="5104"/>
      <c r="AJ72" s="5104"/>
      <c r="AK72" s="5157">
        <f t="shared" si="52"/>
        <v>0</v>
      </c>
      <c r="AL72" s="5108">
        <v>1391.0119999999999</v>
      </c>
      <c r="AM72" s="5108">
        <v>807.548</v>
      </c>
      <c r="AN72" s="5155">
        <v>867</v>
      </c>
      <c r="AO72" s="5157">
        <f t="shared" si="53"/>
        <v>3065.56</v>
      </c>
      <c r="AP72" s="5156">
        <f t="shared" si="54"/>
        <v>3065.56</v>
      </c>
      <c r="AQ72" s="5117">
        <f t="shared" si="55"/>
        <v>3748.5599999999995</v>
      </c>
      <c r="AR72" s="5107">
        <f t="shared" si="56"/>
        <v>8160.4179999999997</v>
      </c>
      <c r="AS72" s="5154"/>
      <c r="AT72" s="5110"/>
      <c r="AU72" s="5116">
        <f t="shared" si="57"/>
        <v>0</v>
      </c>
      <c r="AV72" s="5115"/>
      <c r="AW72" s="5114">
        <f t="shared" si="58"/>
        <v>0</v>
      </c>
      <c r="AX72" s="5113"/>
      <c r="AY72" s="5113">
        <f t="shared" si="59"/>
        <v>0</v>
      </c>
      <c r="AZ72" s="5113"/>
      <c r="BA72" s="5114">
        <f t="shared" si="60"/>
        <v>1159</v>
      </c>
      <c r="BB72" s="5112"/>
      <c r="BC72" s="5112">
        <f t="shared" si="61"/>
        <v>1159</v>
      </c>
      <c r="BD72" s="5113"/>
      <c r="BE72" s="5114">
        <f t="shared" si="62"/>
        <v>0</v>
      </c>
      <c r="BF72" s="5111"/>
      <c r="BG72" s="5111">
        <f t="shared" si="63"/>
        <v>1159</v>
      </c>
      <c r="BH72" s="5113"/>
      <c r="BI72" s="5114">
        <f t="shared" si="64"/>
        <v>0</v>
      </c>
      <c r="BJ72" s="5111"/>
      <c r="BK72" s="5111">
        <f t="shared" si="65"/>
        <v>1159</v>
      </c>
      <c r="BL72" s="5113"/>
      <c r="BM72" s="5114">
        <f t="shared" si="66"/>
        <v>0</v>
      </c>
      <c r="BN72" s="5113"/>
      <c r="BO72" s="5112">
        <f t="shared" si="67"/>
        <v>0</v>
      </c>
      <c r="BP72" s="5113"/>
      <c r="BQ72" s="5136">
        <f t="shared" si="68"/>
        <v>1159</v>
      </c>
      <c r="BR72" s="5113"/>
      <c r="BS72" s="5114">
        <f t="shared" si="69"/>
        <v>0</v>
      </c>
      <c r="BT72" s="5113"/>
      <c r="BU72" s="5113">
        <f t="shared" si="70"/>
        <v>1159</v>
      </c>
      <c r="BV72" s="5113"/>
      <c r="BW72" s="5114">
        <f t="shared" si="71"/>
        <v>0</v>
      </c>
      <c r="BX72" s="5113"/>
      <c r="BY72" s="5113">
        <f t="shared" si="72"/>
        <v>1159</v>
      </c>
      <c r="BZ72" s="5113"/>
      <c r="CA72" s="5114">
        <f t="shared" si="73"/>
        <v>0</v>
      </c>
      <c r="CB72" s="5113"/>
      <c r="CC72" s="5112">
        <f t="shared" si="74"/>
        <v>0</v>
      </c>
      <c r="CD72" s="5113"/>
      <c r="CE72" s="5113">
        <f t="shared" si="75"/>
        <v>1159</v>
      </c>
      <c r="CF72" s="5113"/>
      <c r="CG72" s="5114">
        <f t="shared" si="76"/>
        <v>2615.018</v>
      </c>
      <c r="CH72" s="5113"/>
      <c r="CI72" s="5113">
        <f t="shared" si="77"/>
        <v>3774.018</v>
      </c>
      <c r="CJ72" s="5113"/>
      <c r="CK72" s="5114">
        <f t="shared" si="78"/>
        <v>2325.4</v>
      </c>
      <c r="CL72" s="5113"/>
      <c r="CM72" s="5113">
        <f t="shared" si="79"/>
        <v>6099.4179999999997</v>
      </c>
      <c r="CN72" s="5113"/>
      <c r="CO72" s="5114">
        <f t="shared" si="80"/>
        <v>2061</v>
      </c>
      <c r="CP72" s="5113"/>
      <c r="CQ72" s="5112">
        <f t="shared" si="81"/>
        <v>7001.4179999999997</v>
      </c>
      <c r="CR72" s="5113"/>
      <c r="CS72" s="5136">
        <f t="shared" si="82"/>
        <v>7001.4179999999997</v>
      </c>
      <c r="CT72" s="5111"/>
      <c r="CU72" s="5139">
        <f t="shared" si="83"/>
        <v>8160.4179999999997</v>
      </c>
      <c r="CV72" s="5138"/>
      <c r="CW72" s="5147"/>
    </row>
    <row r="73" spans="1:103" ht="16.5" thickBot="1" x14ac:dyDescent="0.3">
      <c r="A73" s="5170"/>
      <c r="B73" s="5170"/>
      <c r="C73" s="5170"/>
      <c r="D73" s="5170"/>
      <c r="E73" s="5158" t="s">
        <v>1349</v>
      </c>
      <c r="F73" s="5150">
        <v>2300</v>
      </c>
      <c r="G73" s="5108">
        <v>2188</v>
      </c>
      <c r="H73" s="5108">
        <v>2180</v>
      </c>
      <c r="I73" s="5157">
        <f>SUM(F73:H73)</f>
        <v>6668</v>
      </c>
      <c r="J73" s="5108">
        <v>2270</v>
      </c>
      <c r="K73" s="5108">
        <v>2103</v>
      </c>
      <c r="L73" s="5108">
        <v>1894.144</v>
      </c>
      <c r="M73" s="5157">
        <f>SUM(J73:L73)</f>
        <v>6267.1440000000002</v>
      </c>
      <c r="N73" s="5156">
        <f>+I73+M73</f>
        <v>12935.144</v>
      </c>
      <c r="O73" s="5104">
        <v>1729.252</v>
      </c>
      <c r="P73" s="5104">
        <v>14.798</v>
      </c>
      <c r="Q73" s="5108">
        <v>1643</v>
      </c>
      <c r="R73" s="5157">
        <f>SUM(O73:Q73)</f>
        <v>3387.05</v>
      </c>
      <c r="S73" s="5108">
        <v>2583.308</v>
      </c>
      <c r="T73" s="5108">
        <v>2154.1660000000002</v>
      </c>
      <c r="U73" s="5155">
        <v>1689</v>
      </c>
      <c r="V73" s="5157">
        <f>SUM(S73:U73)</f>
        <v>6426.4740000000002</v>
      </c>
      <c r="W73" s="5156">
        <f>+R73+V73</f>
        <v>9813.5240000000013</v>
      </c>
      <c r="X73" s="5120">
        <f>+F73+G73+H73+J73+K73+L73+O73+P73+Q73+S73+T73+U73</f>
        <v>22748.668000000001</v>
      </c>
      <c r="Y73" s="5119">
        <v>338</v>
      </c>
      <c r="Z73" s="5108">
        <v>528</v>
      </c>
      <c r="AA73" s="5108">
        <v>499</v>
      </c>
      <c r="AB73" s="5157">
        <f>+Y73+Z73+AA73</f>
        <v>1365</v>
      </c>
      <c r="AC73" s="5108">
        <v>476</v>
      </c>
      <c r="AD73" s="5108">
        <v>370</v>
      </c>
      <c r="AE73" s="5108">
        <v>602.49</v>
      </c>
      <c r="AF73" s="5118">
        <f>SUM(AC73:AE73)</f>
        <v>1448.49</v>
      </c>
      <c r="AG73" s="5156">
        <f>+AB73+AF73</f>
        <v>2813.49</v>
      </c>
      <c r="AH73" s="5104">
        <v>515.81600000000003</v>
      </c>
      <c r="AI73" s="5104">
        <v>27.481999999999999</v>
      </c>
      <c r="AJ73" s="5104">
        <v>561</v>
      </c>
      <c r="AK73" s="5157">
        <f>SUM(AH73:AJ73)</f>
        <v>1104.298</v>
      </c>
      <c r="AL73" s="5108">
        <v>596.14800000000002</v>
      </c>
      <c r="AM73" s="5108">
        <v>450.28199999999998</v>
      </c>
      <c r="AN73" s="5155">
        <v>478</v>
      </c>
      <c r="AO73" s="5157">
        <f>+AL73+AM73+AN73</f>
        <v>1524.43</v>
      </c>
      <c r="AP73" s="5156">
        <f>+AK73+AO73</f>
        <v>2628.7280000000001</v>
      </c>
      <c r="AQ73" s="5117">
        <f>SUM(Y73:AA73,AC73:AE73,AH73:AJ73,AL73:AN73)</f>
        <v>5442.2179999999998</v>
      </c>
      <c r="AR73" s="5107">
        <f>+X73+AQ73</f>
        <v>28190.886000000002</v>
      </c>
      <c r="AS73" s="5154"/>
      <c r="AT73" s="5110"/>
      <c r="AU73" s="5116">
        <f>+F73+Y73</f>
        <v>2638</v>
      </c>
      <c r="AV73" s="5115"/>
      <c r="AW73" s="5114">
        <f>+G73+Z73</f>
        <v>2716</v>
      </c>
      <c r="AX73" s="5113"/>
      <c r="AY73" s="5113">
        <f>AU73+AW73</f>
        <v>5354</v>
      </c>
      <c r="AZ73" s="5113"/>
      <c r="BA73" s="5114">
        <f>+H73+AA73</f>
        <v>2679</v>
      </c>
      <c r="BB73" s="5112"/>
      <c r="BC73" s="5112">
        <f>AU73+AW73+BA73</f>
        <v>8033</v>
      </c>
      <c r="BD73" s="5113"/>
      <c r="BE73" s="5114">
        <f>+J73+AC73</f>
        <v>2746</v>
      </c>
      <c r="BF73" s="5111"/>
      <c r="BG73" s="5111">
        <f>+BC73+BE73</f>
        <v>10779</v>
      </c>
      <c r="BH73" s="5113"/>
      <c r="BI73" s="5114">
        <f>K73+AD73</f>
        <v>2473</v>
      </c>
      <c r="BJ73" s="5111"/>
      <c r="BK73" s="5111">
        <f>+BG73+BI73</f>
        <v>13252</v>
      </c>
      <c r="BL73" s="5113"/>
      <c r="BM73" s="5114">
        <f>+L73+AE73</f>
        <v>2496.634</v>
      </c>
      <c r="BN73" s="5113"/>
      <c r="BO73" s="5112">
        <f>BE73+BI73+BM73</f>
        <v>7715.634</v>
      </c>
      <c r="BP73" s="5113"/>
      <c r="BQ73" s="5136">
        <f>BC73+BO73</f>
        <v>15748.634</v>
      </c>
      <c r="BR73" s="5113"/>
      <c r="BS73" s="5114">
        <f>+O73+AH73</f>
        <v>2245.0680000000002</v>
      </c>
      <c r="BT73" s="5113"/>
      <c r="BU73" s="5113">
        <f>BQ73+BS73</f>
        <v>17993.702000000001</v>
      </c>
      <c r="BV73" s="5113"/>
      <c r="BW73" s="5114">
        <f>+P73+AI73</f>
        <v>42.28</v>
      </c>
      <c r="BX73" s="5113"/>
      <c r="BY73" s="5113">
        <f>BU73+BW73</f>
        <v>18035.982</v>
      </c>
      <c r="BZ73" s="5113"/>
      <c r="CA73" s="5114">
        <f>+Q73+AJ73</f>
        <v>2204</v>
      </c>
      <c r="CB73" s="5113"/>
      <c r="CC73" s="5112">
        <f>BS73+BW73+CA73</f>
        <v>4491.348</v>
      </c>
      <c r="CD73" s="5113"/>
      <c r="CE73" s="5113">
        <f>BY73+CA73</f>
        <v>20239.982</v>
      </c>
      <c r="CF73" s="5113"/>
      <c r="CG73" s="5114">
        <f>+S73+AL73</f>
        <v>3179.4560000000001</v>
      </c>
      <c r="CH73" s="5113"/>
      <c r="CI73" s="5113">
        <f>CG73+CE73</f>
        <v>23419.438000000002</v>
      </c>
      <c r="CJ73" s="5113"/>
      <c r="CK73" s="5114">
        <f>+T73+AM73</f>
        <v>2604.4480000000003</v>
      </c>
      <c r="CL73" s="5113"/>
      <c r="CM73" s="5113">
        <f>CI73+CK73</f>
        <v>26023.886000000002</v>
      </c>
      <c r="CN73" s="5113"/>
      <c r="CO73" s="5114">
        <f>+U73+AN73</f>
        <v>2167</v>
      </c>
      <c r="CP73" s="5113"/>
      <c r="CQ73" s="5112">
        <f>CG73+CK73+CO73</f>
        <v>7950.9040000000005</v>
      </c>
      <c r="CR73" s="5113"/>
      <c r="CS73" s="5136">
        <f>CC73+CQ73</f>
        <v>12442.252</v>
      </c>
      <c r="CT73" s="5111"/>
      <c r="CU73" s="5139">
        <f>SUM(AU73,AW73,BA73,BE73,BI73,BM73,BS73,BW73,CA73,CG73,CK73,CO73)</f>
        <v>28190.886000000002</v>
      </c>
      <c r="CV73" s="5138"/>
      <c r="CW73" s="5147"/>
    </row>
    <row r="74" spans="1:103" ht="16.5" thickBot="1" x14ac:dyDescent="0.3">
      <c r="A74" s="5130"/>
      <c r="B74" s="5130"/>
      <c r="C74" s="5130"/>
      <c r="D74" s="5130"/>
      <c r="E74" s="5145" t="s">
        <v>2</v>
      </c>
      <c r="F74" s="5144">
        <f t="shared" ref="F74:AR74" si="84">SUM(F6:F73)</f>
        <v>83369</v>
      </c>
      <c r="G74" s="5144">
        <f t="shared" si="84"/>
        <v>60303</v>
      </c>
      <c r="H74" s="5144">
        <f t="shared" si="84"/>
        <v>55835</v>
      </c>
      <c r="I74" s="5144">
        <f t="shared" si="84"/>
        <v>199507</v>
      </c>
      <c r="J74" s="5144">
        <f t="shared" si="84"/>
        <v>84515</v>
      </c>
      <c r="K74" s="5144">
        <f t="shared" si="84"/>
        <v>73782</v>
      </c>
      <c r="L74" s="5144">
        <f t="shared" si="84"/>
        <v>81369.973999999973</v>
      </c>
      <c r="M74" s="5144">
        <f t="shared" si="84"/>
        <v>239666.97400000002</v>
      </c>
      <c r="N74" s="5144">
        <f t="shared" si="84"/>
        <v>439173.97400000005</v>
      </c>
      <c r="O74" s="5144">
        <f t="shared" si="84"/>
        <v>74374.747999999992</v>
      </c>
      <c r="P74" s="5144">
        <f t="shared" si="84"/>
        <v>3946.8379999999997</v>
      </c>
      <c r="Q74" s="5144">
        <f t="shared" si="84"/>
        <v>77262</v>
      </c>
      <c r="R74" s="5144">
        <f t="shared" si="84"/>
        <v>155583.58600000001</v>
      </c>
      <c r="S74" s="5144">
        <f t="shared" si="84"/>
        <v>90407.323999999993</v>
      </c>
      <c r="T74" s="5144">
        <f t="shared" si="84"/>
        <v>78213.771999999968</v>
      </c>
      <c r="U74" s="5144">
        <f t="shared" si="84"/>
        <v>78723</v>
      </c>
      <c r="V74" s="5144">
        <f t="shared" si="84"/>
        <v>247344.09599999999</v>
      </c>
      <c r="W74" s="5144">
        <f t="shared" si="84"/>
        <v>402927.68199999997</v>
      </c>
      <c r="X74" s="5144">
        <f t="shared" si="84"/>
        <v>842101.65600000008</v>
      </c>
      <c r="Y74" s="5144">
        <f t="shared" si="84"/>
        <v>83517</v>
      </c>
      <c r="Z74" s="5144">
        <f t="shared" si="84"/>
        <v>81652</v>
      </c>
      <c r="AA74" s="5144">
        <f t="shared" si="84"/>
        <v>57314</v>
      </c>
      <c r="AB74" s="5144">
        <f t="shared" si="84"/>
        <v>222483</v>
      </c>
      <c r="AC74" s="5144">
        <f t="shared" si="84"/>
        <v>91064</v>
      </c>
      <c r="AD74" s="5144">
        <f t="shared" si="84"/>
        <v>100092</v>
      </c>
      <c r="AE74" s="5144">
        <f t="shared" si="84"/>
        <v>93233.741999999998</v>
      </c>
      <c r="AF74" s="5144">
        <f t="shared" si="84"/>
        <v>284389.74199999997</v>
      </c>
      <c r="AG74" s="5144">
        <f t="shared" si="84"/>
        <v>506872.74199999997</v>
      </c>
      <c r="AH74" s="5144">
        <f t="shared" si="84"/>
        <v>93519.132000000012</v>
      </c>
      <c r="AI74" s="5144">
        <f t="shared" si="84"/>
        <v>3970.0920000000001</v>
      </c>
      <c r="AJ74" s="5144">
        <f t="shared" si="84"/>
        <v>98500</v>
      </c>
      <c r="AK74" s="5144">
        <f t="shared" si="84"/>
        <v>195989.22400000005</v>
      </c>
      <c r="AL74" s="5144">
        <f t="shared" si="84"/>
        <v>92624.91</v>
      </c>
      <c r="AM74" s="5144">
        <f t="shared" si="84"/>
        <v>85555.694000000003</v>
      </c>
      <c r="AN74" s="5144">
        <f t="shared" si="84"/>
        <v>93143</v>
      </c>
      <c r="AO74" s="5144">
        <f t="shared" si="84"/>
        <v>271323.60399999999</v>
      </c>
      <c r="AP74" s="5144">
        <f t="shared" si="84"/>
        <v>467312.82799999998</v>
      </c>
      <c r="AQ74" s="5144">
        <f t="shared" si="84"/>
        <v>974185.57000000018</v>
      </c>
      <c r="AR74" s="5144">
        <f t="shared" si="84"/>
        <v>1816287.2260000007</v>
      </c>
      <c r="AS74" s="5154"/>
      <c r="AT74" s="5143"/>
      <c r="AU74" s="5142">
        <f>SUM(AU6:AU73)</f>
        <v>166886</v>
      </c>
      <c r="AV74" s="5141"/>
      <c r="AW74" s="5106">
        <f t="shared" ref="AW74:CB74" si="85">SUM(AW6:AW73)</f>
        <v>141955</v>
      </c>
      <c r="AX74" s="5106">
        <f t="shared" si="85"/>
        <v>0</v>
      </c>
      <c r="AY74" s="5106">
        <f t="shared" si="85"/>
        <v>308841</v>
      </c>
      <c r="AZ74" s="5106">
        <f t="shared" si="85"/>
        <v>0</v>
      </c>
      <c r="BA74" s="5106">
        <f t="shared" si="85"/>
        <v>113149</v>
      </c>
      <c r="BB74" s="5140">
        <f t="shared" si="85"/>
        <v>0</v>
      </c>
      <c r="BC74" s="5140">
        <f t="shared" si="85"/>
        <v>421990</v>
      </c>
      <c r="BD74" s="5106">
        <f t="shared" si="85"/>
        <v>0</v>
      </c>
      <c r="BE74" s="5106">
        <f t="shared" si="85"/>
        <v>175579</v>
      </c>
      <c r="BF74" s="5139">
        <f t="shared" si="85"/>
        <v>0</v>
      </c>
      <c r="BG74" s="5139">
        <f t="shared" si="85"/>
        <v>597569</v>
      </c>
      <c r="BH74" s="5106">
        <f t="shared" si="85"/>
        <v>0</v>
      </c>
      <c r="BI74" s="5106">
        <f t="shared" si="85"/>
        <v>173874</v>
      </c>
      <c r="BJ74" s="5139">
        <f t="shared" si="85"/>
        <v>0</v>
      </c>
      <c r="BK74" s="5139">
        <f t="shared" si="85"/>
        <v>771443</v>
      </c>
      <c r="BL74" s="5106">
        <f t="shared" si="85"/>
        <v>0</v>
      </c>
      <c r="BM74" s="5106">
        <f t="shared" si="85"/>
        <v>174603.71600000001</v>
      </c>
      <c r="BN74" s="5106">
        <f t="shared" si="85"/>
        <v>0</v>
      </c>
      <c r="BO74" s="5140">
        <f t="shared" si="85"/>
        <v>524056.71599999996</v>
      </c>
      <c r="BP74" s="5106">
        <f t="shared" si="85"/>
        <v>0</v>
      </c>
      <c r="BQ74" s="5153">
        <f t="shared" si="85"/>
        <v>946046.7159999999</v>
      </c>
      <c r="BR74" s="5106">
        <f t="shared" si="85"/>
        <v>0</v>
      </c>
      <c r="BS74" s="5106">
        <f t="shared" si="85"/>
        <v>167893.88000000003</v>
      </c>
      <c r="BT74" s="5106">
        <f t="shared" si="85"/>
        <v>0</v>
      </c>
      <c r="BU74" s="5106">
        <f t="shared" si="85"/>
        <v>1113940.5960000001</v>
      </c>
      <c r="BV74" s="5106">
        <f t="shared" si="85"/>
        <v>0</v>
      </c>
      <c r="BW74" s="5106">
        <f t="shared" si="85"/>
        <v>7916.9299999999985</v>
      </c>
      <c r="BX74" s="5106">
        <f t="shared" si="85"/>
        <v>0</v>
      </c>
      <c r="BY74" s="5106">
        <f t="shared" si="85"/>
        <v>1121857.5260000003</v>
      </c>
      <c r="BZ74" s="5106">
        <f t="shared" si="85"/>
        <v>0</v>
      </c>
      <c r="CA74" s="5106">
        <f t="shared" si="85"/>
        <v>175762</v>
      </c>
      <c r="CB74" s="5106">
        <f t="shared" si="85"/>
        <v>0</v>
      </c>
      <c r="CC74" s="5140">
        <f t="shared" ref="CC74:CU74" si="86">SUM(CC6:CC73)</f>
        <v>351572.81000000011</v>
      </c>
      <c r="CD74" s="5106">
        <f t="shared" si="86"/>
        <v>0</v>
      </c>
      <c r="CE74" s="5106">
        <f t="shared" si="86"/>
        <v>1297619.5260000001</v>
      </c>
      <c r="CF74" s="5106">
        <f t="shared" si="86"/>
        <v>0</v>
      </c>
      <c r="CG74" s="5106">
        <f t="shared" si="86"/>
        <v>183032.23399999997</v>
      </c>
      <c r="CH74" s="5106">
        <f t="shared" si="86"/>
        <v>0</v>
      </c>
      <c r="CI74" s="5106">
        <f t="shared" si="86"/>
        <v>1480651.7599999998</v>
      </c>
      <c r="CJ74" s="5106">
        <f t="shared" si="86"/>
        <v>0</v>
      </c>
      <c r="CK74" s="5106">
        <f t="shared" si="86"/>
        <v>163769.46599999996</v>
      </c>
      <c r="CL74" s="5106">
        <f t="shared" si="86"/>
        <v>0</v>
      </c>
      <c r="CM74" s="5106">
        <f t="shared" si="86"/>
        <v>1644421.2260000005</v>
      </c>
      <c r="CN74" s="5106">
        <f t="shared" si="86"/>
        <v>0</v>
      </c>
      <c r="CO74" s="5106">
        <f t="shared" si="86"/>
        <v>171866</v>
      </c>
      <c r="CP74" s="5106">
        <f t="shared" si="86"/>
        <v>0</v>
      </c>
      <c r="CQ74" s="5140">
        <f t="shared" si="86"/>
        <v>518667.69999999995</v>
      </c>
      <c r="CR74" s="5106">
        <f t="shared" si="86"/>
        <v>0</v>
      </c>
      <c r="CS74" s="5153">
        <f t="shared" si="86"/>
        <v>870240.51</v>
      </c>
      <c r="CT74" s="5139">
        <f t="shared" si="86"/>
        <v>0</v>
      </c>
      <c r="CU74" s="5139">
        <f t="shared" si="86"/>
        <v>1816287.2260000007</v>
      </c>
      <c r="CV74" s="5138"/>
      <c r="CW74" s="5147"/>
      <c r="CY74" s="5147"/>
    </row>
    <row r="75" spans="1:103" hidden="1" x14ac:dyDescent="0.25">
      <c r="A75" s="5130"/>
      <c r="B75" s="5130"/>
      <c r="C75" s="5130"/>
      <c r="D75" s="5130"/>
      <c r="E75" s="5129"/>
      <c r="F75" s="5130"/>
      <c r="G75" s="5130"/>
      <c r="H75" s="5130"/>
      <c r="I75" s="5130"/>
      <c r="J75" s="5130"/>
      <c r="K75" s="5130"/>
      <c r="L75" s="5130"/>
      <c r="M75" s="5130"/>
      <c r="N75" s="5130"/>
      <c r="O75" s="5130"/>
      <c r="P75" s="5130"/>
      <c r="Q75" s="5130"/>
      <c r="R75" s="5130"/>
      <c r="S75" s="5130"/>
      <c r="T75" s="5130"/>
      <c r="U75" s="5130"/>
      <c r="V75" s="5130"/>
      <c r="W75" s="5130"/>
      <c r="X75" s="5130"/>
      <c r="Y75" s="5130"/>
      <c r="Z75" s="5130"/>
      <c r="AA75" s="5130"/>
      <c r="AB75" s="5130"/>
      <c r="AC75" s="5130"/>
      <c r="AD75" s="5130"/>
      <c r="AE75" s="5130"/>
      <c r="AF75" s="5130"/>
      <c r="AG75" s="5130"/>
      <c r="AH75" s="5130"/>
      <c r="AI75" s="5130"/>
      <c r="AJ75" s="5130"/>
      <c r="AK75" s="5130"/>
      <c r="AL75" s="5130"/>
      <c r="AM75" s="5130"/>
      <c r="AN75" s="5130"/>
      <c r="AO75" s="5130"/>
      <c r="AP75" s="5130"/>
      <c r="AQ75" s="5130"/>
      <c r="AR75" s="5130"/>
      <c r="AS75" s="5130"/>
      <c r="AT75" s="5130"/>
      <c r="AU75" s="5130"/>
      <c r="AV75" s="5130"/>
      <c r="AW75" s="5130"/>
      <c r="AX75" s="5130"/>
      <c r="AY75" s="5130"/>
      <c r="AZ75" s="5130"/>
      <c r="BA75" s="5130"/>
      <c r="BB75" s="5130"/>
      <c r="BC75" s="5130"/>
      <c r="BD75" s="5130"/>
      <c r="BE75" s="5130"/>
      <c r="BF75" s="5130"/>
      <c r="BG75" s="5130"/>
      <c r="BH75" s="5130"/>
      <c r="BI75" s="5130"/>
      <c r="BJ75" s="5130"/>
      <c r="BK75" s="5130"/>
      <c r="BL75" s="5130"/>
      <c r="BM75" s="5130"/>
      <c r="BN75" s="5130"/>
      <c r="BO75" s="5130"/>
      <c r="BP75" s="5130"/>
      <c r="BQ75" s="5130"/>
      <c r="BR75" s="5130"/>
      <c r="BS75" s="5130"/>
      <c r="BT75" s="5130"/>
      <c r="BU75" s="5130"/>
      <c r="BV75" s="5130"/>
      <c r="BW75" s="5130"/>
      <c r="BX75" s="5130"/>
      <c r="BY75" s="5130"/>
      <c r="BZ75" s="5130"/>
      <c r="CA75" s="5130"/>
      <c r="CB75" s="5130"/>
      <c r="CC75" s="5130"/>
      <c r="CD75" s="5130"/>
      <c r="CE75" s="5130"/>
      <c r="CF75" s="5130"/>
      <c r="CG75" s="5130"/>
      <c r="CH75" s="5130"/>
      <c r="CI75" s="5130"/>
      <c r="CJ75" s="5130"/>
      <c r="CK75" s="5130"/>
      <c r="CL75" s="5130"/>
      <c r="CM75" s="5130"/>
      <c r="CN75" s="5130"/>
      <c r="CO75" s="5130"/>
      <c r="CP75" s="5130"/>
      <c r="CQ75" s="5130"/>
      <c r="CR75" s="5130"/>
      <c r="CS75" s="5130"/>
      <c r="CT75" s="5130"/>
      <c r="CU75" s="5128"/>
      <c r="CV75" s="5127"/>
    </row>
    <row r="76" spans="1:103" hidden="1" x14ac:dyDescent="0.25">
      <c r="A76" s="5130"/>
      <c r="B76" s="5130"/>
      <c r="C76" s="5130"/>
      <c r="D76" s="5130"/>
      <c r="E76" s="5129" t="s">
        <v>1111</v>
      </c>
      <c r="F76" s="5137">
        <f>+F74-SMS!F29</f>
        <v>20949</v>
      </c>
      <c r="G76" s="5137">
        <f>+G74-SMS!H29</f>
        <v>-21149.42</v>
      </c>
      <c r="H76" s="5137">
        <f>+H74-SMS!L29</f>
        <v>0</v>
      </c>
      <c r="I76" s="5137">
        <f>+I74-SMS!N29</f>
        <v>-200.4199999999837</v>
      </c>
      <c r="J76" s="5137">
        <f>+J74-SMS!P29</f>
        <v>-0.58999999999650754</v>
      </c>
      <c r="K76" s="5137">
        <f>+K74-SMS!T29</f>
        <v>-157</v>
      </c>
      <c r="L76" s="5109"/>
      <c r="M76" s="5109"/>
      <c r="N76" s="5109"/>
      <c r="O76" s="5109"/>
      <c r="P76" s="5109"/>
      <c r="Q76" s="5109"/>
      <c r="R76" s="5109"/>
      <c r="S76" s="5109"/>
      <c r="T76" s="5109"/>
      <c r="U76" s="5109"/>
      <c r="V76" s="5109"/>
      <c r="W76" s="5109"/>
      <c r="X76" s="5137"/>
      <c r="Y76" s="5137"/>
      <c r="Z76" s="5137"/>
      <c r="AA76" s="5137"/>
      <c r="AB76" s="5137"/>
      <c r="AC76" s="5137"/>
      <c r="AD76" s="5137"/>
      <c r="AE76" s="5137"/>
      <c r="AF76" s="5137"/>
      <c r="AG76" s="5109"/>
      <c r="AH76" s="5109"/>
      <c r="AI76" s="5137"/>
      <c r="AJ76" s="5109"/>
      <c r="AK76" s="5109"/>
      <c r="AL76" s="5109"/>
      <c r="AM76" s="5109"/>
      <c r="AN76" s="5109"/>
      <c r="AO76" s="5109"/>
      <c r="AP76" s="5109"/>
      <c r="AQ76" s="5137"/>
      <c r="AR76" s="5137"/>
      <c r="AS76" s="5137"/>
      <c r="AT76" s="5130"/>
      <c r="AU76" s="5137">
        <f>+AU74-(SMS!F29+SMS!F32)</f>
        <v>17769</v>
      </c>
      <c r="AV76" s="5137"/>
      <c r="AW76" s="5137">
        <f>+AW74-(SMS!H29+SMS!H32)</f>
        <v>-33090.539999999979</v>
      </c>
      <c r="AX76" s="5137"/>
      <c r="AY76" s="5137"/>
      <c r="AZ76" s="5137"/>
      <c r="BA76" s="5137">
        <f>+BA74-(SMS!L29+SMS!L32)</f>
        <v>1</v>
      </c>
      <c r="BB76" s="5137"/>
      <c r="BC76" s="5137"/>
      <c r="BD76" s="5137"/>
      <c r="BE76" s="5137">
        <f>+BE74-(SMS!P29+SMS!P32)</f>
        <v>-1.3599999999860302</v>
      </c>
      <c r="BF76" s="5137"/>
      <c r="BG76" s="5137"/>
      <c r="BH76" s="5137"/>
      <c r="BI76" s="5137">
        <f>+BI74-(SMS!T29+SMS!T32)</f>
        <v>0</v>
      </c>
      <c r="BJ76" s="5137"/>
      <c r="BK76" s="5137">
        <f>+BK74-(SMS!V29+SMS!V32)</f>
        <v>-15321.900000000023</v>
      </c>
      <c r="BL76" s="5137"/>
      <c r="BM76" s="5137">
        <f>+BM74-(SMS!X29+SMS!X32)</f>
        <v>-0.28399999998509884</v>
      </c>
      <c r="BN76" s="5137">
        <f>+BN74-(SMS!Y29+SMS!Y32)</f>
        <v>-381960</v>
      </c>
      <c r="BO76" s="5137">
        <f>+BO74-(SMS!Z29+SMS!Z32)</f>
        <v>-1.6440000000293367</v>
      </c>
      <c r="BP76" s="5137">
        <f>+BP74-(SMS!AA29+SMS!AA32)</f>
        <v>-835718.32036495896</v>
      </c>
      <c r="BQ76" s="5137">
        <f>+BQ74-(SMS!AB29+SMS!AB32)</f>
        <v>-15322.184000000125</v>
      </c>
      <c r="BR76" s="5137"/>
      <c r="BS76" s="5137">
        <f>+BS74-(SMS!AD29+SMS!AD32)</f>
        <v>-0.11999999996623956</v>
      </c>
      <c r="BT76" s="5137">
        <f>+BT74-(SMS!AE29+SMS!AE32)</f>
        <v>-1013468.320364959</v>
      </c>
      <c r="BU76" s="5137">
        <f>+BU74-(SMS!AF29+SMS!AF32)</f>
        <v>-15322.303999999771</v>
      </c>
      <c r="BV76" s="5137">
        <f>+BV74-(SMS!AG29+SMS!AG32)</f>
        <v>-171825</v>
      </c>
      <c r="BW76" s="5137">
        <f>+BW74-(SMS!AH29+SMS!AH32)</f>
        <v>-7.0000000001527951E-2</v>
      </c>
      <c r="BX76" s="5137">
        <f>+BX74-(SMS!AI29+SMS!AI32)</f>
        <v>-1185293.3203649591</v>
      </c>
      <c r="BY76" s="5137">
        <f>+BY74-(SMS!AJ29+SMS!AJ32)</f>
        <v>-15322.373999999603</v>
      </c>
      <c r="BZ76" s="5137">
        <f>+BZ74-(SMS!AK29+SMS!AK32)</f>
        <v>-177840.45</v>
      </c>
      <c r="CA76" s="5137">
        <f>+CA74-(SMS!AL29+SMS!AL32)</f>
        <v>1.6300000000046566</v>
      </c>
      <c r="CB76" s="5137">
        <f>+CB74-(SMS!AM29+SMS!AM32)</f>
        <v>-527415.44999999995</v>
      </c>
      <c r="CC76" s="5137">
        <f>+CC74-(SMS!AN29+SMS!AN32)</f>
        <v>1.4400000001187436</v>
      </c>
      <c r="CD76" s="5137">
        <f>+CD74-(SMS!AO29+SMS!AO32)</f>
        <v>-1363133.770364959</v>
      </c>
      <c r="CE76" s="5137">
        <f>+CE74-(SMS!AP29+SMS!AP32)</f>
        <v>-15320.743999999948</v>
      </c>
      <c r="CF76" s="5137">
        <f>+CF74-(SMS!AQ29+SMS!AQ32)</f>
        <v>-177750</v>
      </c>
      <c r="CG76" s="5137">
        <f>+CG74-(SMS!AR29+SMS!AR32)</f>
        <v>0.23399999996763654</v>
      </c>
      <c r="CH76" s="5137">
        <f>+CH74-(SMS!AS29+SMS!AS32)</f>
        <v>-1540883.770364959</v>
      </c>
      <c r="CI76" s="5137">
        <f>+CI74-(SMS!AT29+SMS!AT32)</f>
        <v>-15320.510000000242</v>
      </c>
      <c r="CJ76" s="5137">
        <f>+CJ74-(SMS!AU29+SMS!AU32)</f>
        <v>-159975</v>
      </c>
      <c r="CK76" s="5137">
        <f>+CK74-(SMS!AV29+SMS!AV32)</f>
        <v>-0.5340000000433065</v>
      </c>
      <c r="CL76" s="5137">
        <f>+CL74-(SMS!AW29+SMS!AW32)</f>
        <v>-1700858.770364959</v>
      </c>
      <c r="CM76" s="5137">
        <f>+CM74-(SMS!AX29+SMS!AX32)</f>
        <v>-15321.043999999529</v>
      </c>
      <c r="CN76" s="5137">
        <f>+CN74-(SMS!AY29+SMS!AY32)</f>
        <v>-177750</v>
      </c>
      <c r="CO76" s="5137">
        <f>+CO74-(SMS!AZ29+SMS!AZ32)</f>
        <v>0</v>
      </c>
      <c r="CP76" s="5137">
        <f>+CP74-(SMS!BA29+SMS!BA32)</f>
        <v>-515475</v>
      </c>
      <c r="CQ76" s="5137">
        <f>+CQ74-(SMS!BB29+SMS!BB32)</f>
        <v>-0.30000000004656613</v>
      </c>
      <c r="CR76" s="5137">
        <f>+CR74-(SMS!BC29+SMS!BC32)</f>
        <v>-1042890.45</v>
      </c>
      <c r="CS76" s="5137">
        <f>+CS74-(SMS!BD29+SMS!BD32)</f>
        <v>1.1400000000139698</v>
      </c>
      <c r="CT76" s="5137">
        <f>+CT74-(SMS!BE29+SMS!BE32)</f>
        <v>-1878608.770364959</v>
      </c>
      <c r="CU76" s="5137">
        <f>+CU74-(SMS!BF29+SMS!BF32)</f>
        <v>-15321.043999999296</v>
      </c>
      <c r="CV76" s="5127"/>
    </row>
    <row r="77" spans="1:103" hidden="1" x14ac:dyDescent="0.25">
      <c r="A77" s="5130"/>
      <c r="B77" s="5130"/>
      <c r="C77" s="5130"/>
      <c r="D77" s="5130"/>
      <c r="E77" s="5129"/>
      <c r="F77" s="5130"/>
      <c r="G77" s="5130"/>
      <c r="H77" s="5130"/>
      <c r="I77" s="5130"/>
      <c r="J77" s="5130"/>
      <c r="K77" s="5130"/>
      <c r="L77" s="5130"/>
      <c r="M77" s="5130"/>
      <c r="N77" s="5130"/>
      <c r="O77" s="5130"/>
      <c r="P77" s="5130"/>
      <c r="Q77" s="5130"/>
      <c r="R77" s="5130"/>
      <c r="S77" s="5130"/>
      <c r="T77" s="5130"/>
      <c r="U77" s="5130"/>
      <c r="V77" s="5130"/>
      <c r="W77" s="5130"/>
      <c r="X77" s="5130"/>
      <c r="Y77" s="5130"/>
      <c r="Z77" s="5130"/>
      <c r="AA77" s="5130"/>
      <c r="AB77" s="5130"/>
      <c r="AC77" s="5130"/>
      <c r="AD77" s="5130"/>
      <c r="AE77" s="5130"/>
      <c r="AF77" s="5130"/>
      <c r="AG77" s="5130"/>
      <c r="AH77" s="5130"/>
      <c r="AI77" s="5130"/>
      <c r="AJ77" s="5130"/>
      <c r="AK77" s="5130"/>
      <c r="AL77" s="5130"/>
      <c r="AM77" s="5130"/>
      <c r="AN77" s="5130"/>
      <c r="AO77" s="5130"/>
      <c r="AP77" s="5130"/>
      <c r="AQ77" s="5130"/>
      <c r="AR77" s="5130"/>
      <c r="AS77" s="5130"/>
      <c r="AT77" s="5130"/>
      <c r="AU77" s="5130"/>
      <c r="AV77" s="5130"/>
      <c r="AW77" s="5130"/>
      <c r="AX77" s="5130"/>
      <c r="AY77" s="5130"/>
      <c r="AZ77" s="5130"/>
      <c r="BA77" s="5130"/>
      <c r="BB77" s="5130"/>
      <c r="BC77" s="5130"/>
      <c r="BD77" s="5130"/>
      <c r="BE77" s="5130"/>
      <c r="BF77" s="5130"/>
      <c r="BG77" s="5130"/>
      <c r="BH77" s="5130"/>
      <c r="BI77" s="5130"/>
      <c r="BJ77" s="5130"/>
      <c r="BK77" s="5130"/>
      <c r="BL77" s="5130"/>
      <c r="BM77" s="5130"/>
      <c r="BN77" s="5130"/>
      <c r="BO77" s="5130"/>
      <c r="BP77" s="5130"/>
      <c r="BQ77" s="5130"/>
      <c r="BR77" s="5130"/>
      <c r="BS77" s="5130"/>
      <c r="BT77" s="5130"/>
      <c r="BU77" s="5130"/>
      <c r="BV77" s="5130"/>
      <c r="BW77" s="5130"/>
      <c r="BX77" s="5130"/>
      <c r="BY77" s="5130"/>
      <c r="BZ77" s="5130"/>
      <c r="CA77" s="5130"/>
      <c r="CB77" s="5130"/>
      <c r="CC77" s="5130"/>
      <c r="CD77" s="5130"/>
      <c r="CE77" s="5130"/>
      <c r="CF77" s="5130"/>
      <c r="CG77" s="5130"/>
      <c r="CH77" s="5130"/>
      <c r="CI77" s="5130"/>
      <c r="CJ77" s="5130"/>
      <c r="CK77" s="5130"/>
      <c r="CL77" s="5130"/>
      <c r="CM77" s="5130"/>
      <c r="CN77" s="5130"/>
      <c r="CO77" s="5130"/>
      <c r="CP77" s="5130"/>
      <c r="CQ77" s="5130"/>
      <c r="CR77" s="5130"/>
      <c r="CS77" s="5130"/>
      <c r="CT77" s="5130"/>
      <c r="CU77" s="5128"/>
      <c r="CV77" s="5127"/>
    </row>
    <row r="78" spans="1:103" hidden="1" x14ac:dyDescent="0.25">
      <c r="AP78" s="5147"/>
    </row>
    <row r="79" spans="1:103" x14ac:dyDescent="0.25">
      <c r="AU79" s="5147"/>
      <c r="AV79" s="5147"/>
      <c r="AW79" s="5147"/>
      <c r="AX79" s="5147"/>
      <c r="AY79" s="5147"/>
      <c r="AZ79" s="5147"/>
      <c r="BA79" s="5147"/>
      <c r="BB79" s="5147"/>
      <c r="BC79" s="5147"/>
      <c r="BD79" s="5147"/>
      <c r="BE79" s="5147"/>
      <c r="BF79" s="5147"/>
      <c r="BG79" s="5147"/>
      <c r="BH79" s="5147"/>
      <c r="BI79" s="5147"/>
      <c r="BJ79" s="5147"/>
      <c r="BK79" s="5147"/>
      <c r="BL79" s="5147"/>
      <c r="BM79" s="5147"/>
      <c r="BN79" s="5147"/>
      <c r="BO79" s="5147"/>
      <c r="BP79" s="5147"/>
      <c r="BQ79" s="5147"/>
      <c r="BR79" s="5147"/>
      <c r="BS79" s="5147"/>
      <c r="BT79" s="5147"/>
      <c r="BU79" s="5147"/>
      <c r="BV79" s="5147"/>
    </row>
    <row r="80" spans="1:103" ht="21" x14ac:dyDescent="0.35">
      <c r="E80" s="6785" t="s">
        <v>2206</v>
      </c>
      <c r="F80" s="5147"/>
      <c r="O80" s="5147"/>
    </row>
    <row r="81" spans="6:34" x14ac:dyDescent="0.25">
      <c r="F81" s="5147"/>
      <c r="AH81" s="5147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57"/>
  <sheetViews>
    <sheetView topLeftCell="E40" zoomScaleNormal="100" workbookViewId="0">
      <pane xSplit="1" topLeftCell="F1" activePane="topRight" state="frozen"/>
      <selection activeCell="G62" sqref="G62"/>
      <selection pane="topRight" activeCell="E40" sqref="E40"/>
    </sheetView>
  </sheetViews>
  <sheetFormatPr defaultColWidth="9.140625" defaultRowHeight="15.75" x14ac:dyDescent="0.25"/>
  <cols>
    <col min="1" max="4" width="9.140625" style="1158"/>
    <col min="5" max="5" width="55.140625" style="1158" bestFit="1" customWidth="1"/>
    <col min="6" max="6" width="15.5703125" style="1158" customWidth="1"/>
    <col min="7" max="7" width="11.85546875" style="1158" customWidth="1"/>
    <col min="8" max="8" width="10.42578125" style="1158" hidden="1" customWidth="1"/>
    <col min="9" max="10" width="9.7109375" style="1158" hidden="1" customWidth="1"/>
    <col min="11" max="12" width="8.42578125" style="1158" hidden="1" customWidth="1"/>
    <col min="13" max="14" width="7.85546875" style="1158" hidden="1" customWidth="1"/>
    <col min="15" max="15" width="8.42578125" style="1158" hidden="1" customWidth="1"/>
    <col min="16" max="16" width="9.85546875" style="1158" hidden="1" customWidth="1"/>
    <col min="17" max="17" width="8.42578125" style="1158" hidden="1" customWidth="1"/>
    <col min="18" max="23" width="9.85546875" style="1158" hidden="1" customWidth="1"/>
    <col min="24" max="24" width="12" style="1158" hidden="1" customWidth="1"/>
    <col min="25" max="25" width="12" style="1158" customWidth="1"/>
    <col min="26" max="26" width="9.140625" style="1158" customWidth="1"/>
    <col min="27" max="29" width="8.28515625" style="1158" hidden="1" customWidth="1"/>
    <col min="30" max="30" width="8.7109375" style="1158" hidden="1" customWidth="1"/>
    <col min="31" max="34" width="8.28515625" style="1158" hidden="1" customWidth="1"/>
    <col min="35" max="35" width="8.85546875" style="1158" hidden="1" customWidth="1"/>
    <col min="36" max="38" width="8.28515625" style="1158" hidden="1" customWidth="1"/>
    <col min="39" max="39" width="8.140625" style="1158" hidden="1" customWidth="1"/>
    <col min="40" max="40" width="9.42578125" style="1158" hidden="1" customWidth="1"/>
    <col min="41" max="42" width="8.28515625" style="1158" hidden="1" customWidth="1"/>
    <col min="43" max="43" width="9" style="1158" hidden="1" customWidth="1"/>
    <col min="44" max="44" width="13.28515625" style="1158" hidden="1" customWidth="1"/>
    <col min="45" max="45" width="13.28515625" style="5146" hidden="1" customWidth="1"/>
    <col min="46" max="46" width="5.42578125" style="1158" hidden="1" customWidth="1"/>
    <col min="47" max="47" width="16" style="1158" customWidth="1"/>
    <col min="48" max="48" width="16" style="1158" hidden="1" customWidth="1"/>
    <col min="49" max="49" width="11.42578125" style="1158" customWidth="1"/>
    <col min="50" max="50" width="18.140625" style="1158" hidden="1" customWidth="1"/>
    <col min="51" max="51" width="18.140625" style="1158" customWidth="1"/>
    <col min="52" max="52" width="18.140625" style="1158" hidden="1" customWidth="1"/>
    <col min="53" max="98" width="10.140625" style="1158" hidden="1" customWidth="1"/>
    <col min="99" max="99" width="10.7109375" style="1158" hidden="1" customWidth="1"/>
    <col min="100" max="100" width="10.7109375" style="1158" customWidth="1"/>
    <col min="101" max="102" width="9.140625" style="1158" customWidth="1"/>
    <col min="103" max="103" width="44.42578125" style="1158" customWidth="1"/>
    <col min="104" max="104" width="9.140625" style="1158" customWidth="1"/>
    <col min="105" max="105" width="12" style="1158" customWidth="1"/>
    <col min="106" max="16384" width="9.140625" style="1158"/>
  </cols>
  <sheetData>
    <row r="1" spans="1:101" x14ac:dyDescent="0.25">
      <c r="A1" s="5130"/>
      <c r="B1" s="5130"/>
      <c r="C1" s="5130"/>
      <c r="D1" s="5130"/>
      <c r="E1" s="5129" t="s">
        <v>2322</v>
      </c>
      <c r="F1" s="5130"/>
      <c r="G1" s="5130"/>
      <c r="H1" s="5130"/>
      <c r="I1" s="5130"/>
      <c r="J1" s="5130"/>
      <c r="K1" s="5130"/>
      <c r="L1" s="5130"/>
      <c r="M1" s="5130"/>
      <c r="N1" s="5130"/>
      <c r="O1" s="5130"/>
      <c r="P1" s="5130"/>
      <c r="Q1" s="5130"/>
      <c r="R1" s="5130"/>
      <c r="S1" s="5128"/>
      <c r="T1" s="5128"/>
      <c r="U1" s="5128"/>
      <c r="V1" s="5128"/>
      <c r="W1" s="5128"/>
      <c r="X1" s="5130"/>
      <c r="Y1" s="5130"/>
      <c r="Z1" s="5130"/>
      <c r="AA1" s="5130"/>
      <c r="AB1" s="5130"/>
      <c r="AC1" s="5130"/>
      <c r="AD1" s="5130"/>
      <c r="AE1" s="5130"/>
      <c r="AF1" s="5130"/>
      <c r="AG1" s="5130"/>
      <c r="AH1" s="5130"/>
      <c r="AI1" s="5130"/>
      <c r="AJ1" s="5130"/>
      <c r="AK1" s="5130"/>
      <c r="AL1" s="5128"/>
      <c r="AM1" s="5128"/>
      <c r="AN1" s="5128"/>
      <c r="AO1" s="5128"/>
      <c r="AP1" s="5128"/>
      <c r="AQ1" s="5128"/>
      <c r="AR1" s="5130"/>
      <c r="AS1" s="5130"/>
      <c r="AT1" s="5130"/>
      <c r="AU1" s="5130"/>
      <c r="AV1" s="5130"/>
      <c r="AW1" s="5130"/>
      <c r="AX1" s="5130"/>
      <c r="AY1" s="5130"/>
      <c r="AZ1" s="5130"/>
      <c r="BA1" s="5130"/>
      <c r="BB1" s="5130"/>
      <c r="BC1" s="5130"/>
      <c r="BD1" s="5130"/>
      <c r="BE1" s="5130"/>
      <c r="BF1" s="5130"/>
      <c r="BG1" s="5130"/>
      <c r="BH1" s="5130"/>
      <c r="BI1" s="5130"/>
      <c r="BJ1" s="5130"/>
      <c r="BK1" s="5130"/>
      <c r="BL1" s="5130"/>
      <c r="BM1" s="5130"/>
      <c r="BN1" s="5130"/>
      <c r="BO1" s="5130"/>
      <c r="BP1" s="5130"/>
      <c r="BQ1" s="5130"/>
      <c r="BR1" s="5130"/>
      <c r="BS1" s="5130"/>
      <c r="BT1" s="5130"/>
      <c r="BU1" s="5130"/>
      <c r="BV1" s="5130"/>
      <c r="BW1" s="5130"/>
      <c r="BX1" s="5130"/>
      <c r="BY1" s="5130"/>
      <c r="BZ1" s="5130"/>
      <c r="CA1" s="5130"/>
      <c r="CB1" s="5130"/>
      <c r="CC1" s="5130"/>
      <c r="CD1" s="5130"/>
      <c r="CE1" s="5130"/>
      <c r="CF1" s="5130"/>
      <c r="CG1" s="5130"/>
      <c r="CH1" s="5130"/>
      <c r="CI1" s="5130"/>
      <c r="CJ1" s="5130"/>
      <c r="CK1" s="5130"/>
      <c r="CL1" s="5130"/>
      <c r="CM1" s="5130"/>
      <c r="CN1" s="5130"/>
      <c r="CO1" s="5130"/>
      <c r="CP1" s="5130"/>
      <c r="CQ1" s="5130"/>
      <c r="CR1" s="5130"/>
      <c r="CS1" s="5130"/>
      <c r="CT1" s="5130"/>
      <c r="CU1" s="5130"/>
      <c r="CV1" s="5130"/>
    </row>
    <row r="2" spans="1:101" ht="18.75" x14ac:dyDescent="0.25">
      <c r="A2" s="5130"/>
      <c r="B2" s="5130"/>
      <c r="C2" s="5130"/>
      <c r="D2" s="5130"/>
      <c r="E2" s="7737" t="s">
        <v>2284</v>
      </c>
      <c r="F2" s="7737"/>
      <c r="G2" s="7737"/>
      <c r="H2" s="7737"/>
      <c r="I2" s="7737"/>
      <c r="J2" s="7737"/>
      <c r="K2" s="7737"/>
      <c r="L2" s="7737"/>
      <c r="M2" s="7737"/>
      <c r="N2" s="7737"/>
      <c r="O2" s="7737"/>
      <c r="P2" s="7737"/>
      <c r="Q2" s="7737"/>
      <c r="R2" s="7737"/>
      <c r="S2" s="7737"/>
      <c r="T2" s="7737"/>
      <c r="U2" s="7737"/>
      <c r="V2" s="7737"/>
      <c r="W2" s="7737"/>
      <c r="X2" s="7737"/>
      <c r="Y2" s="7737"/>
      <c r="Z2" s="7737"/>
      <c r="AA2" s="7737"/>
      <c r="AB2" s="7737"/>
      <c r="AC2" s="7737"/>
      <c r="AD2" s="7737"/>
      <c r="AE2" s="7737"/>
      <c r="AF2" s="7737"/>
      <c r="AG2" s="7737"/>
      <c r="AH2" s="7737"/>
      <c r="AI2" s="7737"/>
      <c r="AJ2" s="7737"/>
      <c r="AK2" s="7737"/>
      <c r="AL2" s="7737"/>
      <c r="AM2" s="7737"/>
      <c r="AN2" s="7737"/>
      <c r="AO2" s="7737"/>
      <c r="AP2" s="7737"/>
      <c r="AQ2" s="7737"/>
      <c r="AR2" s="7737"/>
      <c r="AS2" s="7737"/>
      <c r="AT2" s="7737"/>
      <c r="AU2" s="7737"/>
      <c r="AV2" s="7737"/>
      <c r="AW2" s="7737"/>
      <c r="AX2" s="7737"/>
      <c r="AY2" s="7737"/>
      <c r="AZ2" s="7737"/>
      <c r="BA2" s="7737"/>
      <c r="BB2" s="7737"/>
      <c r="BC2" s="7737"/>
      <c r="BD2" s="7737"/>
      <c r="BE2" s="7737"/>
      <c r="BF2" s="7737"/>
      <c r="BG2" s="7737"/>
      <c r="BH2" s="7737"/>
      <c r="BI2" s="7737"/>
      <c r="BJ2" s="7737"/>
      <c r="BK2" s="7737"/>
      <c r="BL2" s="7737"/>
      <c r="BM2" s="7737"/>
      <c r="BN2" s="7737"/>
      <c r="BO2" s="7737"/>
      <c r="BP2" s="7737"/>
      <c r="BQ2" s="7737"/>
      <c r="BR2" s="7737"/>
      <c r="BS2" s="7737"/>
      <c r="BT2" s="7737"/>
      <c r="BU2" s="7737"/>
      <c r="BV2" s="7737"/>
      <c r="BW2" s="7737"/>
      <c r="BX2" s="7737"/>
      <c r="BY2" s="7737"/>
      <c r="BZ2" s="7737"/>
      <c r="CA2" s="7737"/>
      <c r="CB2" s="7737"/>
      <c r="CC2" s="7737"/>
      <c r="CD2" s="7737"/>
      <c r="CE2" s="7737"/>
      <c r="CF2" s="7737"/>
      <c r="CG2" s="7737"/>
      <c r="CH2" s="7737"/>
      <c r="CI2" s="7737"/>
      <c r="CJ2" s="7737"/>
      <c r="CK2" s="7737"/>
      <c r="CL2" s="7737"/>
      <c r="CM2" s="7737"/>
      <c r="CN2" s="7737"/>
      <c r="CO2" s="7737"/>
      <c r="CP2" s="7737"/>
      <c r="CQ2" s="7737"/>
      <c r="CR2" s="7737"/>
      <c r="CS2" s="7737"/>
      <c r="CT2" s="7737"/>
      <c r="CU2" s="7737"/>
      <c r="CV2" s="5171"/>
    </row>
    <row r="3" spans="1:101" ht="16.5" thickBot="1" x14ac:dyDescent="0.3">
      <c r="A3" s="5130"/>
      <c r="B3" s="5130"/>
      <c r="C3" s="5130"/>
      <c r="D3" s="5130"/>
      <c r="E3" s="5129"/>
      <c r="F3" s="5130"/>
      <c r="G3" s="5130"/>
      <c r="H3" s="5130"/>
      <c r="I3" s="5130"/>
      <c r="J3" s="5130"/>
      <c r="K3" s="5130"/>
      <c r="L3" s="5130"/>
      <c r="M3" s="5130"/>
      <c r="N3" s="5130"/>
      <c r="O3" s="5130"/>
      <c r="P3" s="5130"/>
      <c r="Q3" s="5130"/>
      <c r="R3" s="5130"/>
      <c r="S3" s="5130"/>
      <c r="T3" s="5130"/>
      <c r="U3" s="5130"/>
      <c r="V3" s="5130"/>
      <c r="W3" s="5130"/>
      <c r="X3" s="5130"/>
      <c r="Y3" s="5130"/>
      <c r="Z3" s="5130"/>
      <c r="AA3" s="5130"/>
      <c r="AB3" s="5130"/>
      <c r="AC3" s="5130"/>
      <c r="AD3" s="5130"/>
      <c r="AE3" s="5130"/>
      <c r="AF3" s="5130"/>
      <c r="AG3" s="5130"/>
      <c r="AH3" s="5130"/>
      <c r="AI3" s="5130"/>
      <c r="AJ3" s="5130"/>
      <c r="AK3" s="5130"/>
      <c r="AL3" s="5130"/>
      <c r="AM3" s="5130"/>
      <c r="AN3" s="5130"/>
      <c r="AO3" s="5130"/>
      <c r="AP3" s="5130"/>
      <c r="AQ3" s="5130"/>
      <c r="AR3" s="5130"/>
      <c r="AS3" s="5130"/>
      <c r="AT3" s="5130"/>
      <c r="AU3" s="5130"/>
      <c r="AV3" s="5130"/>
      <c r="AW3" s="5130"/>
      <c r="AX3" s="5130"/>
      <c r="AY3" s="5130"/>
      <c r="AZ3" s="5130"/>
      <c r="BA3" s="5130"/>
      <c r="BB3" s="5130"/>
      <c r="BC3" s="5130"/>
      <c r="BD3" s="5130"/>
      <c r="BE3" s="5130"/>
      <c r="BF3" s="5130"/>
      <c r="BG3" s="5130"/>
      <c r="BH3" s="5130"/>
      <c r="BI3" s="5130"/>
      <c r="BJ3" s="5130"/>
      <c r="BK3" s="5130"/>
      <c r="BL3" s="5130"/>
      <c r="BM3" s="5128"/>
      <c r="BN3" s="5128"/>
      <c r="BO3" s="5128"/>
      <c r="BP3" s="5128"/>
      <c r="BQ3" s="5128"/>
      <c r="BR3" s="5128"/>
      <c r="BS3" s="5130"/>
      <c r="BT3" s="5130"/>
      <c r="BU3" s="5130"/>
      <c r="BV3" s="5130"/>
      <c r="BW3" s="5130"/>
      <c r="BX3" s="5130"/>
      <c r="BY3" s="5130"/>
      <c r="BZ3" s="5130"/>
      <c r="CA3" s="5130"/>
      <c r="CB3" s="5130"/>
      <c r="CC3" s="5130"/>
      <c r="CD3" s="5130"/>
      <c r="CE3" s="5130"/>
      <c r="CF3" s="5130"/>
      <c r="CG3" s="5130"/>
      <c r="CH3" s="5130"/>
      <c r="CI3" s="5130"/>
      <c r="CJ3" s="5130"/>
      <c r="CK3" s="5130"/>
      <c r="CL3" s="5130"/>
      <c r="CM3" s="5130"/>
      <c r="CN3" s="5130"/>
      <c r="CO3" s="5130"/>
      <c r="CP3" s="5130"/>
      <c r="CQ3" s="5130"/>
      <c r="CR3" s="5130"/>
      <c r="CS3" s="5130"/>
      <c r="CT3" s="5130"/>
      <c r="CU3" s="5130"/>
      <c r="CV3" s="5127"/>
    </row>
    <row r="4" spans="1:101" ht="16.5" thickBot="1" x14ac:dyDescent="0.3">
      <c r="A4" s="5170"/>
      <c r="B4" s="5170"/>
      <c r="C4" s="5170"/>
      <c r="D4" s="5170"/>
      <c r="E4" s="5169"/>
      <c r="F4" s="7738" t="s">
        <v>639</v>
      </c>
      <c r="G4" s="7739"/>
      <c r="H4" s="7739"/>
      <c r="I4" s="7739"/>
      <c r="J4" s="7739"/>
      <c r="K4" s="7739"/>
      <c r="L4" s="7739"/>
      <c r="M4" s="7739"/>
      <c r="N4" s="7739"/>
      <c r="O4" s="7739"/>
      <c r="P4" s="7739"/>
      <c r="Q4" s="7739"/>
      <c r="R4" s="7739"/>
      <c r="S4" s="7739"/>
      <c r="T4" s="7739"/>
      <c r="U4" s="7739"/>
      <c r="V4" s="7739"/>
      <c r="W4" s="7739"/>
      <c r="X4" s="7740"/>
      <c r="Y4" s="7741" t="s">
        <v>640</v>
      </c>
      <c r="Z4" s="7742"/>
      <c r="AA4" s="7742"/>
      <c r="AB4" s="7743"/>
      <c r="AC4" s="7743"/>
      <c r="AD4" s="7743"/>
      <c r="AE4" s="7743"/>
      <c r="AF4" s="7743"/>
      <c r="AG4" s="7743"/>
      <c r="AH4" s="7743"/>
      <c r="AI4" s="7743"/>
      <c r="AJ4" s="7743"/>
      <c r="AK4" s="7743"/>
      <c r="AL4" s="7743"/>
      <c r="AM4" s="7743"/>
      <c r="AN4" s="7743"/>
      <c r="AO4" s="7743"/>
      <c r="AP4" s="7743"/>
      <c r="AQ4" s="7743"/>
      <c r="AR4" s="5168" t="s">
        <v>126</v>
      </c>
      <c r="AS4" s="5121"/>
      <c r="AT4" s="7744" t="s">
        <v>2254</v>
      </c>
      <c r="AU4" s="7745"/>
      <c r="AV4" s="7735" t="s">
        <v>2306</v>
      </c>
      <c r="AW4" s="7734"/>
      <c r="AX4" s="7731" t="s">
        <v>14</v>
      </c>
      <c r="AY4" s="7732"/>
      <c r="AZ4" s="7746" t="s">
        <v>1903</v>
      </c>
      <c r="BA4" s="7747"/>
      <c r="BB4" s="7748" t="s">
        <v>637</v>
      </c>
      <c r="BC4" s="7749"/>
      <c r="BD4" s="7733" t="s">
        <v>1937</v>
      </c>
      <c r="BE4" s="7734"/>
      <c r="BF4" s="7731" t="s">
        <v>17</v>
      </c>
      <c r="BG4" s="7732"/>
      <c r="BH4" s="7733" t="s">
        <v>1961</v>
      </c>
      <c r="BI4" s="7734"/>
      <c r="BJ4" s="7731" t="s">
        <v>18</v>
      </c>
      <c r="BK4" s="7732"/>
      <c r="BL4" s="7735" t="s">
        <v>1983</v>
      </c>
      <c r="BM4" s="7736"/>
      <c r="BN4" s="7729" t="s">
        <v>839</v>
      </c>
      <c r="BO4" s="7729"/>
      <c r="BP4" s="7730" t="s">
        <v>657</v>
      </c>
      <c r="BQ4" s="7730"/>
      <c r="BR4" s="7733" t="s">
        <v>2002</v>
      </c>
      <c r="BS4" s="7734"/>
      <c r="BT4" s="7731" t="s">
        <v>24</v>
      </c>
      <c r="BU4" s="7732"/>
      <c r="BV4" s="7733" t="s">
        <v>2018</v>
      </c>
      <c r="BW4" s="7734"/>
      <c r="BX4" s="7731" t="s">
        <v>27</v>
      </c>
      <c r="BY4" s="7732"/>
      <c r="BZ4" s="7735" t="s">
        <v>2033</v>
      </c>
      <c r="CA4" s="7736"/>
      <c r="CB4" s="7729" t="s">
        <v>1682</v>
      </c>
      <c r="CC4" s="7729"/>
      <c r="CD4" s="7731" t="s">
        <v>1683</v>
      </c>
      <c r="CE4" s="7732"/>
      <c r="CF4" s="7733" t="s">
        <v>2137</v>
      </c>
      <c r="CG4" s="7734"/>
      <c r="CH4" s="7731" t="s">
        <v>28</v>
      </c>
      <c r="CI4" s="7732"/>
      <c r="CJ4" s="7733" t="s">
        <v>2151</v>
      </c>
      <c r="CK4" s="7734"/>
      <c r="CL4" s="7731" t="s">
        <v>30</v>
      </c>
      <c r="CM4" s="7732"/>
      <c r="CN4" s="7733" t="s">
        <v>2163</v>
      </c>
      <c r="CO4" s="7734"/>
      <c r="CP4" s="7729" t="s">
        <v>1727</v>
      </c>
      <c r="CQ4" s="7729"/>
      <c r="CR4" s="7730" t="s">
        <v>671</v>
      </c>
      <c r="CS4" s="7730"/>
      <c r="CT4" s="7731" t="s">
        <v>1765</v>
      </c>
      <c r="CU4" s="7732"/>
      <c r="CV4" s="5127"/>
    </row>
    <row r="5" spans="1:101" ht="16.5" thickBot="1" x14ac:dyDescent="0.3">
      <c r="A5" s="5170"/>
      <c r="B5" s="5170"/>
      <c r="C5" s="5170"/>
      <c r="D5" s="5170" t="s">
        <v>1414</v>
      </c>
      <c r="E5" s="5126"/>
      <c r="F5" s="5125" t="s">
        <v>2283</v>
      </c>
      <c r="G5" s="5124" t="s">
        <v>2314</v>
      </c>
      <c r="H5" s="5124" t="s">
        <v>2324</v>
      </c>
      <c r="I5" s="5167" t="s">
        <v>637</v>
      </c>
      <c r="J5" s="5123" t="s">
        <v>2325</v>
      </c>
      <c r="K5" s="5123" t="s">
        <v>2326</v>
      </c>
      <c r="L5" s="5123" t="s">
        <v>2327</v>
      </c>
      <c r="M5" s="5167" t="s">
        <v>660</v>
      </c>
      <c r="N5" s="5166" t="s">
        <v>512</v>
      </c>
      <c r="O5" s="5123" t="s">
        <v>2328</v>
      </c>
      <c r="P5" s="5123" t="s">
        <v>2329</v>
      </c>
      <c r="Q5" s="5123" t="s">
        <v>2330</v>
      </c>
      <c r="R5" s="5167" t="s">
        <v>662</v>
      </c>
      <c r="S5" s="5165" t="s">
        <v>2331</v>
      </c>
      <c r="T5" s="5165" t="s">
        <v>2332</v>
      </c>
      <c r="U5" s="5165" t="s">
        <v>2333</v>
      </c>
      <c r="V5" s="5167" t="s">
        <v>663</v>
      </c>
      <c r="W5" s="5167" t="s">
        <v>550</v>
      </c>
      <c r="X5" s="5164" t="s">
        <v>2335</v>
      </c>
      <c r="Y5" s="5151" t="s">
        <v>2283</v>
      </c>
      <c r="Z5" s="5122" t="s">
        <v>2314</v>
      </c>
      <c r="AA5" s="5122" t="s">
        <v>2324</v>
      </c>
      <c r="AB5" s="5122" t="s">
        <v>637</v>
      </c>
      <c r="AC5" s="5122" t="s">
        <v>2325</v>
      </c>
      <c r="AD5" s="5122" t="s">
        <v>2326</v>
      </c>
      <c r="AE5" s="5163" t="s">
        <v>2327</v>
      </c>
      <c r="AF5" s="5162" t="s">
        <v>660</v>
      </c>
      <c r="AG5" s="5166" t="s">
        <v>512</v>
      </c>
      <c r="AH5" s="5163" t="s">
        <v>2328</v>
      </c>
      <c r="AI5" s="5163" t="s">
        <v>2329</v>
      </c>
      <c r="AJ5" s="5163" t="s">
        <v>2330</v>
      </c>
      <c r="AK5" s="5162" t="s">
        <v>662</v>
      </c>
      <c r="AL5" s="5163" t="s">
        <v>2331</v>
      </c>
      <c r="AM5" s="5163" t="s">
        <v>2332</v>
      </c>
      <c r="AN5" s="5161" t="s">
        <v>2333</v>
      </c>
      <c r="AO5" s="5162" t="s">
        <v>663</v>
      </c>
      <c r="AP5" s="5166" t="s">
        <v>550</v>
      </c>
      <c r="AQ5" s="5148" t="s">
        <v>2335</v>
      </c>
      <c r="AR5" s="5160" t="s">
        <v>2335</v>
      </c>
      <c r="AS5" s="5159"/>
      <c r="AT5" s="3666" t="s">
        <v>173</v>
      </c>
      <c r="AU5" s="2876" t="s">
        <v>174</v>
      </c>
      <c r="AV5" s="3667" t="s">
        <v>173</v>
      </c>
      <c r="AW5" s="3668" t="s">
        <v>174</v>
      </c>
      <c r="AX5" s="3669" t="s">
        <v>173</v>
      </c>
      <c r="AY5" s="3670" t="s">
        <v>174</v>
      </c>
      <c r="AZ5" s="3671" t="s">
        <v>173</v>
      </c>
      <c r="BA5" s="3672" t="s">
        <v>174</v>
      </c>
      <c r="BB5" s="3673" t="s">
        <v>173</v>
      </c>
      <c r="BC5" s="3674" t="s">
        <v>174</v>
      </c>
      <c r="BD5" s="3671" t="s">
        <v>173</v>
      </c>
      <c r="BE5" s="3668" t="s">
        <v>174</v>
      </c>
      <c r="BF5" s="3669" t="s">
        <v>173</v>
      </c>
      <c r="BG5" s="3670" t="s">
        <v>174</v>
      </c>
      <c r="BH5" s="3671" t="s">
        <v>173</v>
      </c>
      <c r="BI5" s="3668" t="s">
        <v>174</v>
      </c>
      <c r="BJ5" s="3669" t="s">
        <v>173</v>
      </c>
      <c r="BK5" s="3670" t="s">
        <v>174</v>
      </c>
      <c r="BL5" s="3676" t="s">
        <v>173</v>
      </c>
      <c r="BM5" s="806" t="s">
        <v>174</v>
      </c>
      <c r="BN5" s="3677" t="s">
        <v>173</v>
      </c>
      <c r="BO5" s="3677" t="s">
        <v>174</v>
      </c>
      <c r="BP5" s="3678" t="s">
        <v>173</v>
      </c>
      <c r="BQ5" s="3678" t="s">
        <v>174</v>
      </c>
      <c r="BR5" s="3675" t="s">
        <v>173</v>
      </c>
      <c r="BS5" s="3668" t="s">
        <v>174</v>
      </c>
      <c r="BT5" s="3669" t="s">
        <v>173</v>
      </c>
      <c r="BU5" s="3670" t="s">
        <v>174</v>
      </c>
      <c r="BV5" s="3675" t="s">
        <v>173</v>
      </c>
      <c r="BW5" s="3668" t="s">
        <v>174</v>
      </c>
      <c r="BX5" s="3669" t="s">
        <v>173</v>
      </c>
      <c r="BY5" s="3670" t="s">
        <v>174</v>
      </c>
      <c r="BZ5" s="3676" t="s">
        <v>173</v>
      </c>
      <c r="CA5" s="806" t="s">
        <v>174</v>
      </c>
      <c r="CB5" s="3677" t="s">
        <v>173</v>
      </c>
      <c r="CC5" s="3677" t="s">
        <v>174</v>
      </c>
      <c r="CD5" s="3669" t="s">
        <v>173</v>
      </c>
      <c r="CE5" s="3670" t="s">
        <v>174</v>
      </c>
      <c r="CF5" s="3675" t="s">
        <v>173</v>
      </c>
      <c r="CG5" s="3668" t="s">
        <v>174</v>
      </c>
      <c r="CH5" s="3669" t="s">
        <v>173</v>
      </c>
      <c r="CI5" s="3670" t="s">
        <v>174</v>
      </c>
      <c r="CJ5" s="3675" t="s">
        <v>173</v>
      </c>
      <c r="CK5" s="3668" t="s">
        <v>174</v>
      </c>
      <c r="CL5" s="3669" t="s">
        <v>173</v>
      </c>
      <c r="CM5" s="3670" t="s">
        <v>174</v>
      </c>
      <c r="CN5" s="3675" t="s">
        <v>173</v>
      </c>
      <c r="CO5" s="3668" t="s">
        <v>174</v>
      </c>
      <c r="CP5" s="3677" t="s">
        <v>173</v>
      </c>
      <c r="CQ5" s="3677" t="s">
        <v>174</v>
      </c>
      <c r="CR5" s="3678" t="s">
        <v>173</v>
      </c>
      <c r="CS5" s="3678" t="s">
        <v>174</v>
      </c>
      <c r="CT5" s="3669" t="s">
        <v>173</v>
      </c>
      <c r="CU5" s="3670" t="s">
        <v>174</v>
      </c>
      <c r="CV5" s="5127"/>
    </row>
    <row r="6" spans="1:101" x14ac:dyDescent="0.25">
      <c r="A6" s="5170"/>
      <c r="B6" s="5170"/>
      <c r="C6" s="5170"/>
      <c r="D6" s="5170"/>
      <c r="E6" s="5158" t="s">
        <v>1419</v>
      </c>
      <c r="F6" s="5150">
        <v>6517</v>
      </c>
      <c r="G6" s="5108">
        <v>6638</v>
      </c>
      <c r="H6" s="5108"/>
      <c r="I6" s="5157">
        <f>SUM(F6:H6)</f>
        <v>13155</v>
      </c>
      <c r="J6" s="5108"/>
      <c r="K6" s="5108"/>
      <c r="L6" s="5108"/>
      <c r="M6" s="5157"/>
      <c r="N6" s="5156"/>
      <c r="O6" s="5104"/>
      <c r="P6" s="5104"/>
      <c r="Q6" s="5108"/>
      <c r="R6" s="5157"/>
      <c r="S6" s="5108"/>
      <c r="T6" s="5108"/>
      <c r="U6" s="5155"/>
      <c r="V6" s="5157"/>
      <c r="W6" s="5156"/>
      <c r="X6" s="5120">
        <f>+I6+M6+R6+V6</f>
        <v>13155</v>
      </c>
      <c r="Y6" s="5119">
        <v>0</v>
      </c>
      <c r="Z6" s="5108">
        <v>0</v>
      </c>
      <c r="AA6" s="5108"/>
      <c r="AB6" s="5157">
        <f t="shared" ref="AB6:AB50" si="0">+Y6+Z6+AA6</f>
        <v>0</v>
      </c>
      <c r="AC6" s="5108"/>
      <c r="AD6" s="5108"/>
      <c r="AE6" s="5108"/>
      <c r="AF6" s="5118">
        <f t="shared" ref="AF6" si="1">SUM(AC6:AE6)</f>
        <v>0</v>
      </c>
      <c r="AG6" s="5156">
        <f t="shared" ref="AG6" si="2">+AB6+AF6</f>
        <v>0</v>
      </c>
      <c r="AH6" s="5104"/>
      <c r="AI6" s="5104"/>
      <c r="AJ6" s="5104"/>
      <c r="AK6" s="5157">
        <f t="shared" ref="AK6:AK50" si="3">SUM(AH6:AJ6)</f>
        <v>0</v>
      </c>
      <c r="AL6" s="5108"/>
      <c r="AM6" s="5108"/>
      <c r="AN6" s="5155"/>
      <c r="AO6" s="5157">
        <f t="shared" ref="AO6" si="4">+AL6+AM6+AN6</f>
        <v>0</v>
      </c>
      <c r="AP6" s="5156">
        <f t="shared" ref="AP6" si="5">+AK6+AO6</f>
        <v>0</v>
      </c>
      <c r="AQ6" s="5117">
        <f>+AB6+AF6+AK6+AO6</f>
        <v>0</v>
      </c>
      <c r="AR6" s="5107">
        <f t="shared" ref="AR6" si="6">+X6+AQ6</f>
        <v>13155</v>
      </c>
      <c r="AS6" s="5154"/>
      <c r="AT6" s="5110"/>
      <c r="AU6" s="5116">
        <f>+F6+Y6</f>
        <v>6517</v>
      </c>
      <c r="AV6" s="5115"/>
      <c r="AW6" s="5114">
        <f>+G6+Z6</f>
        <v>6638</v>
      </c>
      <c r="AX6" s="5113"/>
      <c r="AY6" s="5113">
        <f>AU6+AW6</f>
        <v>13155</v>
      </c>
      <c r="AZ6" s="5113"/>
      <c r="BA6" s="5114">
        <f t="shared" ref="BA6:BA47" si="7">+H6+AA6</f>
        <v>0</v>
      </c>
      <c r="BB6" s="5112"/>
      <c r="BC6" s="5112">
        <f t="shared" ref="BC6:BC47" si="8">AU6+AW6+BA6</f>
        <v>13155</v>
      </c>
      <c r="BD6" s="5113"/>
      <c r="BE6" s="5114">
        <f t="shared" ref="BE6:BE47" si="9">+J6+AC6</f>
        <v>0</v>
      </c>
      <c r="BF6" s="5111"/>
      <c r="BG6" s="5111">
        <f t="shared" ref="BG6:BG47" si="10">+BC6+BE6</f>
        <v>13155</v>
      </c>
      <c r="BH6" s="5113"/>
      <c r="BI6" s="5114">
        <f t="shared" ref="BI6:BI47" si="11">K6+AD6</f>
        <v>0</v>
      </c>
      <c r="BJ6" s="5111"/>
      <c r="BK6" s="5111">
        <f t="shared" ref="BK6:BK47" si="12">+BG6+BI6</f>
        <v>13155</v>
      </c>
      <c r="BL6" s="5113"/>
      <c r="BM6" s="5114">
        <f t="shared" ref="BM6:BM47" si="13">+L6+AE6</f>
        <v>0</v>
      </c>
      <c r="BN6" s="5113"/>
      <c r="BO6" s="5112">
        <f t="shared" ref="BO6:BO47" si="14">BE6+BI6+BM6</f>
        <v>0</v>
      </c>
      <c r="BP6" s="5113"/>
      <c r="BQ6" s="5136">
        <f t="shared" ref="BQ6:BQ47" si="15">BC6+BO6</f>
        <v>13155</v>
      </c>
      <c r="BR6" s="5113"/>
      <c r="BS6" s="5114">
        <f t="shared" ref="BS6:BS47" si="16">+O6+AH6</f>
        <v>0</v>
      </c>
      <c r="BT6" s="5113"/>
      <c r="BU6" s="5113">
        <f t="shared" ref="BU6:BU47" si="17">BQ6+BS6</f>
        <v>13155</v>
      </c>
      <c r="BV6" s="5113"/>
      <c r="BW6" s="5114">
        <f t="shared" ref="BW6:BW47" si="18">+P6+AI6</f>
        <v>0</v>
      </c>
      <c r="BX6" s="5113"/>
      <c r="BY6" s="5113">
        <f t="shared" ref="BY6:BY47" si="19">BU6+BW6</f>
        <v>13155</v>
      </c>
      <c r="BZ6" s="5113"/>
      <c r="CA6" s="5114">
        <f t="shared" ref="CA6:CA47" si="20">+Q6+AJ6</f>
        <v>0</v>
      </c>
      <c r="CB6" s="5113"/>
      <c r="CC6" s="5112">
        <f t="shared" ref="CC6:CC47" si="21">BS6+BW6+CA6</f>
        <v>0</v>
      </c>
      <c r="CD6" s="5113"/>
      <c r="CE6" s="5113">
        <f t="shared" ref="CE6:CE47" si="22">BY6+CA6</f>
        <v>13155</v>
      </c>
      <c r="CF6" s="5113"/>
      <c r="CG6" s="5114">
        <f t="shared" ref="CG6:CG47" si="23">+S6+AL6</f>
        <v>0</v>
      </c>
      <c r="CH6" s="5113"/>
      <c r="CI6" s="5113">
        <f t="shared" ref="CI6:CI47" si="24">CG6+CE6</f>
        <v>13155</v>
      </c>
      <c r="CJ6" s="5113"/>
      <c r="CK6" s="5114">
        <f t="shared" ref="CK6:CK47" si="25">+T6+AM6</f>
        <v>0</v>
      </c>
      <c r="CL6" s="5113"/>
      <c r="CM6" s="5113">
        <f t="shared" ref="CM6:CM47" si="26">CI6+CK6</f>
        <v>13155</v>
      </c>
      <c r="CN6" s="5113"/>
      <c r="CO6" s="5114">
        <f t="shared" ref="CO6:CO47" si="27">+U6+AN6</f>
        <v>0</v>
      </c>
      <c r="CP6" s="5113"/>
      <c r="CQ6" s="5112">
        <f t="shared" ref="CQ6:CQ47" si="28">CG6+CK6+CO6</f>
        <v>0</v>
      </c>
      <c r="CR6" s="5113"/>
      <c r="CS6" s="5136">
        <f t="shared" ref="CS6:CS47" si="29">CC6+CQ6</f>
        <v>0</v>
      </c>
      <c r="CT6" s="5111"/>
      <c r="CU6" s="5139">
        <f t="shared" ref="CU6:CU47" si="30">SUM(AU6,AW6,BA6,BE6,BI6,BM6,BS6,BW6,CA6,CG6,CK6,CO6)</f>
        <v>13155</v>
      </c>
      <c r="CV6" s="5138"/>
      <c r="CW6" s="5147"/>
    </row>
    <row r="7" spans="1:101" x14ac:dyDescent="0.25">
      <c r="A7" s="5170"/>
      <c r="B7" s="5170"/>
      <c r="C7" s="5170"/>
      <c r="D7" s="5170"/>
      <c r="E7" s="5158" t="s">
        <v>1208</v>
      </c>
      <c r="F7" s="5150">
        <v>4137</v>
      </c>
      <c r="G7" s="5108">
        <v>10029</v>
      </c>
      <c r="H7" s="5108"/>
      <c r="I7" s="5157">
        <f t="shared" ref="I7:I50" si="31">SUM(F7:H7)</f>
        <v>14166</v>
      </c>
      <c r="J7" s="5108"/>
      <c r="K7" s="5108"/>
      <c r="L7" s="5108"/>
      <c r="M7" s="5157"/>
      <c r="N7" s="5156"/>
      <c r="O7" s="5104"/>
      <c r="P7" s="5104"/>
      <c r="Q7" s="5108"/>
      <c r="R7" s="5157"/>
      <c r="S7" s="5108"/>
      <c r="T7" s="5108"/>
      <c r="U7" s="5155"/>
      <c r="V7" s="5157"/>
      <c r="W7" s="5156"/>
      <c r="X7" s="5120">
        <f t="shared" ref="X7:X50" si="32">+I7+M7+R7+V7</f>
        <v>14166</v>
      </c>
      <c r="Y7" s="5119">
        <v>0</v>
      </c>
      <c r="Z7" s="5108">
        <v>0</v>
      </c>
      <c r="AA7" s="5108"/>
      <c r="AB7" s="5157">
        <f t="shared" si="0"/>
        <v>0</v>
      </c>
      <c r="AC7" s="5108"/>
      <c r="AD7" s="5108"/>
      <c r="AE7" s="5108"/>
      <c r="AF7" s="5118">
        <f t="shared" ref="AF7:AF50" si="33">SUM(AC7:AE7)</f>
        <v>0</v>
      </c>
      <c r="AG7" s="5156">
        <f t="shared" ref="AG7:AG50" si="34">+AB7+AF7</f>
        <v>0</v>
      </c>
      <c r="AH7" s="5104"/>
      <c r="AI7" s="5104"/>
      <c r="AJ7" s="5104"/>
      <c r="AK7" s="5157">
        <f t="shared" si="3"/>
        <v>0</v>
      </c>
      <c r="AL7" s="5108"/>
      <c r="AM7" s="5108"/>
      <c r="AN7" s="5155"/>
      <c r="AO7" s="5157">
        <f t="shared" ref="AO7:AO50" si="35">+AL7+AM7+AN7</f>
        <v>0</v>
      </c>
      <c r="AP7" s="5156">
        <f t="shared" ref="AP7:AP50" si="36">+AK7+AO7</f>
        <v>0</v>
      </c>
      <c r="AQ7" s="5117">
        <f t="shared" ref="AQ7:AQ50" si="37">+AB7+AF7+AK7+AO7</f>
        <v>0</v>
      </c>
      <c r="AR7" s="5107">
        <f t="shared" ref="AR7:AR50" si="38">+X7+AQ7</f>
        <v>14166</v>
      </c>
      <c r="AS7" s="5154"/>
      <c r="AT7" s="5110"/>
      <c r="AU7" s="5116">
        <f t="shared" ref="AU7:AU50" si="39">+F7+Y7</f>
        <v>4137</v>
      </c>
      <c r="AV7" s="5115"/>
      <c r="AW7" s="5114">
        <f t="shared" ref="AW7:AW50" si="40">+G7+Z7</f>
        <v>10029</v>
      </c>
      <c r="AX7" s="5113"/>
      <c r="AY7" s="5113">
        <f t="shared" ref="AY7:AY50" si="41">AU7+AW7</f>
        <v>14166</v>
      </c>
      <c r="AZ7" s="5113"/>
      <c r="BA7" s="5114">
        <f t="shared" si="7"/>
        <v>0</v>
      </c>
      <c r="BB7" s="5112"/>
      <c r="BC7" s="5112">
        <f t="shared" si="8"/>
        <v>14166</v>
      </c>
      <c r="BD7" s="5113"/>
      <c r="BE7" s="5114">
        <f t="shared" si="9"/>
        <v>0</v>
      </c>
      <c r="BF7" s="5111"/>
      <c r="BG7" s="5111">
        <f t="shared" si="10"/>
        <v>14166</v>
      </c>
      <c r="BH7" s="5113"/>
      <c r="BI7" s="5114">
        <f t="shared" si="11"/>
        <v>0</v>
      </c>
      <c r="BJ7" s="5111"/>
      <c r="BK7" s="5111">
        <f t="shared" si="12"/>
        <v>14166</v>
      </c>
      <c r="BL7" s="5113"/>
      <c r="BM7" s="5114">
        <f t="shared" si="13"/>
        <v>0</v>
      </c>
      <c r="BN7" s="5113"/>
      <c r="BO7" s="5112">
        <f t="shared" si="14"/>
        <v>0</v>
      </c>
      <c r="BP7" s="5113"/>
      <c r="BQ7" s="5136">
        <f t="shared" si="15"/>
        <v>14166</v>
      </c>
      <c r="BR7" s="5113"/>
      <c r="BS7" s="5114">
        <f t="shared" si="16"/>
        <v>0</v>
      </c>
      <c r="BT7" s="5113"/>
      <c r="BU7" s="5113">
        <f t="shared" si="17"/>
        <v>14166</v>
      </c>
      <c r="BV7" s="5113"/>
      <c r="BW7" s="5114">
        <f t="shared" si="18"/>
        <v>0</v>
      </c>
      <c r="BX7" s="5113"/>
      <c r="BY7" s="5113">
        <f t="shared" si="19"/>
        <v>14166</v>
      </c>
      <c r="BZ7" s="5113"/>
      <c r="CA7" s="5114">
        <f t="shared" si="20"/>
        <v>0</v>
      </c>
      <c r="CB7" s="5113"/>
      <c r="CC7" s="5112">
        <f t="shared" si="21"/>
        <v>0</v>
      </c>
      <c r="CD7" s="5113"/>
      <c r="CE7" s="5113">
        <f t="shared" si="22"/>
        <v>14166</v>
      </c>
      <c r="CF7" s="5113"/>
      <c r="CG7" s="5114">
        <f t="shared" si="23"/>
        <v>0</v>
      </c>
      <c r="CH7" s="5113"/>
      <c r="CI7" s="5113">
        <f t="shared" si="24"/>
        <v>14166</v>
      </c>
      <c r="CJ7" s="5113"/>
      <c r="CK7" s="5114">
        <f t="shared" si="25"/>
        <v>0</v>
      </c>
      <c r="CL7" s="5113"/>
      <c r="CM7" s="5113">
        <f t="shared" si="26"/>
        <v>14166</v>
      </c>
      <c r="CN7" s="5113"/>
      <c r="CO7" s="5114">
        <f t="shared" si="27"/>
        <v>0</v>
      </c>
      <c r="CP7" s="5113"/>
      <c r="CQ7" s="5112">
        <f t="shared" si="28"/>
        <v>0</v>
      </c>
      <c r="CR7" s="5113"/>
      <c r="CS7" s="5136">
        <f t="shared" si="29"/>
        <v>0</v>
      </c>
      <c r="CT7" s="5111"/>
      <c r="CU7" s="5139">
        <f t="shared" si="30"/>
        <v>14166</v>
      </c>
      <c r="CV7" s="5138"/>
      <c r="CW7" s="5147"/>
    </row>
    <row r="8" spans="1:101" x14ac:dyDescent="0.25">
      <c r="A8" s="5170"/>
      <c r="B8" s="5170"/>
      <c r="C8" s="5170"/>
      <c r="D8" s="5170"/>
      <c r="E8" s="5158" t="s">
        <v>2155</v>
      </c>
      <c r="F8" s="5150"/>
      <c r="G8" s="5108">
        <v>243</v>
      </c>
      <c r="H8" s="5108"/>
      <c r="I8" s="5157">
        <f t="shared" si="31"/>
        <v>243</v>
      </c>
      <c r="J8" s="5108"/>
      <c r="K8" s="5108"/>
      <c r="L8" s="5108"/>
      <c r="M8" s="5157"/>
      <c r="N8" s="5156"/>
      <c r="O8" s="5104"/>
      <c r="P8" s="5104"/>
      <c r="Q8" s="5108"/>
      <c r="R8" s="5157"/>
      <c r="S8" s="5108"/>
      <c r="T8" s="5108"/>
      <c r="U8" s="5155"/>
      <c r="V8" s="5157"/>
      <c r="W8" s="5156"/>
      <c r="X8" s="5120">
        <f t="shared" si="32"/>
        <v>243</v>
      </c>
      <c r="Y8" s="5119"/>
      <c r="Z8" s="5108">
        <v>0</v>
      </c>
      <c r="AA8" s="5108"/>
      <c r="AB8" s="5157">
        <f t="shared" si="0"/>
        <v>0</v>
      </c>
      <c r="AC8" s="5108"/>
      <c r="AD8" s="5108"/>
      <c r="AE8" s="5108"/>
      <c r="AF8" s="5118">
        <f t="shared" si="33"/>
        <v>0</v>
      </c>
      <c r="AG8" s="5156">
        <f t="shared" si="34"/>
        <v>0</v>
      </c>
      <c r="AH8" s="5104"/>
      <c r="AI8" s="5104"/>
      <c r="AJ8" s="5104"/>
      <c r="AK8" s="5157">
        <f t="shared" si="3"/>
        <v>0</v>
      </c>
      <c r="AL8" s="5108"/>
      <c r="AM8" s="5108"/>
      <c r="AN8" s="5155"/>
      <c r="AO8" s="5157">
        <f t="shared" si="35"/>
        <v>0</v>
      </c>
      <c r="AP8" s="5156">
        <f t="shared" si="36"/>
        <v>0</v>
      </c>
      <c r="AQ8" s="5117">
        <f t="shared" si="37"/>
        <v>0</v>
      </c>
      <c r="AR8" s="5107">
        <f t="shared" si="38"/>
        <v>243</v>
      </c>
      <c r="AS8" s="5154"/>
      <c r="AT8" s="5110"/>
      <c r="AU8" s="5116">
        <f t="shared" si="39"/>
        <v>0</v>
      </c>
      <c r="AV8" s="7030"/>
      <c r="AW8" s="5114">
        <f t="shared" si="40"/>
        <v>243</v>
      </c>
      <c r="AX8" s="7282"/>
      <c r="AY8" s="5113">
        <f t="shared" si="41"/>
        <v>243</v>
      </c>
      <c r="AZ8" s="7282"/>
      <c r="BA8" s="7282"/>
      <c r="BB8" s="7283"/>
      <c r="BC8" s="7283"/>
      <c r="BD8" s="7282"/>
      <c r="BE8" s="7282"/>
      <c r="BF8" s="7284"/>
      <c r="BG8" s="7284"/>
      <c r="BH8" s="7282"/>
      <c r="BI8" s="7282"/>
      <c r="BJ8" s="7284"/>
      <c r="BK8" s="7284"/>
      <c r="BL8" s="7282"/>
      <c r="BM8" s="7282"/>
      <c r="BN8" s="7282"/>
      <c r="BO8" s="7283"/>
      <c r="BP8" s="7282"/>
      <c r="BQ8" s="7285"/>
      <c r="BR8" s="7282"/>
      <c r="BS8" s="7282"/>
      <c r="BT8" s="7282"/>
      <c r="BU8" s="7282"/>
      <c r="BV8" s="7282"/>
      <c r="BW8" s="7282"/>
      <c r="BX8" s="7282"/>
      <c r="BY8" s="7282"/>
      <c r="BZ8" s="7282"/>
      <c r="CA8" s="7282"/>
      <c r="CB8" s="7282"/>
      <c r="CC8" s="7283"/>
      <c r="CD8" s="7282"/>
      <c r="CE8" s="7282"/>
      <c r="CF8" s="7282"/>
      <c r="CG8" s="7282"/>
      <c r="CH8" s="7282"/>
      <c r="CI8" s="7282"/>
      <c r="CJ8" s="7282"/>
      <c r="CK8" s="7282"/>
      <c r="CL8" s="7282"/>
      <c r="CM8" s="7282"/>
      <c r="CN8" s="7282"/>
      <c r="CO8" s="7282"/>
      <c r="CP8" s="7282"/>
      <c r="CQ8" s="7283"/>
      <c r="CR8" s="7282"/>
      <c r="CS8" s="7285"/>
      <c r="CT8" s="7284"/>
      <c r="CU8" s="7286"/>
      <c r="CV8" s="5138"/>
      <c r="CW8" s="5147"/>
    </row>
    <row r="9" spans="1:101" x14ac:dyDescent="0.25">
      <c r="A9" s="5170"/>
      <c r="B9" s="5170"/>
      <c r="C9" s="5170"/>
      <c r="D9" s="5170"/>
      <c r="E9" s="5158" t="s">
        <v>1733</v>
      </c>
      <c r="F9" s="5150"/>
      <c r="G9" s="5108">
        <v>258</v>
      </c>
      <c r="H9" s="5108"/>
      <c r="I9" s="5157">
        <f t="shared" si="31"/>
        <v>258</v>
      </c>
      <c r="J9" s="5108"/>
      <c r="K9" s="5108"/>
      <c r="L9" s="5108"/>
      <c r="M9" s="5157"/>
      <c r="N9" s="5156"/>
      <c r="O9" s="5104"/>
      <c r="P9" s="5104"/>
      <c r="Q9" s="5108"/>
      <c r="R9" s="5157"/>
      <c r="S9" s="5108"/>
      <c r="T9" s="5108"/>
      <c r="U9" s="5155"/>
      <c r="V9" s="5157"/>
      <c r="W9" s="5156"/>
      <c r="X9" s="5120">
        <f t="shared" si="32"/>
        <v>258</v>
      </c>
      <c r="Y9" s="5119"/>
      <c r="Z9" s="5108">
        <v>0</v>
      </c>
      <c r="AA9" s="5108"/>
      <c r="AB9" s="5157">
        <f t="shared" si="0"/>
        <v>0</v>
      </c>
      <c r="AC9" s="5108"/>
      <c r="AD9" s="5108"/>
      <c r="AE9" s="5108"/>
      <c r="AF9" s="5118">
        <f t="shared" si="33"/>
        <v>0</v>
      </c>
      <c r="AG9" s="5156">
        <f t="shared" si="34"/>
        <v>0</v>
      </c>
      <c r="AH9" s="5104"/>
      <c r="AI9" s="5104"/>
      <c r="AJ9" s="5104"/>
      <c r="AK9" s="5157">
        <f t="shared" si="3"/>
        <v>0</v>
      </c>
      <c r="AL9" s="5108"/>
      <c r="AM9" s="5108"/>
      <c r="AN9" s="5155"/>
      <c r="AO9" s="5157">
        <f t="shared" si="35"/>
        <v>0</v>
      </c>
      <c r="AP9" s="5156">
        <f t="shared" si="36"/>
        <v>0</v>
      </c>
      <c r="AQ9" s="5117">
        <f t="shared" si="37"/>
        <v>0</v>
      </c>
      <c r="AR9" s="5107">
        <f t="shared" si="38"/>
        <v>258</v>
      </c>
      <c r="AS9" s="5154"/>
      <c r="AT9" s="5110"/>
      <c r="AU9" s="5116">
        <f t="shared" si="39"/>
        <v>0</v>
      </c>
      <c r="AV9" s="7030"/>
      <c r="AW9" s="5114">
        <f t="shared" si="40"/>
        <v>258</v>
      </c>
      <c r="AX9" s="7282"/>
      <c r="AY9" s="5113">
        <f t="shared" si="41"/>
        <v>258</v>
      </c>
      <c r="AZ9" s="7282"/>
      <c r="BA9" s="7282"/>
      <c r="BB9" s="7283"/>
      <c r="BC9" s="7283"/>
      <c r="BD9" s="7282"/>
      <c r="BE9" s="7282"/>
      <c r="BF9" s="7284"/>
      <c r="BG9" s="7284"/>
      <c r="BH9" s="7282"/>
      <c r="BI9" s="7282"/>
      <c r="BJ9" s="7284"/>
      <c r="BK9" s="7284"/>
      <c r="BL9" s="7282"/>
      <c r="BM9" s="7282"/>
      <c r="BN9" s="7282"/>
      <c r="BO9" s="7283"/>
      <c r="BP9" s="7282"/>
      <c r="BQ9" s="7285"/>
      <c r="BR9" s="7282"/>
      <c r="BS9" s="7282"/>
      <c r="BT9" s="7282"/>
      <c r="BU9" s="7282"/>
      <c r="BV9" s="7282"/>
      <c r="BW9" s="7282"/>
      <c r="BX9" s="7282"/>
      <c r="BY9" s="7282"/>
      <c r="BZ9" s="7282"/>
      <c r="CA9" s="7282"/>
      <c r="CB9" s="7282"/>
      <c r="CC9" s="7283"/>
      <c r="CD9" s="7282"/>
      <c r="CE9" s="7282"/>
      <c r="CF9" s="7282"/>
      <c r="CG9" s="7282"/>
      <c r="CH9" s="7282"/>
      <c r="CI9" s="7282"/>
      <c r="CJ9" s="7282"/>
      <c r="CK9" s="7282"/>
      <c r="CL9" s="7282"/>
      <c r="CM9" s="7282"/>
      <c r="CN9" s="7282"/>
      <c r="CO9" s="7282"/>
      <c r="CP9" s="7282"/>
      <c r="CQ9" s="7283"/>
      <c r="CR9" s="7282"/>
      <c r="CS9" s="7285"/>
      <c r="CT9" s="7284"/>
      <c r="CU9" s="7286"/>
      <c r="CV9" s="5138"/>
      <c r="CW9" s="5147"/>
    </row>
    <row r="10" spans="1:101" x14ac:dyDescent="0.25">
      <c r="A10" s="5170"/>
      <c r="B10" s="5170"/>
      <c r="C10" s="5170"/>
      <c r="D10" s="5170"/>
      <c r="E10" s="5158" t="s">
        <v>1423</v>
      </c>
      <c r="F10" s="5150"/>
      <c r="G10" s="5108">
        <v>1890</v>
      </c>
      <c r="H10" s="5108"/>
      <c r="I10" s="5157">
        <f t="shared" si="31"/>
        <v>1890</v>
      </c>
      <c r="J10" s="5108"/>
      <c r="K10" s="5108"/>
      <c r="L10" s="5108"/>
      <c r="M10" s="5157"/>
      <c r="N10" s="5156"/>
      <c r="O10" s="5104"/>
      <c r="P10" s="5104"/>
      <c r="Q10" s="5108"/>
      <c r="R10" s="5157"/>
      <c r="S10" s="5108"/>
      <c r="T10" s="5108"/>
      <c r="U10" s="5155"/>
      <c r="V10" s="5157"/>
      <c r="W10" s="5156"/>
      <c r="X10" s="5120">
        <f t="shared" si="32"/>
        <v>1890</v>
      </c>
      <c r="Y10" s="5119"/>
      <c r="Z10" s="5108">
        <v>0</v>
      </c>
      <c r="AA10" s="5108"/>
      <c r="AB10" s="5157">
        <f t="shared" si="0"/>
        <v>0</v>
      </c>
      <c r="AC10" s="5108"/>
      <c r="AD10" s="5108"/>
      <c r="AE10" s="5108"/>
      <c r="AF10" s="5118">
        <f t="shared" si="33"/>
        <v>0</v>
      </c>
      <c r="AG10" s="5156">
        <f t="shared" si="34"/>
        <v>0</v>
      </c>
      <c r="AH10" s="5104"/>
      <c r="AI10" s="5104"/>
      <c r="AJ10" s="5104"/>
      <c r="AK10" s="5157">
        <f t="shared" si="3"/>
        <v>0</v>
      </c>
      <c r="AL10" s="5108"/>
      <c r="AM10" s="5108"/>
      <c r="AN10" s="5155"/>
      <c r="AO10" s="5157">
        <f t="shared" si="35"/>
        <v>0</v>
      </c>
      <c r="AP10" s="5156">
        <f t="shared" si="36"/>
        <v>0</v>
      </c>
      <c r="AQ10" s="5117">
        <f t="shared" si="37"/>
        <v>0</v>
      </c>
      <c r="AR10" s="5107">
        <f t="shared" si="38"/>
        <v>1890</v>
      </c>
      <c r="AS10" s="5154"/>
      <c r="AT10" s="5110"/>
      <c r="AU10" s="5116">
        <f t="shared" si="39"/>
        <v>0</v>
      </c>
      <c r="AV10" s="7030"/>
      <c r="AW10" s="5114">
        <f t="shared" si="40"/>
        <v>1890</v>
      </c>
      <c r="AX10" s="7282"/>
      <c r="AY10" s="5113">
        <f t="shared" si="41"/>
        <v>1890</v>
      </c>
      <c r="AZ10" s="7282"/>
      <c r="BA10" s="7282"/>
      <c r="BB10" s="7283"/>
      <c r="BC10" s="7283"/>
      <c r="BD10" s="7282"/>
      <c r="BE10" s="7282"/>
      <c r="BF10" s="7284"/>
      <c r="BG10" s="7284"/>
      <c r="BH10" s="7282"/>
      <c r="BI10" s="7282"/>
      <c r="BJ10" s="7284"/>
      <c r="BK10" s="7284"/>
      <c r="BL10" s="7282"/>
      <c r="BM10" s="7282"/>
      <c r="BN10" s="7282"/>
      <c r="BO10" s="7283"/>
      <c r="BP10" s="7282"/>
      <c r="BQ10" s="7285"/>
      <c r="BR10" s="7282"/>
      <c r="BS10" s="7282"/>
      <c r="BT10" s="7282"/>
      <c r="BU10" s="7282"/>
      <c r="BV10" s="7282"/>
      <c r="BW10" s="7282"/>
      <c r="BX10" s="7282"/>
      <c r="BY10" s="7282"/>
      <c r="BZ10" s="7282"/>
      <c r="CA10" s="7282"/>
      <c r="CB10" s="7282"/>
      <c r="CC10" s="7283"/>
      <c r="CD10" s="7282"/>
      <c r="CE10" s="7282"/>
      <c r="CF10" s="7282"/>
      <c r="CG10" s="7282"/>
      <c r="CH10" s="7282"/>
      <c r="CI10" s="7282"/>
      <c r="CJ10" s="7282"/>
      <c r="CK10" s="7282"/>
      <c r="CL10" s="7282"/>
      <c r="CM10" s="7282"/>
      <c r="CN10" s="7282"/>
      <c r="CO10" s="7282"/>
      <c r="CP10" s="7282"/>
      <c r="CQ10" s="7283"/>
      <c r="CR10" s="7282"/>
      <c r="CS10" s="7285"/>
      <c r="CT10" s="7284"/>
      <c r="CU10" s="7286"/>
      <c r="CV10" s="5138"/>
      <c r="CW10" s="5147"/>
    </row>
    <row r="11" spans="1:101" x14ac:dyDescent="0.25">
      <c r="A11" s="5170"/>
      <c r="B11" s="5170"/>
      <c r="C11" s="5170"/>
      <c r="D11" s="5170"/>
      <c r="E11" s="5158" t="s">
        <v>1421</v>
      </c>
      <c r="F11" s="5150">
        <v>778</v>
      </c>
      <c r="G11" s="5108"/>
      <c r="H11" s="5108"/>
      <c r="I11" s="5157">
        <f t="shared" si="31"/>
        <v>778</v>
      </c>
      <c r="J11" s="5108"/>
      <c r="K11" s="5108"/>
      <c r="L11" s="5108"/>
      <c r="M11" s="5157"/>
      <c r="N11" s="5156"/>
      <c r="O11" s="5104"/>
      <c r="P11" s="5104"/>
      <c r="Q11" s="5108"/>
      <c r="R11" s="5157"/>
      <c r="S11" s="5108"/>
      <c r="T11" s="5108"/>
      <c r="U11" s="5155"/>
      <c r="V11" s="5157"/>
      <c r="W11" s="5156"/>
      <c r="X11" s="5120">
        <f t="shared" si="32"/>
        <v>778</v>
      </c>
      <c r="Y11" s="5119">
        <v>0</v>
      </c>
      <c r="Z11" s="5108"/>
      <c r="AA11" s="5108"/>
      <c r="AB11" s="5157">
        <f t="shared" si="0"/>
        <v>0</v>
      </c>
      <c r="AC11" s="5108"/>
      <c r="AD11" s="5108"/>
      <c r="AE11" s="5108"/>
      <c r="AF11" s="5118">
        <f t="shared" si="33"/>
        <v>0</v>
      </c>
      <c r="AG11" s="5156">
        <f t="shared" si="34"/>
        <v>0</v>
      </c>
      <c r="AH11" s="5104"/>
      <c r="AI11" s="5104"/>
      <c r="AJ11" s="5104"/>
      <c r="AK11" s="5157">
        <f t="shared" si="3"/>
        <v>0</v>
      </c>
      <c r="AL11" s="5108"/>
      <c r="AM11" s="5108"/>
      <c r="AN11" s="5155"/>
      <c r="AO11" s="5157">
        <f t="shared" si="35"/>
        <v>0</v>
      </c>
      <c r="AP11" s="5156">
        <f t="shared" si="36"/>
        <v>0</v>
      </c>
      <c r="AQ11" s="5117">
        <f t="shared" si="37"/>
        <v>0</v>
      </c>
      <c r="AR11" s="5107">
        <f t="shared" si="38"/>
        <v>778</v>
      </c>
      <c r="AS11" s="5154"/>
      <c r="AT11" s="5110"/>
      <c r="AU11" s="5116">
        <f t="shared" si="39"/>
        <v>778</v>
      </c>
      <c r="AV11" s="5115"/>
      <c r="AW11" s="5114">
        <f t="shared" si="40"/>
        <v>0</v>
      </c>
      <c r="AX11" s="5113"/>
      <c r="AY11" s="5113">
        <f t="shared" si="41"/>
        <v>778</v>
      </c>
      <c r="AZ11" s="5113"/>
      <c r="BA11" s="5114">
        <f t="shared" si="7"/>
        <v>0</v>
      </c>
      <c r="BB11" s="5112"/>
      <c r="BC11" s="5112">
        <f t="shared" si="8"/>
        <v>778</v>
      </c>
      <c r="BD11" s="5113"/>
      <c r="BE11" s="5114">
        <f t="shared" si="9"/>
        <v>0</v>
      </c>
      <c r="BF11" s="5111"/>
      <c r="BG11" s="5111">
        <f t="shared" si="10"/>
        <v>778</v>
      </c>
      <c r="BH11" s="5113"/>
      <c r="BI11" s="5114">
        <f t="shared" si="11"/>
        <v>0</v>
      </c>
      <c r="BJ11" s="5111"/>
      <c r="BK11" s="5111">
        <f t="shared" si="12"/>
        <v>778</v>
      </c>
      <c r="BL11" s="5113"/>
      <c r="BM11" s="5114">
        <f t="shared" si="13"/>
        <v>0</v>
      </c>
      <c r="BN11" s="5113"/>
      <c r="BO11" s="5112">
        <f t="shared" si="14"/>
        <v>0</v>
      </c>
      <c r="BP11" s="5113"/>
      <c r="BQ11" s="5136">
        <f t="shared" si="15"/>
        <v>778</v>
      </c>
      <c r="BR11" s="5113"/>
      <c r="BS11" s="5114">
        <f t="shared" si="16"/>
        <v>0</v>
      </c>
      <c r="BT11" s="5113"/>
      <c r="BU11" s="5113">
        <f t="shared" si="17"/>
        <v>778</v>
      </c>
      <c r="BV11" s="5113"/>
      <c r="BW11" s="5114">
        <f t="shared" si="18"/>
        <v>0</v>
      </c>
      <c r="BX11" s="5113"/>
      <c r="BY11" s="5113">
        <f t="shared" si="19"/>
        <v>778</v>
      </c>
      <c r="BZ11" s="5113"/>
      <c r="CA11" s="5114">
        <f t="shared" si="20"/>
        <v>0</v>
      </c>
      <c r="CB11" s="5113"/>
      <c r="CC11" s="5112">
        <f t="shared" si="21"/>
        <v>0</v>
      </c>
      <c r="CD11" s="5113"/>
      <c r="CE11" s="5113">
        <f t="shared" si="22"/>
        <v>778</v>
      </c>
      <c r="CF11" s="5113"/>
      <c r="CG11" s="5114">
        <f t="shared" si="23"/>
        <v>0</v>
      </c>
      <c r="CH11" s="5113"/>
      <c r="CI11" s="5113">
        <f t="shared" si="24"/>
        <v>778</v>
      </c>
      <c r="CJ11" s="5113"/>
      <c r="CK11" s="5114">
        <f t="shared" si="25"/>
        <v>0</v>
      </c>
      <c r="CL11" s="5113"/>
      <c r="CM11" s="5113">
        <f t="shared" si="26"/>
        <v>778</v>
      </c>
      <c r="CN11" s="5113"/>
      <c r="CO11" s="5114">
        <f t="shared" si="27"/>
        <v>0</v>
      </c>
      <c r="CP11" s="5113"/>
      <c r="CQ11" s="5112">
        <f t="shared" si="28"/>
        <v>0</v>
      </c>
      <c r="CR11" s="5113"/>
      <c r="CS11" s="5136">
        <f t="shared" si="29"/>
        <v>0</v>
      </c>
      <c r="CT11" s="5111"/>
      <c r="CU11" s="5139">
        <f t="shared" si="30"/>
        <v>778</v>
      </c>
      <c r="CV11" s="5138"/>
      <c r="CW11" s="5147"/>
    </row>
    <row r="12" spans="1:101" x14ac:dyDescent="0.25">
      <c r="A12" s="5170"/>
      <c r="B12" s="5170"/>
      <c r="C12" s="5170"/>
      <c r="D12" s="5170"/>
      <c r="E12" s="5158" t="s">
        <v>2190</v>
      </c>
      <c r="F12" s="5150">
        <v>2306</v>
      </c>
      <c r="G12" s="5108">
        <v>2955</v>
      </c>
      <c r="H12" s="5108"/>
      <c r="I12" s="5157">
        <f t="shared" si="31"/>
        <v>5261</v>
      </c>
      <c r="J12" s="5108"/>
      <c r="K12" s="5108"/>
      <c r="L12" s="5108"/>
      <c r="M12" s="5157"/>
      <c r="N12" s="5156"/>
      <c r="O12" s="5104"/>
      <c r="P12" s="5104"/>
      <c r="Q12" s="5108"/>
      <c r="R12" s="5157"/>
      <c r="S12" s="5108"/>
      <c r="T12" s="5108"/>
      <c r="U12" s="5155"/>
      <c r="V12" s="5157"/>
      <c r="W12" s="5156"/>
      <c r="X12" s="5120">
        <f t="shared" si="32"/>
        <v>5261</v>
      </c>
      <c r="Y12" s="5119">
        <v>0</v>
      </c>
      <c r="Z12" s="5108">
        <v>0</v>
      </c>
      <c r="AA12" s="5108"/>
      <c r="AB12" s="5157">
        <f t="shared" si="0"/>
        <v>0</v>
      </c>
      <c r="AC12" s="5108"/>
      <c r="AD12" s="5108"/>
      <c r="AE12" s="5108"/>
      <c r="AF12" s="5118">
        <f t="shared" si="33"/>
        <v>0</v>
      </c>
      <c r="AG12" s="5156">
        <f t="shared" si="34"/>
        <v>0</v>
      </c>
      <c r="AH12" s="5104"/>
      <c r="AI12" s="5104"/>
      <c r="AJ12" s="5104"/>
      <c r="AK12" s="5157">
        <f t="shared" si="3"/>
        <v>0</v>
      </c>
      <c r="AL12" s="5108"/>
      <c r="AM12" s="5108"/>
      <c r="AN12" s="5155"/>
      <c r="AO12" s="5157">
        <f t="shared" si="35"/>
        <v>0</v>
      </c>
      <c r="AP12" s="5156">
        <f t="shared" si="36"/>
        <v>0</v>
      </c>
      <c r="AQ12" s="5117">
        <f t="shared" si="37"/>
        <v>0</v>
      </c>
      <c r="AR12" s="5107">
        <f t="shared" si="38"/>
        <v>5261</v>
      </c>
      <c r="AS12" s="5154"/>
      <c r="AT12" s="5110"/>
      <c r="AU12" s="5116">
        <f t="shared" si="39"/>
        <v>2306</v>
      </c>
      <c r="AV12" s="5115"/>
      <c r="AW12" s="5114">
        <f t="shared" si="40"/>
        <v>2955</v>
      </c>
      <c r="AX12" s="5113"/>
      <c r="AY12" s="5113">
        <f t="shared" si="41"/>
        <v>5261</v>
      </c>
      <c r="AZ12" s="5113"/>
      <c r="BA12" s="5114">
        <f t="shared" si="7"/>
        <v>0</v>
      </c>
      <c r="BB12" s="5112"/>
      <c r="BC12" s="5112">
        <f t="shared" si="8"/>
        <v>5261</v>
      </c>
      <c r="BD12" s="5113"/>
      <c r="BE12" s="5114">
        <f t="shared" si="9"/>
        <v>0</v>
      </c>
      <c r="BF12" s="5111"/>
      <c r="BG12" s="5111">
        <f t="shared" si="10"/>
        <v>5261</v>
      </c>
      <c r="BH12" s="5113"/>
      <c r="BI12" s="5114">
        <f t="shared" si="11"/>
        <v>0</v>
      </c>
      <c r="BJ12" s="5111"/>
      <c r="BK12" s="5111">
        <f t="shared" si="12"/>
        <v>5261</v>
      </c>
      <c r="BL12" s="5113"/>
      <c r="BM12" s="5114">
        <f t="shared" si="13"/>
        <v>0</v>
      </c>
      <c r="BN12" s="5113"/>
      <c r="BO12" s="5112">
        <f t="shared" si="14"/>
        <v>0</v>
      </c>
      <c r="BP12" s="5113"/>
      <c r="BQ12" s="5136">
        <f t="shared" si="15"/>
        <v>5261</v>
      </c>
      <c r="BR12" s="5113"/>
      <c r="BS12" s="5114">
        <f t="shared" si="16"/>
        <v>0</v>
      </c>
      <c r="BT12" s="5113"/>
      <c r="BU12" s="5113">
        <f t="shared" si="17"/>
        <v>5261</v>
      </c>
      <c r="BV12" s="5113"/>
      <c r="BW12" s="5114">
        <f t="shared" si="18"/>
        <v>0</v>
      </c>
      <c r="BX12" s="5113"/>
      <c r="BY12" s="5113">
        <f t="shared" si="19"/>
        <v>5261</v>
      </c>
      <c r="BZ12" s="5113"/>
      <c r="CA12" s="5114">
        <f t="shared" si="20"/>
        <v>0</v>
      </c>
      <c r="CB12" s="5113"/>
      <c r="CC12" s="5112">
        <f t="shared" si="21"/>
        <v>0</v>
      </c>
      <c r="CD12" s="5113"/>
      <c r="CE12" s="5113">
        <f t="shared" si="22"/>
        <v>5261</v>
      </c>
      <c r="CF12" s="5113"/>
      <c r="CG12" s="5114">
        <f t="shared" si="23"/>
        <v>0</v>
      </c>
      <c r="CH12" s="5113"/>
      <c r="CI12" s="5113">
        <f t="shared" si="24"/>
        <v>5261</v>
      </c>
      <c r="CJ12" s="5113"/>
      <c r="CK12" s="5114">
        <f t="shared" si="25"/>
        <v>0</v>
      </c>
      <c r="CL12" s="5113"/>
      <c r="CM12" s="5113">
        <f t="shared" si="26"/>
        <v>5261</v>
      </c>
      <c r="CN12" s="5113"/>
      <c r="CO12" s="5114">
        <f t="shared" si="27"/>
        <v>0</v>
      </c>
      <c r="CP12" s="5113"/>
      <c r="CQ12" s="5112">
        <f t="shared" si="28"/>
        <v>0</v>
      </c>
      <c r="CR12" s="5113"/>
      <c r="CS12" s="5136">
        <f t="shared" si="29"/>
        <v>0</v>
      </c>
      <c r="CT12" s="5111"/>
      <c r="CU12" s="5139">
        <f t="shared" si="30"/>
        <v>5261</v>
      </c>
      <c r="CV12" s="5138"/>
      <c r="CW12" s="5147"/>
    </row>
    <row r="13" spans="1:101" x14ac:dyDescent="0.25">
      <c r="A13" s="5170"/>
      <c r="B13" s="5170"/>
      <c r="C13" s="5170"/>
      <c r="D13" s="5170"/>
      <c r="E13" s="5158" t="s">
        <v>1422</v>
      </c>
      <c r="F13" s="5150"/>
      <c r="G13" s="5108">
        <v>203</v>
      </c>
      <c r="H13" s="5108"/>
      <c r="I13" s="5157">
        <f t="shared" si="31"/>
        <v>203</v>
      </c>
      <c r="J13" s="5108"/>
      <c r="K13" s="5108"/>
      <c r="L13" s="5108"/>
      <c r="M13" s="5157"/>
      <c r="N13" s="5156"/>
      <c r="O13" s="5104"/>
      <c r="P13" s="5104"/>
      <c r="Q13" s="5108"/>
      <c r="R13" s="5157"/>
      <c r="S13" s="5108"/>
      <c r="T13" s="5108"/>
      <c r="U13" s="5155"/>
      <c r="V13" s="5157"/>
      <c r="W13" s="5156"/>
      <c r="X13" s="5120">
        <f t="shared" si="32"/>
        <v>203</v>
      </c>
      <c r="Y13" s="5119"/>
      <c r="Z13" s="5108">
        <v>0</v>
      </c>
      <c r="AA13" s="5108"/>
      <c r="AB13" s="5157">
        <f t="shared" si="0"/>
        <v>0</v>
      </c>
      <c r="AC13" s="5108"/>
      <c r="AD13" s="5108"/>
      <c r="AE13" s="5108"/>
      <c r="AF13" s="5118">
        <f t="shared" si="33"/>
        <v>0</v>
      </c>
      <c r="AG13" s="5156">
        <f t="shared" si="34"/>
        <v>0</v>
      </c>
      <c r="AH13" s="5104"/>
      <c r="AI13" s="5104"/>
      <c r="AJ13" s="5104"/>
      <c r="AK13" s="5157">
        <f t="shared" si="3"/>
        <v>0</v>
      </c>
      <c r="AL13" s="5108"/>
      <c r="AM13" s="5108"/>
      <c r="AN13" s="5155"/>
      <c r="AO13" s="5157">
        <f t="shared" si="35"/>
        <v>0</v>
      </c>
      <c r="AP13" s="5156">
        <f t="shared" si="36"/>
        <v>0</v>
      </c>
      <c r="AQ13" s="5117">
        <f t="shared" si="37"/>
        <v>0</v>
      </c>
      <c r="AR13" s="5107">
        <f t="shared" si="38"/>
        <v>203</v>
      </c>
      <c r="AS13" s="5154"/>
      <c r="AT13" s="5110"/>
      <c r="AU13" s="5116">
        <f t="shared" si="39"/>
        <v>0</v>
      </c>
      <c r="AV13" s="7030"/>
      <c r="AW13" s="5114">
        <f t="shared" si="40"/>
        <v>203</v>
      </c>
      <c r="AX13" s="7282"/>
      <c r="AY13" s="5113">
        <f t="shared" si="41"/>
        <v>203</v>
      </c>
      <c r="AZ13" s="7282"/>
      <c r="BA13" s="7282"/>
      <c r="BB13" s="7283"/>
      <c r="BC13" s="7283"/>
      <c r="BD13" s="7282"/>
      <c r="BE13" s="7282"/>
      <c r="BF13" s="7284"/>
      <c r="BG13" s="7284"/>
      <c r="BH13" s="7282"/>
      <c r="BI13" s="7282"/>
      <c r="BJ13" s="7284"/>
      <c r="BK13" s="7284"/>
      <c r="BL13" s="7282"/>
      <c r="BM13" s="7282"/>
      <c r="BN13" s="7282"/>
      <c r="BO13" s="7283"/>
      <c r="BP13" s="7282"/>
      <c r="BQ13" s="7285"/>
      <c r="BR13" s="7282"/>
      <c r="BS13" s="7282"/>
      <c r="BT13" s="7282"/>
      <c r="BU13" s="7282"/>
      <c r="BV13" s="7282"/>
      <c r="BW13" s="7282"/>
      <c r="BX13" s="7282"/>
      <c r="BY13" s="7282"/>
      <c r="BZ13" s="7282"/>
      <c r="CA13" s="7282"/>
      <c r="CB13" s="7282"/>
      <c r="CC13" s="7283"/>
      <c r="CD13" s="7282"/>
      <c r="CE13" s="7282"/>
      <c r="CF13" s="7282"/>
      <c r="CG13" s="7282"/>
      <c r="CH13" s="7282"/>
      <c r="CI13" s="7282"/>
      <c r="CJ13" s="7282"/>
      <c r="CK13" s="7282"/>
      <c r="CL13" s="7282"/>
      <c r="CM13" s="7282"/>
      <c r="CN13" s="7282"/>
      <c r="CO13" s="7282"/>
      <c r="CP13" s="7282"/>
      <c r="CQ13" s="7283"/>
      <c r="CR13" s="7282"/>
      <c r="CS13" s="7285"/>
      <c r="CT13" s="7284"/>
      <c r="CU13" s="7286"/>
      <c r="CV13" s="5138"/>
      <c r="CW13" s="5147"/>
    </row>
    <row r="14" spans="1:101" x14ac:dyDescent="0.25">
      <c r="A14" s="5170"/>
      <c r="B14" s="5170"/>
      <c r="C14" s="5170"/>
      <c r="D14" s="5170"/>
      <c r="E14" s="5158" t="s">
        <v>1209</v>
      </c>
      <c r="F14" s="5150">
        <v>152</v>
      </c>
      <c r="G14" s="5108">
        <v>1416</v>
      </c>
      <c r="H14" s="5108"/>
      <c r="I14" s="5157">
        <f t="shared" si="31"/>
        <v>1568</v>
      </c>
      <c r="J14" s="5108"/>
      <c r="K14" s="5108"/>
      <c r="L14" s="5108"/>
      <c r="M14" s="5157"/>
      <c r="N14" s="5156"/>
      <c r="O14" s="5104"/>
      <c r="P14" s="5104"/>
      <c r="Q14" s="5108"/>
      <c r="R14" s="5157"/>
      <c r="S14" s="5108"/>
      <c r="T14" s="5108"/>
      <c r="U14" s="5155"/>
      <c r="V14" s="5157"/>
      <c r="W14" s="5156"/>
      <c r="X14" s="5120">
        <f t="shared" si="32"/>
        <v>1568</v>
      </c>
      <c r="Y14" s="5119">
        <v>0</v>
      </c>
      <c r="Z14" s="5108">
        <v>0</v>
      </c>
      <c r="AA14" s="5108"/>
      <c r="AB14" s="5157">
        <f t="shared" si="0"/>
        <v>0</v>
      </c>
      <c r="AC14" s="5108"/>
      <c r="AD14" s="5108"/>
      <c r="AE14" s="5108"/>
      <c r="AF14" s="5118">
        <f t="shared" si="33"/>
        <v>0</v>
      </c>
      <c r="AG14" s="5156">
        <f t="shared" si="34"/>
        <v>0</v>
      </c>
      <c r="AH14" s="5104"/>
      <c r="AI14" s="5104"/>
      <c r="AJ14" s="5104"/>
      <c r="AK14" s="5157">
        <f t="shared" si="3"/>
        <v>0</v>
      </c>
      <c r="AL14" s="5108"/>
      <c r="AM14" s="5108"/>
      <c r="AN14" s="5155"/>
      <c r="AO14" s="5157">
        <f t="shared" si="35"/>
        <v>0</v>
      </c>
      <c r="AP14" s="5156">
        <f t="shared" si="36"/>
        <v>0</v>
      </c>
      <c r="AQ14" s="5117">
        <f t="shared" si="37"/>
        <v>0</v>
      </c>
      <c r="AR14" s="5107">
        <f t="shared" si="38"/>
        <v>1568</v>
      </c>
      <c r="AS14" s="5154"/>
      <c r="AT14" s="5110"/>
      <c r="AU14" s="5116">
        <f t="shared" si="39"/>
        <v>152</v>
      </c>
      <c r="AV14" s="5115"/>
      <c r="AW14" s="5114">
        <f t="shared" si="40"/>
        <v>1416</v>
      </c>
      <c r="AX14" s="5113"/>
      <c r="AY14" s="5113">
        <f t="shared" si="41"/>
        <v>1568</v>
      </c>
      <c r="AZ14" s="5113"/>
      <c r="BA14" s="5114">
        <f t="shared" si="7"/>
        <v>0</v>
      </c>
      <c r="BB14" s="5112"/>
      <c r="BC14" s="5112">
        <f t="shared" si="8"/>
        <v>1568</v>
      </c>
      <c r="BD14" s="5113"/>
      <c r="BE14" s="5114">
        <f t="shared" si="9"/>
        <v>0</v>
      </c>
      <c r="BF14" s="5111"/>
      <c r="BG14" s="5111">
        <f t="shared" si="10"/>
        <v>1568</v>
      </c>
      <c r="BH14" s="5113"/>
      <c r="BI14" s="5114">
        <f t="shared" si="11"/>
        <v>0</v>
      </c>
      <c r="BJ14" s="5111"/>
      <c r="BK14" s="5111">
        <f t="shared" si="12"/>
        <v>1568</v>
      </c>
      <c r="BL14" s="5113"/>
      <c r="BM14" s="5114">
        <f t="shared" si="13"/>
        <v>0</v>
      </c>
      <c r="BN14" s="5113"/>
      <c r="BO14" s="5112">
        <f t="shared" si="14"/>
        <v>0</v>
      </c>
      <c r="BP14" s="5113"/>
      <c r="BQ14" s="5136">
        <f t="shared" si="15"/>
        <v>1568</v>
      </c>
      <c r="BR14" s="5113"/>
      <c r="BS14" s="5114">
        <f t="shared" si="16"/>
        <v>0</v>
      </c>
      <c r="BT14" s="5113"/>
      <c r="BU14" s="5113">
        <f t="shared" si="17"/>
        <v>1568</v>
      </c>
      <c r="BV14" s="5113"/>
      <c r="BW14" s="5114">
        <f t="shared" si="18"/>
        <v>0</v>
      </c>
      <c r="BX14" s="5113"/>
      <c r="BY14" s="5113">
        <f t="shared" si="19"/>
        <v>1568</v>
      </c>
      <c r="BZ14" s="5113"/>
      <c r="CA14" s="5114">
        <f t="shared" si="20"/>
        <v>0</v>
      </c>
      <c r="CB14" s="5113"/>
      <c r="CC14" s="5112">
        <f t="shared" si="21"/>
        <v>0</v>
      </c>
      <c r="CD14" s="5113"/>
      <c r="CE14" s="5113">
        <f t="shared" si="22"/>
        <v>1568</v>
      </c>
      <c r="CF14" s="5113"/>
      <c r="CG14" s="5114">
        <f t="shared" si="23"/>
        <v>0</v>
      </c>
      <c r="CH14" s="5113"/>
      <c r="CI14" s="5113">
        <f t="shared" si="24"/>
        <v>1568</v>
      </c>
      <c r="CJ14" s="5113"/>
      <c r="CK14" s="5114">
        <f t="shared" si="25"/>
        <v>0</v>
      </c>
      <c r="CL14" s="5113"/>
      <c r="CM14" s="5113">
        <f t="shared" si="26"/>
        <v>1568</v>
      </c>
      <c r="CN14" s="5113"/>
      <c r="CO14" s="5114">
        <f t="shared" si="27"/>
        <v>0</v>
      </c>
      <c r="CP14" s="5113"/>
      <c r="CQ14" s="5112">
        <f t="shared" si="28"/>
        <v>0</v>
      </c>
      <c r="CR14" s="5113"/>
      <c r="CS14" s="5136">
        <f t="shared" si="29"/>
        <v>0</v>
      </c>
      <c r="CT14" s="5111"/>
      <c r="CU14" s="5139">
        <f t="shared" si="30"/>
        <v>1568</v>
      </c>
      <c r="CV14" s="5138"/>
      <c r="CW14" s="5147"/>
    </row>
    <row r="15" spans="1:101" x14ac:dyDescent="0.25">
      <c r="A15" s="5170"/>
      <c r="B15" s="5170"/>
      <c r="C15" s="5170"/>
      <c r="D15" s="5170"/>
      <c r="E15" s="5158" t="s">
        <v>1211</v>
      </c>
      <c r="F15" s="5150">
        <v>1998</v>
      </c>
      <c r="G15" s="5108">
        <v>2501</v>
      </c>
      <c r="H15" s="5108"/>
      <c r="I15" s="5157">
        <f t="shared" si="31"/>
        <v>4499</v>
      </c>
      <c r="J15" s="5108"/>
      <c r="K15" s="5108"/>
      <c r="L15" s="5108"/>
      <c r="M15" s="5157"/>
      <c r="N15" s="5156"/>
      <c r="O15" s="5104"/>
      <c r="P15" s="5104"/>
      <c r="Q15" s="5108"/>
      <c r="R15" s="5157"/>
      <c r="S15" s="5108"/>
      <c r="T15" s="5108"/>
      <c r="U15" s="5155"/>
      <c r="V15" s="5157"/>
      <c r="W15" s="5156"/>
      <c r="X15" s="5120">
        <f t="shared" si="32"/>
        <v>4499</v>
      </c>
      <c r="Y15" s="5119">
        <v>0</v>
      </c>
      <c r="Z15" s="5108">
        <v>0</v>
      </c>
      <c r="AA15" s="5108"/>
      <c r="AB15" s="5157">
        <f t="shared" si="0"/>
        <v>0</v>
      </c>
      <c r="AC15" s="5108"/>
      <c r="AD15" s="5108"/>
      <c r="AE15" s="5108"/>
      <c r="AF15" s="5118">
        <f t="shared" si="33"/>
        <v>0</v>
      </c>
      <c r="AG15" s="5156">
        <f t="shared" si="34"/>
        <v>0</v>
      </c>
      <c r="AH15" s="5104"/>
      <c r="AI15" s="5104"/>
      <c r="AJ15" s="5104"/>
      <c r="AK15" s="5157">
        <f t="shared" si="3"/>
        <v>0</v>
      </c>
      <c r="AL15" s="5108"/>
      <c r="AM15" s="5108"/>
      <c r="AN15" s="5155"/>
      <c r="AO15" s="5157">
        <f t="shared" si="35"/>
        <v>0</v>
      </c>
      <c r="AP15" s="5156">
        <f t="shared" si="36"/>
        <v>0</v>
      </c>
      <c r="AQ15" s="5117">
        <f t="shared" si="37"/>
        <v>0</v>
      </c>
      <c r="AR15" s="5107">
        <f t="shared" si="38"/>
        <v>4499</v>
      </c>
      <c r="AS15" s="5154"/>
      <c r="AT15" s="5110"/>
      <c r="AU15" s="5116">
        <f t="shared" si="39"/>
        <v>1998</v>
      </c>
      <c r="AV15" s="5115"/>
      <c r="AW15" s="5114">
        <f t="shared" si="40"/>
        <v>2501</v>
      </c>
      <c r="AX15" s="5113"/>
      <c r="AY15" s="5113">
        <f t="shared" si="41"/>
        <v>4499</v>
      </c>
      <c r="AZ15" s="5113"/>
      <c r="BA15" s="5114">
        <f t="shared" si="7"/>
        <v>0</v>
      </c>
      <c r="BB15" s="5112"/>
      <c r="BC15" s="5112">
        <f t="shared" si="8"/>
        <v>4499</v>
      </c>
      <c r="BD15" s="5113"/>
      <c r="BE15" s="5114">
        <f t="shared" si="9"/>
        <v>0</v>
      </c>
      <c r="BF15" s="5111"/>
      <c r="BG15" s="5111">
        <f t="shared" si="10"/>
        <v>4499</v>
      </c>
      <c r="BH15" s="5113"/>
      <c r="BI15" s="5114">
        <f t="shared" si="11"/>
        <v>0</v>
      </c>
      <c r="BJ15" s="5111"/>
      <c r="BK15" s="5111">
        <f t="shared" si="12"/>
        <v>4499</v>
      </c>
      <c r="BL15" s="5113"/>
      <c r="BM15" s="5114">
        <f t="shared" si="13"/>
        <v>0</v>
      </c>
      <c r="BN15" s="5113"/>
      <c r="BO15" s="5112">
        <f t="shared" si="14"/>
        <v>0</v>
      </c>
      <c r="BP15" s="5113"/>
      <c r="BQ15" s="5136">
        <f t="shared" si="15"/>
        <v>4499</v>
      </c>
      <c r="BR15" s="5113"/>
      <c r="BS15" s="5114">
        <f t="shared" si="16"/>
        <v>0</v>
      </c>
      <c r="BT15" s="5113"/>
      <c r="BU15" s="5113">
        <f t="shared" si="17"/>
        <v>4499</v>
      </c>
      <c r="BV15" s="5113"/>
      <c r="BW15" s="5114">
        <f t="shared" si="18"/>
        <v>0</v>
      </c>
      <c r="BX15" s="5113"/>
      <c r="BY15" s="5113">
        <f t="shared" si="19"/>
        <v>4499</v>
      </c>
      <c r="BZ15" s="5113"/>
      <c r="CA15" s="5114">
        <f t="shared" si="20"/>
        <v>0</v>
      </c>
      <c r="CB15" s="5113"/>
      <c r="CC15" s="5112">
        <f t="shared" si="21"/>
        <v>0</v>
      </c>
      <c r="CD15" s="5113"/>
      <c r="CE15" s="5113">
        <f t="shared" si="22"/>
        <v>4499</v>
      </c>
      <c r="CF15" s="5113"/>
      <c r="CG15" s="5114">
        <f t="shared" si="23"/>
        <v>0</v>
      </c>
      <c r="CH15" s="5113"/>
      <c r="CI15" s="5113">
        <f t="shared" si="24"/>
        <v>4499</v>
      </c>
      <c r="CJ15" s="5113"/>
      <c r="CK15" s="5114">
        <f t="shared" si="25"/>
        <v>0</v>
      </c>
      <c r="CL15" s="5113"/>
      <c r="CM15" s="5113">
        <f t="shared" si="26"/>
        <v>4499</v>
      </c>
      <c r="CN15" s="5113"/>
      <c r="CO15" s="5114">
        <f t="shared" si="27"/>
        <v>0</v>
      </c>
      <c r="CP15" s="5113"/>
      <c r="CQ15" s="5112">
        <f t="shared" si="28"/>
        <v>0</v>
      </c>
      <c r="CR15" s="5113"/>
      <c r="CS15" s="5136">
        <f t="shared" si="29"/>
        <v>0</v>
      </c>
      <c r="CT15" s="5111"/>
      <c r="CU15" s="5139">
        <f t="shared" si="30"/>
        <v>4499</v>
      </c>
      <c r="CV15" s="5138"/>
      <c r="CW15" s="5147"/>
    </row>
    <row r="16" spans="1:101" x14ac:dyDescent="0.25">
      <c r="A16" s="5170"/>
      <c r="B16" s="5170"/>
      <c r="C16" s="5170"/>
      <c r="D16" s="5170"/>
      <c r="E16" s="5158" t="s">
        <v>2191</v>
      </c>
      <c r="F16" s="5150">
        <v>3795</v>
      </c>
      <c r="G16" s="5108">
        <v>2748</v>
      </c>
      <c r="H16" s="5108"/>
      <c r="I16" s="5157">
        <f t="shared" si="31"/>
        <v>6543</v>
      </c>
      <c r="J16" s="5108"/>
      <c r="K16" s="5108"/>
      <c r="L16" s="5108"/>
      <c r="M16" s="5157"/>
      <c r="N16" s="5156"/>
      <c r="O16" s="5104"/>
      <c r="P16" s="5104"/>
      <c r="Q16" s="5108"/>
      <c r="R16" s="5157"/>
      <c r="S16" s="5108"/>
      <c r="T16" s="5108"/>
      <c r="U16" s="5155"/>
      <c r="V16" s="5157"/>
      <c r="W16" s="5156"/>
      <c r="X16" s="5120">
        <f t="shared" si="32"/>
        <v>6543</v>
      </c>
      <c r="Y16" s="5119">
        <v>0</v>
      </c>
      <c r="Z16" s="5108">
        <v>0</v>
      </c>
      <c r="AA16" s="5108"/>
      <c r="AB16" s="5157">
        <f t="shared" si="0"/>
        <v>0</v>
      </c>
      <c r="AC16" s="5108"/>
      <c r="AD16" s="5108"/>
      <c r="AE16" s="5108"/>
      <c r="AF16" s="5118">
        <f t="shared" si="33"/>
        <v>0</v>
      </c>
      <c r="AG16" s="5156">
        <f t="shared" si="34"/>
        <v>0</v>
      </c>
      <c r="AH16" s="5104"/>
      <c r="AI16" s="5104"/>
      <c r="AJ16" s="5104"/>
      <c r="AK16" s="5157">
        <f t="shared" si="3"/>
        <v>0</v>
      </c>
      <c r="AL16" s="5108"/>
      <c r="AM16" s="5108"/>
      <c r="AN16" s="5155"/>
      <c r="AO16" s="5157">
        <f t="shared" si="35"/>
        <v>0</v>
      </c>
      <c r="AP16" s="5156">
        <f t="shared" si="36"/>
        <v>0</v>
      </c>
      <c r="AQ16" s="5117">
        <f t="shared" si="37"/>
        <v>0</v>
      </c>
      <c r="AR16" s="5107">
        <f t="shared" si="38"/>
        <v>6543</v>
      </c>
      <c r="AS16" s="5154"/>
      <c r="AT16" s="5110"/>
      <c r="AU16" s="5116">
        <f t="shared" si="39"/>
        <v>3795</v>
      </c>
      <c r="AV16" s="5115"/>
      <c r="AW16" s="5114">
        <f t="shared" si="40"/>
        <v>2748</v>
      </c>
      <c r="AX16" s="5113"/>
      <c r="AY16" s="5113">
        <f t="shared" si="41"/>
        <v>6543</v>
      </c>
      <c r="AZ16" s="5113"/>
      <c r="BA16" s="5114">
        <f t="shared" si="7"/>
        <v>0</v>
      </c>
      <c r="BB16" s="5112"/>
      <c r="BC16" s="5112">
        <f t="shared" si="8"/>
        <v>6543</v>
      </c>
      <c r="BD16" s="5113"/>
      <c r="BE16" s="5114">
        <f t="shared" si="9"/>
        <v>0</v>
      </c>
      <c r="BF16" s="5111"/>
      <c r="BG16" s="5111">
        <f t="shared" si="10"/>
        <v>6543</v>
      </c>
      <c r="BH16" s="5113"/>
      <c r="BI16" s="5114">
        <f t="shared" si="11"/>
        <v>0</v>
      </c>
      <c r="BJ16" s="5111"/>
      <c r="BK16" s="5111">
        <f t="shared" si="12"/>
        <v>6543</v>
      </c>
      <c r="BL16" s="5113"/>
      <c r="BM16" s="5114">
        <f t="shared" si="13"/>
        <v>0</v>
      </c>
      <c r="BN16" s="5113"/>
      <c r="BO16" s="5112">
        <f t="shared" si="14"/>
        <v>0</v>
      </c>
      <c r="BP16" s="5113"/>
      <c r="BQ16" s="5136">
        <f t="shared" si="15"/>
        <v>6543</v>
      </c>
      <c r="BR16" s="5113"/>
      <c r="BS16" s="5114">
        <f t="shared" si="16"/>
        <v>0</v>
      </c>
      <c r="BT16" s="5113"/>
      <c r="BU16" s="5113">
        <f t="shared" si="17"/>
        <v>6543</v>
      </c>
      <c r="BV16" s="5113"/>
      <c r="BW16" s="5114">
        <f t="shared" si="18"/>
        <v>0</v>
      </c>
      <c r="BX16" s="5113"/>
      <c r="BY16" s="5113">
        <f t="shared" si="19"/>
        <v>6543</v>
      </c>
      <c r="BZ16" s="5113"/>
      <c r="CA16" s="5114">
        <f t="shared" si="20"/>
        <v>0</v>
      </c>
      <c r="CB16" s="5113"/>
      <c r="CC16" s="5112">
        <f t="shared" si="21"/>
        <v>0</v>
      </c>
      <c r="CD16" s="5113"/>
      <c r="CE16" s="5113">
        <f t="shared" si="22"/>
        <v>6543</v>
      </c>
      <c r="CF16" s="5113"/>
      <c r="CG16" s="5114">
        <f t="shared" si="23"/>
        <v>0</v>
      </c>
      <c r="CH16" s="5113"/>
      <c r="CI16" s="5113">
        <f t="shared" si="24"/>
        <v>6543</v>
      </c>
      <c r="CJ16" s="5113"/>
      <c r="CK16" s="5114">
        <f t="shared" si="25"/>
        <v>0</v>
      </c>
      <c r="CL16" s="5113"/>
      <c r="CM16" s="5113">
        <f t="shared" si="26"/>
        <v>6543</v>
      </c>
      <c r="CN16" s="5113"/>
      <c r="CO16" s="5114">
        <f t="shared" si="27"/>
        <v>0</v>
      </c>
      <c r="CP16" s="5113"/>
      <c r="CQ16" s="5112">
        <f t="shared" si="28"/>
        <v>0</v>
      </c>
      <c r="CR16" s="5113"/>
      <c r="CS16" s="5136">
        <f t="shared" si="29"/>
        <v>0</v>
      </c>
      <c r="CT16" s="5111"/>
      <c r="CU16" s="5139">
        <f t="shared" si="30"/>
        <v>6543</v>
      </c>
      <c r="CV16" s="5138"/>
      <c r="CW16" s="5147"/>
    </row>
    <row r="17" spans="1:105" x14ac:dyDescent="0.25">
      <c r="A17" s="5170"/>
      <c r="B17" s="5170"/>
      <c r="C17" s="5170"/>
      <c r="D17" s="5170"/>
      <c r="E17" s="5158" t="s">
        <v>2192</v>
      </c>
      <c r="F17" s="5150">
        <v>3974</v>
      </c>
      <c r="G17" s="5108">
        <v>2518</v>
      </c>
      <c r="H17" s="5108"/>
      <c r="I17" s="5157">
        <f t="shared" si="31"/>
        <v>6492</v>
      </c>
      <c r="J17" s="5108"/>
      <c r="K17" s="5108"/>
      <c r="L17" s="5108"/>
      <c r="M17" s="5157"/>
      <c r="N17" s="5156"/>
      <c r="O17" s="5104"/>
      <c r="P17" s="5104"/>
      <c r="Q17" s="5108"/>
      <c r="R17" s="5157"/>
      <c r="S17" s="5108"/>
      <c r="T17" s="5108"/>
      <c r="U17" s="5155"/>
      <c r="V17" s="5157"/>
      <c r="W17" s="5156"/>
      <c r="X17" s="5120">
        <f t="shared" si="32"/>
        <v>6492</v>
      </c>
      <c r="Y17" s="5119">
        <v>0</v>
      </c>
      <c r="Z17" s="5108">
        <v>0</v>
      </c>
      <c r="AA17" s="5108"/>
      <c r="AB17" s="5157">
        <f t="shared" si="0"/>
        <v>0</v>
      </c>
      <c r="AC17" s="5108"/>
      <c r="AD17" s="5108"/>
      <c r="AE17" s="5108"/>
      <c r="AF17" s="5118">
        <f t="shared" si="33"/>
        <v>0</v>
      </c>
      <c r="AG17" s="5156">
        <f t="shared" si="34"/>
        <v>0</v>
      </c>
      <c r="AH17" s="5104"/>
      <c r="AI17" s="5104"/>
      <c r="AJ17" s="5104"/>
      <c r="AK17" s="5157">
        <f t="shared" si="3"/>
        <v>0</v>
      </c>
      <c r="AL17" s="5108"/>
      <c r="AM17" s="5108"/>
      <c r="AN17" s="5155"/>
      <c r="AO17" s="5157">
        <f t="shared" si="35"/>
        <v>0</v>
      </c>
      <c r="AP17" s="5156">
        <f t="shared" si="36"/>
        <v>0</v>
      </c>
      <c r="AQ17" s="5117">
        <f t="shared" si="37"/>
        <v>0</v>
      </c>
      <c r="AR17" s="5107">
        <f t="shared" si="38"/>
        <v>6492</v>
      </c>
      <c r="AS17" s="5154"/>
      <c r="AT17" s="5110"/>
      <c r="AU17" s="5116">
        <f t="shared" si="39"/>
        <v>3974</v>
      </c>
      <c r="AV17" s="5115"/>
      <c r="AW17" s="5114">
        <f t="shared" si="40"/>
        <v>2518</v>
      </c>
      <c r="AX17" s="5113"/>
      <c r="AY17" s="5113">
        <f t="shared" si="41"/>
        <v>6492</v>
      </c>
      <c r="AZ17" s="5113"/>
      <c r="BA17" s="5114">
        <f t="shared" si="7"/>
        <v>0</v>
      </c>
      <c r="BB17" s="5112"/>
      <c r="BC17" s="5112">
        <f t="shared" si="8"/>
        <v>6492</v>
      </c>
      <c r="BD17" s="5113"/>
      <c r="BE17" s="5114">
        <f t="shared" si="9"/>
        <v>0</v>
      </c>
      <c r="BF17" s="5111"/>
      <c r="BG17" s="5111">
        <f t="shared" si="10"/>
        <v>6492</v>
      </c>
      <c r="BH17" s="5113"/>
      <c r="BI17" s="5114">
        <f t="shared" si="11"/>
        <v>0</v>
      </c>
      <c r="BJ17" s="5111"/>
      <c r="BK17" s="5111">
        <f t="shared" si="12"/>
        <v>6492</v>
      </c>
      <c r="BL17" s="5113"/>
      <c r="BM17" s="5114">
        <f t="shared" si="13"/>
        <v>0</v>
      </c>
      <c r="BN17" s="5113"/>
      <c r="BO17" s="5112">
        <f t="shared" si="14"/>
        <v>0</v>
      </c>
      <c r="BP17" s="5113"/>
      <c r="BQ17" s="5136">
        <f t="shared" si="15"/>
        <v>6492</v>
      </c>
      <c r="BR17" s="5113"/>
      <c r="BS17" s="5114">
        <f t="shared" si="16"/>
        <v>0</v>
      </c>
      <c r="BT17" s="5113"/>
      <c r="BU17" s="5113">
        <f t="shared" si="17"/>
        <v>6492</v>
      </c>
      <c r="BV17" s="5113"/>
      <c r="BW17" s="5114">
        <f t="shared" si="18"/>
        <v>0</v>
      </c>
      <c r="BX17" s="5113"/>
      <c r="BY17" s="5113">
        <f t="shared" si="19"/>
        <v>6492</v>
      </c>
      <c r="BZ17" s="5113"/>
      <c r="CA17" s="5114">
        <f t="shared" si="20"/>
        <v>0</v>
      </c>
      <c r="CB17" s="5113"/>
      <c r="CC17" s="5112">
        <f t="shared" si="21"/>
        <v>0</v>
      </c>
      <c r="CD17" s="5113"/>
      <c r="CE17" s="5113">
        <f t="shared" si="22"/>
        <v>6492</v>
      </c>
      <c r="CF17" s="5113"/>
      <c r="CG17" s="5114">
        <f t="shared" si="23"/>
        <v>0</v>
      </c>
      <c r="CH17" s="5113"/>
      <c r="CI17" s="5113">
        <f t="shared" si="24"/>
        <v>6492</v>
      </c>
      <c r="CJ17" s="5113"/>
      <c r="CK17" s="5114">
        <f t="shared" si="25"/>
        <v>0</v>
      </c>
      <c r="CL17" s="5113"/>
      <c r="CM17" s="5113">
        <f t="shared" si="26"/>
        <v>6492</v>
      </c>
      <c r="CN17" s="5113"/>
      <c r="CO17" s="5114">
        <f t="shared" si="27"/>
        <v>0</v>
      </c>
      <c r="CP17" s="5113"/>
      <c r="CQ17" s="5112">
        <f t="shared" si="28"/>
        <v>0</v>
      </c>
      <c r="CR17" s="5113"/>
      <c r="CS17" s="5136">
        <f t="shared" si="29"/>
        <v>0</v>
      </c>
      <c r="CT17" s="5111"/>
      <c r="CU17" s="5139">
        <f t="shared" si="30"/>
        <v>6492</v>
      </c>
      <c r="CV17" s="5138"/>
      <c r="CW17" s="5147"/>
    </row>
    <row r="18" spans="1:105" x14ac:dyDescent="0.25">
      <c r="A18" s="5170"/>
      <c r="B18" s="5170"/>
      <c r="C18" s="5170"/>
      <c r="D18" s="5170"/>
      <c r="E18" s="5158" t="s">
        <v>2334</v>
      </c>
      <c r="F18" s="5150">
        <v>685</v>
      </c>
      <c r="G18" s="5108">
        <v>480</v>
      </c>
      <c r="H18" s="5108"/>
      <c r="I18" s="5157">
        <f t="shared" si="31"/>
        <v>1165</v>
      </c>
      <c r="J18" s="5108"/>
      <c r="K18" s="5108"/>
      <c r="L18" s="5108"/>
      <c r="M18" s="5157"/>
      <c r="N18" s="5156"/>
      <c r="O18" s="5104"/>
      <c r="P18" s="5104"/>
      <c r="Q18" s="5108"/>
      <c r="R18" s="5157"/>
      <c r="S18" s="5108"/>
      <c r="T18" s="5108"/>
      <c r="U18" s="5155"/>
      <c r="V18" s="5157"/>
      <c r="W18" s="5156"/>
      <c r="X18" s="5120">
        <f t="shared" si="32"/>
        <v>1165</v>
      </c>
      <c r="Y18" s="5119">
        <v>0</v>
      </c>
      <c r="Z18" s="5108">
        <v>0</v>
      </c>
      <c r="AA18" s="5108"/>
      <c r="AB18" s="5157">
        <f t="shared" si="0"/>
        <v>0</v>
      </c>
      <c r="AC18" s="5108"/>
      <c r="AD18" s="5108"/>
      <c r="AE18" s="5108"/>
      <c r="AF18" s="5118">
        <f t="shared" si="33"/>
        <v>0</v>
      </c>
      <c r="AG18" s="5156">
        <f t="shared" si="34"/>
        <v>0</v>
      </c>
      <c r="AH18" s="5104"/>
      <c r="AI18" s="5104"/>
      <c r="AJ18" s="5104"/>
      <c r="AK18" s="5157">
        <f t="shared" si="3"/>
        <v>0</v>
      </c>
      <c r="AL18" s="5108"/>
      <c r="AM18" s="5108"/>
      <c r="AN18" s="5155"/>
      <c r="AO18" s="5157">
        <f t="shared" si="35"/>
        <v>0</v>
      </c>
      <c r="AP18" s="5156">
        <f t="shared" si="36"/>
        <v>0</v>
      </c>
      <c r="AQ18" s="5117">
        <f t="shared" si="37"/>
        <v>0</v>
      </c>
      <c r="AR18" s="5107">
        <f t="shared" si="38"/>
        <v>1165</v>
      </c>
      <c r="AS18" s="5154"/>
      <c r="AT18" s="5110"/>
      <c r="AU18" s="5116">
        <f t="shared" si="39"/>
        <v>685</v>
      </c>
      <c r="AV18" s="5115"/>
      <c r="AW18" s="5114">
        <f t="shared" si="40"/>
        <v>480</v>
      </c>
      <c r="AX18" s="5113"/>
      <c r="AY18" s="5113">
        <f t="shared" si="41"/>
        <v>1165</v>
      </c>
      <c r="AZ18" s="5113"/>
      <c r="BA18" s="5114">
        <f t="shared" si="7"/>
        <v>0</v>
      </c>
      <c r="BB18" s="5112"/>
      <c r="BC18" s="5112">
        <f t="shared" si="8"/>
        <v>1165</v>
      </c>
      <c r="BD18" s="5113"/>
      <c r="BE18" s="5114">
        <f t="shared" si="9"/>
        <v>0</v>
      </c>
      <c r="BF18" s="5111"/>
      <c r="BG18" s="5111">
        <f t="shared" si="10"/>
        <v>1165</v>
      </c>
      <c r="BH18" s="5113"/>
      <c r="BI18" s="5114">
        <f t="shared" si="11"/>
        <v>0</v>
      </c>
      <c r="BJ18" s="5111"/>
      <c r="BK18" s="5111">
        <f t="shared" si="12"/>
        <v>1165</v>
      </c>
      <c r="BL18" s="5113"/>
      <c r="BM18" s="5114">
        <f t="shared" si="13"/>
        <v>0</v>
      </c>
      <c r="BN18" s="5113"/>
      <c r="BO18" s="5112">
        <f t="shared" si="14"/>
        <v>0</v>
      </c>
      <c r="BP18" s="5113"/>
      <c r="BQ18" s="5136">
        <f t="shared" si="15"/>
        <v>1165</v>
      </c>
      <c r="BR18" s="5113"/>
      <c r="BS18" s="5114">
        <f t="shared" si="16"/>
        <v>0</v>
      </c>
      <c r="BT18" s="5113"/>
      <c r="BU18" s="5113">
        <f t="shared" si="17"/>
        <v>1165</v>
      </c>
      <c r="BV18" s="5113"/>
      <c r="BW18" s="5114">
        <f t="shared" si="18"/>
        <v>0</v>
      </c>
      <c r="BX18" s="5113"/>
      <c r="BY18" s="5113">
        <f t="shared" si="19"/>
        <v>1165</v>
      </c>
      <c r="BZ18" s="5113"/>
      <c r="CA18" s="5114">
        <f t="shared" si="20"/>
        <v>0</v>
      </c>
      <c r="CB18" s="5113"/>
      <c r="CC18" s="5112">
        <f t="shared" si="21"/>
        <v>0</v>
      </c>
      <c r="CD18" s="5113"/>
      <c r="CE18" s="5113">
        <f t="shared" si="22"/>
        <v>1165</v>
      </c>
      <c r="CF18" s="5113"/>
      <c r="CG18" s="5114">
        <f t="shared" si="23"/>
        <v>0</v>
      </c>
      <c r="CH18" s="5113"/>
      <c r="CI18" s="5113">
        <f t="shared" si="24"/>
        <v>1165</v>
      </c>
      <c r="CJ18" s="5113"/>
      <c r="CK18" s="5114">
        <f t="shared" si="25"/>
        <v>0</v>
      </c>
      <c r="CL18" s="5113"/>
      <c r="CM18" s="5113">
        <f t="shared" si="26"/>
        <v>1165</v>
      </c>
      <c r="CN18" s="5113"/>
      <c r="CO18" s="5114">
        <f t="shared" si="27"/>
        <v>0</v>
      </c>
      <c r="CP18" s="5113"/>
      <c r="CQ18" s="5112">
        <f t="shared" si="28"/>
        <v>0</v>
      </c>
      <c r="CR18" s="5113"/>
      <c r="CS18" s="5136">
        <f t="shared" si="29"/>
        <v>0</v>
      </c>
      <c r="CT18" s="5111"/>
      <c r="CU18" s="5139">
        <f t="shared" si="30"/>
        <v>1165</v>
      </c>
      <c r="CV18" s="5138"/>
      <c r="CW18" s="5147"/>
    </row>
    <row r="19" spans="1:105" x14ac:dyDescent="0.25">
      <c r="A19" s="5170"/>
      <c r="B19" s="5170"/>
      <c r="C19" s="5170"/>
      <c r="D19" s="5170"/>
      <c r="E19" s="5158" t="s">
        <v>2285</v>
      </c>
      <c r="F19" s="5150">
        <v>1636</v>
      </c>
      <c r="G19" s="5108"/>
      <c r="H19" s="5108"/>
      <c r="I19" s="5157">
        <f t="shared" si="31"/>
        <v>1636</v>
      </c>
      <c r="J19" s="5108"/>
      <c r="K19" s="5108"/>
      <c r="L19" s="5108"/>
      <c r="M19" s="5157"/>
      <c r="N19" s="5156"/>
      <c r="O19" s="5104"/>
      <c r="P19" s="5104"/>
      <c r="Q19" s="5108"/>
      <c r="R19" s="5157"/>
      <c r="S19" s="5108"/>
      <c r="T19" s="5108"/>
      <c r="U19" s="5155"/>
      <c r="V19" s="5157"/>
      <c r="W19" s="5156"/>
      <c r="X19" s="5120">
        <f t="shared" si="32"/>
        <v>1636</v>
      </c>
      <c r="Y19" s="5119">
        <v>0</v>
      </c>
      <c r="Z19" s="5108"/>
      <c r="AA19" s="5108"/>
      <c r="AB19" s="5157">
        <f t="shared" si="0"/>
        <v>0</v>
      </c>
      <c r="AC19" s="5108"/>
      <c r="AD19" s="5108"/>
      <c r="AE19" s="5108"/>
      <c r="AF19" s="5118">
        <f t="shared" si="33"/>
        <v>0</v>
      </c>
      <c r="AG19" s="5156">
        <f t="shared" si="34"/>
        <v>0</v>
      </c>
      <c r="AH19" s="5104"/>
      <c r="AI19" s="5104"/>
      <c r="AJ19" s="5104"/>
      <c r="AK19" s="5157">
        <f t="shared" si="3"/>
        <v>0</v>
      </c>
      <c r="AL19" s="5108"/>
      <c r="AM19" s="5108"/>
      <c r="AN19" s="5155"/>
      <c r="AO19" s="5157">
        <f t="shared" si="35"/>
        <v>0</v>
      </c>
      <c r="AP19" s="5156">
        <f t="shared" si="36"/>
        <v>0</v>
      </c>
      <c r="AQ19" s="5117">
        <f t="shared" si="37"/>
        <v>0</v>
      </c>
      <c r="AR19" s="5107">
        <f t="shared" si="38"/>
        <v>1636</v>
      </c>
      <c r="AS19" s="5154"/>
      <c r="AT19" s="5110"/>
      <c r="AU19" s="5116">
        <f t="shared" si="39"/>
        <v>1636</v>
      </c>
      <c r="AV19" s="5115"/>
      <c r="AW19" s="5114">
        <f t="shared" si="40"/>
        <v>0</v>
      </c>
      <c r="AX19" s="5113"/>
      <c r="AY19" s="5113">
        <f t="shared" si="41"/>
        <v>1636</v>
      </c>
      <c r="AZ19" s="5113"/>
      <c r="BA19" s="5114">
        <f t="shared" si="7"/>
        <v>0</v>
      </c>
      <c r="BB19" s="5112"/>
      <c r="BC19" s="5112">
        <f t="shared" si="8"/>
        <v>1636</v>
      </c>
      <c r="BD19" s="5113"/>
      <c r="BE19" s="5114">
        <f t="shared" si="9"/>
        <v>0</v>
      </c>
      <c r="BF19" s="5111"/>
      <c r="BG19" s="5111">
        <f t="shared" si="10"/>
        <v>1636</v>
      </c>
      <c r="BH19" s="5113"/>
      <c r="BI19" s="5114">
        <f t="shared" si="11"/>
        <v>0</v>
      </c>
      <c r="BJ19" s="5111"/>
      <c r="BK19" s="5111">
        <f t="shared" si="12"/>
        <v>1636</v>
      </c>
      <c r="BL19" s="5113"/>
      <c r="BM19" s="5114">
        <f t="shared" si="13"/>
        <v>0</v>
      </c>
      <c r="BN19" s="5113"/>
      <c r="BO19" s="5112">
        <f t="shared" si="14"/>
        <v>0</v>
      </c>
      <c r="BP19" s="5113"/>
      <c r="BQ19" s="5136">
        <f t="shared" si="15"/>
        <v>1636</v>
      </c>
      <c r="BR19" s="5113"/>
      <c r="BS19" s="5114">
        <f t="shared" si="16"/>
        <v>0</v>
      </c>
      <c r="BT19" s="5113"/>
      <c r="BU19" s="5113">
        <f t="shared" si="17"/>
        <v>1636</v>
      </c>
      <c r="BV19" s="5113"/>
      <c r="BW19" s="5114">
        <f t="shared" si="18"/>
        <v>0</v>
      </c>
      <c r="BX19" s="5113"/>
      <c r="BY19" s="5113">
        <f t="shared" si="19"/>
        <v>1636</v>
      </c>
      <c r="BZ19" s="5113"/>
      <c r="CA19" s="5114">
        <f t="shared" si="20"/>
        <v>0</v>
      </c>
      <c r="CB19" s="5113"/>
      <c r="CC19" s="5112">
        <f t="shared" si="21"/>
        <v>0</v>
      </c>
      <c r="CD19" s="5113"/>
      <c r="CE19" s="5113">
        <f t="shared" si="22"/>
        <v>1636</v>
      </c>
      <c r="CF19" s="5113"/>
      <c r="CG19" s="5114">
        <f t="shared" si="23"/>
        <v>0</v>
      </c>
      <c r="CH19" s="5113"/>
      <c r="CI19" s="5113">
        <f t="shared" si="24"/>
        <v>1636</v>
      </c>
      <c r="CJ19" s="5113"/>
      <c r="CK19" s="5114">
        <f t="shared" si="25"/>
        <v>0</v>
      </c>
      <c r="CL19" s="5113"/>
      <c r="CM19" s="5113">
        <f t="shared" si="26"/>
        <v>1636</v>
      </c>
      <c r="CN19" s="5113"/>
      <c r="CO19" s="5114">
        <f t="shared" si="27"/>
        <v>0</v>
      </c>
      <c r="CP19" s="5113"/>
      <c r="CQ19" s="5112">
        <f t="shared" si="28"/>
        <v>0</v>
      </c>
      <c r="CR19" s="5113"/>
      <c r="CS19" s="5136">
        <f t="shared" si="29"/>
        <v>0</v>
      </c>
      <c r="CT19" s="5111"/>
      <c r="CU19" s="5139">
        <f t="shared" si="30"/>
        <v>1636</v>
      </c>
      <c r="CV19" s="5138"/>
      <c r="CW19" s="5147"/>
    </row>
    <row r="20" spans="1:105" x14ac:dyDescent="0.25">
      <c r="A20" s="5170"/>
      <c r="B20" s="5170"/>
      <c r="C20" s="5170"/>
      <c r="D20" s="5170"/>
      <c r="E20" s="5158" t="s">
        <v>2196</v>
      </c>
      <c r="F20" s="5150">
        <v>2361</v>
      </c>
      <c r="G20" s="5108">
        <v>3357</v>
      </c>
      <c r="H20" s="5108"/>
      <c r="I20" s="5157">
        <f t="shared" si="31"/>
        <v>5718</v>
      </c>
      <c r="J20" s="5108"/>
      <c r="K20" s="5108"/>
      <c r="L20" s="5108"/>
      <c r="M20" s="5157"/>
      <c r="N20" s="5156"/>
      <c r="O20" s="5104"/>
      <c r="P20" s="5104"/>
      <c r="Q20" s="5108"/>
      <c r="R20" s="5157"/>
      <c r="S20" s="5108"/>
      <c r="T20" s="5108"/>
      <c r="U20" s="5155"/>
      <c r="V20" s="5157"/>
      <c r="W20" s="5156"/>
      <c r="X20" s="5120">
        <f t="shared" si="32"/>
        <v>5718</v>
      </c>
      <c r="Y20" s="5119">
        <v>0</v>
      </c>
      <c r="Z20" s="5108">
        <v>725</v>
      </c>
      <c r="AA20" s="5108"/>
      <c r="AB20" s="5157">
        <f t="shared" si="0"/>
        <v>725</v>
      </c>
      <c r="AC20" s="5108"/>
      <c r="AD20" s="5108"/>
      <c r="AE20" s="5108"/>
      <c r="AF20" s="5118">
        <f t="shared" si="33"/>
        <v>0</v>
      </c>
      <c r="AG20" s="5156">
        <f t="shared" si="34"/>
        <v>725</v>
      </c>
      <c r="AH20" s="5104"/>
      <c r="AI20" s="5104"/>
      <c r="AJ20" s="5104"/>
      <c r="AK20" s="5157">
        <f t="shared" si="3"/>
        <v>0</v>
      </c>
      <c r="AL20" s="5108"/>
      <c r="AM20" s="5108"/>
      <c r="AN20" s="5155"/>
      <c r="AO20" s="5157">
        <f t="shared" si="35"/>
        <v>0</v>
      </c>
      <c r="AP20" s="5156">
        <f t="shared" si="36"/>
        <v>0</v>
      </c>
      <c r="AQ20" s="5117">
        <f t="shared" si="37"/>
        <v>725</v>
      </c>
      <c r="AR20" s="5107">
        <f t="shared" si="38"/>
        <v>6443</v>
      </c>
      <c r="AS20" s="5154"/>
      <c r="AT20" s="5110"/>
      <c r="AU20" s="5116">
        <f t="shared" si="39"/>
        <v>2361</v>
      </c>
      <c r="AV20" s="5115"/>
      <c r="AW20" s="5114">
        <f t="shared" si="40"/>
        <v>4082</v>
      </c>
      <c r="AX20" s="5113"/>
      <c r="AY20" s="5113">
        <f t="shared" si="41"/>
        <v>6443</v>
      </c>
      <c r="AZ20" s="5113"/>
      <c r="BA20" s="5114">
        <f t="shared" si="7"/>
        <v>0</v>
      </c>
      <c r="BB20" s="5112"/>
      <c r="BC20" s="5112">
        <f t="shared" si="8"/>
        <v>6443</v>
      </c>
      <c r="BD20" s="5113"/>
      <c r="BE20" s="5114">
        <f t="shared" si="9"/>
        <v>0</v>
      </c>
      <c r="BF20" s="5111"/>
      <c r="BG20" s="5111">
        <f t="shared" si="10"/>
        <v>6443</v>
      </c>
      <c r="BH20" s="5113"/>
      <c r="BI20" s="5114">
        <f t="shared" si="11"/>
        <v>0</v>
      </c>
      <c r="BJ20" s="5111"/>
      <c r="BK20" s="5111">
        <f t="shared" si="12"/>
        <v>6443</v>
      </c>
      <c r="BL20" s="5113"/>
      <c r="BM20" s="5114">
        <f t="shared" si="13"/>
        <v>0</v>
      </c>
      <c r="BN20" s="5113"/>
      <c r="BO20" s="5112">
        <f t="shared" si="14"/>
        <v>0</v>
      </c>
      <c r="BP20" s="5113"/>
      <c r="BQ20" s="5136">
        <f t="shared" si="15"/>
        <v>6443</v>
      </c>
      <c r="BR20" s="5113"/>
      <c r="BS20" s="5114">
        <f t="shared" si="16"/>
        <v>0</v>
      </c>
      <c r="BT20" s="5113"/>
      <c r="BU20" s="5113">
        <f t="shared" si="17"/>
        <v>6443</v>
      </c>
      <c r="BV20" s="5113"/>
      <c r="BW20" s="5114">
        <f t="shared" si="18"/>
        <v>0</v>
      </c>
      <c r="BX20" s="5113"/>
      <c r="BY20" s="5113">
        <f t="shared" si="19"/>
        <v>6443</v>
      </c>
      <c r="BZ20" s="5113"/>
      <c r="CA20" s="5114">
        <f t="shared" si="20"/>
        <v>0</v>
      </c>
      <c r="CB20" s="5113"/>
      <c r="CC20" s="5112">
        <f t="shared" si="21"/>
        <v>0</v>
      </c>
      <c r="CD20" s="5113"/>
      <c r="CE20" s="5113">
        <f t="shared" si="22"/>
        <v>6443</v>
      </c>
      <c r="CF20" s="5113"/>
      <c r="CG20" s="5114">
        <f t="shared" si="23"/>
        <v>0</v>
      </c>
      <c r="CH20" s="5113"/>
      <c r="CI20" s="5113">
        <f t="shared" si="24"/>
        <v>6443</v>
      </c>
      <c r="CJ20" s="5113"/>
      <c r="CK20" s="5114">
        <f t="shared" si="25"/>
        <v>0</v>
      </c>
      <c r="CL20" s="5113"/>
      <c r="CM20" s="5113">
        <f t="shared" si="26"/>
        <v>6443</v>
      </c>
      <c r="CN20" s="5113"/>
      <c r="CO20" s="5114">
        <f t="shared" si="27"/>
        <v>0</v>
      </c>
      <c r="CP20" s="5113"/>
      <c r="CQ20" s="5112">
        <f t="shared" si="28"/>
        <v>0</v>
      </c>
      <c r="CR20" s="5113"/>
      <c r="CS20" s="5136">
        <f t="shared" si="29"/>
        <v>0</v>
      </c>
      <c r="CT20" s="5111"/>
      <c r="CU20" s="5139">
        <f t="shared" si="30"/>
        <v>6443</v>
      </c>
      <c r="CV20" s="5138"/>
      <c r="CW20" s="5147"/>
      <c r="CY20" s="5146"/>
      <c r="CZ20" s="5146"/>
      <c r="DA20" s="5146"/>
    </row>
    <row r="21" spans="1:105" x14ac:dyDescent="0.25">
      <c r="A21" s="5170"/>
      <c r="B21" s="5170"/>
      <c r="C21" s="5170"/>
      <c r="D21" s="5170"/>
      <c r="E21" s="5158" t="s">
        <v>1430</v>
      </c>
      <c r="F21" s="5150">
        <v>106</v>
      </c>
      <c r="G21" s="5108">
        <v>410</v>
      </c>
      <c r="H21" s="5108"/>
      <c r="I21" s="5157">
        <f t="shared" si="31"/>
        <v>516</v>
      </c>
      <c r="J21" s="5108"/>
      <c r="K21" s="5108"/>
      <c r="L21" s="5108"/>
      <c r="M21" s="5157"/>
      <c r="N21" s="5156"/>
      <c r="O21" s="5104"/>
      <c r="P21" s="5104"/>
      <c r="Q21" s="5108"/>
      <c r="R21" s="5157"/>
      <c r="S21" s="5108"/>
      <c r="T21" s="5108"/>
      <c r="U21" s="5155"/>
      <c r="V21" s="5157"/>
      <c r="W21" s="5156"/>
      <c r="X21" s="5120">
        <f t="shared" si="32"/>
        <v>516</v>
      </c>
      <c r="Y21" s="5119">
        <v>0</v>
      </c>
      <c r="Z21" s="5108">
        <v>0</v>
      </c>
      <c r="AA21" s="5108"/>
      <c r="AB21" s="5157">
        <f t="shared" si="0"/>
        <v>0</v>
      </c>
      <c r="AC21" s="5108"/>
      <c r="AD21" s="5108"/>
      <c r="AE21" s="5108"/>
      <c r="AF21" s="5118">
        <f t="shared" si="33"/>
        <v>0</v>
      </c>
      <c r="AG21" s="5156">
        <f t="shared" si="34"/>
        <v>0</v>
      </c>
      <c r="AH21" s="5104"/>
      <c r="AI21" s="5104"/>
      <c r="AJ21" s="5104"/>
      <c r="AK21" s="5157">
        <f t="shared" si="3"/>
        <v>0</v>
      </c>
      <c r="AL21" s="5108"/>
      <c r="AM21" s="5108"/>
      <c r="AN21" s="5155"/>
      <c r="AO21" s="5157">
        <f t="shared" si="35"/>
        <v>0</v>
      </c>
      <c r="AP21" s="5156">
        <f t="shared" si="36"/>
        <v>0</v>
      </c>
      <c r="AQ21" s="5117">
        <f t="shared" si="37"/>
        <v>0</v>
      </c>
      <c r="AR21" s="5107">
        <f t="shared" si="38"/>
        <v>516</v>
      </c>
      <c r="AS21" s="5154"/>
      <c r="AT21" s="5110"/>
      <c r="AU21" s="5116">
        <f t="shared" si="39"/>
        <v>106</v>
      </c>
      <c r="AV21" s="5115"/>
      <c r="AW21" s="5114">
        <f t="shared" si="40"/>
        <v>410</v>
      </c>
      <c r="AX21" s="5113"/>
      <c r="AY21" s="5113">
        <f t="shared" si="41"/>
        <v>516</v>
      </c>
      <c r="AZ21" s="5113"/>
      <c r="BA21" s="5114">
        <f t="shared" si="7"/>
        <v>0</v>
      </c>
      <c r="BB21" s="5112"/>
      <c r="BC21" s="5112">
        <f t="shared" si="8"/>
        <v>516</v>
      </c>
      <c r="BD21" s="5113"/>
      <c r="BE21" s="5114">
        <f t="shared" si="9"/>
        <v>0</v>
      </c>
      <c r="BF21" s="5111"/>
      <c r="BG21" s="5111">
        <f t="shared" si="10"/>
        <v>516</v>
      </c>
      <c r="BH21" s="5113"/>
      <c r="BI21" s="5114">
        <f t="shared" si="11"/>
        <v>0</v>
      </c>
      <c r="BJ21" s="5111"/>
      <c r="BK21" s="5111">
        <f t="shared" si="12"/>
        <v>516</v>
      </c>
      <c r="BL21" s="5113"/>
      <c r="BM21" s="5114">
        <f t="shared" si="13"/>
        <v>0</v>
      </c>
      <c r="BN21" s="5113"/>
      <c r="BO21" s="5112">
        <f t="shared" si="14"/>
        <v>0</v>
      </c>
      <c r="BP21" s="5113"/>
      <c r="BQ21" s="5136">
        <f t="shared" si="15"/>
        <v>516</v>
      </c>
      <c r="BR21" s="5113"/>
      <c r="BS21" s="5114">
        <f t="shared" si="16"/>
        <v>0</v>
      </c>
      <c r="BT21" s="5113"/>
      <c r="BU21" s="5113">
        <f t="shared" si="17"/>
        <v>516</v>
      </c>
      <c r="BV21" s="5113"/>
      <c r="BW21" s="5114">
        <f t="shared" si="18"/>
        <v>0</v>
      </c>
      <c r="BX21" s="5113"/>
      <c r="BY21" s="5113">
        <f t="shared" si="19"/>
        <v>516</v>
      </c>
      <c r="BZ21" s="5113"/>
      <c r="CA21" s="5114">
        <f t="shared" si="20"/>
        <v>0</v>
      </c>
      <c r="CB21" s="5113"/>
      <c r="CC21" s="5112">
        <f t="shared" si="21"/>
        <v>0</v>
      </c>
      <c r="CD21" s="5113"/>
      <c r="CE21" s="5113">
        <f t="shared" si="22"/>
        <v>516</v>
      </c>
      <c r="CF21" s="5113"/>
      <c r="CG21" s="5114">
        <f t="shared" si="23"/>
        <v>0</v>
      </c>
      <c r="CH21" s="5113"/>
      <c r="CI21" s="5113">
        <f t="shared" si="24"/>
        <v>516</v>
      </c>
      <c r="CJ21" s="5113"/>
      <c r="CK21" s="5114">
        <f t="shared" si="25"/>
        <v>0</v>
      </c>
      <c r="CL21" s="5113"/>
      <c r="CM21" s="5113">
        <f t="shared" si="26"/>
        <v>516</v>
      </c>
      <c r="CN21" s="5113"/>
      <c r="CO21" s="5114">
        <f t="shared" si="27"/>
        <v>0</v>
      </c>
      <c r="CP21" s="5113"/>
      <c r="CQ21" s="5112">
        <f t="shared" si="28"/>
        <v>0</v>
      </c>
      <c r="CR21" s="5113"/>
      <c r="CS21" s="5136">
        <f t="shared" si="29"/>
        <v>0</v>
      </c>
      <c r="CT21" s="5111"/>
      <c r="CU21" s="5139">
        <f t="shared" si="30"/>
        <v>516</v>
      </c>
      <c r="CV21" s="5138"/>
      <c r="CW21" s="5147"/>
    </row>
    <row r="22" spans="1:105" x14ac:dyDescent="0.25">
      <c r="A22" s="5170"/>
      <c r="B22" s="5170"/>
      <c r="C22" s="5170"/>
      <c r="D22" s="5170"/>
      <c r="E22" s="5158" t="s">
        <v>1429</v>
      </c>
      <c r="F22" s="5150">
        <v>114</v>
      </c>
      <c r="G22" s="5108">
        <v>567</v>
      </c>
      <c r="H22" s="5108"/>
      <c r="I22" s="5157">
        <f t="shared" si="31"/>
        <v>681</v>
      </c>
      <c r="J22" s="5108"/>
      <c r="K22" s="5108"/>
      <c r="L22" s="5108"/>
      <c r="M22" s="5157"/>
      <c r="N22" s="5156"/>
      <c r="O22" s="5104"/>
      <c r="P22" s="5104"/>
      <c r="Q22" s="5108"/>
      <c r="R22" s="5157"/>
      <c r="S22" s="5108"/>
      <c r="T22" s="5108"/>
      <c r="U22" s="5155"/>
      <c r="V22" s="5157"/>
      <c r="W22" s="5156"/>
      <c r="X22" s="5120">
        <f t="shared" si="32"/>
        <v>681</v>
      </c>
      <c r="Y22" s="5119">
        <v>0</v>
      </c>
      <c r="Z22" s="5108">
        <v>0</v>
      </c>
      <c r="AA22" s="5108"/>
      <c r="AB22" s="5157">
        <f t="shared" si="0"/>
        <v>0</v>
      </c>
      <c r="AC22" s="5108"/>
      <c r="AD22" s="5108"/>
      <c r="AE22" s="5108"/>
      <c r="AF22" s="5118">
        <f t="shared" si="33"/>
        <v>0</v>
      </c>
      <c r="AG22" s="5156">
        <f t="shared" si="34"/>
        <v>0</v>
      </c>
      <c r="AH22" s="5104"/>
      <c r="AI22" s="5104"/>
      <c r="AJ22" s="5104"/>
      <c r="AK22" s="5157">
        <f t="shared" si="3"/>
        <v>0</v>
      </c>
      <c r="AL22" s="5108"/>
      <c r="AM22" s="5108"/>
      <c r="AN22" s="5155"/>
      <c r="AO22" s="5157">
        <f t="shared" si="35"/>
        <v>0</v>
      </c>
      <c r="AP22" s="5156">
        <f t="shared" si="36"/>
        <v>0</v>
      </c>
      <c r="AQ22" s="5117">
        <f t="shared" si="37"/>
        <v>0</v>
      </c>
      <c r="AR22" s="5107">
        <f t="shared" si="38"/>
        <v>681</v>
      </c>
      <c r="AS22" s="5154"/>
      <c r="AT22" s="5110"/>
      <c r="AU22" s="5116">
        <f t="shared" si="39"/>
        <v>114</v>
      </c>
      <c r="AV22" s="5115"/>
      <c r="AW22" s="5114">
        <f t="shared" si="40"/>
        <v>567</v>
      </c>
      <c r="AX22" s="5113"/>
      <c r="AY22" s="5113">
        <f t="shared" si="41"/>
        <v>681</v>
      </c>
      <c r="AZ22" s="5113"/>
      <c r="BA22" s="5114">
        <f t="shared" si="7"/>
        <v>0</v>
      </c>
      <c r="BB22" s="5112"/>
      <c r="BC22" s="5112">
        <f t="shared" si="8"/>
        <v>681</v>
      </c>
      <c r="BD22" s="5113"/>
      <c r="BE22" s="5114">
        <f t="shared" si="9"/>
        <v>0</v>
      </c>
      <c r="BF22" s="5111"/>
      <c r="BG22" s="5111">
        <f t="shared" si="10"/>
        <v>681</v>
      </c>
      <c r="BH22" s="5113"/>
      <c r="BI22" s="5114">
        <f t="shared" si="11"/>
        <v>0</v>
      </c>
      <c r="BJ22" s="5111"/>
      <c r="BK22" s="5111">
        <f t="shared" si="12"/>
        <v>681</v>
      </c>
      <c r="BL22" s="5113"/>
      <c r="BM22" s="5114">
        <f t="shared" si="13"/>
        <v>0</v>
      </c>
      <c r="BN22" s="5113"/>
      <c r="BO22" s="5112">
        <f t="shared" si="14"/>
        <v>0</v>
      </c>
      <c r="BP22" s="5113"/>
      <c r="BQ22" s="5136">
        <f t="shared" si="15"/>
        <v>681</v>
      </c>
      <c r="BR22" s="5113"/>
      <c r="BS22" s="5114">
        <f t="shared" si="16"/>
        <v>0</v>
      </c>
      <c r="BT22" s="5113"/>
      <c r="BU22" s="5113">
        <f t="shared" si="17"/>
        <v>681</v>
      </c>
      <c r="BV22" s="5113"/>
      <c r="BW22" s="5114">
        <f t="shared" si="18"/>
        <v>0</v>
      </c>
      <c r="BX22" s="5113"/>
      <c r="BY22" s="5113">
        <f t="shared" si="19"/>
        <v>681</v>
      </c>
      <c r="BZ22" s="5113"/>
      <c r="CA22" s="5114">
        <f t="shared" si="20"/>
        <v>0</v>
      </c>
      <c r="CB22" s="5113"/>
      <c r="CC22" s="5112">
        <f t="shared" si="21"/>
        <v>0</v>
      </c>
      <c r="CD22" s="5113"/>
      <c r="CE22" s="5113">
        <f t="shared" si="22"/>
        <v>681</v>
      </c>
      <c r="CF22" s="5113"/>
      <c r="CG22" s="5114">
        <f t="shared" si="23"/>
        <v>0</v>
      </c>
      <c r="CH22" s="5113"/>
      <c r="CI22" s="5113">
        <f t="shared" si="24"/>
        <v>681</v>
      </c>
      <c r="CJ22" s="5113"/>
      <c r="CK22" s="5114">
        <f t="shared" si="25"/>
        <v>0</v>
      </c>
      <c r="CL22" s="5113"/>
      <c r="CM22" s="5113">
        <f t="shared" si="26"/>
        <v>681</v>
      </c>
      <c r="CN22" s="5113"/>
      <c r="CO22" s="5114">
        <f t="shared" si="27"/>
        <v>0</v>
      </c>
      <c r="CP22" s="5113"/>
      <c r="CQ22" s="5112">
        <f t="shared" si="28"/>
        <v>0</v>
      </c>
      <c r="CR22" s="5113"/>
      <c r="CS22" s="5136">
        <f t="shared" si="29"/>
        <v>0</v>
      </c>
      <c r="CT22" s="5111"/>
      <c r="CU22" s="5139">
        <f t="shared" si="30"/>
        <v>681</v>
      </c>
      <c r="CV22" s="5138"/>
      <c r="CW22" s="5147"/>
    </row>
    <row r="23" spans="1:105" x14ac:dyDescent="0.25">
      <c r="A23" s="5170"/>
      <c r="B23" s="5170"/>
      <c r="C23" s="5170"/>
      <c r="D23" s="5170"/>
      <c r="E23" s="6770" t="s">
        <v>2195</v>
      </c>
      <c r="F23" s="5150">
        <v>334</v>
      </c>
      <c r="G23" s="5108">
        <v>104</v>
      </c>
      <c r="H23" s="5108"/>
      <c r="I23" s="5157">
        <f t="shared" si="31"/>
        <v>438</v>
      </c>
      <c r="J23" s="5108"/>
      <c r="K23" s="5108"/>
      <c r="L23" s="5108"/>
      <c r="M23" s="5157"/>
      <c r="N23" s="5156"/>
      <c r="O23" s="5104"/>
      <c r="P23" s="5104"/>
      <c r="Q23" s="5108"/>
      <c r="R23" s="5157"/>
      <c r="S23" s="5108"/>
      <c r="T23" s="5108"/>
      <c r="U23" s="5155"/>
      <c r="V23" s="5157"/>
      <c r="W23" s="5156"/>
      <c r="X23" s="5120">
        <f t="shared" si="32"/>
        <v>438</v>
      </c>
      <c r="Y23" s="5119">
        <v>108</v>
      </c>
      <c r="Z23" s="5108"/>
      <c r="AA23" s="5108"/>
      <c r="AB23" s="5157">
        <f t="shared" si="0"/>
        <v>108</v>
      </c>
      <c r="AC23" s="5108"/>
      <c r="AD23" s="5108"/>
      <c r="AE23" s="5108"/>
      <c r="AF23" s="5118">
        <f t="shared" si="33"/>
        <v>0</v>
      </c>
      <c r="AG23" s="5156">
        <f t="shared" si="34"/>
        <v>108</v>
      </c>
      <c r="AH23" s="5104"/>
      <c r="AI23" s="5104"/>
      <c r="AJ23" s="5104"/>
      <c r="AK23" s="5157">
        <f t="shared" si="3"/>
        <v>0</v>
      </c>
      <c r="AL23" s="5108"/>
      <c r="AM23" s="5108"/>
      <c r="AN23" s="5155"/>
      <c r="AO23" s="5157">
        <f t="shared" si="35"/>
        <v>0</v>
      </c>
      <c r="AP23" s="5156">
        <f t="shared" si="36"/>
        <v>0</v>
      </c>
      <c r="AQ23" s="5117">
        <f t="shared" si="37"/>
        <v>108</v>
      </c>
      <c r="AR23" s="5107">
        <f t="shared" si="38"/>
        <v>546</v>
      </c>
      <c r="AS23" s="5154"/>
      <c r="AT23" s="5110"/>
      <c r="AU23" s="5116">
        <f t="shared" si="39"/>
        <v>442</v>
      </c>
      <c r="AV23" s="5115"/>
      <c r="AW23" s="5114">
        <f t="shared" si="40"/>
        <v>104</v>
      </c>
      <c r="AX23" s="5113"/>
      <c r="AY23" s="5113">
        <f t="shared" si="41"/>
        <v>546</v>
      </c>
      <c r="AZ23" s="5113"/>
      <c r="BA23" s="5114">
        <f t="shared" si="7"/>
        <v>0</v>
      </c>
      <c r="BB23" s="5112"/>
      <c r="BC23" s="5112">
        <f t="shared" si="8"/>
        <v>546</v>
      </c>
      <c r="BD23" s="5113"/>
      <c r="BE23" s="5114">
        <f t="shared" si="9"/>
        <v>0</v>
      </c>
      <c r="BF23" s="5111"/>
      <c r="BG23" s="5111">
        <f t="shared" si="10"/>
        <v>546</v>
      </c>
      <c r="BH23" s="5113"/>
      <c r="BI23" s="5114">
        <f t="shared" si="11"/>
        <v>0</v>
      </c>
      <c r="BJ23" s="5111"/>
      <c r="BK23" s="5111">
        <f t="shared" si="12"/>
        <v>546</v>
      </c>
      <c r="BL23" s="5113"/>
      <c r="BM23" s="5114">
        <f t="shared" si="13"/>
        <v>0</v>
      </c>
      <c r="BN23" s="5113"/>
      <c r="BO23" s="5112">
        <f t="shared" si="14"/>
        <v>0</v>
      </c>
      <c r="BP23" s="5113"/>
      <c r="BQ23" s="5136">
        <f t="shared" si="15"/>
        <v>546</v>
      </c>
      <c r="BR23" s="5113"/>
      <c r="BS23" s="5114">
        <f t="shared" si="16"/>
        <v>0</v>
      </c>
      <c r="BT23" s="5113"/>
      <c r="BU23" s="5113">
        <f t="shared" si="17"/>
        <v>546</v>
      </c>
      <c r="BV23" s="5113"/>
      <c r="BW23" s="5114">
        <f t="shared" si="18"/>
        <v>0</v>
      </c>
      <c r="BX23" s="5113"/>
      <c r="BY23" s="5113">
        <f t="shared" si="19"/>
        <v>546</v>
      </c>
      <c r="BZ23" s="5113"/>
      <c r="CA23" s="5114">
        <f t="shared" si="20"/>
        <v>0</v>
      </c>
      <c r="CB23" s="5113"/>
      <c r="CC23" s="5112">
        <f t="shared" si="21"/>
        <v>0</v>
      </c>
      <c r="CD23" s="5113"/>
      <c r="CE23" s="5113">
        <f t="shared" si="22"/>
        <v>546</v>
      </c>
      <c r="CF23" s="5113"/>
      <c r="CG23" s="5114">
        <f t="shared" si="23"/>
        <v>0</v>
      </c>
      <c r="CH23" s="5113"/>
      <c r="CI23" s="5113">
        <f t="shared" si="24"/>
        <v>546</v>
      </c>
      <c r="CJ23" s="5113"/>
      <c r="CK23" s="5114">
        <f t="shared" si="25"/>
        <v>0</v>
      </c>
      <c r="CL23" s="5113"/>
      <c r="CM23" s="5113">
        <f t="shared" si="26"/>
        <v>546</v>
      </c>
      <c r="CN23" s="5113"/>
      <c r="CO23" s="5114">
        <f t="shared" si="27"/>
        <v>0</v>
      </c>
      <c r="CP23" s="5113"/>
      <c r="CQ23" s="5112">
        <f t="shared" si="28"/>
        <v>0</v>
      </c>
      <c r="CR23" s="5113"/>
      <c r="CS23" s="5136">
        <f t="shared" si="29"/>
        <v>0</v>
      </c>
      <c r="CT23" s="5111"/>
      <c r="CU23" s="5139">
        <f t="shared" si="30"/>
        <v>546</v>
      </c>
      <c r="CV23" s="5138"/>
      <c r="CW23" s="5147"/>
    </row>
    <row r="24" spans="1:105" x14ac:dyDescent="0.25">
      <c r="A24" s="5170"/>
      <c r="B24" s="5170"/>
      <c r="C24" s="5170"/>
      <c r="D24" s="5170"/>
      <c r="E24" s="5158" t="s">
        <v>1428</v>
      </c>
      <c r="F24" s="5150">
        <v>268</v>
      </c>
      <c r="G24" s="5108">
        <v>1279</v>
      </c>
      <c r="H24" s="5108"/>
      <c r="I24" s="5157">
        <f t="shared" si="31"/>
        <v>1547</v>
      </c>
      <c r="J24" s="5108"/>
      <c r="K24" s="5108"/>
      <c r="L24" s="5108"/>
      <c r="M24" s="5157"/>
      <c r="N24" s="5156"/>
      <c r="O24" s="5104"/>
      <c r="P24" s="5104"/>
      <c r="Q24" s="5108"/>
      <c r="R24" s="5157"/>
      <c r="S24" s="5108"/>
      <c r="T24" s="5108"/>
      <c r="U24" s="5155"/>
      <c r="V24" s="5157"/>
      <c r="W24" s="5156"/>
      <c r="X24" s="5120">
        <f t="shared" si="32"/>
        <v>1547</v>
      </c>
      <c r="Y24" s="5119">
        <v>0</v>
      </c>
      <c r="Z24" s="5108">
        <v>0</v>
      </c>
      <c r="AA24" s="5108"/>
      <c r="AB24" s="5157">
        <f t="shared" si="0"/>
        <v>0</v>
      </c>
      <c r="AC24" s="5108"/>
      <c r="AD24" s="5108"/>
      <c r="AE24" s="5108"/>
      <c r="AF24" s="5118">
        <f t="shared" si="33"/>
        <v>0</v>
      </c>
      <c r="AG24" s="5156">
        <f t="shared" si="34"/>
        <v>0</v>
      </c>
      <c r="AH24" s="5104"/>
      <c r="AI24" s="5104"/>
      <c r="AJ24" s="5104"/>
      <c r="AK24" s="5157">
        <f t="shared" si="3"/>
        <v>0</v>
      </c>
      <c r="AL24" s="5108"/>
      <c r="AM24" s="5108"/>
      <c r="AN24" s="5155"/>
      <c r="AO24" s="5157">
        <f t="shared" si="35"/>
        <v>0</v>
      </c>
      <c r="AP24" s="5156">
        <f t="shared" si="36"/>
        <v>0</v>
      </c>
      <c r="AQ24" s="5117">
        <f t="shared" si="37"/>
        <v>0</v>
      </c>
      <c r="AR24" s="5107">
        <f t="shared" si="38"/>
        <v>1547</v>
      </c>
      <c r="AS24" s="5154"/>
      <c r="AT24" s="5110"/>
      <c r="AU24" s="5116">
        <f t="shared" si="39"/>
        <v>268</v>
      </c>
      <c r="AV24" s="5115"/>
      <c r="AW24" s="5114">
        <f t="shared" si="40"/>
        <v>1279</v>
      </c>
      <c r="AX24" s="5113"/>
      <c r="AY24" s="5113">
        <f t="shared" si="41"/>
        <v>1547</v>
      </c>
      <c r="AZ24" s="5113"/>
      <c r="BA24" s="5114">
        <f t="shared" si="7"/>
        <v>0</v>
      </c>
      <c r="BB24" s="5112"/>
      <c r="BC24" s="5112">
        <f t="shared" si="8"/>
        <v>1547</v>
      </c>
      <c r="BD24" s="5113"/>
      <c r="BE24" s="5114">
        <f t="shared" si="9"/>
        <v>0</v>
      </c>
      <c r="BF24" s="5111"/>
      <c r="BG24" s="5111">
        <f t="shared" si="10"/>
        <v>1547</v>
      </c>
      <c r="BH24" s="5113"/>
      <c r="BI24" s="5114">
        <f t="shared" si="11"/>
        <v>0</v>
      </c>
      <c r="BJ24" s="5111"/>
      <c r="BK24" s="5111">
        <f t="shared" si="12"/>
        <v>1547</v>
      </c>
      <c r="BL24" s="5113"/>
      <c r="BM24" s="5114">
        <f t="shared" si="13"/>
        <v>0</v>
      </c>
      <c r="BN24" s="5113"/>
      <c r="BO24" s="5112">
        <f t="shared" si="14"/>
        <v>0</v>
      </c>
      <c r="BP24" s="5113"/>
      <c r="BQ24" s="5136">
        <f t="shared" si="15"/>
        <v>1547</v>
      </c>
      <c r="BR24" s="5113"/>
      <c r="BS24" s="5114">
        <f t="shared" si="16"/>
        <v>0</v>
      </c>
      <c r="BT24" s="5113"/>
      <c r="BU24" s="5113">
        <f t="shared" si="17"/>
        <v>1547</v>
      </c>
      <c r="BV24" s="5113"/>
      <c r="BW24" s="5114">
        <f t="shared" si="18"/>
        <v>0</v>
      </c>
      <c r="BX24" s="5113"/>
      <c r="BY24" s="5113">
        <f t="shared" si="19"/>
        <v>1547</v>
      </c>
      <c r="BZ24" s="5113"/>
      <c r="CA24" s="5114">
        <f t="shared" si="20"/>
        <v>0</v>
      </c>
      <c r="CB24" s="5113"/>
      <c r="CC24" s="5112">
        <f t="shared" si="21"/>
        <v>0</v>
      </c>
      <c r="CD24" s="5113"/>
      <c r="CE24" s="5113">
        <f t="shared" si="22"/>
        <v>1547</v>
      </c>
      <c r="CF24" s="5113"/>
      <c r="CG24" s="5114">
        <f t="shared" si="23"/>
        <v>0</v>
      </c>
      <c r="CH24" s="5113"/>
      <c r="CI24" s="5113">
        <f t="shared" si="24"/>
        <v>1547</v>
      </c>
      <c r="CJ24" s="5113"/>
      <c r="CK24" s="5114">
        <f t="shared" si="25"/>
        <v>0</v>
      </c>
      <c r="CL24" s="5113"/>
      <c r="CM24" s="5113">
        <f t="shared" si="26"/>
        <v>1547</v>
      </c>
      <c r="CN24" s="5113"/>
      <c r="CO24" s="5114">
        <f t="shared" si="27"/>
        <v>0</v>
      </c>
      <c r="CP24" s="5113"/>
      <c r="CQ24" s="5112">
        <f t="shared" si="28"/>
        <v>0</v>
      </c>
      <c r="CR24" s="5113"/>
      <c r="CS24" s="5136">
        <f t="shared" si="29"/>
        <v>0</v>
      </c>
      <c r="CT24" s="5111"/>
      <c r="CU24" s="5139">
        <f t="shared" si="30"/>
        <v>1547</v>
      </c>
      <c r="CV24" s="5138"/>
      <c r="CW24" s="5147"/>
    </row>
    <row r="25" spans="1:105" x14ac:dyDescent="0.25">
      <c r="A25" s="5170"/>
      <c r="B25" s="5170"/>
      <c r="C25" s="5170"/>
      <c r="D25" s="5170"/>
      <c r="E25" s="5158" t="s">
        <v>1427</v>
      </c>
      <c r="F25" s="5150">
        <v>266</v>
      </c>
      <c r="G25" s="5108">
        <v>245</v>
      </c>
      <c r="H25" s="5108"/>
      <c r="I25" s="5157">
        <f t="shared" si="31"/>
        <v>511</v>
      </c>
      <c r="J25" s="5108"/>
      <c r="K25" s="5108"/>
      <c r="L25" s="5108"/>
      <c r="M25" s="5157"/>
      <c r="N25" s="5156"/>
      <c r="O25" s="5104"/>
      <c r="P25" s="5104"/>
      <c r="Q25" s="5108"/>
      <c r="R25" s="5157"/>
      <c r="S25" s="5108"/>
      <c r="T25" s="5108"/>
      <c r="U25" s="5155"/>
      <c r="V25" s="5157"/>
      <c r="W25" s="5156"/>
      <c r="X25" s="5120">
        <f t="shared" si="32"/>
        <v>511</v>
      </c>
      <c r="Y25" s="5119">
        <v>0</v>
      </c>
      <c r="Z25" s="5108">
        <v>0</v>
      </c>
      <c r="AA25" s="5108"/>
      <c r="AB25" s="5157">
        <f t="shared" si="0"/>
        <v>0</v>
      </c>
      <c r="AC25" s="5108"/>
      <c r="AD25" s="5108"/>
      <c r="AE25" s="5108"/>
      <c r="AF25" s="5118">
        <f t="shared" si="33"/>
        <v>0</v>
      </c>
      <c r="AG25" s="5156">
        <f t="shared" si="34"/>
        <v>0</v>
      </c>
      <c r="AH25" s="5104"/>
      <c r="AI25" s="5104"/>
      <c r="AJ25" s="5104"/>
      <c r="AK25" s="5157">
        <f t="shared" si="3"/>
        <v>0</v>
      </c>
      <c r="AL25" s="5108"/>
      <c r="AM25" s="5108"/>
      <c r="AN25" s="5155"/>
      <c r="AO25" s="5157">
        <f t="shared" si="35"/>
        <v>0</v>
      </c>
      <c r="AP25" s="5156">
        <f t="shared" si="36"/>
        <v>0</v>
      </c>
      <c r="AQ25" s="5117">
        <f t="shared" si="37"/>
        <v>0</v>
      </c>
      <c r="AR25" s="5107">
        <f t="shared" si="38"/>
        <v>511</v>
      </c>
      <c r="AS25" s="5154"/>
      <c r="AT25" s="5110"/>
      <c r="AU25" s="5116">
        <f t="shared" si="39"/>
        <v>266</v>
      </c>
      <c r="AV25" s="5115"/>
      <c r="AW25" s="5114">
        <f t="shared" si="40"/>
        <v>245</v>
      </c>
      <c r="AX25" s="5113"/>
      <c r="AY25" s="5113">
        <f t="shared" si="41"/>
        <v>511</v>
      </c>
      <c r="AZ25" s="5113"/>
      <c r="BA25" s="5114">
        <f t="shared" si="7"/>
        <v>0</v>
      </c>
      <c r="BB25" s="5112"/>
      <c r="BC25" s="5112">
        <f t="shared" si="8"/>
        <v>511</v>
      </c>
      <c r="BD25" s="5113"/>
      <c r="BE25" s="5114">
        <f t="shared" si="9"/>
        <v>0</v>
      </c>
      <c r="BF25" s="5111"/>
      <c r="BG25" s="5111">
        <f t="shared" si="10"/>
        <v>511</v>
      </c>
      <c r="BH25" s="5113"/>
      <c r="BI25" s="5114">
        <f t="shared" si="11"/>
        <v>0</v>
      </c>
      <c r="BJ25" s="5111"/>
      <c r="BK25" s="5111">
        <f t="shared" si="12"/>
        <v>511</v>
      </c>
      <c r="BL25" s="5113"/>
      <c r="BM25" s="5114">
        <f t="shared" si="13"/>
        <v>0</v>
      </c>
      <c r="BN25" s="5113"/>
      <c r="BO25" s="5112">
        <f t="shared" si="14"/>
        <v>0</v>
      </c>
      <c r="BP25" s="5113"/>
      <c r="BQ25" s="5136">
        <f t="shared" si="15"/>
        <v>511</v>
      </c>
      <c r="BR25" s="5113"/>
      <c r="BS25" s="5114">
        <f t="shared" si="16"/>
        <v>0</v>
      </c>
      <c r="BT25" s="5113"/>
      <c r="BU25" s="5113">
        <f t="shared" si="17"/>
        <v>511</v>
      </c>
      <c r="BV25" s="5113"/>
      <c r="BW25" s="5114">
        <f t="shared" si="18"/>
        <v>0</v>
      </c>
      <c r="BX25" s="5113"/>
      <c r="BY25" s="5113">
        <f t="shared" si="19"/>
        <v>511</v>
      </c>
      <c r="BZ25" s="5113"/>
      <c r="CA25" s="5114">
        <f t="shared" si="20"/>
        <v>0</v>
      </c>
      <c r="CB25" s="5113"/>
      <c r="CC25" s="5112">
        <f t="shared" si="21"/>
        <v>0</v>
      </c>
      <c r="CD25" s="5113"/>
      <c r="CE25" s="5113">
        <f t="shared" si="22"/>
        <v>511</v>
      </c>
      <c r="CF25" s="5113"/>
      <c r="CG25" s="5114">
        <f t="shared" si="23"/>
        <v>0</v>
      </c>
      <c r="CH25" s="5113"/>
      <c r="CI25" s="5113">
        <f t="shared" si="24"/>
        <v>511</v>
      </c>
      <c r="CJ25" s="5113"/>
      <c r="CK25" s="5114">
        <f t="shared" si="25"/>
        <v>0</v>
      </c>
      <c r="CL25" s="5113"/>
      <c r="CM25" s="5113">
        <f t="shared" si="26"/>
        <v>511</v>
      </c>
      <c r="CN25" s="5113"/>
      <c r="CO25" s="5114">
        <f t="shared" si="27"/>
        <v>0</v>
      </c>
      <c r="CP25" s="5113"/>
      <c r="CQ25" s="5112">
        <f t="shared" si="28"/>
        <v>0</v>
      </c>
      <c r="CR25" s="5113"/>
      <c r="CS25" s="5136">
        <f t="shared" si="29"/>
        <v>0</v>
      </c>
      <c r="CT25" s="5111"/>
      <c r="CU25" s="5139">
        <f t="shared" si="30"/>
        <v>511</v>
      </c>
      <c r="CV25" s="5138"/>
      <c r="CW25" s="5147"/>
    </row>
    <row r="26" spans="1:105" x14ac:dyDescent="0.25">
      <c r="A26" s="5170"/>
      <c r="B26" s="5170"/>
      <c r="C26" s="5170"/>
      <c r="D26" s="5170"/>
      <c r="E26" s="5158" t="s">
        <v>1426</v>
      </c>
      <c r="F26" s="5150">
        <v>1328</v>
      </c>
      <c r="G26" s="5108">
        <v>2306</v>
      </c>
      <c r="H26" s="5108"/>
      <c r="I26" s="5157">
        <f t="shared" si="31"/>
        <v>3634</v>
      </c>
      <c r="J26" s="5108"/>
      <c r="K26" s="5108"/>
      <c r="L26" s="5108"/>
      <c r="M26" s="5157"/>
      <c r="N26" s="5156"/>
      <c r="O26" s="5104"/>
      <c r="P26" s="5104"/>
      <c r="Q26" s="5108"/>
      <c r="R26" s="5157"/>
      <c r="S26" s="5108"/>
      <c r="T26" s="5108"/>
      <c r="U26" s="5155"/>
      <c r="V26" s="5157"/>
      <c r="W26" s="5156"/>
      <c r="X26" s="5120">
        <f t="shared" si="32"/>
        <v>3634</v>
      </c>
      <c r="Y26" s="5119">
        <v>0</v>
      </c>
      <c r="Z26" s="5108">
        <v>0</v>
      </c>
      <c r="AA26" s="5108"/>
      <c r="AB26" s="5157">
        <f t="shared" si="0"/>
        <v>0</v>
      </c>
      <c r="AC26" s="5108"/>
      <c r="AD26" s="5108"/>
      <c r="AE26" s="5108"/>
      <c r="AF26" s="5118">
        <f t="shared" si="33"/>
        <v>0</v>
      </c>
      <c r="AG26" s="5156">
        <f t="shared" si="34"/>
        <v>0</v>
      </c>
      <c r="AH26" s="5104"/>
      <c r="AI26" s="5104"/>
      <c r="AJ26" s="5104"/>
      <c r="AK26" s="5157">
        <f t="shared" si="3"/>
        <v>0</v>
      </c>
      <c r="AL26" s="5108"/>
      <c r="AM26" s="5108"/>
      <c r="AN26" s="5155"/>
      <c r="AO26" s="5157">
        <f t="shared" si="35"/>
        <v>0</v>
      </c>
      <c r="AP26" s="5156">
        <f t="shared" si="36"/>
        <v>0</v>
      </c>
      <c r="AQ26" s="5117">
        <f t="shared" si="37"/>
        <v>0</v>
      </c>
      <c r="AR26" s="5107">
        <f t="shared" si="38"/>
        <v>3634</v>
      </c>
      <c r="AS26" s="5154"/>
      <c r="AT26" s="5110"/>
      <c r="AU26" s="5116">
        <f t="shared" si="39"/>
        <v>1328</v>
      </c>
      <c r="AV26" s="5115"/>
      <c r="AW26" s="5114">
        <f t="shared" si="40"/>
        <v>2306</v>
      </c>
      <c r="AX26" s="5113"/>
      <c r="AY26" s="5113">
        <f t="shared" si="41"/>
        <v>3634</v>
      </c>
      <c r="AZ26" s="5113"/>
      <c r="BA26" s="5114">
        <f t="shared" si="7"/>
        <v>0</v>
      </c>
      <c r="BB26" s="5112"/>
      <c r="BC26" s="5112">
        <f t="shared" si="8"/>
        <v>3634</v>
      </c>
      <c r="BD26" s="5113"/>
      <c r="BE26" s="5114">
        <f t="shared" si="9"/>
        <v>0</v>
      </c>
      <c r="BF26" s="5111"/>
      <c r="BG26" s="5111">
        <f t="shared" si="10"/>
        <v>3634</v>
      </c>
      <c r="BH26" s="5113"/>
      <c r="BI26" s="5114">
        <f t="shared" si="11"/>
        <v>0</v>
      </c>
      <c r="BJ26" s="5111"/>
      <c r="BK26" s="5111">
        <f t="shared" si="12"/>
        <v>3634</v>
      </c>
      <c r="BL26" s="5113"/>
      <c r="BM26" s="5114">
        <f t="shared" si="13"/>
        <v>0</v>
      </c>
      <c r="BN26" s="5113"/>
      <c r="BO26" s="5112">
        <f t="shared" si="14"/>
        <v>0</v>
      </c>
      <c r="BP26" s="5113"/>
      <c r="BQ26" s="5136">
        <f t="shared" si="15"/>
        <v>3634</v>
      </c>
      <c r="BR26" s="5113"/>
      <c r="BS26" s="5114">
        <f t="shared" si="16"/>
        <v>0</v>
      </c>
      <c r="BT26" s="5113"/>
      <c r="BU26" s="5113">
        <f t="shared" si="17"/>
        <v>3634</v>
      </c>
      <c r="BV26" s="5113"/>
      <c r="BW26" s="5114">
        <f t="shared" si="18"/>
        <v>0</v>
      </c>
      <c r="BX26" s="5113"/>
      <c r="BY26" s="5113">
        <f t="shared" si="19"/>
        <v>3634</v>
      </c>
      <c r="BZ26" s="5113"/>
      <c r="CA26" s="5114">
        <f t="shared" si="20"/>
        <v>0</v>
      </c>
      <c r="CB26" s="5113"/>
      <c r="CC26" s="5112">
        <f t="shared" si="21"/>
        <v>0</v>
      </c>
      <c r="CD26" s="5113"/>
      <c r="CE26" s="5113">
        <f t="shared" si="22"/>
        <v>3634</v>
      </c>
      <c r="CF26" s="5113"/>
      <c r="CG26" s="5114">
        <f t="shared" si="23"/>
        <v>0</v>
      </c>
      <c r="CH26" s="5113"/>
      <c r="CI26" s="5113">
        <f t="shared" si="24"/>
        <v>3634</v>
      </c>
      <c r="CJ26" s="5113"/>
      <c r="CK26" s="5114">
        <f t="shared" si="25"/>
        <v>0</v>
      </c>
      <c r="CL26" s="5113"/>
      <c r="CM26" s="5113">
        <f t="shared" si="26"/>
        <v>3634</v>
      </c>
      <c r="CN26" s="5113"/>
      <c r="CO26" s="5114">
        <f t="shared" si="27"/>
        <v>0</v>
      </c>
      <c r="CP26" s="5113"/>
      <c r="CQ26" s="5112">
        <f t="shared" si="28"/>
        <v>0</v>
      </c>
      <c r="CR26" s="5113"/>
      <c r="CS26" s="5136">
        <f t="shared" si="29"/>
        <v>0</v>
      </c>
      <c r="CT26" s="5111"/>
      <c r="CU26" s="5139">
        <f t="shared" si="30"/>
        <v>3634</v>
      </c>
      <c r="CV26" s="5138"/>
      <c r="CW26" s="5147"/>
    </row>
    <row r="27" spans="1:105" x14ac:dyDescent="0.25">
      <c r="A27" s="5170"/>
      <c r="B27" s="5170"/>
      <c r="C27" s="5170"/>
      <c r="D27" s="5170"/>
      <c r="E27" s="5158" t="s">
        <v>846</v>
      </c>
      <c r="F27" s="5150">
        <v>4921</v>
      </c>
      <c r="G27" s="5108">
        <v>6222</v>
      </c>
      <c r="H27" s="5108"/>
      <c r="I27" s="5157">
        <f t="shared" si="31"/>
        <v>11143</v>
      </c>
      <c r="J27" s="5108"/>
      <c r="K27" s="5108"/>
      <c r="L27" s="5108"/>
      <c r="M27" s="5157"/>
      <c r="N27" s="5156"/>
      <c r="O27" s="5104"/>
      <c r="P27" s="5104"/>
      <c r="Q27" s="5108"/>
      <c r="R27" s="5157"/>
      <c r="S27" s="5108"/>
      <c r="T27" s="5108"/>
      <c r="U27" s="5155"/>
      <c r="V27" s="5157"/>
      <c r="W27" s="5156"/>
      <c r="X27" s="5120">
        <f t="shared" si="32"/>
        <v>11143</v>
      </c>
      <c r="Y27" s="5119">
        <v>0</v>
      </c>
      <c r="Z27" s="5108">
        <v>0</v>
      </c>
      <c r="AA27" s="5108"/>
      <c r="AB27" s="5157">
        <f t="shared" si="0"/>
        <v>0</v>
      </c>
      <c r="AC27" s="5108"/>
      <c r="AD27" s="5108"/>
      <c r="AE27" s="5108"/>
      <c r="AF27" s="5118">
        <f t="shared" si="33"/>
        <v>0</v>
      </c>
      <c r="AG27" s="5156">
        <f t="shared" si="34"/>
        <v>0</v>
      </c>
      <c r="AH27" s="5104"/>
      <c r="AI27" s="5104"/>
      <c r="AJ27" s="5104"/>
      <c r="AK27" s="5157">
        <f t="shared" si="3"/>
        <v>0</v>
      </c>
      <c r="AL27" s="5108"/>
      <c r="AM27" s="5108"/>
      <c r="AN27" s="5155"/>
      <c r="AO27" s="5157">
        <f t="shared" si="35"/>
        <v>0</v>
      </c>
      <c r="AP27" s="5156">
        <f t="shared" si="36"/>
        <v>0</v>
      </c>
      <c r="AQ27" s="5117">
        <f t="shared" si="37"/>
        <v>0</v>
      </c>
      <c r="AR27" s="5107">
        <f t="shared" si="38"/>
        <v>11143</v>
      </c>
      <c r="AS27" s="5154"/>
      <c r="AT27" s="5110"/>
      <c r="AU27" s="5116">
        <f t="shared" si="39"/>
        <v>4921</v>
      </c>
      <c r="AV27" s="5115"/>
      <c r="AW27" s="5114">
        <f t="shared" si="40"/>
        <v>6222</v>
      </c>
      <c r="AX27" s="5113"/>
      <c r="AY27" s="5113">
        <f t="shared" si="41"/>
        <v>11143</v>
      </c>
      <c r="AZ27" s="5113"/>
      <c r="BA27" s="5114">
        <f t="shared" si="7"/>
        <v>0</v>
      </c>
      <c r="BB27" s="5112"/>
      <c r="BC27" s="5112">
        <f t="shared" si="8"/>
        <v>11143</v>
      </c>
      <c r="BD27" s="5113"/>
      <c r="BE27" s="5114">
        <f t="shared" si="9"/>
        <v>0</v>
      </c>
      <c r="BF27" s="5111"/>
      <c r="BG27" s="5111">
        <f t="shared" si="10"/>
        <v>11143</v>
      </c>
      <c r="BH27" s="5113"/>
      <c r="BI27" s="5114">
        <f t="shared" si="11"/>
        <v>0</v>
      </c>
      <c r="BJ27" s="5111"/>
      <c r="BK27" s="5111">
        <f t="shared" si="12"/>
        <v>11143</v>
      </c>
      <c r="BL27" s="5113"/>
      <c r="BM27" s="5114">
        <f t="shared" si="13"/>
        <v>0</v>
      </c>
      <c r="BN27" s="5113"/>
      <c r="BO27" s="5112">
        <f t="shared" si="14"/>
        <v>0</v>
      </c>
      <c r="BP27" s="5113"/>
      <c r="BQ27" s="5136">
        <f t="shared" si="15"/>
        <v>11143</v>
      </c>
      <c r="BR27" s="5113"/>
      <c r="BS27" s="5114">
        <f t="shared" si="16"/>
        <v>0</v>
      </c>
      <c r="BT27" s="5113"/>
      <c r="BU27" s="5113">
        <f t="shared" si="17"/>
        <v>11143</v>
      </c>
      <c r="BV27" s="5113"/>
      <c r="BW27" s="5114">
        <f t="shared" si="18"/>
        <v>0</v>
      </c>
      <c r="BX27" s="5113"/>
      <c r="BY27" s="5113">
        <f t="shared" si="19"/>
        <v>11143</v>
      </c>
      <c r="BZ27" s="5113"/>
      <c r="CA27" s="5114">
        <f t="shared" si="20"/>
        <v>0</v>
      </c>
      <c r="CB27" s="5113"/>
      <c r="CC27" s="5112">
        <f t="shared" si="21"/>
        <v>0</v>
      </c>
      <c r="CD27" s="5113"/>
      <c r="CE27" s="5113">
        <f t="shared" si="22"/>
        <v>11143</v>
      </c>
      <c r="CF27" s="5113"/>
      <c r="CG27" s="5114">
        <f t="shared" si="23"/>
        <v>0</v>
      </c>
      <c r="CH27" s="5113"/>
      <c r="CI27" s="5113">
        <f t="shared" si="24"/>
        <v>11143</v>
      </c>
      <c r="CJ27" s="5113"/>
      <c r="CK27" s="5114">
        <f t="shared" si="25"/>
        <v>0</v>
      </c>
      <c r="CL27" s="5113"/>
      <c r="CM27" s="5113">
        <f t="shared" si="26"/>
        <v>11143</v>
      </c>
      <c r="CN27" s="5113"/>
      <c r="CO27" s="5114">
        <f t="shared" si="27"/>
        <v>0</v>
      </c>
      <c r="CP27" s="5113"/>
      <c r="CQ27" s="5112">
        <f t="shared" si="28"/>
        <v>0</v>
      </c>
      <c r="CR27" s="5113"/>
      <c r="CS27" s="5136">
        <f t="shared" si="29"/>
        <v>0</v>
      </c>
      <c r="CT27" s="5111"/>
      <c r="CU27" s="5139">
        <f t="shared" si="30"/>
        <v>11143</v>
      </c>
      <c r="CV27" s="5138"/>
      <c r="CW27" s="5147"/>
    </row>
    <row r="28" spans="1:105" x14ac:dyDescent="0.25">
      <c r="A28" s="5170"/>
      <c r="B28" s="5170"/>
      <c r="C28" s="5170"/>
      <c r="D28" s="5170"/>
      <c r="E28" s="5158" t="s">
        <v>2286</v>
      </c>
      <c r="F28" s="5150">
        <v>159</v>
      </c>
      <c r="G28" s="5108"/>
      <c r="H28" s="5108"/>
      <c r="I28" s="5157">
        <f t="shared" si="31"/>
        <v>159</v>
      </c>
      <c r="J28" s="5108"/>
      <c r="K28" s="5108"/>
      <c r="L28" s="5108"/>
      <c r="M28" s="5157"/>
      <c r="N28" s="5156"/>
      <c r="O28" s="5104"/>
      <c r="P28" s="5104"/>
      <c r="Q28" s="5108"/>
      <c r="R28" s="5157"/>
      <c r="S28" s="5108"/>
      <c r="T28" s="5108"/>
      <c r="U28" s="5155"/>
      <c r="V28" s="5157"/>
      <c r="W28" s="5156"/>
      <c r="X28" s="5120">
        <f t="shared" si="32"/>
        <v>159</v>
      </c>
      <c r="Y28" s="5119">
        <v>0</v>
      </c>
      <c r="Z28" s="5108"/>
      <c r="AA28" s="5108"/>
      <c r="AB28" s="5157">
        <f t="shared" si="0"/>
        <v>0</v>
      </c>
      <c r="AC28" s="5108"/>
      <c r="AD28" s="5108"/>
      <c r="AE28" s="5108"/>
      <c r="AF28" s="5118">
        <f t="shared" si="33"/>
        <v>0</v>
      </c>
      <c r="AG28" s="5156">
        <f t="shared" si="34"/>
        <v>0</v>
      </c>
      <c r="AH28" s="5104"/>
      <c r="AI28" s="5104"/>
      <c r="AJ28" s="5104"/>
      <c r="AK28" s="5157">
        <f t="shared" si="3"/>
        <v>0</v>
      </c>
      <c r="AL28" s="5108"/>
      <c r="AM28" s="5108"/>
      <c r="AN28" s="5155"/>
      <c r="AO28" s="5157">
        <f t="shared" si="35"/>
        <v>0</v>
      </c>
      <c r="AP28" s="5156">
        <f t="shared" si="36"/>
        <v>0</v>
      </c>
      <c r="AQ28" s="5117">
        <f t="shared" si="37"/>
        <v>0</v>
      </c>
      <c r="AR28" s="5107">
        <f t="shared" si="38"/>
        <v>159</v>
      </c>
      <c r="AS28" s="5154"/>
      <c r="AT28" s="5110"/>
      <c r="AU28" s="5116">
        <f t="shared" si="39"/>
        <v>159</v>
      </c>
      <c r="AV28" s="5115"/>
      <c r="AW28" s="5114">
        <f t="shared" si="40"/>
        <v>0</v>
      </c>
      <c r="AX28" s="5113"/>
      <c r="AY28" s="5113">
        <f t="shared" si="41"/>
        <v>159</v>
      </c>
      <c r="AZ28" s="5113"/>
      <c r="BA28" s="5114">
        <f t="shared" si="7"/>
        <v>0</v>
      </c>
      <c r="BB28" s="5112"/>
      <c r="BC28" s="5112">
        <f t="shared" si="8"/>
        <v>159</v>
      </c>
      <c r="BD28" s="5113"/>
      <c r="BE28" s="5114">
        <f t="shared" si="9"/>
        <v>0</v>
      </c>
      <c r="BF28" s="5111"/>
      <c r="BG28" s="5111">
        <f t="shared" si="10"/>
        <v>159</v>
      </c>
      <c r="BH28" s="5113"/>
      <c r="BI28" s="5114">
        <f t="shared" si="11"/>
        <v>0</v>
      </c>
      <c r="BJ28" s="5111"/>
      <c r="BK28" s="5111">
        <f t="shared" si="12"/>
        <v>159</v>
      </c>
      <c r="BL28" s="5113"/>
      <c r="BM28" s="5114">
        <f t="shared" si="13"/>
        <v>0</v>
      </c>
      <c r="BN28" s="5113"/>
      <c r="BO28" s="5112">
        <f t="shared" si="14"/>
        <v>0</v>
      </c>
      <c r="BP28" s="5113"/>
      <c r="BQ28" s="5136">
        <f t="shared" si="15"/>
        <v>159</v>
      </c>
      <c r="BR28" s="5113"/>
      <c r="BS28" s="5114">
        <f t="shared" si="16"/>
        <v>0</v>
      </c>
      <c r="BT28" s="5113"/>
      <c r="BU28" s="5113">
        <f t="shared" si="17"/>
        <v>159</v>
      </c>
      <c r="BV28" s="5113"/>
      <c r="BW28" s="5114">
        <f t="shared" si="18"/>
        <v>0</v>
      </c>
      <c r="BX28" s="5113"/>
      <c r="BY28" s="5113">
        <f t="shared" si="19"/>
        <v>159</v>
      </c>
      <c r="BZ28" s="5113"/>
      <c r="CA28" s="5114">
        <f t="shared" si="20"/>
        <v>0</v>
      </c>
      <c r="CB28" s="5113"/>
      <c r="CC28" s="5112">
        <f t="shared" si="21"/>
        <v>0</v>
      </c>
      <c r="CD28" s="5113"/>
      <c r="CE28" s="5113">
        <f t="shared" si="22"/>
        <v>159</v>
      </c>
      <c r="CF28" s="5113"/>
      <c r="CG28" s="5114">
        <f t="shared" si="23"/>
        <v>0</v>
      </c>
      <c r="CH28" s="5113"/>
      <c r="CI28" s="5113">
        <f t="shared" si="24"/>
        <v>159</v>
      </c>
      <c r="CJ28" s="5113"/>
      <c r="CK28" s="5114">
        <f t="shared" si="25"/>
        <v>0</v>
      </c>
      <c r="CL28" s="5113"/>
      <c r="CM28" s="5113">
        <f t="shared" si="26"/>
        <v>159</v>
      </c>
      <c r="CN28" s="5113"/>
      <c r="CO28" s="5114">
        <f t="shared" si="27"/>
        <v>0</v>
      </c>
      <c r="CP28" s="5113"/>
      <c r="CQ28" s="5112">
        <f t="shared" si="28"/>
        <v>0</v>
      </c>
      <c r="CR28" s="5113"/>
      <c r="CS28" s="5136">
        <f t="shared" si="29"/>
        <v>0</v>
      </c>
      <c r="CT28" s="5111"/>
      <c r="CU28" s="5139">
        <f t="shared" si="30"/>
        <v>159</v>
      </c>
      <c r="CV28" s="5138"/>
      <c r="CW28" s="5147"/>
    </row>
    <row r="29" spans="1:105" x14ac:dyDescent="0.25">
      <c r="A29" s="5170"/>
      <c r="B29" s="5170"/>
      <c r="C29" s="5170"/>
      <c r="D29" s="5170"/>
      <c r="E29" s="5158" t="s">
        <v>1719</v>
      </c>
      <c r="F29" s="5150">
        <v>1772</v>
      </c>
      <c r="G29" s="5108">
        <v>304</v>
      </c>
      <c r="H29" s="5108"/>
      <c r="I29" s="5157">
        <f t="shared" si="31"/>
        <v>2076</v>
      </c>
      <c r="J29" s="5108"/>
      <c r="K29" s="5108"/>
      <c r="L29" s="5108"/>
      <c r="M29" s="5157"/>
      <c r="N29" s="5156"/>
      <c r="O29" s="5104"/>
      <c r="P29" s="5104"/>
      <c r="Q29" s="5108"/>
      <c r="R29" s="5157"/>
      <c r="S29" s="5108"/>
      <c r="T29" s="5108"/>
      <c r="U29" s="5155"/>
      <c r="V29" s="5157"/>
      <c r="W29" s="5156"/>
      <c r="X29" s="5120">
        <f t="shared" si="32"/>
        <v>2076</v>
      </c>
      <c r="Y29" s="5119">
        <v>0</v>
      </c>
      <c r="Z29" s="5108">
        <v>0</v>
      </c>
      <c r="AA29" s="5108"/>
      <c r="AB29" s="5157">
        <f t="shared" si="0"/>
        <v>0</v>
      </c>
      <c r="AC29" s="5108"/>
      <c r="AD29" s="5108"/>
      <c r="AE29" s="5108"/>
      <c r="AF29" s="5118">
        <f t="shared" si="33"/>
        <v>0</v>
      </c>
      <c r="AG29" s="5156">
        <f t="shared" si="34"/>
        <v>0</v>
      </c>
      <c r="AH29" s="5104"/>
      <c r="AI29" s="5104"/>
      <c r="AJ29" s="5104"/>
      <c r="AK29" s="5157">
        <f t="shared" si="3"/>
        <v>0</v>
      </c>
      <c r="AL29" s="5108"/>
      <c r="AM29" s="5108"/>
      <c r="AN29" s="5155"/>
      <c r="AO29" s="5157">
        <f t="shared" si="35"/>
        <v>0</v>
      </c>
      <c r="AP29" s="5156">
        <f t="shared" si="36"/>
        <v>0</v>
      </c>
      <c r="AQ29" s="5117">
        <f t="shared" si="37"/>
        <v>0</v>
      </c>
      <c r="AR29" s="5107">
        <f t="shared" si="38"/>
        <v>2076</v>
      </c>
      <c r="AS29" s="5154"/>
      <c r="AT29" s="5110"/>
      <c r="AU29" s="5116">
        <f t="shared" si="39"/>
        <v>1772</v>
      </c>
      <c r="AV29" s="5115"/>
      <c r="AW29" s="5114">
        <f t="shared" si="40"/>
        <v>304</v>
      </c>
      <c r="AX29" s="5113"/>
      <c r="AY29" s="5113">
        <f t="shared" si="41"/>
        <v>2076</v>
      </c>
      <c r="AZ29" s="5113"/>
      <c r="BA29" s="5114">
        <f t="shared" si="7"/>
        <v>0</v>
      </c>
      <c r="BB29" s="5112"/>
      <c r="BC29" s="5112">
        <f t="shared" si="8"/>
        <v>2076</v>
      </c>
      <c r="BD29" s="5113"/>
      <c r="BE29" s="5114">
        <f t="shared" si="9"/>
        <v>0</v>
      </c>
      <c r="BF29" s="5111"/>
      <c r="BG29" s="5111">
        <f t="shared" si="10"/>
        <v>2076</v>
      </c>
      <c r="BH29" s="5113"/>
      <c r="BI29" s="5114">
        <f t="shared" si="11"/>
        <v>0</v>
      </c>
      <c r="BJ29" s="5111"/>
      <c r="BK29" s="5111">
        <f t="shared" si="12"/>
        <v>2076</v>
      </c>
      <c r="BL29" s="5113"/>
      <c r="BM29" s="5114">
        <f t="shared" si="13"/>
        <v>0</v>
      </c>
      <c r="BN29" s="5113"/>
      <c r="BO29" s="5112">
        <f t="shared" si="14"/>
        <v>0</v>
      </c>
      <c r="BP29" s="5113"/>
      <c r="BQ29" s="5136">
        <f t="shared" si="15"/>
        <v>2076</v>
      </c>
      <c r="BR29" s="5113"/>
      <c r="BS29" s="5114">
        <f t="shared" si="16"/>
        <v>0</v>
      </c>
      <c r="BT29" s="5113"/>
      <c r="BU29" s="5113">
        <f t="shared" si="17"/>
        <v>2076</v>
      </c>
      <c r="BV29" s="5113"/>
      <c r="BW29" s="5114">
        <f t="shared" si="18"/>
        <v>0</v>
      </c>
      <c r="BX29" s="5113"/>
      <c r="BY29" s="5113">
        <f t="shared" si="19"/>
        <v>2076</v>
      </c>
      <c r="BZ29" s="5113"/>
      <c r="CA29" s="5114">
        <f t="shared" si="20"/>
        <v>0</v>
      </c>
      <c r="CB29" s="5113"/>
      <c r="CC29" s="5112">
        <f t="shared" si="21"/>
        <v>0</v>
      </c>
      <c r="CD29" s="5113"/>
      <c r="CE29" s="5113">
        <f t="shared" si="22"/>
        <v>2076</v>
      </c>
      <c r="CF29" s="5113"/>
      <c r="CG29" s="5114">
        <f t="shared" si="23"/>
        <v>0</v>
      </c>
      <c r="CH29" s="5113"/>
      <c r="CI29" s="5113">
        <f t="shared" si="24"/>
        <v>2076</v>
      </c>
      <c r="CJ29" s="5113"/>
      <c r="CK29" s="5114">
        <f t="shared" si="25"/>
        <v>0</v>
      </c>
      <c r="CL29" s="5113"/>
      <c r="CM29" s="5113">
        <f t="shared" si="26"/>
        <v>2076</v>
      </c>
      <c r="CN29" s="5113"/>
      <c r="CO29" s="5114">
        <f t="shared" si="27"/>
        <v>0</v>
      </c>
      <c r="CP29" s="5113"/>
      <c r="CQ29" s="5112">
        <f t="shared" si="28"/>
        <v>0</v>
      </c>
      <c r="CR29" s="5113"/>
      <c r="CS29" s="5136">
        <f t="shared" si="29"/>
        <v>0</v>
      </c>
      <c r="CT29" s="5111"/>
      <c r="CU29" s="5139">
        <f t="shared" si="30"/>
        <v>2076</v>
      </c>
      <c r="CV29" s="5138"/>
      <c r="CW29" s="5147"/>
    </row>
    <row r="30" spans="1:105" x14ac:dyDescent="0.25">
      <c r="A30" s="5170"/>
      <c r="B30" s="5170"/>
      <c r="C30" s="5170"/>
      <c r="D30" s="5170"/>
      <c r="E30" s="5158" t="s">
        <v>1988</v>
      </c>
      <c r="F30" s="5150">
        <v>304</v>
      </c>
      <c r="G30" s="5108">
        <v>1611</v>
      </c>
      <c r="H30" s="5108"/>
      <c r="I30" s="5157">
        <f t="shared" si="31"/>
        <v>1915</v>
      </c>
      <c r="J30" s="5108"/>
      <c r="K30" s="5108"/>
      <c r="L30" s="5108"/>
      <c r="M30" s="5157"/>
      <c r="N30" s="5156"/>
      <c r="O30" s="5104"/>
      <c r="P30" s="5104"/>
      <c r="Q30" s="5108"/>
      <c r="R30" s="5157"/>
      <c r="S30" s="5108"/>
      <c r="T30" s="5108"/>
      <c r="U30" s="5155"/>
      <c r="V30" s="5157"/>
      <c r="W30" s="5156"/>
      <c r="X30" s="5120">
        <f t="shared" si="32"/>
        <v>1915</v>
      </c>
      <c r="Y30" s="5119">
        <v>0</v>
      </c>
      <c r="Z30" s="5108">
        <v>0</v>
      </c>
      <c r="AA30" s="5108"/>
      <c r="AB30" s="5157">
        <f t="shared" si="0"/>
        <v>0</v>
      </c>
      <c r="AC30" s="5108"/>
      <c r="AD30" s="5108"/>
      <c r="AE30" s="5108"/>
      <c r="AF30" s="5118">
        <f t="shared" si="33"/>
        <v>0</v>
      </c>
      <c r="AG30" s="5156">
        <f t="shared" si="34"/>
        <v>0</v>
      </c>
      <c r="AH30" s="5104"/>
      <c r="AI30" s="5104"/>
      <c r="AJ30" s="5104"/>
      <c r="AK30" s="5157">
        <f t="shared" si="3"/>
        <v>0</v>
      </c>
      <c r="AL30" s="5108"/>
      <c r="AM30" s="5108"/>
      <c r="AN30" s="5155"/>
      <c r="AO30" s="5157">
        <f t="shared" si="35"/>
        <v>0</v>
      </c>
      <c r="AP30" s="5156">
        <f t="shared" si="36"/>
        <v>0</v>
      </c>
      <c r="AQ30" s="5117">
        <f t="shared" si="37"/>
        <v>0</v>
      </c>
      <c r="AR30" s="5107">
        <f t="shared" si="38"/>
        <v>1915</v>
      </c>
      <c r="AS30" s="5154"/>
      <c r="AT30" s="5110"/>
      <c r="AU30" s="5116">
        <f t="shared" si="39"/>
        <v>304</v>
      </c>
      <c r="AV30" s="5115"/>
      <c r="AW30" s="5114">
        <f t="shared" si="40"/>
        <v>1611</v>
      </c>
      <c r="AX30" s="5113"/>
      <c r="AY30" s="5113">
        <f t="shared" si="41"/>
        <v>1915</v>
      </c>
      <c r="AZ30" s="5113"/>
      <c r="BA30" s="5114">
        <f t="shared" si="7"/>
        <v>0</v>
      </c>
      <c r="BB30" s="5112"/>
      <c r="BC30" s="5112">
        <f t="shared" si="8"/>
        <v>1915</v>
      </c>
      <c r="BD30" s="5113"/>
      <c r="BE30" s="5114">
        <f t="shared" si="9"/>
        <v>0</v>
      </c>
      <c r="BF30" s="5111"/>
      <c r="BG30" s="5111">
        <f t="shared" si="10"/>
        <v>1915</v>
      </c>
      <c r="BH30" s="5113"/>
      <c r="BI30" s="5114">
        <f t="shared" si="11"/>
        <v>0</v>
      </c>
      <c r="BJ30" s="5111"/>
      <c r="BK30" s="5111">
        <f t="shared" si="12"/>
        <v>1915</v>
      </c>
      <c r="BL30" s="5113"/>
      <c r="BM30" s="5114">
        <f t="shared" si="13"/>
        <v>0</v>
      </c>
      <c r="BN30" s="5113"/>
      <c r="BO30" s="5112">
        <f t="shared" si="14"/>
        <v>0</v>
      </c>
      <c r="BP30" s="5113"/>
      <c r="BQ30" s="5136">
        <f t="shared" si="15"/>
        <v>1915</v>
      </c>
      <c r="BR30" s="5113"/>
      <c r="BS30" s="5114">
        <f t="shared" si="16"/>
        <v>0</v>
      </c>
      <c r="BT30" s="5113"/>
      <c r="BU30" s="5113">
        <f t="shared" si="17"/>
        <v>1915</v>
      </c>
      <c r="BV30" s="5113"/>
      <c r="BW30" s="5114">
        <f t="shared" si="18"/>
        <v>0</v>
      </c>
      <c r="BX30" s="5113"/>
      <c r="BY30" s="5113">
        <f t="shared" si="19"/>
        <v>1915</v>
      </c>
      <c r="BZ30" s="5113"/>
      <c r="CA30" s="5114">
        <f t="shared" si="20"/>
        <v>0</v>
      </c>
      <c r="CB30" s="5113"/>
      <c r="CC30" s="5112">
        <f t="shared" si="21"/>
        <v>0</v>
      </c>
      <c r="CD30" s="5113"/>
      <c r="CE30" s="5113">
        <f t="shared" si="22"/>
        <v>1915</v>
      </c>
      <c r="CF30" s="5113"/>
      <c r="CG30" s="5114">
        <f t="shared" si="23"/>
        <v>0</v>
      </c>
      <c r="CH30" s="5113"/>
      <c r="CI30" s="5113">
        <f t="shared" si="24"/>
        <v>1915</v>
      </c>
      <c r="CJ30" s="5113"/>
      <c r="CK30" s="5114">
        <f t="shared" si="25"/>
        <v>0</v>
      </c>
      <c r="CL30" s="5113"/>
      <c r="CM30" s="5113">
        <f t="shared" si="26"/>
        <v>1915</v>
      </c>
      <c r="CN30" s="5113"/>
      <c r="CO30" s="5114">
        <f t="shared" si="27"/>
        <v>0</v>
      </c>
      <c r="CP30" s="5113"/>
      <c r="CQ30" s="5112">
        <f t="shared" si="28"/>
        <v>0</v>
      </c>
      <c r="CR30" s="5113"/>
      <c r="CS30" s="5136">
        <f t="shared" si="29"/>
        <v>0</v>
      </c>
      <c r="CT30" s="5111"/>
      <c r="CU30" s="5139">
        <f t="shared" si="30"/>
        <v>1915</v>
      </c>
      <c r="CV30" s="5138"/>
      <c r="CW30" s="5147"/>
    </row>
    <row r="31" spans="1:105" x14ac:dyDescent="0.25">
      <c r="A31" s="5170"/>
      <c r="B31" s="5170"/>
      <c r="C31" s="5170"/>
      <c r="D31" s="5170"/>
      <c r="E31" s="5158" t="s">
        <v>1580</v>
      </c>
      <c r="F31" s="5150">
        <v>723</v>
      </c>
      <c r="G31" s="5108">
        <v>590</v>
      </c>
      <c r="H31" s="5108"/>
      <c r="I31" s="5157">
        <f t="shared" si="31"/>
        <v>1313</v>
      </c>
      <c r="J31" s="5108"/>
      <c r="K31" s="5108"/>
      <c r="L31" s="5108"/>
      <c r="M31" s="5157"/>
      <c r="N31" s="5156"/>
      <c r="O31" s="5104"/>
      <c r="P31" s="5104"/>
      <c r="Q31" s="5108"/>
      <c r="R31" s="5157"/>
      <c r="S31" s="5108"/>
      <c r="T31" s="5108"/>
      <c r="U31" s="5155"/>
      <c r="V31" s="5157"/>
      <c r="W31" s="5156"/>
      <c r="X31" s="5120">
        <f t="shared" si="32"/>
        <v>1313</v>
      </c>
      <c r="Y31" s="5119">
        <v>0</v>
      </c>
      <c r="Z31" s="5108">
        <v>0</v>
      </c>
      <c r="AA31" s="5108"/>
      <c r="AB31" s="5157">
        <f t="shared" si="0"/>
        <v>0</v>
      </c>
      <c r="AC31" s="5108"/>
      <c r="AD31" s="5108"/>
      <c r="AE31" s="5108"/>
      <c r="AF31" s="5118">
        <f t="shared" si="33"/>
        <v>0</v>
      </c>
      <c r="AG31" s="5156">
        <f t="shared" si="34"/>
        <v>0</v>
      </c>
      <c r="AH31" s="5104"/>
      <c r="AI31" s="5104"/>
      <c r="AJ31" s="5104"/>
      <c r="AK31" s="5157">
        <f t="shared" si="3"/>
        <v>0</v>
      </c>
      <c r="AL31" s="5108"/>
      <c r="AM31" s="5108"/>
      <c r="AN31" s="5155"/>
      <c r="AO31" s="5157">
        <f t="shared" si="35"/>
        <v>0</v>
      </c>
      <c r="AP31" s="5156">
        <f t="shared" si="36"/>
        <v>0</v>
      </c>
      <c r="AQ31" s="5117">
        <f t="shared" si="37"/>
        <v>0</v>
      </c>
      <c r="AR31" s="5107">
        <f t="shared" si="38"/>
        <v>1313</v>
      </c>
      <c r="AS31" s="5154"/>
      <c r="AT31" s="5110"/>
      <c r="AU31" s="5116">
        <f t="shared" si="39"/>
        <v>723</v>
      </c>
      <c r="AV31" s="5115"/>
      <c r="AW31" s="5114">
        <f t="shared" si="40"/>
        <v>590</v>
      </c>
      <c r="AX31" s="5113"/>
      <c r="AY31" s="5113">
        <f t="shared" si="41"/>
        <v>1313</v>
      </c>
      <c r="AZ31" s="5113"/>
      <c r="BA31" s="5114">
        <f t="shared" si="7"/>
        <v>0</v>
      </c>
      <c r="BB31" s="5112"/>
      <c r="BC31" s="5112">
        <f t="shared" si="8"/>
        <v>1313</v>
      </c>
      <c r="BD31" s="5113"/>
      <c r="BE31" s="5114">
        <f t="shared" si="9"/>
        <v>0</v>
      </c>
      <c r="BF31" s="5111"/>
      <c r="BG31" s="5111">
        <f t="shared" si="10"/>
        <v>1313</v>
      </c>
      <c r="BH31" s="5113"/>
      <c r="BI31" s="5114">
        <f t="shared" si="11"/>
        <v>0</v>
      </c>
      <c r="BJ31" s="5111"/>
      <c r="BK31" s="5111">
        <f t="shared" si="12"/>
        <v>1313</v>
      </c>
      <c r="BL31" s="5113"/>
      <c r="BM31" s="5114">
        <f t="shared" si="13"/>
        <v>0</v>
      </c>
      <c r="BN31" s="5113"/>
      <c r="BO31" s="5112">
        <f t="shared" si="14"/>
        <v>0</v>
      </c>
      <c r="BP31" s="5113"/>
      <c r="BQ31" s="5136">
        <f t="shared" si="15"/>
        <v>1313</v>
      </c>
      <c r="BR31" s="5113"/>
      <c r="BS31" s="5114">
        <f t="shared" si="16"/>
        <v>0</v>
      </c>
      <c r="BT31" s="5113"/>
      <c r="BU31" s="5113">
        <f t="shared" si="17"/>
        <v>1313</v>
      </c>
      <c r="BV31" s="5113"/>
      <c r="BW31" s="5114">
        <f t="shared" si="18"/>
        <v>0</v>
      </c>
      <c r="BX31" s="5113"/>
      <c r="BY31" s="5113">
        <f t="shared" si="19"/>
        <v>1313</v>
      </c>
      <c r="BZ31" s="5113"/>
      <c r="CA31" s="5114">
        <f t="shared" si="20"/>
        <v>0</v>
      </c>
      <c r="CB31" s="5113"/>
      <c r="CC31" s="5112">
        <f t="shared" si="21"/>
        <v>0</v>
      </c>
      <c r="CD31" s="5113"/>
      <c r="CE31" s="5113">
        <f t="shared" si="22"/>
        <v>1313</v>
      </c>
      <c r="CF31" s="5113"/>
      <c r="CG31" s="5114">
        <f t="shared" si="23"/>
        <v>0</v>
      </c>
      <c r="CH31" s="5113"/>
      <c r="CI31" s="5113">
        <f t="shared" si="24"/>
        <v>1313</v>
      </c>
      <c r="CJ31" s="5113"/>
      <c r="CK31" s="5114">
        <f t="shared" si="25"/>
        <v>0</v>
      </c>
      <c r="CL31" s="5113"/>
      <c r="CM31" s="5113">
        <f t="shared" si="26"/>
        <v>1313</v>
      </c>
      <c r="CN31" s="5113"/>
      <c r="CO31" s="5114">
        <f t="shared" si="27"/>
        <v>0</v>
      </c>
      <c r="CP31" s="5113"/>
      <c r="CQ31" s="5112">
        <f t="shared" si="28"/>
        <v>0</v>
      </c>
      <c r="CR31" s="5113"/>
      <c r="CS31" s="5136">
        <f t="shared" si="29"/>
        <v>0</v>
      </c>
      <c r="CT31" s="5111"/>
      <c r="CU31" s="5139">
        <f t="shared" si="30"/>
        <v>1313</v>
      </c>
      <c r="CV31" s="5138"/>
      <c r="CW31" s="5147"/>
    </row>
    <row r="32" spans="1:105" x14ac:dyDescent="0.25">
      <c r="A32" s="5170"/>
      <c r="B32" s="5170"/>
      <c r="C32" s="5170"/>
      <c r="D32" s="5170"/>
      <c r="E32" s="5158" t="s">
        <v>1436</v>
      </c>
      <c r="F32" s="5150"/>
      <c r="G32" s="5108"/>
      <c r="H32" s="5108"/>
      <c r="I32" s="5157">
        <f t="shared" si="31"/>
        <v>0</v>
      </c>
      <c r="J32" s="5108"/>
      <c r="K32" s="5108"/>
      <c r="L32" s="5108"/>
      <c r="M32" s="5157"/>
      <c r="N32" s="5156"/>
      <c r="O32" s="5104"/>
      <c r="P32" s="5104"/>
      <c r="Q32" s="5108"/>
      <c r="R32" s="5157"/>
      <c r="S32" s="5108"/>
      <c r="T32" s="5108"/>
      <c r="U32" s="5155"/>
      <c r="V32" s="5157"/>
      <c r="W32" s="5156"/>
      <c r="X32" s="5120">
        <f t="shared" si="32"/>
        <v>0</v>
      </c>
      <c r="Y32" s="5119"/>
      <c r="Z32" s="5108">
        <v>0</v>
      </c>
      <c r="AA32" s="5108"/>
      <c r="AB32" s="5157">
        <f t="shared" si="0"/>
        <v>0</v>
      </c>
      <c r="AC32" s="5108"/>
      <c r="AD32" s="5108"/>
      <c r="AE32" s="5108"/>
      <c r="AF32" s="5118">
        <f t="shared" si="33"/>
        <v>0</v>
      </c>
      <c r="AG32" s="5156">
        <f t="shared" si="34"/>
        <v>0</v>
      </c>
      <c r="AH32" s="5104"/>
      <c r="AI32" s="5104"/>
      <c r="AJ32" s="5104"/>
      <c r="AK32" s="5157">
        <f t="shared" si="3"/>
        <v>0</v>
      </c>
      <c r="AL32" s="5108"/>
      <c r="AM32" s="5108"/>
      <c r="AN32" s="5155"/>
      <c r="AO32" s="5157">
        <f t="shared" si="35"/>
        <v>0</v>
      </c>
      <c r="AP32" s="5156">
        <f t="shared" si="36"/>
        <v>0</v>
      </c>
      <c r="AQ32" s="5117">
        <f t="shared" si="37"/>
        <v>0</v>
      </c>
      <c r="AR32" s="5107">
        <f t="shared" si="38"/>
        <v>0</v>
      </c>
      <c r="AS32" s="5154"/>
      <c r="AT32" s="5110"/>
      <c r="AU32" s="5116">
        <f t="shared" si="39"/>
        <v>0</v>
      </c>
      <c r="AV32" s="7030"/>
      <c r="AW32" s="5114">
        <f t="shared" si="40"/>
        <v>0</v>
      </c>
      <c r="AX32" s="7282"/>
      <c r="AY32" s="5113">
        <f t="shared" si="41"/>
        <v>0</v>
      </c>
      <c r="AZ32" s="7282"/>
      <c r="BA32" s="7282"/>
      <c r="BB32" s="7283"/>
      <c r="BC32" s="7283"/>
      <c r="BD32" s="7282"/>
      <c r="BE32" s="7282"/>
      <c r="BF32" s="7284"/>
      <c r="BG32" s="7284"/>
      <c r="BH32" s="7282"/>
      <c r="BI32" s="7282"/>
      <c r="BJ32" s="7284"/>
      <c r="BK32" s="7284"/>
      <c r="BL32" s="7282"/>
      <c r="BM32" s="7282"/>
      <c r="BN32" s="7282"/>
      <c r="BO32" s="7283"/>
      <c r="BP32" s="7282"/>
      <c r="BQ32" s="7285"/>
      <c r="BR32" s="7282"/>
      <c r="BS32" s="7282"/>
      <c r="BT32" s="7282"/>
      <c r="BU32" s="7282"/>
      <c r="BV32" s="7282"/>
      <c r="BW32" s="7282"/>
      <c r="BX32" s="7282"/>
      <c r="BY32" s="7282"/>
      <c r="BZ32" s="7282"/>
      <c r="CA32" s="7282"/>
      <c r="CB32" s="7282"/>
      <c r="CC32" s="7283"/>
      <c r="CD32" s="7282"/>
      <c r="CE32" s="7282"/>
      <c r="CF32" s="7282"/>
      <c r="CG32" s="7282"/>
      <c r="CH32" s="7282"/>
      <c r="CI32" s="7282"/>
      <c r="CJ32" s="7282"/>
      <c r="CK32" s="7282"/>
      <c r="CL32" s="7282"/>
      <c r="CM32" s="7282"/>
      <c r="CN32" s="7282"/>
      <c r="CO32" s="7282"/>
      <c r="CP32" s="7282"/>
      <c r="CQ32" s="7283"/>
      <c r="CR32" s="7282"/>
      <c r="CS32" s="7285"/>
      <c r="CT32" s="7284"/>
      <c r="CU32" s="7286"/>
      <c r="CV32" s="5138"/>
      <c r="CW32" s="5147"/>
    </row>
    <row r="33" spans="1:105" x14ac:dyDescent="0.25">
      <c r="A33" s="5170"/>
      <c r="B33" s="5170"/>
      <c r="C33" s="5170"/>
      <c r="D33" s="5170"/>
      <c r="E33" s="5158" t="s">
        <v>1987</v>
      </c>
      <c r="F33" s="5150">
        <v>1306</v>
      </c>
      <c r="G33" s="5108">
        <v>110</v>
      </c>
      <c r="H33" s="5108"/>
      <c r="I33" s="5157">
        <f t="shared" si="31"/>
        <v>1416</v>
      </c>
      <c r="J33" s="5108"/>
      <c r="K33" s="5108"/>
      <c r="L33" s="5108"/>
      <c r="M33" s="5157"/>
      <c r="N33" s="5156"/>
      <c r="O33" s="5104"/>
      <c r="P33" s="5104"/>
      <c r="Q33" s="5108"/>
      <c r="R33" s="5157"/>
      <c r="S33" s="5108"/>
      <c r="T33" s="5108"/>
      <c r="U33" s="5155"/>
      <c r="V33" s="5157"/>
      <c r="W33" s="5156"/>
      <c r="X33" s="5120">
        <f t="shared" si="32"/>
        <v>1416</v>
      </c>
      <c r="Y33" s="5119">
        <v>0</v>
      </c>
      <c r="Z33" s="5108">
        <v>0</v>
      </c>
      <c r="AA33" s="5108"/>
      <c r="AB33" s="5157">
        <f t="shared" si="0"/>
        <v>0</v>
      </c>
      <c r="AC33" s="5108"/>
      <c r="AD33" s="5108"/>
      <c r="AE33" s="5108"/>
      <c r="AF33" s="5118">
        <f t="shared" si="33"/>
        <v>0</v>
      </c>
      <c r="AG33" s="5156">
        <f t="shared" si="34"/>
        <v>0</v>
      </c>
      <c r="AH33" s="5104"/>
      <c r="AI33" s="5104"/>
      <c r="AJ33" s="5104"/>
      <c r="AK33" s="5157">
        <f t="shared" si="3"/>
        <v>0</v>
      </c>
      <c r="AL33" s="5108"/>
      <c r="AM33" s="5108"/>
      <c r="AN33" s="5155"/>
      <c r="AO33" s="5157">
        <f t="shared" si="35"/>
        <v>0</v>
      </c>
      <c r="AP33" s="5156">
        <f t="shared" si="36"/>
        <v>0</v>
      </c>
      <c r="AQ33" s="5117">
        <f t="shared" si="37"/>
        <v>0</v>
      </c>
      <c r="AR33" s="5107">
        <f t="shared" si="38"/>
        <v>1416</v>
      </c>
      <c r="AS33" s="5154"/>
      <c r="AT33" s="5110"/>
      <c r="AU33" s="5116">
        <f t="shared" si="39"/>
        <v>1306</v>
      </c>
      <c r="AV33" s="5115"/>
      <c r="AW33" s="5114">
        <f t="shared" si="40"/>
        <v>110</v>
      </c>
      <c r="AX33" s="5113"/>
      <c r="AY33" s="5113">
        <f t="shared" si="41"/>
        <v>1416</v>
      </c>
      <c r="AZ33" s="5113"/>
      <c r="BA33" s="5114">
        <f t="shared" si="7"/>
        <v>0</v>
      </c>
      <c r="BB33" s="5112"/>
      <c r="BC33" s="5112">
        <f t="shared" si="8"/>
        <v>1416</v>
      </c>
      <c r="BD33" s="5113"/>
      <c r="BE33" s="5114">
        <f t="shared" si="9"/>
        <v>0</v>
      </c>
      <c r="BF33" s="5111"/>
      <c r="BG33" s="5111">
        <f t="shared" si="10"/>
        <v>1416</v>
      </c>
      <c r="BH33" s="5113"/>
      <c r="BI33" s="5114">
        <f t="shared" si="11"/>
        <v>0</v>
      </c>
      <c r="BJ33" s="5111"/>
      <c r="BK33" s="5111">
        <f t="shared" si="12"/>
        <v>1416</v>
      </c>
      <c r="BL33" s="5113"/>
      <c r="BM33" s="5114">
        <f t="shared" si="13"/>
        <v>0</v>
      </c>
      <c r="BN33" s="5113"/>
      <c r="BO33" s="5112">
        <f t="shared" si="14"/>
        <v>0</v>
      </c>
      <c r="BP33" s="5113"/>
      <c r="BQ33" s="5136">
        <f t="shared" si="15"/>
        <v>1416</v>
      </c>
      <c r="BR33" s="5113"/>
      <c r="BS33" s="5114">
        <f t="shared" si="16"/>
        <v>0</v>
      </c>
      <c r="BT33" s="5113"/>
      <c r="BU33" s="5113">
        <f t="shared" si="17"/>
        <v>1416</v>
      </c>
      <c r="BV33" s="5113"/>
      <c r="BW33" s="5114">
        <f t="shared" si="18"/>
        <v>0</v>
      </c>
      <c r="BX33" s="5113"/>
      <c r="BY33" s="5113">
        <f t="shared" si="19"/>
        <v>1416</v>
      </c>
      <c r="BZ33" s="5113"/>
      <c r="CA33" s="5114">
        <f t="shared" si="20"/>
        <v>0</v>
      </c>
      <c r="CB33" s="5113"/>
      <c r="CC33" s="5112">
        <f t="shared" si="21"/>
        <v>0</v>
      </c>
      <c r="CD33" s="5113"/>
      <c r="CE33" s="5113">
        <f t="shared" si="22"/>
        <v>1416</v>
      </c>
      <c r="CF33" s="5113"/>
      <c r="CG33" s="5114">
        <f t="shared" si="23"/>
        <v>0</v>
      </c>
      <c r="CH33" s="5113"/>
      <c r="CI33" s="5113">
        <f t="shared" si="24"/>
        <v>1416</v>
      </c>
      <c r="CJ33" s="5113"/>
      <c r="CK33" s="5114">
        <f t="shared" si="25"/>
        <v>0</v>
      </c>
      <c r="CL33" s="5113"/>
      <c r="CM33" s="5113">
        <f t="shared" si="26"/>
        <v>1416</v>
      </c>
      <c r="CN33" s="5113"/>
      <c r="CO33" s="5114">
        <f t="shared" si="27"/>
        <v>0</v>
      </c>
      <c r="CP33" s="5113"/>
      <c r="CQ33" s="5112">
        <f t="shared" si="28"/>
        <v>0</v>
      </c>
      <c r="CR33" s="5113"/>
      <c r="CS33" s="5136">
        <f t="shared" si="29"/>
        <v>0</v>
      </c>
      <c r="CT33" s="5111"/>
      <c r="CU33" s="5139">
        <f t="shared" si="30"/>
        <v>1416</v>
      </c>
      <c r="CV33" s="5138"/>
      <c r="CW33" s="5147"/>
    </row>
    <row r="34" spans="1:105" x14ac:dyDescent="0.25">
      <c r="A34" s="5170"/>
      <c r="B34" s="5170"/>
      <c r="C34" s="5170"/>
      <c r="D34" s="5170"/>
      <c r="E34" s="5158" t="s">
        <v>1480</v>
      </c>
      <c r="F34" s="5150">
        <v>425</v>
      </c>
      <c r="G34" s="5108">
        <v>435</v>
      </c>
      <c r="H34" s="5108"/>
      <c r="I34" s="5157">
        <f t="shared" si="31"/>
        <v>860</v>
      </c>
      <c r="J34" s="5108"/>
      <c r="K34" s="5108"/>
      <c r="L34" s="5108"/>
      <c r="M34" s="5157"/>
      <c r="N34" s="5156"/>
      <c r="O34" s="5104"/>
      <c r="P34" s="5104"/>
      <c r="Q34" s="5108"/>
      <c r="R34" s="5157"/>
      <c r="S34" s="5108"/>
      <c r="T34" s="5108"/>
      <c r="U34" s="5155"/>
      <c r="V34" s="5157"/>
      <c r="W34" s="5156"/>
      <c r="X34" s="5120">
        <f t="shared" si="32"/>
        <v>860</v>
      </c>
      <c r="Y34" s="5119">
        <v>0</v>
      </c>
      <c r="Z34" s="5108">
        <v>0</v>
      </c>
      <c r="AA34" s="5108"/>
      <c r="AB34" s="5157">
        <f t="shared" si="0"/>
        <v>0</v>
      </c>
      <c r="AC34" s="5108"/>
      <c r="AD34" s="5108"/>
      <c r="AE34" s="5108"/>
      <c r="AF34" s="5118">
        <f t="shared" si="33"/>
        <v>0</v>
      </c>
      <c r="AG34" s="5156">
        <f t="shared" si="34"/>
        <v>0</v>
      </c>
      <c r="AH34" s="5104"/>
      <c r="AI34" s="5104"/>
      <c r="AJ34" s="5104"/>
      <c r="AK34" s="5157">
        <f t="shared" si="3"/>
        <v>0</v>
      </c>
      <c r="AL34" s="5108"/>
      <c r="AM34" s="5108"/>
      <c r="AN34" s="5155"/>
      <c r="AO34" s="5157">
        <f t="shared" si="35"/>
        <v>0</v>
      </c>
      <c r="AP34" s="5156">
        <f t="shared" si="36"/>
        <v>0</v>
      </c>
      <c r="AQ34" s="5117">
        <f t="shared" si="37"/>
        <v>0</v>
      </c>
      <c r="AR34" s="5107">
        <f t="shared" si="38"/>
        <v>860</v>
      </c>
      <c r="AS34" s="5154"/>
      <c r="AT34" s="5110"/>
      <c r="AU34" s="5116">
        <f t="shared" si="39"/>
        <v>425</v>
      </c>
      <c r="AV34" s="5115"/>
      <c r="AW34" s="5114">
        <f t="shared" si="40"/>
        <v>435</v>
      </c>
      <c r="AX34" s="5113"/>
      <c r="AY34" s="5113">
        <f t="shared" si="41"/>
        <v>860</v>
      </c>
      <c r="AZ34" s="5113"/>
      <c r="BA34" s="5114">
        <f t="shared" si="7"/>
        <v>0</v>
      </c>
      <c r="BB34" s="5112"/>
      <c r="BC34" s="5112">
        <f t="shared" si="8"/>
        <v>860</v>
      </c>
      <c r="BD34" s="5113"/>
      <c r="BE34" s="5114">
        <f t="shared" si="9"/>
        <v>0</v>
      </c>
      <c r="BF34" s="5111"/>
      <c r="BG34" s="5111">
        <f t="shared" si="10"/>
        <v>860</v>
      </c>
      <c r="BH34" s="5113"/>
      <c r="BI34" s="5114">
        <f t="shared" si="11"/>
        <v>0</v>
      </c>
      <c r="BJ34" s="5111"/>
      <c r="BK34" s="5111">
        <f t="shared" si="12"/>
        <v>860</v>
      </c>
      <c r="BL34" s="5113"/>
      <c r="BM34" s="5114">
        <f t="shared" si="13"/>
        <v>0</v>
      </c>
      <c r="BN34" s="5113"/>
      <c r="BO34" s="5112">
        <f t="shared" si="14"/>
        <v>0</v>
      </c>
      <c r="BP34" s="5113"/>
      <c r="BQ34" s="5136">
        <f t="shared" si="15"/>
        <v>860</v>
      </c>
      <c r="BR34" s="5113"/>
      <c r="BS34" s="5114">
        <f t="shared" si="16"/>
        <v>0</v>
      </c>
      <c r="BT34" s="5113"/>
      <c r="BU34" s="5113">
        <f t="shared" si="17"/>
        <v>860</v>
      </c>
      <c r="BV34" s="5113"/>
      <c r="BW34" s="5114">
        <f t="shared" si="18"/>
        <v>0</v>
      </c>
      <c r="BX34" s="5113"/>
      <c r="BY34" s="5113">
        <f t="shared" si="19"/>
        <v>860</v>
      </c>
      <c r="BZ34" s="5113"/>
      <c r="CA34" s="5114">
        <f t="shared" si="20"/>
        <v>0</v>
      </c>
      <c r="CB34" s="5113"/>
      <c r="CC34" s="5112">
        <f t="shared" si="21"/>
        <v>0</v>
      </c>
      <c r="CD34" s="5113"/>
      <c r="CE34" s="5113">
        <f t="shared" si="22"/>
        <v>860</v>
      </c>
      <c r="CF34" s="5113"/>
      <c r="CG34" s="5114">
        <f t="shared" si="23"/>
        <v>0</v>
      </c>
      <c r="CH34" s="5113"/>
      <c r="CI34" s="5113">
        <f t="shared" si="24"/>
        <v>860</v>
      </c>
      <c r="CJ34" s="5113"/>
      <c r="CK34" s="5114">
        <f t="shared" si="25"/>
        <v>0</v>
      </c>
      <c r="CL34" s="5113"/>
      <c r="CM34" s="5113">
        <f t="shared" si="26"/>
        <v>860</v>
      </c>
      <c r="CN34" s="5113"/>
      <c r="CO34" s="5114">
        <f t="shared" si="27"/>
        <v>0</v>
      </c>
      <c r="CP34" s="5113"/>
      <c r="CQ34" s="5112">
        <f t="shared" si="28"/>
        <v>0</v>
      </c>
      <c r="CR34" s="5113"/>
      <c r="CS34" s="5136">
        <f t="shared" si="29"/>
        <v>0</v>
      </c>
      <c r="CT34" s="5111"/>
      <c r="CU34" s="5139">
        <f t="shared" si="30"/>
        <v>860</v>
      </c>
      <c r="CV34" s="5138"/>
      <c r="CW34" s="5147"/>
    </row>
    <row r="35" spans="1:105" x14ac:dyDescent="0.25">
      <c r="A35" s="5170"/>
      <c r="B35" s="5170"/>
      <c r="C35" s="5170"/>
      <c r="D35" s="5170"/>
      <c r="E35" s="5158" t="s">
        <v>1481</v>
      </c>
      <c r="F35" s="5150">
        <v>252</v>
      </c>
      <c r="G35" s="5108">
        <v>260</v>
      </c>
      <c r="H35" s="5108"/>
      <c r="I35" s="5157">
        <f t="shared" si="31"/>
        <v>512</v>
      </c>
      <c r="J35" s="5108"/>
      <c r="K35" s="5108"/>
      <c r="L35" s="5108"/>
      <c r="M35" s="5157"/>
      <c r="N35" s="5156"/>
      <c r="O35" s="5104"/>
      <c r="P35" s="5104"/>
      <c r="Q35" s="5108"/>
      <c r="R35" s="5157"/>
      <c r="S35" s="5108"/>
      <c r="T35" s="5108"/>
      <c r="U35" s="5155"/>
      <c r="V35" s="5157"/>
      <c r="W35" s="5156"/>
      <c r="X35" s="5120">
        <f t="shared" si="32"/>
        <v>512</v>
      </c>
      <c r="Y35" s="5119">
        <v>0</v>
      </c>
      <c r="Z35" s="5108">
        <v>0</v>
      </c>
      <c r="AA35" s="5108"/>
      <c r="AB35" s="5157">
        <f t="shared" si="0"/>
        <v>0</v>
      </c>
      <c r="AC35" s="5108"/>
      <c r="AD35" s="5108"/>
      <c r="AE35" s="5108"/>
      <c r="AF35" s="5118">
        <f t="shared" si="33"/>
        <v>0</v>
      </c>
      <c r="AG35" s="5156">
        <f t="shared" si="34"/>
        <v>0</v>
      </c>
      <c r="AH35" s="5104"/>
      <c r="AI35" s="5104"/>
      <c r="AJ35" s="5104"/>
      <c r="AK35" s="5157">
        <f t="shared" si="3"/>
        <v>0</v>
      </c>
      <c r="AL35" s="5108"/>
      <c r="AM35" s="5108"/>
      <c r="AN35" s="5155"/>
      <c r="AO35" s="5157">
        <f t="shared" si="35"/>
        <v>0</v>
      </c>
      <c r="AP35" s="5156">
        <f t="shared" si="36"/>
        <v>0</v>
      </c>
      <c r="AQ35" s="5117">
        <f t="shared" si="37"/>
        <v>0</v>
      </c>
      <c r="AR35" s="5107">
        <f t="shared" si="38"/>
        <v>512</v>
      </c>
      <c r="AS35" s="5154"/>
      <c r="AT35" s="5110"/>
      <c r="AU35" s="5116">
        <f t="shared" si="39"/>
        <v>252</v>
      </c>
      <c r="AV35" s="5115"/>
      <c r="AW35" s="5114">
        <f t="shared" si="40"/>
        <v>260</v>
      </c>
      <c r="AX35" s="5113"/>
      <c r="AY35" s="5113">
        <f t="shared" si="41"/>
        <v>512</v>
      </c>
      <c r="AZ35" s="5113"/>
      <c r="BA35" s="5114">
        <f t="shared" si="7"/>
        <v>0</v>
      </c>
      <c r="BB35" s="5112"/>
      <c r="BC35" s="5112">
        <f t="shared" si="8"/>
        <v>512</v>
      </c>
      <c r="BD35" s="5113"/>
      <c r="BE35" s="5114">
        <f t="shared" si="9"/>
        <v>0</v>
      </c>
      <c r="BF35" s="5111"/>
      <c r="BG35" s="5111">
        <f t="shared" si="10"/>
        <v>512</v>
      </c>
      <c r="BH35" s="5113"/>
      <c r="BI35" s="5114">
        <f t="shared" si="11"/>
        <v>0</v>
      </c>
      <c r="BJ35" s="5111"/>
      <c r="BK35" s="5111">
        <f t="shared" si="12"/>
        <v>512</v>
      </c>
      <c r="BL35" s="5113"/>
      <c r="BM35" s="5114">
        <f t="shared" si="13"/>
        <v>0</v>
      </c>
      <c r="BN35" s="5113"/>
      <c r="BO35" s="5112">
        <f t="shared" si="14"/>
        <v>0</v>
      </c>
      <c r="BP35" s="5113"/>
      <c r="BQ35" s="5136">
        <f t="shared" si="15"/>
        <v>512</v>
      </c>
      <c r="BR35" s="5113"/>
      <c r="BS35" s="5114">
        <f t="shared" si="16"/>
        <v>0</v>
      </c>
      <c r="BT35" s="5113"/>
      <c r="BU35" s="5113">
        <f t="shared" si="17"/>
        <v>512</v>
      </c>
      <c r="BV35" s="5113"/>
      <c r="BW35" s="5114">
        <f t="shared" si="18"/>
        <v>0</v>
      </c>
      <c r="BX35" s="5113"/>
      <c r="BY35" s="5113">
        <f t="shared" si="19"/>
        <v>512</v>
      </c>
      <c r="BZ35" s="5113"/>
      <c r="CA35" s="5114">
        <f t="shared" si="20"/>
        <v>0</v>
      </c>
      <c r="CB35" s="5113"/>
      <c r="CC35" s="5112">
        <f t="shared" si="21"/>
        <v>0</v>
      </c>
      <c r="CD35" s="5113"/>
      <c r="CE35" s="5113">
        <f t="shared" si="22"/>
        <v>512</v>
      </c>
      <c r="CF35" s="5113"/>
      <c r="CG35" s="5114">
        <f t="shared" si="23"/>
        <v>0</v>
      </c>
      <c r="CH35" s="5113"/>
      <c r="CI35" s="5113">
        <f t="shared" si="24"/>
        <v>512</v>
      </c>
      <c r="CJ35" s="5113"/>
      <c r="CK35" s="5114">
        <f t="shared" si="25"/>
        <v>0</v>
      </c>
      <c r="CL35" s="5113"/>
      <c r="CM35" s="5113">
        <f t="shared" si="26"/>
        <v>512</v>
      </c>
      <c r="CN35" s="5113"/>
      <c r="CO35" s="5114">
        <f t="shared" si="27"/>
        <v>0</v>
      </c>
      <c r="CP35" s="5113"/>
      <c r="CQ35" s="5112">
        <f t="shared" si="28"/>
        <v>0</v>
      </c>
      <c r="CR35" s="5113"/>
      <c r="CS35" s="5136">
        <f t="shared" si="29"/>
        <v>0</v>
      </c>
      <c r="CT35" s="5111"/>
      <c r="CU35" s="5139">
        <f t="shared" si="30"/>
        <v>512</v>
      </c>
      <c r="CV35" s="5138"/>
      <c r="CW35" s="5147"/>
    </row>
    <row r="36" spans="1:105" x14ac:dyDescent="0.25">
      <c r="A36" s="5170"/>
      <c r="B36" s="5170"/>
      <c r="C36" s="5170"/>
      <c r="D36" s="5170"/>
      <c r="E36" s="5158" t="s">
        <v>2203</v>
      </c>
      <c r="F36" s="5150">
        <v>442</v>
      </c>
      <c r="G36" s="5108">
        <v>1461</v>
      </c>
      <c r="H36" s="5108"/>
      <c r="I36" s="5157">
        <f t="shared" si="31"/>
        <v>1903</v>
      </c>
      <c r="J36" s="5108"/>
      <c r="K36" s="5108"/>
      <c r="L36" s="5108"/>
      <c r="M36" s="5157"/>
      <c r="N36" s="5156"/>
      <c r="O36" s="5104"/>
      <c r="P36" s="5104"/>
      <c r="Q36" s="5108"/>
      <c r="R36" s="5157"/>
      <c r="S36" s="5108"/>
      <c r="T36" s="5108"/>
      <c r="U36" s="5155"/>
      <c r="V36" s="5157"/>
      <c r="W36" s="5156"/>
      <c r="X36" s="5120">
        <f t="shared" si="32"/>
        <v>1903</v>
      </c>
      <c r="Y36" s="5119">
        <v>0</v>
      </c>
      <c r="Z36" s="5108">
        <v>0</v>
      </c>
      <c r="AA36" s="5108"/>
      <c r="AB36" s="5157">
        <f t="shared" si="0"/>
        <v>0</v>
      </c>
      <c r="AC36" s="5108"/>
      <c r="AD36" s="5108"/>
      <c r="AE36" s="5108"/>
      <c r="AF36" s="5118">
        <f t="shared" si="33"/>
        <v>0</v>
      </c>
      <c r="AG36" s="5156">
        <f t="shared" si="34"/>
        <v>0</v>
      </c>
      <c r="AH36" s="5104"/>
      <c r="AI36" s="5104"/>
      <c r="AJ36" s="5104"/>
      <c r="AK36" s="5157">
        <f t="shared" si="3"/>
        <v>0</v>
      </c>
      <c r="AL36" s="5108"/>
      <c r="AM36" s="5108"/>
      <c r="AN36" s="5155"/>
      <c r="AO36" s="5157">
        <f t="shared" si="35"/>
        <v>0</v>
      </c>
      <c r="AP36" s="5156">
        <f t="shared" si="36"/>
        <v>0</v>
      </c>
      <c r="AQ36" s="5117">
        <f t="shared" si="37"/>
        <v>0</v>
      </c>
      <c r="AR36" s="5107">
        <f t="shared" si="38"/>
        <v>1903</v>
      </c>
      <c r="AS36" s="5154"/>
      <c r="AT36" s="5110"/>
      <c r="AU36" s="5116">
        <f t="shared" si="39"/>
        <v>442</v>
      </c>
      <c r="AV36" s="5115"/>
      <c r="AW36" s="5114">
        <f t="shared" si="40"/>
        <v>1461</v>
      </c>
      <c r="AX36" s="5113"/>
      <c r="AY36" s="5113">
        <f t="shared" si="41"/>
        <v>1903</v>
      </c>
      <c r="AZ36" s="7031"/>
      <c r="BA36" s="7031"/>
      <c r="BB36" s="7032"/>
      <c r="BC36" s="7032"/>
      <c r="BD36" s="7031"/>
      <c r="BE36" s="7031"/>
      <c r="BF36" s="7033"/>
      <c r="BG36" s="7033"/>
      <c r="BH36" s="7031"/>
      <c r="BI36" s="7031"/>
      <c r="BJ36" s="7033"/>
      <c r="BK36" s="7033"/>
      <c r="BL36" s="7031"/>
      <c r="BM36" s="7031"/>
      <c r="BN36" s="7031"/>
      <c r="BO36" s="7032"/>
      <c r="BP36" s="7031"/>
      <c r="BQ36" s="7034"/>
      <c r="BR36" s="7031"/>
      <c r="BS36" s="7031"/>
      <c r="BT36" s="7031"/>
      <c r="BU36" s="7031"/>
      <c r="BV36" s="7031"/>
      <c r="BW36" s="7031"/>
      <c r="BX36" s="7031"/>
      <c r="BY36" s="7031"/>
      <c r="BZ36" s="7031"/>
      <c r="CA36" s="7031"/>
      <c r="CB36" s="7031"/>
      <c r="CC36" s="7032"/>
      <c r="CD36" s="7031"/>
      <c r="CE36" s="7031"/>
      <c r="CF36" s="7031"/>
      <c r="CG36" s="7031"/>
      <c r="CH36" s="7031"/>
      <c r="CI36" s="7031"/>
      <c r="CJ36" s="7031"/>
      <c r="CK36" s="7031"/>
      <c r="CL36" s="7031"/>
      <c r="CM36" s="7031"/>
      <c r="CN36" s="7031"/>
      <c r="CO36" s="7031"/>
      <c r="CP36" s="7031"/>
      <c r="CQ36" s="7032"/>
      <c r="CR36" s="7031"/>
      <c r="CS36" s="7034"/>
      <c r="CT36" s="7033"/>
      <c r="CU36" s="7035"/>
      <c r="CV36" s="5138"/>
      <c r="CW36" s="5147"/>
    </row>
    <row r="37" spans="1:105" x14ac:dyDescent="0.25">
      <c r="A37" s="5170"/>
      <c r="B37" s="5170"/>
      <c r="C37" s="5170"/>
      <c r="D37" s="5170"/>
      <c r="E37" s="5158" t="s">
        <v>1213</v>
      </c>
      <c r="F37" s="5150">
        <v>0</v>
      </c>
      <c r="G37" s="5108"/>
      <c r="H37" s="5108"/>
      <c r="I37" s="5157">
        <f t="shared" si="31"/>
        <v>0</v>
      </c>
      <c r="J37" s="5108"/>
      <c r="K37" s="5108"/>
      <c r="L37" s="5108"/>
      <c r="M37" s="5157"/>
      <c r="N37" s="5156"/>
      <c r="O37" s="5104"/>
      <c r="P37" s="5104"/>
      <c r="Q37" s="5108"/>
      <c r="R37" s="5157"/>
      <c r="S37" s="5108"/>
      <c r="T37" s="5108"/>
      <c r="U37" s="5155"/>
      <c r="V37" s="5157"/>
      <c r="W37" s="5156"/>
      <c r="X37" s="5120">
        <f t="shared" si="32"/>
        <v>0</v>
      </c>
      <c r="Y37" s="5119">
        <v>178</v>
      </c>
      <c r="Z37" s="5108"/>
      <c r="AA37" s="5108"/>
      <c r="AB37" s="5157">
        <f t="shared" si="0"/>
        <v>178</v>
      </c>
      <c r="AC37" s="5108"/>
      <c r="AD37" s="5108"/>
      <c r="AE37" s="5108"/>
      <c r="AF37" s="5118">
        <f t="shared" si="33"/>
        <v>0</v>
      </c>
      <c r="AG37" s="5156">
        <f t="shared" si="34"/>
        <v>178</v>
      </c>
      <c r="AH37" s="5104"/>
      <c r="AI37" s="5104"/>
      <c r="AJ37" s="5104"/>
      <c r="AK37" s="5157">
        <f t="shared" si="3"/>
        <v>0</v>
      </c>
      <c r="AL37" s="5108"/>
      <c r="AM37" s="5108"/>
      <c r="AN37" s="5155"/>
      <c r="AO37" s="5157">
        <f t="shared" si="35"/>
        <v>0</v>
      </c>
      <c r="AP37" s="5156">
        <f t="shared" si="36"/>
        <v>0</v>
      </c>
      <c r="AQ37" s="5117">
        <f t="shared" si="37"/>
        <v>178</v>
      </c>
      <c r="AR37" s="5107">
        <f t="shared" si="38"/>
        <v>178</v>
      </c>
      <c r="AS37" s="5154"/>
      <c r="AT37" s="5110"/>
      <c r="AU37" s="5116">
        <f t="shared" si="39"/>
        <v>178</v>
      </c>
      <c r="AV37" s="5115"/>
      <c r="AW37" s="5114">
        <f t="shared" si="40"/>
        <v>0</v>
      </c>
      <c r="AX37" s="5113"/>
      <c r="AY37" s="5113">
        <f t="shared" si="41"/>
        <v>178</v>
      </c>
      <c r="AZ37" s="5113"/>
      <c r="BA37" s="5114">
        <f t="shared" si="7"/>
        <v>0</v>
      </c>
      <c r="BB37" s="5112"/>
      <c r="BC37" s="5112">
        <f t="shared" si="8"/>
        <v>178</v>
      </c>
      <c r="BD37" s="5113"/>
      <c r="BE37" s="5114">
        <f t="shared" si="9"/>
        <v>0</v>
      </c>
      <c r="BF37" s="5111"/>
      <c r="BG37" s="5111">
        <f t="shared" si="10"/>
        <v>178</v>
      </c>
      <c r="BH37" s="5113"/>
      <c r="BI37" s="5114">
        <f t="shared" si="11"/>
        <v>0</v>
      </c>
      <c r="BJ37" s="5111"/>
      <c r="BK37" s="5111">
        <f t="shared" si="12"/>
        <v>178</v>
      </c>
      <c r="BL37" s="5113"/>
      <c r="BM37" s="5114">
        <f t="shared" si="13"/>
        <v>0</v>
      </c>
      <c r="BN37" s="5113"/>
      <c r="BO37" s="5112">
        <f t="shared" si="14"/>
        <v>0</v>
      </c>
      <c r="BP37" s="5113"/>
      <c r="BQ37" s="5136">
        <f t="shared" si="15"/>
        <v>178</v>
      </c>
      <c r="BR37" s="5113"/>
      <c r="BS37" s="5114">
        <f t="shared" si="16"/>
        <v>0</v>
      </c>
      <c r="BT37" s="5113"/>
      <c r="BU37" s="5113">
        <f t="shared" si="17"/>
        <v>178</v>
      </c>
      <c r="BV37" s="5113"/>
      <c r="BW37" s="5114">
        <f t="shared" si="18"/>
        <v>0</v>
      </c>
      <c r="BX37" s="5113"/>
      <c r="BY37" s="5113">
        <f t="shared" si="19"/>
        <v>178</v>
      </c>
      <c r="BZ37" s="5113"/>
      <c r="CA37" s="5114">
        <f t="shared" si="20"/>
        <v>0</v>
      </c>
      <c r="CB37" s="5113"/>
      <c r="CC37" s="5112">
        <f t="shared" si="21"/>
        <v>0</v>
      </c>
      <c r="CD37" s="5113"/>
      <c r="CE37" s="5113">
        <f t="shared" si="22"/>
        <v>178</v>
      </c>
      <c r="CF37" s="5113"/>
      <c r="CG37" s="5114">
        <f t="shared" si="23"/>
        <v>0</v>
      </c>
      <c r="CH37" s="5113"/>
      <c r="CI37" s="5113">
        <f t="shared" si="24"/>
        <v>178</v>
      </c>
      <c r="CJ37" s="5113"/>
      <c r="CK37" s="5114">
        <f t="shared" si="25"/>
        <v>0</v>
      </c>
      <c r="CL37" s="5113"/>
      <c r="CM37" s="5113">
        <f t="shared" si="26"/>
        <v>178</v>
      </c>
      <c r="CN37" s="5113"/>
      <c r="CO37" s="5114">
        <f t="shared" si="27"/>
        <v>0</v>
      </c>
      <c r="CP37" s="5113"/>
      <c r="CQ37" s="5112">
        <f t="shared" si="28"/>
        <v>0</v>
      </c>
      <c r="CR37" s="5113"/>
      <c r="CS37" s="5136">
        <f t="shared" si="29"/>
        <v>0</v>
      </c>
      <c r="CT37" s="5111"/>
      <c r="CU37" s="5139">
        <f t="shared" si="30"/>
        <v>178</v>
      </c>
      <c r="CV37" s="5138"/>
      <c r="CW37" s="5147"/>
    </row>
    <row r="38" spans="1:105" x14ac:dyDescent="0.25">
      <c r="A38" s="5170"/>
      <c r="B38" s="5170"/>
      <c r="C38" s="5170"/>
      <c r="D38" s="5170"/>
      <c r="E38" s="5158" t="s">
        <v>1212</v>
      </c>
      <c r="F38" s="5150">
        <v>6703</v>
      </c>
      <c r="G38" s="5108"/>
      <c r="H38" s="5108"/>
      <c r="I38" s="5157">
        <f t="shared" si="31"/>
        <v>6703</v>
      </c>
      <c r="J38" s="5108"/>
      <c r="K38" s="5108"/>
      <c r="L38" s="5108"/>
      <c r="M38" s="5157"/>
      <c r="N38" s="5156"/>
      <c r="O38" s="5104"/>
      <c r="P38" s="5104"/>
      <c r="Q38" s="5108"/>
      <c r="R38" s="5157"/>
      <c r="S38" s="5108"/>
      <c r="T38" s="5108"/>
      <c r="U38" s="5155"/>
      <c r="V38" s="5157"/>
      <c r="W38" s="5156"/>
      <c r="X38" s="5120">
        <f t="shared" si="32"/>
        <v>6703</v>
      </c>
      <c r="Y38" s="5119">
        <v>5833</v>
      </c>
      <c r="Z38" s="5108"/>
      <c r="AA38" s="5108"/>
      <c r="AB38" s="5157">
        <f t="shared" si="0"/>
        <v>5833</v>
      </c>
      <c r="AC38" s="5108"/>
      <c r="AD38" s="5108"/>
      <c r="AE38" s="5108"/>
      <c r="AF38" s="5118">
        <f t="shared" si="33"/>
        <v>0</v>
      </c>
      <c r="AG38" s="5156">
        <f t="shared" si="34"/>
        <v>5833</v>
      </c>
      <c r="AH38" s="5104"/>
      <c r="AI38" s="5104"/>
      <c r="AJ38" s="5104"/>
      <c r="AK38" s="5157">
        <f t="shared" si="3"/>
        <v>0</v>
      </c>
      <c r="AL38" s="5108"/>
      <c r="AM38" s="5108"/>
      <c r="AN38" s="5155"/>
      <c r="AO38" s="5157">
        <f t="shared" si="35"/>
        <v>0</v>
      </c>
      <c r="AP38" s="5156">
        <f t="shared" si="36"/>
        <v>0</v>
      </c>
      <c r="AQ38" s="5117">
        <f t="shared" si="37"/>
        <v>5833</v>
      </c>
      <c r="AR38" s="5107">
        <f t="shared" si="38"/>
        <v>12536</v>
      </c>
      <c r="AS38" s="5154"/>
      <c r="AT38" s="5110"/>
      <c r="AU38" s="5116">
        <f t="shared" si="39"/>
        <v>12536</v>
      </c>
      <c r="AV38" s="5115"/>
      <c r="AW38" s="5114">
        <f t="shared" si="40"/>
        <v>0</v>
      </c>
      <c r="AX38" s="5113"/>
      <c r="AY38" s="5113">
        <f t="shared" si="41"/>
        <v>12536</v>
      </c>
      <c r="AZ38" s="5113"/>
      <c r="BA38" s="5114">
        <f t="shared" si="7"/>
        <v>0</v>
      </c>
      <c r="BB38" s="5112"/>
      <c r="BC38" s="5112">
        <f t="shared" si="8"/>
        <v>12536</v>
      </c>
      <c r="BD38" s="5113"/>
      <c r="BE38" s="5114">
        <f t="shared" si="9"/>
        <v>0</v>
      </c>
      <c r="BF38" s="5111"/>
      <c r="BG38" s="5111">
        <f t="shared" si="10"/>
        <v>12536</v>
      </c>
      <c r="BH38" s="5113"/>
      <c r="BI38" s="5114">
        <f t="shared" si="11"/>
        <v>0</v>
      </c>
      <c r="BJ38" s="5111"/>
      <c r="BK38" s="5111">
        <f t="shared" si="12"/>
        <v>12536</v>
      </c>
      <c r="BL38" s="5113"/>
      <c r="BM38" s="5114">
        <f t="shared" si="13"/>
        <v>0</v>
      </c>
      <c r="BN38" s="5113"/>
      <c r="BO38" s="5112">
        <f t="shared" si="14"/>
        <v>0</v>
      </c>
      <c r="BP38" s="5113"/>
      <c r="BQ38" s="5136">
        <f t="shared" si="15"/>
        <v>12536</v>
      </c>
      <c r="BR38" s="5113"/>
      <c r="BS38" s="5114">
        <f t="shared" si="16"/>
        <v>0</v>
      </c>
      <c r="BT38" s="5113"/>
      <c r="BU38" s="5113">
        <f t="shared" si="17"/>
        <v>12536</v>
      </c>
      <c r="BV38" s="5113"/>
      <c r="BW38" s="5114">
        <f t="shared" si="18"/>
        <v>0</v>
      </c>
      <c r="BX38" s="5113"/>
      <c r="BY38" s="5113">
        <f t="shared" si="19"/>
        <v>12536</v>
      </c>
      <c r="BZ38" s="5113"/>
      <c r="CA38" s="5114">
        <f t="shared" si="20"/>
        <v>0</v>
      </c>
      <c r="CB38" s="5113"/>
      <c r="CC38" s="5112">
        <f t="shared" si="21"/>
        <v>0</v>
      </c>
      <c r="CD38" s="5113"/>
      <c r="CE38" s="5113">
        <f t="shared" si="22"/>
        <v>12536</v>
      </c>
      <c r="CF38" s="5113"/>
      <c r="CG38" s="5114">
        <f t="shared" si="23"/>
        <v>0</v>
      </c>
      <c r="CH38" s="5113"/>
      <c r="CI38" s="5113">
        <f t="shared" si="24"/>
        <v>12536</v>
      </c>
      <c r="CJ38" s="5113"/>
      <c r="CK38" s="5114">
        <f t="shared" si="25"/>
        <v>0</v>
      </c>
      <c r="CL38" s="5113"/>
      <c r="CM38" s="5113">
        <f t="shared" si="26"/>
        <v>12536</v>
      </c>
      <c r="CN38" s="5113"/>
      <c r="CO38" s="5114">
        <f t="shared" si="27"/>
        <v>0</v>
      </c>
      <c r="CP38" s="5113"/>
      <c r="CQ38" s="5112">
        <f t="shared" si="28"/>
        <v>0</v>
      </c>
      <c r="CR38" s="5113"/>
      <c r="CS38" s="5136">
        <f t="shared" si="29"/>
        <v>0</v>
      </c>
      <c r="CT38" s="5111"/>
      <c r="CU38" s="5139">
        <f t="shared" si="30"/>
        <v>12536</v>
      </c>
      <c r="CV38" s="5138"/>
      <c r="CW38" s="5147"/>
    </row>
    <row r="39" spans="1:105" x14ac:dyDescent="0.25">
      <c r="A39" s="5170"/>
      <c r="B39" s="5170"/>
      <c r="C39" s="5170"/>
      <c r="D39" s="5170"/>
      <c r="E39" s="5158" t="s">
        <v>2193</v>
      </c>
      <c r="F39" s="5150">
        <v>49</v>
      </c>
      <c r="G39" s="5108">
        <v>1970</v>
      </c>
      <c r="H39" s="5108"/>
      <c r="I39" s="5157">
        <f t="shared" si="31"/>
        <v>2019</v>
      </c>
      <c r="J39" s="5108"/>
      <c r="K39" s="5108"/>
      <c r="L39" s="5108"/>
      <c r="M39" s="5157"/>
      <c r="N39" s="5156"/>
      <c r="O39" s="5104"/>
      <c r="P39" s="5104"/>
      <c r="Q39" s="5108"/>
      <c r="R39" s="5157"/>
      <c r="S39" s="5108"/>
      <c r="T39" s="5108"/>
      <c r="U39" s="5155"/>
      <c r="V39" s="5157"/>
      <c r="W39" s="5156"/>
      <c r="X39" s="5120">
        <f t="shared" si="32"/>
        <v>2019</v>
      </c>
      <c r="Y39" s="5119">
        <v>0</v>
      </c>
      <c r="Z39" s="5108">
        <v>0</v>
      </c>
      <c r="AA39" s="5108"/>
      <c r="AB39" s="5157">
        <f t="shared" si="0"/>
        <v>0</v>
      </c>
      <c r="AC39" s="5108"/>
      <c r="AD39" s="5108"/>
      <c r="AE39" s="5108"/>
      <c r="AF39" s="5118">
        <f t="shared" si="33"/>
        <v>0</v>
      </c>
      <c r="AG39" s="5156">
        <f t="shared" si="34"/>
        <v>0</v>
      </c>
      <c r="AH39" s="5104"/>
      <c r="AI39" s="5104"/>
      <c r="AJ39" s="5104"/>
      <c r="AK39" s="5157">
        <f t="shared" si="3"/>
        <v>0</v>
      </c>
      <c r="AL39" s="5108"/>
      <c r="AM39" s="5108"/>
      <c r="AN39" s="5155"/>
      <c r="AO39" s="5157">
        <f t="shared" si="35"/>
        <v>0</v>
      </c>
      <c r="AP39" s="5156">
        <f t="shared" si="36"/>
        <v>0</v>
      </c>
      <c r="AQ39" s="5117">
        <f t="shared" si="37"/>
        <v>0</v>
      </c>
      <c r="AR39" s="5107">
        <f t="shared" si="38"/>
        <v>2019</v>
      </c>
      <c r="AS39" s="5154"/>
      <c r="AT39" s="5110"/>
      <c r="AU39" s="5116">
        <f t="shared" si="39"/>
        <v>49</v>
      </c>
      <c r="AV39" s="5115"/>
      <c r="AW39" s="5114">
        <f t="shared" si="40"/>
        <v>1970</v>
      </c>
      <c r="AX39" s="5113"/>
      <c r="AY39" s="5113">
        <f t="shared" si="41"/>
        <v>2019</v>
      </c>
      <c r="AZ39" s="5113"/>
      <c r="BA39" s="5114">
        <f t="shared" si="7"/>
        <v>0</v>
      </c>
      <c r="BB39" s="5112"/>
      <c r="BC39" s="5112">
        <f t="shared" si="8"/>
        <v>2019</v>
      </c>
      <c r="BD39" s="5113"/>
      <c r="BE39" s="5114">
        <f t="shared" si="9"/>
        <v>0</v>
      </c>
      <c r="BF39" s="5111"/>
      <c r="BG39" s="5111">
        <f t="shared" si="10"/>
        <v>2019</v>
      </c>
      <c r="BH39" s="5113"/>
      <c r="BI39" s="5114">
        <f t="shared" si="11"/>
        <v>0</v>
      </c>
      <c r="BJ39" s="5111"/>
      <c r="BK39" s="5111">
        <f t="shared" si="12"/>
        <v>2019</v>
      </c>
      <c r="BL39" s="5113"/>
      <c r="BM39" s="5114">
        <f t="shared" si="13"/>
        <v>0</v>
      </c>
      <c r="BN39" s="5113"/>
      <c r="BO39" s="5112">
        <f t="shared" si="14"/>
        <v>0</v>
      </c>
      <c r="BP39" s="5113"/>
      <c r="BQ39" s="5136">
        <f t="shared" si="15"/>
        <v>2019</v>
      </c>
      <c r="BR39" s="5113"/>
      <c r="BS39" s="5114">
        <f t="shared" si="16"/>
        <v>0</v>
      </c>
      <c r="BT39" s="5113"/>
      <c r="BU39" s="5113">
        <f t="shared" si="17"/>
        <v>2019</v>
      </c>
      <c r="BV39" s="5113"/>
      <c r="BW39" s="5114">
        <f t="shared" si="18"/>
        <v>0</v>
      </c>
      <c r="BX39" s="5113"/>
      <c r="BY39" s="5113">
        <f t="shared" si="19"/>
        <v>2019</v>
      </c>
      <c r="BZ39" s="5113"/>
      <c r="CA39" s="5114">
        <f t="shared" si="20"/>
        <v>0</v>
      </c>
      <c r="CB39" s="5113"/>
      <c r="CC39" s="5112">
        <f t="shared" si="21"/>
        <v>0</v>
      </c>
      <c r="CD39" s="5113"/>
      <c r="CE39" s="5113">
        <f t="shared" si="22"/>
        <v>2019</v>
      </c>
      <c r="CF39" s="5113"/>
      <c r="CG39" s="5114">
        <f t="shared" si="23"/>
        <v>0</v>
      </c>
      <c r="CH39" s="5113"/>
      <c r="CI39" s="5113">
        <f t="shared" si="24"/>
        <v>2019</v>
      </c>
      <c r="CJ39" s="5113"/>
      <c r="CK39" s="5114">
        <f t="shared" si="25"/>
        <v>0</v>
      </c>
      <c r="CL39" s="5113"/>
      <c r="CM39" s="5113">
        <f t="shared" si="26"/>
        <v>2019</v>
      </c>
      <c r="CN39" s="5113"/>
      <c r="CO39" s="5114">
        <f t="shared" si="27"/>
        <v>0</v>
      </c>
      <c r="CP39" s="5113"/>
      <c r="CQ39" s="5112">
        <f t="shared" si="28"/>
        <v>0</v>
      </c>
      <c r="CR39" s="5113"/>
      <c r="CS39" s="5136">
        <f t="shared" si="29"/>
        <v>0</v>
      </c>
      <c r="CT39" s="5111"/>
      <c r="CU39" s="5139">
        <f t="shared" si="30"/>
        <v>2019</v>
      </c>
      <c r="CV39" s="5138"/>
      <c r="CW39" s="5147"/>
    </row>
    <row r="40" spans="1:105" x14ac:dyDescent="0.25">
      <c r="A40" s="5170"/>
      <c r="B40" s="5170"/>
      <c r="C40" s="5170"/>
      <c r="D40" s="5170"/>
      <c r="E40" s="5158" t="s">
        <v>2194</v>
      </c>
      <c r="F40" s="5150"/>
      <c r="G40" s="5108">
        <v>173</v>
      </c>
      <c r="H40" s="5108"/>
      <c r="I40" s="5157">
        <f t="shared" si="31"/>
        <v>173</v>
      </c>
      <c r="J40" s="5108"/>
      <c r="K40" s="5108"/>
      <c r="L40" s="5108"/>
      <c r="M40" s="5157"/>
      <c r="N40" s="5156"/>
      <c r="O40" s="5104"/>
      <c r="P40" s="5104"/>
      <c r="Q40" s="5108"/>
      <c r="R40" s="5157"/>
      <c r="S40" s="5108"/>
      <c r="T40" s="5108"/>
      <c r="U40" s="5155"/>
      <c r="V40" s="5157"/>
      <c r="W40" s="5156"/>
      <c r="X40" s="5120">
        <f t="shared" si="32"/>
        <v>173</v>
      </c>
      <c r="Y40" s="5119"/>
      <c r="Z40" s="5108">
        <v>95</v>
      </c>
      <c r="AA40" s="5108"/>
      <c r="AB40" s="5157">
        <f t="shared" si="0"/>
        <v>95</v>
      </c>
      <c r="AC40" s="5108"/>
      <c r="AD40" s="5108"/>
      <c r="AE40" s="5108"/>
      <c r="AF40" s="5118">
        <f t="shared" si="33"/>
        <v>0</v>
      </c>
      <c r="AG40" s="5156">
        <f t="shared" si="34"/>
        <v>95</v>
      </c>
      <c r="AH40" s="5104"/>
      <c r="AI40" s="5104"/>
      <c r="AJ40" s="5104"/>
      <c r="AK40" s="5157">
        <f t="shared" si="3"/>
        <v>0</v>
      </c>
      <c r="AL40" s="5108"/>
      <c r="AM40" s="5108"/>
      <c r="AN40" s="5155"/>
      <c r="AO40" s="5157">
        <f t="shared" si="35"/>
        <v>0</v>
      </c>
      <c r="AP40" s="5156">
        <f t="shared" si="36"/>
        <v>0</v>
      </c>
      <c r="AQ40" s="5117">
        <f t="shared" si="37"/>
        <v>95</v>
      </c>
      <c r="AR40" s="5107">
        <f t="shared" si="38"/>
        <v>268</v>
      </c>
      <c r="AS40" s="5154"/>
      <c r="AT40" s="5110"/>
      <c r="AU40" s="5116">
        <f t="shared" si="39"/>
        <v>0</v>
      </c>
      <c r="AV40" s="7030"/>
      <c r="AW40" s="5114">
        <f t="shared" si="40"/>
        <v>268</v>
      </c>
      <c r="AX40" s="7282"/>
      <c r="AY40" s="5113">
        <f t="shared" si="41"/>
        <v>268</v>
      </c>
      <c r="AZ40" s="7282"/>
      <c r="BA40" s="7282"/>
      <c r="BB40" s="7283"/>
      <c r="BC40" s="7283"/>
      <c r="BD40" s="7282"/>
      <c r="BE40" s="7282"/>
      <c r="BF40" s="7284"/>
      <c r="BG40" s="7284"/>
      <c r="BH40" s="7282"/>
      <c r="BI40" s="7282"/>
      <c r="BJ40" s="7284"/>
      <c r="BK40" s="7284"/>
      <c r="BL40" s="7282"/>
      <c r="BM40" s="7282"/>
      <c r="BN40" s="7282"/>
      <c r="BO40" s="7283"/>
      <c r="BP40" s="7282"/>
      <c r="BQ40" s="7285"/>
      <c r="BR40" s="7282"/>
      <c r="BS40" s="7282"/>
      <c r="BT40" s="7282"/>
      <c r="BU40" s="7282"/>
      <c r="BV40" s="7282"/>
      <c r="BW40" s="7282"/>
      <c r="BX40" s="7282"/>
      <c r="BY40" s="7282"/>
      <c r="BZ40" s="7282"/>
      <c r="CA40" s="7282"/>
      <c r="CB40" s="7282"/>
      <c r="CC40" s="7283"/>
      <c r="CD40" s="7282"/>
      <c r="CE40" s="7282"/>
      <c r="CF40" s="7282"/>
      <c r="CG40" s="7282"/>
      <c r="CH40" s="7282"/>
      <c r="CI40" s="7282"/>
      <c r="CJ40" s="7282"/>
      <c r="CK40" s="7282"/>
      <c r="CL40" s="7282"/>
      <c r="CM40" s="7282"/>
      <c r="CN40" s="7282"/>
      <c r="CO40" s="7282"/>
      <c r="CP40" s="7282"/>
      <c r="CQ40" s="7283"/>
      <c r="CR40" s="7282"/>
      <c r="CS40" s="7285"/>
      <c r="CT40" s="7284"/>
      <c r="CU40" s="7286"/>
      <c r="CV40" s="5138"/>
      <c r="CW40" s="5147"/>
    </row>
    <row r="41" spans="1:105" x14ac:dyDescent="0.25">
      <c r="A41" s="5170"/>
      <c r="B41" s="5170"/>
      <c r="C41" s="5170"/>
      <c r="D41" s="5170"/>
      <c r="E41" s="5158" t="s">
        <v>1212</v>
      </c>
      <c r="F41" s="5150"/>
      <c r="G41" s="5108">
        <v>7262</v>
      </c>
      <c r="H41" s="5108"/>
      <c r="I41" s="5157">
        <f t="shared" si="31"/>
        <v>7262</v>
      </c>
      <c r="J41" s="5108"/>
      <c r="K41" s="5108"/>
      <c r="L41" s="5108"/>
      <c r="M41" s="5157"/>
      <c r="N41" s="5156"/>
      <c r="O41" s="5104"/>
      <c r="P41" s="5104"/>
      <c r="Q41" s="5108"/>
      <c r="R41" s="5157"/>
      <c r="S41" s="5108"/>
      <c r="T41" s="5108"/>
      <c r="U41" s="5155"/>
      <c r="V41" s="5157"/>
      <c r="W41" s="5156"/>
      <c r="X41" s="5120">
        <f t="shared" si="32"/>
        <v>7262</v>
      </c>
      <c r="Y41" s="5119"/>
      <c r="Z41" s="5108">
        <v>4524</v>
      </c>
      <c r="AA41" s="5108"/>
      <c r="AB41" s="5157">
        <f t="shared" si="0"/>
        <v>4524</v>
      </c>
      <c r="AC41" s="5108"/>
      <c r="AD41" s="5108"/>
      <c r="AE41" s="5108"/>
      <c r="AF41" s="5118">
        <f t="shared" si="33"/>
        <v>0</v>
      </c>
      <c r="AG41" s="5156">
        <f t="shared" si="34"/>
        <v>4524</v>
      </c>
      <c r="AH41" s="5104"/>
      <c r="AI41" s="5104"/>
      <c r="AJ41" s="5104"/>
      <c r="AK41" s="5157">
        <f t="shared" si="3"/>
        <v>0</v>
      </c>
      <c r="AL41" s="5108"/>
      <c r="AM41" s="5108"/>
      <c r="AN41" s="5155"/>
      <c r="AO41" s="5157">
        <f t="shared" si="35"/>
        <v>0</v>
      </c>
      <c r="AP41" s="5156">
        <f t="shared" si="36"/>
        <v>0</v>
      </c>
      <c r="AQ41" s="5117">
        <f t="shared" si="37"/>
        <v>4524</v>
      </c>
      <c r="AR41" s="5107">
        <f t="shared" si="38"/>
        <v>11786</v>
      </c>
      <c r="AS41" s="5154"/>
      <c r="AT41" s="5110"/>
      <c r="AU41" s="5116">
        <f t="shared" si="39"/>
        <v>0</v>
      </c>
      <c r="AV41" s="7030"/>
      <c r="AW41" s="5114">
        <f t="shared" si="40"/>
        <v>11786</v>
      </c>
      <c r="AX41" s="7282"/>
      <c r="AY41" s="5113">
        <f t="shared" si="41"/>
        <v>11786</v>
      </c>
      <c r="AZ41" s="7282"/>
      <c r="BA41" s="7282"/>
      <c r="BB41" s="7283"/>
      <c r="BC41" s="7283"/>
      <c r="BD41" s="7282"/>
      <c r="BE41" s="7282"/>
      <c r="BF41" s="7284"/>
      <c r="BG41" s="7284"/>
      <c r="BH41" s="7282"/>
      <c r="BI41" s="7282"/>
      <c r="BJ41" s="7284"/>
      <c r="BK41" s="7284"/>
      <c r="BL41" s="7282"/>
      <c r="BM41" s="7282"/>
      <c r="BN41" s="7282"/>
      <c r="BO41" s="7283"/>
      <c r="BP41" s="7282"/>
      <c r="BQ41" s="7285"/>
      <c r="BR41" s="7282"/>
      <c r="BS41" s="7282"/>
      <c r="BT41" s="7282"/>
      <c r="BU41" s="7282"/>
      <c r="BV41" s="7282"/>
      <c r="BW41" s="7282"/>
      <c r="BX41" s="7282"/>
      <c r="BY41" s="7282"/>
      <c r="BZ41" s="7282"/>
      <c r="CA41" s="7282"/>
      <c r="CB41" s="7282"/>
      <c r="CC41" s="7283"/>
      <c r="CD41" s="7282"/>
      <c r="CE41" s="7282"/>
      <c r="CF41" s="7282"/>
      <c r="CG41" s="7282"/>
      <c r="CH41" s="7282"/>
      <c r="CI41" s="7282"/>
      <c r="CJ41" s="7282"/>
      <c r="CK41" s="7282"/>
      <c r="CL41" s="7282"/>
      <c r="CM41" s="7282"/>
      <c r="CN41" s="7282"/>
      <c r="CO41" s="7282"/>
      <c r="CP41" s="7282"/>
      <c r="CQ41" s="7283"/>
      <c r="CR41" s="7282"/>
      <c r="CS41" s="7285"/>
      <c r="CT41" s="7284"/>
      <c r="CU41" s="7286"/>
      <c r="CV41" s="5138"/>
      <c r="CW41" s="5147"/>
    </row>
    <row r="42" spans="1:105" x14ac:dyDescent="0.25">
      <c r="A42" s="5170"/>
      <c r="B42" s="5170"/>
      <c r="C42" s="5170"/>
      <c r="D42" s="5170"/>
      <c r="E42" s="5158" t="s">
        <v>2042</v>
      </c>
      <c r="F42" s="5150">
        <v>252</v>
      </c>
      <c r="G42" s="5108">
        <v>742</v>
      </c>
      <c r="H42" s="5108"/>
      <c r="I42" s="5157">
        <f t="shared" si="31"/>
        <v>994</v>
      </c>
      <c r="J42" s="5108"/>
      <c r="K42" s="5108"/>
      <c r="L42" s="5108"/>
      <c r="M42" s="5157"/>
      <c r="N42" s="5156"/>
      <c r="O42" s="5104"/>
      <c r="P42" s="5104"/>
      <c r="Q42" s="5108"/>
      <c r="R42" s="5157"/>
      <c r="S42" s="5108"/>
      <c r="T42" s="5108"/>
      <c r="U42" s="5155"/>
      <c r="V42" s="5157"/>
      <c r="W42" s="5156"/>
      <c r="X42" s="5120">
        <f t="shared" si="32"/>
        <v>994</v>
      </c>
      <c r="Y42" s="5119">
        <v>4</v>
      </c>
      <c r="Z42" s="5108">
        <v>8</v>
      </c>
      <c r="AA42" s="5108"/>
      <c r="AB42" s="5157">
        <f t="shared" si="0"/>
        <v>12</v>
      </c>
      <c r="AC42" s="5108"/>
      <c r="AD42" s="5108"/>
      <c r="AE42" s="5108"/>
      <c r="AF42" s="5118">
        <f t="shared" si="33"/>
        <v>0</v>
      </c>
      <c r="AG42" s="5156">
        <f t="shared" si="34"/>
        <v>12</v>
      </c>
      <c r="AH42" s="5104"/>
      <c r="AI42" s="5104"/>
      <c r="AJ42" s="5104"/>
      <c r="AK42" s="5157">
        <f t="shared" si="3"/>
        <v>0</v>
      </c>
      <c r="AL42" s="5108"/>
      <c r="AM42" s="5108"/>
      <c r="AN42" s="5155"/>
      <c r="AO42" s="5157">
        <f t="shared" si="35"/>
        <v>0</v>
      </c>
      <c r="AP42" s="5156">
        <f t="shared" si="36"/>
        <v>0</v>
      </c>
      <c r="AQ42" s="5117">
        <f t="shared" si="37"/>
        <v>12</v>
      </c>
      <c r="AR42" s="5107">
        <f t="shared" si="38"/>
        <v>1006</v>
      </c>
      <c r="AS42" s="5154"/>
      <c r="AT42" s="5110"/>
      <c r="AU42" s="5116">
        <f t="shared" si="39"/>
        <v>256</v>
      </c>
      <c r="AV42" s="5115"/>
      <c r="AW42" s="5114">
        <f t="shared" si="40"/>
        <v>750</v>
      </c>
      <c r="AX42" s="5113"/>
      <c r="AY42" s="5113">
        <f t="shared" si="41"/>
        <v>1006</v>
      </c>
      <c r="AZ42" s="5113"/>
      <c r="BA42" s="5114">
        <f t="shared" si="7"/>
        <v>0</v>
      </c>
      <c r="BB42" s="5112"/>
      <c r="BC42" s="5112">
        <f t="shared" si="8"/>
        <v>1006</v>
      </c>
      <c r="BD42" s="5113"/>
      <c r="BE42" s="5114">
        <f t="shared" si="9"/>
        <v>0</v>
      </c>
      <c r="BF42" s="5111"/>
      <c r="BG42" s="5111">
        <f t="shared" si="10"/>
        <v>1006</v>
      </c>
      <c r="BH42" s="5113"/>
      <c r="BI42" s="5114">
        <f t="shared" si="11"/>
        <v>0</v>
      </c>
      <c r="BJ42" s="5111"/>
      <c r="BK42" s="5111">
        <f t="shared" si="12"/>
        <v>1006</v>
      </c>
      <c r="BL42" s="5113"/>
      <c r="BM42" s="5114">
        <f t="shared" si="13"/>
        <v>0</v>
      </c>
      <c r="BN42" s="5113"/>
      <c r="BO42" s="5112">
        <f t="shared" si="14"/>
        <v>0</v>
      </c>
      <c r="BP42" s="5113"/>
      <c r="BQ42" s="5136">
        <f t="shared" si="15"/>
        <v>1006</v>
      </c>
      <c r="BR42" s="5113"/>
      <c r="BS42" s="5114">
        <f t="shared" si="16"/>
        <v>0</v>
      </c>
      <c r="BT42" s="5113"/>
      <c r="BU42" s="5113">
        <f t="shared" si="17"/>
        <v>1006</v>
      </c>
      <c r="BV42" s="5113"/>
      <c r="BW42" s="5114">
        <f t="shared" si="18"/>
        <v>0</v>
      </c>
      <c r="BX42" s="5113"/>
      <c r="BY42" s="5113">
        <f t="shared" si="19"/>
        <v>1006</v>
      </c>
      <c r="BZ42" s="5113"/>
      <c r="CA42" s="5114">
        <f t="shared" si="20"/>
        <v>0</v>
      </c>
      <c r="CB42" s="5113"/>
      <c r="CC42" s="5112">
        <f t="shared" si="21"/>
        <v>0</v>
      </c>
      <c r="CD42" s="5113"/>
      <c r="CE42" s="5113">
        <f t="shared" si="22"/>
        <v>1006</v>
      </c>
      <c r="CF42" s="5113"/>
      <c r="CG42" s="5114">
        <f t="shared" si="23"/>
        <v>0</v>
      </c>
      <c r="CH42" s="5113"/>
      <c r="CI42" s="5113">
        <f t="shared" si="24"/>
        <v>1006</v>
      </c>
      <c r="CJ42" s="5113"/>
      <c r="CK42" s="5114">
        <f t="shared" si="25"/>
        <v>0</v>
      </c>
      <c r="CL42" s="5113"/>
      <c r="CM42" s="5113">
        <f t="shared" si="26"/>
        <v>1006</v>
      </c>
      <c r="CN42" s="5113"/>
      <c r="CO42" s="5114">
        <f t="shared" si="27"/>
        <v>0</v>
      </c>
      <c r="CP42" s="5113"/>
      <c r="CQ42" s="5112">
        <f t="shared" si="28"/>
        <v>0</v>
      </c>
      <c r="CR42" s="5113"/>
      <c r="CS42" s="5136">
        <f t="shared" si="29"/>
        <v>0</v>
      </c>
      <c r="CT42" s="5111"/>
      <c r="CU42" s="5139">
        <f t="shared" si="30"/>
        <v>1006</v>
      </c>
      <c r="CV42" s="5138"/>
      <c r="CW42" s="5147"/>
    </row>
    <row r="43" spans="1:105" x14ac:dyDescent="0.25">
      <c r="A43" s="5170"/>
      <c r="B43" s="5170"/>
      <c r="C43" s="5170"/>
      <c r="D43" s="5170"/>
      <c r="E43" s="5158" t="s">
        <v>1214</v>
      </c>
      <c r="F43" s="5150">
        <v>9177</v>
      </c>
      <c r="G43" s="5108">
        <v>13971</v>
      </c>
      <c r="H43" s="5108"/>
      <c r="I43" s="5157">
        <f t="shared" si="31"/>
        <v>23148</v>
      </c>
      <c r="J43" s="5108"/>
      <c r="K43" s="5108"/>
      <c r="L43" s="5108"/>
      <c r="M43" s="5157"/>
      <c r="N43" s="5156"/>
      <c r="O43" s="5104"/>
      <c r="P43" s="5104"/>
      <c r="Q43" s="5108"/>
      <c r="R43" s="5157"/>
      <c r="S43" s="5108"/>
      <c r="T43" s="5108"/>
      <c r="U43" s="5155"/>
      <c r="V43" s="5157"/>
      <c r="W43" s="5156"/>
      <c r="X43" s="5120">
        <f t="shared" si="32"/>
        <v>23148</v>
      </c>
      <c r="Y43" s="5119">
        <v>6023</v>
      </c>
      <c r="Z43" s="5108">
        <v>3397</v>
      </c>
      <c r="AA43" s="5108"/>
      <c r="AB43" s="5157">
        <f t="shared" si="0"/>
        <v>9420</v>
      </c>
      <c r="AC43" s="5108"/>
      <c r="AD43" s="5108"/>
      <c r="AE43" s="5108"/>
      <c r="AF43" s="5118">
        <f t="shared" si="33"/>
        <v>0</v>
      </c>
      <c r="AG43" s="5156">
        <f t="shared" si="34"/>
        <v>9420</v>
      </c>
      <c r="AH43" s="5104"/>
      <c r="AI43" s="5104"/>
      <c r="AJ43" s="5104"/>
      <c r="AK43" s="5157">
        <f t="shared" si="3"/>
        <v>0</v>
      </c>
      <c r="AL43" s="5108"/>
      <c r="AM43" s="5108"/>
      <c r="AN43" s="5155"/>
      <c r="AO43" s="5157">
        <f t="shared" si="35"/>
        <v>0</v>
      </c>
      <c r="AP43" s="5156">
        <f t="shared" si="36"/>
        <v>0</v>
      </c>
      <c r="AQ43" s="5117">
        <f t="shared" si="37"/>
        <v>9420</v>
      </c>
      <c r="AR43" s="5107">
        <f t="shared" si="38"/>
        <v>32568</v>
      </c>
      <c r="AS43" s="5154"/>
      <c r="AT43" s="5110"/>
      <c r="AU43" s="5116">
        <f t="shared" si="39"/>
        <v>15200</v>
      </c>
      <c r="AV43" s="5115"/>
      <c r="AW43" s="5114">
        <f t="shared" si="40"/>
        <v>17368</v>
      </c>
      <c r="AX43" s="5113"/>
      <c r="AY43" s="5113">
        <f t="shared" si="41"/>
        <v>32568</v>
      </c>
      <c r="AZ43" s="5113"/>
      <c r="BA43" s="5114">
        <f t="shared" si="7"/>
        <v>0</v>
      </c>
      <c r="BB43" s="5112"/>
      <c r="BC43" s="5112">
        <f t="shared" si="8"/>
        <v>32568</v>
      </c>
      <c r="BD43" s="5113"/>
      <c r="BE43" s="5114">
        <f t="shared" si="9"/>
        <v>0</v>
      </c>
      <c r="BF43" s="5111"/>
      <c r="BG43" s="5111">
        <f t="shared" si="10"/>
        <v>32568</v>
      </c>
      <c r="BH43" s="5113"/>
      <c r="BI43" s="5114">
        <f t="shared" si="11"/>
        <v>0</v>
      </c>
      <c r="BJ43" s="5111"/>
      <c r="BK43" s="5111">
        <f t="shared" si="12"/>
        <v>32568</v>
      </c>
      <c r="BL43" s="5113"/>
      <c r="BM43" s="5114">
        <f t="shared" si="13"/>
        <v>0</v>
      </c>
      <c r="BN43" s="5113"/>
      <c r="BO43" s="5112">
        <f t="shared" si="14"/>
        <v>0</v>
      </c>
      <c r="BP43" s="5113"/>
      <c r="BQ43" s="5136">
        <f t="shared" si="15"/>
        <v>32568</v>
      </c>
      <c r="BR43" s="5113"/>
      <c r="BS43" s="5114">
        <f t="shared" si="16"/>
        <v>0</v>
      </c>
      <c r="BT43" s="5113"/>
      <c r="BU43" s="5113">
        <f t="shared" si="17"/>
        <v>32568</v>
      </c>
      <c r="BV43" s="5113"/>
      <c r="BW43" s="5114">
        <f t="shared" si="18"/>
        <v>0</v>
      </c>
      <c r="BX43" s="5113"/>
      <c r="BY43" s="5113">
        <f t="shared" si="19"/>
        <v>32568</v>
      </c>
      <c r="BZ43" s="5113"/>
      <c r="CA43" s="5114">
        <f t="shared" si="20"/>
        <v>0</v>
      </c>
      <c r="CB43" s="5113"/>
      <c r="CC43" s="5112">
        <f t="shared" si="21"/>
        <v>0</v>
      </c>
      <c r="CD43" s="5113"/>
      <c r="CE43" s="5113">
        <f t="shared" si="22"/>
        <v>32568</v>
      </c>
      <c r="CF43" s="5113"/>
      <c r="CG43" s="5114">
        <f t="shared" si="23"/>
        <v>0</v>
      </c>
      <c r="CH43" s="5113"/>
      <c r="CI43" s="5113">
        <f t="shared" si="24"/>
        <v>32568</v>
      </c>
      <c r="CJ43" s="5113"/>
      <c r="CK43" s="5114">
        <f t="shared" si="25"/>
        <v>0</v>
      </c>
      <c r="CL43" s="5113"/>
      <c r="CM43" s="5113">
        <f t="shared" si="26"/>
        <v>32568</v>
      </c>
      <c r="CN43" s="5113"/>
      <c r="CO43" s="5114">
        <f t="shared" si="27"/>
        <v>0</v>
      </c>
      <c r="CP43" s="5113"/>
      <c r="CQ43" s="5112">
        <f t="shared" si="28"/>
        <v>0</v>
      </c>
      <c r="CR43" s="5113"/>
      <c r="CS43" s="5136">
        <f t="shared" si="29"/>
        <v>0</v>
      </c>
      <c r="CT43" s="5111"/>
      <c r="CU43" s="5139">
        <f t="shared" si="30"/>
        <v>32568</v>
      </c>
      <c r="CV43" s="5138"/>
      <c r="CW43" s="5147"/>
    </row>
    <row r="44" spans="1:105" x14ac:dyDescent="0.25">
      <c r="A44" s="5170"/>
      <c r="B44" s="5170"/>
      <c r="C44" s="5170"/>
      <c r="D44" s="5170"/>
      <c r="E44" s="5158" t="s">
        <v>2204</v>
      </c>
      <c r="F44" s="5150">
        <v>0</v>
      </c>
      <c r="G44" s="5108">
        <v>156</v>
      </c>
      <c r="H44" s="5108"/>
      <c r="I44" s="5157">
        <f t="shared" si="31"/>
        <v>156</v>
      </c>
      <c r="J44" s="5108"/>
      <c r="K44" s="5108"/>
      <c r="L44" s="5108"/>
      <c r="M44" s="5157"/>
      <c r="N44" s="5156"/>
      <c r="O44" s="5104"/>
      <c r="P44" s="5104"/>
      <c r="Q44" s="5108"/>
      <c r="R44" s="5157"/>
      <c r="S44" s="5108"/>
      <c r="T44" s="5108"/>
      <c r="U44" s="5155"/>
      <c r="V44" s="5157"/>
      <c r="W44" s="5156"/>
      <c r="X44" s="5120">
        <f t="shared" si="32"/>
        <v>156</v>
      </c>
      <c r="Y44" s="5119">
        <v>70271</v>
      </c>
      <c r="Z44" s="5108">
        <v>81649</v>
      </c>
      <c r="AA44" s="5108"/>
      <c r="AB44" s="5157">
        <f t="shared" si="0"/>
        <v>151920</v>
      </c>
      <c r="AC44" s="5108"/>
      <c r="AD44" s="5108"/>
      <c r="AE44" s="5108"/>
      <c r="AF44" s="5118">
        <f t="shared" si="33"/>
        <v>0</v>
      </c>
      <c r="AG44" s="5156">
        <f t="shared" si="34"/>
        <v>151920</v>
      </c>
      <c r="AH44" s="5104"/>
      <c r="AI44" s="5104"/>
      <c r="AJ44" s="5104"/>
      <c r="AK44" s="5157">
        <f t="shared" si="3"/>
        <v>0</v>
      </c>
      <c r="AL44" s="5108"/>
      <c r="AM44" s="5108"/>
      <c r="AN44" s="5155"/>
      <c r="AO44" s="5157">
        <f t="shared" si="35"/>
        <v>0</v>
      </c>
      <c r="AP44" s="5156">
        <f t="shared" si="36"/>
        <v>0</v>
      </c>
      <c r="AQ44" s="5117">
        <f t="shared" si="37"/>
        <v>151920</v>
      </c>
      <c r="AR44" s="5107">
        <f t="shared" si="38"/>
        <v>152076</v>
      </c>
      <c r="AS44" s="5154"/>
      <c r="AT44" s="5110"/>
      <c r="AU44" s="5116">
        <f t="shared" si="39"/>
        <v>70271</v>
      </c>
      <c r="AV44" s="5115"/>
      <c r="AW44" s="5114">
        <f t="shared" si="40"/>
        <v>81805</v>
      </c>
      <c r="AX44" s="5113"/>
      <c r="AY44" s="5113">
        <f t="shared" si="41"/>
        <v>152076</v>
      </c>
      <c r="AZ44" s="5113"/>
      <c r="BA44" s="5114">
        <f t="shared" si="7"/>
        <v>0</v>
      </c>
      <c r="BB44" s="5112"/>
      <c r="BC44" s="5112">
        <f t="shared" si="8"/>
        <v>152076</v>
      </c>
      <c r="BD44" s="5113"/>
      <c r="BE44" s="5114">
        <f t="shared" si="9"/>
        <v>0</v>
      </c>
      <c r="BF44" s="5111"/>
      <c r="BG44" s="5111">
        <f t="shared" si="10"/>
        <v>152076</v>
      </c>
      <c r="BH44" s="5113"/>
      <c r="BI44" s="5114">
        <f t="shared" si="11"/>
        <v>0</v>
      </c>
      <c r="BJ44" s="5111"/>
      <c r="BK44" s="5111">
        <f t="shared" si="12"/>
        <v>152076</v>
      </c>
      <c r="BL44" s="5113"/>
      <c r="BM44" s="5114">
        <f t="shared" si="13"/>
        <v>0</v>
      </c>
      <c r="BN44" s="5113"/>
      <c r="BO44" s="5112">
        <f t="shared" si="14"/>
        <v>0</v>
      </c>
      <c r="BP44" s="5113"/>
      <c r="BQ44" s="5136">
        <f t="shared" si="15"/>
        <v>152076</v>
      </c>
      <c r="BR44" s="5113"/>
      <c r="BS44" s="5114">
        <f t="shared" si="16"/>
        <v>0</v>
      </c>
      <c r="BT44" s="5113"/>
      <c r="BU44" s="5113">
        <f t="shared" si="17"/>
        <v>152076</v>
      </c>
      <c r="BV44" s="5113"/>
      <c r="BW44" s="5114">
        <f t="shared" si="18"/>
        <v>0</v>
      </c>
      <c r="BX44" s="5113"/>
      <c r="BY44" s="5113">
        <f t="shared" si="19"/>
        <v>152076</v>
      </c>
      <c r="BZ44" s="5113"/>
      <c r="CA44" s="5114">
        <f t="shared" si="20"/>
        <v>0</v>
      </c>
      <c r="CB44" s="5113"/>
      <c r="CC44" s="5112">
        <f t="shared" si="21"/>
        <v>0</v>
      </c>
      <c r="CD44" s="5113"/>
      <c r="CE44" s="5113">
        <f t="shared" si="22"/>
        <v>152076</v>
      </c>
      <c r="CF44" s="5113"/>
      <c r="CG44" s="5114">
        <f t="shared" si="23"/>
        <v>0</v>
      </c>
      <c r="CH44" s="5113"/>
      <c r="CI44" s="5113">
        <f t="shared" si="24"/>
        <v>152076</v>
      </c>
      <c r="CJ44" s="5113"/>
      <c r="CK44" s="5114">
        <f t="shared" si="25"/>
        <v>0</v>
      </c>
      <c r="CL44" s="5113"/>
      <c r="CM44" s="5113">
        <f t="shared" si="26"/>
        <v>152076</v>
      </c>
      <c r="CN44" s="5113"/>
      <c r="CO44" s="5114">
        <f t="shared" si="27"/>
        <v>0</v>
      </c>
      <c r="CP44" s="5113"/>
      <c r="CQ44" s="5112">
        <f t="shared" si="28"/>
        <v>0</v>
      </c>
      <c r="CR44" s="5113"/>
      <c r="CS44" s="5136">
        <f t="shared" si="29"/>
        <v>0</v>
      </c>
      <c r="CT44" s="5111"/>
      <c r="CU44" s="5139">
        <f t="shared" si="30"/>
        <v>152076</v>
      </c>
      <c r="CV44" s="5138"/>
      <c r="CW44" s="5147"/>
    </row>
    <row r="45" spans="1:105" x14ac:dyDescent="0.25">
      <c r="A45" s="5170"/>
      <c r="B45" s="5170"/>
      <c r="C45" s="5170"/>
      <c r="D45" s="5170"/>
      <c r="E45" s="5158" t="s">
        <v>2205</v>
      </c>
      <c r="F45" s="5150">
        <v>1812</v>
      </c>
      <c r="G45" s="5108">
        <v>888</v>
      </c>
      <c r="H45" s="5108"/>
      <c r="I45" s="5157">
        <f t="shared" si="31"/>
        <v>2700</v>
      </c>
      <c r="J45" s="5108"/>
      <c r="K45" s="5108"/>
      <c r="L45" s="5108"/>
      <c r="M45" s="5157"/>
      <c r="N45" s="5156"/>
      <c r="O45" s="5104"/>
      <c r="P45" s="5104"/>
      <c r="Q45" s="5108"/>
      <c r="R45" s="5157"/>
      <c r="S45" s="5108"/>
      <c r="T45" s="5108"/>
      <c r="U45" s="5155"/>
      <c r="V45" s="5157"/>
      <c r="W45" s="5156"/>
      <c r="X45" s="5120">
        <f t="shared" si="32"/>
        <v>2700</v>
      </c>
      <c r="Y45" s="5119">
        <v>1378</v>
      </c>
      <c r="Z45" s="5108">
        <v>543</v>
      </c>
      <c r="AA45" s="5108"/>
      <c r="AB45" s="5157">
        <f t="shared" si="0"/>
        <v>1921</v>
      </c>
      <c r="AC45" s="5108"/>
      <c r="AD45" s="5108"/>
      <c r="AE45" s="5108"/>
      <c r="AF45" s="5118">
        <f t="shared" si="33"/>
        <v>0</v>
      </c>
      <c r="AG45" s="5156">
        <f t="shared" si="34"/>
        <v>1921</v>
      </c>
      <c r="AH45" s="5104"/>
      <c r="AI45" s="5104"/>
      <c r="AJ45" s="5104"/>
      <c r="AK45" s="5157">
        <f t="shared" si="3"/>
        <v>0</v>
      </c>
      <c r="AL45" s="5108"/>
      <c r="AM45" s="5108"/>
      <c r="AN45" s="5155"/>
      <c r="AO45" s="5157">
        <f t="shared" si="35"/>
        <v>0</v>
      </c>
      <c r="AP45" s="5156">
        <f t="shared" si="36"/>
        <v>0</v>
      </c>
      <c r="AQ45" s="5117">
        <f t="shared" si="37"/>
        <v>1921</v>
      </c>
      <c r="AR45" s="5107">
        <f t="shared" si="38"/>
        <v>4621</v>
      </c>
      <c r="AS45" s="5154"/>
      <c r="AT45" s="5110"/>
      <c r="AU45" s="5116">
        <f t="shared" si="39"/>
        <v>3190</v>
      </c>
      <c r="AV45" s="5115"/>
      <c r="AW45" s="5114">
        <f t="shared" si="40"/>
        <v>1431</v>
      </c>
      <c r="AX45" s="5113"/>
      <c r="AY45" s="5113">
        <f t="shared" si="41"/>
        <v>4621</v>
      </c>
      <c r="AZ45" s="5113"/>
      <c r="BA45" s="5114">
        <f t="shared" si="7"/>
        <v>0</v>
      </c>
      <c r="BB45" s="5112"/>
      <c r="BC45" s="5112">
        <f t="shared" si="8"/>
        <v>4621</v>
      </c>
      <c r="BD45" s="5113"/>
      <c r="BE45" s="5114">
        <f t="shared" si="9"/>
        <v>0</v>
      </c>
      <c r="BF45" s="5111"/>
      <c r="BG45" s="5111">
        <f t="shared" si="10"/>
        <v>4621</v>
      </c>
      <c r="BH45" s="5113"/>
      <c r="BI45" s="5114">
        <f t="shared" si="11"/>
        <v>0</v>
      </c>
      <c r="BJ45" s="5111"/>
      <c r="BK45" s="5111">
        <f t="shared" si="12"/>
        <v>4621</v>
      </c>
      <c r="BL45" s="5113"/>
      <c r="BM45" s="5114">
        <f t="shared" si="13"/>
        <v>0</v>
      </c>
      <c r="BN45" s="5113"/>
      <c r="BO45" s="5112">
        <f t="shared" si="14"/>
        <v>0</v>
      </c>
      <c r="BP45" s="5113"/>
      <c r="BQ45" s="5136">
        <f t="shared" si="15"/>
        <v>4621</v>
      </c>
      <c r="BR45" s="5113"/>
      <c r="BS45" s="5114">
        <f t="shared" si="16"/>
        <v>0</v>
      </c>
      <c r="BT45" s="5113"/>
      <c r="BU45" s="5113">
        <f t="shared" si="17"/>
        <v>4621</v>
      </c>
      <c r="BV45" s="5113"/>
      <c r="BW45" s="5114">
        <f t="shared" si="18"/>
        <v>0</v>
      </c>
      <c r="BX45" s="5113"/>
      <c r="BY45" s="5113">
        <f t="shared" si="19"/>
        <v>4621</v>
      </c>
      <c r="BZ45" s="5113"/>
      <c r="CA45" s="5114">
        <f t="shared" si="20"/>
        <v>0</v>
      </c>
      <c r="CB45" s="5113"/>
      <c r="CC45" s="5112">
        <f t="shared" si="21"/>
        <v>0</v>
      </c>
      <c r="CD45" s="5113"/>
      <c r="CE45" s="5113">
        <f t="shared" si="22"/>
        <v>4621</v>
      </c>
      <c r="CF45" s="5113"/>
      <c r="CG45" s="5114">
        <f t="shared" si="23"/>
        <v>0</v>
      </c>
      <c r="CH45" s="5113"/>
      <c r="CI45" s="5113">
        <f t="shared" si="24"/>
        <v>4621</v>
      </c>
      <c r="CJ45" s="5113"/>
      <c r="CK45" s="5114">
        <f t="shared" si="25"/>
        <v>0</v>
      </c>
      <c r="CL45" s="5113"/>
      <c r="CM45" s="5113">
        <f t="shared" si="26"/>
        <v>4621</v>
      </c>
      <c r="CN45" s="5113"/>
      <c r="CO45" s="5114">
        <f t="shared" si="27"/>
        <v>0</v>
      </c>
      <c r="CP45" s="5113"/>
      <c r="CQ45" s="5112">
        <f t="shared" si="28"/>
        <v>0</v>
      </c>
      <c r="CR45" s="5113"/>
      <c r="CS45" s="5136">
        <f t="shared" si="29"/>
        <v>0</v>
      </c>
      <c r="CT45" s="5111"/>
      <c r="CU45" s="5139">
        <f t="shared" si="30"/>
        <v>4621</v>
      </c>
      <c r="CV45" s="5138"/>
      <c r="CW45" s="5147"/>
    </row>
    <row r="46" spans="1:105" x14ac:dyDescent="0.25">
      <c r="A46" s="5170"/>
      <c r="B46" s="5170"/>
      <c r="C46" s="5170"/>
      <c r="D46" s="5170"/>
      <c r="E46" s="5158" t="s">
        <v>2315</v>
      </c>
      <c r="F46" s="5150"/>
      <c r="G46" s="5108">
        <v>0</v>
      </c>
      <c r="H46" s="5108"/>
      <c r="I46" s="5157">
        <f t="shared" si="31"/>
        <v>0</v>
      </c>
      <c r="J46" s="5108"/>
      <c r="K46" s="5108"/>
      <c r="L46" s="5108"/>
      <c r="M46" s="5157"/>
      <c r="N46" s="5156"/>
      <c r="O46" s="5104"/>
      <c r="P46" s="5104"/>
      <c r="Q46" s="5108"/>
      <c r="R46" s="5157"/>
      <c r="S46" s="5108"/>
      <c r="T46" s="5108"/>
      <c r="U46" s="5155"/>
      <c r="V46" s="5157"/>
      <c r="W46" s="5156"/>
      <c r="X46" s="5120">
        <f t="shared" si="32"/>
        <v>0</v>
      </c>
      <c r="Y46" s="5119"/>
      <c r="Z46" s="5108">
        <v>302</v>
      </c>
      <c r="AA46" s="5108"/>
      <c r="AB46" s="5157">
        <f t="shared" si="0"/>
        <v>302</v>
      </c>
      <c r="AC46" s="5108"/>
      <c r="AD46" s="5108"/>
      <c r="AE46" s="5108"/>
      <c r="AF46" s="5118">
        <f t="shared" si="33"/>
        <v>0</v>
      </c>
      <c r="AG46" s="5156">
        <f t="shared" si="34"/>
        <v>302</v>
      </c>
      <c r="AH46" s="5104"/>
      <c r="AI46" s="5104"/>
      <c r="AJ46" s="5104"/>
      <c r="AK46" s="5157">
        <f t="shared" si="3"/>
        <v>0</v>
      </c>
      <c r="AL46" s="5108"/>
      <c r="AM46" s="5108"/>
      <c r="AN46" s="5155"/>
      <c r="AO46" s="5157">
        <f t="shared" si="35"/>
        <v>0</v>
      </c>
      <c r="AP46" s="5156">
        <f t="shared" si="36"/>
        <v>0</v>
      </c>
      <c r="AQ46" s="5117">
        <f t="shared" si="37"/>
        <v>302</v>
      </c>
      <c r="AR46" s="5107">
        <f t="shared" si="38"/>
        <v>302</v>
      </c>
      <c r="AS46" s="5154"/>
      <c r="AT46" s="5110"/>
      <c r="AU46" s="5116">
        <f t="shared" si="39"/>
        <v>0</v>
      </c>
      <c r="AV46" s="7030"/>
      <c r="AW46" s="5114">
        <f t="shared" si="40"/>
        <v>302</v>
      </c>
      <c r="AX46" s="7282"/>
      <c r="AY46" s="5113">
        <f t="shared" si="41"/>
        <v>302</v>
      </c>
      <c r="AZ46" s="7282"/>
      <c r="BA46" s="7282"/>
      <c r="BB46" s="7283"/>
      <c r="BC46" s="7283"/>
      <c r="BD46" s="7282"/>
      <c r="BE46" s="7282"/>
      <c r="BF46" s="7284"/>
      <c r="BG46" s="7284"/>
      <c r="BH46" s="7282"/>
      <c r="BI46" s="7282"/>
      <c r="BJ46" s="7284"/>
      <c r="BK46" s="7284"/>
      <c r="BL46" s="7282"/>
      <c r="BM46" s="7282"/>
      <c r="BN46" s="7282"/>
      <c r="BO46" s="7283"/>
      <c r="BP46" s="7282"/>
      <c r="BQ46" s="7285"/>
      <c r="BR46" s="7282"/>
      <c r="BS46" s="7282"/>
      <c r="BT46" s="7282"/>
      <c r="BU46" s="7282"/>
      <c r="BV46" s="7282"/>
      <c r="BW46" s="7282"/>
      <c r="BX46" s="7282"/>
      <c r="BY46" s="7282"/>
      <c r="BZ46" s="7282"/>
      <c r="CA46" s="7282"/>
      <c r="CB46" s="7282"/>
      <c r="CC46" s="7283"/>
      <c r="CD46" s="7282"/>
      <c r="CE46" s="7282"/>
      <c r="CF46" s="7282"/>
      <c r="CG46" s="7282"/>
      <c r="CH46" s="7282"/>
      <c r="CI46" s="7282"/>
      <c r="CJ46" s="7282"/>
      <c r="CK46" s="7282"/>
      <c r="CL46" s="7282"/>
      <c r="CM46" s="7282"/>
      <c r="CN46" s="7282"/>
      <c r="CO46" s="7282"/>
      <c r="CP46" s="7282"/>
      <c r="CQ46" s="7283"/>
      <c r="CR46" s="7282"/>
      <c r="CS46" s="7285"/>
      <c r="CT46" s="7284"/>
      <c r="CU46" s="7286"/>
      <c r="CV46" s="5138"/>
      <c r="CW46" s="5147"/>
      <c r="CY46" s="639"/>
      <c r="CZ46" s="639"/>
      <c r="DA46" s="639"/>
    </row>
    <row r="47" spans="1:105" x14ac:dyDescent="0.25">
      <c r="A47" s="5170"/>
      <c r="B47" s="5170"/>
      <c r="C47" s="5170"/>
      <c r="D47" s="5170"/>
      <c r="E47" s="5158" t="s">
        <v>1438</v>
      </c>
      <c r="F47" s="5150">
        <v>0</v>
      </c>
      <c r="G47" s="5108">
        <v>0</v>
      </c>
      <c r="H47" s="5108"/>
      <c r="I47" s="5157">
        <f t="shared" si="31"/>
        <v>0</v>
      </c>
      <c r="J47" s="5108"/>
      <c r="K47" s="5108"/>
      <c r="L47" s="5108"/>
      <c r="M47" s="5157"/>
      <c r="N47" s="5156"/>
      <c r="O47" s="5104"/>
      <c r="P47" s="5104"/>
      <c r="Q47" s="5108"/>
      <c r="R47" s="5157"/>
      <c r="S47" s="5108"/>
      <c r="T47" s="5108"/>
      <c r="U47" s="5155"/>
      <c r="V47" s="5157"/>
      <c r="W47" s="5156"/>
      <c r="X47" s="5120">
        <f t="shared" si="32"/>
        <v>0</v>
      </c>
      <c r="Y47" s="5119">
        <v>1566</v>
      </c>
      <c r="Z47" s="5108">
        <v>736</v>
      </c>
      <c r="AA47" s="5108"/>
      <c r="AB47" s="5157">
        <f t="shared" si="0"/>
        <v>2302</v>
      </c>
      <c r="AC47" s="5108"/>
      <c r="AD47" s="5108"/>
      <c r="AE47" s="5108"/>
      <c r="AF47" s="5118">
        <f t="shared" si="33"/>
        <v>0</v>
      </c>
      <c r="AG47" s="5156">
        <f t="shared" si="34"/>
        <v>2302</v>
      </c>
      <c r="AH47" s="5104"/>
      <c r="AI47" s="5104"/>
      <c r="AJ47" s="5104"/>
      <c r="AK47" s="5157">
        <f t="shared" si="3"/>
        <v>0</v>
      </c>
      <c r="AL47" s="5108"/>
      <c r="AM47" s="5108"/>
      <c r="AN47" s="5155"/>
      <c r="AO47" s="5157">
        <f t="shared" si="35"/>
        <v>0</v>
      </c>
      <c r="AP47" s="5156">
        <f t="shared" si="36"/>
        <v>0</v>
      </c>
      <c r="AQ47" s="5117">
        <f t="shared" si="37"/>
        <v>2302</v>
      </c>
      <c r="AR47" s="5107">
        <f t="shared" si="38"/>
        <v>2302</v>
      </c>
      <c r="AS47" s="5154"/>
      <c r="AT47" s="5110"/>
      <c r="AU47" s="5116">
        <f t="shared" si="39"/>
        <v>1566</v>
      </c>
      <c r="AV47" s="5115"/>
      <c r="AW47" s="5114">
        <f t="shared" si="40"/>
        <v>736</v>
      </c>
      <c r="AX47" s="5113"/>
      <c r="AY47" s="5113">
        <f t="shared" si="41"/>
        <v>2302</v>
      </c>
      <c r="AZ47" s="5113"/>
      <c r="BA47" s="5114">
        <f t="shared" si="7"/>
        <v>0</v>
      </c>
      <c r="BB47" s="5112"/>
      <c r="BC47" s="5112">
        <f t="shared" si="8"/>
        <v>2302</v>
      </c>
      <c r="BD47" s="5113"/>
      <c r="BE47" s="5114">
        <f t="shared" si="9"/>
        <v>0</v>
      </c>
      <c r="BF47" s="5111"/>
      <c r="BG47" s="5111">
        <f t="shared" si="10"/>
        <v>2302</v>
      </c>
      <c r="BH47" s="5113"/>
      <c r="BI47" s="5114">
        <f t="shared" si="11"/>
        <v>0</v>
      </c>
      <c r="BJ47" s="5111"/>
      <c r="BK47" s="5111">
        <f t="shared" si="12"/>
        <v>2302</v>
      </c>
      <c r="BL47" s="5113"/>
      <c r="BM47" s="5114">
        <f t="shared" si="13"/>
        <v>0</v>
      </c>
      <c r="BN47" s="5113"/>
      <c r="BO47" s="5112">
        <f t="shared" si="14"/>
        <v>0</v>
      </c>
      <c r="BP47" s="5113"/>
      <c r="BQ47" s="5136">
        <f t="shared" si="15"/>
        <v>2302</v>
      </c>
      <c r="BR47" s="5113"/>
      <c r="BS47" s="5114">
        <f t="shared" si="16"/>
        <v>0</v>
      </c>
      <c r="BT47" s="5113"/>
      <c r="BU47" s="5113">
        <f t="shared" si="17"/>
        <v>2302</v>
      </c>
      <c r="BV47" s="5113"/>
      <c r="BW47" s="5114">
        <f t="shared" si="18"/>
        <v>0</v>
      </c>
      <c r="BX47" s="5113"/>
      <c r="BY47" s="5113">
        <f t="shared" si="19"/>
        <v>2302</v>
      </c>
      <c r="BZ47" s="5113"/>
      <c r="CA47" s="5114">
        <f t="shared" si="20"/>
        <v>0</v>
      </c>
      <c r="CB47" s="5113"/>
      <c r="CC47" s="5112">
        <f t="shared" si="21"/>
        <v>0</v>
      </c>
      <c r="CD47" s="5113"/>
      <c r="CE47" s="5113">
        <f t="shared" si="22"/>
        <v>2302</v>
      </c>
      <c r="CF47" s="5113"/>
      <c r="CG47" s="5114">
        <f t="shared" si="23"/>
        <v>0</v>
      </c>
      <c r="CH47" s="5113"/>
      <c r="CI47" s="5113">
        <f t="shared" si="24"/>
        <v>2302</v>
      </c>
      <c r="CJ47" s="5113"/>
      <c r="CK47" s="5114">
        <f t="shared" si="25"/>
        <v>0</v>
      </c>
      <c r="CL47" s="5113"/>
      <c r="CM47" s="5113">
        <f t="shared" si="26"/>
        <v>2302</v>
      </c>
      <c r="CN47" s="5113"/>
      <c r="CO47" s="5114">
        <f t="shared" si="27"/>
        <v>0</v>
      </c>
      <c r="CP47" s="5113"/>
      <c r="CQ47" s="5112">
        <f t="shared" si="28"/>
        <v>0</v>
      </c>
      <c r="CR47" s="5113"/>
      <c r="CS47" s="5136">
        <f t="shared" si="29"/>
        <v>0</v>
      </c>
      <c r="CT47" s="5111"/>
      <c r="CU47" s="5139">
        <f t="shared" si="30"/>
        <v>2302</v>
      </c>
      <c r="CV47" s="5138"/>
      <c r="CW47" s="5147"/>
      <c r="CY47" s="639"/>
      <c r="CZ47" s="639"/>
      <c r="DA47" s="639"/>
    </row>
    <row r="48" spans="1:105" s="6801" customFormat="1" x14ac:dyDescent="0.25">
      <c r="A48" s="6786"/>
      <c r="B48" s="6786"/>
      <c r="C48" s="6786"/>
      <c r="D48" s="6786"/>
      <c r="E48" s="6769" t="s">
        <v>2201</v>
      </c>
      <c r="F48" s="6787">
        <v>1330</v>
      </c>
      <c r="G48" s="6788">
        <v>2888</v>
      </c>
      <c r="H48" s="6788"/>
      <c r="I48" s="6788">
        <f t="shared" si="31"/>
        <v>4218</v>
      </c>
      <c r="J48" s="6788"/>
      <c r="K48" s="6788"/>
      <c r="L48" s="6788"/>
      <c r="M48" s="6788"/>
      <c r="N48" s="6788"/>
      <c r="O48" s="6788"/>
      <c r="P48" s="6788"/>
      <c r="Q48" s="6788"/>
      <c r="R48" s="6788"/>
      <c r="S48" s="6788"/>
      <c r="T48" s="6788"/>
      <c r="U48" s="6789"/>
      <c r="V48" s="6788"/>
      <c r="W48" s="6788"/>
      <c r="X48" s="6790">
        <f t="shared" si="32"/>
        <v>4218</v>
      </c>
      <c r="Y48" s="6791">
        <v>340</v>
      </c>
      <c r="Z48" s="6788">
        <v>526</v>
      </c>
      <c r="AA48" s="6788"/>
      <c r="AB48" s="6788">
        <f t="shared" si="0"/>
        <v>866</v>
      </c>
      <c r="AC48" s="6788"/>
      <c r="AD48" s="6788"/>
      <c r="AE48" s="6788"/>
      <c r="AF48" s="6791">
        <f t="shared" si="33"/>
        <v>0</v>
      </c>
      <c r="AG48" s="6788">
        <f t="shared" si="34"/>
        <v>866</v>
      </c>
      <c r="AH48" s="6788"/>
      <c r="AI48" s="6788"/>
      <c r="AJ48" s="6788"/>
      <c r="AK48" s="6788">
        <f t="shared" si="3"/>
        <v>0</v>
      </c>
      <c r="AL48" s="6788"/>
      <c r="AM48" s="6788"/>
      <c r="AN48" s="6789"/>
      <c r="AO48" s="6788">
        <f t="shared" si="35"/>
        <v>0</v>
      </c>
      <c r="AP48" s="6788">
        <f t="shared" si="36"/>
        <v>0</v>
      </c>
      <c r="AQ48" s="6792">
        <f t="shared" si="37"/>
        <v>866</v>
      </c>
      <c r="AR48" s="6793">
        <f t="shared" si="38"/>
        <v>5084</v>
      </c>
      <c r="AS48" s="6794"/>
      <c r="AT48" s="6795"/>
      <c r="AU48" s="6796">
        <f t="shared" si="39"/>
        <v>1670</v>
      </c>
      <c r="AV48" s="6797"/>
      <c r="AW48" s="6798">
        <f t="shared" si="40"/>
        <v>3414</v>
      </c>
      <c r="AX48" s="6799"/>
      <c r="AY48" s="6799">
        <f t="shared" si="41"/>
        <v>5084</v>
      </c>
      <c r="AZ48" s="6799"/>
      <c r="BA48" s="6798">
        <f t="shared" ref="BA48" si="42">+H48+AA48</f>
        <v>0</v>
      </c>
      <c r="BB48" s="6799"/>
      <c r="BC48" s="6799">
        <f t="shared" ref="BC48" si="43">AU48+AW48+BA48</f>
        <v>5084</v>
      </c>
      <c r="BD48" s="6799"/>
      <c r="BE48" s="6798">
        <f t="shared" ref="BE48" si="44">+J48+AC48</f>
        <v>0</v>
      </c>
      <c r="BF48" s="6799"/>
      <c r="BG48" s="6799">
        <f t="shared" ref="BG48" si="45">+BC48+BE48</f>
        <v>5084</v>
      </c>
      <c r="BH48" s="6799"/>
      <c r="BI48" s="6798">
        <f t="shared" ref="BI48" si="46">K48+AD48</f>
        <v>0</v>
      </c>
      <c r="BJ48" s="6799"/>
      <c r="BK48" s="6799">
        <f t="shared" ref="BK48" si="47">+BG48+BI48</f>
        <v>5084</v>
      </c>
      <c r="BL48" s="6799"/>
      <c r="BM48" s="6798">
        <f t="shared" ref="BM48" si="48">+L48+AE48</f>
        <v>0</v>
      </c>
      <c r="BN48" s="6799"/>
      <c r="BO48" s="6799">
        <f t="shared" ref="BO48" si="49">BE48+BI48+BM48</f>
        <v>0</v>
      </c>
      <c r="BP48" s="6799"/>
      <c r="BQ48" s="6799">
        <f t="shared" ref="BQ48" si="50">BC48+BO48</f>
        <v>5084</v>
      </c>
      <c r="BR48" s="6799"/>
      <c r="BS48" s="6798">
        <f t="shared" ref="BS48" si="51">+O48+AH48</f>
        <v>0</v>
      </c>
      <c r="BT48" s="6799"/>
      <c r="BU48" s="6799">
        <f t="shared" ref="BU48" si="52">BQ48+BS48</f>
        <v>5084</v>
      </c>
      <c r="BV48" s="6799"/>
      <c r="BW48" s="6798">
        <f t="shared" ref="BW48" si="53">+P48+AI48</f>
        <v>0</v>
      </c>
      <c r="BX48" s="6799"/>
      <c r="BY48" s="6799">
        <f t="shared" ref="BY48" si="54">BU48+BW48</f>
        <v>5084</v>
      </c>
      <c r="BZ48" s="6799"/>
      <c r="CA48" s="6798">
        <f t="shared" ref="CA48" si="55">+Q48+AJ48</f>
        <v>0</v>
      </c>
      <c r="CB48" s="6799"/>
      <c r="CC48" s="6799">
        <f t="shared" ref="CC48" si="56">BS48+BW48+CA48</f>
        <v>0</v>
      </c>
      <c r="CD48" s="6799"/>
      <c r="CE48" s="6799">
        <f t="shared" ref="CE48" si="57">BY48+CA48</f>
        <v>5084</v>
      </c>
      <c r="CF48" s="6799"/>
      <c r="CG48" s="6798">
        <f t="shared" ref="CG48" si="58">+S48+AL48</f>
        <v>0</v>
      </c>
      <c r="CH48" s="6799"/>
      <c r="CI48" s="6799">
        <f t="shared" ref="CI48" si="59">CG48+CE48</f>
        <v>5084</v>
      </c>
      <c r="CJ48" s="6799"/>
      <c r="CK48" s="6798">
        <f t="shared" ref="CK48" si="60">+T48+AM48</f>
        <v>0</v>
      </c>
      <c r="CL48" s="6799"/>
      <c r="CM48" s="6799">
        <f t="shared" ref="CM48" si="61">CI48+CK48</f>
        <v>5084</v>
      </c>
      <c r="CN48" s="6799"/>
      <c r="CO48" s="6798">
        <f t="shared" ref="CO48" si="62">+U48+AN48</f>
        <v>0</v>
      </c>
      <c r="CP48" s="6799"/>
      <c r="CQ48" s="6799">
        <f t="shared" ref="CQ48" si="63">CG48+CK48+CO48</f>
        <v>0</v>
      </c>
      <c r="CR48" s="6799"/>
      <c r="CS48" s="6799">
        <f t="shared" ref="CS48" si="64">CC48+CQ48</f>
        <v>0</v>
      </c>
      <c r="CT48" s="6799"/>
      <c r="CU48" s="6800">
        <f t="shared" ref="CU48" si="65">SUM(AU48,AW48,BA48,BE48,BI48,BM48,BS48,BW48,CA48,CG48,CK48,CO48)</f>
        <v>5084</v>
      </c>
      <c r="CV48" s="639"/>
      <c r="CW48" s="639"/>
      <c r="CX48" s="639"/>
      <c r="CY48" s="1158"/>
      <c r="CZ48" s="1158"/>
      <c r="DA48" s="1158"/>
    </row>
    <row r="49" spans="1:105" s="6801" customFormat="1" ht="16.5" thickBot="1" x14ac:dyDescent="0.3">
      <c r="A49" s="6786"/>
      <c r="B49" s="6786"/>
      <c r="C49" s="6786"/>
      <c r="D49" s="6786"/>
      <c r="E49" s="6769" t="s">
        <v>1349</v>
      </c>
      <c r="F49" s="6787">
        <v>2038</v>
      </c>
      <c r="G49" s="6788">
        <v>2418</v>
      </c>
      <c r="H49" s="6788"/>
      <c r="I49" s="6788">
        <f t="shared" si="31"/>
        <v>4456</v>
      </c>
      <c r="J49" s="6788"/>
      <c r="K49" s="6788"/>
      <c r="L49" s="6788"/>
      <c r="M49" s="6788"/>
      <c r="N49" s="6788"/>
      <c r="O49" s="6788"/>
      <c r="P49" s="6788"/>
      <c r="Q49" s="6788"/>
      <c r="R49" s="6788"/>
      <c r="S49" s="6788"/>
      <c r="T49" s="6788"/>
      <c r="U49" s="6789"/>
      <c r="V49" s="6788"/>
      <c r="W49" s="6788"/>
      <c r="X49" s="6790">
        <f t="shared" si="32"/>
        <v>4456</v>
      </c>
      <c r="Y49" s="6791">
        <v>996</v>
      </c>
      <c r="Z49" s="6788">
        <v>930</v>
      </c>
      <c r="AA49" s="6788"/>
      <c r="AB49" s="6788">
        <f t="shared" si="0"/>
        <v>1926</v>
      </c>
      <c r="AC49" s="6788"/>
      <c r="AD49" s="6788"/>
      <c r="AE49" s="6788"/>
      <c r="AF49" s="6791">
        <f t="shared" si="33"/>
        <v>0</v>
      </c>
      <c r="AG49" s="6788">
        <f t="shared" si="34"/>
        <v>1926</v>
      </c>
      <c r="AH49" s="6788"/>
      <c r="AI49" s="6788"/>
      <c r="AJ49" s="6788"/>
      <c r="AK49" s="6788">
        <f t="shared" si="3"/>
        <v>0</v>
      </c>
      <c r="AL49" s="6788"/>
      <c r="AM49" s="6788"/>
      <c r="AN49" s="6789"/>
      <c r="AO49" s="6788">
        <f t="shared" si="35"/>
        <v>0</v>
      </c>
      <c r="AP49" s="6788">
        <f t="shared" si="36"/>
        <v>0</v>
      </c>
      <c r="AQ49" s="6792">
        <f t="shared" si="37"/>
        <v>1926</v>
      </c>
      <c r="AR49" s="6793">
        <f t="shared" si="38"/>
        <v>6382</v>
      </c>
      <c r="AS49" s="6794"/>
      <c r="AT49" s="6795"/>
      <c r="AU49" s="6796">
        <f t="shared" si="39"/>
        <v>3034</v>
      </c>
      <c r="AV49" s="6797"/>
      <c r="AW49" s="6798">
        <f t="shared" si="40"/>
        <v>3348</v>
      </c>
      <c r="AX49" s="6799"/>
      <c r="AY49" s="6799">
        <f t="shared" si="41"/>
        <v>6382</v>
      </c>
      <c r="AZ49" s="6799"/>
      <c r="BA49" s="6798">
        <f>+H49+AA49</f>
        <v>0</v>
      </c>
      <c r="BB49" s="6799"/>
      <c r="BC49" s="6799">
        <f>AU49+AW49+BA49</f>
        <v>6382</v>
      </c>
      <c r="BD49" s="6799"/>
      <c r="BE49" s="6798">
        <f>+J49+AC49</f>
        <v>0</v>
      </c>
      <c r="BF49" s="6799"/>
      <c r="BG49" s="6799">
        <f>+BC49+BE49</f>
        <v>6382</v>
      </c>
      <c r="BH49" s="6799"/>
      <c r="BI49" s="6798">
        <f>K49+AD49</f>
        <v>0</v>
      </c>
      <c r="BJ49" s="6799"/>
      <c r="BK49" s="6799">
        <f>+BG49+BI49</f>
        <v>6382</v>
      </c>
      <c r="BL49" s="6799"/>
      <c r="BM49" s="6798">
        <f>+L49+AE49</f>
        <v>0</v>
      </c>
      <c r="BN49" s="6799"/>
      <c r="BO49" s="6799">
        <f>BE49+BI49+BM49</f>
        <v>0</v>
      </c>
      <c r="BP49" s="6799"/>
      <c r="BQ49" s="6799">
        <f>BC49+BO49</f>
        <v>6382</v>
      </c>
      <c r="BR49" s="6799"/>
      <c r="BS49" s="6798">
        <f>+O49+AH49</f>
        <v>0</v>
      </c>
      <c r="BT49" s="6799"/>
      <c r="BU49" s="6799">
        <f>BQ49+BS49</f>
        <v>6382</v>
      </c>
      <c r="BV49" s="6799"/>
      <c r="BW49" s="6798">
        <f>+P49+AI49</f>
        <v>0</v>
      </c>
      <c r="BX49" s="6799"/>
      <c r="BY49" s="6799">
        <f>BU49+BW49</f>
        <v>6382</v>
      </c>
      <c r="BZ49" s="6799"/>
      <c r="CA49" s="6798">
        <f>+Q49+AJ49</f>
        <v>0</v>
      </c>
      <c r="CB49" s="6799"/>
      <c r="CC49" s="6799">
        <f>BS49+BW49+CA49</f>
        <v>0</v>
      </c>
      <c r="CD49" s="6799"/>
      <c r="CE49" s="6799">
        <f>BY49+CA49</f>
        <v>6382</v>
      </c>
      <c r="CF49" s="6799"/>
      <c r="CG49" s="6798">
        <f>+S49+AL49</f>
        <v>0</v>
      </c>
      <c r="CH49" s="6799"/>
      <c r="CI49" s="6799">
        <f>CG49+CE49</f>
        <v>6382</v>
      </c>
      <c r="CJ49" s="6799"/>
      <c r="CK49" s="6798">
        <f>+T49+AM49</f>
        <v>0</v>
      </c>
      <c r="CL49" s="6799"/>
      <c r="CM49" s="6799">
        <f>CI49+CK49</f>
        <v>6382</v>
      </c>
      <c r="CN49" s="6799"/>
      <c r="CO49" s="6798">
        <f>+U49+AN49</f>
        <v>0</v>
      </c>
      <c r="CP49" s="6799"/>
      <c r="CQ49" s="6799">
        <f>CG49+CK49+CO49</f>
        <v>0</v>
      </c>
      <c r="CR49" s="6799"/>
      <c r="CS49" s="6799">
        <f>CC49+CQ49</f>
        <v>0</v>
      </c>
      <c r="CT49" s="6799"/>
      <c r="CU49" s="6800">
        <f>SUM(AU49,AW49,BA49,BE49,BI49,BM49,BS49,BW49,CA49,CG49,CK49,CO49)</f>
        <v>6382</v>
      </c>
      <c r="CV49" s="639"/>
      <c r="CW49" s="639"/>
      <c r="CX49" s="639"/>
      <c r="CY49" s="1158"/>
      <c r="CZ49" s="1158"/>
      <c r="DA49" s="1158"/>
    </row>
    <row r="50" spans="1:105" ht="16.5" thickBot="1" x14ac:dyDescent="0.3">
      <c r="A50" s="5130"/>
      <c r="B50" s="5130"/>
      <c r="C50" s="5130"/>
      <c r="D50" s="5130"/>
      <c r="E50" s="5145" t="s">
        <v>2</v>
      </c>
      <c r="F50" s="5144">
        <f>SUM(F6:F49)</f>
        <v>62420</v>
      </c>
      <c r="G50" s="5144">
        <f>SUM(G6:G49)</f>
        <v>81608</v>
      </c>
      <c r="H50" s="5144">
        <f>SUM(H6:H49)</f>
        <v>0</v>
      </c>
      <c r="I50" s="5157">
        <f t="shared" si="31"/>
        <v>144028</v>
      </c>
      <c r="J50" s="5144">
        <f t="shared" ref="J50:W50" si="66">SUM(J6:J49)</f>
        <v>0</v>
      </c>
      <c r="K50" s="5144">
        <f t="shared" si="66"/>
        <v>0</v>
      </c>
      <c r="L50" s="5144">
        <f t="shared" si="66"/>
        <v>0</v>
      </c>
      <c r="M50" s="5144">
        <f t="shared" si="66"/>
        <v>0</v>
      </c>
      <c r="N50" s="5144">
        <f t="shared" si="66"/>
        <v>0</v>
      </c>
      <c r="O50" s="5144">
        <f t="shared" si="66"/>
        <v>0</v>
      </c>
      <c r="P50" s="5144">
        <f t="shared" si="66"/>
        <v>0</v>
      </c>
      <c r="Q50" s="5144">
        <f t="shared" si="66"/>
        <v>0</v>
      </c>
      <c r="R50" s="5144">
        <f t="shared" si="66"/>
        <v>0</v>
      </c>
      <c r="S50" s="5144">
        <f t="shared" si="66"/>
        <v>0</v>
      </c>
      <c r="T50" s="5144">
        <f t="shared" si="66"/>
        <v>0</v>
      </c>
      <c r="U50" s="5144">
        <f t="shared" si="66"/>
        <v>0</v>
      </c>
      <c r="V50" s="5144">
        <f t="shared" si="66"/>
        <v>0</v>
      </c>
      <c r="W50" s="5144">
        <f t="shared" si="66"/>
        <v>0</v>
      </c>
      <c r="X50" s="5120">
        <f t="shared" si="32"/>
        <v>144028</v>
      </c>
      <c r="Y50" s="5144">
        <f>SUM(Y6:Y49)</f>
        <v>86697</v>
      </c>
      <c r="Z50" s="5144">
        <f>SUM(Z6:Z49)</f>
        <v>93435</v>
      </c>
      <c r="AA50" s="5144">
        <f>SUM(AA6:AA49)</f>
        <v>0</v>
      </c>
      <c r="AB50" s="5157">
        <f t="shared" si="0"/>
        <v>180132</v>
      </c>
      <c r="AC50" s="5144">
        <f>SUM(AC6:AC49)</f>
        <v>0</v>
      </c>
      <c r="AD50" s="5144">
        <f>SUM(AD6:AD49)</f>
        <v>0</v>
      </c>
      <c r="AE50" s="5144">
        <f>SUM(AE6:AE49)</f>
        <v>0</v>
      </c>
      <c r="AF50" s="5118">
        <f t="shared" si="33"/>
        <v>0</v>
      </c>
      <c r="AG50" s="5156">
        <f t="shared" si="34"/>
        <v>180132</v>
      </c>
      <c r="AH50" s="5144">
        <f>SUM(AH6:AH49)</f>
        <v>0</v>
      </c>
      <c r="AI50" s="5144">
        <f>SUM(AI6:AI49)</f>
        <v>0</v>
      </c>
      <c r="AJ50" s="5144">
        <f>SUM(AJ6:AJ49)</f>
        <v>0</v>
      </c>
      <c r="AK50" s="5157">
        <f t="shared" si="3"/>
        <v>0</v>
      </c>
      <c r="AL50" s="5144">
        <f>SUM(AL6:AL49)</f>
        <v>0</v>
      </c>
      <c r="AM50" s="5144">
        <f>SUM(AM6:AM49)</f>
        <v>0</v>
      </c>
      <c r="AN50" s="5144">
        <f>SUM(AN6:AN49)</f>
        <v>0</v>
      </c>
      <c r="AO50" s="5157">
        <f t="shared" si="35"/>
        <v>0</v>
      </c>
      <c r="AP50" s="5156">
        <f t="shared" si="36"/>
        <v>0</v>
      </c>
      <c r="AQ50" s="5117">
        <f t="shared" si="37"/>
        <v>180132</v>
      </c>
      <c r="AR50" s="5107">
        <f t="shared" si="38"/>
        <v>324160</v>
      </c>
      <c r="AS50" s="5154"/>
      <c r="AT50" s="5143"/>
      <c r="AU50" s="5116">
        <f t="shared" si="39"/>
        <v>149117</v>
      </c>
      <c r="AV50" s="5115"/>
      <c r="AW50" s="5114">
        <f t="shared" si="40"/>
        <v>175043</v>
      </c>
      <c r="AX50" s="5113"/>
      <c r="AY50" s="5113">
        <f t="shared" si="41"/>
        <v>324160</v>
      </c>
      <c r="AZ50" s="5106">
        <f t="shared" ref="AZ50:CU50" si="67">SUM(AZ6:AZ49)</f>
        <v>0</v>
      </c>
      <c r="BA50" s="5106">
        <f t="shared" si="67"/>
        <v>0</v>
      </c>
      <c r="BB50" s="5140">
        <f t="shared" si="67"/>
        <v>0</v>
      </c>
      <c r="BC50" s="5140">
        <f t="shared" si="67"/>
        <v>307307</v>
      </c>
      <c r="BD50" s="5106">
        <f t="shared" si="67"/>
        <v>0</v>
      </c>
      <c r="BE50" s="5106">
        <f t="shared" si="67"/>
        <v>0</v>
      </c>
      <c r="BF50" s="5139">
        <f t="shared" si="67"/>
        <v>0</v>
      </c>
      <c r="BG50" s="5139">
        <f t="shared" si="67"/>
        <v>307307</v>
      </c>
      <c r="BH50" s="5106">
        <f t="shared" si="67"/>
        <v>0</v>
      </c>
      <c r="BI50" s="5106">
        <f t="shared" si="67"/>
        <v>0</v>
      </c>
      <c r="BJ50" s="5139">
        <f t="shared" si="67"/>
        <v>0</v>
      </c>
      <c r="BK50" s="5139">
        <f t="shared" si="67"/>
        <v>307307</v>
      </c>
      <c r="BL50" s="5106">
        <f t="shared" si="67"/>
        <v>0</v>
      </c>
      <c r="BM50" s="5106">
        <f t="shared" si="67"/>
        <v>0</v>
      </c>
      <c r="BN50" s="5106">
        <f t="shared" si="67"/>
        <v>0</v>
      </c>
      <c r="BO50" s="5140">
        <f t="shared" si="67"/>
        <v>0</v>
      </c>
      <c r="BP50" s="5106">
        <f t="shared" si="67"/>
        <v>0</v>
      </c>
      <c r="BQ50" s="5153">
        <f t="shared" si="67"/>
        <v>307307</v>
      </c>
      <c r="BR50" s="5106">
        <f t="shared" si="67"/>
        <v>0</v>
      </c>
      <c r="BS50" s="5106">
        <f t="shared" si="67"/>
        <v>0</v>
      </c>
      <c r="BT50" s="5106">
        <f t="shared" si="67"/>
        <v>0</v>
      </c>
      <c r="BU50" s="5106">
        <f t="shared" si="67"/>
        <v>307307</v>
      </c>
      <c r="BV50" s="5106">
        <f t="shared" si="67"/>
        <v>0</v>
      </c>
      <c r="BW50" s="5106">
        <f t="shared" si="67"/>
        <v>0</v>
      </c>
      <c r="BX50" s="5106">
        <f t="shared" si="67"/>
        <v>0</v>
      </c>
      <c r="BY50" s="5106">
        <f t="shared" si="67"/>
        <v>307307</v>
      </c>
      <c r="BZ50" s="5106">
        <f t="shared" si="67"/>
        <v>0</v>
      </c>
      <c r="CA50" s="5106">
        <f t="shared" si="67"/>
        <v>0</v>
      </c>
      <c r="CB50" s="5106">
        <f t="shared" si="67"/>
        <v>0</v>
      </c>
      <c r="CC50" s="5140">
        <f t="shared" si="67"/>
        <v>0</v>
      </c>
      <c r="CD50" s="5106">
        <f t="shared" si="67"/>
        <v>0</v>
      </c>
      <c r="CE50" s="5106">
        <f t="shared" si="67"/>
        <v>307307</v>
      </c>
      <c r="CF50" s="5106">
        <f t="shared" si="67"/>
        <v>0</v>
      </c>
      <c r="CG50" s="5106">
        <f t="shared" si="67"/>
        <v>0</v>
      </c>
      <c r="CH50" s="5106">
        <f t="shared" si="67"/>
        <v>0</v>
      </c>
      <c r="CI50" s="5106">
        <f t="shared" si="67"/>
        <v>307307</v>
      </c>
      <c r="CJ50" s="5106">
        <f t="shared" si="67"/>
        <v>0</v>
      </c>
      <c r="CK50" s="5106">
        <f t="shared" si="67"/>
        <v>0</v>
      </c>
      <c r="CL50" s="5106">
        <f t="shared" si="67"/>
        <v>0</v>
      </c>
      <c r="CM50" s="5106">
        <f t="shared" si="67"/>
        <v>307307</v>
      </c>
      <c r="CN50" s="5106">
        <f t="shared" si="67"/>
        <v>0</v>
      </c>
      <c r="CO50" s="5106">
        <f t="shared" si="67"/>
        <v>0</v>
      </c>
      <c r="CP50" s="5106">
        <f t="shared" si="67"/>
        <v>0</v>
      </c>
      <c r="CQ50" s="5140">
        <f t="shared" si="67"/>
        <v>0</v>
      </c>
      <c r="CR50" s="5106">
        <f t="shared" si="67"/>
        <v>0</v>
      </c>
      <c r="CS50" s="5153">
        <f t="shared" si="67"/>
        <v>0</v>
      </c>
      <c r="CT50" s="5139">
        <f t="shared" si="67"/>
        <v>0</v>
      </c>
      <c r="CU50" s="5139">
        <f t="shared" si="67"/>
        <v>307307</v>
      </c>
      <c r="CV50" s="639"/>
      <c r="CW50" s="639"/>
      <c r="CX50" s="639"/>
    </row>
    <row r="51" spans="1:105" x14ac:dyDescent="0.25">
      <c r="A51" s="5130"/>
      <c r="B51" s="5130"/>
      <c r="C51" s="5130"/>
      <c r="D51" s="5130"/>
      <c r="E51" s="5129"/>
      <c r="F51" s="5130"/>
      <c r="G51" s="5130"/>
      <c r="H51" s="5130"/>
      <c r="I51" s="5130"/>
      <c r="J51" s="5130"/>
      <c r="K51" s="5130"/>
      <c r="L51" s="5130"/>
      <c r="M51" s="5130"/>
      <c r="N51" s="5130"/>
      <c r="O51" s="5130"/>
      <c r="P51" s="5130"/>
      <c r="Q51" s="5130"/>
      <c r="R51" s="5130"/>
      <c r="S51" s="5130"/>
      <c r="T51" s="5130"/>
      <c r="U51" s="5130"/>
      <c r="V51" s="5130"/>
      <c r="W51" s="5130"/>
      <c r="X51" s="5130"/>
      <c r="Y51" s="5130"/>
      <c r="Z51" s="5130"/>
      <c r="AA51" s="5130"/>
      <c r="AB51" s="5130"/>
      <c r="AC51" s="5130"/>
      <c r="AD51" s="5130"/>
      <c r="AE51" s="5130"/>
      <c r="AF51" s="5130"/>
      <c r="AG51" s="5130"/>
      <c r="AH51" s="5130"/>
      <c r="AI51" s="5130"/>
      <c r="AJ51" s="5130"/>
      <c r="AK51" s="5130"/>
      <c r="AL51" s="5130"/>
      <c r="AM51" s="5130"/>
      <c r="AN51" s="5130"/>
      <c r="AO51" s="5130"/>
      <c r="AP51" s="5130"/>
      <c r="AQ51" s="5130"/>
      <c r="AR51" s="5130"/>
      <c r="AS51" s="5130"/>
      <c r="AT51" s="5130"/>
      <c r="AU51" s="5130"/>
      <c r="AV51" s="5130"/>
      <c r="AW51" s="5130"/>
      <c r="AX51" s="5130"/>
      <c r="AY51" s="5130"/>
      <c r="AZ51" s="5130"/>
      <c r="BA51" s="5130"/>
      <c r="BB51" s="5130"/>
      <c r="BC51" s="5130"/>
      <c r="BD51" s="5130"/>
      <c r="BE51" s="5130"/>
      <c r="BF51" s="5130"/>
      <c r="BG51" s="5130"/>
      <c r="BH51" s="5130"/>
      <c r="BI51" s="5130"/>
      <c r="BJ51" s="5130"/>
      <c r="BK51" s="5130"/>
      <c r="BL51" s="5130"/>
      <c r="BM51" s="5130"/>
      <c r="BN51" s="5130"/>
      <c r="BO51" s="5130"/>
      <c r="BP51" s="5130"/>
      <c r="BQ51" s="5130"/>
      <c r="BR51" s="5130"/>
      <c r="BS51" s="5130"/>
      <c r="BT51" s="5130"/>
      <c r="BU51" s="5130"/>
      <c r="BV51" s="5130"/>
      <c r="BW51" s="5130"/>
      <c r="BX51" s="5130"/>
      <c r="BY51" s="5130"/>
      <c r="BZ51" s="5130"/>
      <c r="CA51" s="5130"/>
      <c r="CB51" s="5130"/>
      <c r="CC51" s="5130"/>
      <c r="CD51" s="5130"/>
      <c r="CE51" s="5130"/>
      <c r="CF51" s="5130"/>
      <c r="CG51" s="5130"/>
      <c r="CH51" s="5130"/>
      <c r="CI51" s="5130"/>
      <c r="CJ51" s="5130"/>
      <c r="CK51" s="5130"/>
      <c r="CL51" s="5130"/>
      <c r="CM51" s="5130"/>
      <c r="CN51" s="5130"/>
      <c r="CO51" s="5130"/>
      <c r="CP51" s="5130"/>
      <c r="CQ51" s="5130"/>
      <c r="CR51" s="5130"/>
      <c r="CS51" s="5130"/>
      <c r="CT51" s="5130"/>
      <c r="CU51" s="5128"/>
      <c r="CV51" s="639"/>
      <c r="CW51" s="639"/>
      <c r="CX51" s="639"/>
    </row>
    <row r="52" spans="1:105" x14ac:dyDescent="0.25">
      <c r="A52" s="5130"/>
      <c r="B52" s="5130"/>
      <c r="C52" s="5130"/>
      <c r="D52" s="5130"/>
      <c r="E52" s="5129" t="s">
        <v>1111</v>
      </c>
      <c r="F52" s="5137">
        <f>+F50-SMS!F29</f>
        <v>0</v>
      </c>
      <c r="G52" s="5137">
        <f>+G50-SMS!H29</f>
        <v>155.58000000000175</v>
      </c>
      <c r="H52" s="5137">
        <f>+H50-SMS!L29</f>
        <v>-55835</v>
      </c>
      <c r="I52" s="5137">
        <f>+I50-SMS!N29</f>
        <v>-55679.419999999984</v>
      </c>
      <c r="J52" s="5137">
        <f>+J50-SMS!P29</f>
        <v>-84515.59</v>
      </c>
      <c r="K52" s="5137">
        <f>+K50-SMS!T29</f>
        <v>-73939</v>
      </c>
      <c r="L52" s="5109"/>
      <c r="M52" s="5109"/>
      <c r="N52" s="5109"/>
      <c r="O52" s="5109"/>
      <c r="P52" s="5109"/>
      <c r="Q52" s="5109"/>
      <c r="R52" s="5109"/>
      <c r="S52" s="5109"/>
      <c r="T52" s="5109"/>
      <c r="U52" s="5109"/>
      <c r="V52" s="5109"/>
      <c r="W52" s="5109"/>
      <c r="X52" s="5137"/>
      <c r="Y52" s="5137">
        <f>Y50-SMS!F32</f>
        <v>0</v>
      </c>
      <c r="Z52" s="5137"/>
      <c r="AA52" s="5137"/>
      <c r="AB52" s="5137"/>
      <c r="AC52" s="5137"/>
      <c r="AD52" s="5137"/>
      <c r="AE52" s="5137"/>
      <c r="AF52" s="5137"/>
      <c r="AG52" s="5109"/>
      <c r="AH52" s="5109"/>
      <c r="AI52" s="5137"/>
      <c r="AJ52" s="5109"/>
      <c r="AK52" s="5109"/>
      <c r="AL52" s="5109"/>
      <c r="AM52" s="5109"/>
      <c r="AN52" s="5109"/>
      <c r="AO52" s="5109"/>
      <c r="AP52" s="5109"/>
      <c r="AQ52" s="5137"/>
      <c r="AR52" s="5137"/>
      <c r="AS52" s="5137"/>
      <c r="AT52" s="5130"/>
      <c r="AU52" s="5137">
        <f>+AU50-(SMS!F29+SMS!F32)</f>
        <v>0</v>
      </c>
      <c r="AV52" s="5137"/>
      <c r="AW52" s="5137">
        <f>+AW50-(SMS!H29+SMS!H32)</f>
        <v>-2.5399999999790452</v>
      </c>
      <c r="AX52" s="5137"/>
      <c r="AY52" s="5137"/>
      <c r="AZ52" s="5137"/>
      <c r="BA52" s="5137">
        <f>+BA50-(SMS!L29+SMS!L32)</f>
        <v>-113148</v>
      </c>
      <c r="BB52" s="5137"/>
      <c r="BC52" s="5137"/>
      <c r="BD52" s="5137"/>
      <c r="BE52" s="5137">
        <f>+BE50-(SMS!P29+SMS!P32)</f>
        <v>-175580.36</v>
      </c>
      <c r="BF52" s="5137"/>
      <c r="BG52" s="5137"/>
      <c r="BH52" s="5137"/>
      <c r="BI52" s="5137">
        <f>+BI50-(SMS!T29+SMS!T32)</f>
        <v>-173874</v>
      </c>
      <c r="BJ52" s="5137"/>
      <c r="BK52" s="5137">
        <f>+BK50-(SMS!V29+SMS!V32)</f>
        <v>-479457.9</v>
      </c>
      <c r="BL52" s="5137"/>
      <c r="BM52" s="5137">
        <f>+BM50-(SMS!X29+SMS!X32)</f>
        <v>-174604</v>
      </c>
      <c r="BN52" s="5137">
        <f>+BN50-(SMS!Y29+SMS!Y32)</f>
        <v>-381960</v>
      </c>
      <c r="BO52" s="5137">
        <f>+BO50-(SMS!Z29+SMS!Z32)</f>
        <v>-524058.36</v>
      </c>
      <c r="BP52" s="5137">
        <f>+BP50-(SMS!AA29+SMS!AA32)</f>
        <v>-835718.32036495896</v>
      </c>
      <c r="BQ52" s="5137">
        <f>+BQ50-(SMS!AB29+SMS!AB32)</f>
        <v>-654061.9</v>
      </c>
      <c r="BR52" s="5137"/>
      <c r="BS52" s="5137">
        <f>+BS50-(SMS!AD29+SMS!AD32)</f>
        <v>-167894</v>
      </c>
      <c r="BT52" s="5137">
        <f>+BT50-(SMS!AE29+SMS!AE32)</f>
        <v>-1013468.320364959</v>
      </c>
      <c r="BU52" s="5137">
        <f>+BU50-(SMS!AF29+SMS!AF32)</f>
        <v>-821955.89999999991</v>
      </c>
      <c r="BV52" s="5137">
        <f>+BV50-(SMS!AG29+SMS!AG32)</f>
        <v>-171825</v>
      </c>
      <c r="BW52" s="5137">
        <f>+BW50-(SMS!AH29+SMS!AH32)</f>
        <v>-7917</v>
      </c>
      <c r="BX52" s="5137">
        <f>+BX50-(SMS!AI29+SMS!AI32)</f>
        <v>-1185293.3203649591</v>
      </c>
      <c r="BY52" s="5137">
        <f>+BY50-(SMS!AJ29+SMS!AJ32)</f>
        <v>-829872.89999999991</v>
      </c>
      <c r="BZ52" s="5137">
        <f>+BZ50-(SMS!AK29+SMS!AK32)</f>
        <v>-177840.45</v>
      </c>
      <c r="CA52" s="5137">
        <f>+CA50-(SMS!AL29+SMS!AL32)</f>
        <v>-175760.37</v>
      </c>
      <c r="CB52" s="5137">
        <f>+CB50-(SMS!AM29+SMS!AM32)</f>
        <v>-527415.44999999995</v>
      </c>
      <c r="CC52" s="5137">
        <f>+CC50-(SMS!AN29+SMS!AN32)</f>
        <v>-351571.37</v>
      </c>
      <c r="CD52" s="5137">
        <f>+CD50-(SMS!AO29+SMS!AO32)</f>
        <v>-1363133.770364959</v>
      </c>
      <c r="CE52" s="5137">
        <f>+CE50-(SMS!AP29+SMS!AP32)</f>
        <v>-1005633.27</v>
      </c>
      <c r="CF52" s="5137">
        <f>+CF50-(SMS!AQ29+SMS!AQ32)</f>
        <v>-177750</v>
      </c>
      <c r="CG52" s="5137">
        <f>+CG50-(SMS!AR29+SMS!AR32)</f>
        <v>-183032</v>
      </c>
      <c r="CH52" s="5137">
        <f>+CH50-(SMS!AS29+SMS!AS32)</f>
        <v>-1540883.770364959</v>
      </c>
      <c r="CI52" s="5137">
        <f>+CI50-(SMS!AT29+SMS!AT32)</f>
        <v>-1188665.27</v>
      </c>
      <c r="CJ52" s="5137">
        <f>+CJ50-(SMS!AU29+SMS!AU32)</f>
        <v>-159975</v>
      </c>
      <c r="CK52" s="5137">
        <f>+CK50-(SMS!AV29+SMS!AV32)</f>
        <v>-163770</v>
      </c>
      <c r="CL52" s="5137">
        <f>+CL50-(SMS!AW29+SMS!AW32)</f>
        <v>-1700858.770364959</v>
      </c>
      <c r="CM52" s="5137">
        <f>+CM50-(SMS!AX29+SMS!AX32)</f>
        <v>-1352435.27</v>
      </c>
      <c r="CN52" s="5137">
        <f>+CN50-(SMS!AY29+SMS!AY32)</f>
        <v>-177750</v>
      </c>
      <c r="CO52" s="5137">
        <f>+CO50-(SMS!AZ29+SMS!AZ32)</f>
        <v>-171866</v>
      </c>
      <c r="CP52" s="5137">
        <f>+CP50-(SMS!BA29+SMS!BA32)</f>
        <v>-515475</v>
      </c>
      <c r="CQ52" s="5137">
        <f>+CQ50-(SMS!BB29+SMS!BB32)</f>
        <v>-518668</v>
      </c>
      <c r="CR52" s="5137">
        <f>+CR50-(SMS!BC29+SMS!BC32)</f>
        <v>-1042890.45</v>
      </c>
      <c r="CS52" s="5137">
        <f>+CS50-(SMS!BD29+SMS!BD32)</f>
        <v>-870239.37</v>
      </c>
      <c r="CT52" s="5137">
        <f>+CT50-(SMS!BE29+SMS!BE32)</f>
        <v>-1878608.770364959</v>
      </c>
      <c r="CU52" s="5137">
        <f>+CU50-(SMS!BF29+SMS!BF32)</f>
        <v>-1524301.27</v>
      </c>
      <c r="CV52" s="639"/>
      <c r="CW52" s="639"/>
      <c r="CX52" s="639"/>
    </row>
    <row r="53" spans="1:105" x14ac:dyDescent="0.25">
      <c r="A53" s="5130"/>
      <c r="B53" s="5130"/>
      <c r="C53" s="5130"/>
      <c r="D53" s="5130"/>
      <c r="E53" s="5129"/>
      <c r="F53" s="5130"/>
      <c r="G53" s="5130"/>
      <c r="H53" s="5130"/>
      <c r="I53" s="5130"/>
      <c r="J53" s="5130"/>
      <c r="K53" s="5130"/>
      <c r="L53" s="5130"/>
      <c r="M53" s="5130"/>
      <c r="N53" s="5130"/>
      <c r="O53" s="5130"/>
      <c r="P53" s="5130"/>
      <c r="Q53" s="5130"/>
      <c r="R53" s="5130"/>
      <c r="S53" s="5130"/>
      <c r="T53" s="5130"/>
      <c r="U53" s="5130"/>
      <c r="V53" s="5130"/>
      <c r="W53" s="5130"/>
      <c r="X53" s="5130"/>
      <c r="Y53" s="5130"/>
      <c r="Z53" s="5130"/>
      <c r="AA53" s="5130"/>
      <c r="AB53" s="5130"/>
      <c r="AC53" s="5130"/>
      <c r="AD53" s="5130"/>
      <c r="AE53" s="5130"/>
      <c r="AF53" s="5130"/>
      <c r="AG53" s="5130"/>
      <c r="AH53" s="5130"/>
      <c r="AI53" s="5130"/>
      <c r="AJ53" s="5130"/>
      <c r="AK53" s="5130"/>
      <c r="AL53" s="5130"/>
      <c r="AM53" s="5130"/>
      <c r="AN53" s="5130"/>
      <c r="AO53" s="5130"/>
      <c r="AP53" s="5130"/>
      <c r="AQ53" s="5130"/>
      <c r="AR53" s="5130"/>
      <c r="AS53" s="5130"/>
      <c r="AT53" s="5130"/>
      <c r="AU53" s="5130"/>
      <c r="AV53" s="5130"/>
      <c r="AW53" s="5130"/>
      <c r="AX53" s="5130"/>
      <c r="AY53" s="5130"/>
      <c r="AZ53" s="5130"/>
      <c r="BA53" s="5130"/>
      <c r="BB53" s="5130"/>
      <c r="BC53" s="5130"/>
      <c r="BD53" s="5130"/>
      <c r="BE53" s="5130"/>
      <c r="BF53" s="5130"/>
      <c r="BG53" s="5130"/>
      <c r="BH53" s="5130"/>
      <c r="BI53" s="5130"/>
      <c r="BJ53" s="5130"/>
      <c r="BK53" s="5130"/>
      <c r="BL53" s="5130"/>
      <c r="BM53" s="5130"/>
      <c r="BN53" s="5130"/>
      <c r="BO53" s="5130"/>
      <c r="BP53" s="5130"/>
      <c r="BQ53" s="5130"/>
      <c r="BR53" s="5130"/>
      <c r="BS53" s="5130"/>
      <c r="BT53" s="5130"/>
      <c r="BU53" s="5130"/>
      <c r="BV53" s="5130"/>
      <c r="BW53" s="5130"/>
      <c r="BX53" s="5130"/>
      <c r="BY53" s="5130"/>
      <c r="BZ53" s="5130"/>
      <c r="CA53" s="5130"/>
      <c r="CB53" s="5130"/>
      <c r="CC53" s="5130"/>
      <c r="CD53" s="5130"/>
      <c r="CE53" s="5130"/>
      <c r="CF53" s="5130"/>
      <c r="CG53" s="5130"/>
      <c r="CH53" s="5130"/>
      <c r="CI53" s="5130"/>
      <c r="CJ53" s="5130"/>
      <c r="CK53" s="5130"/>
      <c r="CL53" s="5130"/>
      <c r="CM53" s="5130"/>
      <c r="CN53" s="5130"/>
      <c r="CO53" s="5130"/>
      <c r="CP53" s="5130"/>
      <c r="CQ53" s="5130"/>
      <c r="CR53" s="5130"/>
      <c r="CS53" s="5130"/>
      <c r="CT53" s="5130"/>
      <c r="CU53" s="5128"/>
      <c r="CV53" s="639"/>
      <c r="CW53" s="639"/>
      <c r="CX53" s="639"/>
    </row>
    <row r="54" spans="1:105" x14ac:dyDescent="0.25">
      <c r="AP54" s="5147"/>
      <c r="CV54" s="639"/>
      <c r="CW54" s="639"/>
      <c r="CX54" s="639"/>
      <c r="CY54" s="639"/>
      <c r="CZ54" s="639"/>
      <c r="DA54" s="639"/>
    </row>
    <row r="55" spans="1:105" x14ac:dyDescent="0.25">
      <c r="AU55" s="5147"/>
      <c r="AV55" s="5147"/>
      <c r="AW55" s="5147"/>
      <c r="AX55" s="5147"/>
      <c r="AY55" s="5147"/>
      <c r="AZ55" s="5147"/>
      <c r="BA55" s="5147"/>
      <c r="BB55" s="5147"/>
      <c r="BC55" s="5147"/>
      <c r="BD55" s="5147"/>
      <c r="BE55" s="5147"/>
      <c r="BF55" s="5147"/>
      <c r="BG55" s="5147"/>
      <c r="BH55" s="5147"/>
      <c r="BI55" s="5147"/>
      <c r="BJ55" s="5147"/>
      <c r="BK55" s="5147"/>
      <c r="BL55" s="5147"/>
      <c r="BM55" s="5147"/>
      <c r="BN55" s="5147"/>
      <c r="BO55" s="5147"/>
      <c r="BP55" s="5147"/>
      <c r="BQ55" s="5147"/>
      <c r="BR55" s="5147"/>
      <c r="BS55" s="5147"/>
      <c r="BT55" s="5147"/>
      <c r="BU55" s="5147"/>
      <c r="BV55" s="5147"/>
      <c r="CV55" s="639"/>
      <c r="CW55" s="639"/>
      <c r="CX55" s="639"/>
      <c r="CY55" s="639"/>
      <c r="CZ55" s="639"/>
      <c r="DA55" s="639"/>
    </row>
    <row r="56" spans="1:105" ht="21" x14ac:dyDescent="0.35">
      <c r="E56" s="6785" t="s">
        <v>2206</v>
      </c>
      <c r="F56" s="5147"/>
      <c r="O56" s="5147"/>
    </row>
    <row r="57" spans="1:105" x14ac:dyDescent="0.25">
      <c r="F57" s="5147"/>
      <c r="AH57" s="5147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41"/>
  <sheetViews>
    <sheetView zoomScaleNormal="100" workbookViewId="0">
      <pane xSplit="1" topLeftCell="B1" activePane="topRight" state="frozen"/>
      <selection activeCell="BG86" sqref="BG86"/>
      <selection pane="topRight" activeCell="BF33" sqref="BF33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customWidth="1"/>
    <col min="8" max="8" width="9.140625" style="152" hidden="1" customWidth="1"/>
    <col min="9" max="10" width="9.5703125" style="152" hidden="1" customWidth="1"/>
    <col min="11" max="11" width="10.7109375" style="152" hidden="1" customWidth="1"/>
    <col min="12" max="12" width="13" style="152" hidden="1" customWidth="1"/>
    <col min="13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hidden="1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2" width="11" style="152" hidden="1" customWidth="1"/>
    <col min="23" max="26" width="10.7109375" style="152" hidden="1" customWidth="1"/>
    <col min="27" max="28" width="9.140625" style="152" hidden="1" customWidth="1"/>
    <col min="29" max="30" width="10.7109375" style="152" hidden="1" customWidth="1"/>
    <col min="31" max="32" width="9.140625" style="152" hidden="1" customWidth="1"/>
    <col min="33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16384" width="9.140625" style="152"/>
  </cols>
  <sheetData>
    <row r="1" spans="1:57" x14ac:dyDescent="0.25">
      <c r="A1" s="3681"/>
      <c r="B1" s="3681"/>
      <c r="C1" s="3664"/>
      <c r="D1" s="3664"/>
      <c r="E1" s="3664"/>
      <c r="F1" s="3664"/>
      <c r="G1" s="3664"/>
      <c r="H1" s="3664"/>
      <c r="I1" s="3664"/>
      <c r="J1" s="3664"/>
      <c r="K1" s="3664"/>
      <c r="L1" s="3664"/>
      <c r="M1" s="3664"/>
      <c r="N1" s="3664"/>
      <c r="O1" s="3664"/>
      <c r="P1" s="3664"/>
      <c r="Q1" s="3664"/>
      <c r="R1" s="3664"/>
      <c r="S1" s="3664"/>
      <c r="T1" s="3664"/>
      <c r="U1" s="3664"/>
      <c r="V1" s="3664"/>
      <c r="W1" s="3664"/>
      <c r="X1" s="3664"/>
      <c r="Y1" s="3664"/>
      <c r="Z1" s="3664"/>
    </row>
    <row r="2" spans="1:57" ht="18.75" x14ac:dyDescent="0.25">
      <c r="A2" s="7754" t="s">
        <v>2284</v>
      </c>
      <c r="B2" s="7754"/>
      <c r="C2" s="7754"/>
      <c r="D2" s="7754"/>
      <c r="E2" s="7754"/>
      <c r="F2" s="7754"/>
      <c r="G2" s="7754"/>
      <c r="H2" s="7754"/>
      <c r="I2" s="7754"/>
      <c r="J2" s="7754"/>
      <c r="K2" s="7754"/>
      <c r="L2" s="7754"/>
      <c r="M2" s="7754"/>
      <c r="N2" s="7754"/>
      <c r="O2" s="7754"/>
      <c r="P2" s="7754"/>
      <c r="Q2" s="7754"/>
      <c r="R2" s="7754"/>
      <c r="S2" s="7754"/>
      <c r="T2" s="7754"/>
      <c r="U2" s="7754"/>
      <c r="V2" s="7754"/>
      <c r="W2" s="7754"/>
      <c r="X2" s="7754"/>
      <c r="Y2" s="7754"/>
      <c r="Z2" s="7754"/>
      <c r="AA2" s="7754"/>
      <c r="AB2" s="7754"/>
      <c r="AC2" s="7754"/>
      <c r="AD2" s="7754"/>
      <c r="AE2" s="7754"/>
      <c r="AF2" s="7754"/>
      <c r="AG2" s="7754"/>
      <c r="AH2" s="7754"/>
      <c r="AI2" s="7754"/>
      <c r="AJ2" s="7754"/>
      <c r="AK2" s="7754"/>
      <c r="AL2" s="7754"/>
      <c r="AM2" s="7754"/>
      <c r="AN2" s="7754"/>
      <c r="AO2" s="7754"/>
      <c r="AP2" s="7754"/>
      <c r="AQ2" s="7754"/>
      <c r="AR2" s="7754"/>
      <c r="AS2" s="7754"/>
      <c r="AT2" s="7754"/>
      <c r="AU2" s="7754"/>
      <c r="AV2" s="7754"/>
      <c r="AW2" s="7754"/>
      <c r="AX2" s="7754"/>
      <c r="AY2" s="7754"/>
      <c r="AZ2" s="7754"/>
      <c r="BA2" s="7754"/>
      <c r="BB2" s="7754"/>
      <c r="BC2" s="7754"/>
    </row>
    <row r="3" spans="1:57" ht="16.5" thickBot="1" x14ac:dyDescent="0.3">
      <c r="A3" s="3681"/>
      <c r="B3" s="3681"/>
      <c r="C3" s="3664"/>
      <c r="D3" s="3664"/>
      <c r="E3" s="3664"/>
      <c r="F3" s="3664"/>
      <c r="G3" s="3664"/>
      <c r="H3" s="3664"/>
      <c r="I3" s="3664"/>
      <c r="J3" s="3664"/>
      <c r="K3" s="3664"/>
      <c r="L3" s="3664"/>
      <c r="M3" s="3664"/>
      <c r="N3" s="3664"/>
      <c r="O3" s="3664"/>
      <c r="P3" s="3664"/>
      <c r="Q3" s="3664"/>
      <c r="R3" s="3664"/>
      <c r="S3" s="3664"/>
      <c r="T3" s="3664"/>
      <c r="U3" s="3664"/>
      <c r="V3" s="3664"/>
      <c r="W3" s="3664"/>
      <c r="X3" s="3664"/>
      <c r="Y3" s="3664"/>
      <c r="Z3" s="3664"/>
    </row>
    <row r="4" spans="1:57" x14ac:dyDescent="0.25">
      <c r="A4" s="7752"/>
      <c r="B4" s="7733" t="s">
        <v>2254</v>
      </c>
      <c r="C4" s="7734"/>
      <c r="D4" s="7733" t="s">
        <v>2306</v>
      </c>
      <c r="E4" s="7734"/>
      <c r="F4" s="7731" t="s">
        <v>14</v>
      </c>
      <c r="G4" s="7732"/>
      <c r="H4" s="7746" t="s">
        <v>1903</v>
      </c>
      <c r="I4" s="7747"/>
      <c r="J4" s="7748" t="s">
        <v>637</v>
      </c>
      <c r="K4" s="7749"/>
      <c r="L4" s="7733" t="s">
        <v>1937</v>
      </c>
      <c r="M4" s="7734"/>
      <c r="N4" s="7731" t="s">
        <v>17</v>
      </c>
      <c r="O4" s="7732"/>
      <c r="P4" s="7750" t="s">
        <v>1961</v>
      </c>
      <c r="Q4" s="7751"/>
      <c r="R4" s="7731" t="s">
        <v>18</v>
      </c>
      <c r="S4" s="7732"/>
      <c r="T4" s="7735" t="s">
        <v>1983</v>
      </c>
      <c r="U4" s="7736"/>
      <c r="V4" s="7729" t="s">
        <v>839</v>
      </c>
      <c r="W4" s="7729"/>
      <c r="X4" s="7730" t="s">
        <v>657</v>
      </c>
      <c r="Y4" s="7730"/>
      <c r="Z4" s="7733" t="s">
        <v>2002</v>
      </c>
      <c r="AA4" s="7734"/>
      <c r="AB4" s="7731" t="s">
        <v>24</v>
      </c>
      <c r="AC4" s="7732"/>
      <c r="AD4" s="7733" t="s">
        <v>2018</v>
      </c>
      <c r="AE4" s="7734"/>
      <c r="AF4" s="7731" t="s">
        <v>27</v>
      </c>
      <c r="AG4" s="7732"/>
      <c r="AH4" s="7735" t="s">
        <v>2033</v>
      </c>
      <c r="AI4" s="7736"/>
      <c r="AJ4" s="7729" t="s">
        <v>1682</v>
      </c>
      <c r="AK4" s="7729"/>
      <c r="AL4" s="7731" t="s">
        <v>1683</v>
      </c>
      <c r="AM4" s="7732"/>
      <c r="AN4" s="7733" t="s">
        <v>2137</v>
      </c>
      <c r="AO4" s="7734"/>
      <c r="AP4" s="7731" t="s">
        <v>28</v>
      </c>
      <c r="AQ4" s="7732"/>
      <c r="AR4" s="7733" t="s">
        <v>2151</v>
      </c>
      <c r="AS4" s="7734"/>
      <c r="AT4" s="7731" t="s">
        <v>30</v>
      </c>
      <c r="AU4" s="7732"/>
      <c r="AV4" s="7733" t="s">
        <v>2163</v>
      </c>
      <c r="AW4" s="7734"/>
      <c r="AX4" s="7729" t="s">
        <v>1727</v>
      </c>
      <c r="AY4" s="7729"/>
      <c r="AZ4" s="7730" t="s">
        <v>671</v>
      </c>
      <c r="BA4" s="7730"/>
      <c r="BB4" s="7731" t="s">
        <v>1765</v>
      </c>
      <c r="BC4" s="7732"/>
    </row>
    <row r="5" spans="1:57" ht="16.5" thickBot="1" x14ac:dyDescent="0.3">
      <c r="A5" s="7753"/>
      <c r="B5" s="3675" t="s">
        <v>173</v>
      </c>
      <c r="C5" s="3668" t="s">
        <v>174</v>
      </c>
      <c r="D5" s="3675" t="s">
        <v>173</v>
      </c>
      <c r="E5" s="3668" t="s">
        <v>174</v>
      </c>
      <c r="F5" s="3669" t="s">
        <v>173</v>
      </c>
      <c r="G5" s="3670" t="s">
        <v>174</v>
      </c>
      <c r="H5" s="3671" t="s">
        <v>173</v>
      </c>
      <c r="I5" s="3672" t="s">
        <v>174</v>
      </c>
      <c r="J5" s="3673" t="s">
        <v>173</v>
      </c>
      <c r="K5" s="3674" t="s">
        <v>174</v>
      </c>
      <c r="L5" s="3671" t="s">
        <v>173</v>
      </c>
      <c r="M5" s="3668" t="s">
        <v>174</v>
      </c>
      <c r="N5" s="3669" t="s">
        <v>173</v>
      </c>
      <c r="O5" s="3670" t="s">
        <v>174</v>
      </c>
      <c r="P5" s="3671" t="s">
        <v>173</v>
      </c>
      <c r="Q5" s="3668" t="s">
        <v>174</v>
      </c>
      <c r="R5" s="3669" t="s">
        <v>173</v>
      </c>
      <c r="S5" s="3670" t="s">
        <v>174</v>
      </c>
      <c r="T5" s="3667" t="s">
        <v>173</v>
      </c>
      <c r="U5" s="3691" t="s">
        <v>174</v>
      </c>
      <c r="V5" s="3692" t="s">
        <v>173</v>
      </c>
      <c r="W5" s="3692" t="s">
        <v>174</v>
      </c>
      <c r="X5" s="3693" t="s">
        <v>173</v>
      </c>
      <c r="Y5" s="3693" t="s">
        <v>174</v>
      </c>
      <c r="Z5" s="3675" t="s">
        <v>173</v>
      </c>
      <c r="AA5" s="3668" t="s">
        <v>174</v>
      </c>
      <c r="AB5" s="3669" t="s">
        <v>173</v>
      </c>
      <c r="AC5" s="3670" t="s">
        <v>174</v>
      </c>
      <c r="AD5" s="3675" t="s">
        <v>173</v>
      </c>
      <c r="AE5" s="3668" t="s">
        <v>174</v>
      </c>
      <c r="AF5" s="3669" t="s">
        <v>173</v>
      </c>
      <c r="AG5" s="3670" t="s">
        <v>174</v>
      </c>
      <c r="AH5" s="3667" t="s">
        <v>173</v>
      </c>
      <c r="AI5" s="3691" t="s">
        <v>174</v>
      </c>
      <c r="AJ5" s="3692" t="s">
        <v>173</v>
      </c>
      <c r="AK5" s="3692" t="s">
        <v>174</v>
      </c>
      <c r="AL5" s="3669" t="s">
        <v>173</v>
      </c>
      <c r="AM5" s="3670" t="s">
        <v>174</v>
      </c>
      <c r="AN5" s="3675" t="s">
        <v>173</v>
      </c>
      <c r="AO5" s="3668" t="s">
        <v>174</v>
      </c>
      <c r="AP5" s="3669" t="s">
        <v>173</v>
      </c>
      <c r="AQ5" s="3670" t="s">
        <v>174</v>
      </c>
      <c r="AR5" s="3675" t="s">
        <v>173</v>
      </c>
      <c r="AS5" s="3668" t="s">
        <v>174</v>
      </c>
      <c r="AT5" s="3669" t="s">
        <v>173</v>
      </c>
      <c r="AU5" s="3670" t="s">
        <v>174</v>
      </c>
      <c r="AV5" s="3675" t="s">
        <v>173</v>
      </c>
      <c r="AW5" s="3668" t="s">
        <v>174</v>
      </c>
      <c r="AX5" s="3692" t="s">
        <v>173</v>
      </c>
      <c r="AY5" s="3692" t="s">
        <v>174</v>
      </c>
      <c r="AZ5" s="3693" t="s">
        <v>173</v>
      </c>
      <c r="BA5" s="3693" t="s">
        <v>174</v>
      </c>
      <c r="BB5" s="3669" t="s">
        <v>173</v>
      </c>
      <c r="BC5" s="3670" t="s">
        <v>174</v>
      </c>
    </row>
    <row r="6" spans="1:57" x14ac:dyDescent="0.25">
      <c r="A6" s="3685" t="s">
        <v>644</v>
      </c>
      <c r="B6" s="3686"/>
      <c r="C6" s="3694"/>
      <c r="D6" s="3694"/>
      <c r="E6" s="3695"/>
      <c r="F6" s="3695"/>
      <c r="G6" s="3695"/>
      <c r="H6" s="3695"/>
      <c r="I6" s="3695"/>
      <c r="J6" s="3696"/>
      <c r="K6" s="3697"/>
      <c r="L6" s="3695"/>
      <c r="M6" s="3695"/>
      <c r="N6" s="3695"/>
      <c r="O6" s="3695"/>
      <c r="P6" s="3695"/>
      <c r="Q6" s="3695"/>
      <c r="R6" s="3695"/>
      <c r="S6" s="3695"/>
      <c r="T6" s="3699"/>
      <c r="U6" s="3699"/>
      <c r="V6" s="3699"/>
      <c r="W6" s="3697"/>
      <c r="X6" s="3698"/>
      <c r="Y6" s="3699"/>
      <c r="Z6" s="3699"/>
      <c r="AA6" s="3699"/>
      <c r="AB6" s="3699"/>
      <c r="AC6" s="3699"/>
      <c r="AD6" s="3699"/>
      <c r="AE6" s="3699"/>
      <c r="AF6" s="3699"/>
      <c r="AG6" s="3699"/>
      <c r="AH6" s="3699"/>
      <c r="AI6" s="3699"/>
      <c r="AJ6" s="3699"/>
      <c r="AK6" s="3697"/>
      <c r="AL6" s="3698"/>
      <c r="AM6" s="3699"/>
      <c r="AN6" s="3699"/>
      <c r="AO6" s="3699"/>
      <c r="AP6" s="3699"/>
      <c r="AQ6" s="3699"/>
      <c r="AR6" s="3699"/>
      <c r="AS6" s="3699"/>
      <c r="AT6" s="3699"/>
      <c r="AU6" s="3699"/>
      <c r="AV6" s="3699"/>
      <c r="AW6" s="3699"/>
      <c r="AX6" s="3699"/>
      <c r="AY6" s="3697"/>
      <c r="AZ6" s="3698"/>
      <c r="BA6" s="3699"/>
      <c r="BB6" s="3699"/>
      <c r="BC6" s="3700"/>
    </row>
    <row r="7" spans="1:57" x14ac:dyDescent="0.25">
      <c r="A7" s="236" t="s">
        <v>2208</v>
      </c>
      <c r="B7" s="1527"/>
      <c r="C7" s="238"/>
      <c r="D7" s="238"/>
      <c r="E7" s="238"/>
      <c r="F7" s="1462"/>
      <c r="G7" s="1462">
        <f>+C7+E7</f>
        <v>0</v>
      </c>
      <c r="H7" s="1516"/>
      <c r="I7" s="238">
        <v>2812</v>
      </c>
      <c r="J7" s="1535"/>
      <c r="K7" s="1220">
        <f>+C7+E7+I7</f>
        <v>2812</v>
      </c>
      <c r="L7" s="1516"/>
      <c r="M7" s="238">
        <v>131</v>
      </c>
      <c r="N7" s="1532"/>
      <c r="O7" s="1553">
        <f>+C7+E7+I7+M7</f>
        <v>2943</v>
      </c>
      <c r="P7" s="1516"/>
      <c r="Q7" s="238">
        <v>2379</v>
      </c>
      <c r="R7" s="1462"/>
      <c r="S7" s="1462">
        <f>+O7+Q7</f>
        <v>5322</v>
      </c>
      <c r="T7" s="3186"/>
      <c r="U7" s="238">
        <v>4284.3059999999996</v>
      </c>
      <c r="V7" s="1532"/>
      <c r="W7" s="1220">
        <f t="shared" ref="W7:W39" si="0">+M7+Q7+U7</f>
        <v>6794.3059999999996</v>
      </c>
      <c r="X7" s="3191"/>
      <c r="Y7" s="3193">
        <f t="shared" ref="Y7:Y39" si="1">+K7+W7</f>
        <v>9606.3060000000005</v>
      </c>
      <c r="Z7" s="3194"/>
      <c r="AA7" s="238">
        <v>1571.31</v>
      </c>
      <c r="AB7" s="238"/>
      <c r="AC7" s="3187">
        <f>+Y7+AA7</f>
        <v>11177.616</v>
      </c>
      <c r="AD7" s="3186"/>
      <c r="AE7" s="238"/>
      <c r="AF7" s="238"/>
      <c r="AG7" s="3187">
        <f>+AC7+AE7</f>
        <v>11177.616</v>
      </c>
      <c r="AH7" s="3186"/>
      <c r="AI7" s="238">
        <v>1587</v>
      </c>
      <c r="AJ7" s="1532"/>
      <c r="AK7" s="1220">
        <f t="shared" ref="AK7:AK39" si="2">+AA7+AE7+AI7</f>
        <v>3158.31</v>
      </c>
      <c r="AL7" s="3191"/>
      <c r="AM7" s="3187">
        <f>+AG7+AI7</f>
        <v>12764.616</v>
      </c>
      <c r="AN7" s="3186"/>
      <c r="AO7" s="238">
        <v>254.59200000000001</v>
      </c>
      <c r="AP7" s="238"/>
      <c r="AQ7" s="3187">
        <f>AM7+AO7</f>
        <v>13019.208000000001</v>
      </c>
      <c r="AR7" s="3186"/>
      <c r="AS7" s="238"/>
      <c r="AT7" s="238"/>
      <c r="AU7" s="3187">
        <f>AQ7+AS7</f>
        <v>13019.208000000001</v>
      </c>
      <c r="AV7" s="3186"/>
      <c r="AW7" s="238"/>
      <c r="AX7" s="1532"/>
      <c r="AY7" s="1220">
        <f t="shared" ref="AY7:AY39" si="3">+AO7+AS7+AW7</f>
        <v>254.59200000000001</v>
      </c>
      <c r="AZ7" s="3191"/>
      <c r="BA7" s="3193">
        <f>+AK7+AY7</f>
        <v>3412.902</v>
      </c>
      <c r="BB7" s="3187"/>
      <c r="BC7" s="1553">
        <f t="shared" ref="BC7:BC39" si="4">AU7+AW7</f>
        <v>13019.208000000001</v>
      </c>
      <c r="BE7" s="3680"/>
    </row>
    <row r="8" spans="1:57" x14ac:dyDescent="0.25">
      <c r="A8" s="236" t="s">
        <v>2209</v>
      </c>
      <c r="B8" s="1527"/>
      <c r="C8" s="238"/>
      <c r="D8" s="238"/>
      <c r="E8" s="238">
        <v>8</v>
      </c>
      <c r="F8" s="1462"/>
      <c r="G8" s="1462">
        <f t="shared" ref="G8:G39" si="5">+C8+E8</f>
        <v>8</v>
      </c>
      <c r="H8" s="1516"/>
      <c r="I8" s="238">
        <v>40</v>
      </c>
      <c r="J8" s="1535"/>
      <c r="K8" s="1220">
        <f t="shared" ref="K8:K39" si="6">+C8+E8+I8</f>
        <v>48</v>
      </c>
      <c r="L8" s="1516"/>
      <c r="M8" s="238">
        <v>63</v>
      </c>
      <c r="N8" s="1532"/>
      <c r="O8" s="1553">
        <f t="shared" ref="O8:O39" si="7">+C8+E8+I8+M8</f>
        <v>111</v>
      </c>
      <c r="P8" s="1516"/>
      <c r="Q8" s="238">
        <v>88</v>
      </c>
      <c r="R8" s="1462"/>
      <c r="S8" s="1462">
        <f t="shared" ref="S8:S39" si="8">+O8+Q8</f>
        <v>199</v>
      </c>
      <c r="T8" s="3186"/>
      <c r="U8" s="238">
        <v>115.36199999999999</v>
      </c>
      <c r="V8" s="1532"/>
      <c r="W8" s="1220">
        <f t="shared" si="0"/>
        <v>266.36199999999997</v>
      </c>
      <c r="X8" s="3191"/>
      <c r="Y8" s="3193">
        <f t="shared" si="1"/>
        <v>314.36199999999997</v>
      </c>
      <c r="Z8" s="3194"/>
      <c r="AA8" s="238">
        <v>43.758000000000003</v>
      </c>
      <c r="AB8" s="238"/>
      <c r="AC8" s="3187">
        <f t="shared" ref="AC8:AC39" si="9">+Y8+AA8</f>
        <v>358.11999999999995</v>
      </c>
      <c r="AD8" s="3186"/>
      <c r="AE8" s="238"/>
      <c r="AF8" s="238"/>
      <c r="AG8" s="3187">
        <f t="shared" ref="AG8:AG39" si="10">+AC8+AE8</f>
        <v>358.11999999999995</v>
      </c>
      <c r="AH8" s="3186"/>
      <c r="AI8" s="238">
        <v>477</v>
      </c>
      <c r="AJ8" s="1532"/>
      <c r="AK8" s="1220">
        <f t="shared" si="2"/>
        <v>520.75800000000004</v>
      </c>
      <c r="AL8" s="3191"/>
      <c r="AM8" s="3187">
        <f t="shared" ref="AM8:AM39" si="11">+AG8+AI8</f>
        <v>835.11999999999989</v>
      </c>
      <c r="AN8" s="3186"/>
      <c r="AO8" s="238">
        <v>298.35000000000002</v>
      </c>
      <c r="AP8" s="238"/>
      <c r="AQ8" s="3187">
        <f t="shared" ref="AQ8:AQ39" si="12">AM8+AO8</f>
        <v>1133.4699999999998</v>
      </c>
      <c r="AR8" s="3186"/>
      <c r="AS8" s="238"/>
      <c r="AT8" s="238"/>
      <c r="AU8" s="3187">
        <f t="shared" ref="AU8:AU39" si="13">AQ8+AS8</f>
        <v>1133.4699999999998</v>
      </c>
      <c r="AV8" s="3186"/>
      <c r="AW8" s="238"/>
      <c r="AX8" s="1532"/>
      <c r="AY8" s="1220">
        <f t="shared" si="3"/>
        <v>298.35000000000002</v>
      </c>
      <c r="AZ8" s="3191"/>
      <c r="BA8" s="3193">
        <f t="shared" ref="BA8:BA39" si="14">+AK8+AY8</f>
        <v>819.10800000000006</v>
      </c>
      <c r="BB8" s="3187"/>
      <c r="BC8" s="1553">
        <f t="shared" si="4"/>
        <v>1133.4699999999998</v>
      </c>
      <c r="BE8" s="3680"/>
    </row>
    <row r="9" spans="1:57" x14ac:dyDescent="0.25">
      <c r="A9" s="236" t="s">
        <v>1220</v>
      </c>
      <c r="B9" s="1527"/>
      <c r="C9" s="238"/>
      <c r="D9" s="238"/>
      <c r="E9" s="238">
        <v>2204</v>
      </c>
      <c r="F9" s="1462"/>
      <c r="G9" s="1462">
        <f t="shared" si="5"/>
        <v>2204</v>
      </c>
      <c r="H9" s="1516"/>
      <c r="I9" s="238">
        <v>1532</v>
      </c>
      <c r="J9" s="1535"/>
      <c r="K9" s="1220">
        <f t="shared" si="6"/>
        <v>3736</v>
      </c>
      <c r="L9" s="1516"/>
      <c r="M9" s="238">
        <v>3338</v>
      </c>
      <c r="N9" s="1532"/>
      <c r="O9" s="1553">
        <f t="shared" si="7"/>
        <v>7074</v>
      </c>
      <c r="P9" s="1516"/>
      <c r="Q9" s="238">
        <v>5159</v>
      </c>
      <c r="R9" s="1462"/>
      <c r="S9" s="1462">
        <f t="shared" si="8"/>
        <v>12233</v>
      </c>
      <c r="T9" s="3186"/>
      <c r="U9" s="238">
        <v>982.56600000000003</v>
      </c>
      <c r="V9" s="1532"/>
      <c r="W9" s="1220">
        <f t="shared" si="0"/>
        <v>9479.5660000000007</v>
      </c>
      <c r="X9" s="3191"/>
      <c r="Y9" s="3193">
        <f t="shared" si="1"/>
        <v>13215.566000000001</v>
      </c>
      <c r="Z9" s="3194"/>
      <c r="AA9" s="238">
        <v>5183.3339999999998</v>
      </c>
      <c r="AB9" s="238"/>
      <c r="AC9" s="3187">
        <f t="shared" si="9"/>
        <v>18398.900000000001</v>
      </c>
      <c r="AD9" s="3186"/>
      <c r="AE9" s="238"/>
      <c r="AF9" s="238"/>
      <c r="AG9" s="3187">
        <f t="shared" si="10"/>
        <v>18398.900000000001</v>
      </c>
      <c r="AH9" s="3186"/>
      <c r="AI9" s="238">
        <v>10406</v>
      </c>
      <c r="AJ9" s="1532"/>
      <c r="AK9" s="1220">
        <f t="shared" si="2"/>
        <v>15589.333999999999</v>
      </c>
      <c r="AL9" s="3191"/>
      <c r="AM9" s="3187">
        <f t="shared" si="11"/>
        <v>28804.9</v>
      </c>
      <c r="AN9" s="3186"/>
      <c r="AO9" s="238">
        <v>10251.306</v>
      </c>
      <c r="AP9" s="238"/>
      <c r="AQ9" s="3187">
        <f t="shared" si="12"/>
        <v>39056.206000000006</v>
      </c>
      <c r="AR9" s="3186"/>
      <c r="AS9" s="238"/>
      <c r="AT9" s="238"/>
      <c r="AU9" s="3187">
        <f t="shared" si="13"/>
        <v>39056.206000000006</v>
      </c>
      <c r="AV9" s="3186"/>
      <c r="AW9" s="238"/>
      <c r="AX9" s="1532"/>
      <c r="AY9" s="1220">
        <f t="shared" si="3"/>
        <v>10251.306</v>
      </c>
      <c r="AZ9" s="3191"/>
      <c r="BA9" s="3193">
        <f t="shared" si="14"/>
        <v>25840.639999999999</v>
      </c>
      <c r="BB9" s="3187"/>
      <c r="BC9" s="1553">
        <f t="shared" si="4"/>
        <v>39056.206000000006</v>
      </c>
    </row>
    <row r="10" spans="1:57" x14ac:dyDescent="0.25">
      <c r="A10" s="236" t="s">
        <v>1263</v>
      </c>
      <c r="B10" s="1527"/>
      <c r="C10" s="238"/>
      <c r="D10" s="238"/>
      <c r="E10" s="3185"/>
      <c r="F10" s="3185"/>
      <c r="G10" s="1462">
        <f t="shared" si="5"/>
        <v>0</v>
      </c>
      <c r="H10" s="3185"/>
      <c r="I10" s="3185"/>
      <c r="J10" s="3183"/>
      <c r="K10" s="1220">
        <f t="shared" si="6"/>
        <v>0</v>
      </c>
      <c r="L10" s="3185"/>
      <c r="M10" s="3185">
        <v>716</v>
      </c>
      <c r="N10" s="3183"/>
      <c r="O10" s="1553">
        <f t="shared" si="7"/>
        <v>716</v>
      </c>
      <c r="P10" s="3185"/>
      <c r="Q10" s="3185"/>
      <c r="R10" s="3185"/>
      <c r="S10" s="1462">
        <f t="shared" si="8"/>
        <v>716</v>
      </c>
      <c r="T10" s="3187"/>
      <c r="U10" s="3185"/>
      <c r="V10" s="3183"/>
      <c r="W10" s="1220">
        <f t="shared" si="0"/>
        <v>716</v>
      </c>
      <c r="X10" s="3191"/>
      <c r="Y10" s="3193">
        <f t="shared" si="1"/>
        <v>716</v>
      </c>
      <c r="Z10" s="3193"/>
      <c r="AA10" s="3185"/>
      <c r="AB10" s="3185"/>
      <c r="AC10" s="3187">
        <f t="shared" si="9"/>
        <v>716</v>
      </c>
      <c r="AD10" s="3187"/>
      <c r="AE10" s="3185"/>
      <c r="AF10" s="3185"/>
      <c r="AG10" s="3187">
        <f t="shared" si="10"/>
        <v>716</v>
      </c>
      <c r="AH10" s="3187"/>
      <c r="AI10" s="3185"/>
      <c r="AJ10" s="3183"/>
      <c r="AK10" s="1220">
        <f t="shared" si="2"/>
        <v>0</v>
      </c>
      <c r="AL10" s="3191"/>
      <c r="AM10" s="3187">
        <f t="shared" si="11"/>
        <v>716</v>
      </c>
      <c r="AN10" s="3187"/>
      <c r="AO10" s="3185"/>
      <c r="AP10" s="3185"/>
      <c r="AQ10" s="3187">
        <f t="shared" si="12"/>
        <v>716</v>
      </c>
      <c r="AR10" s="3187"/>
      <c r="AS10" s="3185"/>
      <c r="AT10" s="3185"/>
      <c r="AU10" s="3187">
        <f t="shared" si="13"/>
        <v>716</v>
      </c>
      <c r="AV10" s="3187"/>
      <c r="AW10" s="3185"/>
      <c r="AX10" s="3183"/>
      <c r="AY10" s="1220">
        <f t="shared" si="3"/>
        <v>0</v>
      </c>
      <c r="AZ10" s="3191"/>
      <c r="BA10" s="3193">
        <f t="shared" si="14"/>
        <v>0</v>
      </c>
      <c r="BB10" s="3187"/>
      <c r="BC10" s="1553">
        <f t="shared" si="4"/>
        <v>716</v>
      </c>
    </row>
    <row r="11" spans="1:57" ht="15.75" customHeight="1" x14ac:dyDescent="0.25">
      <c r="A11" s="236" t="s">
        <v>1219</v>
      </c>
      <c r="B11" s="1527"/>
      <c r="C11" s="238"/>
      <c r="D11" s="238"/>
      <c r="E11" s="238"/>
      <c r="F11" s="238"/>
      <c r="G11" s="1462">
        <f t="shared" si="5"/>
        <v>0</v>
      </c>
      <c r="H11" s="238"/>
      <c r="I11" s="238"/>
      <c r="J11" s="1532"/>
      <c r="K11" s="1220">
        <f t="shared" si="6"/>
        <v>0</v>
      </c>
      <c r="L11" s="238"/>
      <c r="M11" s="238">
        <v>1125</v>
      </c>
      <c r="N11" s="1532"/>
      <c r="O11" s="1553">
        <f t="shared" si="7"/>
        <v>1125</v>
      </c>
      <c r="P11" s="238"/>
      <c r="Q11" s="238"/>
      <c r="R11" s="238"/>
      <c r="S11" s="1462">
        <f t="shared" si="8"/>
        <v>1125</v>
      </c>
      <c r="T11" s="3186"/>
      <c r="U11" s="238"/>
      <c r="V11" s="1532"/>
      <c r="W11" s="1220">
        <f t="shared" si="0"/>
        <v>1125</v>
      </c>
      <c r="X11" s="3191"/>
      <c r="Y11" s="3193">
        <f t="shared" si="1"/>
        <v>1125</v>
      </c>
      <c r="Z11" s="3194"/>
      <c r="AA11" s="238"/>
      <c r="AB11" s="238"/>
      <c r="AC11" s="3187">
        <f t="shared" si="9"/>
        <v>1125</v>
      </c>
      <c r="AD11" s="3186"/>
      <c r="AE11" s="238"/>
      <c r="AF11" s="238"/>
      <c r="AG11" s="3187">
        <f t="shared" si="10"/>
        <v>1125</v>
      </c>
      <c r="AH11" s="3186"/>
      <c r="AI11" s="238"/>
      <c r="AJ11" s="1532"/>
      <c r="AK11" s="1220">
        <f t="shared" si="2"/>
        <v>0</v>
      </c>
      <c r="AL11" s="3191"/>
      <c r="AM11" s="3187">
        <f t="shared" si="11"/>
        <v>1125</v>
      </c>
      <c r="AN11" s="3186"/>
      <c r="AO11" s="238"/>
      <c r="AP11" s="238"/>
      <c r="AQ11" s="3187">
        <f t="shared" si="12"/>
        <v>1125</v>
      </c>
      <c r="AR11" s="3186"/>
      <c r="AS11" s="238"/>
      <c r="AT11" s="238"/>
      <c r="AU11" s="3187">
        <f t="shared" si="13"/>
        <v>1125</v>
      </c>
      <c r="AV11" s="3186"/>
      <c r="AW11" s="238"/>
      <c r="AX11" s="1532"/>
      <c r="AY11" s="1220">
        <f t="shared" si="3"/>
        <v>0</v>
      </c>
      <c r="AZ11" s="3191"/>
      <c r="BA11" s="3193">
        <f t="shared" si="14"/>
        <v>0</v>
      </c>
      <c r="BB11" s="3187"/>
      <c r="BC11" s="1553">
        <f t="shared" si="4"/>
        <v>1125</v>
      </c>
    </row>
    <row r="12" spans="1:57" ht="15.75" customHeight="1" x14ac:dyDescent="0.25">
      <c r="A12" s="236" t="s">
        <v>1311</v>
      </c>
      <c r="B12" s="1527"/>
      <c r="C12" s="238"/>
      <c r="D12" s="238"/>
      <c r="E12" s="238">
        <v>2438</v>
      </c>
      <c r="F12" s="238"/>
      <c r="G12" s="1462">
        <f t="shared" si="5"/>
        <v>2438</v>
      </c>
      <c r="H12" s="238"/>
      <c r="I12" s="238"/>
      <c r="J12" s="1532"/>
      <c r="K12" s="1220">
        <f t="shared" si="6"/>
        <v>2438</v>
      </c>
      <c r="L12" s="238"/>
      <c r="M12" s="238"/>
      <c r="N12" s="1532"/>
      <c r="O12" s="1553">
        <f t="shared" si="7"/>
        <v>2438</v>
      </c>
      <c r="P12" s="238"/>
      <c r="Q12" s="238"/>
      <c r="R12" s="238"/>
      <c r="S12" s="1462">
        <f t="shared" si="8"/>
        <v>2438</v>
      </c>
      <c r="T12" s="3186"/>
      <c r="U12" s="238">
        <v>1690.729</v>
      </c>
      <c r="V12" s="1532"/>
      <c r="W12" s="1220">
        <f t="shared" si="0"/>
        <v>1690.729</v>
      </c>
      <c r="X12" s="3191"/>
      <c r="Y12" s="3193">
        <f t="shared" si="1"/>
        <v>4128.7290000000003</v>
      </c>
      <c r="Z12" s="3194"/>
      <c r="AA12" s="238"/>
      <c r="AB12" s="238"/>
      <c r="AC12" s="3187">
        <f t="shared" si="9"/>
        <v>4128.7290000000003</v>
      </c>
      <c r="AD12" s="3186"/>
      <c r="AE12" s="238"/>
      <c r="AF12" s="238"/>
      <c r="AG12" s="3187">
        <f t="shared" si="10"/>
        <v>4128.7290000000003</v>
      </c>
      <c r="AH12" s="3186"/>
      <c r="AI12" s="238"/>
      <c r="AJ12" s="1532"/>
      <c r="AK12" s="1220">
        <f t="shared" si="2"/>
        <v>0</v>
      </c>
      <c r="AL12" s="3191"/>
      <c r="AM12" s="3187">
        <f t="shared" si="11"/>
        <v>4128.7290000000003</v>
      </c>
      <c r="AN12" s="3186"/>
      <c r="AO12" s="238"/>
      <c r="AP12" s="238"/>
      <c r="AQ12" s="3187">
        <f t="shared" si="12"/>
        <v>4128.7290000000003</v>
      </c>
      <c r="AR12" s="3186"/>
      <c r="AS12" s="238"/>
      <c r="AT12" s="238"/>
      <c r="AU12" s="3187">
        <f t="shared" si="13"/>
        <v>4128.7290000000003</v>
      </c>
      <c r="AV12" s="3186"/>
      <c r="AW12" s="238"/>
      <c r="AX12" s="1532"/>
      <c r="AY12" s="1220">
        <f t="shared" si="3"/>
        <v>0</v>
      </c>
      <c r="AZ12" s="3191"/>
      <c r="BA12" s="3193">
        <f t="shared" si="14"/>
        <v>0</v>
      </c>
      <c r="BB12" s="3187"/>
      <c r="BC12" s="1553">
        <f t="shared" si="4"/>
        <v>4128.7290000000003</v>
      </c>
    </row>
    <row r="13" spans="1:57" ht="15.75" customHeight="1" thickBot="1" x14ac:dyDescent="0.3">
      <c r="A13" s="1718" t="s">
        <v>1350</v>
      </c>
      <c r="B13" s="1719"/>
      <c r="C13" s="1697"/>
      <c r="D13" s="1697"/>
      <c r="E13" s="1697">
        <v>69</v>
      </c>
      <c r="F13" s="1697"/>
      <c r="G13" s="1462">
        <f t="shared" si="5"/>
        <v>69</v>
      </c>
      <c r="H13" s="1697"/>
      <c r="I13" s="1697">
        <v>4</v>
      </c>
      <c r="J13" s="1739"/>
      <c r="K13" s="1220">
        <f t="shared" si="6"/>
        <v>73</v>
      </c>
      <c r="L13" s="1697"/>
      <c r="M13" s="1697">
        <v>59</v>
      </c>
      <c r="N13" s="1739"/>
      <c r="O13" s="1553">
        <f t="shared" si="7"/>
        <v>132</v>
      </c>
      <c r="P13" s="1697"/>
      <c r="Q13" s="1697">
        <v>24</v>
      </c>
      <c r="R13" s="1697"/>
      <c r="S13" s="1462">
        <f t="shared" si="8"/>
        <v>156</v>
      </c>
      <c r="T13" s="3188"/>
      <c r="U13" s="1697">
        <v>46.875</v>
      </c>
      <c r="V13" s="1739"/>
      <c r="W13" s="1220">
        <f t="shared" si="0"/>
        <v>129.875</v>
      </c>
      <c r="X13" s="3192"/>
      <c r="Y13" s="3193">
        <f t="shared" si="1"/>
        <v>202.875</v>
      </c>
      <c r="Z13" s="3188"/>
      <c r="AA13" s="1697">
        <v>71.603999999999999</v>
      </c>
      <c r="AB13" s="1697"/>
      <c r="AC13" s="3187">
        <f t="shared" si="9"/>
        <v>274.47899999999998</v>
      </c>
      <c r="AD13" s="3188"/>
      <c r="AE13" s="1697"/>
      <c r="AF13" s="1697"/>
      <c r="AG13" s="3187">
        <f t="shared" si="10"/>
        <v>274.47899999999998</v>
      </c>
      <c r="AH13" s="3188"/>
      <c r="AI13" s="1697">
        <v>72</v>
      </c>
      <c r="AJ13" s="1739"/>
      <c r="AK13" s="1220">
        <f t="shared" si="2"/>
        <v>143.60399999999998</v>
      </c>
      <c r="AL13" s="3192"/>
      <c r="AM13" s="3187">
        <f t="shared" si="11"/>
        <v>346.47899999999998</v>
      </c>
      <c r="AN13" s="3188"/>
      <c r="AO13" s="1697">
        <v>103.428</v>
      </c>
      <c r="AP13" s="1697"/>
      <c r="AQ13" s="3187">
        <f t="shared" si="12"/>
        <v>449.90699999999998</v>
      </c>
      <c r="AR13" s="1697"/>
      <c r="AS13" s="1697"/>
      <c r="AT13" s="1697"/>
      <c r="AU13" s="3187">
        <f t="shared" si="13"/>
        <v>449.90699999999998</v>
      </c>
      <c r="AV13" s="1697"/>
      <c r="AW13" s="1697"/>
      <c r="AX13" s="1739"/>
      <c r="AY13" s="1220">
        <f t="shared" si="3"/>
        <v>103.428</v>
      </c>
      <c r="AZ13" s="3192"/>
      <c r="BA13" s="3193">
        <f t="shared" si="14"/>
        <v>247.03199999999998</v>
      </c>
      <c r="BB13" s="3184"/>
      <c r="BC13" s="1553">
        <f t="shared" si="4"/>
        <v>449.90699999999998</v>
      </c>
    </row>
    <row r="14" spans="1:57" ht="16.5" thickBot="1" x14ac:dyDescent="0.3">
      <c r="A14" s="3682" t="s">
        <v>653</v>
      </c>
      <c r="B14" s="3683"/>
      <c r="C14" s="3684">
        <f>SUM(C7:C13)</f>
        <v>0</v>
      </c>
      <c r="D14" s="3684"/>
      <c r="E14" s="3684">
        <f>SUM(E7:E13)</f>
        <v>4719</v>
      </c>
      <c r="F14" s="3684"/>
      <c r="G14" s="1462">
        <f t="shared" si="5"/>
        <v>4719</v>
      </c>
      <c r="H14" s="3684"/>
      <c r="I14" s="3684">
        <f>SUM(I7:I13)</f>
        <v>4388</v>
      </c>
      <c r="J14" s="3684"/>
      <c r="K14" s="1220">
        <f t="shared" si="6"/>
        <v>9107</v>
      </c>
      <c r="L14" s="3684"/>
      <c r="M14" s="3684">
        <f>SUM(M7:M13)</f>
        <v>5432</v>
      </c>
      <c r="N14" s="3684"/>
      <c r="O14" s="1553">
        <f t="shared" si="7"/>
        <v>14539</v>
      </c>
      <c r="P14" s="3684"/>
      <c r="Q14" s="3684">
        <f>SUM(Q7:Q13)</f>
        <v>7650</v>
      </c>
      <c r="R14" s="3684"/>
      <c r="S14" s="1462">
        <f t="shared" si="8"/>
        <v>22189</v>
      </c>
      <c r="T14" s="3684"/>
      <c r="U14" s="3684">
        <f>SUM(U7:U13)</f>
        <v>7119.8379999999997</v>
      </c>
      <c r="V14" s="3684"/>
      <c r="W14" s="1220">
        <f t="shared" si="0"/>
        <v>20201.838</v>
      </c>
      <c r="X14" s="3684"/>
      <c r="Y14" s="3193">
        <f t="shared" si="1"/>
        <v>29308.838</v>
      </c>
      <c r="Z14" s="3684"/>
      <c r="AA14" s="3684">
        <f>SUM(AA7:AA13)</f>
        <v>6870.0060000000003</v>
      </c>
      <c r="AB14" s="3684"/>
      <c r="AC14" s="3187">
        <f t="shared" si="9"/>
        <v>36178.843999999997</v>
      </c>
      <c r="AD14" s="3684"/>
      <c r="AE14" s="3684">
        <f>SUM(AE7:AE13)</f>
        <v>0</v>
      </c>
      <c r="AF14" s="3684"/>
      <c r="AG14" s="3187">
        <f t="shared" si="10"/>
        <v>36178.843999999997</v>
      </c>
      <c r="AH14" s="3684"/>
      <c r="AI14" s="3684">
        <f>SUM(AI7:AI13)</f>
        <v>12542</v>
      </c>
      <c r="AJ14" s="3684"/>
      <c r="AK14" s="1220">
        <f t="shared" si="2"/>
        <v>19412.006000000001</v>
      </c>
      <c r="AL14" s="3684"/>
      <c r="AM14" s="3187">
        <f t="shared" si="11"/>
        <v>48720.843999999997</v>
      </c>
      <c r="AN14" s="3684"/>
      <c r="AO14" s="3684">
        <f>SUM(AO7:AO13)</f>
        <v>10907.675999999999</v>
      </c>
      <c r="AP14" s="3684"/>
      <c r="AQ14" s="3187">
        <f t="shared" si="12"/>
        <v>59628.52</v>
      </c>
      <c r="AR14" s="3684"/>
      <c r="AS14" s="3684">
        <f>SUM(AS7:AS13)</f>
        <v>0</v>
      </c>
      <c r="AT14" s="3684"/>
      <c r="AU14" s="3187">
        <f t="shared" si="13"/>
        <v>59628.52</v>
      </c>
      <c r="AV14" s="3684"/>
      <c r="AW14" s="3684">
        <f>SUM(AW7:AW13)</f>
        <v>0</v>
      </c>
      <c r="AX14" s="3684"/>
      <c r="AY14" s="1220">
        <f t="shared" si="3"/>
        <v>10907.675999999999</v>
      </c>
      <c r="AZ14" s="3684"/>
      <c r="BA14" s="3193">
        <f t="shared" si="14"/>
        <v>30319.682000000001</v>
      </c>
      <c r="BB14" s="3684"/>
      <c r="BC14" s="1553">
        <f t="shared" si="4"/>
        <v>59628.52</v>
      </c>
    </row>
    <row r="15" spans="1:57" ht="16.5" thickBot="1" x14ac:dyDescent="0.3">
      <c r="A15" s="3663"/>
      <c r="B15" s="3663"/>
      <c r="C15" s="3679"/>
      <c r="D15" s="3679"/>
      <c r="E15" s="3679"/>
      <c r="F15" s="3679"/>
      <c r="G15" s="1462">
        <f t="shared" si="5"/>
        <v>0</v>
      </c>
      <c r="H15" s="3679"/>
      <c r="I15" s="3679"/>
      <c r="J15" s="3679"/>
      <c r="K15" s="1220">
        <f t="shared" si="6"/>
        <v>0</v>
      </c>
      <c r="L15" s="3663"/>
      <c r="M15" s="3679"/>
      <c r="N15" s="3679"/>
      <c r="O15" s="1553">
        <f t="shared" si="7"/>
        <v>0</v>
      </c>
      <c r="P15" s="3663"/>
      <c r="Q15" s="3679"/>
      <c r="R15" s="3679"/>
      <c r="S15" s="1462">
        <f t="shared" si="8"/>
        <v>0</v>
      </c>
      <c r="T15" s="3679"/>
      <c r="U15" s="3679"/>
      <c r="V15" s="3679"/>
      <c r="W15" s="1220">
        <f t="shared" si="0"/>
        <v>0</v>
      </c>
      <c r="X15" s="3679"/>
      <c r="Y15" s="3193">
        <f t="shared" si="1"/>
        <v>0</v>
      </c>
      <c r="Z15" s="3679"/>
      <c r="AA15" s="3679"/>
      <c r="AB15" s="3679"/>
      <c r="AC15" s="3187">
        <f t="shared" si="9"/>
        <v>0</v>
      </c>
      <c r="AD15" s="3679"/>
      <c r="AE15" s="3679"/>
      <c r="AF15" s="3679"/>
      <c r="AG15" s="3187">
        <f t="shared" si="10"/>
        <v>0</v>
      </c>
      <c r="AH15" s="3679"/>
      <c r="AI15" s="3679"/>
      <c r="AJ15" s="3679"/>
      <c r="AK15" s="1220">
        <f t="shared" si="2"/>
        <v>0</v>
      </c>
      <c r="AL15" s="3679"/>
      <c r="AM15" s="3187">
        <f t="shared" si="11"/>
        <v>0</v>
      </c>
      <c r="AN15" s="3679"/>
      <c r="AO15" s="3679"/>
      <c r="AP15" s="3679"/>
      <c r="AQ15" s="3187">
        <f t="shared" si="12"/>
        <v>0</v>
      </c>
      <c r="AR15" s="3679"/>
      <c r="AS15" s="3679"/>
      <c r="AT15" s="3679"/>
      <c r="AU15" s="3187">
        <f t="shared" si="13"/>
        <v>0</v>
      </c>
      <c r="AV15" s="3679"/>
      <c r="AW15" s="3679"/>
      <c r="AX15" s="3679"/>
      <c r="AY15" s="1220">
        <f t="shared" si="3"/>
        <v>0</v>
      </c>
      <c r="AZ15" s="3679"/>
      <c r="BA15" s="3193">
        <f t="shared" si="14"/>
        <v>0</v>
      </c>
      <c r="BB15" s="3679"/>
      <c r="BC15" s="1553">
        <f t="shared" si="4"/>
        <v>0</v>
      </c>
    </row>
    <row r="16" spans="1:57" ht="16.5" thickBot="1" x14ac:dyDescent="0.3">
      <c r="A16" s="6820" t="s">
        <v>1082</v>
      </c>
      <c r="B16" s="6821"/>
      <c r="C16" s="1234"/>
      <c r="D16" s="1234"/>
      <c r="E16" s="1234"/>
      <c r="F16" s="1234"/>
      <c r="G16" s="1462">
        <f t="shared" si="5"/>
        <v>0</v>
      </c>
      <c r="H16" s="1234"/>
      <c r="I16" s="1234"/>
      <c r="J16" s="1234"/>
      <c r="K16" s="1220">
        <f t="shared" si="6"/>
        <v>0</v>
      </c>
      <c r="L16" s="1234"/>
      <c r="M16" s="1234"/>
      <c r="N16" s="1234"/>
      <c r="O16" s="1553">
        <f t="shared" si="7"/>
        <v>0</v>
      </c>
      <c r="P16" s="1234"/>
      <c r="Q16" s="1234"/>
      <c r="R16" s="1234"/>
      <c r="S16" s="1462">
        <f t="shared" si="8"/>
        <v>0</v>
      </c>
      <c r="T16" s="1236"/>
      <c r="U16" s="1234"/>
      <c r="V16" s="1234"/>
      <c r="W16" s="1220">
        <f t="shared" si="0"/>
        <v>0</v>
      </c>
      <c r="X16" s="1236"/>
      <c r="Y16" s="3193">
        <f t="shared" si="1"/>
        <v>0</v>
      </c>
      <c r="Z16" s="1236"/>
      <c r="AA16" s="1234"/>
      <c r="AB16" s="1234"/>
      <c r="AC16" s="3187">
        <f t="shared" si="9"/>
        <v>0</v>
      </c>
      <c r="AD16" s="1236"/>
      <c r="AE16" s="1234"/>
      <c r="AF16" s="1234"/>
      <c r="AG16" s="3187">
        <f t="shared" si="10"/>
        <v>0</v>
      </c>
      <c r="AH16" s="1236"/>
      <c r="AI16" s="1234"/>
      <c r="AJ16" s="1234"/>
      <c r="AK16" s="1220">
        <f t="shared" si="2"/>
        <v>0</v>
      </c>
      <c r="AL16" s="1236"/>
      <c r="AM16" s="3187">
        <f t="shared" si="11"/>
        <v>0</v>
      </c>
      <c r="AN16" s="1236"/>
      <c r="AO16" s="1234"/>
      <c r="AP16" s="1234"/>
      <c r="AQ16" s="3187">
        <f t="shared" si="12"/>
        <v>0</v>
      </c>
      <c r="AR16" s="1236"/>
      <c r="AS16" s="1234"/>
      <c r="AT16" s="1234"/>
      <c r="AU16" s="3187">
        <f t="shared" si="13"/>
        <v>0</v>
      </c>
      <c r="AV16" s="1236"/>
      <c r="AW16" s="1234"/>
      <c r="AX16" s="1234"/>
      <c r="AY16" s="1220">
        <f t="shared" si="3"/>
        <v>0</v>
      </c>
      <c r="AZ16" s="1236"/>
      <c r="BA16" s="3193">
        <f t="shared" si="14"/>
        <v>0</v>
      </c>
      <c r="BB16" s="1236"/>
      <c r="BC16" s="1553">
        <f t="shared" si="4"/>
        <v>0</v>
      </c>
    </row>
    <row r="17" spans="1:55" x14ac:dyDescent="0.25">
      <c r="A17" s="6815" t="s">
        <v>1634</v>
      </c>
      <c r="B17" s="6816"/>
      <c r="C17" s="257"/>
      <c r="D17" s="257"/>
      <c r="E17" s="257">
        <v>546</v>
      </c>
      <c r="F17" s="6817"/>
      <c r="G17" s="1462">
        <f t="shared" si="5"/>
        <v>546</v>
      </c>
      <c r="H17" s="6818"/>
      <c r="I17" s="257"/>
      <c r="J17" s="6819"/>
      <c r="K17" s="1220">
        <f t="shared" si="6"/>
        <v>546</v>
      </c>
      <c r="L17" s="6818"/>
      <c r="M17" s="1227">
        <v>1592</v>
      </c>
      <c r="N17" s="258"/>
      <c r="O17" s="1553">
        <f t="shared" si="7"/>
        <v>2138</v>
      </c>
      <c r="P17" s="6818"/>
      <c r="Q17" s="1227">
        <v>380</v>
      </c>
      <c r="R17" s="6817"/>
      <c r="S17" s="1462">
        <f t="shared" si="8"/>
        <v>2518</v>
      </c>
      <c r="T17" s="3189"/>
      <c r="U17" s="1227"/>
      <c r="V17" s="258"/>
      <c r="W17" s="1220">
        <f t="shared" si="0"/>
        <v>1972</v>
      </c>
      <c r="X17" s="3061"/>
      <c r="Y17" s="3193">
        <f t="shared" si="1"/>
        <v>2518</v>
      </c>
      <c r="Z17" s="3195"/>
      <c r="AA17" s="1227"/>
      <c r="AB17" s="1227"/>
      <c r="AC17" s="3187">
        <f t="shared" si="9"/>
        <v>2518</v>
      </c>
      <c r="AD17" s="3189"/>
      <c r="AE17" s="1227"/>
      <c r="AF17" s="1227"/>
      <c r="AG17" s="3187">
        <f t="shared" si="10"/>
        <v>2518</v>
      </c>
      <c r="AH17" s="3189"/>
      <c r="AI17" s="1227">
        <v>863</v>
      </c>
      <c r="AJ17" s="258"/>
      <c r="AK17" s="1220">
        <f t="shared" si="2"/>
        <v>863</v>
      </c>
      <c r="AL17" s="3061"/>
      <c r="AM17" s="3187">
        <f t="shared" si="11"/>
        <v>3381</v>
      </c>
      <c r="AN17" s="3189"/>
      <c r="AO17" s="1227"/>
      <c r="AP17" s="1227"/>
      <c r="AQ17" s="3187">
        <f t="shared" si="12"/>
        <v>3381</v>
      </c>
      <c r="AR17" s="3189"/>
      <c r="AS17" s="1227"/>
      <c r="AT17" s="1227"/>
      <c r="AU17" s="3187">
        <f t="shared" si="13"/>
        <v>3381</v>
      </c>
      <c r="AV17" s="3189"/>
      <c r="AW17" s="1227"/>
      <c r="AX17" s="258"/>
      <c r="AY17" s="1220">
        <f t="shared" si="3"/>
        <v>0</v>
      </c>
      <c r="AZ17" s="3061"/>
      <c r="BA17" s="3193">
        <f t="shared" si="14"/>
        <v>863</v>
      </c>
      <c r="BB17" s="259"/>
      <c r="BC17" s="1553">
        <f t="shared" si="4"/>
        <v>3381</v>
      </c>
    </row>
    <row r="18" spans="1:55" x14ac:dyDescent="0.25">
      <c r="A18" s="3689" t="s">
        <v>1963</v>
      </c>
      <c r="B18" s="3690"/>
      <c r="C18" s="3185"/>
      <c r="D18" s="3185"/>
      <c r="E18" s="3185">
        <v>157</v>
      </c>
      <c r="F18" s="1462"/>
      <c r="G18" s="1462">
        <f t="shared" si="5"/>
        <v>157</v>
      </c>
      <c r="H18" s="1516"/>
      <c r="I18" s="3185"/>
      <c r="J18" s="1535"/>
      <c r="K18" s="1220">
        <f t="shared" si="6"/>
        <v>157</v>
      </c>
      <c r="L18" s="1516"/>
      <c r="M18" s="238"/>
      <c r="N18" s="1532"/>
      <c r="O18" s="1553">
        <f t="shared" si="7"/>
        <v>157</v>
      </c>
      <c r="P18" s="1516"/>
      <c r="Q18" s="238">
        <v>150</v>
      </c>
      <c r="R18" s="1462"/>
      <c r="S18" s="1462">
        <f t="shared" si="8"/>
        <v>307</v>
      </c>
      <c r="T18" s="3189"/>
      <c r="U18" s="238">
        <v>146.57499999999999</v>
      </c>
      <c r="V18" s="258"/>
      <c r="W18" s="1220">
        <f t="shared" si="0"/>
        <v>296.57499999999999</v>
      </c>
      <c r="X18" s="3061"/>
      <c r="Y18" s="3193">
        <f t="shared" si="1"/>
        <v>453.57499999999999</v>
      </c>
      <c r="Z18" s="3195"/>
      <c r="AA18" s="238"/>
      <c r="AB18" s="1227"/>
      <c r="AC18" s="3187">
        <f t="shared" si="9"/>
        <v>453.57499999999999</v>
      </c>
      <c r="AD18" s="3189"/>
      <c r="AE18" s="238"/>
      <c r="AF18" s="1227"/>
      <c r="AG18" s="3187">
        <f t="shared" si="10"/>
        <v>453.57499999999999</v>
      </c>
      <c r="AH18" s="3189"/>
      <c r="AI18" s="238"/>
      <c r="AJ18" s="258"/>
      <c r="AK18" s="1220">
        <f t="shared" si="2"/>
        <v>0</v>
      </c>
      <c r="AL18" s="3061"/>
      <c r="AM18" s="3187">
        <f t="shared" si="11"/>
        <v>453.57499999999999</v>
      </c>
      <c r="AN18" s="3189"/>
      <c r="AO18" s="238"/>
      <c r="AP18" s="238"/>
      <c r="AQ18" s="3187">
        <f t="shared" si="12"/>
        <v>453.57499999999999</v>
      </c>
      <c r="AR18" s="3186"/>
      <c r="AS18" s="238"/>
      <c r="AT18" s="238"/>
      <c r="AU18" s="3187">
        <f t="shared" si="13"/>
        <v>453.57499999999999</v>
      </c>
      <c r="AV18" s="3186"/>
      <c r="AW18" s="238"/>
      <c r="AX18" s="258"/>
      <c r="AY18" s="1220">
        <f t="shared" si="3"/>
        <v>0</v>
      </c>
      <c r="AZ18" s="3061"/>
      <c r="BA18" s="3193">
        <f t="shared" si="14"/>
        <v>0</v>
      </c>
      <c r="BB18" s="3187"/>
      <c r="BC18" s="1553">
        <f t="shared" si="4"/>
        <v>453.57499999999999</v>
      </c>
    </row>
    <row r="19" spans="1:55" x14ac:dyDescent="0.25">
      <c r="A19" s="3689" t="s">
        <v>1081</v>
      </c>
      <c r="B19" s="2263"/>
      <c r="C19" s="352">
        <v>1569</v>
      </c>
      <c r="D19" s="352"/>
      <c r="E19" s="352">
        <v>3427</v>
      </c>
      <c r="F19" s="2264"/>
      <c r="G19" s="1462">
        <f t="shared" si="5"/>
        <v>4996</v>
      </c>
      <c r="H19" s="253"/>
      <c r="I19" s="352"/>
      <c r="J19" s="2265"/>
      <c r="K19" s="1220">
        <f t="shared" si="6"/>
        <v>4996</v>
      </c>
      <c r="L19" s="253"/>
      <c r="M19" s="352">
        <v>5219</v>
      </c>
      <c r="N19" s="3059"/>
      <c r="O19" s="1553">
        <f t="shared" si="7"/>
        <v>10215</v>
      </c>
      <c r="P19" s="253"/>
      <c r="Q19" s="352">
        <v>5370</v>
      </c>
      <c r="R19" s="2264"/>
      <c r="S19" s="1462">
        <f t="shared" si="8"/>
        <v>15585</v>
      </c>
      <c r="T19" s="2266"/>
      <c r="U19" s="352">
        <v>7314.45</v>
      </c>
      <c r="V19" s="3059"/>
      <c r="W19" s="1220">
        <f t="shared" si="0"/>
        <v>17903.45</v>
      </c>
      <c r="X19" s="3061"/>
      <c r="Y19" s="3193">
        <f t="shared" si="1"/>
        <v>22899.45</v>
      </c>
      <c r="Z19" s="3196"/>
      <c r="AA19" s="352">
        <v>1194.05</v>
      </c>
      <c r="AB19" s="352"/>
      <c r="AC19" s="3187">
        <f t="shared" si="9"/>
        <v>24093.5</v>
      </c>
      <c r="AD19" s="2266"/>
      <c r="AE19" s="352"/>
      <c r="AF19" s="352"/>
      <c r="AG19" s="3187">
        <f t="shared" si="10"/>
        <v>24093.5</v>
      </c>
      <c r="AH19" s="2266"/>
      <c r="AI19" s="352">
        <v>2496</v>
      </c>
      <c r="AJ19" s="3059"/>
      <c r="AK19" s="1220">
        <f t="shared" si="2"/>
        <v>3690.05</v>
      </c>
      <c r="AL19" s="3061"/>
      <c r="AM19" s="3187">
        <f t="shared" si="11"/>
        <v>26589.5</v>
      </c>
      <c r="AN19" s="2266"/>
      <c r="AO19" s="352">
        <v>3482.05</v>
      </c>
      <c r="AP19" s="352"/>
      <c r="AQ19" s="3187">
        <f t="shared" si="12"/>
        <v>30071.55</v>
      </c>
      <c r="AR19" s="2266"/>
      <c r="AS19" s="352">
        <v>2885.0250000000001</v>
      </c>
      <c r="AT19" s="352"/>
      <c r="AU19" s="3187">
        <f t="shared" si="13"/>
        <v>32956.574999999997</v>
      </c>
      <c r="AV19" s="2266"/>
      <c r="AW19" s="352">
        <f>4923+7.15</f>
        <v>4930.1499999999996</v>
      </c>
      <c r="AX19" s="3059"/>
      <c r="AY19" s="1220">
        <f t="shared" si="3"/>
        <v>11297.225</v>
      </c>
      <c r="AZ19" s="3061"/>
      <c r="BA19" s="3193">
        <f t="shared" si="14"/>
        <v>14987.275000000001</v>
      </c>
      <c r="BB19" s="3187"/>
      <c r="BC19" s="1553">
        <f t="shared" si="4"/>
        <v>37886.724999999999</v>
      </c>
    </row>
    <row r="20" spans="1:55" ht="16.5" thickBot="1" x14ac:dyDescent="0.3">
      <c r="A20" s="3689" t="s">
        <v>1312</v>
      </c>
      <c r="B20" s="2263"/>
      <c r="C20" s="352">
        <v>265</v>
      </c>
      <c r="D20" s="352"/>
      <c r="E20" s="352"/>
      <c r="F20" s="2264"/>
      <c r="G20" s="1462">
        <f t="shared" si="5"/>
        <v>265</v>
      </c>
      <c r="H20" s="253"/>
      <c r="I20" s="352"/>
      <c r="J20" s="2265"/>
      <c r="K20" s="1220">
        <f t="shared" si="6"/>
        <v>265</v>
      </c>
      <c r="L20" s="253"/>
      <c r="M20" s="352">
        <v>111</v>
      </c>
      <c r="N20" s="3059"/>
      <c r="O20" s="1553">
        <f t="shared" si="7"/>
        <v>376</v>
      </c>
      <c r="P20" s="253"/>
      <c r="Q20" s="352"/>
      <c r="R20" s="2264"/>
      <c r="S20" s="1462">
        <f t="shared" si="8"/>
        <v>376</v>
      </c>
      <c r="T20" s="2266"/>
      <c r="U20" s="352"/>
      <c r="V20" s="3059"/>
      <c r="W20" s="1220">
        <f t="shared" si="0"/>
        <v>111</v>
      </c>
      <c r="X20" s="3061"/>
      <c r="Y20" s="3193">
        <f t="shared" si="1"/>
        <v>376</v>
      </c>
      <c r="Z20" s="3196"/>
      <c r="AA20" s="352"/>
      <c r="AB20" s="352"/>
      <c r="AC20" s="3187">
        <f t="shared" si="9"/>
        <v>376</v>
      </c>
      <c r="AD20" s="2266"/>
      <c r="AE20" s="352"/>
      <c r="AF20" s="352"/>
      <c r="AG20" s="3187">
        <f t="shared" si="10"/>
        <v>376</v>
      </c>
      <c r="AH20" s="2266"/>
      <c r="AI20" s="352"/>
      <c r="AJ20" s="3059"/>
      <c r="AK20" s="1220">
        <f t="shared" si="2"/>
        <v>0</v>
      </c>
      <c r="AL20" s="3061"/>
      <c r="AM20" s="3187">
        <f t="shared" si="11"/>
        <v>376</v>
      </c>
      <c r="AN20" s="2266"/>
      <c r="AO20" s="352"/>
      <c r="AP20" s="352"/>
      <c r="AQ20" s="3187">
        <f t="shared" si="12"/>
        <v>376</v>
      </c>
      <c r="AR20" s="2266"/>
      <c r="AS20" s="352">
        <v>275.27499999999998</v>
      </c>
      <c r="AT20" s="352"/>
      <c r="AU20" s="3187">
        <f t="shared" si="13"/>
        <v>651.27499999999998</v>
      </c>
      <c r="AV20" s="2266"/>
      <c r="AW20" s="352"/>
      <c r="AX20" s="3059"/>
      <c r="AY20" s="1220">
        <f t="shared" si="3"/>
        <v>275.27499999999998</v>
      </c>
      <c r="AZ20" s="3061"/>
      <c r="BA20" s="3193">
        <f t="shared" si="14"/>
        <v>275.27499999999998</v>
      </c>
      <c r="BB20" s="3187"/>
      <c r="BC20" s="1553">
        <f t="shared" si="4"/>
        <v>651.27499999999998</v>
      </c>
    </row>
    <row r="21" spans="1:55" ht="16.5" thickBot="1" x14ac:dyDescent="0.3">
      <c r="A21" s="3682" t="s">
        <v>1083</v>
      </c>
      <c r="B21" s="3683"/>
      <c r="C21" s="3684">
        <f>SUM(C17:C20)</f>
        <v>1834</v>
      </c>
      <c r="D21" s="3684">
        <f t="shared" ref="D21:BC21" si="15">SUM(D17:D20)</f>
        <v>0</v>
      </c>
      <c r="E21" s="3684">
        <f t="shared" si="15"/>
        <v>4130</v>
      </c>
      <c r="F21" s="3684">
        <f t="shared" si="15"/>
        <v>0</v>
      </c>
      <c r="G21" s="3684">
        <f t="shared" si="15"/>
        <v>5964</v>
      </c>
      <c r="H21" s="3684">
        <f t="shared" si="15"/>
        <v>0</v>
      </c>
      <c r="I21" s="3684">
        <f t="shared" si="15"/>
        <v>0</v>
      </c>
      <c r="J21" s="3684">
        <f t="shared" si="15"/>
        <v>0</v>
      </c>
      <c r="K21" s="3684">
        <f t="shared" si="15"/>
        <v>5964</v>
      </c>
      <c r="L21" s="3684">
        <f t="shared" si="15"/>
        <v>0</v>
      </c>
      <c r="M21" s="3684">
        <f t="shared" si="15"/>
        <v>6922</v>
      </c>
      <c r="N21" s="3684">
        <f t="shared" si="15"/>
        <v>0</v>
      </c>
      <c r="O21" s="3684">
        <f t="shared" si="15"/>
        <v>12886</v>
      </c>
      <c r="P21" s="3684">
        <f t="shared" si="15"/>
        <v>0</v>
      </c>
      <c r="Q21" s="3684">
        <f t="shared" si="15"/>
        <v>5900</v>
      </c>
      <c r="R21" s="3684">
        <f t="shared" si="15"/>
        <v>0</v>
      </c>
      <c r="S21" s="3684">
        <f t="shared" si="15"/>
        <v>18786</v>
      </c>
      <c r="T21" s="3684">
        <f t="shared" si="15"/>
        <v>0</v>
      </c>
      <c r="U21" s="3684">
        <f t="shared" si="15"/>
        <v>7461.0249999999996</v>
      </c>
      <c r="V21" s="3684">
        <f t="shared" si="15"/>
        <v>0</v>
      </c>
      <c r="W21" s="3684">
        <f t="shared" si="15"/>
        <v>20283.025000000001</v>
      </c>
      <c r="X21" s="3684">
        <f t="shared" si="15"/>
        <v>0</v>
      </c>
      <c r="Y21" s="3684">
        <f t="shared" si="15"/>
        <v>26247.025000000001</v>
      </c>
      <c r="Z21" s="3684">
        <f t="shared" si="15"/>
        <v>0</v>
      </c>
      <c r="AA21" s="3684">
        <f t="shared" si="15"/>
        <v>1194.05</v>
      </c>
      <c r="AB21" s="3684">
        <f t="shared" si="15"/>
        <v>0</v>
      </c>
      <c r="AC21" s="3684">
        <f t="shared" si="15"/>
        <v>27441.075000000001</v>
      </c>
      <c r="AD21" s="3684">
        <f t="shared" si="15"/>
        <v>0</v>
      </c>
      <c r="AE21" s="3684">
        <f t="shared" si="15"/>
        <v>0</v>
      </c>
      <c r="AF21" s="3684">
        <f t="shared" si="15"/>
        <v>0</v>
      </c>
      <c r="AG21" s="3684">
        <f t="shared" si="15"/>
        <v>27441.075000000001</v>
      </c>
      <c r="AH21" s="3684">
        <f t="shared" si="15"/>
        <v>0</v>
      </c>
      <c r="AI21" s="3684">
        <f t="shared" si="15"/>
        <v>3359</v>
      </c>
      <c r="AJ21" s="3684">
        <f t="shared" si="15"/>
        <v>0</v>
      </c>
      <c r="AK21" s="3684">
        <f t="shared" si="15"/>
        <v>4553.05</v>
      </c>
      <c r="AL21" s="3684">
        <f t="shared" si="15"/>
        <v>0</v>
      </c>
      <c r="AM21" s="3684">
        <f t="shared" si="15"/>
        <v>30800.075000000001</v>
      </c>
      <c r="AN21" s="3684">
        <f t="shared" si="15"/>
        <v>0</v>
      </c>
      <c r="AO21" s="3684">
        <f t="shared" si="15"/>
        <v>3482.05</v>
      </c>
      <c r="AP21" s="3684">
        <f t="shared" si="15"/>
        <v>0</v>
      </c>
      <c r="AQ21" s="3684">
        <f t="shared" si="15"/>
        <v>34282.125</v>
      </c>
      <c r="AR21" s="3684">
        <f t="shared" si="15"/>
        <v>0</v>
      </c>
      <c r="AS21" s="3684">
        <f t="shared" si="15"/>
        <v>3160.3</v>
      </c>
      <c r="AT21" s="3684">
        <f t="shared" si="15"/>
        <v>0</v>
      </c>
      <c r="AU21" s="3684">
        <f t="shared" si="15"/>
        <v>37442.424999999996</v>
      </c>
      <c r="AV21" s="3684">
        <f t="shared" si="15"/>
        <v>0</v>
      </c>
      <c r="AW21" s="3684">
        <f t="shared" si="15"/>
        <v>4930.1499999999996</v>
      </c>
      <c r="AX21" s="3684">
        <f t="shared" si="15"/>
        <v>0</v>
      </c>
      <c r="AY21" s="3684">
        <f t="shared" si="15"/>
        <v>11572.5</v>
      </c>
      <c r="AZ21" s="3684">
        <f t="shared" si="15"/>
        <v>0</v>
      </c>
      <c r="BA21" s="3684">
        <f t="shared" si="15"/>
        <v>16125.550000000001</v>
      </c>
      <c r="BB21" s="3684">
        <f t="shared" si="15"/>
        <v>0</v>
      </c>
      <c r="BC21" s="3684">
        <f t="shared" si="15"/>
        <v>42372.574999999997</v>
      </c>
    </row>
    <row r="22" spans="1:55" ht="16.5" thickBot="1" x14ac:dyDescent="0.3">
      <c r="A22" s="245"/>
      <c r="B22" s="1528"/>
      <c r="C22" s="253"/>
      <c r="D22" s="253"/>
      <c r="E22" s="253"/>
      <c r="F22" s="253"/>
      <c r="G22" s="1462">
        <f t="shared" si="5"/>
        <v>0</v>
      </c>
      <c r="H22" s="253"/>
      <c r="I22" s="253"/>
      <c r="J22" s="1533"/>
      <c r="K22" s="1220">
        <f t="shared" si="6"/>
        <v>0</v>
      </c>
      <c r="L22" s="253"/>
      <c r="M22" s="253"/>
      <c r="N22" s="3058"/>
      <c r="O22" s="1553">
        <f t="shared" si="7"/>
        <v>0</v>
      </c>
      <c r="P22" s="253"/>
      <c r="Q22" s="253"/>
      <c r="R22" s="253"/>
      <c r="S22" s="1462">
        <f t="shared" si="8"/>
        <v>0</v>
      </c>
      <c r="T22" s="3182"/>
      <c r="U22" s="253"/>
      <c r="V22" s="3058"/>
      <c r="W22" s="1220">
        <f t="shared" si="0"/>
        <v>0</v>
      </c>
      <c r="X22" s="703"/>
      <c r="Y22" s="3193">
        <f t="shared" si="1"/>
        <v>0</v>
      </c>
      <c r="Z22" s="3182"/>
      <c r="AA22" s="253"/>
      <c r="AB22" s="3058"/>
      <c r="AC22" s="3187">
        <f t="shared" si="9"/>
        <v>0</v>
      </c>
      <c r="AD22" s="3182"/>
      <c r="AE22" s="253"/>
      <c r="AF22" s="3058"/>
      <c r="AG22" s="3187">
        <f t="shared" si="10"/>
        <v>0</v>
      </c>
      <c r="AH22" s="3182"/>
      <c r="AI22" s="253"/>
      <c r="AJ22" s="3058"/>
      <c r="AK22" s="1220">
        <f t="shared" si="2"/>
        <v>0</v>
      </c>
      <c r="AL22" s="703"/>
      <c r="AM22" s="3187">
        <f t="shared" si="11"/>
        <v>0</v>
      </c>
      <c r="AN22" s="3182"/>
      <c r="AO22" s="253"/>
      <c r="AP22" s="3058"/>
      <c r="AQ22" s="3187">
        <f t="shared" si="12"/>
        <v>0</v>
      </c>
      <c r="AR22" s="3182"/>
      <c r="AS22" s="253"/>
      <c r="AT22" s="3058"/>
      <c r="AU22" s="3187">
        <f t="shared" si="13"/>
        <v>0</v>
      </c>
      <c r="AV22" s="3182"/>
      <c r="AW22" s="253"/>
      <c r="AX22" s="3058"/>
      <c r="AY22" s="1220">
        <f t="shared" si="3"/>
        <v>0</v>
      </c>
      <c r="AZ22" s="703"/>
      <c r="BA22" s="3193">
        <f t="shared" si="14"/>
        <v>0</v>
      </c>
      <c r="BB22" s="703"/>
      <c r="BC22" s="1553">
        <f t="shared" si="4"/>
        <v>0</v>
      </c>
    </row>
    <row r="23" spans="1:55" ht="16.5" thickBot="1" x14ac:dyDescent="0.3">
      <c r="A23" s="3687" t="s">
        <v>1268</v>
      </c>
      <c r="B23" s="3688"/>
      <c r="C23" s="1232"/>
      <c r="D23" s="1232"/>
      <c r="E23" s="1234"/>
      <c r="F23" s="1234"/>
      <c r="G23" s="1462">
        <f t="shared" si="5"/>
        <v>0</v>
      </c>
      <c r="H23" s="1234"/>
      <c r="I23" s="1234"/>
      <c r="J23" s="1534"/>
      <c r="K23" s="1220">
        <f t="shared" si="6"/>
        <v>0</v>
      </c>
      <c r="L23" s="1234"/>
      <c r="M23" s="1234"/>
      <c r="N23" s="1534"/>
      <c r="O23" s="1553">
        <f t="shared" si="7"/>
        <v>0</v>
      </c>
      <c r="P23" s="1234"/>
      <c r="Q23" s="1234"/>
      <c r="R23" s="1234"/>
      <c r="S23" s="1462">
        <f t="shared" si="8"/>
        <v>0</v>
      </c>
      <c r="T23" s="1233"/>
      <c r="U23" s="1234"/>
      <c r="V23" s="1534"/>
      <c r="W23" s="1220">
        <f t="shared" si="0"/>
        <v>0</v>
      </c>
      <c r="X23" s="1235"/>
      <c r="Y23" s="3193">
        <f t="shared" si="1"/>
        <v>0</v>
      </c>
      <c r="Z23" s="1233"/>
      <c r="AA23" s="1234"/>
      <c r="AB23" s="1534"/>
      <c r="AC23" s="3187">
        <f t="shared" si="9"/>
        <v>0</v>
      </c>
      <c r="AD23" s="1233"/>
      <c r="AE23" s="1234"/>
      <c r="AF23" s="1534"/>
      <c r="AG23" s="3187">
        <f t="shared" si="10"/>
        <v>0</v>
      </c>
      <c r="AH23" s="1233"/>
      <c r="AI23" s="1234"/>
      <c r="AJ23" s="1534"/>
      <c r="AK23" s="1220">
        <f t="shared" si="2"/>
        <v>0</v>
      </c>
      <c r="AL23" s="1235"/>
      <c r="AM23" s="3187">
        <f t="shared" si="11"/>
        <v>0</v>
      </c>
      <c r="AN23" s="1233"/>
      <c r="AO23" s="1234"/>
      <c r="AP23" s="1534"/>
      <c r="AQ23" s="3187">
        <f t="shared" si="12"/>
        <v>0</v>
      </c>
      <c r="AR23" s="1233"/>
      <c r="AS23" s="1234"/>
      <c r="AT23" s="1534"/>
      <c r="AU23" s="3187">
        <f t="shared" si="13"/>
        <v>0</v>
      </c>
      <c r="AV23" s="1233"/>
      <c r="AW23" s="1234"/>
      <c r="AX23" s="1534"/>
      <c r="AY23" s="1220">
        <f t="shared" si="3"/>
        <v>0</v>
      </c>
      <c r="AZ23" s="1235"/>
      <c r="BA23" s="3193">
        <f t="shared" si="14"/>
        <v>0</v>
      </c>
      <c r="BB23" s="1235"/>
      <c r="BC23" s="1553">
        <f t="shared" si="4"/>
        <v>0</v>
      </c>
    </row>
    <row r="24" spans="1:55" x14ac:dyDescent="0.25">
      <c r="A24" s="1455" t="s">
        <v>1224</v>
      </c>
      <c r="B24" s="1529"/>
      <c r="C24" s="238">
        <v>26349</v>
      </c>
      <c r="D24" s="238"/>
      <c r="E24" s="238">
        <v>31273</v>
      </c>
      <c r="F24" s="1462"/>
      <c r="G24" s="1462">
        <f t="shared" si="5"/>
        <v>57622</v>
      </c>
      <c r="H24" s="1516"/>
      <c r="I24" s="238"/>
      <c r="J24" s="1535"/>
      <c r="K24" s="1220">
        <f t="shared" si="6"/>
        <v>57622</v>
      </c>
      <c r="L24" s="1516"/>
      <c r="M24" s="238">
        <v>599</v>
      </c>
      <c r="N24" s="1532"/>
      <c r="O24" s="1553">
        <f t="shared" si="7"/>
        <v>58221</v>
      </c>
      <c r="P24" s="1516"/>
      <c r="Q24" s="238">
        <v>607</v>
      </c>
      <c r="R24" s="1462"/>
      <c r="S24" s="1462">
        <f t="shared" si="8"/>
        <v>58828</v>
      </c>
      <c r="T24" s="3190"/>
      <c r="U24" s="238">
        <v>444.71</v>
      </c>
      <c r="V24" s="258"/>
      <c r="W24" s="1220">
        <f t="shared" si="0"/>
        <v>1650.71</v>
      </c>
      <c r="X24" s="3061"/>
      <c r="Y24" s="3193">
        <f t="shared" si="1"/>
        <v>59272.71</v>
      </c>
      <c r="Z24" s="3195"/>
      <c r="AA24" s="238">
        <v>419.03800000000001</v>
      </c>
      <c r="AB24" s="258"/>
      <c r="AC24" s="3187">
        <f t="shared" si="9"/>
        <v>59691.748</v>
      </c>
      <c r="AD24" s="3190"/>
      <c r="AE24" s="238"/>
      <c r="AF24" s="258"/>
      <c r="AG24" s="3187">
        <f t="shared" si="10"/>
        <v>59691.748</v>
      </c>
      <c r="AH24" s="3190"/>
      <c r="AI24" s="238"/>
      <c r="AJ24" s="258"/>
      <c r="AK24" s="1220">
        <f t="shared" si="2"/>
        <v>419.03800000000001</v>
      </c>
      <c r="AL24" s="1228"/>
      <c r="AM24" s="3187">
        <f t="shared" si="11"/>
        <v>59691.748</v>
      </c>
      <c r="AN24" s="3190"/>
      <c r="AO24" s="238">
        <v>151.107</v>
      </c>
      <c r="AP24" s="238"/>
      <c r="AQ24" s="3187">
        <f t="shared" si="12"/>
        <v>59842.855000000003</v>
      </c>
      <c r="AR24" s="3186"/>
      <c r="AS24" s="238">
        <v>588.07799999999997</v>
      </c>
      <c r="AT24" s="238"/>
      <c r="AU24" s="3187">
        <f t="shared" si="13"/>
        <v>60430.933000000005</v>
      </c>
      <c r="AV24" s="3186"/>
      <c r="AW24" s="238">
        <f>442+19.89</f>
        <v>461.89</v>
      </c>
      <c r="AX24" s="258"/>
      <c r="AY24" s="1220">
        <f t="shared" si="3"/>
        <v>1201.0749999999998</v>
      </c>
      <c r="AZ24" s="3061"/>
      <c r="BA24" s="3193">
        <f t="shared" si="14"/>
        <v>1620.1129999999998</v>
      </c>
      <c r="BB24" s="3187"/>
      <c r="BC24" s="1553">
        <f t="shared" si="4"/>
        <v>60892.823000000004</v>
      </c>
    </row>
    <row r="25" spans="1:55" x14ac:dyDescent="0.25">
      <c r="A25" s="1455" t="s">
        <v>2316</v>
      </c>
      <c r="B25" s="1529"/>
      <c r="C25" s="7036"/>
      <c r="D25" s="7036"/>
      <c r="E25" s="7036">
        <v>248</v>
      </c>
      <c r="F25" s="7037"/>
      <c r="G25" s="1462">
        <f t="shared" si="5"/>
        <v>248</v>
      </c>
      <c r="H25" s="7038"/>
      <c r="I25" s="7036"/>
      <c r="J25" s="7039"/>
      <c r="K25" s="7040"/>
      <c r="L25" s="7038"/>
      <c r="M25" s="7036"/>
      <c r="N25" s="7041"/>
      <c r="O25" s="7042"/>
      <c r="P25" s="7038"/>
      <c r="Q25" s="7036"/>
      <c r="R25" s="7037"/>
      <c r="S25" s="7037"/>
      <c r="T25" s="3190"/>
      <c r="U25" s="7036"/>
      <c r="V25" s="258"/>
      <c r="W25" s="7040"/>
      <c r="X25" s="3061"/>
      <c r="Y25" s="7240"/>
      <c r="Z25" s="3195"/>
      <c r="AA25" s="7036"/>
      <c r="AB25" s="258"/>
      <c r="AC25" s="7241"/>
      <c r="AD25" s="3190"/>
      <c r="AE25" s="7036"/>
      <c r="AF25" s="258"/>
      <c r="AG25" s="7241"/>
      <c r="AH25" s="3190"/>
      <c r="AI25" s="7036"/>
      <c r="AJ25" s="258"/>
      <c r="AK25" s="7040"/>
      <c r="AL25" s="1228"/>
      <c r="AM25" s="7241"/>
      <c r="AN25" s="3190"/>
      <c r="AO25" s="7036"/>
      <c r="AP25" s="7036"/>
      <c r="AQ25" s="7241"/>
      <c r="AR25" s="7045"/>
      <c r="AS25" s="7036"/>
      <c r="AT25" s="7036"/>
      <c r="AU25" s="7241"/>
      <c r="AV25" s="7045"/>
      <c r="AW25" s="7036"/>
      <c r="AX25" s="258"/>
      <c r="AY25" s="7040"/>
      <c r="AZ25" s="3061"/>
      <c r="BA25" s="7240"/>
      <c r="BB25" s="7241"/>
      <c r="BC25" s="7042"/>
    </row>
    <row r="26" spans="1:55" x14ac:dyDescent="0.25">
      <c r="A26" s="1455" t="s">
        <v>1287</v>
      </c>
      <c r="B26" s="1529"/>
      <c r="C26" s="7036">
        <v>379</v>
      </c>
      <c r="D26" s="7036"/>
      <c r="E26" s="7036"/>
      <c r="F26" s="7037"/>
      <c r="G26" s="1462">
        <f t="shared" si="5"/>
        <v>379</v>
      </c>
      <c r="H26" s="7038"/>
      <c r="I26" s="7036"/>
      <c r="J26" s="7039"/>
      <c r="K26" s="7040"/>
      <c r="L26" s="7038"/>
      <c r="M26" s="7036"/>
      <c r="N26" s="7041"/>
      <c r="O26" s="7042"/>
      <c r="P26" s="7038"/>
      <c r="Q26" s="7036"/>
      <c r="R26" s="7037"/>
      <c r="S26" s="7037"/>
      <c r="T26" s="3190"/>
      <c r="U26" s="7036"/>
      <c r="V26" s="258"/>
      <c r="W26" s="7040"/>
      <c r="X26" s="3061"/>
      <c r="Y26" s="7043"/>
      <c r="Z26" s="3195"/>
      <c r="AA26" s="7036"/>
      <c r="AB26" s="258"/>
      <c r="AC26" s="7044"/>
      <c r="AD26" s="3190"/>
      <c r="AE26" s="7036"/>
      <c r="AF26" s="258"/>
      <c r="AG26" s="7044"/>
      <c r="AH26" s="3190"/>
      <c r="AI26" s="7036"/>
      <c r="AJ26" s="258"/>
      <c r="AK26" s="7040"/>
      <c r="AL26" s="1228"/>
      <c r="AM26" s="7044"/>
      <c r="AN26" s="3190"/>
      <c r="AO26" s="7036"/>
      <c r="AP26" s="7036"/>
      <c r="AQ26" s="7044"/>
      <c r="AR26" s="7045"/>
      <c r="AS26" s="7036"/>
      <c r="AT26" s="7036"/>
      <c r="AU26" s="7044"/>
      <c r="AV26" s="7045"/>
      <c r="AW26" s="7036"/>
      <c r="AX26" s="258"/>
      <c r="AY26" s="7040"/>
      <c r="AZ26" s="3061"/>
      <c r="BA26" s="7043"/>
      <c r="BB26" s="7044"/>
      <c r="BC26" s="7042"/>
    </row>
    <row r="27" spans="1:55" x14ac:dyDescent="0.25">
      <c r="A27" s="1517" t="s">
        <v>2287</v>
      </c>
      <c r="B27" s="1530"/>
      <c r="C27" s="238">
        <v>130</v>
      </c>
      <c r="D27" s="238"/>
      <c r="E27" s="238"/>
      <c r="F27" s="1462"/>
      <c r="G27" s="1462">
        <f t="shared" si="5"/>
        <v>130</v>
      </c>
      <c r="H27" s="1516"/>
      <c r="I27" s="238">
        <v>11857</v>
      </c>
      <c r="J27" s="1535"/>
      <c r="K27" s="1220">
        <f t="shared" si="6"/>
        <v>11987</v>
      </c>
      <c r="L27" s="1516"/>
      <c r="M27" s="238">
        <v>22088</v>
      </c>
      <c r="N27" s="1532"/>
      <c r="O27" s="1553">
        <f t="shared" si="7"/>
        <v>34075</v>
      </c>
      <c r="P27" s="1516"/>
      <c r="Q27" s="238">
        <v>25645</v>
      </c>
      <c r="R27" s="1462"/>
      <c r="S27" s="1462">
        <f t="shared" si="8"/>
        <v>59720</v>
      </c>
      <c r="T27" s="3190"/>
      <c r="U27" s="238">
        <v>34047.029000000002</v>
      </c>
      <c r="V27" s="258"/>
      <c r="W27" s="1220">
        <f t="shared" si="0"/>
        <v>81780.02900000001</v>
      </c>
      <c r="X27" s="3061"/>
      <c r="Y27" s="3193">
        <f t="shared" si="1"/>
        <v>93767.02900000001</v>
      </c>
      <c r="Z27" s="3195"/>
      <c r="AA27" s="238">
        <v>30614.142</v>
      </c>
      <c r="AB27" s="258"/>
      <c r="AC27" s="3187">
        <f t="shared" si="9"/>
        <v>124381.171</v>
      </c>
      <c r="AD27" s="3190"/>
      <c r="AE27" s="238"/>
      <c r="AF27" s="258"/>
      <c r="AG27" s="3187">
        <f t="shared" si="10"/>
        <v>124381.171</v>
      </c>
      <c r="AH27" s="3190"/>
      <c r="AI27" s="238">
        <v>24506</v>
      </c>
      <c r="AJ27" s="258"/>
      <c r="AK27" s="1220">
        <f t="shared" si="2"/>
        <v>55120.142</v>
      </c>
      <c r="AL27" s="1228"/>
      <c r="AM27" s="3187">
        <f t="shared" si="11"/>
        <v>148887.171</v>
      </c>
      <c r="AN27" s="3190"/>
      <c r="AO27" s="238">
        <v>34007.839999999997</v>
      </c>
      <c r="AP27" s="238"/>
      <c r="AQ27" s="3187">
        <f t="shared" si="12"/>
        <v>182895.011</v>
      </c>
      <c r="AR27" s="3186"/>
      <c r="AS27" s="238">
        <v>30807.614000000001</v>
      </c>
      <c r="AT27" s="238"/>
      <c r="AU27" s="3187">
        <f t="shared" si="13"/>
        <v>213702.625</v>
      </c>
      <c r="AV27" s="3186"/>
      <c r="AW27" s="238">
        <f>40190+792.97</f>
        <v>40982.97</v>
      </c>
      <c r="AX27" s="258"/>
      <c r="AY27" s="1220">
        <f t="shared" si="3"/>
        <v>105798.424</v>
      </c>
      <c r="AZ27" s="3061"/>
      <c r="BA27" s="3193">
        <f t="shared" si="14"/>
        <v>160918.56599999999</v>
      </c>
      <c r="BB27" s="3187"/>
      <c r="BC27" s="1553">
        <f t="shared" si="4"/>
        <v>254685.595</v>
      </c>
    </row>
    <row r="28" spans="1:55" x14ac:dyDescent="0.25">
      <c r="A28" s="1517" t="s">
        <v>1223</v>
      </c>
      <c r="B28" s="1530"/>
      <c r="C28" s="238">
        <v>610</v>
      </c>
      <c r="D28" s="238"/>
      <c r="E28" s="238">
        <v>1767</v>
      </c>
      <c r="F28" s="1462"/>
      <c r="G28" s="1462">
        <f t="shared" si="5"/>
        <v>2377</v>
      </c>
      <c r="H28" s="1516"/>
      <c r="I28" s="238">
        <v>1485</v>
      </c>
      <c r="J28" s="1535"/>
      <c r="K28" s="1220">
        <f t="shared" si="6"/>
        <v>3862</v>
      </c>
      <c r="L28" s="1516"/>
      <c r="M28" s="238">
        <v>1342</v>
      </c>
      <c r="N28" s="1532"/>
      <c r="O28" s="1553">
        <f t="shared" si="7"/>
        <v>5204</v>
      </c>
      <c r="P28" s="1516"/>
      <c r="Q28" s="238">
        <v>446</v>
      </c>
      <c r="R28" s="1462"/>
      <c r="S28" s="1462">
        <f t="shared" si="8"/>
        <v>5650</v>
      </c>
      <c r="T28" s="3190"/>
      <c r="U28" s="238">
        <v>263.56799999999998</v>
      </c>
      <c r="V28" s="258"/>
      <c r="W28" s="1220">
        <f t="shared" si="0"/>
        <v>2051.5680000000002</v>
      </c>
      <c r="X28" s="3061"/>
      <c r="Y28" s="3193">
        <f t="shared" si="1"/>
        <v>5913.5680000000002</v>
      </c>
      <c r="Z28" s="3195"/>
      <c r="AA28" s="238"/>
      <c r="AB28" s="258"/>
      <c r="AC28" s="3187">
        <f t="shared" si="9"/>
        <v>5913.5680000000002</v>
      </c>
      <c r="AD28" s="3190"/>
      <c r="AE28" s="238"/>
      <c r="AF28" s="258"/>
      <c r="AG28" s="3187">
        <f t="shared" si="10"/>
        <v>5913.5680000000002</v>
      </c>
      <c r="AH28" s="3190"/>
      <c r="AI28" s="238">
        <v>1675</v>
      </c>
      <c r="AJ28" s="258"/>
      <c r="AK28" s="1220">
        <f t="shared" si="2"/>
        <v>1675</v>
      </c>
      <c r="AL28" s="1228"/>
      <c r="AM28" s="3187">
        <f t="shared" si="11"/>
        <v>7588.5680000000002</v>
      </c>
      <c r="AN28" s="3190"/>
      <c r="AO28" s="238">
        <v>1165.364</v>
      </c>
      <c r="AP28" s="238"/>
      <c r="AQ28" s="3187">
        <f t="shared" si="12"/>
        <v>8753.9320000000007</v>
      </c>
      <c r="AR28" s="3186"/>
      <c r="AS28" s="238">
        <v>2437.56</v>
      </c>
      <c r="AT28" s="238"/>
      <c r="AU28" s="3187">
        <f t="shared" si="13"/>
        <v>11191.492</v>
      </c>
      <c r="AV28" s="3186"/>
      <c r="AW28" s="238">
        <f>5535+19.89</f>
        <v>5554.89</v>
      </c>
      <c r="AX28" s="258"/>
      <c r="AY28" s="1220">
        <f t="shared" si="3"/>
        <v>9157.8140000000003</v>
      </c>
      <c r="AZ28" s="3061"/>
      <c r="BA28" s="3193">
        <f t="shared" si="14"/>
        <v>10832.814</v>
      </c>
      <c r="BB28" s="3187"/>
      <c r="BC28" s="1553">
        <f t="shared" si="4"/>
        <v>16746.382000000001</v>
      </c>
    </row>
    <row r="29" spans="1:55" ht="16.5" thickBot="1" x14ac:dyDescent="0.3">
      <c r="A29" s="1517" t="s">
        <v>1222</v>
      </c>
      <c r="B29" s="1530"/>
      <c r="C29" s="238">
        <v>11624</v>
      </c>
      <c r="D29" s="238"/>
      <c r="E29" s="238">
        <v>5670</v>
      </c>
      <c r="F29" s="1462"/>
      <c r="G29" s="1462">
        <f t="shared" si="5"/>
        <v>17294</v>
      </c>
      <c r="H29" s="1516"/>
      <c r="I29" s="238">
        <v>4934</v>
      </c>
      <c r="J29" s="1535"/>
      <c r="K29" s="1220">
        <f t="shared" si="6"/>
        <v>22228</v>
      </c>
      <c r="L29" s="1516"/>
      <c r="M29" s="238">
        <v>12265</v>
      </c>
      <c r="N29" s="1532"/>
      <c r="O29" s="1553">
        <f t="shared" si="7"/>
        <v>34493</v>
      </c>
      <c r="P29" s="1516"/>
      <c r="Q29" s="238">
        <v>6958</v>
      </c>
      <c r="R29" s="1462"/>
      <c r="S29" s="1462">
        <f t="shared" si="8"/>
        <v>41451</v>
      </c>
      <c r="T29" s="3190"/>
      <c r="U29" s="238">
        <v>6627.6189999999997</v>
      </c>
      <c r="V29" s="258"/>
      <c r="W29" s="1220">
        <f t="shared" si="0"/>
        <v>25850.618999999999</v>
      </c>
      <c r="X29" s="3061"/>
      <c r="Y29" s="3193">
        <f t="shared" si="1"/>
        <v>48078.618999999999</v>
      </c>
      <c r="Z29" s="3195"/>
      <c r="AA29" s="238">
        <v>7520.3270000000002</v>
      </c>
      <c r="AB29" s="258"/>
      <c r="AC29" s="3187">
        <f t="shared" si="9"/>
        <v>55598.945999999996</v>
      </c>
      <c r="AD29" s="3190"/>
      <c r="AE29" s="238"/>
      <c r="AF29" s="258"/>
      <c r="AG29" s="3187">
        <f t="shared" si="10"/>
        <v>55598.945999999996</v>
      </c>
      <c r="AH29" s="3190"/>
      <c r="AI29" s="238">
        <v>6320</v>
      </c>
      <c r="AJ29" s="258"/>
      <c r="AK29" s="1220">
        <f t="shared" si="2"/>
        <v>13840.327000000001</v>
      </c>
      <c r="AL29" s="1228"/>
      <c r="AM29" s="3187">
        <f t="shared" si="11"/>
        <v>61918.945999999996</v>
      </c>
      <c r="AN29" s="3190"/>
      <c r="AO29" s="238">
        <v>12204.722</v>
      </c>
      <c r="AP29" s="238"/>
      <c r="AQ29" s="3187">
        <f t="shared" si="12"/>
        <v>74123.667999999991</v>
      </c>
      <c r="AR29" s="3186"/>
      <c r="AS29" s="238">
        <v>12506.003000000001</v>
      </c>
      <c r="AT29" s="238"/>
      <c r="AU29" s="3187">
        <f t="shared" si="13"/>
        <v>86629.670999999988</v>
      </c>
      <c r="AV29" s="3186"/>
      <c r="AW29" s="238">
        <f>6990+111.549</f>
        <v>7101.549</v>
      </c>
      <c r="AX29" s="258"/>
      <c r="AY29" s="1220">
        <f t="shared" si="3"/>
        <v>31812.273999999998</v>
      </c>
      <c r="AZ29" s="3061"/>
      <c r="BA29" s="3193">
        <f t="shared" si="14"/>
        <v>45652.600999999995</v>
      </c>
      <c r="BB29" s="3187"/>
      <c r="BC29" s="1553">
        <f t="shared" si="4"/>
        <v>93731.219999999987</v>
      </c>
    </row>
    <row r="30" spans="1:55" ht="16.5" thickBot="1" x14ac:dyDescent="0.3">
      <c r="A30" s="3682" t="s">
        <v>654</v>
      </c>
      <c r="B30" s="3683"/>
      <c r="C30" s="3684">
        <f>SUM(C24:C29)</f>
        <v>39092</v>
      </c>
      <c r="D30" s="3684"/>
      <c r="E30" s="3684">
        <f>SUM(E24:E29)</f>
        <v>38958</v>
      </c>
      <c r="F30" s="3684"/>
      <c r="G30" s="1462">
        <f t="shared" si="5"/>
        <v>78050</v>
      </c>
      <c r="H30" s="3684"/>
      <c r="I30" s="3684">
        <f>SUM(I24:I29)</f>
        <v>18276</v>
      </c>
      <c r="J30" s="3684"/>
      <c r="K30" s="1220">
        <f t="shared" si="6"/>
        <v>96326</v>
      </c>
      <c r="L30" s="3684"/>
      <c r="M30" s="3684">
        <f>SUM(M24:M29)</f>
        <v>36294</v>
      </c>
      <c r="N30" s="3684"/>
      <c r="O30" s="1553">
        <f t="shared" si="7"/>
        <v>132620</v>
      </c>
      <c r="P30" s="3684"/>
      <c r="Q30" s="3684">
        <f>SUM(Q24:Q29)</f>
        <v>33656</v>
      </c>
      <c r="R30" s="3684"/>
      <c r="S30" s="1462">
        <f t="shared" si="8"/>
        <v>166276</v>
      </c>
      <c r="T30" s="3684"/>
      <c r="U30" s="3684">
        <f>SUM(U24:U29)</f>
        <v>41382.925999999999</v>
      </c>
      <c r="V30" s="3684"/>
      <c r="W30" s="1220">
        <f t="shared" si="0"/>
        <v>111332.92600000001</v>
      </c>
      <c r="X30" s="3684"/>
      <c r="Y30" s="3193">
        <f t="shared" si="1"/>
        <v>207658.92600000001</v>
      </c>
      <c r="Z30" s="3684"/>
      <c r="AA30" s="3684">
        <f>SUM(AA24:AA29)</f>
        <v>38553.506999999998</v>
      </c>
      <c r="AB30" s="3684"/>
      <c r="AC30" s="3187">
        <f t="shared" si="9"/>
        <v>246212.43300000002</v>
      </c>
      <c r="AD30" s="3684"/>
      <c r="AE30" s="3684">
        <f>SUM(AE24:AE29)</f>
        <v>0</v>
      </c>
      <c r="AF30" s="3684"/>
      <c r="AG30" s="3187">
        <f t="shared" si="10"/>
        <v>246212.43300000002</v>
      </c>
      <c r="AH30" s="3684"/>
      <c r="AI30" s="3684">
        <f>SUM(AI24:AI29)</f>
        <v>32501</v>
      </c>
      <c r="AJ30" s="3684"/>
      <c r="AK30" s="1220">
        <f t="shared" si="2"/>
        <v>71054.506999999998</v>
      </c>
      <c r="AL30" s="3684"/>
      <c r="AM30" s="3187">
        <f t="shared" si="11"/>
        <v>278713.43300000002</v>
      </c>
      <c r="AN30" s="3684"/>
      <c r="AO30" s="3684">
        <f>SUM(AO24:AO29)</f>
        <v>47529.033000000003</v>
      </c>
      <c r="AP30" s="3684"/>
      <c r="AQ30" s="3187">
        <f t="shared" si="12"/>
        <v>326242.46600000001</v>
      </c>
      <c r="AR30" s="3684"/>
      <c r="AS30" s="3684">
        <f>SUM(AS24:AS29)</f>
        <v>46339.255000000005</v>
      </c>
      <c r="AT30" s="3684"/>
      <c r="AU30" s="3187">
        <f t="shared" si="13"/>
        <v>372581.72100000002</v>
      </c>
      <c r="AV30" s="3684"/>
      <c r="AW30" s="3684">
        <f>SUM(AW24:AW29)</f>
        <v>54101.298999999999</v>
      </c>
      <c r="AX30" s="3684"/>
      <c r="AY30" s="1220">
        <f t="shared" si="3"/>
        <v>147969.587</v>
      </c>
      <c r="AZ30" s="3684"/>
      <c r="BA30" s="3193">
        <f t="shared" si="14"/>
        <v>219024.09399999998</v>
      </c>
      <c r="BB30" s="3684"/>
      <c r="BC30" s="1553">
        <f t="shared" si="4"/>
        <v>426683.02</v>
      </c>
    </row>
    <row r="31" spans="1:55" ht="9.75" customHeight="1" thickBot="1" x14ac:dyDescent="0.3">
      <c r="A31" s="1456"/>
      <c r="B31" s="1531"/>
      <c r="C31" s="1230"/>
      <c r="D31" s="1230"/>
      <c r="E31" s="246"/>
      <c r="F31" s="246"/>
      <c r="G31" s="1462">
        <f t="shared" si="5"/>
        <v>0</v>
      </c>
      <c r="H31" s="246"/>
      <c r="I31" s="246"/>
      <c r="J31" s="586"/>
      <c r="K31" s="1220">
        <f t="shared" si="6"/>
        <v>0</v>
      </c>
      <c r="L31" s="246"/>
      <c r="M31" s="246"/>
      <c r="N31" s="586"/>
      <c r="O31" s="1553">
        <f t="shared" si="7"/>
        <v>0</v>
      </c>
      <c r="P31" s="246"/>
      <c r="Q31" s="246"/>
      <c r="R31" s="246"/>
      <c r="S31" s="1462">
        <f t="shared" si="8"/>
        <v>0</v>
      </c>
      <c r="T31" s="1231"/>
      <c r="U31" s="246"/>
      <c r="V31" s="586"/>
      <c r="W31" s="1220">
        <f t="shared" si="0"/>
        <v>0</v>
      </c>
      <c r="X31" s="3062"/>
      <c r="Y31" s="3193">
        <f t="shared" si="1"/>
        <v>0</v>
      </c>
      <c r="Z31" s="1231"/>
      <c r="AA31" s="246"/>
      <c r="AB31" s="246"/>
      <c r="AC31" s="3187">
        <f t="shared" si="9"/>
        <v>0</v>
      </c>
      <c r="AD31" s="1231"/>
      <c r="AE31" s="246"/>
      <c r="AF31" s="246"/>
      <c r="AG31" s="3187">
        <f t="shared" si="10"/>
        <v>0</v>
      </c>
      <c r="AH31" s="1231"/>
      <c r="AI31" s="246"/>
      <c r="AJ31" s="586"/>
      <c r="AK31" s="1220">
        <f t="shared" si="2"/>
        <v>0</v>
      </c>
      <c r="AL31" s="3062"/>
      <c r="AM31" s="3187">
        <f t="shared" si="11"/>
        <v>0</v>
      </c>
      <c r="AN31" s="1231"/>
      <c r="AO31" s="246"/>
      <c r="AP31" s="246"/>
      <c r="AQ31" s="3187">
        <f t="shared" si="12"/>
        <v>0</v>
      </c>
      <c r="AR31" s="1231"/>
      <c r="AS31" s="246"/>
      <c r="AT31" s="246"/>
      <c r="AU31" s="3187">
        <f t="shared" si="13"/>
        <v>0</v>
      </c>
      <c r="AV31" s="1231"/>
      <c r="AW31" s="246"/>
      <c r="AX31" s="586"/>
      <c r="AY31" s="1220">
        <f t="shared" si="3"/>
        <v>0</v>
      </c>
      <c r="AZ31" s="3062"/>
      <c r="BA31" s="3193">
        <f t="shared" si="14"/>
        <v>0</v>
      </c>
      <c r="BB31" s="1231"/>
      <c r="BC31" s="1553">
        <f t="shared" si="4"/>
        <v>0</v>
      </c>
    </row>
    <row r="32" spans="1:55" ht="16.5" thickBot="1" x14ac:dyDescent="0.3">
      <c r="A32" s="3687" t="s">
        <v>645</v>
      </c>
      <c r="B32" s="3688"/>
      <c r="C32" s="1232"/>
      <c r="D32" s="1232"/>
      <c r="E32" s="1234"/>
      <c r="F32" s="1234"/>
      <c r="G32" s="1462">
        <f t="shared" si="5"/>
        <v>0</v>
      </c>
      <c r="H32" s="1234"/>
      <c r="I32" s="1234"/>
      <c r="J32" s="1534"/>
      <c r="K32" s="1220">
        <f t="shared" si="6"/>
        <v>0</v>
      </c>
      <c r="L32" s="1234"/>
      <c r="M32" s="1234"/>
      <c r="N32" s="1534"/>
      <c r="O32" s="1553">
        <f t="shared" si="7"/>
        <v>0</v>
      </c>
      <c r="P32" s="1234"/>
      <c r="Q32" s="1234"/>
      <c r="R32" s="1234"/>
      <c r="S32" s="1462">
        <f t="shared" si="8"/>
        <v>0</v>
      </c>
      <c r="T32" s="1236"/>
      <c r="U32" s="1234"/>
      <c r="V32" s="1534"/>
      <c r="W32" s="1220">
        <f t="shared" si="0"/>
        <v>0</v>
      </c>
      <c r="X32" s="1233"/>
      <c r="Y32" s="3193">
        <f t="shared" si="1"/>
        <v>0</v>
      </c>
      <c r="Z32" s="1236"/>
      <c r="AA32" s="1234"/>
      <c r="AB32" s="1234"/>
      <c r="AC32" s="3187">
        <f t="shared" si="9"/>
        <v>0</v>
      </c>
      <c r="AD32" s="1236"/>
      <c r="AE32" s="1234"/>
      <c r="AF32" s="1234"/>
      <c r="AG32" s="3187">
        <f t="shared" si="10"/>
        <v>0</v>
      </c>
      <c r="AH32" s="1236"/>
      <c r="AI32" s="1234"/>
      <c r="AJ32" s="1534"/>
      <c r="AK32" s="1220">
        <f t="shared" si="2"/>
        <v>0</v>
      </c>
      <c r="AL32" s="1233"/>
      <c r="AM32" s="3187">
        <f t="shared" si="11"/>
        <v>0</v>
      </c>
      <c r="AN32" s="1236"/>
      <c r="AO32" s="1234"/>
      <c r="AP32" s="1234"/>
      <c r="AQ32" s="3187">
        <f t="shared" si="12"/>
        <v>0</v>
      </c>
      <c r="AR32" s="1236"/>
      <c r="AS32" s="1234"/>
      <c r="AT32" s="1234"/>
      <c r="AU32" s="3187">
        <f t="shared" si="13"/>
        <v>0</v>
      </c>
      <c r="AV32" s="1236"/>
      <c r="AW32" s="1234"/>
      <c r="AX32" s="1534"/>
      <c r="AY32" s="1220">
        <f t="shared" si="3"/>
        <v>0</v>
      </c>
      <c r="AZ32" s="1233"/>
      <c r="BA32" s="3193">
        <f t="shared" si="14"/>
        <v>0</v>
      </c>
      <c r="BB32" s="1236"/>
      <c r="BC32" s="1553">
        <f t="shared" si="4"/>
        <v>0</v>
      </c>
    </row>
    <row r="33" spans="1:62" x14ac:dyDescent="0.25">
      <c r="A33" s="1455" t="s">
        <v>2207</v>
      </c>
      <c r="B33" s="1529"/>
      <c r="C33" s="1227"/>
      <c r="D33" s="1227"/>
      <c r="E33" s="1227">
        <v>132</v>
      </c>
      <c r="F33" s="1462"/>
      <c r="G33" s="1462">
        <f t="shared" si="5"/>
        <v>132</v>
      </c>
      <c r="H33" s="1516"/>
      <c r="I33" s="1227"/>
      <c r="J33" s="1535"/>
      <c r="K33" s="1220">
        <f t="shared" si="6"/>
        <v>132</v>
      </c>
      <c r="L33" s="1516"/>
      <c r="M33" s="238">
        <v>265</v>
      </c>
      <c r="N33" s="1532"/>
      <c r="O33" s="1553">
        <f t="shared" si="7"/>
        <v>397</v>
      </c>
      <c r="P33" s="1516"/>
      <c r="Q33" s="238">
        <v>109</v>
      </c>
      <c r="R33" s="1462"/>
      <c r="S33" s="1462">
        <f t="shared" si="8"/>
        <v>506</v>
      </c>
      <c r="T33" s="3189"/>
      <c r="U33" s="238"/>
      <c r="V33" s="258"/>
      <c r="W33" s="1220">
        <f t="shared" si="0"/>
        <v>374</v>
      </c>
      <c r="X33" s="3061"/>
      <c r="Y33" s="3193">
        <f t="shared" si="1"/>
        <v>506</v>
      </c>
      <c r="Z33" s="3195"/>
      <c r="AA33" s="238"/>
      <c r="AB33" s="1227"/>
      <c r="AC33" s="3187">
        <f t="shared" si="9"/>
        <v>506</v>
      </c>
      <c r="AD33" s="3189"/>
      <c r="AE33" s="238"/>
      <c r="AF33" s="1227"/>
      <c r="AG33" s="3187">
        <f t="shared" si="10"/>
        <v>506</v>
      </c>
      <c r="AH33" s="3189"/>
      <c r="AI33" s="238"/>
      <c r="AJ33" s="258"/>
      <c r="AK33" s="1220">
        <f t="shared" si="2"/>
        <v>0</v>
      </c>
      <c r="AL33" s="3061"/>
      <c r="AM33" s="3187">
        <f t="shared" si="11"/>
        <v>506</v>
      </c>
      <c r="AN33" s="3189"/>
      <c r="AO33" s="238"/>
      <c r="AP33" s="238"/>
      <c r="AQ33" s="3187">
        <f t="shared" si="12"/>
        <v>506</v>
      </c>
      <c r="AR33" s="3186"/>
      <c r="AS33" s="238">
        <v>467.245</v>
      </c>
      <c r="AT33" s="238"/>
      <c r="AU33" s="3187">
        <f t="shared" si="13"/>
        <v>973.245</v>
      </c>
      <c r="AV33" s="3186"/>
      <c r="AW33" s="238"/>
      <c r="AX33" s="258"/>
      <c r="AY33" s="1220">
        <f t="shared" si="3"/>
        <v>467.245</v>
      </c>
      <c r="AZ33" s="3061"/>
      <c r="BA33" s="3193">
        <f t="shared" si="14"/>
        <v>467.245</v>
      </c>
      <c r="BB33" s="3187"/>
      <c r="BC33" s="1553">
        <f t="shared" si="4"/>
        <v>973.245</v>
      </c>
    </row>
    <row r="34" spans="1:62" x14ac:dyDescent="0.25">
      <c r="A34" s="236" t="s">
        <v>1689</v>
      </c>
      <c r="B34" s="1527"/>
      <c r="C34" s="238">
        <v>9978</v>
      </c>
      <c r="D34" s="238"/>
      <c r="E34" s="237">
        <v>7527</v>
      </c>
      <c r="F34" s="237"/>
      <c r="G34" s="1462">
        <f t="shared" si="5"/>
        <v>17505</v>
      </c>
      <c r="H34" s="237"/>
      <c r="I34" s="237">
        <v>4560</v>
      </c>
      <c r="J34" s="702"/>
      <c r="K34" s="1220">
        <f t="shared" si="6"/>
        <v>22065</v>
      </c>
      <c r="L34" s="237"/>
      <c r="M34" s="237">
        <v>5149</v>
      </c>
      <c r="N34" s="3183"/>
      <c r="O34" s="1553">
        <f t="shared" si="7"/>
        <v>27214</v>
      </c>
      <c r="P34" s="237"/>
      <c r="Q34" s="237">
        <v>6935</v>
      </c>
      <c r="R34" s="237"/>
      <c r="S34" s="1462">
        <f t="shared" si="8"/>
        <v>34149</v>
      </c>
      <c r="T34" s="259"/>
      <c r="U34" s="237"/>
      <c r="V34" s="3060"/>
      <c r="W34" s="1220">
        <f t="shared" si="0"/>
        <v>12084</v>
      </c>
      <c r="X34" s="3061"/>
      <c r="Y34" s="3193">
        <f t="shared" si="1"/>
        <v>34149</v>
      </c>
      <c r="Z34" s="1229"/>
      <c r="AA34" s="237">
        <v>5879.5690000000004</v>
      </c>
      <c r="AB34" s="257"/>
      <c r="AC34" s="3187">
        <f t="shared" si="9"/>
        <v>40028.569000000003</v>
      </c>
      <c r="AD34" s="259"/>
      <c r="AE34" s="237"/>
      <c r="AF34" s="257"/>
      <c r="AG34" s="3187">
        <f t="shared" si="10"/>
        <v>40028.569000000003</v>
      </c>
      <c r="AH34" s="259"/>
      <c r="AI34" s="237">
        <v>6630</v>
      </c>
      <c r="AJ34" s="3060"/>
      <c r="AK34" s="1220">
        <f t="shared" si="2"/>
        <v>12509.569</v>
      </c>
      <c r="AL34" s="3061"/>
      <c r="AM34" s="3187">
        <f t="shared" si="11"/>
        <v>46658.569000000003</v>
      </c>
      <c r="AN34" s="259"/>
      <c r="AO34" s="237"/>
      <c r="AP34" s="3185"/>
      <c r="AQ34" s="3187">
        <f t="shared" si="12"/>
        <v>46658.569000000003</v>
      </c>
      <c r="AR34" s="3187"/>
      <c r="AS34" s="237">
        <v>5656.3670000000002</v>
      </c>
      <c r="AT34" s="3185"/>
      <c r="AU34" s="3187">
        <f t="shared" si="13"/>
        <v>52314.936000000002</v>
      </c>
      <c r="AV34" s="3187"/>
      <c r="AW34" s="237">
        <f>7753+161.23</f>
        <v>7914.23</v>
      </c>
      <c r="AX34" s="3060"/>
      <c r="AY34" s="1220">
        <f t="shared" si="3"/>
        <v>13570.597</v>
      </c>
      <c r="AZ34" s="3061"/>
      <c r="BA34" s="3193">
        <f t="shared" si="14"/>
        <v>26080.165999999997</v>
      </c>
      <c r="BB34" s="3187"/>
      <c r="BC34" s="1553">
        <f t="shared" si="4"/>
        <v>60229.165999999997</v>
      </c>
    </row>
    <row r="35" spans="1:62" x14ac:dyDescent="0.25">
      <c r="A35" s="1455" t="s">
        <v>1262</v>
      </c>
      <c r="B35" s="1529"/>
      <c r="C35" s="238">
        <v>5311</v>
      </c>
      <c r="D35" s="238"/>
      <c r="E35" s="237">
        <v>2880</v>
      </c>
      <c r="F35" s="1462"/>
      <c r="G35" s="1462">
        <f t="shared" si="5"/>
        <v>8191</v>
      </c>
      <c r="H35" s="1516"/>
      <c r="I35" s="237">
        <v>2998</v>
      </c>
      <c r="J35" s="1535"/>
      <c r="K35" s="1220">
        <f t="shared" si="6"/>
        <v>11189</v>
      </c>
      <c r="L35" s="1516"/>
      <c r="M35" s="238">
        <v>2972</v>
      </c>
      <c r="N35" s="1532"/>
      <c r="O35" s="1553">
        <f t="shared" si="7"/>
        <v>14161</v>
      </c>
      <c r="P35" s="1516"/>
      <c r="Q35" s="238">
        <v>2617</v>
      </c>
      <c r="R35" s="1462"/>
      <c r="S35" s="1462">
        <f t="shared" si="8"/>
        <v>16778</v>
      </c>
      <c r="T35" s="3189"/>
      <c r="U35" s="238"/>
      <c r="V35" s="258"/>
      <c r="W35" s="1220">
        <f t="shared" si="0"/>
        <v>5589</v>
      </c>
      <c r="X35" s="3061"/>
      <c r="Y35" s="3193">
        <f t="shared" si="1"/>
        <v>16778</v>
      </c>
      <c r="Z35" s="3195"/>
      <c r="AA35" s="238">
        <v>995.76599999999996</v>
      </c>
      <c r="AB35" s="1227"/>
      <c r="AC35" s="3187">
        <f t="shared" si="9"/>
        <v>17773.766</v>
      </c>
      <c r="AD35" s="3189"/>
      <c r="AE35" s="238"/>
      <c r="AF35" s="1227"/>
      <c r="AG35" s="3187">
        <f t="shared" si="10"/>
        <v>17773.766</v>
      </c>
      <c r="AH35" s="3189"/>
      <c r="AI35" s="238">
        <v>3276</v>
      </c>
      <c r="AJ35" s="258"/>
      <c r="AK35" s="1220">
        <f t="shared" si="2"/>
        <v>4271.7659999999996</v>
      </c>
      <c r="AL35" s="3061"/>
      <c r="AM35" s="3187">
        <f t="shared" si="11"/>
        <v>21049.766</v>
      </c>
      <c r="AN35" s="3189"/>
      <c r="AO35" s="238"/>
      <c r="AP35" s="238"/>
      <c r="AQ35" s="3187">
        <f t="shared" si="12"/>
        <v>21049.766</v>
      </c>
      <c r="AR35" s="3186"/>
      <c r="AS35" s="238">
        <v>2713.011</v>
      </c>
      <c r="AT35" s="238"/>
      <c r="AU35" s="3187">
        <f t="shared" si="13"/>
        <v>23762.776999999998</v>
      </c>
      <c r="AV35" s="3186"/>
      <c r="AW35" s="238">
        <f>3948+28.781</f>
        <v>3976.7809999999999</v>
      </c>
      <c r="AX35" s="258"/>
      <c r="AY35" s="1220">
        <f t="shared" si="3"/>
        <v>6689.7919999999995</v>
      </c>
      <c r="AZ35" s="3061"/>
      <c r="BA35" s="3193">
        <f t="shared" si="14"/>
        <v>10961.557999999999</v>
      </c>
      <c r="BB35" s="3187"/>
      <c r="BC35" s="1553">
        <f t="shared" si="4"/>
        <v>27739.557999999997</v>
      </c>
    </row>
    <row r="36" spans="1:62" ht="16.5" thickBot="1" x14ac:dyDescent="0.3">
      <c r="A36" s="236" t="s">
        <v>1274</v>
      </c>
      <c r="B36" s="1527"/>
      <c r="C36" s="238"/>
      <c r="D36" s="238"/>
      <c r="E36" s="238"/>
      <c r="F36" s="238"/>
      <c r="G36" s="1462">
        <f t="shared" si="5"/>
        <v>0</v>
      </c>
      <c r="H36" s="238"/>
      <c r="I36" s="238"/>
      <c r="J36" s="1532"/>
      <c r="K36" s="1220">
        <f t="shared" si="6"/>
        <v>0</v>
      </c>
      <c r="L36" s="238"/>
      <c r="M36" s="238"/>
      <c r="N36" s="1532"/>
      <c r="O36" s="1553">
        <f t="shared" si="7"/>
        <v>0</v>
      </c>
      <c r="P36" s="238"/>
      <c r="Q36" s="238"/>
      <c r="R36" s="238"/>
      <c r="S36" s="1462">
        <f t="shared" si="8"/>
        <v>0</v>
      </c>
      <c r="T36" s="3189"/>
      <c r="U36" s="238"/>
      <c r="V36" s="258"/>
      <c r="W36" s="1220">
        <f t="shared" si="0"/>
        <v>0</v>
      </c>
      <c r="X36" s="3061"/>
      <c r="Y36" s="3193">
        <f t="shared" si="1"/>
        <v>0</v>
      </c>
      <c r="Z36" s="3195"/>
      <c r="AA36" s="238"/>
      <c r="AB36" s="1227"/>
      <c r="AC36" s="3187">
        <f t="shared" si="9"/>
        <v>0</v>
      </c>
      <c r="AD36" s="3189"/>
      <c r="AE36" s="238"/>
      <c r="AF36" s="1227"/>
      <c r="AG36" s="3187">
        <f t="shared" si="10"/>
        <v>0</v>
      </c>
      <c r="AH36" s="3189"/>
      <c r="AI36" s="238"/>
      <c r="AJ36" s="258"/>
      <c r="AK36" s="1220">
        <f t="shared" si="2"/>
        <v>0</v>
      </c>
      <c r="AL36" s="3061"/>
      <c r="AM36" s="3187">
        <f t="shared" si="11"/>
        <v>0</v>
      </c>
      <c r="AN36" s="3189"/>
      <c r="AO36" s="238"/>
      <c r="AP36" s="238"/>
      <c r="AQ36" s="3187">
        <f t="shared" si="12"/>
        <v>0</v>
      </c>
      <c r="AR36" s="3186"/>
      <c r="AS36" s="238"/>
      <c r="AT36" s="238"/>
      <c r="AU36" s="3187">
        <f t="shared" si="13"/>
        <v>0</v>
      </c>
      <c r="AV36" s="3186"/>
      <c r="AW36" s="238"/>
      <c r="AX36" s="258"/>
      <c r="AY36" s="1220">
        <f t="shared" si="3"/>
        <v>0</v>
      </c>
      <c r="AZ36" s="3061"/>
      <c r="BA36" s="3193">
        <f t="shared" si="14"/>
        <v>0</v>
      </c>
      <c r="BB36" s="3187"/>
      <c r="BC36" s="1553">
        <f t="shared" si="4"/>
        <v>0</v>
      </c>
    </row>
    <row r="37" spans="1:62" ht="16.5" thickBot="1" x14ac:dyDescent="0.3">
      <c r="A37" s="3682" t="s">
        <v>655</v>
      </c>
      <c r="B37" s="3683"/>
      <c r="C37" s="3684">
        <f>SUM(C33:C36)</f>
        <v>15289</v>
      </c>
      <c r="D37" s="3684"/>
      <c r="E37" s="3684">
        <f>SUM(E33:E36)</f>
        <v>10539</v>
      </c>
      <c r="F37" s="3684"/>
      <c r="G37" s="1462">
        <f t="shared" si="5"/>
        <v>25828</v>
      </c>
      <c r="H37" s="3684"/>
      <c r="I37" s="3684">
        <f>SUM(I33:I36)</f>
        <v>7558</v>
      </c>
      <c r="J37" s="3684"/>
      <c r="K37" s="1220">
        <f t="shared" si="6"/>
        <v>33386</v>
      </c>
      <c r="L37" s="3684"/>
      <c r="M37" s="3684">
        <f>SUM(M33:M36)</f>
        <v>8386</v>
      </c>
      <c r="N37" s="3684"/>
      <c r="O37" s="1553">
        <f t="shared" si="7"/>
        <v>41772</v>
      </c>
      <c r="P37" s="3684"/>
      <c r="Q37" s="3684">
        <f>SUM(Q33:Q36)</f>
        <v>9661</v>
      </c>
      <c r="R37" s="3684"/>
      <c r="S37" s="1462">
        <f t="shared" si="8"/>
        <v>51433</v>
      </c>
      <c r="T37" s="3684"/>
      <c r="U37" s="3684">
        <f>SUM(U33:U36)</f>
        <v>0</v>
      </c>
      <c r="V37" s="3684"/>
      <c r="W37" s="1220">
        <f t="shared" si="0"/>
        <v>18047</v>
      </c>
      <c r="X37" s="3684"/>
      <c r="Y37" s="3193">
        <f t="shared" si="1"/>
        <v>51433</v>
      </c>
      <c r="Z37" s="3684"/>
      <c r="AA37" s="3684">
        <f>SUM(AA33:AA36)</f>
        <v>6875.335</v>
      </c>
      <c r="AB37" s="3684"/>
      <c r="AC37" s="3187">
        <f t="shared" si="9"/>
        <v>58308.334999999999</v>
      </c>
      <c r="AD37" s="3684"/>
      <c r="AE37" s="3684">
        <f>SUM(AE33:AE36)</f>
        <v>0</v>
      </c>
      <c r="AF37" s="3684"/>
      <c r="AG37" s="3187">
        <f t="shared" si="10"/>
        <v>58308.334999999999</v>
      </c>
      <c r="AH37" s="3684"/>
      <c r="AI37" s="3684">
        <f>SUM(AI33:AI36)</f>
        <v>9906</v>
      </c>
      <c r="AJ37" s="3684"/>
      <c r="AK37" s="1220">
        <f t="shared" si="2"/>
        <v>16781.334999999999</v>
      </c>
      <c r="AL37" s="3684"/>
      <c r="AM37" s="3187">
        <f t="shared" si="11"/>
        <v>68214.334999999992</v>
      </c>
      <c r="AN37" s="3684"/>
      <c r="AO37" s="3684">
        <f>SUM(AO33:AO36)</f>
        <v>0</v>
      </c>
      <c r="AP37" s="3684"/>
      <c r="AQ37" s="3187">
        <f t="shared" si="12"/>
        <v>68214.334999999992</v>
      </c>
      <c r="AR37" s="3684"/>
      <c r="AS37" s="3684">
        <f>SUM(AS33:AS36)</f>
        <v>8836.6229999999996</v>
      </c>
      <c r="AT37" s="3684"/>
      <c r="AU37" s="3187">
        <f t="shared" si="13"/>
        <v>77050.957999999984</v>
      </c>
      <c r="AV37" s="3684"/>
      <c r="AW37" s="3684">
        <f>SUM(AW33:AW36)</f>
        <v>11891.010999999999</v>
      </c>
      <c r="AX37" s="3684"/>
      <c r="AY37" s="1220">
        <f t="shared" si="3"/>
        <v>20727.633999999998</v>
      </c>
      <c r="AZ37" s="3684"/>
      <c r="BA37" s="3193">
        <f t="shared" si="14"/>
        <v>37508.968999999997</v>
      </c>
      <c r="BB37" s="3684"/>
      <c r="BC37" s="1553">
        <f t="shared" si="4"/>
        <v>88941.968999999983</v>
      </c>
    </row>
    <row r="38" spans="1:62" ht="16.5" thickBot="1" x14ac:dyDescent="0.3">
      <c r="A38" s="6808" t="s">
        <v>1368</v>
      </c>
      <c r="B38" s="6802"/>
      <c r="C38" s="6803">
        <v>1436</v>
      </c>
      <c r="D38" s="6803"/>
      <c r="E38" s="6803">
        <v>3024</v>
      </c>
      <c r="F38" s="6803"/>
      <c r="G38" s="1462">
        <f t="shared" si="5"/>
        <v>4460</v>
      </c>
      <c r="H38" s="6803"/>
      <c r="I38" s="6803">
        <v>337</v>
      </c>
      <c r="J38" s="6805"/>
      <c r="K38" s="1220">
        <f t="shared" si="6"/>
        <v>4797</v>
      </c>
      <c r="L38" s="6803"/>
      <c r="M38" s="6803">
        <v>1702</v>
      </c>
      <c r="N38" s="6805"/>
      <c r="O38" s="1553">
        <f t="shared" si="7"/>
        <v>6499</v>
      </c>
      <c r="P38" s="6803"/>
      <c r="Q38" s="6803">
        <v>590</v>
      </c>
      <c r="R38" s="6803"/>
      <c r="S38" s="1462">
        <f t="shared" si="8"/>
        <v>7089</v>
      </c>
      <c r="T38" s="6804"/>
      <c r="U38" s="6803">
        <v>493.346</v>
      </c>
      <c r="V38" s="6805"/>
      <c r="W38" s="1220">
        <f t="shared" si="0"/>
        <v>2785.346</v>
      </c>
      <c r="X38" s="6806"/>
      <c r="Y38" s="3193">
        <f t="shared" si="1"/>
        <v>7582.3459999999995</v>
      </c>
      <c r="Z38" s="6804"/>
      <c r="AA38" s="6803">
        <v>418.88499999999999</v>
      </c>
      <c r="AB38" s="6803"/>
      <c r="AC38" s="3187">
        <f t="shared" si="9"/>
        <v>8001.2309999999998</v>
      </c>
      <c r="AD38" s="6804"/>
      <c r="AE38" s="6803"/>
      <c r="AF38" s="6803"/>
      <c r="AG38" s="3187">
        <f t="shared" si="10"/>
        <v>8001.2309999999998</v>
      </c>
      <c r="AH38" s="6804"/>
      <c r="AI38" s="6803">
        <v>220.298</v>
      </c>
      <c r="AJ38" s="6805"/>
      <c r="AK38" s="1220">
        <f t="shared" si="2"/>
        <v>639.18299999999999</v>
      </c>
      <c r="AL38" s="6806"/>
      <c r="AM38" s="3187">
        <f t="shared" si="11"/>
        <v>8221.5290000000005</v>
      </c>
      <c r="AN38" s="6804"/>
      <c r="AO38" s="6803">
        <v>414.69099999999997</v>
      </c>
      <c r="AP38" s="6803"/>
      <c r="AQ38" s="3187">
        <f t="shared" si="12"/>
        <v>8636.2200000000012</v>
      </c>
      <c r="AR38" s="6804"/>
      <c r="AS38" s="6803">
        <v>568.56100000000004</v>
      </c>
      <c r="AT38" s="6803"/>
      <c r="AU38" s="3187">
        <f t="shared" si="13"/>
        <v>9204.7810000000009</v>
      </c>
      <c r="AV38" s="6804"/>
      <c r="AW38" s="6803">
        <v>762.64700000000084</v>
      </c>
      <c r="AX38" s="6805"/>
      <c r="AY38" s="1220">
        <f t="shared" si="3"/>
        <v>1745.8990000000008</v>
      </c>
      <c r="AZ38" s="6806"/>
      <c r="BA38" s="3193">
        <f t="shared" si="14"/>
        <v>2385.0820000000008</v>
      </c>
      <c r="BB38" s="6807"/>
      <c r="BC38" s="1553">
        <f t="shared" si="4"/>
        <v>9967.4280000000017</v>
      </c>
      <c r="BJ38" s="3680"/>
    </row>
    <row r="39" spans="1:62" ht="16.5" thickBot="1" x14ac:dyDescent="0.3">
      <c r="A39" s="6809" t="s">
        <v>2</v>
      </c>
      <c r="B39" s="6810"/>
      <c r="C39" s="6811">
        <f>+C37+C30+C21+C14+C38</f>
        <v>57651</v>
      </c>
      <c r="D39" s="6811"/>
      <c r="E39" s="6811">
        <f>+E37+E30+E21+E14+E38</f>
        <v>61370</v>
      </c>
      <c r="F39" s="6811"/>
      <c r="G39" s="1462">
        <f t="shared" si="5"/>
        <v>119021</v>
      </c>
      <c r="H39" s="6811"/>
      <c r="I39" s="6811">
        <f>+I37+I30+I21+I14+I38</f>
        <v>30559</v>
      </c>
      <c r="J39" s="6811"/>
      <c r="K39" s="1220">
        <f t="shared" si="6"/>
        <v>149580</v>
      </c>
      <c r="L39" s="6811"/>
      <c r="M39" s="6811">
        <f>+M37+M30+M21+M14+M38</f>
        <v>58736</v>
      </c>
      <c r="N39" s="6811"/>
      <c r="O39" s="1553">
        <f t="shared" si="7"/>
        <v>208316</v>
      </c>
      <c r="P39" s="6811"/>
      <c r="Q39" s="6811">
        <f>+Q37+Q30+Q21+Q14+Q38</f>
        <v>57457</v>
      </c>
      <c r="R39" s="6811"/>
      <c r="S39" s="1462">
        <f t="shared" si="8"/>
        <v>265773</v>
      </c>
      <c r="T39" s="6811"/>
      <c r="U39" s="6811">
        <f>+U37+U30+U21+U14+U38</f>
        <v>56457.135000000002</v>
      </c>
      <c r="V39" s="6811"/>
      <c r="W39" s="1220">
        <f t="shared" si="0"/>
        <v>172650.13500000001</v>
      </c>
      <c r="X39" s="6811"/>
      <c r="Y39" s="3193">
        <f t="shared" si="1"/>
        <v>322230.13500000001</v>
      </c>
      <c r="Z39" s="6811"/>
      <c r="AA39" s="6811">
        <f>+AA37+AA30+AA21+AA14+AA38</f>
        <v>53911.783000000003</v>
      </c>
      <c r="AB39" s="6811"/>
      <c r="AC39" s="3187">
        <f t="shared" si="9"/>
        <v>376141.91800000001</v>
      </c>
      <c r="AD39" s="6811"/>
      <c r="AE39" s="6811">
        <f>+AE37+AE30+AE21+AE14+AE38</f>
        <v>0</v>
      </c>
      <c r="AF39" s="6811"/>
      <c r="AG39" s="3187">
        <f t="shared" si="10"/>
        <v>376141.91800000001</v>
      </c>
      <c r="AH39" s="6811"/>
      <c r="AI39" s="6811">
        <f>+AI37+AI30+AI21+AI14+AI38</f>
        <v>58528.298000000003</v>
      </c>
      <c r="AJ39" s="6811"/>
      <c r="AK39" s="1220">
        <f t="shared" si="2"/>
        <v>112440.08100000001</v>
      </c>
      <c r="AL39" s="6811"/>
      <c r="AM39" s="3187">
        <f t="shared" si="11"/>
        <v>434670.21600000001</v>
      </c>
      <c r="AN39" s="6811"/>
      <c r="AO39" s="6811">
        <f>+AO37+AO30+AO21+AO14+AO38</f>
        <v>62333.450000000004</v>
      </c>
      <c r="AP39" s="6811">
        <f t="shared" ref="AP39:BB39" si="16">+AP37+AP30+AP21+AP14+AP38</f>
        <v>0</v>
      </c>
      <c r="AQ39" s="3187">
        <f t="shared" si="12"/>
        <v>497003.66600000003</v>
      </c>
      <c r="AR39" s="6811">
        <f t="shared" si="16"/>
        <v>0</v>
      </c>
      <c r="AS39" s="6811">
        <f t="shared" si="16"/>
        <v>58904.739000000009</v>
      </c>
      <c r="AT39" s="6811">
        <f t="shared" si="16"/>
        <v>0</v>
      </c>
      <c r="AU39" s="3187">
        <f t="shared" si="13"/>
        <v>555908.40500000003</v>
      </c>
      <c r="AV39" s="6811">
        <f t="shared" si="16"/>
        <v>0</v>
      </c>
      <c r="AW39" s="6811">
        <f t="shared" si="16"/>
        <v>71685.106999999989</v>
      </c>
      <c r="AX39" s="6811">
        <f t="shared" si="16"/>
        <v>0</v>
      </c>
      <c r="AY39" s="1220">
        <f t="shared" si="3"/>
        <v>192923.296</v>
      </c>
      <c r="AZ39" s="6811">
        <f t="shared" si="16"/>
        <v>0</v>
      </c>
      <c r="BA39" s="3193">
        <f t="shared" si="14"/>
        <v>305363.37699999998</v>
      </c>
      <c r="BB39" s="6811">
        <f t="shared" si="16"/>
        <v>0</v>
      </c>
      <c r="BC39" s="1553">
        <f t="shared" si="4"/>
        <v>627593.51199999999</v>
      </c>
    </row>
    <row r="41" spans="1:62" x14ac:dyDescent="0.25">
      <c r="C41" s="4860">
        <f>+C39-(SMS!F38+SMS!F39+SMS!F40+SMS!F41)</f>
        <v>-1.569999999999709</v>
      </c>
      <c r="E41" s="4860">
        <f>+E39-(SMS!H38+SMS!H39+SMS!H40+SMS!H41)</f>
        <v>-0.55999999999767169</v>
      </c>
      <c r="I41" s="4860">
        <f>+I39-(SMS!L38+SMS!L39+SMS!L40+SMS!L41)</f>
        <v>1.0400000000008731</v>
      </c>
      <c r="M41" s="4860">
        <f>+M39-(SMS!P38+SMS!P39+SMS!P40+SMS!P41)</f>
        <v>5.0899999999965075</v>
      </c>
      <c r="O41" s="4860">
        <f>+O39-(SMS!R38+SMS!R39+SMS!R40+SMS!R41)</f>
        <v>4</v>
      </c>
      <c r="Q41" s="4860">
        <f>+Q39-(SMS!T38+SMS!T39+SMS!T40+SMS!T41)</f>
        <v>0.15000000000145519</v>
      </c>
      <c r="U41" s="4860">
        <f>+U39-(SMS!X38+SMS!X39+SMS!X40+SMS!X41)</f>
        <v>0.33499999999912689</v>
      </c>
      <c r="W41" s="4860">
        <f>+W39-(SMS!Z38+SMS!Z39+SMS!Z40+SMS!Z41)</f>
        <v>5.5750000000116415</v>
      </c>
      <c r="Y41" s="4860">
        <f>+Y39-(SMS!AB38+SMS!AB39+SMS!AB40+SMS!AB41)</f>
        <v>4.4849999999860302</v>
      </c>
      <c r="AA41" s="4860">
        <f>+AA39-(SMS!AD38+SMS!AD39+SMS!AD40+SMS!AD41)</f>
        <v>0.82300000000395812</v>
      </c>
      <c r="AC41" s="4860">
        <f>+AC39-(SMS!AF38+SMS!AF39+SMS!AF40+SMS!AF41)</f>
        <v>5.3080000000190921</v>
      </c>
      <c r="AE41" s="4860">
        <f>+AE39-(SMS!AH38+SMS!AH39+SMS!AH40+SMS!AH41)</f>
        <v>0</v>
      </c>
      <c r="AF41" s="4860">
        <f>+AF39-(SMS!AI38+SMS!AI39+SMS!AI40+SMS!AI41)</f>
        <v>-407972.49685813516</v>
      </c>
      <c r="AG41" s="4860">
        <f>+AG39-(SMS!AJ38+SMS!AJ39+SMS!AJ40+SMS!AJ41)</f>
        <v>5.3080000000190921</v>
      </c>
      <c r="AI41" s="4860">
        <f>+AI39-(SMS!AL38+SMS!AL39+SMS!AL40+SMS!AL41)</f>
        <v>-1.0619999999980791</v>
      </c>
      <c r="AK41" s="4860">
        <f>+AK39-(SMS!AN38+SMS!AN39+SMS!AN40+SMS!AN41)</f>
        <v>-0.23900000000139698</v>
      </c>
      <c r="AO41" s="4860">
        <f>+AO39-(SMS!AR38+SMS!AR39+SMS!AR40+SMS!AR41)</f>
        <v>-0.6599999999962165</v>
      </c>
      <c r="AS41" s="4860">
        <f>+AS39-(SMS!AV38+SMS!AV39+SMS!AV40+SMS!AV41)</f>
        <v>-1.0709999999889988</v>
      </c>
      <c r="AW41" s="4860">
        <f>+AW39-(SMS!AZ38+SMS!AZ39+SMS!AZ40+SMS!AZ41)</f>
        <v>-0.59300000002258457</v>
      </c>
      <c r="AY41" s="4860">
        <f>+AY39-(SMS!BB38+SMS!BB39+SMS!BB40+SMS!BB41)</f>
        <v>-2.3239999999932479</v>
      </c>
      <c r="BA41" s="4860">
        <f>+BA39-(SMS!BD38+SMS!BD39+SMS!BD40+SMS!BD41)</f>
        <v>-2.5630000000237487</v>
      </c>
      <c r="BC41" s="4860">
        <f>+BC39-(SMS!BF38+SMS!BF39+SMS!BF40+SMS!BF41)</f>
        <v>1.9220000000204891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67"/>
  <sheetViews>
    <sheetView zoomScale="130" zoomScaleNormal="130" workbookViewId="0">
      <selection activeCell="C81" sqref="C81"/>
    </sheetView>
  </sheetViews>
  <sheetFormatPr defaultRowHeight="15" x14ac:dyDescent="0.25"/>
  <cols>
    <col min="1" max="1" width="9.140625" style="3345"/>
    <col min="2" max="2" width="11.7109375" style="3345" customWidth="1"/>
    <col min="3" max="3" width="42.7109375" style="3345" customWidth="1"/>
    <col min="4" max="4" width="11" style="3345" hidden="1" customWidth="1"/>
    <col min="5" max="5" width="10.5703125" style="3345" bestFit="1" customWidth="1"/>
    <col min="6" max="6" width="10.5703125" style="4712" hidden="1" customWidth="1"/>
    <col min="7" max="7" width="10.5703125" style="3345" bestFit="1" customWidth="1"/>
    <col min="8" max="8" width="10.5703125" style="4712" hidden="1" customWidth="1"/>
    <col min="9" max="9" width="10.5703125" style="4712" customWidth="1"/>
    <col min="10" max="10" width="10.5703125" style="4712" hidden="1" customWidth="1"/>
    <col min="11" max="11" width="10.5703125" style="3345" hidden="1" customWidth="1"/>
    <col min="12" max="14" width="10.5703125" style="4712" hidden="1" customWidth="1"/>
    <col min="15" max="15" width="10.5703125" style="3345" hidden="1" customWidth="1"/>
    <col min="16" max="18" width="10.5703125" style="4712" hidden="1" customWidth="1"/>
    <col min="19" max="19" width="10.5703125" style="3345" hidden="1" customWidth="1"/>
    <col min="20" max="22" width="10.5703125" style="4712" hidden="1" customWidth="1"/>
    <col min="23" max="23" width="10.5703125" style="3345" hidden="1" customWidth="1"/>
    <col min="24" max="28" width="10.5703125" style="4712" hidden="1" customWidth="1"/>
    <col min="29" max="29" width="10.5703125" style="233" hidden="1" customWidth="1"/>
    <col min="30" max="32" width="10.5703125" style="4712" hidden="1" customWidth="1"/>
    <col min="33" max="33" width="10.5703125" style="3345" hidden="1" customWidth="1"/>
    <col min="34" max="36" width="10.5703125" style="4712" hidden="1" customWidth="1"/>
    <col min="37" max="37" width="10.5703125" style="233" hidden="1" customWidth="1"/>
    <col min="38" max="42" width="10.5703125" style="4712" hidden="1" customWidth="1"/>
    <col min="43" max="43" width="10.5703125" style="3345" hidden="1" customWidth="1"/>
    <col min="44" max="53" width="10.5703125" style="4712" hidden="1" customWidth="1"/>
    <col min="54" max="54" width="10.5703125" style="3345" hidden="1" customWidth="1"/>
    <col min="55" max="55" width="10.5703125" style="4712" hidden="1" customWidth="1"/>
    <col min="56" max="56" width="10.5703125" style="3345" hidden="1" customWidth="1"/>
    <col min="57" max="57" width="11.5703125" style="3345" hidden="1" customWidth="1"/>
    <col min="58" max="16384" width="9.140625" style="3345"/>
  </cols>
  <sheetData>
    <row r="2" spans="3:57" ht="15.75" thickBot="1" x14ac:dyDescent="0.3"/>
    <row r="3" spans="3:57" s="33" customFormat="1" ht="15.75" hidden="1" thickBot="1" x14ac:dyDescent="0.3">
      <c r="C3" s="3139"/>
      <c r="D3" s="3139"/>
      <c r="E3" s="3139" t="s">
        <v>1810</v>
      </c>
      <c r="F3" s="3139"/>
      <c r="G3" s="3139" t="s">
        <v>1414</v>
      </c>
      <c r="H3" s="3139"/>
      <c r="I3" s="3139"/>
      <c r="J3" s="3139"/>
      <c r="K3" s="3139" t="s">
        <v>1479</v>
      </c>
      <c r="L3" s="3139"/>
      <c r="M3" s="3139"/>
      <c r="N3" s="3139"/>
      <c r="O3" s="3139" t="s">
        <v>1534</v>
      </c>
      <c r="P3" s="3139"/>
      <c r="Q3" s="3139"/>
      <c r="R3" s="3139"/>
      <c r="S3" s="3139" t="s">
        <v>1571</v>
      </c>
      <c r="T3" s="3139"/>
      <c r="U3" s="3139"/>
      <c r="V3" s="3139"/>
      <c r="W3" s="3139" t="s">
        <v>1628</v>
      </c>
      <c r="X3" s="3139"/>
      <c r="Y3" s="3139"/>
      <c r="Z3" s="3139"/>
      <c r="AA3" s="3139"/>
      <c r="AB3" s="3139"/>
      <c r="AC3" s="6619" t="s">
        <v>1647</v>
      </c>
      <c r="AD3" s="3139"/>
      <c r="AE3" s="3139"/>
      <c r="AF3" s="3139"/>
      <c r="AG3" s="3139" t="s">
        <v>1667</v>
      </c>
      <c r="AH3" s="3139"/>
      <c r="AI3" s="3139"/>
      <c r="AJ3" s="3139"/>
      <c r="AK3" s="6619" t="s">
        <v>1686</v>
      </c>
      <c r="AL3" s="3139"/>
      <c r="AM3" s="3139"/>
      <c r="AN3" s="3139"/>
      <c r="AO3" s="3139"/>
      <c r="AP3" s="3139"/>
      <c r="AQ3" s="3139" t="s">
        <v>1706</v>
      </c>
      <c r="AR3" s="3139"/>
      <c r="AS3" s="3139"/>
      <c r="AT3" s="3139"/>
      <c r="AU3" s="3139"/>
      <c r="AV3" s="3139"/>
      <c r="AW3" s="3139"/>
      <c r="AX3" s="3139"/>
      <c r="AY3" s="3139"/>
      <c r="AZ3" s="3139"/>
      <c r="BA3" s="3139"/>
      <c r="BB3" s="3139" t="s">
        <v>1716</v>
      </c>
      <c r="BC3" s="3139"/>
      <c r="BD3" s="3139" t="s">
        <v>1731</v>
      </c>
      <c r="BE3" s="3139" t="s">
        <v>1408</v>
      </c>
    </row>
    <row r="4" spans="3:57" ht="15.75" hidden="1" thickBot="1" x14ac:dyDescent="0.3">
      <c r="C4" s="3199" t="s">
        <v>1208</v>
      </c>
      <c r="D4" s="3199"/>
      <c r="E4" s="3353">
        <v>5753.3300000000008</v>
      </c>
      <c r="F4" s="3353"/>
      <c r="G4" s="3353">
        <v>7402.9009999999989</v>
      </c>
      <c r="H4" s="3353"/>
      <c r="I4" s="3353"/>
      <c r="J4" s="3353"/>
      <c r="K4" s="3353">
        <v>3517.8110000000006</v>
      </c>
      <c r="L4" s="3353"/>
      <c r="M4" s="3353"/>
      <c r="N4" s="3353"/>
      <c r="O4" s="3353">
        <v>4868.7290000000012</v>
      </c>
      <c r="P4" s="3353"/>
      <c r="Q4" s="3353"/>
      <c r="R4" s="3353"/>
      <c r="S4" s="3353">
        <v>5449.8919999999998</v>
      </c>
      <c r="T4" s="3353"/>
      <c r="U4" s="3353"/>
      <c r="V4" s="3353"/>
      <c r="W4" s="3353">
        <v>4386.5499999999993</v>
      </c>
      <c r="X4" s="3353"/>
      <c r="Y4" s="3353"/>
      <c r="Z4" s="3353"/>
      <c r="AA4" s="3353"/>
      <c r="AB4" s="3353"/>
      <c r="AC4" s="6620">
        <v>7058.6459999999988</v>
      </c>
      <c r="AD4" s="3353"/>
      <c r="AE4" s="3353"/>
      <c r="AF4" s="3353"/>
      <c r="AG4" s="3353">
        <v>5486</v>
      </c>
      <c r="AH4" s="3353"/>
      <c r="AI4" s="3353"/>
      <c r="AJ4" s="3353"/>
      <c r="AK4" s="6620">
        <v>8003</v>
      </c>
      <c r="AL4" s="3353"/>
      <c r="AM4" s="3353"/>
      <c r="AN4" s="3353"/>
      <c r="AO4" s="3353"/>
      <c r="AP4" s="3353"/>
      <c r="AQ4" s="3353">
        <v>5811</v>
      </c>
      <c r="AR4" s="3353"/>
      <c r="AS4" s="3353"/>
      <c r="AT4" s="3353"/>
      <c r="AU4" s="3353"/>
      <c r="AV4" s="3353"/>
      <c r="AW4" s="3353"/>
      <c r="AX4" s="3353"/>
      <c r="AY4" s="3353"/>
      <c r="AZ4" s="3353"/>
      <c r="BA4" s="3353"/>
      <c r="BB4" s="3353">
        <v>7902.131999999996</v>
      </c>
      <c r="BC4" s="3353"/>
      <c r="BD4" s="3353">
        <v>5583</v>
      </c>
      <c r="BE4" s="3353">
        <v>71222.990999999995</v>
      </c>
    </row>
    <row r="5" spans="3:57" ht="15.75" hidden="1" thickBot="1" x14ac:dyDescent="0.3">
      <c r="C5" s="3199" t="s">
        <v>1419</v>
      </c>
      <c r="D5" s="3199"/>
      <c r="E5" s="3353">
        <v>5558.0140000000001</v>
      </c>
      <c r="F5" s="3353"/>
      <c r="G5" s="3353">
        <v>3052.8740000000007</v>
      </c>
      <c r="H5" s="3353"/>
      <c r="I5" s="3353"/>
      <c r="J5" s="3353"/>
      <c r="K5" s="3353">
        <v>6780.8620000000001</v>
      </c>
      <c r="L5" s="3353"/>
      <c r="M5" s="3353"/>
      <c r="N5" s="3353"/>
      <c r="O5" s="3353">
        <v>3450.0789999999997</v>
      </c>
      <c r="P5" s="3353"/>
      <c r="Q5" s="3353"/>
      <c r="R5" s="3353"/>
      <c r="S5" s="3353">
        <v>4758.6139999999996</v>
      </c>
      <c r="T5" s="3353"/>
      <c r="U5" s="3353"/>
      <c r="V5" s="3353"/>
      <c r="W5" s="3353">
        <v>6105.2320000000009</v>
      </c>
      <c r="X5" s="3353"/>
      <c r="Y5" s="3353"/>
      <c r="Z5" s="3353"/>
      <c r="AA5" s="3353"/>
      <c r="AB5" s="3353"/>
      <c r="AC5" s="6620">
        <v>3640.308</v>
      </c>
      <c r="AD5" s="3353"/>
      <c r="AE5" s="3353"/>
      <c r="AF5" s="3353"/>
      <c r="AG5" s="3353">
        <v>6947</v>
      </c>
      <c r="AH5" s="3353"/>
      <c r="AI5" s="3353"/>
      <c r="AJ5" s="3353"/>
      <c r="AK5" s="6620">
        <v>7777</v>
      </c>
      <c r="AL5" s="3353"/>
      <c r="AM5" s="3353"/>
      <c r="AN5" s="3353"/>
      <c r="AO5" s="3353"/>
      <c r="AP5" s="3353"/>
      <c r="AQ5" s="3353">
        <v>9148</v>
      </c>
      <c r="AR5" s="3353"/>
      <c r="AS5" s="3353"/>
      <c r="AT5" s="3353"/>
      <c r="AU5" s="3353"/>
      <c r="AV5" s="3353"/>
      <c r="AW5" s="3353"/>
      <c r="AX5" s="3353"/>
      <c r="AY5" s="3353"/>
      <c r="AZ5" s="3353"/>
      <c r="BA5" s="3353"/>
      <c r="BB5" s="3353">
        <v>3545.1780000000003</v>
      </c>
      <c r="BC5" s="3353"/>
      <c r="BD5" s="3353">
        <v>10058</v>
      </c>
      <c r="BE5" s="3353">
        <v>70821.160999999993</v>
      </c>
    </row>
    <row r="6" spans="3:57" ht="15.75" hidden="1" thickBot="1" x14ac:dyDescent="0.3">
      <c r="C6" s="3199" t="s">
        <v>1420</v>
      </c>
      <c r="D6" s="3199"/>
      <c r="E6" s="3353">
        <v>4443.4390000000003</v>
      </c>
      <c r="F6" s="3353"/>
      <c r="G6" s="3353">
        <v>7288.2589999999982</v>
      </c>
      <c r="H6" s="3353"/>
      <c r="I6" s="3353"/>
      <c r="J6" s="3353"/>
      <c r="K6" s="3353">
        <v>1320.5059999999999</v>
      </c>
      <c r="L6" s="3353"/>
      <c r="M6" s="3353"/>
      <c r="N6" s="3353"/>
      <c r="O6" s="3353">
        <v>4462.0449999999992</v>
      </c>
      <c r="P6" s="3353"/>
      <c r="Q6" s="3353"/>
      <c r="R6" s="3353"/>
      <c r="S6" s="3353">
        <v>5506.9699999999984</v>
      </c>
      <c r="T6" s="3353"/>
      <c r="U6" s="3353"/>
      <c r="V6" s="3353"/>
      <c r="W6" s="3353">
        <v>4458.4260000000004</v>
      </c>
      <c r="X6" s="3353"/>
      <c r="Y6" s="3353"/>
      <c r="Z6" s="3353"/>
      <c r="AA6" s="3353"/>
      <c r="AB6" s="3353"/>
      <c r="AC6" s="6620">
        <v>3595.9140000000007</v>
      </c>
      <c r="AD6" s="3353"/>
      <c r="AE6" s="3353"/>
      <c r="AF6" s="3353"/>
      <c r="AG6" s="3353">
        <v>2604</v>
      </c>
      <c r="AH6" s="3353"/>
      <c r="AI6" s="3353"/>
      <c r="AJ6" s="3353"/>
      <c r="AK6" s="6620">
        <v>5331</v>
      </c>
      <c r="AL6" s="3353"/>
      <c r="AM6" s="3353"/>
      <c r="AN6" s="3353"/>
      <c r="AO6" s="3353"/>
      <c r="AP6" s="3353"/>
      <c r="AQ6" s="3353">
        <v>7591</v>
      </c>
      <c r="AR6" s="3353"/>
      <c r="AS6" s="3353"/>
      <c r="AT6" s="3353"/>
      <c r="AU6" s="3353"/>
      <c r="AV6" s="3353"/>
      <c r="AW6" s="3353"/>
      <c r="AX6" s="3353"/>
      <c r="AY6" s="3353"/>
      <c r="AZ6" s="3353"/>
      <c r="BA6" s="3353"/>
      <c r="BB6" s="3353">
        <v>4384.4360000000006</v>
      </c>
      <c r="BC6" s="3353"/>
      <c r="BD6" s="3353">
        <v>2070</v>
      </c>
      <c r="BE6" s="3353">
        <v>53055.994999999995</v>
      </c>
    </row>
    <row r="7" spans="3:57" ht="15.75" hidden="1" thickBot="1" x14ac:dyDescent="0.3">
      <c r="C7" s="3199" t="s">
        <v>1482</v>
      </c>
      <c r="D7" s="3199"/>
      <c r="E7" s="3353">
        <v>0</v>
      </c>
      <c r="F7" s="3353"/>
      <c r="G7" s="3353">
        <v>0</v>
      </c>
      <c r="H7" s="3353"/>
      <c r="I7" s="3353"/>
      <c r="J7" s="3353"/>
      <c r="K7" s="3353">
        <v>89.165999999999997</v>
      </c>
      <c r="L7" s="3353"/>
      <c r="M7" s="3353"/>
      <c r="N7" s="3353"/>
      <c r="O7" s="3353">
        <v>0</v>
      </c>
      <c r="P7" s="3353"/>
      <c r="Q7" s="3353"/>
      <c r="R7" s="3353"/>
      <c r="S7" s="3353">
        <v>0</v>
      </c>
      <c r="T7" s="3353"/>
      <c r="U7" s="3353"/>
      <c r="V7" s="3353"/>
      <c r="W7" s="3353">
        <v>0</v>
      </c>
      <c r="X7" s="3353"/>
      <c r="Y7" s="3353"/>
      <c r="Z7" s="3353"/>
      <c r="AA7" s="3353"/>
      <c r="AB7" s="3353"/>
      <c r="AC7" s="6620">
        <v>0</v>
      </c>
      <c r="AD7" s="3353"/>
      <c r="AE7" s="3353"/>
      <c r="AF7" s="3353"/>
      <c r="AG7" s="3353">
        <v>0</v>
      </c>
      <c r="AH7" s="3353"/>
      <c r="AI7" s="3353"/>
      <c r="AJ7" s="3353"/>
      <c r="AK7" s="6620">
        <v>0</v>
      </c>
      <c r="AL7" s="3353"/>
      <c r="AM7" s="3353"/>
      <c r="AN7" s="3353"/>
      <c r="AO7" s="3353"/>
      <c r="AP7" s="3353"/>
      <c r="AQ7" s="3353">
        <v>0</v>
      </c>
      <c r="AR7" s="3353"/>
      <c r="AS7" s="3353"/>
      <c r="AT7" s="3353"/>
      <c r="AU7" s="3353"/>
      <c r="AV7" s="3353"/>
      <c r="AW7" s="3353"/>
      <c r="AX7" s="3353"/>
      <c r="AY7" s="3353"/>
      <c r="AZ7" s="3353"/>
      <c r="BA7" s="3353"/>
      <c r="BB7" s="3353">
        <v>0</v>
      </c>
      <c r="BC7" s="3353"/>
      <c r="BD7" s="3353">
        <v>0</v>
      </c>
      <c r="BE7" s="3353">
        <v>89.165999999999997</v>
      </c>
    </row>
    <row r="8" spans="3:57" ht="15.75" hidden="1" thickBot="1" x14ac:dyDescent="0.3">
      <c r="C8" s="3199" t="s">
        <v>1688</v>
      </c>
      <c r="D8" s="3199"/>
      <c r="E8" s="3353">
        <v>0</v>
      </c>
      <c r="F8" s="3353"/>
      <c r="G8" s="3353">
        <v>0</v>
      </c>
      <c r="H8" s="3353"/>
      <c r="I8" s="3353"/>
      <c r="J8" s="3353"/>
      <c r="K8" s="3353">
        <v>0</v>
      </c>
      <c r="L8" s="3353"/>
      <c r="M8" s="3353"/>
      <c r="N8" s="3353"/>
      <c r="O8" s="3353">
        <v>0</v>
      </c>
      <c r="P8" s="3353"/>
      <c r="Q8" s="3353"/>
      <c r="R8" s="3353"/>
      <c r="S8" s="3353">
        <v>0</v>
      </c>
      <c r="T8" s="3353"/>
      <c r="U8" s="3353"/>
      <c r="V8" s="3353"/>
      <c r="W8" s="3353">
        <v>0</v>
      </c>
      <c r="X8" s="3353"/>
      <c r="Y8" s="3353"/>
      <c r="Z8" s="3353"/>
      <c r="AA8" s="3353"/>
      <c r="AB8" s="3353"/>
      <c r="AC8" s="6620">
        <v>0</v>
      </c>
      <c r="AD8" s="3353"/>
      <c r="AE8" s="3353"/>
      <c r="AF8" s="3353"/>
      <c r="AG8" s="3353">
        <v>0</v>
      </c>
      <c r="AH8" s="3353"/>
      <c r="AI8" s="3353"/>
      <c r="AJ8" s="3353"/>
      <c r="AK8" s="6620">
        <v>95</v>
      </c>
      <c r="AL8" s="3353"/>
      <c r="AM8" s="3353"/>
      <c r="AN8" s="3353"/>
      <c r="AO8" s="3353"/>
      <c r="AP8" s="3353"/>
      <c r="AQ8" s="3353">
        <v>0</v>
      </c>
      <c r="AR8" s="3353"/>
      <c r="AS8" s="3353"/>
      <c r="AT8" s="3353"/>
      <c r="AU8" s="3353"/>
      <c r="AV8" s="3353"/>
      <c r="AW8" s="3353"/>
      <c r="AX8" s="3353"/>
      <c r="AY8" s="3353"/>
      <c r="AZ8" s="3353"/>
      <c r="BA8" s="3353"/>
      <c r="BB8" s="3353">
        <v>0</v>
      </c>
      <c r="BC8" s="3353"/>
      <c r="BD8" s="3353">
        <v>0</v>
      </c>
      <c r="BE8" s="3353">
        <v>95</v>
      </c>
    </row>
    <row r="9" spans="3:57" ht="15.75" hidden="1" thickBot="1" x14ac:dyDescent="0.3">
      <c r="C9" s="3199" t="s">
        <v>1421</v>
      </c>
      <c r="D9" s="3199"/>
      <c r="E9" s="3353">
        <v>367.279</v>
      </c>
      <c r="F9" s="3353"/>
      <c r="G9" s="3353">
        <v>420.35399999999998</v>
      </c>
      <c r="H9" s="3353"/>
      <c r="I9" s="3353"/>
      <c r="J9" s="3353"/>
      <c r="K9" s="3353">
        <v>709.08199999999988</v>
      </c>
      <c r="L9" s="3353"/>
      <c r="M9" s="3353"/>
      <c r="N9" s="3353"/>
      <c r="O9" s="3353">
        <v>0</v>
      </c>
      <c r="P9" s="3353"/>
      <c r="Q9" s="3353"/>
      <c r="R9" s="3353"/>
      <c r="S9" s="3353">
        <v>555.98199999999997</v>
      </c>
      <c r="T9" s="3353"/>
      <c r="U9" s="3353"/>
      <c r="V9" s="3353"/>
      <c r="W9" s="3353">
        <v>661.68200000000002</v>
      </c>
      <c r="X9" s="3353"/>
      <c r="Y9" s="3353"/>
      <c r="Z9" s="3353"/>
      <c r="AA9" s="3353"/>
      <c r="AB9" s="3353"/>
      <c r="AC9" s="6620">
        <v>112.042</v>
      </c>
      <c r="AD9" s="3353"/>
      <c r="AE9" s="3353"/>
      <c r="AF9" s="3353"/>
      <c r="AG9" s="3353">
        <v>702</v>
      </c>
      <c r="AH9" s="3353"/>
      <c r="AI9" s="3353"/>
      <c r="AJ9" s="3353"/>
      <c r="AK9" s="6620">
        <v>0</v>
      </c>
      <c r="AL9" s="3353"/>
      <c r="AM9" s="3353"/>
      <c r="AN9" s="3353"/>
      <c r="AO9" s="3353"/>
      <c r="AP9" s="3353"/>
      <c r="AQ9" s="3353">
        <v>715</v>
      </c>
      <c r="AR9" s="3353"/>
      <c r="AS9" s="3353"/>
      <c r="AT9" s="3353"/>
      <c r="AU9" s="3353"/>
      <c r="AV9" s="3353"/>
      <c r="AW9" s="3353"/>
      <c r="AX9" s="3353"/>
      <c r="AY9" s="3353"/>
      <c r="AZ9" s="3353"/>
      <c r="BA9" s="3353"/>
      <c r="BB9" s="3353">
        <v>0</v>
      </c>
      <c r="BC9" s="3353"/>
      <c r="BD9" s="3353">
        <v>564</v>
      </c>
      <c r="BE9" s="3353">
        <v>4807.4210000000003</v>
      </c>
    </row>
    <row r="10" spans="3:57" ht="15.75" hidden="1" thickBot="1" x14ac:dyDescent="0.3">
      <c r="C10" s="3199" t="s">
        <v>1422</v>
      </c>
      <c r="D10" s="3199"/>
      <c r="E10" s="3353">
        <v>0</v>
      </c>
      <c r="F10" s="3353"/>
      <c r="G10" s="3353">
        <v>2891.5260000000003</v>
      </c>
      <c r="H10" s="3353"/>
      <c r="I10" s="3353"/>
      <c r="J10" s="3353"/>
      <c r="K10" s="3353">
        <v>2857.5580000000004</v>
      </c>
      <c r="L10" s="3353"/>
      <c r="M10" s="3353"/>
      <c r="N10" s="3353"/>
      <c r="O10" s="3353">
        <v>5052.4599999999991</v>
      </c>
      <c r="P10" s="3353"/>
      <c r="Q10" s="3353"/>
      <c r="R10" s="3353"/>
      <c r="S10" s="3353">
        <v>1002.0359999999999</v>
      </c>
      <c r="T10" s="3353"/>
      <c r="U10" s="3353"/>
      <c r="V10" s="3353"/>
      <c r="W10" s="3353">
        <v>5160.2740000000003</v>
      </c>
      <c r="X10" s="3353"/>
      <c r="Y10" s="3353"/>
      <c r="Z10" s="3353"/>
      <c r="AA10" s="3353"/>
      <c r="AB10" s="3353"/>
      <c r="AC10" s="6620">
        <v>6481.5239999999985</v>
      </c>
      <c r="AD10" s="3353"/>
      <c r="AE10" s="3353"/>
      <c r="AF10" s="3353"/>
      <c r="AG10" s="3353">
        <v>2530</v>
      </c>
      <c r="AH10" s="3353"/>
      <c r="AI10" s="3353"/>
      <c r="AJ10" s="3353"/>
      <c r="AK10" s="6620">
        <v>2927</v>
      </c>
      <c r="AL10" s="3353"/>
      <c r="AM10" s="3353"/>
      <c r="AN10" s="3353"/>
      <c r="AO10" s="3353"/>
      <c r="AP10" s="3353"/>
      <c r="AQ10" s="3353">
        <v>0</v>
      </c>
      <c r="AR10" s="3353"/>
      <c r="AS10" s="3353"/>
      <c r="AT10" s="3353"/>
      <c r="AU10" s="3353"/>
      <c r="AV10" s="3353"/>
      <c r="AW10" s="3353"/>
      <c r="AX10" s="3353"/>
      <c r="AY10" s="3353"/>
      <c r="AZ10" s="3353"/>
      <c r="BA10" s="3353"/>
      <c r="BB10" s="3353">
        <v>0</v>
      </c>
      <c r="BC10" s="3353"/>
      <c r="BD10" s="3353">
        <v>1454</v>
      </c>
      <c r="BE10" s="3353">
        <v>30356.377999999997</v>
      </c>
    </row>
    <row r="11" spans="3:57" ht="15.75" hidden="1" thickBot="1" x14ac:dyDescent="0.3">
      <c r="C11" s="3199" t="s">
        <v>1209</v>
      </c>
      <c r="D11" s="3199"/>
      <c r="E11" s="3353">
        <v>2246.134</v>
      </c>
      <c r="F11" s="3353"/>
      <c r="G11" s="3353">
        <v>1167.6500000000001</v>
      </c>
      <c r="H11" s="3353"/>
      <c r="I11" s="3353"/>
      <c r="J11" s="3353"/>
      <c r="K11" s="3353">
        <v>2660.1189999999997</v>
      </c>
      <c r="L11" s="3353"/>
      <c r="M11" s="3353"/>
      <c r="N11" s="3353"/>
      <c r="O11" s="3353">
        <v>3776.8170000000005</v>
      </c>
      <c r="P11" s="3353"/>
      <c r="Q11" s="3353"/>
      <c r="R11" s="3353"/>
      <c r="S11" s="3353">
        <v>8745.6179999999986</v>
      </c>
      <c r="T11" s="3353"/>
      <c r="U11" s="3353"/>
      <c r="V11" s="3353"/>
      <c r="W11" s="3353">
        <v>3684.7019999999998</v>
      </c>
      <c r="X11" s="3353"/>
      <c r="Y11" s="3353"/>
      <c r="Z11" s="3353"/>
      <c r="AA11" s="3353"/>
      <c r="AB11" s="3353"/>
      <c r="AC11" s="6620">
        <v>3094.8960000000002</v>
      </c>
      <c r="AD11" s="3353"/>
      <c r="AE11" s="3353"/>
      <c r="AF11" s="3353"/>
      <c r="AG11" s="3353">
        <v>302</v>
      </c>
      <c r="AH11" s="3353"/>
      <c r="AI11" s="3353"/>
      <c r="AJ11" s="3353"/>
      <c r="AK11" s="6620">
        <v>1471</v>
      </c>
      <c r="AL11" s="3353"/>
      <c r="AM11" s="3353"/>
      <c r="AN11" s="3353"/>
      <c r="AO11" s="3353"/>
      <c r="AP11" s="3353"/>
      <c r="AQ11" s="3353">
        <v>4657</v>
      </c>
      <c r="AR11" s="3353"/>
      <c r="AS11" s="3353"/>
      <c r="AT11" s="3353"/>
      <c r="AU11" s="3353"/>
      <c r="AV11" s="3353"/>
      <c r="AW11" s="3353"/>
      <c r="AX11" s="3353"/>
      <c r="AY11" s="3353"/>
      <c r="AZ11" s="3353"/>
      <c r="BA11" s="3353"/>
      <c r="BB11" s="3353">
        <v>2534.6860000000001</v>
      </c>
      <c r="BC11" s="3353"/>
      <c r="BD11" s="3353">
        <v>1152</v>
      </c>
      <c r="BE11" s="3353">
        <v>35492.622000000003</v>
      </c>
    </row>
    <row r="12" spans="3:57" ht="15.75" hidden="1" thickBot="1" x14ac:dyDescent="0.3">
      <c r="C12" s="3199" t="s">
        <v>1261</v>
      </c>
      <c r="D12" s="3199"/>
      <c r="E12" s="3353">
        <v>683.60599999999999</v>
      </c>
      <c r="F12" s="3353"/>
      <c r="G12" s="3353">
        <v>1946.7909999999997</v>
      </c>
      <c r="H12" s="3353"/>
      <c r="I12" s="3353"/>
      <c r="J12" s="3353"/>
      <c r="K12" s="3353">
        <v>3651.5600000000013</v>
      </c>
      <c r="L12" s="3353"/>
      <c r="M12" s="3353"/>
      <c r="N12" s="3353"/>
      <c r="O12" s="3353">
        <v>4077.0480000000011</v>
      </c>
      <c r="P12" s="3353"/>
      <c r="Q12" s="3353"/>
      <c r="R12" s="3353"/>
      <c r="S12" s="3353">
        <v>6033.3559999999979</v>
      </c>
      <c r="T12" s="3353"/>
      <c r="U12" s="3353"/>
      <c r="V12" s="3353"/>
      <c r="W12" s="3353">
        <v>2545.2559999999999</v>
      </c>
      <c r="X12" s="3353"/>
      <c r="Y12" s="3353"/>
      <c r="Z12" s="3353"/>
      <c r="AA12" s="3353"/>
      <c r="AB12" s="3353"/>
      <c r="AC12" s="6620">
        <v>2001.9580000000001</v>
      </c>
      <c r="AD12" s="3353"/>
      <c r="AE12" s="3353"/>
      <c r="AF12" s="3353"/>
      <c r="AG12" s="3353">
        <v>3205</v>
      </c>
      <c r="AH12" s="3353"/>
      <c r="AI12" s="3353"/>
      <c r="AJ12" s="3353"/>
      <c r="AK12" s="6620">
        <v>1311</v>
      </c>
      <c r="AL12" s="3353"/>
      <c r="AM12" s="3353"/>
      <c r="AN12" s="3353"/>
      <c r="AO12" s="3353"/>
      <c r="AP12" s="3353"/>
      <c r="AQ12" s="3353">
        <v>3619</v>
      </c>
      <c r="AR12" s="3353"/>
      <c r="AS12" s="3353"/>
      <c r="AT12" s="3353"/>
      <c r="AU12" s="3353"/>
      <c r="AV12" s="3353"/>
      <c r="AW12" s="3353"/>
      <c r="AX12" s="3353"/>
      <c r="AY12" s="3353"/>
      <c r="AZ12" s="3353"/>
      <c r="BA12" s="3353"/>
      <c r="BB12" s="3353">
        <v>2101.3160000000003</v>
      </c>
      <c r="BC12" s="3353"/>
      <c r="BD12" s="3353">
        <v>127</v>
      </c>
      <c r="BE12" s="3353">
        <v>31302.891</v>
      </c>
    </row>
    <row r="13" spans="3:57" ht="15.75" hidden="1" thickBot="1" x14ac:dyDescent="0.3">
      <c r="C13" s="3199" t="s">
        <v>1210</v>
      </c>
      <c r="D13" s="3199"/>
      <c r="E13" s="3353">
        <v>4390.3640000000005</v>
      </c>
      <c r="F13" s="3353"/>
      <c r="G13" s="3353">
        <v>0</v>
      </c>
      <c r="H13" s="3353"/>
      <c r="I13" s="3353"/>
      <c r="J13" s="3353"/>
      <c r="K13" s="3353">
        <v>0</v>
      </c>
      <c r="L13" s="3353"/>
      <c r="M13" s="3353"/>
      <c r="N13" s="3353"/>
      <c r="O13" s="3353">
        <v>0</v>
      </c>
      <c r="P13" s="3353"/>
      <c r="Q13" s="3353"/>
      <c r="R13" s="3353"/>
      <c r="S13" s="3353">
        <v>0</v>
      </c>
      <c r="T13" s="3353"/>
      <c r="U13" s="3353"/>
      <c r="V13" s="3353"/>
      <c r="W13" s="3353">
        <v>0</v>
      </c>
      <c r="X13" s="3353"/>
      <c r="Y13" s="3353"/>
      <c r="Z13" s="3353"/>
      <c r="AA13" s="3353"/>
      <c r="AB13" s="3353"/>
      <c r="AC13" s="6620">
        <v>0</v>
      </c>
      <c r="AD13" s="3353"/>
      <c r="AE13" s="3353"/>
      <c r="AF13" s="3353"/>
      <c r="AG13" s="3353">
        <v>0</v>
      </c>
      <c r="AH13" s="3353"/>
      <c r="AI13" s="3353"/>
      <c r="AJ13" s="3353"/>
      <c r="AK13" s="6620">
        <v>0</v>
      </c>
      <c r="AL13" s="3353"/>
      <c r="AM13" s="3353"/>
      <c r="AN13" s="3353"/>
      <c r="AO13" s="3353"/>
      <c r="AP13" s="3353"/>
      <c r="AQ13" s="3353">
        <v>0</v>
      </c>
      <c r="AR13" s="3353"/>
      <c r="AS13" s="3353"/>
      <c r="AT13" s="3353"/>
      <c r="AU13" s="3353"/>
      <c r="AV13" s="3353"/>
      <c r="AW13" s="3353"/>
      <c r="AX13" s="3353"/>
      <c r="AY13" s="3353"/>
      <c r="AZ13" s="3353"/>
      <c r="BA13" s="3353"/>
      <c r="BB13" s="3353">
        <v>0</v>
      </c>
      <c r="BC13" s="3353"/>
      <c r="BD13" s="3353">
        <v>0</v>
      </c>
      <c r="BE13" s="3353">
        <v>4390.3640000000005</v>
      </c>
    </row>
    <row r="14" spans="3:57" ht="15.75" hidden="1" thickBot="1" x14ac:dyDescent="0.3">
      <c r="C14" s="3199" t="s">
        <v>1390</v>
      </c>
      <c r="D14" s="3199"/>
      <c r="E14" s="3353">
        <v>118.88800000000001</v>
      </c>
      <c r="F14" s="3353"/>
      <c r="G14" s="3353">
        <v>0</v>
      </c>
      <c r="H14" s="3353"/>
      <c r="I14" s="3353"/>
      <c r="J14" s="3353"/>
      <c r="K14" s="3353">
        <v>0</v>
      </c>
      <c r="L14" s="3353"/>
      <c r="M14" s="3353"/>
      <c r="N14" s="3353"/>
      <c r="O14" s="3353">
        <v>0</v>
      </c>
      <c r="P14" s="3353"/>
      <c r="Q14" s="3353"/>
      <c r="R14" s="3353"/>
      <c r="S14" s="3353">
        <v>0</v>
      </c>
      <c r="T14" s="3353"/>
      <c r="U14" s="3353"/>
      <c r="V14" s="3353"/>
      <c r="W14" s="3353">
        <v>0</v>
      </c>
      <c r="X14" s="3353"/>
      <c r="Y14" s="3353"/>
      <c r="Z14" s="3353"/>
      <c r="AA14" s="3353"/>
      <c r="AB14" s="3353"/>
      <c r="AC14" s="6620">
        <v>0</v>
      </c>
      <c r="AD14" s="3353"/>
      <c r="AE14" s="3353"/>
      <c r="AF14" s="3353"/>
      <c r="AG14" s="3353">
        <v>0</v>
      </c>
      <c r="AH14" s="3353"/>
      <c r="AI14" s="3353"/>
      <c r="AJ14" s="3353"/>
      <c r="AK14" s="6620">
        <v>0</v>
      </c>
      <c r="AL14" s="3353"/>
      <c r="AM14" s="3353"/>
      <c r="AN14" s="3353"/>
      <c r="AO14" s="3353"/>
      <c r="AP14" s="3353"/>
      <c r="AQ14" s="3353">
        <v>0</v>
      </c>
      <c r="AR14" s="3353"/>
      <c r="AS14" s="3353"/>
      <c r="AT14" s="3353"/>
      <c r="AU14" s="3353"/>
      <c r="AV14" s="3353"/>
      <c r="AW14" s="3353"/>
      <c r="AX14" s="3353"/>
      <c r="AY14" s="3353"/>
      <c r="AZ14" s="3353"/>
      <c r="BA14" s="3353"/>
      <c r="BB14" s="3353">
        <v>0</v>
      </c>
      <c r="BC14" s="3353"/>
      <c r="BD14" s="3353">
        <v>0</v>
      </c>
      <c r="BE14" s="3353">
        <v>118.88800000000001</v>
      </c>
    </row>
    <row r="15" spans="3:57" ht="15.75" hidden="1" thickBot="1" x14ac:dyDescent="0.3">
      <c r="C15" s="3199" t="s">
        <v>1211</v>
      </c>
      <c r="D15" s="3199"/>
      <c r="E15" s="3353">
        <v>0</v>
      </c>
      <c r="F15" s="3353"/>
      <c r="G15" s="3353">
        <v>0</v>
      </c>
      <c r="H15" s="3353"/>
      <c r="I15" s="3353"/>
      <c r="J15" s="3353"/>
      <c r="K15" s="3353">
        <v>1010.5480000000001</v>
      </c>
      <c r="L15" s="3353"/>
      <c r="M15" s="3353"/>
      <c r="N15" s="3353"/>
      <c r="O15" s="3353">
        <v>982.94899999999996</v>
      </c>
      <c r="P15" s="3353"/>
      <c r="Q15" s="3353"/>
      <c r="R15" s="3353"/>
      <c r="S15" s="3353">
        <v>0</v>
      </c>
      <c r="T15" s="3353"/>
      <c r="U15" s="3353"/>
      <c r="V15" s="3353"/>
      <c r="W15" s="3353">
        <v>1714.4540000000002</v>
      </c>
      <c r="X15" s="3353"/>
      <c r="Y15" s="3353"/>
      <c r="Z15" s="3353"/>
      <c r="AA15" s="3353"/>
      <c r="AB15" s="3353"/>
      <c r="AC15" s="6620">
        <v>0</v>
      </c>
      <c r="AD15" s="3353"/>
      <c r="AE15" s="3353"/>
      <c r="AF15" s="3353"/>
      <c r="AG15" s="3353">
        <v>0</v>
      </c>
      <c r="AH15" s="3353"/>
      <c r="AI15" s="3353"/>
      <c r="AJ15" s="3353"/>
      <c r="AK15" s="6620">
        <v>0</v>
      </c>
      <c r="AL15" s="3353"/>
      <c r="AM15" s="3353"/>
      <c r="AN15" s="3353"/>
      <c r="AO15" s="3353"/>
      <c r="AP15" s="3353"/>
      <c r="AQ15" s="3353">
        <v>0</v>
      </c>
      <c r="AR15" s="3353"/>
      <c r="AS15" s="3353"/>
      <c r="AT15" s="3353"/>
      <c r="AU15" s="3353"/>
      <c r="AV15" s="3353"/>
      <c r="AW15" s="3353"/>
      <c r="AX15" s="3353"/>
      <c r="AY15" s="3353"/>
      <c r="AZ15" s="3353"/>
      <c r="BA15" s="3353"/>
      <c r="BB15" s="3353">
        <v>1224.0060000000001</v>
      </c>
      <c r="BC15" s="3353"/>
      <c r="BD15" s="3353">
        <v>1123</v>
      </c>
      <c r="BE15" s="3353">
        <v>6054.9570000000003</v>
      </c>
    </row>
    <row r="16" spans="3:57" ht="15.75" hidden="1" thickBot="1" x14ac:dyDescent="0.3">
      <c r="C16" s="3199" t="s">
        <v>1258</v>
      </c>
      <c r="D16" s="3199"/>
      <c r="E16" s="3353">
        <v>2210.0430000000001</v>
      </c>
      <c r="F16" s="3353"/>
      <c r="G16" s="3353">
        <v>420.35399999999998</v>
      </c>
      <c r="H16" s="3353"/>
      <c r="I16" s="3353"/>
      <c r="J16" s="3353"/>
      <c r="K16" s="3353">
        <v>0</v>
      </c>
      <c r="L16" s="3353"/>
      <c r="M16" s="3353"/>
      <c r="N16" s="3353"/>
      <c r="O16" s="3353">
        <v>3913.0140000000006</v>
      </c>
      <c r="P16" s="3353"/>
      <c r="Q16" s="3353"/>
      <c r="R16" s="3353"/>
      <c r="S16" s="3353">
        <v>0</v>
      </c>
      <c r="T16" s="3353"/>
      <c r="U16" s="3353"/>
      <c r="V16" s="3353"/>
      <c r="W16" s="3353">
        <v>868.85399999999993</v>
      </c>
      <c r="X16" s="3353"/>
      <c r="Y16" s="3353"/>
      <c r="Z16" s="3353"/>
      <c r="AA16" s="3353"/>
      <c r="AB16" s="3353"/>
      <c r="AC16" s="6620">
        <v>3061.0720000000001</v>
      </c>
      <c r="AD16" s="3353"/>
      <c r="AE16" s="3353"/>
      <c r="AF16" s="3353"/>
      <c r="AG16" s="3353">
        <v>1323</v>
      </c>
      <c r="AH16" s="3353"/>
      <c r="AI16" s="3353"/>
      <c r="AJ16" s="3353"/>
      <c r="AK16" s="6620">
        <v>3761</v>
      </c>
      <c r="AL16" s="3353"/>
      <c r="AM16" s="3353"/>
      <c r="AN16" s="3353"/>
      <c r="AO16" s="3353"/>
      <c r="AP16" s="3353"/>
      <c r="AQ16" s="3353">
        <v>493</v>
      </c>
      <c r="AR16" s="3353"/>
      <c r="AS16" s="3353"/>
      <c r="AT16" s="3353"/>
      <c r="AU16" s="3353"/>
      <c r="AV16" s="3353"/>
      <c r="AW16" s="3353"/>
      <c r="AX16" s="3353"/>
      <c r="AY16" s="3353"/>
      <c r="AZ16" s="3353"/>
      <c r="BA16" s="3353"/>
      <c r="BB16" s="3353">
        <v>1904.7140000000004</v>
      </c>
      <c r="BC16" s="3353"/>
      <c r="BD16" s="3353">
        <v>0</v>
      </c>
      <c r="BE16" s="3353">
        <v>17955.050999999999</v>
      </c>
    </row>
    <row r="17" spans="3:57" ht="15.75" hidden="1" thickBot="1" x14ac:dyDescent="0.3">
      <c r="C17" s="3199" t="s">
        <v>1259</v>
      </c>
      <c r="D17" s="3199"/>
      <c r="E17" s="3353">
        <v>2320.4390000000003</v>
      </c>
      <c r="F17" s="3353"/>
      <c r="G17" s="3353">
        <v>0</v>
      </c>
      <c r="H17" s="3353"/>
      <c r="I17" s="3353"/>
      <c r="J17" s="3353"/>
      <c r="K17" s="3353">
        <v>1636.8330000000001</v>
      </c>
      <c r="L17" s="3353"/>
      <c r="M17" s="3353"/>
      <c r="N17" s="3353"/>
      <c r="O17" s="3353">
        <v>5010.1799999999994</v>
      </c>
      <c r="P17" s="3353"/>
      <c r="Q17" s="3353"/>
      <c r="R17" s="3353"/>
      <c r="S17" s="3353">
        <v>0</v>
      </c>
      <c r="T17" s="3353"/>
      <c r="U17" s="3353"/>
      <c r="V17" s="3353"/>
      <c r="W17" s="3353">
        <v>2875.04</v>
      </c>
      <c r="X17" s="3353"/>
      <c r="Y17" s="3353"/>
      <c r="Z17" s="3353"/>
      <c r="AA17" s="3353"/>
      <c r="AB17" s="3353"/>
      <c r="AC17" s="6620">
        <v>1329.7059999999999</v>
      </c>
      <c r="AD17" s="3353"/>
      <c r="AE17" s="3353"/>
      <c r="AF17" s="3353"/>
      <c r="AG17" s="3353">
        <v>2649</v>
      </c>
      <c r="AH17" s="3353"/>
      <c r="AI17" s="3353"/>
      <c r="AJ17" s="3353"/>
      <c r="AK17" s="6620">
        <v>3981</v>
      </c>
      <c r="AL17" s="3353"/>
      <c r="AM17" s="3353"/>
      <c r="AN17" s="3353"/>
      <c r="AO17" s="3353"/>
      <c r="AP17" s="3353"/>
      <c r="AQ17" s="3353">
        <v>2397</v>
      </c>
      <c r="AR17" s="3353"/>
      <c r="AS17" s="3353"/>
      <c r="AT17" s="3353"/>
      <c r="AU17" s="3353"/>
      <c r="AV17" s="3353"/>
      <c r="AW17" s="3353"/>
      <c r="AX17" s="3353"/>
      <c r="AY17" s="3353"/>
      <c r="AZ17" s="3353"/>
      <c r="BA17" s="3353"/>
      <c r="BB17" s="3353">
        <v>1560.1320000000001</v>
      </c>
      <c r="BC17" s="3353"/>
      <c r="BD17" s="3353">
        <v>2046</v>
      </c>
      <c r="BE17" s="3353">
        <v>25805.329999999998</v>
      </c>
    </row>
    <row r="18" spans="3:57" ht="15.75" hidden="1" thickBot="1" x14ac:dyDescent="0.3">
      <c r="C18" s="3199" t="s">
        <v>1297</v>
      </c>
      <c r="D18" s="3199"/>
      <c r="E18" s="3353">
        <v>104.027</v>
      </c>
      <c r="F18" s="3353"/>
      <c r="G18" s="3353">
        <v>0</v>
      </c>
      <c r="H18" s="3353"/>
      <c r="I18" s="3353"/>
      <c r="J18" s="3353"/>
      <c r="K18" s="3353">
        <v>0</v>
      </c>
      <c r="L18" s="3353"/>
      <c r="M18" s="3353"/>
      <c r="N18" s="3353"/>
      <c r="O18" s="3353">
        <v>0</v>
      </c>
      <c r="P18" s="3353"/>
      <c r="Q18" s="3353"/>
      <c r="R18" s="3353"/>
      <c r="S18" s="3353">
        <v>0</v>
      </c>
      <c r="T18" s="3353"/>
      <c r="U18" s="3353"/>
      <c r="V18" s="3353"/>
      <c r="W18" s="3353">
        <v>0</v>
      </c>
      <c r="X18" s="3353"/>
      <c r="Y18" s="3353"/>
      <c r="Z18" s="3353"/>
      <c r="AA18" s="3353"/>
      <c r="AB18" s="3353"/>
      <c r="AC18" s="6620">
        <v>0</v>
      </c>
      <c r="AD18" s="3353"/>
      <c r="AE18" s="3353"/>
      <c r="AF18" s="3353"/>
      <c r="AG18" s="3353">
        <v>0</v>
      </c>
      <c r="AH18" s="3353"/>
      <c r="AI18" s="3353"/>
      <c r="AJ18" s="3353"/>
      <c r="AK18" s="6620">
        <v>0</v>
      </c>
      <c r="AL18" s="3353"/>
      <c r="AM18" s="3353"/>
      <c r="AN18" s="3353"/>
      <c r="AO18" s="3353"/>
      <c r="AP18" s="3353"/>
      <c r="AQ18" s="3353">
        <v>0</v>
      </c>
      <c r="AR18" s="3353"/>
      <c r="AS18" s="3353"/>
      <c r="AT18" s="3353"/>
      <c r="AU18" s="3353"/>
      <c r="AV18" s="3353"/>
      <c r="AW18" s="3353"/>
      <c r="AX18" s="3353"/>
      <c r="AY18" s="3353"/>
      <c r="AZ18" s="3353"/>
      <c r="BA18" s="3353"/>
      <c r="BB18" s="3353">
        <v>0</v>
      </c>
      <c r="BC18" s="3353"/>
      <c r="BD18" s="3353">
        <v>0</v>
      </c>
      <c r="BE18" s="3353">
        <v>104.027</v>
      </c>
    </row>
    <row r="19" spans="3:57" ht="15.75" hidden="1" thickBot="1" x14ac:dyDescent="0.3">
      <c r="C19" s="3199" t="s">
        <v>1580</v>
      </c>
      <c r="D19" s="3199"/>
      <c r="E19" s="3353">
        <v>0</v>
      </c>
      <c r="F19" s="3353"/>
      <c r="G19" s="3353">
        <v>0</v>
      </c>
      <c r="H19" s="3353"/>
      <c r="I19" s="3353"/>
      <c r="J19" s="3353"/>
      <c r="K19" s="3353">
        <v>0</v>
      </c>
      <c r="L19" s="3353"/>
      <c r="M19" s="3353"/>
      <c r="N19" s="3353"/>
      <c r="O19" s="3353">
        <v>0</v>
      </c>
      <c r="P19" s="3353"/>
      <c r="Q19" s="3353"/>
      <c r="R19" s="3353"/>
      <c r="S19" s="3353">
        <v>849.8280000000002</v>
      </c>
      <c r="T19" s="3353"/>
      <c r="U19" s="3353"/>
      <c r="V19" s="3353"/>
      <c r="W19" s="3353">
        <v>769.49599999999998</v>
      </c>
      <c r="X19" s="3353"/>
      <c r="Y19" s="3353"/>
      <c r="Z19" s="3353"/>
      <c r="AA19" s="3353"/>
      <c r="AB19" s="3353"/>
      <c r="AC19" s="6620">
        <v>2272.5499999999997</v>
      </c>
      <c r="AD19" s="3353"/>
      <c r="AE19" s="3353"/>
      <c r="AF19" s="3353"/>
      <c r="AG19" s="3353">
        <v>1201</v>
      </c>
      <c r="AH19" s="3353"/>
      <c r="AI19" s="3353"/>
      <c r="AJ19" s="3353"/>
      <c r="AK19" s="6620">
        <v>865</v>
      </c>
      <c r="AL19" s="3353"/>
      <c r="AM19" s="3353"/>
      <c r="AN19" s="3353"/>
      <c r="AO19" s="3353"/>
      <c r="AP19" s="3353"/>
      <c r="AQ19" s="3353">
        <v>243</v>
      </c>
      <c r="AR19" s="3353"/>
      <c r="AS19" s="3353"/>
      <c r="AT19" s="3353"/>
      <c r="AU19" s="3353"/>
      <c r="AV19" s="3353"/>
      <c r="AW19" s="3353"/>
      <c r="AX19" s="3353"/>
      <c r="AY19" s="3353"/>
      <c r="AZ19" s="3353"/>
      <c r="BA19" s="3353"/>
      <c r="BB19" s="3353">
        <v>1325.4780000000001</v>
      </c>
      <c r="BC19" s="3353"/>
      <c r="BD19" s="3353">
        <v>839</v>
      </c>
      <c r="BE19" s="3353">
        <v>8365.351999999999</v>
      </c>
    </row>
    <row r="20" spans="3:57" ht="15.75" hidden="1" thickBot="1" x14ac:dyDescent="0.3">
      <c r="C20" s="3199" t="s">
        <v>1365</v>
      </c>
      <c r="D20" s="3199"/>
      <c r="E20" s="3353">
        <v>0</v>
      </c>
      <c r="F20" s="3353"/>
      <c r="G20" s="3353">
        <v>0</v>
      </c>
      <c r="H20" s="3353"/>
      <c r="I20" s="3353"/>
      <c r="J20" s="3353"/>
      <c r="K20" s="3353">
        <v>0</v>
      </c>
      <c r="L20" s="3353"/>
      <c r="M20" s="3353"/>
      <c r="N20" s="3353"/>
      <c r="O20" s="3353">
        <v>0</v>
      </c>
      <c r="P20" s="3353"/>
      <c r="Q20" s="3353"/>
      <c r="R20" s="3353"/>
      <c r="S20" s="3353">
        <v>0</v>
      </c>
      <c r="T20" s="3353"/>
      <c r="U20" s="3353"/>
      <c r="V20" s="3353"/>
      <c r="W20" s="3353">
        <v>0</v>
      </c>
      <c r="X20" s="3353"/>
      <c r="Y20" s="3353"/>
      <c r="Z20" s="3353"/>
      <c r="AA20" s="3353"/>
      <c r="AB20" s="3353"/>
      <c r="AC20" s="6620">
        <v>0</v>
      </c>
      <c r="AD20" s="3353"/>
      <c r="AE20" s="3353"/>
      <c r="AF20" s="3353"/>
      <c r="AG20" s="3353">
        <v>0</v>
      </c>
      <c r="AH20" s="3353"/>
      <c r="AI20" s="3353"/>
      <c r="AJ20" s="3353"/>
      <c r="AK20" s="6620">
        <v>171</v>
      </c>
      <c r="AL20" s="3353"/>
      <c r="AM20" s="3353"/>
      <c r="AN20" s="3353"/>
      <c r="AO20" s="3353"/>
      <c r="AP20" s="3353"/>
      <c r="AQ20" s="3353">
        <v>0</v>
      </c>
      <c r="AR20" s="3353"/>
      <c r="AS20" s="3353"/>
      <c r="AT20" s="3353"/>
      <c r="AU20" s="3353"/>
      <c r="AV20" s="3353"/>
      <c r="AW20" s="3353"/>
      <c r="AX20" s="3353"/>
      <c r="AY20" s="3353"/>
      <c r="AZ20" s="3353"/>
      <c r="BA20" s="3353"/>
      <c r="BB20" s="3353">
        <v>207.172</v>
      </c>
      <c r="BC20" s="3353"/>
      <c r="BD20" s="3353">
        <v>228</v>
      </c>
      <c r="BE20" s="3353">
        <v>606.17200000000003</v>
      </c>
    </row>
    <row r="21" spans="3:57" ht="15.75" hidden="1" thickBot="1" x14ac:dyDescent="0.3">
      <c r="C21" s="3199" t="s">
        <v>1423</v>
      </c>
      <c r="D21" s="3199"/>
      <c r="E21" s="3353">
        <v>2012.6040000000003</v>
      </c>
      <c r="F21" s="3353"/>
      <c r="G21" s="3353">
        <v>1305.6450000000002</v>
      </c>
      <c r="H21" s="3353"/>
      <c r="I21" s="3353"/>
      <c r="J21" s="3353"/>
      <c r="K21" s="3353">
        <v>2515.7550000000001</v>
      </c>
      <c r="L21" s="3353"/>
      <c r="M21" s="3353"/>
      <c r="N21" s="3353"/>
      <c r="O21" s="3353">
        <v>0</v>
      </c>
      <c r="P21" s="3353"/>
      <c r="Q21" s="3353"/>
      <c r="R21" s="3353"/>
      <c r="S21" s="3353">
        <v>1678.5159999999998</v>
      </c>
      <c r="T21" s="3353"/>
      <c r="U21" s="3353"/>
      <c r="V21" s="3353"/>
      <c r="W21" s="3353">
        <v>600.37599999999998</v>
      </c>
      <c r="X21" s="3353"/>
      <c r="Y21" s="3353"/>
      <c r="Z21" s="3353"/>
      <c r="AA21" s="3353"/>
      <c r="AB21" s="3353"/>
      <c r="AC21" s="6620">
        <v>1031.6319999999998</v>
      </c>
      <c r="AD21" s="3353"/>
      <c r="AE21" s="3353"/>
      <c r="AF21" s="3353"/>
      <c r="AG21" s="3353">
        <v>888</v>
      </c>
      <c r="AH21" s="3353"/>
      <c r="AI21" s="3353"/>
      <c r="AJ21" s="3353"/>
      <c r="AK21" s="6620">
        <v>1230</v>
      </c>
      <c r="AL21" s="3353"/>
      <c r="AM21" s="3353"/>
      <c r="AN21" s="3353"/>
      <c r="AO21" s="3353"/>
      <c r="AP21" s="3353"/>
      <c r="AQ21" s="3353">
        <v>2594</v>
      </c>
      <c r="AR21" s="3353"/>
      <c r="AS21" s="3353"/>
      <c r="AT21" s="3353"/>
      <c r="AU21" s="3353"/>
      <c r="AV21" s="3353"/>
      <c r="AW21" s="3353"/>
      <c r="AX21" s="3353"/>
      <c r="AY21" s="3353"/>
      <c r="AZ21" s="3353"/>
      <c r="BA21" s="3353"/>
      <c r="BB21" s="3353">
        <v>145.86600000000001</v>
      </c>
      <c r="BC21" s="3353"/>
      <c r="BD21" s="3353">
        <v>1055</v>
      </c>
      <c r="BE21" s="3353">
        <v>15057.394</v>
      </c>
    </row>
    <row r="22" spans="3:57" ht="15.75" hidden="1" thickBot="1" x14ac:dyDescent="0.3">
      <c r="C22" s="3199" t="s">
        <v>1424</v>
      </c>
      <c r="D22" s="3199"/>
      <c r="E22" s="3353">
        <v>607.17800000000011</v>
      </c>
      <c r="F22" s="3353"/>
      <c r="G22" s="3353">
        <v>0</v>
      </c>
      <c r="H22" s="3353"/>
      <c r="I22" s="3353"/>
      <c r="J22" s="3353"/>
      <c r="K22" s="3353">
        <v>0</v>
      </c>
      <c r="L22" s="3353"/>
      <c r="M22" s="3353"/>
      <c r="N22" s="3353"/>
      <c r="O22" s="3353">
        <v>150.09399999999999</v>
      </c>
      <c r="P22" s="3353"/>
      <c r="Q22" s="3353"/>
      <c r="R22" s="3353"/>
      <c r="S22" s="3353">
        <v>0</v>
      </c>
      <c r="T22" s="3353"/>
      <c r="U22" s="3353"/>
      <c r="V22" s="3353"/>
      <c r="W22" s="3353">
        <v>0</v>
      </c>
      <c r="X22" s="3353"/>
      <c r="Y22" s="3353"/>
      <c r="Z22" s="3353"/>
      <c r="AA22" s="3353"/>
      <c r="AB22" s="3353"/>
      <c r="AC22" s="6620">
        <v>0</v>
      </c>
      <c r="AD22" s="3353"/>
      <c r="AE22" s="3353"/>
      <c r="AF22" s="3353"/>
      <c r="AG22" s="3353">
        <v>131</v>
      </c>
      <c r="AH22" s="3353"/>
      <c r="AI22" s="3353"/>
      <c r="AJ22" s="3353"/>
      <c r="AK22" s="6620">
        <v>0</v>
      </c>
      <c r="AL22" s="3353"/>
      <c r="AM22" s="3353"/>
      <c r="AN22" s="3353"/>
      <c r="AO22" s="3353"/>
      <c r="AP22" s="3353"/>
      <c r="AQ22" s="3353">
        <v>0</v>
      </c>
      <c r="AR22" s="3353"/>
      <c r="AS22" s="3353"/>
      <c r="AT22" s="3353"/>
      <c r="AU22" s="3353"/>
      <c r="AV22" s="3353"/>
      <c r="AW22" s="3353"/>
      <c r="AX22" s="3353"/>
      <c r="AY22" s="3353"/>
      <c r="AZ22" s="3353"/>
      <c r="BA22" s="3353"/>
      <c r="BB22" s="3353">
        <v>0</v>
      </c>
      <c r="BC22" s="3353"/>
      <c r="BD22" s="3353">
        <v>0</v>
      </c>
      <c r="BE22" s="3353">
        <v>888.27200000000016</v>
      </c>
    </row>
    <row r="23" spans="3:57" ht="15.75" hidden="1" thickBot="1" x14ac:dyDescent="0.3">
      <c r="C23" s="3199" t="s">
        <v>1417</v>
      </c>
      <c r="D23" s="3199"/>
      <c r="E23" s="3353">
        <v>1740.86</v>
      </c>
      <c r="F23" s="3353"/>
      <c r="G23" s="3353">
        <v>1672.924</v>
      </c>
      <c r="H23" s="3353"/>
      <c r="I23" s="3353"/>
      <c r="J23" s="3353"/>
      <c r="K23" s="3353">
        <v>3299.1419999999998</v>
      </c>
      <c r="L23" s="3353"/>
      <c r="M23" s="3353"/>
      <c r="N23" s="3353"/>
      <c r="O23" s="3353">
        <v>3369.7160000000008</v>
      </c>
      <c r="P23" s="3353"/>
      <c r="Q23" s="3353"/>
      <c r="R23" s="3353"/>
      <c r="S23" s="3353">
        <v>3111.808</v>
      </c>
      <c r="T23" s="3353"/>
      <c r="U23" s="3353"/>
      <c r="V23" s="3353"/>
      <c r="W23" s="3353">
        <v>1035.8600000000001</v>
      </c>
      <c r="X23" s="3353"/>
      <c r="Y23" s="3353"/>
      <c r="Z23" s="3353"/>
      <c r="AA23" s="3353"/>
      <c r="AB23" s="3353"/>
      <c r="AC23" s="6620">
        <v>0</v>
      </c>
      <c r="AD23" s="3353"/>
      <c r="AE23" s="3353"/>
      <c r="AF23" s="3353"/>
      <c r="AG23" s="3353">
        <v>1541</v>
      </c>
      <c r="AH23" s="3353"/>
      <c r="AI23" s="3353"/>
      <c r="AJ23" s="3353"/>
      <c r="AK23" s="6620">
        <v>230</v>
      </c>
      <c r="AL23" s="3353"/>
      <c r="AM23" s="3353"/>
      <c r="AN23" s="3353"/>
      <c r="AO23" s="3353"/>
      <c r="AP23" s="3353"/>
      <c r="AQ23" s="3353">
        <v>1605</v>
      </c>
      <c r="AR23" s="3353"/>
      <c r="AS23" s="3353"/>
      <c r="AT23" s="3353"/>
      <c r="AU23" s="3353"/>
      <c r="AV23" s="3353"/>
      <c r="AW23" s="3353"/>
      <c r="AX23" s="3353"/>
      <c r="AY23" s="3353"/>
      <c r="AZ23" s="3353"/>
      <c r="BA23" s="3353"/>
      <c r="BB23" s="3353">
        <v>0</v>
      </c>
      <c r="BC23" s="3353"/>
      <c r="BD23" s="3353">
        <v>738</v>
      </c>
      <c r="BE23" s="3353">
        <v>18344.310000000001</v>
      </c>
    </row>
    <row r="24" spans="3:57" ht="15.75" hidden="1" thickBot="1" x14ac:dyDescent="0.3">
      <c r="C24" s="3199" t="s">
        <v>1671</v>
      </c>
      <c r="D24" s="3199"/>
      <c r="E24" s="3353">
        <v>0</v>
      </c>
      <c r="F24" s="3353"/>
      <c r="G24" s="3353">
        <v>0</v>
      </c>
      <c r="H24" s="3353"/>
      <c r="I24" s="3353"/>
      <c r="J24" s="3353"/>
      <c r="K24" s="3353">
        <v>0</v>
      </c>
      <c r="L24" s="3353"/>
      <c r="M24" s="3353"/>
      <c r="N24" s="3353"/>
      <c r="O24" s="3353">
        <v>0</v>
      </c>
      <c r="P24" s="3353"/>
      <c r="Q24" s="3353"/>
      <c r="R24" s="3353"/>
      <c r="S24" s="3353">
        <v>0</v>
      </c>
      <c r="T24" s="3353"/>
      <c r="U24" s="3353"/>
      <c r="V24" s="3353"/>
      <c r="W24" s="3353">
        <v>0</v>
      </c>
      <c r="X24" s="3353"/>
      <c r="Y24" s="3353"/>
      <c r="Z24" s="3353"/>
      <c r="AA24" s="3353"/>
      <c r="AB24" s="3353"/>
      <c r="AC24" s="6620">
        <v>0</v>
      </c>
      <c r="AD24" s="3353"/>
      <c r="AE24" s="3353"/>
      <c r="AF24" s="3353"/>
      <c r="AG24" s="3353">
        <v>729</v>
      </c>
      <c r="AH24" s="3353"/>
      <c r="AI24" s="3353"/>
      <c r="AJ24" s="3353"/>
      <c r="AK24" s="6620">
        <v>0</v>
      </c>
      <c r="AL24" s="3353"/>
      <c r="AM24" s="3353"/>
      <c r="AN24" s="3353"/>
      <c r="AO24" s="3353"/>
      <c r="AP24" s="3353"/>
      <c r="AQ24" s="3353">
        <v>0</v>
      </c>
      <c r="AR24" s="3353"/>
      <c r="AS24" s="3353"/>
      <c r="AT24" s="3353"/>
      <c r="AU24" s="3353"/>
      <c r="AV24" s="3353"/>
      <c r="AW24" s="3353"/>
      <c r="AX24" s="3353"/>
      <c r="AY24" s="3353"/>
      <c r="AZ24" s="3353"/>
      <c r="BA24" s="3353"/>
      <c r="BB24" s="3353">
        <v>528.5</v>
      </c>
      <c r="BC24" s="3353"/>
      <c r="BD24" s="3353">
        <v>573</v>
      </c>
      <c r="BE24" s="3353">
        <v>1830.5</v>
      </c>
    </row>
    <row r="25" spans="3:57" ht="15.75" hidden="1" thickBot="1" x14ac:dyDescent="0.3">
      <c r="C25" s="3199" t="s">
        <v>846</v>
      </c>
      <c r="D25" s="3199"/>
      <c r="E25" s="3353">
        <v>5572.875</v>
      </c>
      <c r="F25" s="3353"/>
      <c r="G25" s="3353">
        <v>4275.7219999999998</v>
      </c>
      <c r="H25" s="3353"/>
      <c r="I25" s="3353"/>
      <c r="J25" s="3353"/>
      <c r="K25" s="3353">
        <v>5165.259</v>
      </c>
      <c r="L25" s="3353"/>
      <c r="M25" s="3353"/>
      <c r="N25" s="3353"/>
      <c r="O25" s="3353">
        <v>4726.5600000000004</v>
      </c>
      <c r="P25" s="3353"/>
      <c r="Q25" s="3353"/>
      <c r="R25" s="3353"/>
      <c r="S25" s="3353">
        <v>8582.84</v>
      </c>
      <c r="T25" s="3353"/>
      <c r="U25" s="3353"/>
      <c r="V25" s="3353"/>
      <c r="W25" s="3353">
        <v>11607.973999999997</v>
      </c>
      <c r="X25" s="3353"/>
      <c r="Y25" s="3353"/>
      <c r="Z25" s="3353"/>
      <c r="AA25" s="3353"/>
      <c r="AB25" s="3353"/>
      <c r="AC25" s="6620">
        <v>13165.992</v>
      </c>
      <c r="AD25" s="3353"/>
      <c r="AE25" s="3353"/>
      <c r="AF25" s="3353"/>
      <c r="AG25" s="3353">
        <v>0</v>
      </c>
      <c r="AH25" s="3353"/>
      <c r="AI25" s="3353"/>
      <c r="AJ25" s="3353"/>
      <c r="AK25" s="6620">
        <v>0</v>
      </c>
      <c r="AL25" s="3353"/>
      <c r="AM25" s="3353"/>
      <c r="AN25" s="3353"/>
      <c r="AO25" s="3353"/>
      <c r="AP25" s="3353"/>
      <c r="AQ25" s="3353">
        <v>5112</v>
      </c>
      <c r="AR25" s="3353"/>
      <c r="AS25" s="3353"/>
      <c r="AT25" s="3353"/>
      <c r="AU25" s="3353"/>
      <c r="AV25" s="3353"/>
      <c r="AW25" s="3353"/>
      <c r="AX25" s="3353"/>
      <c r="AY25" s="3353"/>
      <c r="AZ25" s="3353"/>
      <c r="BA25" s="3353"/>
      <c r="BB25" s="3353">
        <v>6965.63</v>
      </c>
      <c r="BC25" s="3353"/>
      <c r="BD25" s="3353">
        <v>13859</v>
      </c>
      <c r="BE25" s="3353">
        <v>79033.851999999984</v>
      </c>
    </row>
    <row r="26" spans="3:57" ht="15.75" hidden="1" thickBot="1" x14ac:dyDescent="0.3">
      <c r="C26" s="3199" t="s">
        <v>1718</v>
      </c>
      <c r="D26" s="3199"/>
      <c r="E26" s="3353">
        <v>0</v>
      </c>
      <c r="F26" s="3353"/>
      <c r="G26" s="3353">
        <v>0</v>
      </c>
      <c r="H26" s="3353"/>
      <c r="I26" s="3353"/>
      <c r="J26" s="3353"/>
      <c r="K26" s="3353">
        <v>0</v>
      </c>
      <c r="L26" s="3353"/>
      <c r="M26" s="3353"/>
      <c r="N26" s="3353"/>
      <c r="O26" s="3353">
        <v>0</v>
      </c>
      <c r="P26" s="3353"/>
      <c r="Q26" s="3353"/>
      <c r="R26" s="3353"/>
      <c r="S26" s="3353">
        <v>0</v>
      </c>
      <c r="T26" s="3353"/>
      <c r="U26" s="3353"/>
      <c r="V26" s="3353"/>
      <c r="W26" s="3353">
        <v>0</v>
      </c>
      <c r="X26" s="3353"/>
      <c r="Y26" s="3353"/>
      <c r="Z26" s="3353"/>
      <c r="AA26" s="3353"/>
      <c r="AB26" s="3353"/>
      <c r="AC26" s="6620">
        <v>0</v>
      </c>
      <c r="AD26" s="3353"/>
      <c r="AE26" s="3353"/>
      <c r="AF26" s="3353"/>
      <c r="AG26" s="3353">
        <v>0</v>
      </c>
      <c r="AH26" s="3353"/>
      <c r="AI26" s="3353"/>
      <c r="AJ26" s="3353"/>
      <c r="AK26" s="6620">
        <v>0</v>
      </c>
      <c r="AL26" s="3353"/>
      <c r="AM26" s="3353"/>
      <c r="AN26" s="3353"/>
      <c r="AO26" s="3353"/>
      <c r="AP26" s="3353"/>
      <c r="AQ26" s="3353">
        <v>0</v>
      </c>
      <c r="AR26" s="3353"/>
      <c r="AS26" s="3353"/>
      <c r="AT26" s="3353"/>
      <c r="AU26" s="3353"/>
      <c r="AV26" s="3353"/>
      <c r="AW26" s="3353"/>
      <c r="AX26" s="3353"/>
      <c r="AY26" s="3353"/>
      <c r="AZ26" s="3353"/>
      <c r="BA26" s="3353"/>
      <c r="BB26" s="3353">
        <v>1103.5080000000003</v>
      </c>
      <c r="BC26" s="3353"/>
      <c r="BD26" s="3353">
        <v>884</v>
      </c>
      <c r="BE26" s="3353">
        <v>1987.5080000000003</v>
      </c>
    </row>
    <row r="27" spans="3:57" ht="15.75" hidden="1" thickBot="1" x14ac:dyDescent="0.3">
      <c r="C27" s="3199" t="s">
        <v>1719</v>
      </c>
      <c r="D27" s="3199"/>
      <c r="E27" s="3353">
        <v>0</v>
      </c>
      <c r="F27" s="3353"/>
      <c r="G27" s="3353">
        <v>0</v>
      </c>
      <c r="H27" s="3353"/>
      <c r="I27" s="3353"/>
      <c r="J27" s="3353"/>
      <c r="K27" s="3353">
        <v>0</v>
      </c>
      <c r="L27" s="3353"/>
      <c r="M27" s="3353"/>
      <c r="N27" s="3353"/>
      <c r="O27" s="3353">
        <v>0</v>
      </c>
      <c r="P27" s="3353"/>
      <c r="Q27" s="3353"/>
      <c r="R27" s="3353"/>
      <c r="S27" s="3353">
        <v>0</v>
      </c>
      <c r="T27" s="3353"/>
      <c r="U27" s="3353"/>
      <c r="V27" s="3353"/>
      <c r="W27" s="3353">
        <v>0</v>
      </c>
      <c r="X27" s="3353"/>
      <c r="Y27" s="3353"/>
      <c r="Z27" s="3353"/>
      <c r="AA27" s="3353"/>
      <c r="AB27" s="3353"/>
      <c r="AC27" s="6620">
        <v>0</v>
      </c>
      <c r="AD27" s="3353"/>
      <c r="AE27" s="3353"/>
      <c r="AF27" s="3353"/>
      <c r="AG27" s="3353">
        <v>0</v>
      </c>
      <c r="AH27" s="3353"/>
      <c r="AI27" s="3353"/>
      <c r="AJ27" s="3353"/>
      <c r="AK27" s="6620">
        <v>0</v>
      </c>
      <c r="AL27" s="3353"/>
      <c r="AM27" s="3353"/>
      <c r="AN27" s="3353"/>
      <c r="AO27" s="3353"/>
      <c r="AP27" s="3353"/>
      <c r="AQ27" s="3353">
        <v>0</v>
      </c>
      <c r="AR27" s="3353"/>
      <c r="AS27" s="3353"/>
      <c r="AT27" s="3353"/>
      <c r="AU27" s="3353"/>
      <c r="AV27" s="3353"/>
      <c r="AW27" s="3353"/>
      <c r="AX27" s="3353"/>
      <c r="AY27" s="3353"/>
      <c r="AZ27" s="3353"/>
      <c r="BA27" s="3353"/>
      <c r="BB27" s="3353">
        <v>613.06000000000006</v>
      </c>
      <c r="BC27" s="3353"/>
      <c r="BD27" s="3353">
        <v>0</v>
      </c>
      <c r="BE27" s="3353">
        <v>613.06000000000006</v>
      </c>
    </row>
    <row r="28" spans="3:57" ht="15.75" hidden="1" thickBot="1" x14ac:dyDescent="0.3">
      <c r="C28" s="3199" t="s">
        <v>1425</v>
      </c>
      <c r="D28" s="3199"/>
      <c r="E28" s="3353">
        <v>137.995</v>
      </c>
      <c r="F28" s="3353"/>
      <c r="G28" s="3353">
        <v>365.15600000000001</v>
      </c>
      <c r="H28" s="3353"/>
      <c r="I28" s="3353"/>
      <c r="J28" s="3353"/>
      <c r="K28" s="3353">
        <v>0</v>
      </c>
      <c r="L28" s="3353"/>
      <c r="M28" s="3353"/>
      <c r="N28" s="3353"/>
      <c r="O28" s="3353">
        <v>271.74400000000003</v>
      </c>
      <c r="P28" s="3353"/>
      <c r="Q28" s="3353"/>
      <c r="R28" s="3353"/>
      <c r="S28" s="3353">
        <v>0</v>
      </c>
      <c r="T28" s="3353"/>
      <c r="U28" s="3353"/>
      <c r="V28" s="3353"/>
      <c r="W28" s="3353">
        <v>0</v>
      </c>
      <c r="X28" s="3353"/>
      <c r="Y28" s="3353"/>
      <c r="Z28" s="3353"/>
      <c r="AA28" s="3353"/>
      <c r="AB28" s="3353"/>
      <c r="AC28" s="6620">
        <v>0</v>
      </c>
      <c r="AD28" s="3353"/>
      <c r="AE28" s="3353"/>
      <c r="AF28" s="3353"/>
      <c r="AG28" s="3353">
        <v>0</v>
      </c>
      <c r="AH28" s="3353"/>
      <c r="AI28" s="3353"/>
      <c r="AJ28" s="3353"/>
      <c r="AK28" s="6620">
        <v>0</v>
      </c>
      <c r="AL28" s="3353"/>
      <c r="AM28" s="3353"/>
      <c r="AN28" s="3353"/>
      <c r="AO28" s="3353"/>
      <c r="AP28" s="3353"/>
      <c r="AQ28" s="3353">
        <v>0</v>
      </c>
      <c r="AR28" s="3353"/>
      <c r="AS28" s="3353"/>
      <c r="AT28" s="3353"/>
      <c r="AU28" s="3353"/>
      <c r="AV28" s="3353"/>
      <c r="AW28" s="3353"/>
      <c r="AX28" s="3353"/>
      <c r="AY28" s="3353"/>
      <c r="AZ28" s="3353"/>
      <c r="BA28" s="3353"/>
      <c r="BB28" s="3353">
        <v>112.042</v>
      </c>
      <c r="BC28" s="3353"/>
      <c r="BD28" s="3353">
        <v>146</v>
      </c>
      <c r="BE28" s="3353">
        <v>1032.9369999999999</v>
      </c>
    </row>
    <row r="29" spans="3:57" ht="15.75" hidden="1" thickBot="1" x14ac:dyDescent="0.3">
      <c r="C29" s="3199" t="s">
        <v>1298</v>
      </c>
      <c r="D29" s="3199"/>
      <c r="E29" s="3353">
        <v>0</v>
      </c>
      <c r="F29" s="3353"/>
      <c r="G29" s="3353">
        <v>0</v>
      </c>
      <c r="H29" s="3353"/>
      <c r="I29" s="3353"/>
      <c r="J29" s="3353"/>
      <c r="K29" s="3353">
        <v>881.04499999999996</v>
      </c>
      <c r="L29" s="3353"/>
      <c r="M29" s="3353"/>
      <c r="N29" s="3353"/>
      <c r="O29" s="3353">
        <v>0</v>
      </c>
      <c r="P29" s="3353"/>
      <c r="Q29" s="3353"/>
      <c r="R29" s="3353"/>
      <c r="S29" s="3353">
        <v>0</v>
      </c>
      <c r="T29" s="3353"/>
      <c r="U29" s="3353"/>
      <c r="V29" s="3353"/>
      <c r="W29" s="3353">
        <v>0</v>
      </c>
      <c r="X29" s="3353"/>
      <c r="Y29" s="3353"/>
      <c r="Z29" s="3353"/>
      <c r="AA29" s="3353"/>
      <c r="AB29" s="3353"/>
      <c r="AC29" s="6620">
        <v>336.12599999999998</v>
      </c>
      <c r="AD29" s="3353"/>
      <c r="AE29" s="3353"/>
      <c r="AF29" s="3353"/>
      <c r="AG29" s="3353">
        <v>6202</v>
      </c>
      <c r="AH29" s="3353"/>
      <c r="AI29" s="3353"/>
      <c r="AJ29" s="3353"/>
      <c r="AK29" s="6620">
        <v>6896</v>
      </c>
      <c r="AL29" s="3353"/>
      <c r="AM29" s="3353"/>
      <c r="AN29" s="3353"/>
      <c r="AO29" s="3353"/>
      <c r="AP29" s="3353"/>
      <c r="AQ29" s="3353">
        <v>865</v>
      </c>
      <c r="AR29" s="3353"/>
      <c r="AS29" s="3353"/>
      <c r="AT29" s="3353"/>
      <c r="AU29" s="3353"/>
      <c r="AV29" s="3353"/>
      <c r="AW29" s="3353"/>
      <c r="AX29" s="3353"/>
      <c r="AY29" s="3353"/>
      <c r="AZ29" s="3353"/>
      <c r="BA29" s="3353"/>
      <c r="BB29" s="3353">
        <v>192.374</v>
      </c>
      <c r="BC29" s="3353"/>
      <c r="BD29" s="3353">
        <v>0</v>
      </c>
      <c r="BE29" s="3353">
        <v>15372.545</v>
      </c>
    </row>
    <row r="30" spans="3:57" ht="15.75" hidden="1" thickBot="1" x14ac:dyDescent="0.3">
      <c r="C30" s="3199" t="s">
        <v>1426</v>
      </c>
      <c r="D30" s="3199"/>
      <c r="E30" s="3353">
        <v>1129.4360000000001</v>
      </c>
      <c r="F30" s="3353"/>
      <c r="G30" s="3353">
        <v>254.96</v>
      </c>
      <c r="H30" s="3353"/>
      <c r="I30" s="3353"/>
      <c r="J30" s="3353"/>
      <c r="K30" s="3353">
        <v>0</v>
      </c>
      <c r="L30" s="3353"/>
      <c r="M30" s="3353"/>
      <c r="N30" s="3353"/>
      <c r="O30" s="3353">
        <v>157.102</v>
      </c>
      <c r="P30" s="3353"/>
      <c r="Q30" s="3353"/>
      <c r="R30" s="3353"/>
      <c r="S30" s="3353">
        <v>350.92400000000004</v>
      </c>
      <c r="T30" s="3353"/>
      <c r="U30" s="3353"/>
      <c r="V30" s="3353"/>
      <c r="W30" s="3353">
        <v>454.51</v>
      </c>
      <c r="X30" s="3353"/>
      <c r="Y30" s="3353"/>
      <c r="Z30" s="3353"/>
      <c r="AA30" s="3353"/>
      <c r="AB30" s="3353"/>
      <c r="AC30" s="6620">
        <v>845.59999999999991</v>
      </c>
      <c r="AD30" s="3353"/>
      <c r="AE30" s="3353"/>
      <c r="AF30" s="3353"/>
      <c r="AG30" s="3353">
        <v>507</v>
      </c>
      <c r="AH30" s="3353"/>
      <c r="AI30" s="3353"/>
      <c r="AJ30" s="3353"/>
      <c r="AK30" s="6620">
        <v>875</v>
      </c>
      <c r="AL30" s="3353"/>
      <c r="AM30" s="3353"/>
      <c r="AN30" s="3353"/>
      <c r="AO30" s="3353"/>
      <c r="AP30" s="3353"/>
      <c r="AQ30" s="3353">
        <v>480</v>
      </c>
      <c r="AR30" s="3353"/>
      <c r="AS30" s="3353"/>
      <c r="AT30" s="3353"/>
      <c r="AU30" s="3353"/>
      <c r="AV30" s="3353"/>
      <c r="AW30" s="3353"/>
      <c r="AX30" s="3353"/>
      <c r="AY30" s="3353"/>
      <c r="AZ30" s="3353"/>
      <c r="BA30" s="3353"/>
      <c r="BB30" s="3353">
        <v>435.48399999999998</v>
      </c>
      <c r="BC30" s="3353"/>
      <c r="BD30" s="3353">
        <v>797</v>
      </c>
      <c r="BE30" s="3353">
        <v>6287.0160000000005</v>
      </c>
    </row>
    <row r="31" spans="3:57" ht="15.75" hidden="1" thickBot="1" x14ac:dyDescent="0.3">
      <c r="C31" s="3199" t="s">
        <v>1427</v>
      </c>
      <c r="D31" s="3199"/>
      <c r="E31" s="3353">
        <v>0</v>
      </c>
      <c r="F31" s="3353"/>
      <c r="G31" s="3353">
        <v>0</v>
      </c>
      <c r="H31" s="3353"/>
      <c r="I31" s="3353"/>
      <c r="J31" s="3353"/>
      <c r="K31" s="3353">
        <v>99.781000000000006</v>
      </c>
      <c r="L31" s="3353"/>
      <c r="M31" s="3353"/>
      <c r="N31" s="3353"/>
      <c r="O31" s="3353">
        <v>0</v>
      </c>
      <c r="P31" s="3353"/>
      <c r="Q31" s="3353"/>
      <c r="R31" s="3353"/>
      <c r="S31" s="3353">
        <v>0</v>
      </c>
      <c r="T31" s="3353"/>
      <c r="U31" s="3353"/>
      <c r="V31" s="3353"/>
      <c r="W31" s="3353">
        <v>0</v>
      </c>
      <c r="X31" s="3353"/>
      <c r="Y31" s="3353"/>
      <c r="Z31" s="3353"/>
      <c r="AA31" s="3353"/>
      <c r="AB31" s="3353"/>
      <c r="AC31" s="6620">
        <v>0</v>
      </c>
      <c r="AD31" s="3353"/>
      <c r="AE31" s="3353"/>
      <c r="AF31" s="3353"/>
      <c r="AG31" s="3353">
        <v>0</v>
      </c>
      <c r="AH31" s="3353"/>
      <c r="AI31" s="3353"/>
      <c r="AJ31" s="3353"/>
      <c r="AK31" s="6620">
        <v>0</v>
      </c>
      <c r="AL31" s="3353"/>
      <c r="AM31" s="3353"/>
      <c r="AN31" s="3353"/>
      <c r="AO31" s="3353"/>
      <c r="AP31" s="3353"/>
      <c r="AQ31" s="3353">
        <v>0</v>
      </c>
      <c r="AR31" s="3353"/>
      <c r="AS31" s="3353"/>
      <c r="AT31" s="3353"/>
      <c r="AU31" s="3353"/>
      <c r="AV31" s="3353"/>
      <c r="AW31" s="3353"/>
      <c r="AX31" s="3353"/>
      <c r="AY31" s="3353"/>
      <c r="AZ31" s="3353"/>
      <c r="BA31" s="3353"/>
      <c r="BB31" s="3353">
        <v>0</v>
      </c>
      <c r="BC31" s="3353"/>
      <c r="BD31" s="3353">
        <v>0</v>
      </c>
      <c r="BE31" s="3353">
        <v>99.781000000000006</v>
      </c>
    </row>
    <row r="32" spans="3:57" ht="15.75" hidden="1" thickBot="1" x14ac:dyDescent="0.3">
      <c r="C32" s="3199" t="s">
        <v>1428</v>
      </c>
      <c r="D32" s="3199"/>
      <c r="E32" s="3353">
        <v>1426.6559999999999</v>
      </c>
      <c r="F32" s="3353"/>
      <c r="G32" s="3353">
        <v>0</v>
      </c>
      <c r="H32" s="3353"/>
      <c r="I32" s="3353"/>
      <c r="J32" s="3353"/>
      <c r="K32" s="3353">
        <v>0</v>
      </c>
      <c r="L32" s="3353"/>
      <c r="M32" s="3353"/>
      <c r="N32" s="3353"/>
      <c r="O32" s="3353">
        <v>105.7</v>
      </c>
      <c r="P32" s="3353"/>
      <c r="Q32" s="3353"/>
      <c r="R32" s="3353"/>
      <c r="S32" s="3353">
        <v>0</v>
      </c>
      <c r="T32" s="3353"/>
      <c r="U32" s="3353"/>
      <c r="V32" s="3353"/>
      <c r="W32" s="3353">
        <v>103.586</v>
      </c>
      <c r="X32" s="3353"/>
      <c r="Y32" s="3353"/>
      <c r="Z32" s="3353"/>
      <c r="AA32" s="3353"/>
      <c r="AB32" s="3353"/>
      <c r="AC32" s="6620">
        <v>215.62799999999999</v>
      </c>
      <c r="AD32" s="3353"/>
      <c r="AE32" s="3353"/>
      <c r="AF32" s="3353"/>
      <c r="AG32" s="3353">
        <v>632</v>
      </c>
      <c r="AH32" s="3353"/>
      <c r="AI32" s="3353"/>
      <c r="AJ32" s="3353"/>
      <c r="AK32" s="6620">
        <v>696</v>
      </c>
      <c r="AL32" s="3353"/>
      <c r="AM32" s="3353"/>
      <c r="AN32" s="3353"/>
      <c r="AO32" s="3353"/>
      <c r="AP32" s="3353"/>
      <c r="AQ32" s="3353">
        <v>1723</v>
      </c>
      <c r="AR32" s="3353"/>
      <c r="AS32" s="3353"/>
      <c r="AT32" s="3353"/>
      <c r="AU32" s="3353"/>
      <c r="AV32" s="3353"/>
      <c r="AW32" s="3353"/>
      <c r="AX32" s="3353"/>
      <c r="AY32" s="3353"/>
      <c r="AZ32" s="3353"/>
      <c r="BA32" s="3353"/>
      <c r="BB32" s="3353">
        <v>450.28199999999998</v>
      </c>
      <c r="BC32" s="3353"/>
      <c r="BD32" s="3353">
        <v>708</v>
      </c>
      <c r="BE32" s="3353">
        <v>6060.8519999999999</v>
      </c>
    </row>
    <row r="33" spans="3:57" ht="15.75" hidden="1" thickBot="1" x14ac:dyDescent="0.3">
      <c r="C33" s="3199" t="s">
        <v>1429</v>
      </c>
      <c r="D33" s="3199"/>
      <c r="E33" s="3353">
        <v>137.995</v>
      </c>
      <c r="F33" s="3353"/>
      <c r="G33" s="3353">
        <v>0</v>
      </c>
      <c r="H33" s="3353"/>
      <c r="I33" s="3353"/>
      <c r="J33" s="3353"/>
      <c r="K33" s="3353">
        <v>0</v>
      </c>
      <c r="L33" s="3353"/>
      <c r="M33" s="3353"/>
      <c r="N33" s="3353"/>
      <c r="O33" s="3353">
        <v>0</v>
      </c>
      <c r="P33" s="3353"/>
      <c r="Q33" s="3353"/>
      <c r="R33" s="3353"/>
      <c r="S33" s="3353">
        <v>0</v>
      </c>
      <c r="T33" s="3353"/>
      <c r="U33" s="3353"/>
      <c r="V33" s="3353"/>
      <c r="W33" s="3353">
        <v>0</v>
      </c>
      <c r="X33" s="3353"/>
      <c r="Y33" s="3353"/>
      <c r="Z33" s="3353"/>
      <c r="AA33" s="3353"/>
      <c r="AB33" s="3353"/>
      <c r="AC33" s="6620">
        <v>0</v>
      </c>
      <c r="AD33" s="3353"/>
      <c r="AE33" s="3353"/>
      <c r="AF33" s="3353"/>
      <c r="AG33" s="3353">
        <v>0</v>
      </c>
      <c r="AH33" s="3353"/>
      <c r="AI33" s="3353"/>
      <c r="AJ33" s="3353"/>
      <c r="AK33" s="6620">
        <v>0</v>
      </c>
      <c r="AL33" s="3353"/>
      <c r="AM33" s="3353"/>
      <c r="AN33" s="3353"/>
      <c r="AO33" s="3353"/>
      <c r="AP33" s="3353"/>
      <c r="AQ33" s="3353">
        <v>0</v>
      </c>
      <c r="AR33" s="3353"/>
      <c r="AS33" s="3353"/>
      <c r="AT33" s="3353"/>
      <c r="AU33" s="3353"/>
      <c r="AV33" s="3353"/>
      <c r="AW33" s="3353"/>
      <c r="AX33" s="3353"/>
      <c r="AY33" s="3353"/>
      <c r="AZ33" s="3353"/>
      <c r="BA33" s="3353"/>
      <c r="BB33" s="3353">
        <v>0</v>
      </c>
      <c r="BC33" s="3353"/>
      <c r="BD33" s="3353">
        <v>0</v>
      </c>
      <c r="BE33" s="3353">
        <v>137.995</v>
      </c>
    </row>
    <row r="34" spans="3:57" ht="15.75" hidden="1" thickBot="1" x14ac:dyDescent="0.3">
      <c r="C34" s="3199" t="s">
        <v>1658</v>
      </c>
      <c r="D34" s="3199"/>
      <c r="E34" s="3353"/>
      <c r="F34" s="3353"/>
      <c r="G34" s="3353"/>
      <c r="H34" s="3353"/>
      <c r="I34" s="3353"/>
      <c r="J34" s="3353"/>
      <c r="K34" s="3353"/>
      <c r="L34" s="3353"/>
      <c r="M34" s="3353"/>
      <c r="N34" s="3353"/>
      <c r="O34" s="3353"/>
      <c r="P34" s="3353"/>
      <c r="Q34" s="3353"/>
      <c r="R34" s="3353"/>
      <c r="S34" s="3353"/>
      <c r="T34" s="3353"/>
      <c r="U34" s="3353"/>
      <c r="V34" s="3353"/>
      <c r="W34" s="3353"/>
      <c r="X34" s="3353"/>
      <c r="Y34" s="3353"/>
      <c r="Z34" s="3353"/>
      <c r="AA34" s="3353"/>
      <c r="AB34" s="3353"/>
      <c r="AC34" s="6620">
        <v>126.84</v>
      </c>
      <c r="AD34" s="3353"/>
      <c r="AE34" s="3353"/>
      <c r="AF34" s="3353"/>
      <c r="AG34" s="3353">
        <v>0</v>
      </c>
      <c r="AH34" s="3353"/>
      <c r="AI34" s="3353"/>
      <c r="AJ34" s="3353"/>
      <c r="AK34" s="6620">
        <v>0</v>
      </c>
      <c r="AL34" s="3353"/>
      <c r="AM34" s="3353"/>
      <c r="AN34" s="3353"/>
      <c r="AO34" s="3353"/>
      <c r="AP34" s="3353"/>
      <c r="AQ34" s="3353">
        <v>0</v>
      </c>
      <c r="AR34" s="3353"/>
      <c r="AS34" s="3353"/>
      <c r="AT34" s="3353"/>
      <c r="AU34" s="3353"/>
      <c r="AV34" s="3353"/>
      <c r="AW34" s="3353"/>
      <c r="AX34" s="3353"/>
      <c r="AY34" s="3353"/>
      <c r="AZ34" s="3353"/>
      <c r="BA34" s="3353"/>
      <c r="BB34" s="3353">
        <v>0</v>
      </c>
      <c r="BC34" s="3353"/>
      <c r="BD34" s="3353">
        <v>0</v>
      </c>
      <c r="BE34" s="3353">
        <v>126.84</v>
      </c>
    </row>
    <row r="35" spans="3:57" ht="15.75" hidden="1" thickBot="1" x14ac:dyDescent="0.3">
      <c r="C35" s="3199" t="s">
        <v>1430</v>
      </c>
      <c r="D35" s="3199"/>
      <c r="E35" s="3353">
        <v>0</v>
      </c>
      <c r="F35" s="3353"/>
      <c r="G35" s="3353">
        <v>0</v>
      </c>
      <c r="H35" s="3353"/>
      <c r="I35" s="3353"/>
      <c r="J35" s="3353"/>
      <c r="K35" s="3353">
        <v>0</v>
      </c>
      <c r="L35" s="3353"/>
      <c r="M35" s="3353"/>
      <c r="N35" s="3353"/>
      <c r="O35" s="3353">
        <v>410.11599999999999</v>
      </c>
      <c r="P35" s="3353"/>
      <c r="Q35" s="3353"/>
      <c r="R35" s="3353"/>
      <c r="S35" s="3353">
        <v>0</v>
      </c>
      <c r="T35" s="3353"/>
      <c r="U35" s="3353"/>
      <c r="V35" s="3353"/>
      <c r="W35" s="3353">
        <v>0</v>
      </c>
      <c r="X35" s="3353"/>
      <c r="Y35" s="3353"/>
      <c r="Z35" s="3353"/>
      <c r="AA35" s="3353"/>
      <c r="AB35" s="3353"/>
      <c r="AC35" s="6620">
        <v>1018.9480000000001</v>
      </c>
      <c r="AD35" s="3353"/>
      <c r="AE35" s="3353"/>
      <c r="AF35" s="3353"/>
      <c r="AG35" s="3353">
        <v>112</v>
      </c>
      <c r="AH35" s="3353"/>
      <c r="AI35" s="3353"/>
      <c r="AJ35" s="3353"/>
      <c r="AK35" s="6620">
        <v>550</v>
      </c>
      <c r="AL35" s="3353"/>
      <c r="AM35" s="3353"/>
      <c r="AN35" s="3353"/>
      <c r="AO35" s="3353"/>
      <c r="AP35" s="3353"/>
      <c r="AQ35" s="3353">
        <v>683</v>
      </c>
      <c r="AR35" s="3353"/>
      <c r="AS35" s="3353"/>
      <c r="AT35" s="3353"/>
      <c r="AU35" s="3353"/>
      <c r="AV35" s="3353"/>
      <c r="AW35" s="3353"/>
      <c r="AX35" s="3353"/>
      <c r="AY35" s="3353"/>
      <c r="AZ35" s="3353"/>
      <c r="BA35" s="3353"/>
      <c r="BB35" s="3353">
        <v>272.70600000000002</v>
      </c>
      <c r="BC35" s="3353"/>
      <c r="BD35" s="3353">
        <v>575</v>
      </c>
      <c r="BE35" s="3353">
        <v>3621.7700000000004</v>
      </c>
    </row>
    <row r="36" spans="3:57" ht="15.75" hidden="1" thickBot="1" x14ac:dyDescent="0.3">
      <c r="C36" s="3199" t="s">
        <v>1481</v>
      </c>
      <c r="D36" s="3199"/>
      <c r="E36" s="3353">
        <v>0</v>
      </c>
      <c r="F36" s="3353"/>
      <c r="G36" s="3353">
        <v>0</v>
      </c>
      <c r="H36" s="3353"/>
      <c r="I36" s="3353"/>
      <c r="J36" s="3353"/>
      <c r="K36" s="3353">
        <v>324.81900000000002</v>
      </c>
      <c r="L36" s="3353"/>
      <c r="M36" s="3353"/>
      <c r="N36" s="3353"/>
      <c r="O36" s="3353">
        <v>922.452</v>
      </c>
      <c r="P36" s="3353"/>
      <c r="Q36" s="3353"/>
      <c r="R36" s="3353"/>
      <c r="S36" s="3353">
        <v>1779.9879999999996</v>
      </c>
      <c r="T36" s="3353"/>
      <c r="U36" s="3353"/>
      <c r="V36" s="3353"/>
      <c r="W36" s="3353">
        <v>0</v>
      </c>
      <c r="X36" s="3353"/>
      <c r="Y36" s="3353"/>
      <c r="Z36" s="3353"/>
      <c r="AA36" s="3353"/>
      <c r="AB36" s="3353"/>
      <c r="AC36" s="6620">
        <v>317.09999999999997</v>
      </c>
      <c r="AD36" s="3353"/>
      <c r="AE36" s="3353"/>
      <c r="AF36" s="3353"/>
      <c r="AG36" s="3353">
        <v>2222</v>
      </c>
      <c r="AH36" s="3353"/>
      <c r="AI36" s="3353"/>
      <c r="AJ36" s="3353"/>
      <c r="AK36" s="6620">
        <v>0</v>
      </c>
      <c r="AL36" s="3353"/>
      <c r="AM36" s="3353"/>
      <c r="AN36" s="3353"/>
      <c r="AO36" s="3353"/>
      <c r="AP36" s="3353"/>
      <c r="AQ36" s="3353">
        <v>252</v>
      </c>
      <c r="AR36" s="3353"/>
      <c r="AS36" s="3353"/>
      <c r="AT36" s="3353"/>
      <c r="AU36" s="3353"/>
      <c r="AV36" s="3353"/>
      <c r="AW36" s="3353"/>
      <c r="AX36" s="3353"/>
      <c r="AY36" s="3353"/>
      <c r="AZ36" s="3353"/>
      <c r="BA36" s="3353"/>
      <c r="BB36" s="3353">
        <v>97.244</v>
      </c>
      <c r="BC36" s="3353"/>
      <c r="BD36" s="3353">
        <v>0</v>
      </c>
      <c r="BE36" s="3353">
        <v>5915.6029999999992</v>
      </c>
    </row>
    <row r="37" spans="3:57" ht="15.75" hidden="1" thickBot="1" x14ac:dyDescent="0.3">
      <c r="C37" s="3199" t="s">
        <v>1431</v>
      </c>
      <c r="D37" s="3199"/>
      <c r="E37" s="3353">
        <v>592.31700000000001</v>
      </c>
      <c r="F37" s="3353"/>
      <c r="G37" s="3353">
        <v>0</v>
      </c>
      <c r="H37" s="3353"/>
      <c r="I37" s="3353"/>
      <c r="J37" s="3353"/>
      <c r="K37" s="3353">
        <v>0</v>
      </c>
      <c r="L37" s="3353"/>
      <c r="M37" s="3353"/>
      <c r="N37" s="3353"/>
      <c r="O37" s="3353">
        <v>0</v>
      </c>
      <c r="P37" s="3353"/>
      <c r="Q37" s="3353"/>
      <c r="R37" s="3353"/>
      <c r="S37" s="3353">
        <v>1306.4520000000002</v>
      </c>
      <c r="T37" s="3353"/>
      <c r="U37" s="3353"/>
      <c r="V37" s="3353"/>
      <c r="W37" s="3353">
        <v>0</v>
      </c>
      <c r="X37" s="3353"/>
      <c r="Y37" s="3353"/>
      <c r="Z37" s="3353"/>
      <c r="AA37" s="3353"/>
      <c r="AB37" s="3353"/>
      <c r="AC37" s="6620">
        <v>0</v>
      </c>
      <c r="AD37" s="3353"/>
      <c r="AE37" s="3353"/>
      <c r="AF37" s="3353"/>
      <c r="AG37" s="3353">
        <v>873</v>
      </c>
      <c r="AH37" s="3353"/>
      <c r="AI37" s="3353"/>
      <c r="AJ37" s="3353"/>
      <c r="AK37" s="6620">
        <v>0</v>
      </c>
      <c r="AL37" s="3353"/>
      <c r="AM37" s="3353"/>
      <c r="AN37" s="3353"/>
      <c r="AO37" s="3353"/>
      <c r="AP37" s="3353"/>
      <c r="AQ37" s="3353">
        <v>0</v>
      </c>
      <c r="AR37" s="3353"/>
      <c r="AS37" s="3353"/>
      <c r="AT37" s="3353"/>
      <c r="AU37" s="3353"/>
      <c r="AV37" s="3353"/>
      <c r="AW37" s="3353"/>
      <c r="AX37" s="3353"/>
      <c r="AY37" s="3353"/>
      <c r="AZ37" s="3353"/>
      <c r="BA37" s="3353"/>
      <c r="BB37" s="3353">
        <v>433.37</v>
      </c>
      <c r="BC37" s="3353"/>
      <c r="BD37" s="3353">
        <v>0</v>
      </c>
      <c r="BE37" s="3353">
        <v>3205.1390000000001</v>
      </c>
    </row>
    <row r="38" spans="3:57" ht="15.75" hidden="1" thickBot="1" x14ac:dyDescent="0.3">
      <c r="C38" s="3199" t="s">
        <v>1432</v>
      </c>
      <c r="D38" s="3199"/>
      <c r="E38" s="3353">
        <v>420.35399999999998</v>
      </c>
      <c r="F38" s="3353"/>
      <c r="G38" s="3353">
        <v>0</v>
      </c>
      <c r="H38" s="3353"/>
      <c r="I38" s="3353"/>
      <c r="J38" s="3353"/>
      <c r="K38" s="3353">
        <v>0</v>
      </c>
      <c r="L38" s="3353"/>
      <c r="M38" s="3353"/>
      <c r="N38" s="3353"/>
      <c r="O38" s="3353">
        <v>0</v>
      </c>
      <c r="P38" s="3353"/>
      <c r="Q38" s="3353"/>
      <c r="R38" s="3353"/>
      <c r="S38" s="3353">
        <v>0</v>
      </c>
      <c r="T38" s="3353"/>
      <c r="U38" s="3353"/>
      <c r="V38" s="3353"/>
      <c r="W38" s="3353">
        <v>0</v>
      </c>
      <c r="X38" s="3353"/>
      <c r="Y38" s="3353"/>
      <c r="Z38" s="3353"/>
      <c r="AA38" s="3353"/>
      <c r="AB38" s="3353"/>
      <c r="AC38" s="6620">
        <v>0</v>
      </c>
      <c r="AD38" s="3353"/>
      <c r="AE38" s="3353"/>
      <c r="AF38" s="3353"/>
      <c r="AG38" s="3353">
        <v>0</v>
      </c>
      <c r="AH38" s="3353"/>
      <c r="AI38" s="3353"/>
      <c r="AJ38" s="3353"/>
      <c r="AK38" s="6620">
        <v>0</v>
      </c>
      <c r="AL38" s="3353"/>
      <c r="AM38" s="3353"/>
      <c r="AN38" s="3353"/>
      <c r="AO38" s="3353"/>
      <c r="AP38" s="3353"/>
      <c r="AQ38" s="3353">
        <v>0</v>
      </c>
      <c r="AR38" s="3353"/>
      <c r="AS38" s="3353"/>
      <c r="AT38" s="3353"/>
      <c r="AU38" s="3353"/>
      <c r="AV38" s="3353"/>
      <c r="AW38" s="3353"/>
      <c r="AX38" s="3353"/>
      <c r="AY38" s="3353"/>
      <c r="AZ38" s="3353"/>
      <c r="BA38" s="3353"/>
      <c r="BB38" s="3353">
        <v>363.608</v>
      </c>
      <c r="BC38" s="3353"/>
      <c r="BD38" s="3353">
        <v>0</v>
      </c>
      <c r="BE38" s="3353">
        <v>783.96199999999999</v>
      </c>
    </row>
    <row r="39" spans="3:57" ht="15.75" hidden="1" thickBot="1" x14ac:dyDescent="0.3">
      <c r="C39" s="3199" t="s">
        <v>1732</v>
      </c>
      <c r="D39" s="3199"/>
      <c r="E39" s="3353">
        <v>0</v>
      </c>
      <c r="F39" s="3353"/>
      <c r="G39" s="3353">
        <v>0</v>
      </c>
      <c r="H39" s="3353"/>
      <c r="I39" s="3353"/>
      <c r="J39" s="3353"/>
      <c r="K39" s="3353">
        <v>0</v>
      </c>
      <c r="L39" s="3353"/>
      <c r="M39" s="3353"/>
      <c r="N39" s="3353"/>
      <c r="O39" s="3353">
        <v>0</v>
      </c>
      <c r="P39" s="3353"/>
      <c r="Q39" s="3353"/>
      <c r="R39" s="3353"/>
      <c r="S39" s="3353">
        <v>0</v>
      </c>
      <c r="T39" s="3353"/>
      <c r="U39" s="3353"/>
      <c r="V39" s="3353"/>
      <c r="W39" s="3353">
        <v>0</v>
      </c>
      <c r="X39" s="3353"/>
      <c r="Y39" s="3353"/>
      <c r="Z39" s="3353"/>
      <c r="AA39" s="3353"/>
      <c r="AB39" s="3353"/>
      <c r="AC39" s="6620">
        <v>0</v>
      </c>
      <c r="AD39" s="3353"/>
      <c r="AE39" s="3353"/>
      <c r="AF39" s="3353"/>
      <c r="AG39" s="3353">
        <v>0</v>
      </c>
      <c r="AH39" s="3353"/>
      <c r="AI39" s="3353"/>
      <c r="AJ39" s="3353"/>
      <c r="AK39" s="6620">
        <v>0</v>
      </c>
      <c r="AL39" s="3353"/>
      <c r="AM39" s="3353"/>
      <c r="AN39" s="3353"/>
      <c r="AO39" s="3353"/>
      <c r="AP39" s="3353"/>
      <c r="AQ39" s="3353">
        <v>0</v>
      </c>
      <c r="AR39" s="3353"/>
      <c r="AS39" s="3353"/>
      <c r="AT39" s="3353"/>
      <c r="AU39" s="3353"/>
      <c r="AV39" s="3353"/>
      <c r="AW39" s="3353"/>
      <c r="AX39" s="3353"/>
      <c r="AY39" s="3353"/>
      <c r="AZ39" s="3353"/>
      <c r="BA39" s="3353"/>
      <c r="BB39" s="3353">
        <v>0</v>
      </c>
      <c r="BC39" s="3353"/>
      <c r="BD39" s="3353">
        <v>541</v>
      </c>
      <c r="BE39" s="3353">
        <v>541</v>
      </c>
    </row>
    <row r="40" spans="3:57" ht="15.75" hidden="1" thickBot="1" x14ac:dyDescent="0.3">
      <c r="C40" s="3199" t="s">
        <v>1733</v>
      </c>
      <c r="D40" s="3199"/>
      <c r="E40" s="3353">
        <v>0</v>
      </c>
      <c r="F40" s="3353"/>
      <c r="G40" s="3353">
        <v>0</v>
      </c>
      <c r="H40" s="3353"/>
      <c r="I40" s="3353"/>
      <c r="J40" s="3353"/>
      <c r="K40" s="3353">
        <v>0</v>
      </c>
      <c r="L40" s="3353"/>
      <c r="M40" s="3353"/>
      <c r="N40" s="3353"/>
      <c r="O40" s="3353">
        <v>0</v>
      </c>
      <c r="P40" s="3353"/>
      <c r="Q40" s="3353"/>
      <c r="R40" s="3353"/>
      <c r="S40" s="3353">
        <v>0</v>
      </c>
      <c r="T40" s="3353"/>
      <c r="U40" s="3353"/>
      <c r="V40" s="3353"/>
      <c r="W40" s="3353">
        <v>0</v>
      </c>
      <c r="X40" s="3353"/>
      <c r="Y40" s="3353"/>
      <c r="Z40" s="3353"/>
      <c r="AA40" s="3353"/>
      <c r="AB40" s="3353"/>
      <c r="AC40" s="6620">
        <v>0</v>
      </c>
      <c r="AD40" s="3353"/>
      <c r="AE40" s="3353"/>
      <c r="AF40" s="3353"/>
      <c r="AG40" s="3353">
        <v>0</v>
      </c>
      <c r="AH40" s="3353"/>
      <c r="AI40" s="3353"/>
      <c r="AJ40" s="3353"/>
      <c r="AK40" s="6620">
        <v>0</v>
      </c>
      <c r="AL40" s="3353"/>
      <c r="AM40" s="3353"/>
      <c r="AN40" s="3353"/>
      <c r="AO40" s="3353"/>
      <c r="AP40" s="3353"/>
      <c r="AQ40" s="3353">
        <v>0</v>
      </c>
      <c r="AR40" s="3353"/>
      <c r="AS40" s="3353"/>
      <c r="AT40" s="3353"/>
      <c r="AU40" s="3353"/>
      <c r="AV40" s="3353"/>
      <c r="AW40" s="3353"/>
      <c r="AX40" s="3353"/>
      <c r="AY40" s="3353"/>
      <c r="AZ40" s="3353"/>
      <c r="BA40" s="3353"/>
      <c r="BB40" s="3353">
        <v>0</v>
      </c>
      <c r="BC40" s="3353"/>
      <c r="BD40" s="3353">
        <v>264</v>
      </c>
      <c r="BE40" s="3353">
        <v>264</v>
      </c>
    </row>
    <row r="41" spans="3:57" ht="15.75" hidden="1" thickBot="1" x14ac:dyDescent="0.3">
      <c r="C41" s="3199" t="s">
        <v>1670</v>
      </c>
      <c r="D41" s="3199"/>
      <c r="E41" s="3353">
        <v>0</v>
      </c>
      <c r="F41" s="3353"/>
      <c r="G41" s="3353">
        <v>0</v>
      </c>
      <c r="H41" s="3353"/>
      <c r="I41" s="3353"/>
      <c r="J41" s="3353"/>
      <c r="K41" s="3353">
        <v>0</v>
      </c>
      <c r="L41" s="3353"/>
      <c r="M41" s="3353"/>
      <c r="N41" s="3353"/>
      <c r="O41" s="3353">
        <v>0</v>
      </c>
      <c r="P41" s="3353"/>
      <c r="Q41" s="3353"/>
      <c r="R41" s="3353"/>
      <c r="S41" s="3353">
        <v>0</v>
      </c>
      <c r="T41" s="3353"/>
      <c r="U41" s="3353"/>
      <c r="V41" s="3353"/>
      <c r="W41" s="3353">
        <v>0</v>
      </c>
      <c r="X41" s="3353"/>
      <c r="Y41" s="3353"/>
      <c r="Z41" s="3353"/>
      <c r="AA41" s="3353"/>
      <c r="AB41" s="3353"/>
      <c r="AC41" s="6620">
        <v>0</v>
      </c>
      <c r="AD41" s="3353"/>
      <c r="AE41" s="3353"/>
      <c r="AF41" s="3353"/>
      <c r="AG41" s="3353">
        <v>1492</v>
      </c>
      <c r="AH41" s="3353"/>
      <c r="AI41" s="3353"/>
      <c r="AJ41" s="3353"/>
      <c r="AK41" s="6620">
        <v>0</v>
      </c>
      <c r="AL41" s="3353"/>
      <c r="AM41" s="3353"/>
      <c r="AN41" s="3353"/>
      <c r="AO41" s="3353"/>
      <c r="AP41" s="3353"/>
      <c r="AQ41" s="3353">
        <v>0</v>
      </c>
      <c r="AR41" s="3353"/>
      <c r="AS41" s="3353"/>
      <c r="AT41" s="3353"/>
      <c r="AU41" s="3353"/>
      <c r="AV41" s="3353"/>
      <c r="AW41" s="3353"/>
      <c r="AX41" s="3353"/>
      <c r="AY41" s="3353"/>
      <c r="AZ41" s="3353"/>
      <c r="BA41" s="3353"/>
      <c r="BB41" s="3353">
        <v>0</v>
      </c>
      <c r="BC41" s="3353"/>
      <c r="BD41" s="3353">
        <v>0</v>
      </c>
      <c r="BE41" s="3353">
        <v>1492</v>
      </c>
    </row>
    <row r="42" spans="3:57" ht="15.75" hidden="1" thickBot="1" x14ac:dyDescent="0.3">
      <c r="C42" s="3199" t="s">
        <v>1434</v>
      </c>
      <c r="D42" s="3199"/>
      <c r="E42" s="3353">
        <v>1689.9079999999999</v>
      </c>
      <c r="F42" s="3353"/>
      <c r="G42" s="3353">
        <v>269.62099999999998</v>
      </c>
      <c r="H42" s="3353"/>
      <c r="I42" s="3353"/>
      <c r="J42" s="3353"/>
      <c r="K42" s="3353">
        <v>1195.249</v>
      </c>
      <c r="L42" s="3353"/>
      <c r="M42" s="3353"/>
      <c r="N42" s="3353"/>
      <c r="O42" s="3353">
        <v>3688.9300000000012</v>
      </c>
      <c r="P42" s="3353"/>
      <c r="Q42" s="3353"/>
      <c r="R42" s="3353"/>
      <c r="S42" s="3353">
        <v>1333.9340000000002</v>
      </c>
      <c r="T42" s="3353"/>
      <c r="U42" s="3353"/>
      <c r="V42" s="3353"/>
      <c r="W42" s="3353">
        <v>1067.5700000000002</v>
      </c>
      <c r="X42" s="3353"/>
      <c r="Y42" s="3353"/>
      <c r="Z42" s="3353"/>
      <c r="AA42" s="3353"/>
      <c r="AB42" s="3353"/>
      <c r="AC42" s="6620">
        <v>2101.3159999999998</v>
      </c>
      <c r="AD42" s="3353"/>
      <c r="AE42" s="3353"/>
      <c r="AF42" s="3353"/>
      <c r="AG42" s="3353">
        <v>0</v>
      </c>
      <c r="AH42" s="3353"/>
      <c r="AI42" s="3353"/>
      <c r="AJ42" s="3353"/>
      <c r="AK42" s="6620">
        <v>4697</v>
      </c>
      <c r="AL42" s="3353"/>
      <c r="AM42" s="3353"/>
      <c r="AN42" s="3353"/>
      <c r="AO42" s="3353"/>
      <c r="AP42" s="3353"/>
      <c r="AQ42" s="3353">
        <v>3232</v>
      </c>
      <c r="AR42" s="3353"/>
      <c r="AS42" s="3353"/>
      <c r="AT42" s="3353"/>
      <c r="AU42" s="3353"/>
      <c r="AV42" s="3353"/>
      <c r="AW42" s="3353"/>
      <c r="AX42" s="3353"/>
      <c r="AY42" s="3353"/>
      <c r="AZ42" s="3353"/>
      <c r="BA42" s="3353"/>
      <c r="BB42" s="3353">
        <v>4488.021999999999</v>
      </c>
      <c r="BC42" s="3353"/>
      <c r="BD42" s="3353">
        <v>2287</v>
      </c>
      <c r="BE42" s="3353">
        <v>26050.550000000003</v>
      </c>
    </row>
    <row r="43" spans="3:57" ht="15.75" hidden="1" thickBot="1" x14ac:dyDescent="0.3">
      <c r="C43" s="3199" t="s">
        <v>1548</v>
      </c>
      <c r="D43" s="3199"/>
      <c r="E43" s="3353">
        <v>0</v>
      </c>
      <c r="F43" s="3353"/>
      <c r="G43" s="3353">
        <v>0</v>
      </c>
      <c r="H43" s="3353"/>
      <c r="I43" s="3353"/>
      <c r="J43" s="3353"/>
      <c r="K43" s="3353">
        <v>0</v>
      </c>
      <c r="L43" s="3353"/>
      <c r="M43" s="3353"/>
      <c r="N43" s="3353"/>
      <c r="O43" s="3353">
        <v>312.87199999999996</v>
      </c>
      <c r="P43" s="3353"/>
      <c r="Q43" s="3353"/>
      <c r="R43" s="3353"/>
      <c r="S43" s="3353">
        <v>0</v>
      </c>
      <c r="T43" s="3353"/>
      <c r="U43" s="3353"/>
      <c r="V43" s="3353"/>
      <c r="W43" s="3353">
        <v>131.06800000000001</v>
      </c>
      <c r="X43" s="3353"/>
      <c r="Y43" s="3353"/>
      <c r="Z43" s="3353"/>
      <c r="AA43" s="3353"/>
      <c r="AB43" s="3353"/>
      <c r="AC43" s="6620">
        <v>989.35199999999998</v>
      </c>
      <c r="AD43" s="3353"/>
      <c r="AE43" s="3353"/>
      <c r="AF43" s="3353"/>
      <c r="AG43" s="3353">
        <v>710</v>
      </c>
      <c r="AH43" s="3353"/>
      <c r="AI43" s="3353"/>
      <c r="AJ43" s="3353"/>
      <c r="AK43" s="6620">
        <v>0</v>
      </c>
      <c r="AL43" s="3353"/>
      <c r="AM43" s="3353"/>
      <c r="AN43" s="3353"/>
      <c r="AO43" s="3353"/>
      <c r="AP43" s="3353"/>
      <c r="AQ43" s="3353">
        <v>0</v>
      </c>
      <c r="AR43" s="3353"/>
      <c r="AS43" s="3353"/>
      <c r="AT43" s="3353"/>
      <c r="AU43" s="3353"/>
      <c r="AV43" s="3353"/>
      <c r="AW43" s="3353"/>
      <c r="AX43" s="3353"/>
      <c r="AY43" s="3353"/>
      <c r="AZ43" s="3353"/>
      <c r="BA43" s="3353"/>
      <c r="BB43" s="3353">
        <v>0</v>
      </c>
      <c r="BC43" s="3353"/>
      <c r="BD43" s="3353">
        <v>0</v>
      </c>
      <c r="BE43" s="3353">
        <v>2143.2919999999999</v>
      </c>
    </row>
    <row r="44" spans="3:57" ht="15.75" hidden="1" thickBot="1" x14ac:dyDescent="0.3">
      <c r="C44" s="3199" t="s">
        <v>1260</v>
      </c>
      <c r="D44" s="3199"/>
      <c r="E44" s="3353">
        <v>0</v>
      </c>
      <c r="F44" s="3353"/>
      <c r="G44" s="3353">
        <v>0</v>
      </c>
      <c r="H44" s="3353"/>
      <c r="I44" s="3353"/>
      <c r="J44" s="3353"/>
      <c r="K44" s="3353">
        <v>0</v>
      </c>
      <c r="L44" s="3353"/>
      <c r="M44" s="3353"/>
      <c r="N44" s="3353"/>
      <c r="O44" s="3353">
        <v>0</v>
      </c>
      <c r="P44" s="3353"/>
      <c r="Q44" s="3353"/>
      <c r="R44" s="3353"/>
      <c r="S44" s="3353">
        <v>0</v>
      </c>
      <c r="T44" s="3353"/>
      <c r="U44" s="3353"/>
      <c r="V44" s="3353"/>
      <c r="W44" s="3353">
        <v>0</v>
      </c>
      <c r="X44" s="3353"/>
      <c r="Y44" s="3353"/>
      <c r="Z44" s="3353"/>
      <c r="AA44" s="3353"/>
      <c r="AB44" s="3353"/>
      <c r="AC44" s="6620">
        <v>1959.6780000000001</v>
      </c>
      <c r="AD44" s="3353"/>
      <c r="AE44" s="3353"/>
      <c r="AF44" s="3353"/>
      <c r="AG44" s="3353">
        <v>0</v>
      </c>
      <c r="AH44" s="3353"/>
      <c r="AI44" s="3353"/>
      <c r="AJ44" s="3353"/>
      <c r="AK44" s="6620">
        <v>397</v>
      </c>
      <c r="AL44" s="3353"/>
      <c r="AM44" s="3353"/>
      <c r="AN44" s="3353"/>
      <c r="AO44" s="3353"/>
      <c r="AP44" s="3353"/>
      <c r="AQ44" s="3353">
        <v>560</v>
      </c>
      <c r="AR44" s="3353"/>
      <c r="AS44" s="3353"/>
      <c r="AT44" s="3353"/>
      <c r="AU44" s="3353"/>
      <c r="AV44" s="3353"/>
      <c r="AW44" s="3353"/>
      <c r="AX44" s="3353"/>
      <c r="AY44" s="3353"/>
      <c r="AZ44" s="3353"/>
      <c r="BA44" s="3353"/>
      <c r="BB44" s="3353">
        <v>0</v>
      </c>
      <c r="BC44" s="3353"/>
      <c r="BD44" s="3353">
        <v>0</v>
      </c>
      <c r="BE44" s="3353">
        <v>2916.6779999999999</v>
      </c>
    </row>
    <row r="45" spans="3:57" ht="15.75" hidden="1" thickBot="1" x14ac:dyDescent="0.3">
      <c r="C45" s="3199" t="s">
        <v>1296</v>
      </c>
      <c r="D45" s="3199"/>
      <c r="E45" s="3353">
        <v>2562.4609999999998</v>
      </c>
      <c r="F45" s="3353"/>
      <c r="G45" s="3353">
        <v>4063.422</v>
      </c>
      <c r="H45" s="3353"/>
      <c r="I45" s="3353"/>
      <c r="J45" s="3353"/>
      <c r="K45" s="3353">
        <v>8160.811999999999</v>
      </c>
      <c r="L45" s="3353"/>
      <c r="M45" s="3353"/>
      <c r="N45" s="3353"/>
      <c r="O45" s="3353">
        <v>5310.884</v>
      </c>
      <c r="P45" s="3353"/>
      <c r="Q45" s="3353"/>
      <c r="R45" s="3353"/>
      <c r="S45" s="3353">
        <v>6625.2760000000017</v>
      </c>
      <c r="T45" s="3353"/>
      <c r="U45" s="3353"/>
      <c r="V45" s="3353"/>
      <c r="W45" s="3353">
        <v>11633.342000000001</v>
      </c>
      <c r="X45" s="3353"/>
      <c r="Y45" s="3353"/>
      <c r="Z45" s="3353"/>
      <c r="AA45" s="3353"/>
      <c r="AB45" s="3353"/>
      <c r="AC45" s="6620">
        <v>5466.8040000000001</v>
      </c>
      <c r="AD45" s="3353"/>
      <c r="AE45" s="3353"/>
      <c r="AF45" s="3353"/>
      <c r="AG45" s="3353">
        <v>2664</v>
      </c>
      <c r="AH45" s="3353"/>
      <c r="AI45" s="3353"/>
      <c r="AJ45" s="3353"/>
      <c r="AK45" s="6620">
        <v>6374</v>
      </c>
      <c r="AL45" s="3353"/>
      <c r="AM45" s="3353"/>
      <c r="AN45" s="3353"/>
      <c r="AO45" s="3353"/>
      <c r="AP45" s="3353"/>
      <c r="AQ45" s="3353">
        <v>6621</v>
      </c>
      <c r="AR45" s="3353"/>
      <c r="AS45" s="3353"/>
      <c r="AT45" s="3353"/>
      <c r="AU45" s="3353"/>
      <c r="AV45" s="3353"/>
      <c r="AW45" s="3353"/>
      <c r="AX45" s="3353"/>
      <c r="AY45" s="3353"/>
      <c r="AZ45" s="3353"/>
      <c r="BA45" s="3353"/>
      <c r="BB45" s="3353">
        <v>2811.62</v>
      </c>
      <c r="BC45" s="3353"/>
      <c r="BD45" s="3353">
        <v>10003</v>
      </c>
      <c r="BE45" s="3353">
        <v>72296.621000000014</v>
      </c>
    </row>
    <row r="46" spans="3:57" ht="15.75" hidden="1" thickBot="1" x14ac:dyDescent="0.3">
      <c r="C46" s="3199" t="s">
        <v>1212</v>
      </c>
      <c r="D46" s="3199"/>
      <c r="E46" s="3353">
        <v>9428.2430000000004</v>
      </c>
      <c r="F46" s="3353"/>
      <c r="G46" s="3353">
        <v>3657.9290000000001</v>
      </c>
      <c r="H46" s="3353"/>
      <c r="I46" s="3353"/>
      <c r="J46" s="3353"/>
      <c r="K46" s="3353">
        <v>5320.2379999999994</v>
      </c>
      <c r="L46" s="3353"/>
      <c r="M46" s="3353"/>
      <c r="N46" s="3353"/>
      <c r="O46" s="3353">
        <v>7259.8770000000004</v>
      </c>
      <c r="P46" s="3353"/>
      <c r="Q46" s="3353"/>
      <c r="R46" s="3353"/>
      <c r="S46" s="3353">
        <v>8713.9079999999976</v>
      </c>
      <c r="T46" s="3353"/>
      <c r="U46" s="3353"/>
      <c r="V46" s="3353"/>
      <c r="W46" s="3353">
        <v>4633.8880000000008</v>
      </c>
      <c r="X46" s="3353"/>
      <c r="Y46" s="3353"/>
      <c r="Z46" s="3353"/>
      <c r="AA46" s="3353"/>
      <c r="AB46" s="3353"/>
      <c r="AC46" s="6620">
        <v>9367.1339999999982</v>
      </c>
      <c r="AD46" s="3353"/>
      <c r="AE46" s="3353"/>
      <c r="AF46" s="3353"/>
      <c r="AG46" s="3353">
        <v>7078</v>
      </c>
      <c r="AH46" s="3353"/>
      <c r="AI46" s="3353"/>
      <c r="AJ46" s="3353"/>
      <c r="AK46" s="6620">
        <v>13468.4</v>
      </c>
      <c r="AL46" s="3353"/>
      <c r="AM46" s="3353"/>
      <c r="AN46" s="3353"/>
      <c r="AO46" s="3353"/>
      <c r="AP46" s="3353"/>
      <c r="AQ46" s="3353">
        <v>11435</v>
      </c>
      <c r="AR46" s="3353"/>
      <c r="AS46" s="3353"/>
      <c r="AT46" s="3353"/>
      <c r="AU46" s="3353"/>
      <c r="AV46" s="3353"/>
      <c r="AW46" s="3353"/>
      <c r="AX46" s="3353"/>
      <c r="AY46" s="3353"/>
      <c r="AZ46" s="3353"/>
      <c r="BA46" s="3353"/>
      <c r="BB46" s="3353">
        <v>11007.597999999994</v>
      </c>
      <c r="BC46" s="3353"/>
      <c r="BD46" s="3353">
        <v>12682</v>
      </c>
      <c r="BE46" s="3353">
        <v>104052.215</v>
      </c>
    </row>
    <row r="47" spans="3:57" ht="15.75" hidden="1" thickBot="1" x14ac:dyDescent="0.3">
      <c r="C47" s="3199" t="s">
        <v>1273</v>
      </c>
      <c r="D47" s="3199"/>
      <c r="E47" s="3353">
        <v>0</v>
      </c>
      <c r="F47" s="3353"/>
      <c r="G47" s="3353">
        <v>0</v>
      </c>
      <c r="H47" s="3353"/>
      <c r="I47" s="3353"/>
      <c r="J47" s="3353"/>
      <c r="K47" s="3353">
        <v>713.32800000000009</v>
      </c>
      <c r="L47" s="3353"/>
      <c r="M47" s="3353"/>
      <c r="N47" s="3353"/>
      <c r="O47" s="3353">
        <v>0</v>
      </c>
      <c r="P47" s="3353"/>
      <c r="Q47" s="3353"/>
      <c r="R47" s="3353"/>
      <c r="S47" s="3353">
        <v>0</v>
      </c>
      <c r="T47" s="3353"/>
      <c r="U47" s="3353"/>
      <c r="V47" s="3353"/>
      <c r="W47" s="3353">
        <v>0</v>
      </c>
      <c r="X47" s="3353"/>
      <c r="Y47" s="3353"/>
      <c r="Z47" s="3353"/>
      <c r="AA47" s="3353"/>
      <c r="AB47" s="3353"/>
      <c r="AC47" s="6620">
        <v>0</v>
      </c>
      <c r="AD47" s="3353"/>
      <c r="AE47" s="3353"/>
      <c r="AF47" s="3353"/>
      <c r="AG47" s="3353">
        <v>0</v>
      </c>
      <c r="AH47" s="3353"/>
      <c r="AI47" s="3353"/>
      <c r="AJ47" s="3353"/>
      <c r="AK47" s="6620">
        <v>0</v>
      </c>
      <c r="AL47" s="3353"/>
      <c r="AM47" s="3353"/>
      <c r="AN47" s="3353"/>
      <c r="AO47" s="3353"/>
      <c r="AP47" s="3353"/>
      <c r="AQ47" s="3353">
        <v>0</v>
      </c>
      <c r="AR47" s="3353"/>
      <c r="AS47" s="3353"/>
      <c r="AT47" s="3353"/>
      <c r="AU47" s="3353"/>
      <c r="AV47" s="3353"/>
      <c r="AW47" s="3353"/>
      <c r="AX47" s="3353"/>
      <c r="AY47" s="3353"/>
      <c r="AZ47" s="3353"/>
      <c r="BA47" s="3353"/>
      <c r="BB47" s="3353">
        <v>0</v>
      </c>
      <c r="BC47" s="3353"/>
      <c r="BD47" s="3353">
        <v>0</v>
      </c>
      <c r="BE47" s="3353">
        <v>713.32800000000009</v>
      </c>
    </row>
    <row r="48" spans="3:57" ht="15.75" hidden="1" thickBot="1" x14ac:dyDescent="0.3">
      <c r="C48" s="3199" t="s">
        <v>1213</v>
      </c>
      <c r="D48" s="3199"/>
      <c r="E48" s="3353">
        <v>600.80900000000008</v>
      </c>
      <c r="F48" s="3353"/>
      <c r="G48" s="3353">
        <v>101.904</v>
      </c>
      <c r="H48" s="3353"/>
      <c r="I48" s="3353"/>
      <c r="J48" s="3353"/>
      <c r="K48" s="3353">
        <v>0</v>
      </c>
      <c r="L48" s="3353"/>
      <c r="M48" s="3353"/>
      <c r="N48" s="3353"/>
      <c r="O48" s="3353">
        <v>0</v>
      </c>
      <c r="P48" s="3353"/>
      <c r="Q48" s="3353"/>
      <c r="R48" s="3353"/>
      <c r="S48" s="3353">
        <v>293.846</v>
      </c>
      <c r="T48" s="3353"/>
      <c r="U48" s="3353"/>
      <c r="V48" s="3353"/>
      <c r="W48" s="3353">
        <v>441.82599999999996</v>
      </c>
      <c r="X48" s="3353"/>
      <c r="Y48" s="3353"/>
      <c r="Z48" s="3353"/>
      <c r="AA48" s="3353"/>
      <c r="AB48" s="3353"/>
      <c r="AC48" s="6620">
        <v>217.74199999999999</v>
      </c>
      <c r="AD48" s="3353"/>
      <c r="AE48" s="3353"/>
      <c r="AF48" s="3353"/>
      <c r="AG48" s="3353">
        <v>2763</v>
      </c>
      <c r="AH48" s="3353"/>
      <c r="AI48" s="3353"/>
      <c r="AJ48" s="3353"/>
      <c r="AK48" s="6620">
        <v>0</v>
      </c>
      <c r="AL48" s="3353"/>
      <c r="AM48" s="3353"/>
      <c r="AN48" s="3353"/>
      <c r="AO48" s="3353"/>
      <c r="AP48" s="3353"/>
      <c r="AQ48" s="3353">
        <v>0</v>
      </c>
      <c r="AR48" s="3353"/>
      <c r="AS48" s="3353"/>
      <c r="AT48" s="3353"/>
      <c r="AU48" s="3353"/>
      <c r="AV48" s="3353"/>
      <c r="AW48" s="3353"/>
      <c r="AX48" s="3353"/>
      <c r="AY48" s="3353"/>
      <c r="AZ48" s="3353"/>
      <c r="BA48" s="3353"/>
      <c r="BB48" s="3353">
        <v>213.51400000000001</v>
      </c>
      <c r="BC48" s="3353"/>
      <c r="BD48" s="3353">
        <v>0</v>
      </c>
      <c r="BE48" s="3353">
        <v>4632.6410000000005</v>
      </c>
    </row>
    <row r="49" spans="3:57" ht="15.75" hidden="1" thickBot="1" x14ac:dyDescent="0.3">
      <c r="C49" s="3199" t="s">
        <v>1435</v>
      </c>
      <c r="D49" s="3199"/>
      <c r="E49" s="3353">
        <v>721.81999999999994</v>
      </c>
      <c r="F49" s="3353"/>
      <c r="G49" s="3353">
        <v>588.07100000000003</v>
      </c>
      <c r="H49" s="3353"/>
      <c r="I49" s="3353"/>
      <c r="J49" s="3353"/>
      <c r="K49" s="3353">
        <v>1180.3880000000001</v>
      </c>
      <c r="L49" s="3353"/>
      <c r="M49" s="3353"/>
      <c r="N49" s="3353"/>
      <c r="O49" s="3353">
        <v>568.66599999999994</v>
      </c>
      <c r="P49" s="3353"/>
      <c r="Q49" s="3353"/>
      <c r="R49" s="3353"/>
      <c r="S49" s="3353">
        <v>0</v>
      </c>
      <c r="T49" s="3353"/>
      <c r="U49" s="3353"/>
      <c r="V49" s="3353"/>
      <c r="W49" s="3353">
        <v>0</v>
      </c>
      <c r="X49" s="3353"/>
      <c r="Y49" s="3353"/>
      <c r="Z49" s="3353"/>
      <c r="AA49" s="3353"/>
      <c r="AB49" s="3353"/>
      <c r="AC49" s="6620">
        <v>124.726</v>
      </c>
      <c r="AD49" s="3353"/>
      <c r="AE49" s="3353"/>
      <c r="AF49" s="3353"/>
      <c r="AG49" s="3353">
        <v>0</v>
      </c>
      <c r="AH49" s="3353"/>
      <c r="AI49" s="3353"/>
      <c r="AJ49" s="3353"/>
      <c r="AK49" s="6620">
        <v>0</v>
      </c>
      <c r="AL49" s="3353"/>
      <c r="AM49" s="3353"/>
      <c r="AN49" s="3353"/>
      <c r="AO49" s="3353"/>
      <c r="AP49" s="3353"/>
      <c r="AQ49" s="3353">
        <v>0</v>
      </c>
      <c r="AR49" s="3353"/>
      <c r="AS49" s="3353"/>
      <c r="AT49" s="3353"/>
      <c r="AU49" s="3353"/>
      <c r="AV49" s="3353"/>
      <c r="AW49" s="3353"/>
      <c r="AX49" s="3353"/>
      <c r="AY49" s="3353"/>
      <c r="AZ49" s="3353"/>
      <c r="BA49" s="3353"/>
      <c r="BB49" s="3353">
        <v>566.55200000000002</v>
      </c>
      <c r="BC49" s="3353"/>
      <c r="BD49" s="3353">
        <v>0</v>
      </c>
      <c r="BE49" s="3353">
        <v>3750.2230000000009</v>
      </c>
    </row>
    <row r="50" spans="3:57" ht="15.75" hidden="1" thickBot="1" x14ac:dyDescent="0.3">
      <c r="C50" s="3199" t="s">
        <v>1436</v>
      </c>
      <c r="D50" s="3199"/>
      <c r="E50" s="3353">
        <v>0</v>
      </c>
      <c r="F50" s="3353"/>
      <c r="G50" s="3353">
        <v>0</v>
      </c>
      <c r="H50" s="3353"/>
      <c r="I50" s="3353"/>
      <c r="J50" s="3353"/>
      <c r="K50" s="3353">
        <v>0</v>
      </c>
      <c r="L50" s="3353"/>
      <c r="M50" s="3353"/>
      <c r="N50" s="3353"/>
      <c r="O50" s="3353">
        <v>0</v>
      </c>
      <c r="P50" s="3353"/>
      <c r="Q50" s="3353"/>
      <c r="R50" s="3353"/>
      <c r="S50" s="3353">
        <v>99.358000000000004</v>
      </c>
      <c r="T50" s="3353"/>
      <c r="U50" s="3353"/>
      <c r="V50" s="3353"/>
      <c r="W50" s="3353">
        <v>298.07399999999996</v>
      </c>
      <c r="X50" s="3353"/>
      <c r="Y50" s="3353"/>
      <c r="Z50" s="3353"/>
      <c r="AA50" s="3353"/>
      <c r="AB50" s="3353"/>
      <c r="AC50" s="6620">
        <v>0</v>
      </c>
      <c r="AD50" s="3353"/>
      <c r="AE50" s="3353"/>
      <c r="AF50" s="3353"/>
      <c r="AG50" s="3353">
        <v>0</v>
      </c>
      <c r="AH50" s="3353"/>
      <c r="AI50" s="3353"/>
      <c r="AJ50" s="3353"/>
      <c r="AK50" s="6620">
        <v>0</v>
      </c>
      <c r="AL50" s="3353"/>
      <c r="AM50" s="3353"/>
      <c r="AN50" s="3353"/>
      <c r="AO50" s="3353"/>
      <c r="AP50" s="3353"/>
      <c r="AQ50" s="3353">
        <v>0</v>
      </c>
      <c r="AR50" s="3353"/>
      <c r="AS50" s="3353"/>
      <c r="AT50" s="3353"/>
      <c r="AU50" s="3353"/>
      <c r="AV50" s="3353"/>
      <c r="AW50" s="3353"/>
      <c r="AX50" s="3353"/>
      <c r="AY50" s="3353"/>
      <c r="AZ50" s="3353"/>
      <c r="BA50" s="3353"/>
      <c r="BB50" s="3353">
        <v>120.498</v>
      </c>
      <c r="BC50" s="3353"/>
      <c r="BD50" s="3353">
        <v>0</v>
      </c>
      <c r="BE50" s="3353">
        <v>517.92999999999995</v>
      </c>
    </row>
    <row r="51" spans="3:57" ht="15.75" hidden="1" thickBot="1" x14ac:dyDescent="0.3">
      <c r="C51" s="3199" t="s">
        <v>1437</v>
      </c>
      <c r="D51" s="3199"/>
      <c r="E51" s="3353">
        <v>630.53099999999995</v>
      </c>
      <c r="F51" s="3353"/>
      <c r="G51" s="3353">
        <v>0</v>
      </c>
      <c r="H51" s="3353"/>
      <c r="I51" s="3353"/>
      <c r="J51" s="3353"/>
      <c r="K51" s="3353">
        <v>0</v>
      </c>
      <c r="L51" s="3353"/>
      <c r="M51" s="3353"/>
      <c r="N51" s="3353"/>
      <c r="O51" s="3353">
        <v>913.24800000000005</v>
      </c>
      <c r="P51" s="3353"/>
      <c r="Q51" s="3353"/>
      <c r="R51" s="3353"/>
      <c r="S51" s="3353">
        <v>587.69200000000012</v>
      </c>
      <c r="T51" s="3353"/>
      <c r="U51" s="3353"/>
      <c r="V51" s="3353"/>
      <c r="W51" s="3353">
        <v>1143.674</v>
      </c>
      <c r="X51" s="3353"/>
      <c r="Y51" s="3353"/>
      <c r="Z51" s="3353"/>
      <c r="AA51" s="3353"/>
      <c r="AB51" s="3353"/>
      <c r="AC51" s="6620">
        <v>0</v>
      </c>
      <c r="AD51" s="3353"/>
      <c r="AE51" s="3353"/>
      <c r="AF51" s="3353"/>
      <c r="AG51" s="3353">
        <v>127</v>
      </c>
      <c r="AH51" s="3353"/>
      <c r="AI51" s="3353"/>
      <c r="AJ51" s="3353"/>
      <c r="AK51" s="6620">
        <v>0</v>
      </c>
      <c r="AL51" s="3353"/>
      <c r="AM51" s="3353"/>
      <c r="AN51" s="3353"/>
      <c r="AO51" s="3353"/>
      <c r="AP51" s="3353"/>
      <c r="AQ51" s="3353">
        <v>0</v>
      </c>
      <c r="AR51" s="3353"/>
      <c r="AS51" s="3353"/>
      <c r="AT51" s="3353"/>
      <c r="AU51" s="3353"/>
      <c r="AV51" s="3353"/>
      <c r="AW51" s="3353"/>
      <c r="AX51" s="3353"/>
      <c r="AY51" s="3353"/>
      <c r="AZ51" s="3353"/>
      <c r="BA51" s="3353"/>
      <c r="BB51" s="3353">
        <v>255.79400000000001</v>
      </c>
      <c r="BC51" s="3353"/>
      <c r="BD51" s="3353">
        <v>345</v>
      </c>
      <c r="BE51" s="3353">
        <v>4002.9389999999999</v>
      </c>
    </row>
    <row r="52" spans="3:57" ht="15.75" hidden="1" thickBot="1" x14ac:dyDescent="0.3">
      <c r="C52" s="3199" t="s">
        <v>1438</v>
      </c>
      <c r="D52" s="3199"/>
      <c r="E52" s="3353">
        <v>2897.8950000000004</v>
      </c>
      <c r="F52" s="3353"/>
      <c r="G52" s="3353">
        <v>2766.2690000000007</v>
      </c>
      <c r="H52" s="3353"/>
      <c r="I52" s="3353"/>
      <c r="J52" s="3353"/>
      <c r="K52" s="3353">
        <v>3146.2860000000001</v>
      </c>
      <c r="L52" s="3353"/>
      <c r="M52" s="3353"/>
      <c r="N52" s="3353"/>
      <c r="O52" s="3353">
        <v>3143.5219999999999</v>
      </c>
      <c r="P52" s="3353"/>
      <c r="Q52" s="3353"/>
      <c r="R52" s="3353"/>
      <c r="S52" s="3353">
        <v>0</v>
      </c>
      <c r="T52" s="3353"/>
      <c r="U52" s="3353"/>
      <c r="V52" s="3353"/>
      <c r="W52" s="3353">
        <v>0</v>
      </c>
      <c r="X52" s="3353"/>
      <c r="Y52" s="3353"/>
      <c r="Z52" s="3353"/>
      <c r="AA52" s="3353"/>
      <c r="AB52" s="3353"/>
      <c r="AC52" s="6620">
        <v>1268.4000000000001</v>
      </c>
      <c r="AD52" s="3353"/>
      <c r="AE52" s="3353"/>
      <c r="AF52" s="3353"/>
      <c r="AG52" s="3353">
        <v>1222</v>
      </c>
      <c r="AH52" s="3353"/>
      <c r="AI52" s="3353"/>
      <c r="AJ52" s="3353"/>
      <c r="AK52" s="6620">
        <v>0</v>
      </c>
      <c r="AL52" s="3353"/>
      <c r="AM52" s="3353"/>
      <c r="AN52" s="3353"/>
      <c r="AO52" s="3353"/>
      <c r="AP52" s="3353"/>
      <c r="AQ52" s="3353">
        <v>871</v>
      </c>
      <c r="AR52" s="3353"/>
      <c r="AS52" s="3353"/>
      <c r="AT52" s="3353"/>
      <c r="AU52" s="3353"/>
      <c r="AV52" s="3353"/>
      <c r="AW52" s="3353"/>
      <c r="AX52" s="3353"/>
      <c r="AY52" s="3353"/>
      <c r="AZ52" s="3353"/>
      <c r="BA52" s="3353"/>
      <c r="BB52" s="3353">
        <v>536.95600000000002</v>
      </c>
      <c r="BC52" s="3353"/>
      <c r="BD52" s="3353">
        <v>0</v>
      </c>
      <c r="BE52" s="3353">
        <v>15852.328000000001</v>
      </c>
    </row>
    <row r="53" spans="3:57" ht="15.75" hidden="1" thickBot="1" x14ac:dyDescent="0.3">
      <c r="C53" s="3199" t="s">
        <v>1439</v>
      </c>
      <c r="D53" s="3199"/>
      <c r="E53" s="3353">
        <v>3662.1749999999997</v>
      </c>
      <c r="F53" s="3353"/>
      <c r="G53" s="3353">
        <v>10029.052</v>
      </c>
      <c r="H53" s="3353"/>
      <c r="I53" s="3353"/>
      <c r="J53" s="3353"/>
      <c r="K53" s="3353">
        <v>3953.0259999999998</v>
      </c>
      <c r="L53" s="3353"/>
      <c r="M53" s="3353"/>
      <c r="N53" s="3353"/>
      <c r="O53" s="3353">
        <v>2753.7340000000008</v>
      </c>
      <c r="P53" s="3353"/>
      <c r="Q53" s="3353"/>
      <c r="R53" s="3353"/>
      <c r="S53" s="3353">
        <v>6862.0440000000008</v>
      </c>
      <c r="T53" s="3353"/>
      <c r="U53" s="3353"/>
      <c r="V53" s="3353"/>
      <c r="W53" s="3353">
        <v>2955.3719999999998</v>
      </c>
      <c r="X53" s="3353"/>
      <c r="Y53" s="3353"/>
      <c r="Z53" s="3353"/>
      <c r="AA53" s="3353"/>
      <c r="AB53" s="3353"/>
      <c r="AC53" s="6620">
        <v>2782.0240000000003</v>
      </c>
      <c r="AD53" s="3353"/>
      <c r="AE53" s="3353"/>
      <c r="AF53" s="3353"/>
      <c r="AG53" s="3353">
        <v>4401</v>
      </c>
      <c r="AH53" s="3353"/>
      <c r="AI53" s="3353"/>
      <c r="AJ53" s="3353"/>
      <c r="AK53" s="6620">
        <v>8596.4</v>
      </c>
      <c r="AL53" s="3353"/>
      <c r="AM53" s="3353"/>
      <c r="AN53" s="3353"/>
      <c r="AO53" s="3353"/>
      <c r="AP53" s="3353"/>
      <c r="AQ53" s="3353">
        <v>4232</v>
      </c>
      <c r="AR53" s="3353"/>
      <c r="AS53" s="3353"/>
      <c r="AT53" s="3353"/>
      <c r="AU53" s="3353"/>
      <c r="AV53" s="3353"/>
      <c r="AW53" s="3353"/>
      <c r="AX53" s="3353"/>
      <c r="AY53" s="3353"/>
      <c r="AZ53" s="3353"/>
      <c r="BA53" s="3353"/>
      <c r="BB53" s="3353">
        <v>2638.2720000000004</v>
      </c>
      <c r="BC53" s="3353"/>
      <c r="BD53" s="3353">
        <v>4040</v>
      </c>
      <c r="BE53" s="3353">
        <v>56905.098999999995</v>
      </c>
    </row>
    <row r="54" spans="3:57" ht="15.75" hidden="1" thickBot="1" x14ac:dyDescent="0.3">
      <c r="C54" s="3199" t="s">
        <v>1440</v>
      </c>
      <c r="D54" s="3199"/>
      <c r="E54" s="3353">
        <v>1494.5920000000001</v>
      </c>
      <c r="F54" s="3353"/>
      <c r="G54" s="3353">
        <v>0</v>
      </c>
      <c r="H54" s="3353"/>
      <c r="I54" s="3353"/>
      <c r="J54" s="3353"/>
      <c r="K54" s="3353">
        <v>0</v>
      </c>
      <c r="L54" s="3353"/>
      <c r="M54" s="3353"/>
      <c r="N54" s="3353"/>
      <c r="O54" s="3353">
        <v>0</v>
      </c>
      <c r="P54" s="3353"/>
      <c r="Q54" s="3353"/>
      <c r="R54" s="3353"/>
      <c r="S54" s="3353">
        <v>0</v>
      </c>
      <c r="T54" s="3353"/>
      <c r="U54" s="3353"/>
      <c r="V54" s="3353"/>
      <c r="W54" s="3353">
        <v>0</v>
      </c>
      <c r="X54" s="3353"/>
      <c r="Y54" s="3353"/>
      <c r="Z54" s="3353"/>
      <c r="AA54" s="3353"/>
      <c r="AB54" s="3353"/>
      <c r="AC54" s="6620">
        <v>0</v>
      </c>
      <c r="AD54" s="3353"/>
      <c r="AE54" s="3353"/>
      <c r="AF54" s="3353"/>
      <c r="AG54" s="3353">
        <v>693</v>
      </c>
      <c r="AH54" s="3353"/>
      <c r="AI54" s="3353"/>
      <c r="AJ54" s="3353"/>
      <c r="AK54" s="6620">
        <v>3097</v>
      </c>
      <c r="AL54" s="3353"/>
      <c r="AM54" s="3353"/>
      <c r="AN54" s="3353"/>
      <c r="AO54" s="3353"/>
      <c r="AP54" s="3353"/>
      <c r="AQ54" s="3353">
        <v>581</v>
      </c>
      <c r="AR54" s="3353"/>
      <c r="AS54" s="3353"/>
      <c r="AT54" s="3353"/>
      <c r="AU54" s="3353"/>
      <c r="AV54" s="3353"/>
      <c r="AW54" s="3353"/>
      <c r="AX54" s="3353"/>
      <c r="AY54" s="3353"/>
      <c r="AZ54" s="3353"/>
      <c r="BA54" s="3353"/>
      <c r="BB54" s="3353">
        <v>731.44400000000007</v>
      </c>
      <c r="BC54" s="3353"/>
      <c r="BD54" s="3353">
        <v>0</v>
      </c>
      <c r="BE54" s="3353">
        <v>6597.036000000001</v>
      </c>
    </row>
    <row r="55" spans="3:57" ht="15.75" hidden="1" thickBot="1" x14ac:dyDescent="0.3">
      <c r="C55" s="3199" t="s">
        <v>1418</v>
      </c>
      <c r="D55" s="3199"/>
      <c r="E55" s="3353">
        <v>13151.984999999999</v>
      </c>
      <c r="F55" s="3353"/>
      <c r="G55" s="3353">
        <v>15759.029</v>
      </c>
      <c r="H55" s="3353"/>
      <c r="I55" s="3353"/>
      <c r="J55" s="3353"/>
      <c r="K55" s="3353">
        <v>9969.608000000002</v>
      </c>
      <c r="L55" s="3353"/>
      <c r="M55" s="3353"/>
      <c r="N55" s="3353"/>
      <c r="O55" s="3353">
        <v>13321.243000000002</v>
      </c>
      <c r="P55" s="3353"/>
      <c r="Q55" s="3353"/>
      <c r="R55" s="3353"/>
      <c r="S55" s="3353">
        <v>6217.2740000000013</v>
      </c>
      <c r="T55" s="3353"/>
      <c r="U55" s="3353"/>
      <c r="V55" s="3353"/>
      <c r="W55" s="3353">
        <v>4249.1400000000003</v>
      </c>
      <c r="X55" s="3353"/>
      <c r="Y55" s="3353"/>
      <c r="Z55" s="3353"/>
      <c r="AA55" s="3353"/>
      <c r="AB55" s="3353"/>
      <c r="AC55" s="6620">
        <v>11221.111999999997</v>
      </c>
      <c r="AD55" s="3353"/>
      <c r="AE55" s="3353"/>
      <c r="AF55" s="3353"/>
      <c r="AG55" s="3353">
        <v>9972</v>
      </c>
      <c r="AH55" s="3353"/>
      <c r="AI55" s="3353"/>
      <c r="AJ55" s="3353"/>
      <c r="AK55" s="6620">
        <v>9069</v>
      </c>
      <c r="AL55" s="3353"/>
      <c r="AM55" s="3353"/>
      <c r="AN55" s="3353"/>
      <c r="AO55" s="3353"/>
      <c r="AP55" s="3353"/>
      <c r="AQ55" s="3353">
        <v>5758</v>
      </c>
      <c r="AR55" s="3353"/>
      <c r="AS55" s="3353"/>
      <c r="AT55" s="3353"/>
      <c r="AU55" s="3353"/>
      <c r="AV55" s="3353"/>
      <c r="AW55" s="3353"/>
      <c r="AX55" s="3353"/>
      <c r="AY55" s="3353"/>
      <c r="AZ55" s="3353"/>
      <c r="BA55" s="3353"/>
      <c r="BB55" s="3353">
        <v>8713.1600000000017</v>
      </c>
      <c r="BC55" s="3353"/>
      <c r="BD55" s="3353">
        <v>3457</v>
      </c>
      <c r="BE55" s="3353">
        <v>110858.55100000001</v>
      </c>
    </row>
    <row r="56" spans="3:57" ht="15.75" hidden="1" thickBot="1" x14ac:dyDescent="0.3">
      <c r="C56" s="3199" t="s">
        <v>1214</v>
      </c>
      <c r="D56" s="3199"/>
      <c r="E56" s="3353">
        <v>4895.6380000000008</v>
      </c>
      <c r="F56" s="3353"/>
      <c r="G56" s="3353">
        <v>4526.2360000000008</v>
      </c>
      <c r="H56" s="3353"/>
      <c r="I56" s="3353"/>
      <c r="J56" s="3353"/>
      <c r="K56" s="3353">
        <v>9409.1360000000004</v>
      </c>
      <c r="L56" s="3353"/>
      <c r="M56" s="3353"/>
      <c r="N56" s="3353"/>
      <c r="O56" s="3353">
        <v>4096.9070000000011</v>
      </c>
      <c r="P56" s="3353"/>
      <c r="Q56" s="3353"/>
      <c r="R56" s="3353"/>
      <c r="S56" s="3353">
        <v>6938.1479999999992</v>
      </c>
      <c r="T56" s="3353"/>
      <c r="U56" s="3353"/>
      <c r="V56" s="3353"/>
      <c r="W56" s="3353">
        <v>9345.9940000000024</v>
      </c>
      <c r="X56" s="3353"/>
      <c r="Y56" s="3353"/>
      <c r="Z56" s="3353"/>
      <c r="AA56" s="3353"/>
      <c r="AB56" s="3353"/>
      <c r="AC56" s="6620">
        <v>11536.097999999998</v>
      </c>
      <c r="AD56" s="3353"/>
      <c r="AE56" s="3353"/>
      <c r="AF56" s="3353"/>
      <c r="AG56" s="3353">
        <v>4427</v>
      </c>
      <c r="AH56" s="3353"/>
      <c r="AI56" s="3353"/>
      <c r="AJ56" s="3353"/>
      <c r="AK56" s="6620">
        <v>2714</v>
      </c>
      <c r="AL56" s="3353"/>
      <c r="AM56" s="3353"/>
      <c r="AN56" s="3353"/>
      <c r="AO56" s="3353"/>
      <c r="AP56" s="3353"/>
      <c r="AQ56" s="3353">
        <v>2448</v>
      </c>
      <c r="AR56" s="3353"/>
      <c r="AS56" s="3353"/>
      <c r="AT56" s="3353"/>
      <c r="AU56" s="3353"/>
      <c r="AV56" s="3353"/>
      <c r="AW56" s="3353"/>
      <c r="AX56" s="3353"/>
      <c r="AY56" s="3353"/>
      <c r="AZ56" s="3353"/>
      <c r="BA56" s="3353"/>
      <c r="BB56" s="3353">
        <v>9931.5719999999965</v>
      </c>
      <c r="BC56" s="3353"/>
      <c r="BD56" s="3353">
        <v>6135</v>
      </c>
      <c r="BE56" s="3353">
        <v>76403.729000000007</v>
      </c>
    </row>
    <row r="57" spans="3:57" ht="15.75" hidden="1" thickBot="1" x14ac:dyDescent="0.3">
      <c r="C57" s="3199" t="s">
        <v>1215</v>
      </c>
      <c r="D57" s="3199"/>
      <c r="E57" s="3353">
        <v>74606.466</v>
      </c>
      <c r="F57" s="3353"/>
      <c r="G57" s="3353">
        <v>62184.792999999976</v>
      </c>
      <c r="H57" s="3353"/>
      <c r="I57" s="3353"/>
      <c r="J57" s="3353"/>
      <c r="K57" s="3353">
        <v>57066.240000000085</v>
      </c>
      <c r="L57" s="3353"/>
      <c r="M57" s="3353"/>
      <c r="N57" s="3353"/>
      <c r="O57" s="3353">
        <v>81044.896000000022</v>
      </c>
      <c r="P57" s="3353"/>
      <c r="Q57" s="3353"/>
      <c r="R57" s="3353"/>
      <c r="S57" s="3353">
        <v>79862.691999999952</v>
      </c>
      <c r="T57" s="3353"/>
      <c r="U57" s="3353"/>
      <c r="V57" s="3353"/>
      <c r="W57" s="3353">
        <v>73550.288000000059</v>
      </c>
      <c r="X57" s="3353"/>
      <c r="Y57" s="3353"/>
      <c r="Z57" s="3353"/>
      <c r="AA57" s="3353"/>
      <c r="AB57" s="3353"/>
      <c r="AC57" s="6620">
        <v>66265.444000000032</v>
      </c>
      <c r="AD57" s="3353"/>
      <c r="AE57" s="3353"/>
      <c r="AF57" s="3353"/>
      <c r="AG57" s="3353">
        <v>60441</v>
      </c>
      <c r="AH57" s="3353"/>
      <c r="AI57" s="3353"/>
      <c r="AJ57" s="3353"/>
      <c r="AK57" s="6620">
        <v>65319.4</v>
      </c>
      <c r="AL57" s="3353"/>
      <c r="AM57" s="3353"/>
      <c r="AN57" s="3353"/>
      <c r="AO57" s="3353"/>
      <c r="AP57" s="3353"/>
      <c r="AQ57" s="3353">
        <v>73720</v>
      </c>
      <c r="AR57" s="3353"/>
      <c r="AS57" s="3353"/>
      <c r="AT57" s="3353"/>
      <c r="AU57" s="3353"/>
      <c r="AV57" s="3353"/>
      <c r="AW57" s="3353"/>
      <c r="AX57" s="3353"/>
      <c r="AY57" s="3353"/>
      <c r="AZ57" s="3353"/>
      <c r="BA57" s="3353"/>
      <c r="BB57" s="3353">
        <v>74292.301999999981</v>
      </c>
      <c r="BC57" s="3353"/>
      <c r="BD57" s="3353">
        <v>76611</v>
      </c>
      <c r="BE57" s="3353">
        <v>844964.52100000018</v>
      </c>
    </row>
    <row r="58" spans="3:57" ht="15.75" hidden="1" thickBot="1" x14ac:dyDescent="0.3">
      <c r="C58" s="3199" t="s">
        <v>1579</v>
      </c>
      <c r="D58" s="3199"/>
      <c r="E58" s="3353">
        <v>0</v>
      </c>
      <c r="F58" s="3353"/>
      <c r="G58" s="3353">
        <v>0</v>
      </c>
      <c r="H58" s="3353"/>
      <c r="I58" s="3353"/>
      <c r="J58" s="3353"/>
      <c r="K58" s="3353">
        <v>0</v>
      </c>
      <c r="L58" s="3353"/>
      <c r="M58" s="3353"/>
      <c r="N58" s="3353"/>
      <c r="O58" s="3353">
        <v>0</v>
      </c>
      <c r="P58" s="3353"/>
      <c r="Q58" s="3353"/>
      <c r="R58" s="3353"/>
      <c r="S58" s="3353">
        <v>1519.9659999999999</v>
      </c>
      <c r="T58" s="3353"/>
      <c r="U58" s="3353"/>
      <c r="V58" s="3353"/>
      <c r="W58" s="3353">
        <v>1329.7059999999999</v>
      </c>
      <c r="X58" s="3353"/>
      <c r="Y58" s="3353"/>
      <c r="Z58" s="3353"/>
      <c r="AA58" s="3353"/>
      <c r="AB58" s="3353"/>
      <c r="AC58" s="6620">
        <v>0</v>
      </c>
      <c r="AD58" s="3353"/>
      <c r="AE58" s="3353"/>
      <c r="AF58" s="3353"/>
      <c r="AG58" s="3353"/>
      <c r="AH58" s="3353"/>
      <c r="AI58" s="3353"/>
      <c r="AJ58" s="3353"/>
      <c r="AK58" s="6620">
        <v>0</v>
      </c>
      <c r="AL58" s="3353"/>
      <c r="AM58" s="3353"/>
      <c r="AN58" s="3353"/>
      <c r="AO58" s="3353"/>
      <c r="AP58" s="3353"/>
      <c r="AQ58" s="3353">
        <v>0</v>
      </c>
      <c r="AR58" s="3353"/>
      <c r="AS58" s="3353"/>
      <c r="AT58" s="3353"/>
      <c r="AU58" s="3353"/>
      <c r="AV58" s="3353"/>
      <c r="AW58" s="3353"/>
      <c r="AX58" s="3353"/>
      <c r="AY58" s="3353"/>
      <c r="AZ58" s="3353"/>
      <c r="BA58" s="3353"/>
      <c r="BB58" s="3353">
        <v>0</v>
      </c>
      <c r="BC58" s="3353"/>
      <c r="BD58" s="3353">
        <v>0</v>
      </c>
      <c r="BE58" s="3353">
        <v>2849.6719999999996</v>
      </c>
    </row>
    <row r="59" spans="3:57" ht="15.75" hidden="1" thickBot="1" x14ac:dyDescent="0.3">
      <c r="C59" s="3199" t="s">
        <v>1480</v>
      </c>
      <c r="D59" s="3199"/>
      <c r="E59" s="3353">
        <v>0</v>
      </c>
      <c r="F59" s="3353"/>
      <c r="G59" s="3353">
        <v>0</v>
      </c>
      <c r="H59" s="3353"/>
      <c r="I59" s="3353"/>
      <c r="J59" s="3353"/>
      <c r="K59" s="3353">
        <v>267.49799999999999</v>
      </c>
      <c r="L59" s="3353"/>
      <c r="M59" s="3353"/>
      <c r="N59" s="3353"/>
      <c r="O59" s="3353">
        <v>1533.847</v>
      </c>
      <c r="P59" s="3353"/>
      <c r="Q59" s="3353"/>
      <c r="R59" s="3353"/>
      <c r="S59" s="3353">
        <v>1179.6119999999999</v>
      </c>
      <c r="T59" s="3353"/>
      <c r="U59" s="3353"/>
      <c r="V59" s="3353"/>
      <c r="W59" s="3353">
        <v>1327.5919999999996</v>
      </c>
      <c r="X59" s="3353"/>
      <c r="Y59" s="3353"/>
      <c r="Z59" s="3353"/>
      <c r="AA59" s="3353"/>
      <c r="AB59" s="3353"/>
      <c r="AC59" s="6620">
        <v>1773.646</v>
      </c>
      <c r="AD59" s="3353"/>
      <c r="AE59" s="3353"/>
      <c r="AF59" s="3353"/>
      <c r="AG59" s="3353">
        <v>1753</v>
      </c>
      <c r="AH59" s="3353"/>
      <c r="AI59" s="3353"/>
      <c r="AJ59" s="3353"/>
      <c r="AK59" s="6620">
        <v>744.3</v>
      </c>
      <c r="AL59" s="3353"/>
      <c r="AM59" s="3353"/>
      <c r="AN59" s="3353"/>
      <c r="AO59" s="3353"/>
      <c r="AP59" s="3353"/>
      <c r="AQ59" s="3353">
        <v>879</v>
      </c>
      <c r="AR59" s="3353"/>
      <c r="AS59" s="3353"/>
      <c r="AT59" s="3353"/>
      <c r="AU59" s="3353"/>
      <c r="AV59" s="3353"/>
      <c r="AW59" s="3353"/>
      <c r="AX59" s="3353"/>
      <c r="AY59" s="3353"/>
      <c r="AZ59" s="3353"/>
      <c r="BA59" s="3353"/>
      <c r="BB59" s="3353">
        <v>1902.6000000000004</v>
      </c>
      <c r="BC59" s="3353"/>
      <c r="BD59" s="3353">
        <v>0</v>
      </c>
      <c r="BE59" s="3353">
        <v>11361.094999999999</v>
      </c>
    </row>
    <row r="60" spans="3:57" ht="15.75" hidden="1" thickBot="1" x14ac:dyDescent="0.3">
      <c r="C60" s="3199" t="s">
        <v>1549</v>
      </c>
      <c r="D60" s="3199"/>
      <c r="E60" s="3353">
        <v>0</v>
      </c>
      <c r="F60" s="3353"/>
      <c r="G60" s="3353">
        <v>0</v>
      </c>
      <c r="H60" s="3353"/>
      <c r="I60" s="3353"/>
      <c r="J60" s="3353"/>
      <c r="K60" s="3353">
        <v>0</v>
      </c>
      <c r="L60" s="3353"/>
      <c r="M60" s="3353"/>
      <c r="N60" s="3353"/>
      <c r="O60" s="3353">
        <v>412.22999999999996</v>
      </c>
      <c r="P60" s="3353"/>
      <c r="Q60" s="3353"/>
      <c r="R60" s="3353"/>
      <c r="S60" s="3353">
        <v>0</v>
      </c>
      <c r="T60" s="3353"/>
      <c r="U60" s="3353"/>
      <c r="V60" s="3353"/>
      <c r="W60" s="3353">
        <v>0</v>
      </c>
      <c r="X60" s="3353"/>
      <c r="Y60" s="3353"/>
      <c r="Z60" s="3353"/>
      <c r="AA60" s="3353"/>
      <c r="AB60" s="3353"/>
      <c r="AC60" s="6620">
        <v>0</v>
      </c>
      <c r="AD60" s="3353"/>
      <c r="AE60" s="3353"/>
      <c r="AF60" s="3353"/>
      <c r="AG60" s="3353">
        <v>0</v>
      </c>
      <c r="AH60" s="3353"/>
      <c r="AI60" s="3353"/>
      <c r="AJ60" s="3353"/>
      <c r="AK60" s="6620">
        <v>0</v>
      </c>
      <c r="AL60" s="3353"/>
      <c r="AM60" s="3353"/>
      <c r="AN60" s="3353"/>
      <c r="AO60" s="3353"/>
      <c r="AP60" s="3353"/>
      <c r="AQ60" s="3353">
        <v>0</v>
      </c>
      <c r="AR60" s="3353"/>
      <c r="AS60" s="3353"/>
      <c r="AT60" s="3353"/>
      <c r="AU60" s="3353"/>
      <c r="AV60" s="3353"/>
      <c r="AW60" s="3353"/>
      <c r="AX60" s="3353"/>
      <c r="AY60" s="3353"/>
      <c r="AZ60" s="3353"/>
      <c r="BA60" s="3353"/>
      <c r="BB60" s="3353">
        <v>0</v>
      </c>
      <c r="BC60" s="3353"/>
      <c r="BD60" s="3353">
        <v>0</v>
      </c>
      <c r="BE60" s="3353">
        <v>412.22999999999996</v>
      </c>
    </row>
    <row r="61" spans="3:57" ht="15.75" hidden="1" thickBot="1" x14ac:dyDescent="0.3">
      <c r="C61" s="3199" t="s">
        <v>1547</v>
      </c>
      <c r="D61" s="3199"/>
      <c r="E61" s="3353">
        <v>0</v>
      </c>
      <c r="F61" s="3353"/>
      <c r="G61" s="3353">
        <v>0</v>
      </c>
      <c r="H61" s="3353"/>
      <c r="I61" s="3353"/>
      <c r="J61" s="3353"/>
      <c r="K61" s="3353">
        <v>0</v>
      </c>
      <c r="L61" s="3353"/>
      <c r="M61" s="3353"/>
      <c r="N61" s="3353"/>
      <c r="O61" s="3353">
        <v>309.95799999999997</v>
      </c>
      <c r="P61" s="3353"/>
      <c r="Q61" s="3353"/>
      <c r="R61" s="3353"/>
      <c r="S61" s="3353">
        <v>302.30200000000002</v>
      </c>
      <c r="T61" s="3353"/>
      <c r="U61" s="3353"/>
      <c r="V61" s="3353"/>
      <c r="W61" s="3353">
        <v>0</v>
      </c>
      <c r="X61" s="3353"/>
      <c r="Y61" s="3353"/>
      <c r="Z61" s="3353"/>
      <c r="AA61" s="3353"/>
      <c r="AB61" s="3353"/>
      <c r="AC61" s="6620">
        <v>0</v>
      </c>
      <c r="AD61" s="3353"/>
      <c r="AE61" s="3353"/>
      <c r="AF61" s="3353"/>
      <c r="AG61" s="3353">
        <v>0</v>
      </c>
      <c r="AH61" s="3353"/>
      <c r="AI61" s="3353"/>
      <c r="AJ61" s="3353"/>
      <c r="AK61" s="6620">
        <v>0</v>
      </c>
      <c r="AL61" s="3353"/>
      <c r="AM61" s="3353"/>
      <c r="AN61" s="3353"/>
      <c r="AO61" s="3353"/>
      <c r="AP61" s="3353"/>
      <c r="AQ61" s="3353">
        <v>0</v>
      </c>
      <c r="AR61" s="3353"/>
      <c r="AS61" s="3353"/>
      <c r="AT61" s="3353"/>
      <c r="AU61" s="3353"/>
      <c r="AV61" s="3353"/>
      <c r="AW61" s="3353"/>
      <c r="AX61" s="3353"/>
      <c r="AY61" s="3353"/>
      <c r="AZ61" s="3353"/>
      <c r="BA61" s="3353"/>
      <c r="BB61" s="3353">
        <v>0</v>
      </c>
      <c r="BC61" s="3353"/>
      <c r="BD61" s="3353">
        <v>0</v>
      </c>
      <c r="BE61" s="3353">
        <v>612.26</v>
      </c>
    </row>
    <row r="62" spans="3:57" ht="15.75" hidden="1" thickBot="1" x14ac:dyDescent="0.3">
      <c r="C62" s="3199" t="s">
        <v>1216</v>
      </c>
      <c r="D62" s="3199"/>
      <c r="E62" s="3353">
        <v>2511.5090000000014</v>
      </c>
      <c r="F62" s="3353"/>
      <c r="G62" s="3353">
        <v>978.90300000000002</v>
      </c>
      <c r="H62" s="3353"/>
      <c r="I62" s="3353"/>
      <c r="J62" s="3353"/>
      <c r="K62" s="3353">
        <v>2725.9320000000007</v>
      </c>
      <c r="L62" s="3353"/>
      <c r="M62" s="3353"/>
      <c r="N62" s="3353"/>
      <c r="O62" s="3353">
        <v>2674.2389999999996</v>
      </c>
      <c r="P62" s="3353"/>
      <c r="Q62" s="3353"/>
      <c r="R62" s="3353"/>
      <c r="S62" s="3353">
        <v>1684.8579999999997</v>
      </c>
      <c r="T62" s="3353"/>
      <c r="U62" s="3353"/>
      <c r="V62" s="3353"/>
      <c r="W62" s="3353">
        <v>1492.4840000000002</v>
      </c>
      <c r="X62" s="3353"/>
      <c r="Y62" s="3353"/>
      <c r="Z62" s="3353"/>
      <c r="AA62" s="3353"/>
      <c r="AB62" s="3353"/>
      <c r="AC62" s="6620">
        <v>1291.6540000000005</v>
      </c>
      <c r="AD62" s="3353"/>
      <c r="AE62" s="3353"/>
      <c r="AF62" s="3353"/>
      <c r="AG62" s="3353">
        <v>2182</v>
      </c>
      <c r="AH62" s="3353"/>
      <c r="AI62" s="3353"/>
      <c r="AJ62" s="3353"/>
      <c r="AK62" s="6620">
        <v>2429</v>
      </c>
      <c r="AL62" s="3353"/>
      <c r="AM62" s="3353"/>
      <c r="AN62" s="3353"/>
      <c r="AO62" s="3353"/>
      <c r="AP62" s="3353"/>
      <c r="AQ62" s="3353">
        <v>2216</v>
      </c>
      <c r="AR62" s="3353"/>
      <c r="AS62" s="3353"/>
      <c r="AT62" s="3353"/>
      <c r="AU62" s="3353"/>
      <c r="AV62" s="3353"/>
      <c r="AW62" s="3353"/>
      <c r="AX62" s="3353"/>
      <c r="AY62" s="3353"/>
      <c r="AZ62" s="3353"/>
      <c r="BA62" s="3353"/>
      <c r="BB62" s="3353">
        <v>2449.6199999999994</v>
      </c>
      <c r="BC62" s="3353"/>
      <c r="BD62" s="3353">
        <v>1717</v>
      </c>
      <c r="BE62" s="3353">
        <v>24353.199000000004</v>
      </c>
    </row>
    <row r="63" spans="3:57" ht="15.75" hidden="1" thickBot="1" x14ac:dyDescent="0.3">
      <c r="C63" s="3199" t="s">
        <v>1217</v>
      </c>
      <c r="D63" s="3199"/>
      <c r="E63" s="3353">
        <v>1053.008</v>
      </c>
      <c r="F63" s="3353"/>
      <c r="G63" s="3353">
        <v>0</v>
      </c>
      <c r="H63" s="3353"/>
      <c r="I63" s="3353"/>
      <c r="J63" s="3353"/>
      <c r="K63" s="3353">
        <v>827.97</v>
      </c>
      <c r="L63" s="3353"/>
      <c r="M63" s="3353"/>
      <c r="N63" s="3353"/>
      <c r="O63" s="3353">
        <v>178.33199999999999</v>
      </c>
      <c r="P63" s="3353"/>
      <c r="Q63" s="3353"/>
      <c r="R63" s="3353"/>
      <c r="S63" s="3353">
        <v>0</v>
      </c>
      <c r="T63" s="3353"/>
      <c r="U63" s="3353"/>
      <c r="V63" s="3353"/>
      <c r="W63" s="3353">
        <v>181.804</v>
      </c>
      <c r="X63" s="3353"/>
      <c r="Y63" s="3353"/>
      <c r="Z63" s="3353"/>
      <c r="AA63" s="3353"/>
      <c r="AB63" s="3353"/>
      <c r="AC63" s="6620">
        <v>338.24</v>
      </c>
      <c r="AD63" s="3353"/>
      <c r="AE63" s="3353"/>
      <c r="AF63" s="3353"/>
      <c r="AG63" s="3353">
        <v>340</v>
      </c>
      <c r="AH63" s="3353"/>
      <c r="AI63" s="3353"/>
      <c r="AJ63" s="3353"/>
      <c r="AK63" s="6620">
        <v>0</v>
      </c>
      <c r="AL63" s="3353"/>
      <c r="AM63" s="3353"/>
      <c r="AN63" s="3353"/>
      <c r="AO63" s="3353"/>
      <c r="AP63" s="3353"/>
      <c r="AQ63" s="3353">
        <v>1214</v>
      </c>
      <c r="AR63" s="3353"/>
      <c r="AS63" s="3353"/>
      <c r="AT63" s="3353"/>
      <c r="AU63" s="3353"/>
      <c r="AV63" s="3353"/>
      <c r="AW63" s="3353"/>
      <c r="AX63" s="3353"/>
      <c r="AY63" s="3353"/>
      <c r="AZ63" s="3353"/>
      <c r="BA63" s="3353"/>
      <c r="BB63" s="3353">
        <v>661.6819999999999</v>
      </c>
      <c r="BC63" s="3353"/>
      <c r="BD63" s="3353">
        <v>178</v>
      </c>
      <c r="BE63" s="3353">
        <v>4973.0360000000001</v>
      </c>
    </row>
    <row r="64" spans="3:57" ht="15.75" hidden="1" thickBot="1" x14ac:dyDescent="0.3">
      <c r="C64" s="3199" t="s">
        <v>1811</v>
      </c>
      <c r="D64" s="3199"/>
      <c r="E64" s="3353">
        <v>1659.586</v>
      </c>
      <c r="F64" s="3353"/>
      <c r="G64" s="3353">
        <v>694.22099999999978</v>
      </c>
      <c r="H64" s="3353"/>
      <c r="I64" s="3353"/>
      <c r="J64" s="3353"/>
      <c r="K64" s="3353">
        <v>1278.0460000000005</v>
      </c>
      <c r="L64" s="3353"/>
      <c r="M64" s="3353"/>
      <c r="N64" s="3353"/>
      <c r="O64" s="3353">
        <v>1695.4650000000004</v>
      </c>
      <c r="P64" s="3353"/>
      <c r="Q64" s="3353"/>
      <c r="R64" s="3353"/>
      <c r="S64" s="3353">
        <v>1471.3440000000005</v>
      </c>
      <c r="T64" s="3353"/>
      <c r="U64" s="3353"/>
      <c r="V64" s="3353"/>
      <c r="W64" s="3353">
        <v>1340.2760000000007</v>
      </c>
      <c r="X64" s="3353"/>
      <c r="Y64" s="3353"/>
      <c r="Z64" s="3353"/>
      <c r="AA64" s="3353"/>
      <c r="AB64" s="3353"/>
      <c r="AC64" s="6620">
        <v>1555.9040000000009</v>
      </c>
      <c r="AD64" s="3353"/>
      <c r="AE64" s="3353"/>
      <c r="AF64" s="3353"/>
      <c r="AG64" s="3353">
        <v>1742</v>
      </c>
      <c r="AH64" s="3353"/>
      <c r="AI64" s="3353"/>
      <c r="AJ64" s="3353"/>
      <c r="AK64" s="6620">
        <v>1268.6999999999998</v>
      </c>
      <c r="AL64" s="3353"/>
      <c r="AM64" s="3353"/>
      <c r="AN64" s="3353"/>
      <c r="AO64" s="3353"/>
      <c r="AP64" s="3353"/>
      <c r="AQ64" s="3353">
        <v>962</v>
      </c>
      <c r="AR64" s="3353"/>
      <c r="AS64" s="3353"/>
      <c r="AT64" s="3353"/>
      <c r="AU64" s="3353"/>
      <c r="AV64" s="3353"/>
      <c r="AW64" s="3353"/>
      <c r="AX64" s="3353"/>
      <c r="AY64" s="3353"/>
      <c r="AZ64" s="3353"/>
      <c r="BA64" s="3353"/>
      <c r="BB64" s="3353">
        <v>2474.9680000000017</v>
      </c>
      <c r="BC64" s="3353"/>
      <c r="BD64" s="3353">
        <v>1674</v>
      </c>
      <c r="BE64" s="3353">
        <v>17816.510000000002</v>
      </c>
    </row>
    <row r="65" spans="3:57" ht="15.75" hidden="1" thickBot="1" x14ac:dyDescent="0.3">
      <c r="C65" s="3354" t="s">
        <v>2</v>
      </c>
      <c r="D65" s="3354"/>
      <c r="E65" s="3355">
        <v>163540.45900000003</v>
      </c>
      <c r="F65" s="3355"/>
      <c r="G65" s="3355">
        <v>138084.56599999996</v>
      </c>
      <c r="H65" s="3355"/>
      <c r="I65" s="3355"/>
      <c r="J65" s="3355"/>
      <c r="K65" s="3355">
        <v>141733.60300000009</v>
      </c>
      <c r="L65" s="3355"/>
      <c r="M65" s="3355"/>
      <c r="N65" s="3355"/>
      <c r="O65" s="3355">
        <v>174925.65500000006</v>
      </c>
      <c r="P65" s="3355"/>
      <c r="Q65" s="3355"/>
      <c r="R65" s="3355"/>
      <c r="S65" s="3355">
        <v>173405.07799999992</v>
      </c>
      <c r="T65" s="3355"/>
      <c r="U65" s="3355"/>
      <c r="V65" s="3355"/>
      <c r="W65" s="3355">
        <v>162154.37000000011</v>
      </c>
      <c r="X65" s="3355"/>
      <c r="Y65" s="3355"/>
      <c r="Z65" s="3355"/>
      <c r="AA65" s="3355"/>
      <c r="AB65" s="3355"/>
      <c r="AC65" s="6621">
        <v>167965.75599999999</v>
      </c>
      <c r="AD65" s="3355"/>
      <c r="AE65" s="3355"/>
      <c r="AF65" s="3355"/>
      <c r="AG65" s="3355">
        <v>142793</v>
      </c>
      <c r="AH65" s="3355"/>
      <c r="AI65" s="3355"/>
      <c r="AJ65" s="3355"/>
      <c r="AK65" s="6621">
        <v>164344.19999999998</v>
      </c>
      <c r="AL65" s="3355"/>
      <c r="AM65" s="3355"/>
      <c r="AN65" s="3355"/>
      <c r="AO65" s="3355"/>
      <c r="AP65" s="3355"/>
      <c r="AQ65" s="3355">
        <v>162717</v>
      </c>
      <c r="AR65" s="3355"/>
      <c r="AS65" s="3355"/>
      <c r="AT65" s="3355"/>
      <c r="AU65" s="3355"/>
      <c r="AV65" s="3355"/>
      <c r="AW65" s="3355"/>
      <c r="AX65" s="3355"/>
      <c r="AY65" s="3355"/>
      <c r="AZ65" s="3355"/>
      <c r="BA65" s="3355"/>
      <c r="BB65" s="3355">
        <v>162199.09799999997</v>
      </c>
      <c r="BC65" s="3355"/>
      <c r="BD65" s="3355">
        <v>164513</v>
      </c>
      <c r="BE65" s="3355">
        <v>1918375.7850000004</v>
      </c>
    </row>
    <row r="66" spans="3:57" ht="24" thickBot="1" x14ac:dyDescent="0.4">
      <c r="C66" s="7760" t="s">
        <v>1812</v>
      </c>
      <c r="D66" s="7761"/>
      <c r="E66" s="7761"/>
      <c r="F66" s="7761"/>
      <c r="G66" s="7761"/>
      <c r="H66" s="7761"/>
      <c r="I66" s="7761"/>
      <c r="J66" s="7761"/>
      <c r="K66" s="7761"/>
      <c r="L66" s="7761"/>
      <c r="M66" s="7761"/>
      <c r="N66" s="7761"/>
      <c r="O66" s="7761"/>
      <c r="P66" s="7761"/>
      <c r="Q66" s="7761"/>
      <c r="R66" s="7761"/>
      <c r="S66" s="7761"/>
      <c r="T66" s="7761"/>
      <c r="U66" s="7761"/>
      <c r="V66" s="7761"/>
      <c r="W66" s="7761"/>
      <c r="X66" s="7761"/>
      <c r="Y66" s="7761"/>
      <c r="Z66" s="7761"/>
      <c r="AA66" s="7761"/>
      <c r="AB66" s="7761"/>
      <c r="AC66" s="7761"/>
      <c r="AD66" s="7761"/>
      <c r="AE66" s="7761"/>
      <c r="AF66" s="7761"/>
      <c r="AG66" s="7761"/>
      <c r="AH66" s="7761"/>
      <c r="AI66" s="7761"/>
      <c r="AJ66" s="7761"/>
      <c r="AK66" s="7761"/>
      <c r="AL66" s="7761"/>
      <c r="AM66" s="7761"/>
      <c r="AN66" s="7761"/>
      <c r="AO66" s="7761"/>
      <c r="AP66" s="7761"/>
      <c r="AQ66" s="7761"/>
      <c r="AR66" s="7761"/>
      <c r="AS66" s="7761"/>
      <c r="AT66" s="7761"/>
      <c r="AU66" s="7761"/>
      <c r="AV66" s="7761"/>
      <c r="AW66" s="7761"/>
      <c r="AX66" s="7761"/>
      <c r="AY66" s="7761"/>
      <c r="AZ66" s="7761"/>
      <c r="BA66" s="7761"/>
      <c r="BB66" s="7761"/>
      <c r="BC66" s="7761"/>
      <c r="BD66" s="7761"/>
      <c r="BE66" s="7762"/>
    </row>
    <row r="67" spans="3:57" ht="15.75" x14ac:dyDescent="0.25">
      <c r="C67" s="3356"/>
      <c r="D67" s="3379"/>
      <c r="E67" s="3357" t="s">
        <v>2283</v>
      </c>
      <c r="F67" s="7755" t="s">
        <v>2314</v>
      </c>
      <c r="G67" s="7756"/>
      <c r="H67" s="7755" t="s">
        <v>658</v>
      </c>
      <c r="I67" s="7756"/>
      <c r="J67" s="7755" t="s">
        <v>2324</v>
      </c>
      <c r="K67" s="7756"/>
      <c r="L67" s="7755" t="s">
        <v>637</v>
      </c>
      <c r="M67" s="7756"/>
      <c r="N67" s="7755" t="s">
        <v>2325</v>
      </c>
      <c r="O67" s="7756"/>
      <c r="P67" s="7755" t="s">
        <v>651</v>
      </c>
      <c r="Q67" s="7756"/>
      <c r="R67" s="7755" t="s">
        <v>2326</v>
      </c>
      <c r="S67" s="7756"/>
      <c r="T67" s="7755" t="s">
        <v>836</v>
      </c>
      <c r="U67" s="7756"/>
      <c r="V67" s="7755" t="s">
        <v>2327</v>
      </c>
      <c r="W67" s="7756"/>
      <c r="X67" s="7755" t="s">
        <v>660</v>
      </c>
      <c r="Y67" s="7756"/>
      <c r="Z67" s="7755" t="s">
        <v>657</v>
      </c>
      <c r="AA67" s="7756"/>
      <c r="AB67" s="7755" t="s">
        <v>2328</v>
      </c>
      <c r="AC67" s="7756"/>
      <c r="AD67" s="7755" t="s">
        <v>1102</v>
      </c>
      <c r="AE67" s="7756"/>
      <c r="AF67" s="7755" t="s">
        <v>2329</v>
      </c>
      <c r="AG67" s="7756"/>
      <c r="AH67" s="7755" t="s">
        <v>1666</v>
      </c>
      <c r="AI67" s="7756"/>
      <c r="AJ67" s="7755" t="s">
        <v>2330</v>
      </c>
      <c r="AK67" s="7756"/>
      <c r="AL67" s="7755" t="s">
        <v>662</v>
      </c>
      <c r="AM67" s="7756"/>
      <c r="AN67" s="7755" t="s">
        <v>918</v>
      </c>
      <c r="AO67" s="7756"/>
      <c r="AP67" s="7755" t="s">
        <v>2331</v>
      </c>
      <c r="AQ67" s="7756"/>
      <c r="AR67" s="7755" t="s">
        <v>1705</v>
      </c>
      <c r="AS67" s="7756"/>
      <c r="AT67" s="7755" t="s">
        <v>2332</v>
      </c>
      <c r="AU67" s="7756"/>
      <c r="AV67" s="7755" t="s">
        <v>1715</v>
      </c>
      <c r="AW67" s="7756"/>
      <c r="AX67" s="7755" t="s">
        <v>2333</v>
      </c>
      <c r="AY67" s="7756"/>
      <c r="AZ67" s="7755" t="s">
        <v>663</v>
      </c>
      <c r="BA67" s="7756"/>
      <c r="BB67" s="7755" t="s">
        <v>671</v>
      </c>
      <c r="BC67" s="7757"/>
      <c r="BD67" s="7758" t="s">
        <v>1765</v>
      </c>
      <c r="BE67" s="7759"/>
    </row>
    <row r="68" spans="3:57" x14ac:dyDescent="0.25">
      <c r="C68" s="2" t="str">
        <f>+'GRD SUMM RCL 150X150 '!E30</f>
        <v>BILLET LRPC (NON RH)</v>
      </c>
      <c r="D68" s="304"/>
      <c r="E68" s="7280">
        <f>+'GRD SUMM RCL 150X150 '!AU30</f>
        <v>304</v>
      </c>
      <c r="F68" s="3353"/>
      <c r="G68" s="7280">
        <f>+'GRD SUMM RCL 150X150 '!AW30</f>
        <v>1611</v>
      </c>
      <c r="H68" s="3353"/>
      <c r="I68" s="3353">
        <f>+E68+G68</f>
        <v>1915</v>
      </c>
      <c r="J68" s="3353"/>
      <c r="K68" s="7280"/>
      <c r="L68" s="3353"/>
      <c r="M68" s="3353">
        <f>+E68+G68+K68</f>
        <v>1915</v>
      </c>
      <c r="N68" s="3353"/>
      <c r="O68" s="3353" t="e">
        <f>+'GRD SUMM RCL 150X150 '!#REF!</f>
        <v>#REF!</v>
      </c>
      <c r="P68" s="3353"/>
      <c r="Q68" s="3353" t="e">
        <f>+O68+K68+G68+E68</f>
        <v>#REF!</v>
      </c>
      <c r="R68" s="3353"/>
      <c r="S68" s="3353" t="e">
        <f>+'GRD SUMM RCL 150X150 '!#REF!</f>
        <v>#REF!</v>
      </c>
      <c r="T68" s="3353"/>
      <c r="U68" s="3353" t="e">
        <f>+S68+O68+K68+G68+E68</f>
        <v>#REF!</v>
      </c>
      <c r="V68" s="3353"/>
      <c r="W68" s="3353" t="e">
        <f>+'GRD SUMM RCL 150X150 '!#REF!</f>
        <v>#REF!</v>
      </c>
      <c r="X68" s="3353"/>
      <c r="Y68" s="3353" t="e">
        <f>+W68+S68+O68</f>
        <v>#REF!</v>
      </c>
      <c r="Z68" s="3353"/>
      <c r="AA68" s="3353" t="e">
        <f>+E68+G68+K68+O68+S68+W68</f>
        <v>#REF!</v>
      </c>
      <c r="AB68" s="3353"/>
      <c r="AC68" s="6620" t="e">
        <f>+'GRD SUMM RCL 150X150 '!#REF!</f>
        <v>#REF!</v>
      </c>
      <c r="AD68" s="3353"/>
      <c r="AE68" s="3353" t="e">
        <f>+AC68+W68+S68+O68+K68+G68+E68</f>
        <v>#REF!</v>
      </c>
      <c r="AF68" s="3353"/>
      <c r="AG68" s="3353" t="e">
        <f>+'GRD SUMM RCL 150X150 '!#REF!</f>
        <v>#REF!</v>
      </c>
      <c r="AH68" s="3353"/>
      <c r="AI68" s="3353" t="e">
        <f>+AG68+AC68+W68+S68+O68+K68+G68+E68</f>
        <v>#REF!</v>
      </c>
      <c r="AJ68" s="3353"/>
      <c r="AK68" s="6620" t="e">
        <f>+'GRD SUMM RCL 150X150 '!#REF!</f>
        <v>#REF!</v>
      </c>
      <c r="AL68" s="3353"/>
      <c r="AM68" s="3353" t="e">
        <f>+AK68+AG68+AC68</f>
        <v>#REF!</v>
      </c>
      <c r="AN68" s="3353"/>
      <c r="AO68" s="3353" t="e">
        <f>+AK68+AG68+AC68+W68+S68+O68+K68+G68+E68</f>
        <v>#REF!</v>
      </c>
      <c r="AP68" s="3353"/>
      <c r="AQ68" s="3353" t="e">
        <f>+'GRD SUMM RCL 150X150 '!#REF!</f>
        <v>#REF!</v>
      </c>
      <c r="AR68" s="3353"/>
      <c r="AS68" s="3353" t="e">
        <f>+AO68+AQ68</f>
        <v>#REF!</v>
      </c>
      <c r="AT68" s="3353"/>
      <c r="AU68" s="3353" t="e">
        <f>+'GRD SUMM RCL 150X150 '!#REF!</f>
        <v>#REF!</v>
      </c>
      <c r="AV68" s="3353"/>
      <c r="AW68" s="3353" t="e">
        <f>+AS68+AU68</f>
        <v>#REF!</v>
      </c>
      <c r="AX68" s="3353"/>
      <c r="AY68" s="3353" t="e">
        <f>+'GRD SUMM RCL 150X150 '!#REF!</f>
        <v>#REF!</v>
      </c>
      <c r="AZ68" s="3353"/>
      <c r="BA68" s="3353" t="e">
        <f>+AY68+AU68+AQ68</f>
        <v>#REF!</v>
      </c>
      <c r="BB68" s="3353"/>
      <c r="BC68" s="3353" t="e">
        <f>+BA68+AM68</f>
        <v>#REF!</v>
      </c>
      <c r="BD68" s="3375"/>
      <c r="BE68" s="3375" t="e">
        <f>+BC68+AA68</f>
        <v>#REF!</v>
      </c>
    </row>
    <row r="69" spans="3:57" x14ac:dyDescent="0.25">
      <c r="C69" s="2" t="e">
        <f>+'GRD SUMM RCL 150X150 '!#REF!</f>
        <v>#REF!</v>
      </c>
      <c r="D69" s="304"/>
      <c r="E69" s="7280" t="e">
        <f>+'GRD SUMM RCL 150X150 '!#REF!</f>
        <v>#REF!</v>
      </c>
      <c r="F69" s="3353"/>
      <c r="G69" s="7280" t="e">
        <f>+'GRD SUMM RCL 150X150 '!#REF!</f>
        <v>#REF!</v>
      </c>
      <c r="H69" s="3353"/>
      <c r="I69" s="3353" t="e">
        <f t="shared" ref="I69:I105" si="0">+E69+G69</f>
        <v>#REF!</v>
      </c>
      <c r="J69" s="3353"/>
      <c r="K69" s="7280"/>
      <c r="L69" s="3353"/>
      <c r="M69" s="3353" t="e">
        <f t="shared" ref="M69:M105" si="1">+E69+G69+K69</f>
        <v>#REF!</v>
      </c>
      <c r="N69" s="3353"/>
      <c r="O69" s="3353" t="e">
        <f>+'GRD SUMM RCL 150X150 '!#REF!</f>
        <v>#REF!</v>
      </c>
      <c r="P69" s="3353"/>
      <c r="Q69" s="3353" t="e">
        <f t="shared" ref="Q69:Q105" si="2">+O69+K69+G69+E69</f>
        <v>#REF!</v>
      </c>
      <c r="R69" s="3353"/>
      <c r="S69" s="3353" t="e">
        <f>+'GRD SUMM RCL 150X150 '!#REF!</f>
        <v>#REF!</v>
      </c>
      <c r="T69" s="3353"/>
      <c r="U69" s="3353" t="e">
        <f t="shared" ref="U69:U105" si="3">+S69+O69+K69+G69+E69</f>
        <v>#REF!</v>
      </c>
      <c r="V69" s="3353"/>
      <c r="W69" s="3353" t="e">
        <f>+'GRD SUMM RCL 150X150 '!#REF!</f>
        <v>#REF!</v>
      </c>
      <c r="X69" s="3353"/>
      <c r="Y69" s="3353" t="e">
        <f t="shared" ref="Y69:Y105" si="4">+W69+S69+O69</f>
        <v>#REF!</v>
      </c>
      <c r="Z69" s="3353"/>
      <c r="AA69" s="3353" t="e">
        <f t="shared" ref="AA69:AA105" si="5">+E69+G69+K69+O69+S69+W69</f>
        <v>#REF!</v>
      </c>
      <c r="AB69" s="3353"/>
      <c r="AC69" s="6620" t="e">
        <f>+'GRD SUMM RCL 150X150 '!#REF!</f>
        <v>#REF!</v>
      </c>
      <c r="AD69" s="3353"/>
      <c r="AE69" s="3353" t="e">
        <f t="shared" ref="AE69:AE105" si="6">+AC69+W69+S69+O69+K69+G69+E69</f>
        <v>#REF!</v>
      </c>
      <c r="AF69" s="3353"/>
      <c r="AG69" s="3353" t="e">
        <f>+'GRD SUMM RCL 150X150 '!#REF!</f>
        <v>#REF!</v>
      </c>
      <c r="AH69" s="3353"/>
      <c r="AI69" s="3353" t="e">
        <f t="shared" ref="AI69:AI105" si="7">+AG69+AC69+W69+S69+O69+K69+G69+E69</f>
        <v>#REF!</v>
      </c>
      <c r="AJ69" s="3353"/>
      <c r="AK69" s="6620" t="e">
        <f>+'GRD SUMM RCL 150X150 '!#REF!</f>
        <v>#REF!</v>
      </c>
      <c r="AL69" s="3353"/>
      <c r="AM69" s="3353" t="e">
        <f t="shared" ref="AM69:AM105" si="8">+AK69+AG69+AC69</f>
        <v>#REF!</v>
      </c>
      <c r="AN69" s="3353"/>
      <c r="AO69" s="3353" t="e">
        <f t="shared" ref="AO69:AO105" si="9">+AK69+AG69+AC69+W69+S69+O69+K69+G69+E69</f>
        <v>#REF!</v>
      </c>
      <c r="AP69" s="3353"/>
      <c r="AQ69" s="3353" t="e">
        <f>+'GRD SUMM RCL 150X150 '!#REF!</f>
        <v>#REF!</v>
      </c>
      <c r="AR69" s="3353"/>
      <c r="AS69" s="3353" t="e">
        <f t="shared" ref="AS69:AS105" si="10">+AO69+AQ69</f>
        <v>#REF!</v>
      </c>
      <c r="AT69" s="3353"/>
      <c r="AU69" s="3353" t="e">
        <f>+'GRD SUMM RCL 150X150 '!#REF!</f>
        <v>#REF!</v>
      </c>
      <c r="AV69" s="3353"/>
      <c r="AW69" s="3353" t="e">
        <f t="shared" ref="AW69:AW105" si="11">+AS69+AU69</f>
        <v>#REF!</v>
      </c>
      <c r="AX69" s="3353"/>
      <c r="AY69" s="3353" t="e">
        <f>+'GRD SUMM RCL 150X150 '!#REF!</f>
        <v>#REF!</v>
      </c>
      <c r="AZ69" s="3353"/>
      <c r="BA69" s="3353" t="e">
        <f t="shared" ref="BA69:BA105" si="12">+AY69+AU69+AQ69</f>
        <v>#REF!</v>
      </c>
      <c r="BB69" s="3353"/>
      <c r="BC69" s="3353" t="e">
        <f t="shared" ref="BC69:BC105" si="13">+BA69+AM69</f>
        <v>#REF!</v>
      </c>
      <c r="BD69" s="3375"/>
      <c r="BE69" s="3375" t="e">
        <f t="shared" ref="BE69:BE105" si="14">+BC69+AA69</f>
        <v>#REF!</v>
      </c>
    </row>
    <row r="70" spans="3:57" x14ac:dyDescent="0.25">
      <c r="C70" s="2" t="e">
        <f>+'GRD SUMM RCL 150X150 '!#REF!</f>
        <v>#REF!</v>
      </c>
      <c r="D70" s="304"/>
      <c r="E70" s="7280" t="e">
        <f>+'GRD SUMM RCL 150X150 '!#REF!</f>
        <v>#REF!</v>
      </c>
      <c r="F70" s="3353"/>
      <c r="G70" s="7280" t="e">
        <f>+'GRD SUMM RCL 150X150 '!#REF!</f>
        <v>#REF!</v>
      </c>
      <c r="H70" s="3353"/>
      <c r="I70" s="3353" t="e">
        <f t="shared" si="0"/>
        <v>#REF!</v>
      </c>
      <c r="J70" s="3353"/>
      <c r="K70" s="7280"/>
      <c r="L70" s="3353"/>
      <c r="M70" s="3353" t="e">
        <f t="shared" si="1"/>
        <v>#REF!</v>
      </c>
      <c r="N70" s="3353"/>
      <c r="O70" s="3353" t="e">
        <f>+'GRD SUMM RCL 150X150 '!#REF!</f>
        <v>#REF!</v>
      </c>
      <c r="P70" s="3353"/>
      <c r="Q70" s="3353" t="e">
        <f t="shared" si="2"/>
        <v>#REF!</v>
      </c>
      <c r="R70" s="3353"/>
      <c r="S70" s="3353" t="e">
        <f>+'GRD SUMM RCL 150X150 '!#REF!</f>
        <v>#REF!</v>
      </c>
      <c r="T70" s="3353"/>
      <c r="U70" s="3353" t="e">
        <f t="shared" si="3"/>
        <v>#REF!</v>
      </c>
      <c r="V70" s="3353"/>
      <c r="W70" s="3353" t="e">
        <f>+'GRD SUMM RCL 150X150 '!#REF!</f>
        <v>#REF!</v>
      </c>
      <c r="X70" s="3353"/>
      <c r="Y70" s="3353" t="e">
        <f t="shared" si="4"/>
        <v>#REF!</v>
      </c>
      <c r="Z70" s="3353"/>
      <c r="AA70" s="3353" t="e">
        <f t="shared" si="5"/>
        <v>#REF!</v>
      </c>
      <c r="AB70" s="3353"/>
      <c r="AC70" s="6620" t="e">
        <f>+'GRD SUMM RCL 150X150 '!#REF!</f>
        <v>#REF!</v>
      </c>
      <c r="AD70" s="3353"/>
      <c r="AE70" s="3353" t="e">
        <f t="shared" si="6"/>
        <v>#REF!</v>
      </c>
      <c r="AF70" s="3353"/>
      <c r="AG70" s="3353" t="e">
        <f>+'GRD SUMM RCL 150X150 '!#REF!</f>
        <v>#REF!</v>
      </c>
      <c r="AH70" s="3353"/>
      <c r="AI70" s="3353" t="e">
        <f t="shared" si="7"/>
        <v>#REF!</v>
      </c>
      <c r="AJ70" s="3353"/>
      <c r="AK70" s="6620" t="e">
        <f>+'GRD SUMM RCL 150X150 '!#REF!</f>
        <v>#REF!</v>
      </c>
      <c r="AL70" s="3353"/>
      <c r="AM70" s="3353" t="e">
        <f t="shared" si="8"/>
        <v>#REF!</v>
      </c>
      <c r="AN70" s="3353"/>
      <c r="AO70" s="3353" t="e">
        <f t="shared" si="9"/>
        <v>#REF!</v>
      </c>
      <c r="AP70" s="3353"/>
      <c r="AQ70" s="3353" t="e">
        <f>+'GRD SUMM RCL 150X150 '!#REF!</f>
        <v>#REF!</v>
      </c>
      <c r="AR70" s="3353"/>
      <c r="AS70" s="3353" t="e">
        <f t="shared" si="10"/>
        <v>#REF!</v>
      </c>
      <c r="AT70" s="3353"/>
      <c r="AU70" s="3353" t="e">
        <f>+'GRD SUMM RCL 150X150 '!#REF!</f>
        <v>#REF!</v>
      </c>
      <c r="AV70" s="3353"/>
      <c r="AW70" s="3353" t="e">
        <f t="shared" si="11"/>
        <v>#REF!</v>
      </c>
      <c r="AX70" s="3353"/>
      <c r="AY70" s="3353" t="e">
        <f>+'GRD SUMM RCL 150X150 '!#REF!</f>
        <v>#REF!</v>
      </c>
      <c r="AZ70" s="3353"/>
      <c r="BA70" s="3353" t="e">
        <f t="shared" si="12"/>
        <v>#REF!</v>
      </c>
      <c r="BB70" s="3353"/>
      <c r="BC70" s="3353" t="e">
        <f t="shared" si="13"/>
        <v>#REF!</v>
      </c>
      <c r="BD70" s="3375"/>
      <c r="BE70" s="3375" t="e">
        <f t="shared" si="14"/>
        <v>#REF!</v>
      </c>
    </row>
    <row r="71" spans="3:57" x14ac:dyDescent="0.25">
      <c r="C71" s="2" t="e">
        <f>+'GRD SUMM RCL 150X150 '!#REF!</f>
        <v>#REF!</v>
      </c>
      <c r="D71" s="304"/>
      <c r="E71" s="7280" t="e">
        <f>+'GRD SUMM RCL 150X150 '!#REF!</f>
        <v>#REF!</v>
      </c>
      <c r="F71" s="3353"/>
      <c r="G71" s="7280" t="e">
        <f>+'GRD SUMM RCL 150X150 '!#REF!</f>
        <v>#REF!</v>
      </c>
      <c r="H71" s="3353"/>
      <c r="I71" s="3353" t="e">
        <f t="shared" si="0"/>
        <v>#REF!</v>
      </c>
      <c r="J71" s="3353"/>
      <c r="K71" s="7280"/>
      <c r="L71" s="3353"/>
      <c r="M71" s="3353" t="e">
        <f t="shared" si="1"/>
        <v>#REF!</v>
      </c>
      <c r="N71" s="3353"/>
      <c r="O71" s="3353" t="e">
        <f>+'GRD SUMM RCL 150X150 '!#REF!</f>
        <v>#REF!</v>
      </c>
      <c r="P71" s="3353"/>
      <c r="Q71" s="3353" t="e">
        <f t="shared" si="2"/>
        <v>#REF!</v>
      </c>
      <c r="R71" s="3353"/>
      <c r="S71" s="3353" t="e">
        <f>+'GRD SUMM RCL 150X150 '!#REF!</f>
        <v>#REF!</v>
      </c>
      <c r="T71" s="3353"/>
      <c r="U71" s="3353" t="e">
        <f t="shared" si="3"/>
        <v>#REF!</v>
      </c>
      <c r="V71" s="3353"/>
      <c r="W71" s="3353" t="e">
        <f>+'GRD SUMM RCL 150X150 '!#REF!</f>
        <v>#REF!</v>
      </c>
      <c r="X71" s="3353"/>
      <c r="Y71" s="3353" t="e">
        <f t="shared" si="4"/>
        <v>#REF!</v>
      </c>
      <c r="Z71" s="3353"/>
      <c r="AA71" s="3353" t="e">
        <f t="shared" si="5"/>
        <v>#REF!</v>
      </c>
      <c r="AB71" s="3353"/>
      <c r="AC71" s="6620" t="e">
        <f>+'GRD SUMM RCL 150X150 '!#REF!</f>
        <v>#REF!</v>
      </c>
      <c r="AD71" s="3353"/>
      <c r="AE71" s="3353" t="e">
        <f t="shared" si="6"/>
        <v>#REF!</v>
      </c>
      <c r="AF71" s="3353"/>
      <c r="AG71" s="3353" t="e">
        <f>+'GRD SUMM RCL 150X150 '!#REF!</f>
        <v>#REF!</v>
      </c>
      <c r="AH71" s="3353"/>
      <c r="AI71" s="3353" t="e">
        <f t="shared" si="7"/>
        <v>#REF!</v>
      </c>
      <c r="AJ71" s="3353"/>
      <c r="AK71" s="6620" t="e">
        <f>+'GRD SUMM RCL 150X150 '!#REF!</f>
        <v>#REF!</v>
      </c>
      <c r="AL71" s="3353"/>
      <c r="AM71" s="3353" t="e">
        <f t="shared" si="8"/>
        <v>#REF!</v>
      </c>
      <c r="AN71" s="3353"/>
      <c r="AO71" s="3353" t="e">
        <f t="shared" si="9"/>
        <v>#REF!</v>
      </c>
      <c r="AP71" s="3353"/>
      <c r="AQ71" s="3353" t="e">
        <f>+'GRD SUMM RCL 150X150 '!#REF!</f>
        <v>#REF!</v>
      </c>
      <c r="AR71" s="3353"/>
      <c r="AS71" s="3353" t="e">
        <f t="shared" si="10"/>
        <v>#REF!</v>
      </c>
      <c r="AT71" s="3353"/>
      <c r="AU71" s="3353" t="e">
        <f>+'GRD SUMM RCL 150X150 '!#REF!</f>
        <v>#REF!</v>
      </c>
      <c r="AV71" s="3353"/>
      <c r="AW71" s="3353" t="e">
        <f t="shared" si="11"/>
        <v>#REF!</v>
      </c>
      <c r="AX71" s="3353"/>
      <c r="AY71" s="3353" t="e">
        <f>+'GRD SUMM RCL 150X150 '!#REF!</f>
        <v>#REF!</v>
      </c>
      <c r="AZ71" s="3353"/>
      <c r="BA71" s="3353" t="e">
        <f t="shared" si="12"/>
        <v>#REF!</v>
      </c>
      <c r="BB71" s="3353"/>
      <c r="BC71" s="3353" t="e">
        <f t="shared" si="13"/>
        <v>#REF!</v>
      </c>
      <c r="BD71" s="3375"/>
      <c r="BE71" s="3375" t="e">
        <f t="shared" si="14"/>
        <v>#REF!</v>
      </c>
    </row>
    <row r="72" spans="3:57" x14ac:dyDescent="0.25">
      <c r="C72" s="2" t="e">
        <f>+'GRD SUMM RCL 150X150 '!#REF!</f>
        <v>#REF!</v>
      </c>
      <c r="D72" s="304"/>
      <c r="E72" s="7280" t="e">
        <f>+'GRD SUMM RCL 150X150 '!#REF!</f>
        <v>#REF!</v>
      </c>
      <c r="F72" s="3353"/>
      <c r="G72" s="7280" t="e">
        <f>+'GRD SUMM RCL 150X150 '!#REF!</f>
        <v>#REF!</v>
      </c>
      <c r="H72" s="3353"/>
      <c r="I72" s="3353" t="e">
        <f t="shared" si="0"/>
        <v>#REF!</v>
      </c>
      <c r="J72" s="3353"/>
      <c r="K72" s="7280"/>
      <c r="L72" s="3353"/>
      <c r="M72" s="3353" t="e">
        <f t="shared" si="1"/>
        <v>#REF!</v>
      </c>
      <c r="N72" s="3353"/>
      <c r="O72" s="3353" t="e">
        <f>+'GRD SUMM RCL 150X150 '!#REF!</f>
        <v>#REF!</v>
      </c>
      <c r="P72" s="3353"/>
      <c r="Q72" s="3353" t="e">
        <f t="shared" si="2"/>
        <v>#REF!</v>
      </c>
      <c r="R72" s="3353"/>
      <c r="S72" s="3353" t="e">
        <f>+'GRD SUMM RCL 150X150 '!#REF!</f>
        <v>#REF!</v>
      </c>
      <c r="T72" s="3353"/>
      <c r="U72" s="3353" t="e">
        <f t="shared" si="3"/>
        <v>#REF!</v>
      </c>
      <c r="V72" s="3353"/>
      <c r="W72" s="3353" t="e">
        <f>+'GRD SUMM RCL 150X150 '!#REF!</f>
        <v>#REF!</v>
      </c>
      <c r="X72" s="3353"/>
      <c r="Y72" s="3353" t="e">
        <f t="shared" si="4"/>
        <v>#REF!</v>
      </c>
      <c r="Z72" s="3353"/>
      <c r="AA72" s="3353" t="e">
        <f t="shared" si="5"/>
        <v>#REF!</v>
      </c>
      <c r="AB72" s="3353"/>
      <c r="AC72" s="6620" t="e">
        <f>+'GRD SUMM RCL 150X150 '!#REF!</f>
        <v>#REF!</v>
      </c>
      <c r="AD72" s="3353"/>
      <c r="AE72" s="3353" t="e">
        <f t="shared" si="6"/>
        <v>#REF!</v>
      </c>
      <c r="AF72" s="3353"/>
      <c r="AG72" s="3353" t="e">
        <f>+'GRD SUMM RCL 150X150 '!#REF!</f>
        <v>#REF!</v>
      </c>
      <c r="AH72" s="3353"/>
      <c r="AI72" s="3353" t="e">
        <f t="shared" si="7"/>
        <v>#REF!</v>
      </c>
      <c r="AJ72" s="3353"/>
      <c r="AK72" s="6620" t="e">
        <f>+'GRD SUMM RCL 150X150 '!#REF!</f>
        <v>#REF!</v>
      </c>
      <c r="AL72" s="3353"/>
      <c r="AM72" s="3353" t="e">
        <f t="shared" si="8"/>
        <v>#REF!</v>
      </c>
      <c r="AN72" s="3353"/>
      <c r="AO72" s="3353" t="e">
        <f t="shared" si="9"/>
        <v>#REF!</v>
      </c>
      <c r="AP72" s="3353"/>
      <c r="AQ72" s="3353" t="e">
        <f>+'GRD SUMM RCL 150X150 '!#REF!</f>
        <v>#REF!</v>
      </c>
      <c r="AR72" s="3353"/>
      <c r="AS72" s="3353" t="e">
        <f t="shared" si="10"/>
        <v>#REF!</v>
      </c>
      <c r="AT72" s="3353"/>
      <c r="AU72" s="3353" t="e">
        <f>+'GRD SUMM RCL 150X150 '!#REF!</f>
        <v>#REF!</v>
      </c>
      <c r="AV72" s="3353"/>
      <c r="AW72" s="3353" t="e">
        <f t="shared" si="11"/>
        <v>#REF!</v>
      </c>
      <c r="AX72" s="3353"/>
      <c r="AY72" s="3353" t="e">
        <f>+'GRD SUMM RCL 150X150 '!#REF!</f>
        <v>#REF!</v>
      </c>
      <c r="AZ72" s="3353"/>
      <c r="BA72" s="3353" t="e">
        <f t="shared" si="12"/>
        <v>#REF!</v>
      </c>
      <c r="BB72" s="3353"/>
      <c r="BC72" s="3353" t="e">
        <f t="shared" si="13"/>
        <v>#REF!</v>
      </c>
      <c r="BD72" s="3375"/>
      <c r="BE72" s="3375" t="e">
        <f t="shared" si="14"/>
        <v>#REF!</v>
      </c>
    </row>
    <row r="73" spans="3:57" x14ac:dyDescent="0.25">
      <c r="C73" s="2" t="e">
        <f>+'GRD SUMM RCL 150X150 '!#REF!</f>
        <v>#REF!</v>
      </c>
      <c r="D73" s="304"/>
      <c r="E73" s="7280" t="e">
        <f>+'GRD SUMM RCL 150X150 '!#REF!</f>
        <v>#REF!</v>
      </c>
      <c r="F73" s="3353"/>
      <c r="G73" s="7280" t="e">
        <f>+'GRD SUMM RCL 150X150 '!#REF!</f>
        <v>#REF!</v>
      </c>
      <c r="H73" s="3353"/>
      <c r="I73" s="3353" t="e">
        <f t="shared" si="0"/>
        <v>#REF!</v>
      </c>
      <c r="J73" s="3353"/>
      <c r="K73" s="7280"/>
      <c r="L73" s="3353"/>
      <c r="M73" s="3353" t="e">
        <f t="shared" si="1"/>
        <v>#REF!</v>
      </c>
      <c r="N73" s="3353"/>
      <c r="O73" s="3353" t="e">
        <f>+'GRD SUMM RCL 150X150 '!#REF!</f>
        <v>#REF!</v>
      </c>
      <c r="P73" s="3353"/>
      <c r="Q73" s="3353" t="e">
        <f t="shared" si="2"/>
        <v>#REF!</v>
      </c>
      <c r="R73" s="3353"/>
      <c r="S73" s="3353" t="e">
        <f>+'GRD SUMM RCL 150X150 '!#REF!</f>
        <v>#REF!</v>
      </c>
      <c r="T73" s="3353"/>
      <c r="U73" s="3353" t="e">
        <f t="shared" si="3"/>
        <v>#REF!</v>
      </c>
      <c r="V73" s="3353"/>
      <c r="W73" s="3353" t="e">
        <f>+'GRD SUMM RCL 150X150 '!#REF!</f>
        <v>#REF!</v>
      </c>
      <c r="X73" s="3353"/>
      <c r="Y73" s="3353" t="e">
        <f t="shared" si="4"/>
        <v>#REF!</v>
      </c>
      <c r="Z73" s="3353"/>
      <c r="AA73" s="3353" t="e">
        <f t="shared" si="5"/>
        <v>#REF!</v>
      </c>
      <c r="AB73" s="3353"/>
      <c r="AC73" s="6620" t="e">
        <f>+'GRD SUMM RCL 150X150 '!#REF!</f>
        <v>#REF!</v>
      </c>
      <c r="AD73" s="3353"/>
      <c r="AE73" s="3353" t="e">
        <f t="shared" si="6"/>
        <v>#REF!</v>
      </c>
      <c r="AF73" s="3353"/>
      <c r="AG73" s="3353" t="e">
        <f>+'GRD SUMM RCL 150X150 '!#REF!</f>
        <v>#REF!</v>
      </c>
      <c r="AH73" s="3353"/>
      <c r="AI73" s="3353" t="e">
        <f t="shared" si="7"/>
        <v>#REF!</v>
      </c>
      <c r="AJ73" s="3353"/>
      <c r="AK73" s="6620" t="e">
        <f>+'GRD SUMM RCL 150X150 '!#REF!</f>
        <v>#REF!</v>
      </c>
      <c r="AL73" s="3353"/>
      <c r="AM73" s="3353" t="e">
        <f t="shared" si="8"/>
        <v>#REF!</v>
      </c>
      <c r="AN73" s="3353"/>
      <c r="AO73" s="3353" t="e">
        <f t="shared" si="9"/>
        <v>#REF!</v>
      </c>
      <c r="AP73" s="3353"/>
      <c r="AQ73" s="3353" t="e">
        <f>+'GRD SUMM RCL 150X150 '!#REF!</f>
        <v>#REF!</v>
      </c>
      <c r="AR73" s="3353"/>
      <c r="AS73" s="3353" t="e">
        <f t="shared" si="10"/>
        <v>#REF!</v>
      </c>
      <c r="AT73" s="3353"/>
      <c r="AU73" s="3353" t="e">
        <f>+'GRD SUMM RCL 150X150 '!#REF!</f>
        <v>#REF!</v>
      </c>
      <c r="AV73" s="3353"/>
      <c r="AW73" s="3353" t="e">
        <f t="shared" si="11"/>
        <v>#REF!</v>
      </c>
      <c r="AX73" s="3353"/>
      <c r="AY73" s="3353" t="e">
        <f>+'GRD SUMM RCL 150X150 '!#REF!</f>
        <v>#REF!</v>
      </c>
      <c r="AZ73" s="3353"/>
      <c r="BA73" s="3353" t="e">
        <f t="shared" si="12"/>
        <v>#REF!</v>
      </c>
      <c r="BB73" s="3353"/>
      <c r="BC73" s="3353" t="e">
        <f t="shared" si="13"/>
        <v>#REF!</v>
      </c>
      <c r="BD73" s="3375"/>
      <c r="BE73" s="3375" t="e">
        <f t="shared" si="14"/>
        <v>#REF!</v>
      </c>
    </row>
    <row r="74" spans="3:57" s="4712" customFormat="1" x14ac:dyDescent="0.25">
      <c r="C74" s="2" t="e">
        <f>+'GRD SUMM RCL 150X150 '!#REF!</f>
        <v>#REF!</v>
      </c>
      <c r="D74" s="304"/>
      <c r="E74" s="7280" t="e">
        <f>+'GRD SUMM RCL 150X150 '!#REF!</f>
        <v>#REF!</v>
      </c>
      <c r="F74" s="3353"/>
      <c r="G74" s="7280" t="e">
        <f>+'GRD SUMM RCL 150X150 '!#REF!</f>
        <v>#REF!</v>
      </c>
      <c r="H74" s="3353"/>
      <c r="I74" s="3353" t="e">
        <f t="shared" si="0"/>
        <v>#REF!</v>
      </c>
      <c r="J74" s="3353"/>
      <c r="K74" s="7280"/>
      <c r="L74" s="3353"/>
      <c r="M74" s="3353" t="e">
        <f t="shared" si="1"/>
        <v>#REF!</v>
      </c>
      <c r="N74" s="3353"/>
      <c r="O74" s="3353" t="e">
        <f>+'GRD SUMM RCL 150X150 '!#REF!</f>
        <v>#REF!</v>
      </c>
      <c r="P74" s="3353"/>
      <c r="Q74" s="3353" t="e">
        <f t="shared" si="2"/>
        <v>#REF!</v>
      </c>
      <c r="R74" s="3353"/>
      <c r="S74" s="3353" t="e">
        <f>+'GRD SUMM RCL 150X150 '!#REF!</f>
        <v>#REF!</v>
      </c>
      <c r="T74" s="3353"/>
      <c r="U74" s="3353" t="e">
        <f t="shared" si="3"/>
        <v>#REF!</v>
      </c>
      <c r="V74" s="3353"/>
      <c r="W74" s="3353" t="e">
        <f>+'GRD SUMM RCL 150X150 '!#REF!</f>
        <v>#REF!</v>
      </c>
      <c r="X74" s="3353"/>
      <c r="Y74" s="3353" t="e">
        <f t="shared" si="4"/>
        <v>#REF!</v>
      </c>
      <c r="Z74" s="3353"/>
      <c r="AA74" s="3353" t="e">
        <f t="shared" si="5"/>
        <v>#REF!</v>
      </c>
      <c r="AB74" s="3353"/>
      <c r="AC74" s="6620" t="e">
        <f>+'GRD SUMM RCL 150X150 '!#REF!</f>
        <v>#REF!</v>
      </c>
      <c r="AD74" s="3353"/>
      <c r="AE74" s="3353" t="e">
        <f t="shared" si="6"/>
        <v>#REF!</v>
      </c>
      <c r="AF74" s="3353"/>
      <c r="AG74" s="3353" t="e">
        <f>+'GRD SUMM RCL 150X150 '!#REF!</f>
        <v>#REF!</v>
      </c>
      <c r="AH74" s="3353"/>
      <c r="AI74" s="3353" t="e">
        <f t="shared" si="7"/>
        <v>#REF!</v>
      </c>
      <c r="AJ74" s="3353"/>
      <c r="AK74" s="6620" t="e">
        <f>+'GRD SUMM RCL 150X150 '!#REF!</f>
        <v>#REF!</v>
      </c>
      <c r="AL74" s="3353"/>
      <c r="AM74" s="3353" t="e">
        <f t="shared" si="8"/>
        <v>#REF!</v>
      </c>
      <c r="AN74" s="3353"/>
      <c r="AO74" s="3353" t="e">
        <f t="shared" si="9"/>
        <v>#REF!</v>
      </c>
      <c r="AP74" s="3353"/>
      <c r="AQ74" s="3353" t="e">
        <f>+'GRD SUMM RCL 150X150 '!#REF!</f>
        <v>#REF!</v>
      </c>
      <c r="AR74" s="3353"/>
      <c r="AS74" s="3353" t="e">
        <f t="shared" si="10"/>
        <v>#REF!</v>
      </c>
      <c r="AT74" s="3353"/>
      <c r="AU74" s="3353" t="e">
        <f>+'GRD SUMM RCL 150X150 '!#REF!</f>
        <v>#REF!</v>
      </c>
      <c r="AV74" s="3353"/>
      <c r="AW74" s="3353" t="e">
        <f t="shared" si="11"/>
        <v>#REF!</v>
      </c>
      <c r="AX74" s="3353"/>
      <c r="AY74" s="3353" t="e">
        <f>+'GRD SUMM RCL 150X150 '!#REF!</f>
        <v>#REF!</v>
      </c>
      <c r="AZ74" s="3353"/>
      <c r="BA74" s="3353" t="e">
        <f t="shared" si="12"/>
        <v>#REF!</v>
      </c>
      <c r="BB74" s="3353"/>
      <c r="BC74" s="3353" t="e">
        <f t="shared" si="13"/>
        <v>#REF!</v>
      </c>
      <c r="BD74" s="3375"/>
      <c r="BE74" s="3375" t="e">
        <f t="shared" si="14"/>
        <v>#REF!</v>
      </c>
    </row>
    <row r="75" spans="3:57" x14ac:dyDescent="0.25">
      <c r="C75" s="2" t="e">
        <f>+'GRD SUMM RCL 150X150 '!#REF!</f>
        <v>#REF!</v>
      </c>
      <c r="D75" s="304"/>
      <c r="E75" s="7280" t="e">
        <f>+'GRD SUMM RCL 150X150 '!#REF!</f>
        <v>#REF!</v>
      </c>
      <c r="F75" s="3353"/>
      <c r="G75" s="7280" t="e">
        <f>+'GRD SUMM RCL 150X150 '!#REF!</f>
        <v>#REF!</v>
      </c>
      <c r="H75" s="3353"/>
      <c r="I75" s="3353" t="e">
        <f t="shared" si="0"/>
        <v>#REF!</v>
      </c>
      <c r="J75" s="3353"/>
      <c r="K75" s="7280"/>
      <c r="L75" s="3353"/>
      <c r="M75" s="3353" t="e">
        <f t="shared" si="1"/>
        <v>#REF!</v>
      </c>
      <c r="N75" s="3353"/>
      <c r="O75" s="3353" t="e">
        <f>+'GRD SUMM RCL 150X150 '!#REF!</f>
        <v>#REF!</v>
      </c>
      <c r="P75" s="3353"/>
      <c r="Q75" s="3353" t="e">
        <f t="shared" si="2"/>
        <v>#REF!</v>
      </c>
      <c r="R75" s="3353"/>
      <c r="S75" s="3353" t="e">
        <f>+'GRD SUMM RCL 150X150 '!#REF!</f>
        <v>#REF!</v>
      </c>
      <c r="T75" s="3353"/>
      <c r="U75" s="3353" t="e">
        <f t="shared" si="3"/>
        <v>#REF!</v>
      </c>
      <c r="V75" s="3353"/>
      <c r="W75" s="3353" t="e">
        <f>+'GRD SUMM RCL 150X150 '!#REF!</f>
        <v>#REF!</v>
      </c>
      <c r="X75" s="3353"/>
      <c r="Y75" s="3353" t="e">
        <f t="shared" si="4"/>
        <v>#REF!</v>
      </c>
      <c r="Z75" s="3353"/>
      <c r="AA75" s="3353" t="e">
        <f t="shared" si="5"/>
        <v>#REF!</v>
      </c>
      <c r="AB75" s="3353"/>
      <c r="AC75" s="6620" t="e">
        <f>+'GRD SUMM RCL 150X150 '!#REF!</f>
        <v>#REF!</v>
      </c>
      <c r="AD75" s="3353"/>
      <c r="AE75" s="3353" t="e">
        <f t="shared" si="6"/>
        <v>#REF!</v>
      </c>
      <c r="AF75" s="3353"/>
      <c r="AG75" s="3353" t="e">
        <f>+'GRD SUMM RCL 150X150 '!#REF!</f>
        <v>#REF!</v>
      </c>
      <c r="AH75" s="3353"/>
      <c r="AI75" s="3353" t="e">
        <f t="shared" si="7"/>
        <v>#REF!</v>
      </c>
      <c r="AJ75" s="3353"/>
      <c r="AK75" s="6620" t="e">
        <f>+'GRD SUMM RCL 150X150 '!#REF!</f>
        <v>#REF!</v>
      </c>
      <c r="AL75" s="3353"/>
      <c r="AM75" s="3353" t="e">
        <f t="shared" si="8"/>
        <v>#REF!</v>
      </c>
      <c r="AN75" s="3353"/>
      <c r="AO75" s="3353" t="e">
        <f t="shared" si="9"/>
        <v>#REF!</v>
      </c>
      <c r="AP75" s="3353"/>
      <c r="AQ75" s="3353" t="e">
        <f>+'GRD SUMM RCL 150X150 '!#REF!</f>
        <v>#REF!</v>
      </c>
      <c r="AR75" s="3353"/>
      <c r="AS75" s="3353" t="e">
        <f t="shared" si="10"/>
        <v>#REF!</v>
      </c>
      <c r="AT75" s="3353"/>
      <c r="AU75" s="3353" t="e">
        <f>+'GRD SUMM RCL 150X150 '!#REF!</f>
        <v>#REF!</v>
      </c>
      <c r="AV75" s="3353"/>
      <c r="AW75" s="3353" t="e">
        <f t="shared" si="11"/>
        <v>#REF!</v>
      </c>
      <c r="AX75" s="3353"/>
      <c r="AY75" s="3353" t="e">
        <f>+'GRD SUMM RCL 150X150 '!#REF!</f>
        <v>#REF!</v>
      </c>
      <c r="AZ75" s="3353"/>
      <c r="BA75" s="3353" t="e">
        <f t="shared" si="12"/>
        <v>#REF!</v>
      </c>
      <c r="BB75" s="3353"/>
      <c r="BC75" s="3353" t="e">
        <f t="shared" si="13"/>
        <v>#REF!</v>
      </c>
      <c r="BD75" s="3375"/>
      <c r="BE75" s="3375" t="e">
        <f t="shared" si="14"/>
        <v>#REF!</v>
      </c>
    </row>
    <row r="76" spans="3:57" x14ac:dyDescent="0.25">
      <c r="C76" s="2" t="e">
        <f>+'GRD SUMM RCL 150X150 '!#REF!</f>
        <v>#REF!</v>
      </c>
      <c r="D76" s="304"/>
      <c r="E76" s="7280" t="e">
        <f>+'GRD SUMM RCL 150X150 '!#REF!</f>
        <v>#REF!</v>
      </c>
      <c r="F76" s="3353"/>
      <c r="G76" s="7280" t="e">
        <f>+'GRD SUMM RCL 150X150 '!#REF!</f>
        <v>#REF!</v>
      </c>
      <c r="H76" s="3353"/>
      <c r="I76" s="3353" t="e">
        <f t="shared" si="0"/>
        <v>#REF!</v>
      </c>
      <c r="J76" s="3353"/>
      <c r="K76" s="7280"/>
      <c r="L76" s="3353"/>
      <c r="M76" s="3353" t="e">
        <f t="shared" si="1"/>
        <v>#REF!</v>
      </c>
      <c r="N76" s="3353"/>
      <c r="O76" s="3353" t="e">
        <f>+'GRD SUMM RCL 150X150 '!#REF!</f>
        <v>#REF!</v>
      </c>
      <c r="P76" s="3353"/>
      <c r="Q76" s="3353" t="e">
        <f t="shared" si="2"/>
        <v>#REF!</v>
      </c>
      <c r="R76" s="3353"/>
      <c r="S76" s="3353" t="e">
        <f>+'GRD SUMM RCL 150X150 '!#REF!</f>
        <v>#REF!</v>
      </c>
      <c r="T76" s="3353"/>
      <c r="U76" s="3353" t="e">
        <f t="shared" si="3"/>
        <v>#REF!</v>
      </c>
      <c r="V76" s="3353"/>
      <c r="W76" s="3353" t="e">
        <f>+'GRD SUMM RCL 150X150 '!#REF!</f>
        <v>#REF!</v>
      </c>
      <c r="X76" s="3353"/>
      <c r="Y76" s="3353" t="e">
        <f t="shared" si="4"/>
        <v>#REF!</v>
      </c>
      <c r="Z76" s="3353"/>
      <c r="AA76" s="3353" t="e">
        <f t="shared" si="5"/>
        <v>#REF!</v>
      </c>
      <c r="AB76" s="3353"/>
      <c r="AC76" s="6620" t="e">
        <f>+'GRD SUMM RCL 150X150 '!#REF!</f>
        <v>#REF!</v>
      </c>
      <c r="AD76" s="3353"/>
      <c r="AE76" s="3353" t="e">
        <f t="shared" si="6"/>
        <v>#REF!</v>
      </c>
      <c r="AF76" s="3353"/>
      <c r="AG76" s="3353" t="e">
        <f>+'GRD SUMM RCL 150X150 '!#REF!</f>
        <v>#REF!</v>
      </c>
      <c r="AH76" s="3353"/>
      <c r="AI76" s="3353" t="e">
        <f t="shared" si="7"/>
        <v>#REF!</v>
      </c>
      <c r="AJ76" s="3353"/>
      <c r="AK76" s="6620" t="e">
        <f>+'GRD SUMM RCL 150X150 '!#REF!</f>
        <v>#REF!</v>
      </c>
      <c r="AL76" s="3353"/>
      <c r="AM76" s="3353" t="e">
        <f t="shared" si="8"/>
        <v>#REF!</v>
      </c>
      <c r="AN76" s="3353"/>
      <c r="AO76" s="3353" t="e">
        <f t="shared" si="9"/>
        <v>#REF!</v>
      </c>
      <c r="AP76" s="3353"/>
      <c r="AQ76" s="3353" t="e">
        <f>+'GRD SUMM RCL 150X150 '!#REF!</f>
        <v>#REF!</v>
      </c>
      <c r="AR76" s="3353"/>
      <c r="AS76" s="3353" t="e">
        <f t="shared" si="10"/>
        <v>#REF!</v>
      </c>
      <c r="AT76" s="3353"/>
      <c r="AU76" s="3353" t="e">
        <f>+'GRD SUMM RCL 150X150 '!#REF!</f>
        <v>#REF!</v>
      </c>
      <c r="AV76" s="3353"/>
      <c r="AW76" s="3353" t="e">
        <f t="shared" si="11"/>
        <v>#REF!</v>
      </c>
      <c r="AX76" s="3353"/>
      <c r="AY76" s="3353" t="e">
        <f>+'GRD SUMM RCL 150X150 '!#REF!</f>
        <v>#REF!</v>
      </c>
      <c r="AZ76" s="3353"/>
      <c r="BA76" s="3353" t="e">
        <f t="shared" si="12"/>
        <v>#REF!</v>
      </c>
      <c r="BB76" s="3353"/>
      <c r="BC76" s="3353" t="e">
        <f t="shared" si="13"/>
        <v>#REF!</v>
      </c>
      <c r="BD76" s="3375"/>
      <c r="BE76" s="3375" t="e">
        <f t="shared" si="14"/>
        <v>#REF!</v>
      </c>
    </row>
    <row r="77" spans="3:57" x14ac:dyDescent="0.25">
      <c r="C77" s="2" t="e">
        <f>+'GRD SUMM RCL 150X150 '!#REF!</f>
        <v>#REF!</v>
      </c>
      <c r="D77" s="304"/>
      <c r="E77" s="7280" t="e">
        <f>+'GRD SUMM RCL 150X150 '!#REF!</f>
        <v>#REF!</v>
      </c>
      <c r="F77" s="3353"/>
      <c r="G77" s="7280" t="e">
        <f>+'GRD SUMM RCL 150X150 '!#REF!</f>
        <v>#REF!</v>
      </c>
      <c r="H77" s="3353"/>
      <c r="I77" s="3353" t="e">
        <f t="shared" si="0"/>
        <v>#REF!</v>
      </c>
      <c r="J77" s="3353"/>
      <c r="K77" s="7280"/>
      <c r="L77" s="3353"/>
      <c r="M77" s="3353" t="e">
        <f t="shared" si="1"/>
        <v>#REF!</v>
      </c>
      <c r="N77" s="3353"/>
      <c r="O77" s="3353" t="e">
        <f>+'GRD SUMM RCL 150X150 '!#REF!</f>
        <v>#REF!</v>
      </c>
      <c r="P77" s="3353"/>
      <c r="Q77" s="3353" t="e">
        <f t="shared" si="2"/>
        <v>#REF!</v>
      </c>
      <c r="R77" s="3353"/>
      <c r="S77" s="3353" t="e">
        <f>+'GRD SUMM RCL 150X150 '!#REF!</f>
        <v>#REF!</v>
      </c>
      <c r="T77" s="3353"/>
      <c r="U77" s="3353" t="e">
        <f t="shared" si="3"/>
        <v>#REF!</v>
      </c>
      <c r="V77" s="3353"/>
      <c r="W77" s="3353" t="e">
        <f>+'GRD SUMM RCL 150X150 '!#REF!</f>
        <v>#REF!</v>
      </c>
      <c r="X77" s="3353"/>
      <c r="Y77" s="3353" t="e">
        <f t="shared" si="4"/>
        <v>#REF!</v>
      </c>
      <c r="Z77" s="3353"/>
      <c r="AA77" s="3353" t="e">
        <f t="shared" si="5"/>
        <v>#REF!</v>
      </c>
      <c r="AB77" s="3353"/>
      <c r="AC77" s="6620" t="e">
        <f>+'GRD SUMM RCL 150X150 '!#REF!</f>
        <v>#REF!</v>
      </c>
      <c r="AD77" s="3353"/>
      <c r="AE77" s="3353" t="e">
        <f t="shared" si="6"/>
        <v>#REF!</v>
      </c>
      <c r="AF77" s="3353"/>
      <c r="AG77" s="3353" t="e">
        <f>+'GRD SUMM RCL 150X150 '!#REF!</f>
        <v>#REF!</v>
      </c>
      <c r="AH77" s="3353"/>
      <c r="AI77" s="3353" t="e">
        <f t="shared" si="7"/>
        <v>#REF!</v>
      </c>
      <c r="AJ77" s="3353"/>
      <c r="AK77" s="6620" t="e">
        <f>+'GRD SUMM RCL 150X150 '!#REF!</f>
        <v>#REF!</v>
      </c>
      <c r="AL77" s="3353"/>
      <c r="AM77" s="3353" t="e">
        <f t="shared" si="8"/>
        <v>#REF!</v>
      </c>
      <c r="AN77" s="3353"/>
      <c r="AO77" s="3353" t="e">
        <f t="shared" si="9"/>
        <v>#REF!</v>
      </c>
      <c r="AP77" s="3353"/>
      <c r="AQ77" s="3353" t="e">
        <f>+'GRD SUMM RCL 150X150 '!#REF!</f>
        <v>#REF!</v>
      </c>
      <c r="AR77" s="3353"/>
      <c r="AS77" s="3353" t="e">
        <f t="shared" si="10"/>
        <v>#REF!</v>
      </c>
      <c r="AT77" s="3353"/>
      <c r="AU77" s="3353" t="e">
        <f>+'GRD SUMM RCL 150X150 '!#REF!</f>
        <v>#REF!</v>
      </c>
      <c r="AV77" s="3353"/>
      <c r="AW77" s="3353" t="e">
        <f t="shared" si="11"/>
        <v>#REF!</v>
      </c>
      <c r="AX77" s="3353"/>
      <c r="AY77" s="3353" t="e">
        <f>+'GRD SUMM RCL 150X150 '!#REF!</f>
        <v>#REF!</v>
      </c>
      <c r="AZ77" s="3353"/>
      <c r="BA77" s="3353" t="e">
        <f t="shared" si="12"/>
        <v>#REF!</v>
      </c>
      <c r="BB77" s="3353"/>
      <c r="BC77" s="3353" t="e">
        <f t="shared" si="13"/>
        <v>#REF!</v>
      </c>
      <c r="BD77" s="3375"/>
      <c r="BE77" s="3375" t="e">
        <f t="shared" si="14"/>
        <v>#REF!</v>
      </c>
    </row>
    <row r="78" spans="3:57" s="4712" customFormat="1" x14ac:dyDescent="0.25">
      <c r="C78" s="2" t="e">
        <f>+'GRD SUMM RCL 150X150 '!#REF!</f>
        <v>#REF!</v>
      </c>
      <c r="D78" s="304"/>
      <c r="E78" s="7280" t="e">
        <f>+'GRD SUMM RCL 150X150 '!#REF!</f>
        <v>#REF!</v>
      </c>
      <c r="F78" s="3353"/>
      <c r="G78" s="7280" t="e">
        <f>+'GRD SUMM RCL 150X150 '!#REF!</f>
        <v>#REF!</v>
      </c>
      <c r="H78" s="3353"/>
      <c r="I78" s="3353" t="e">
        <f t="shared" si="0"/>
        <v>#REF!</v>
      </c>
      <c r="J78" s="3353"/>
      <c r="K78" s="7280"/>
      <c r="L78" s="3353"/>
      <c r="M78" s="3353" t="e">
        <f t="shared" si="1"/>
        <v>#REF!</v>
      </c>
      <c r="N78" s="3353"/>
      <c r="O78" s="3353" t="e">
        <f>+'GRD SUMM RCL 150X150 '!#REF!</f>
        <v>#REF!</v>
      </c>
      <c r="P78" s="3353"/>
      <c r="Q78" s="3353" t="e">
        <f t="shared" si="2"/>
        <v>#REF!</v>
      </c>
      <c r="R78" s="3353"/>
      <c r="S78" s="3353" t="e">
        <f>+'GRD SUMM RCL 150X150 '!#REF!</f>
        <v>#REF!</v>
      </c>
      <c r="T78" s="3353"/>
      <c r="U78" s="3353" t="e">
        <f t="shared" si="3"/>
        <v>#REF!</v>
      </c>
      <c r="V78" s="3353"/>
      <c r="W78" s="3353" t="e">
        <f>+'GRD SUMM RCL 150X150 '!#REF!</f>
        <v>#REF!</v>
      </c>
      <c r="X78" s="3353"/>
      <c r="Y78" s="3353" t="e">
        <f t="shared" si="4"/>
        <v>#REF!</v>
      </c>
      <c r="Z78" s="3353"/>
      <c r="AA78" s="3353" t="e">
        <f t="shared" si="5"/>
        <v>#REF!</v>
      </c>
      <c r="AB78" s="3353"/>
      <c r="AC78" s="6620" t="e">
        <f>+'GRD SUMM RCL 150X150 '!#REF!</f>
        <v>#REF!</v>
      </c>
      <c r="AD78" s="3353"/>
      <c r="AE78" s="3353" t="e">
        <f t="shared" si="6"/>
        <v>#REF!</v>
      </c>
      <c r="AF78" s="3353"/>
      <c r="AG78" s="3353" t="e">
        <f>+'GRD SUMM RCL 150X150 '!#REF!</f>
        <v>#REF!</v>
      </c>
      <c r="AH78" s="3353"/>
      <c r="AI78" s="3353" t="e">
        <f t="shared" si="7"/>
        <v>#REF!</v>
      </c>
      <c r="AJ78" s="3353"/>
      <c r="AK78" s="6620" t="e">
        <f>+'GRD SUMM RCL 150X150 '!#REF!</f>
        <v>#REF!</v>
      </c>
      <c r="AL78" s="3353"/>
      <c r="AM78" s="3353" t="e">
        <f t="shared" si="8"/>
        <v>#REF!</v>
      </c>
      <c r="AN78" s="3353"/>
      <c r="AO78" s="3353" t="e">
        <f t="shared" si="9"/>
        <v>#REF!</v>
      </c>
      <c r="AP78" s="3353"/>
      <c r="AQ78" s="3353" t="e">
        <f>+'GRD SUMM RCL 150X150 '!#REF!</f>
        <v>#REF!</v>
      </c>
      <c r="AR78" s="3353"/>
      <c r="AS78" s="3353" t="e">
        <f t="shared" si="10"/>
        <v>#REF!</v>
      </c>
      <c r="AT78" s="3353"/>
      <c r="AU78" s="3353" t="e">
        <f>+'GRD SUMM RCL 150X150 '!#REF!</f>
        <v>#REF!</v>
      </c>
      <c r="AV78" s="3353"/>
      <c r="AW78" s="3353" t="e">
        <f t="shared" si="11"/>
        <v>#REF!</v>
      </c>
      <c r="AX78" s="3353"/>
      <c r="AY78" s="3353" t="e">
        <f>+'GRD SUMM RCL 150X150 '!#REF!</f>
        <v>#REF!</v>
      </c>
      <c r="AZ78" s="3353"/>
      <c r="BA78" s="3353" t="e">
        <f t="shared" si="12"/>
        <v>#REF!</v>
      </c>
      <c r="BB78" s="3353"/>
      <c r="BC78" s="3353" t="e">
        <f t="shared" si="13"/>
        <v>#REF!</v>
      </c>
      <c r="BD78" s="3375"/>
      <c r="BE78" s="3375" t="e">
        <f t="shared" si="14"/>
        <v>#REF!</v>
      </c>
    </row>
    <row r="79" spans="3:57" x14ac:dyDescent="0.25">
      <c r="C79" s="2" t="e">
        <f>+'GRD SUMM RCL 150X150 '!#REF!</f>
        <v>#REF!</v>
      </c>
      <c r="D79" s="304"/>
      <c r="E79" s="7280" t="e">
        <f>+'GRD SUMM RCL 150X150 '!#REF!</f>
        <v>#REF!</v>
      </c>
      <c r="F79" s="3353"/>
      <c r="G79" s="7280" t="e">
        <f>+'GRD SUMM RCL 150X150 '!#REF!</f>
        <v>#REF!</v>
      </c>
      <c r="H79" s="3353"/>
      <c r="I79" s="3353" t="e">
        <f t="shared" si="0"/>
        <v>#REF!</v>
      </c>
      <c r="J79" s="3353"/>
      <c r="K79" s="7280"/>
      <c r="L79" s="3353"/>
      <c r="M79" s="3353" t="e">
        <f t="shared" si="1"/>
        <v>#REF!</v>
      </c>
      <c r="N79" s="3353"/>
      <c r="O79" s="3353" t="e">
        <f>+'GRD SUMM RCL 150X150 '!#REF!</f>
        <v>#REF!</v>
      </c>
      <c r="P79" s="3353"/>
      <c r="Q79" s="3353" t="e">
        <f t="shared" si="2"/>
        <v>#REF!</v>
      </c>
      <c r="R79" s="3353"/>
      <c r="S79" s="3353" t="e">
        <f>+'GRD SUMM RCL 150X150 '!#REF!</f>
        <v>#REF!</v>
      </c>
      <c r="T79" s="3353"/>
      <c r="U79" s="3353" t="e">
        <f t="shared" si="3"/>
        <v>#REF!</v>
      </c>
      <c r="V79" s="3353"/>
      <c r="W79" s="3353" t="e">
        <f>+'GRD SUMM RCL 150X150 '!#REF!</f>
        <v>#REF!</v>
      </c>
      <c r="X79" s="3353"/>
      <c r="Y79" s="3353" t="e">
        <f t="shared" si="4"/>
        <v>#REF!</v>
      </c>
      <c r="Z79" s="3353"/>
      <c r="AA79" s="3353" t="e">
        <f t="shared" si="5"/>
        <v>#REF!</v>
      </c>
      <c r="AB79" s="3353"/>
      <c r="AC79" s="6620" t="e">
        <f>+'GRD SUMM RCL 150X150 '!#REF!</f>
        <v>#REF!</v>
      </c>
      <c r="AD79" s="3353"/>
      <c r="AE79" s="3353" t="e">
        <f t="shared" si="6"/>
        <v>#REF!</v>
      </c>
      <c r="AF79" s="3353"/>
      <c r="AG79" s="3353" t="e">
        <f>+'GRD SUMM RCL 150X150 '!#REF!</f>
        <v>#REF!</v>
      </c>
      <c r="AH79" s="3353"/>
      <c r="AI79" s="3353" t="e">
        <f t="shared" si="7"/>
        <v>#REF!</v>
      </c>
      <c r="AJ79" s="3353"/>
      <c r="AK79" s="6620" t="e">
        <f>+'GRD SUMM RCL 150X150 '!#REF!</f>
        <v>#REF!</v>
      </c>
      <c r="AL79" s="3353"/>
      <c r="AM79" s="3353" t="e">
        <f t="shared" si="8"/>
        <v>#REF!</v>
      </c>
      <c r="AN79" s="3353"/>
      <c r="AO79" s="3353" t="e">
        <f t="shared" si="9"/>
        <v>#REF!</v>
      </c>
      <c r="AP79" s="3353"/>
      <c r="AQ79" s="3353" t="e">
        <f>+'GRD SUMM RCL 150X150 '!#REF!</f>
        <v>#REF!</v>
      </c>
      <c r="AR79" s="3353"/>
      <c r="AS79" s="3353" t="e">
        <f t="shared" si="10"/>
        <v>#REF!</v>
      </c>
      <c r="AT79" s="3353"/>
      <c r="AU79" s="3353" t="e">
        <f>+'GRD SUMM RCL 150X150 '!#REF!</f>
        <v>#REF!</v>
      </c>
      <c r="AV79" s="3353"/>
      <c r="AW79" s="3353" t="e">
        <f t="shared" si="11"/>
        <v>#REF!</v>
      </c>
      <c r="AX79" s="3353"/>
      <c r="AY79" s="3353" t="e">
        <f>+'GRD SUMM RCL 150X150 '!#REF!</f>
        <v>#REF!</v>
      </c>
      <c r="AZ79" s="3353"/>
      <c r="BA79" s="3353" t="e">
        <f t="shared" si="12"/>
        <v>#REF!</v>
      </c>
      <c r="BB79" s="3353"/>
      <c r="BC79" s="3353" t="e">
        <f t="shared" si="13"/>
        <v>#REF!</v>
      </c>
      <c r="BD79" s="3375"/>
      <c r="BE79" s="3375" t="e">
        <f t="shared" si="14"/>
        <v>#REF!</v>
      </c>
    </row>
    <row r="80" spans="3:57" x14ac:dyDescent="0.25">
      <c r="C80" s="2" t="e">
        <f>+'GRD SUMM RCL 150X150 '!#REF!</f>
        <v>#REF!</v>
      </c>
      <c r="D80" s="304"/>
      <c r="E80" s="7280" t="e">
        <f>+'GRD SUMM RCL 150X150 '!#REF!</f>
        <v>#REF!</v>
      </c>
      <c r="F80" s="3353"/>
      <c r="G80" s="7280" t="e">
        <f>+'GRD SUMM RCL 150X150 '!#REF!</f>
        <v>#REF!</v>
      </c>
      <c r="H80" s="3353"/>
      <c r="I80" s="3353" t="e">
        <f t="shared" si="0"/>
        <v>#REF!</v>
      </c>
      <c r="J80" s="3353"/>
      <c r="K80" s="7280"/>
      <c r="L80" s="3353"/>
      <c r="M80" s="3353" t="e">
        <f t="shared" si="1"/>
        <v>#REF!</v>
      </c>
      <c r="N80" s="3353"/>
      <c r="O80" s="3353" t="e">
        <f>+'GRD SUMM RCL 150X150 '!#REF!</f>
        <v>#REF!</v>
      </c>
      <c r="P80" s="3353"/>
      <c r="Q80" s="3353" t="e">
        <f t="shared" si="2"/>
        <v>#REF!</v>
      </c>
      <c r="R80" s="3353"/>
      <c r="S80" s="3353" t="e">
        <f>+'GRD SUMM RCL 150X150 '!#REF!</f>
        <v>#REF!</v>
      </c>
      <c r="T80" s="3353"/>
      <c r="U80" s="3353" t="e">
        <f t="shared" si="3"/>
        <v>#REF!</v>
      </c>
      <c r="V80" s="3353"/>
      <c r="W80" s="3353" t="e">
        <f>+'GRD SUMM RCL 150X150 '!#REF!</f>
        <v>#REF!</v>
      </c>
      <c r="X80" s="3353"/>
      <c r="Y80" s="3353" t="e">
        <f t="shared" si="4"/>
        <v>#REF!</v>
      </c>
      <c r="Z80" s="3353"/>
      <c r="AA80" s="3353" t="e">
        <f t="shared" si="5"/>
        <v>#REF!</v>
      </c>
      <c r="AB80" s="3353"/>
      <c r="AC80" s="6620" t="e">
        <f>+'GRD SUMM RCL 150X150 '!#REF!</f>
        <v>#REF!</v>
      </c>
      <c r="AD80" s="3353"/>
      <c r="AE80" s="3353" t="e">
        <f t="shared" si="6"/>
        <v>#REF!</v>
      </c>
      <c r="AF80" s="3353"/>
      <c r="AG80" s="3353" t="e">
        <f>+'GRD SUMM RCL 150X150 '!#REF!</f>
        <v>#REF!</v>
      </c>
      <c r="AH80" s="3353"/>
      <c r="AI80" s="3353" t="e">
        <f t="shared" si="7"/>
        <v>#REF!</v>
      </c>
      <c r="AJ80" s="3353"/>
      <c r="AK80" s="6620" t="e">
        <f>+'GRD SUMM RCL 150X150 '!#REF!</f>
        <v>#REF!</v>
      </c>
      <c r="AL80" s="3353"/>
      <c r="AM80" s="3353" t="e">
        <f t="shared" si="8"/>
        <v>#REF!</v>
      </c>
      <c r="AN80" s="3353"/>
      <c r="AO80" s="3353" t="e">
        <f t="shared" si="9"/>
        <v>#REF!</v>
      </c>
      <c r="AP80" s="3353"/>
      <c r="AQ80" s="3353" t="e">
        <f>+'GRD SUMM RCL 150X150 '!#REF!</f>
        <v>#REF!</v>
      </c>
      <c r="AR80" s="3353"/>
      <c r="AS80" s="3353" t="e">
        <f t="shared" si="10"/>
        <v>#REF!</v>
      </c>
      <c r="AT80" s="3353"/>
      <c r="AU80" s="3353" t="e">
        <f>+'GRD SUMM RCL 150X150 '!#REF!</f>
        <v>#REF!</v>
      </c>
      <c r="AV80" s="3353"/>
      <c r="AW80" s="3353" t="e">
        <f t="shared" si="11"/>
        <v>#REF!</v>
      </c>
      <c r="AX80" s="3353"/>
      <c r="AY80" s="3353" t="e">
        <f>+'GRD SUMM RCL 150X150 '!#REF!</f>
        <v>#REF!</v>
      </c>
      <c r="AZ80" s="3353"/>
      <c r="BA80" s="3353" t="e">
        <f t="shared" si="12"/>
        <v>#REF!</v>
      </c>
      <c r="BB80" s="3353"/>
      <c r="BC80" s="3353" t="e">
        <f t="shared" si="13"/>
        <v>#REF!</v>
      </c>
      <c r="BD80" s="3375"/>
      <c r="BE80" s="3375" t="e">
        <f t="shared" si="14"/>
        <v>#REF!</v>
      </c>
    </row>
    <row r="81" spans="3:61" x14ac:dyDescent="0.25">
      <c r="C81" s="2" t="e">
        <f>+'GRD SUMM RCL 150X150 '!#REF!</f>
        <v>#REF!</v>
      </c>
      <c r="D81" s="304"/>
      <c r="E81" s="7280" t="e">
        <f>+'GRD SUMM RCL 150X150 '!#REF!</f>
        <v>#REF!</v>
      </c>
      <c r="F81" s="3353"/>
      <c r="G81" s="7280" t="e">
        <f>+'GRD SUMM RCL 150X150 '!#REF!</f>
        <v>#REF!</v>
      </c>
      <c r="H81" s="3353"/>
      <c r="I81" s="3353" t="e">
        <f t="shared" si="0"/>
        <v>#REF!</v>
      </c>
      <c r="J81" s="3353"/>
      <c r="K81" s="7280"/>
      <c r="L81" s="3353"/>
      <c r="M81" s="3353" t="e">
        <f t="shared" si="1"/>
        <v>#REF!</v>
      </c>
      <c r="N81" s="3353"/>
      <c r="O81" s="3353" t="e">
        <f>+'GRD SUMM RCL 150X150 '!#REF!</f>
        <v>#REF!</v>
      </c>
      <c r="P81" s="3353"/>
      <c r="Q81" s="3353" t="e">
        <f t="shared" si="2"/>
        <v>#REF!</v>
      </c>
      <c r="R81" s="3353"/>
      <c r="S81" s="3353" t="e">
        <f>+'GRD SUMM RCL 150X150 '!#REF!</f>
        <v>#REF!</v>
      </c>
      <c r="T81" s="3353"/>
      <c r="U81" s="3353" t="e">
        <f t="shared" si="3"/>
        <v>#REF!</v>
      </c>
      <c r="V81" s="3353"/>
      <c r="W81" s="3353" t="e">
        <f>+'GRD SUMM RCL 150X150 '!#REF!</f>
        <v>#REF!</v>
      </c>
      <c r="X81" s="3353"/>
      <c r="Y81" s="3353" t="e">
        <f t="shared" si="4"/>
        <v>#REF!</v>
      </c>
      <c r="Z81" s="3353"/>
      <c r="AA81" s="3353" t="e">
        <f t="shared" si="5"/>
        <v>#REF!</v>
      </c>
      <c r="AB81" s="3353"/>
      <c r="AC81" s="6620" t="e">
        <f>+'GRD SUMM RCL 150X150 '!#REF!</f>
        <v>#REF!</v>
      </c>
      <c r="AD81" s="3353"/>
      <c r="AE81" s="3353" t="e">
        <f t="shared" si="6"/>
        <v>#REF!</v>
      </c>
      <c r="AF81" s="3353"/>
      <c r="AG81" s="3353" t="e">
        <f>+'GRD SUMM RCL 150X150 '!#REF!</f>
        <v>#REF!</v>
      </c>
      <c r="AH81" s="3353"/>
      <c r="AI81" s="3353" t="e">
        <f t="shared" si="7"/>
        <v>#REF!</v>
      </c>
      <c r="AJ81" s="3353"/>
      <c r="AK81" s="6620" t="e">
        <f>+'GRD SUMM RCL 150X150 '!#REF!</f>
        <v>#REF!</v>
      </c>
      <c r="AL81" s="3353"/>
      <c r="AM81" s="3353" t="e">
        <f t="shared" si="8"/>
        <v>#REF!</v>
      </c>
      <c r="AN81" s="3353"/>
      <c r="AO81" s="3353" t="e">
        <f t="shared" si="9"/>
        <v>#REF!</v>
      </c>
      <c r="AP81" s="3353"/>
      <c r="AQ81" s="3353" t="e">
        <f>+'GRD SUMM RCL 150X150 '!#REF!</f>
        <v>#REF!</v>
      </c>
      <c r="AR81" s="3353"/>
      <c r="AS81" s="3353" t="e">
        <f t="shared" si="10"/>
        <v>#REF!</v>
      </c>
      <c r="AT81" s="3353"/>
      <c r="AU81" s="3353" t="e">
        <f>+'GRD SUMM RCL 150X150 '!#REF!</f>
        <v>#REF!</v>
      </c>
      <c r="AV81" s="3353"/>
      <c r="AW81" s="3353" t="e">
        <f t="shared" si="11"/>
        <v>#REF!</v>
      </c>
      <c r="AX81" s="3353"/>
      <c r="AY81" s="3353" t="e">
        <f>+'GRD SUMM RCL 150X150 '!#REF!</f>
        <v>#REF!</v>
      </c>
      <c r="AZ81" s="3353"/>
      <c r="BA81" s="3353" t="e">
        <f t="shared" si="12"/>
        <v>#REF!</v>
      </c>
      <c r="BB81" s="3353"/>
      <c r="BC81" s="3353" t="e">
        <f t="shared" si="13"/>
        <v>#REF!</v>
      </c>
      <c r="BD81" s="3375"/>
      <c r="BE81" s="3375" t="e">
        <f t="shared" si="14"/>
        <v>#REF!</v>
      </c>
    </row>
    <row r="82" spans="3:61" x14ac:dyDescent="0.25">
      <c r="C82" s="2" t="e">
        <f>+'GRD SUMM RCL 150X150 '!#REF!</f>
        <v>#REF!</v>
      </c>
      <c r="D82" s="304"/>
      <c r="E82" s="7280" t="e">
        <f>+'GRD SUMM RCL 150X150 '!#REF!</f>
        <v>#REF!</v>
      </c>
      <c r="F82" s="3353"/>
      <c r="G82" s="7280" t="e">
        <f>+'GRD SUMM RCL 150X150 '!#REF!</f>
        <v>#REF!</v>
      </c>
      <c r="H82" s="3353"/>
      <c r="I82" s="3353" t="e">
        <f t="shared" si="0"/>
        <v>#REF!</v>
      </c>
      <c r="J82" s="3353"/>
      <c r="K82" s="7280"/>
      <c r="L82" s="3353"/>
      <c r="M82" s="3353" t="e">
        <f t="shared" si="1"/>
        <v>#REF!</v>
      </c>
      <c r="N82" s="3353"/>
      <c r="O82" s="3353" t="e">
        <f>+'GRD SUMM RCL 150X150 '!#REF!</f>
        <v>#REF!</v>
      </c>
      <c r="P82" s="3353"/>
      <c r="Q82" s="3353" t="e">
        <f t="shared" si="2"/>
        <v>#REF!</v>
      </c>
      <c r="R82" s="3353"/>
      <c r="S82" s="3353" t="e">
        <f>+'GRD SUMM RCL 150X150 '!#REF!</f>
        <v>#REF!</v>
      </c>
      <c r="T82" s="3353"/>
      <c r="U82" s="3353" t="e">
        <f t="shared" si="3"/>
        <v>#REF!</v>
      </c>
      <c r="V82" s="3353"/>
      <c r="W82" s="3353" t="e">
        <f>+'GRD SUMM RCL 150X150 '!#REF!</f>
        <v>#REF!</v>
      </c>
      <c r="X82" s="3353"/>
      <c r="Y82" s="3353" t="e">
        <f t="shared" si="4"/>
        <v>#REF!</v>
      </c>
      <c r="Z82" s="3353"/>
      <c r="AA82" s="3353" t="e">
        <f t="shared" si="5"/>
        <v>#REF!</v>
      </c>
      <c r="AB82" s="3353"/>
      <c r="AC82" s="6620" t="e">
        <f>+'GRD SUMM RCL 150X150 '!#REF!</f>
        <v>#REF!</v>
      </c>
      <c r="AD82" s="3353"/>
      <c r="AE82" s="3353" t="e">
        <f t="shared" si="6"/>
        <v>#REF!</v>
      </c>
      <c r="AF82" s="3353"/>
      <c r="AG82" s="3353" t="e">
        <f>+'GRD SUMM RCL 150X150 '!#REF!</f>
        <v>#REF!</v>
      </c>
      <c r="AH82" s="3353"/>
      <c r="AI82" s="3353" t="e">
        <f t="shared" si="7"/>
        <v>#REF!</v>
      </c>
      <c r="AJ82" s="3353"/>
      <c r="AK82" s="6620" t="e">
        <f>+'GRD SUMM RCL 150X150 '!#REF!</f>
        <v>#REF!</v>
      </c>
      <c r="AL82" s="3353"/>
      <c r="AM82" s="3353" t="e">
        <f t="shared" si="8"/>
        <v>#REF!</v>
      </c>
      <c r="AN82" s="3353"/>
      <c r="AO82" s="3353" t="e">
        <f t="shared" si="9"/>
        <v>#REF!</v>
      </c>
      <c r="AP82" s="3353"/>
      <c r="AQ82" s="3353" t="e">
        <f>+'GRD SUMM RCL 150X150 '!#REF!</f>
        <v>#REF!</v>
      </c>
      <c r="AR82" s="3353"/>
      <c r="AS82" s="3353" t="e">
        <f t="shared" si="10"/>
        <v>#REF!</v>
      </c>
      <c r="AT82" s="3353"/>
      <c r="AU82" s="3353" t="e">
        <f>+'GRD SUMM RCL 150X150 '!#REF!</f>
        <v>#REF!</v>
      </c>
      <c r="AV82" s="3353"/>
      <c r="AW82" s="3353" t="e">
        <f t="shared" si="11"/>
        <v>#REF!</v>
      </c>
      <c r="AX82" s="3353"/>
      <c r="AY82" s="3353" t="e">
        <f>+'GRD SUMM RCL 150X150 '!#REF!</f>
        <v>#REF!</v>
      </c>
      <c r="AZ82" s="3353"/>
      <c r="BA82" s="3353" t="e">
        <f t="shared" si="12"/>
        <v>#REF!</v>
      </c>
      <c r="BB82" s="3353"/>
      <c r="BC82" s="3353" t="e">
        <f t="shared" si="13"/>
        <v>#REF!</v>
      </c>
      <c r="BD82" s="3375"/>
      <c r="BE82" s="3375" t="e">
        <f t="shared" si="14"/>
        <v>#REF!</v>
      </c>
    </row>
    <row r="83" spans="3:61" x14ac:dyDescent="0.25">
      <c r="C83" s="2" t="e">
        <f>+'GRD SUMM RCL 150X150 '!#REF!</f>
        <v>#REF!</v>
      </c>
      <c r="D83" s="304"/>
      <c r="E83" s="7280" t="e">
        <f>+'GRD SUMM RCL 150X150 '!#REF!</f>
        <v>#REF!</v>
      </c>
      <c r="F83" s="3353"/>
      <c r="G83" s="7280" t="e">
        <f>+'GRD SUMM RCL 150X150 '!#REF!</f>
        <v>#REF!</v>
      </c>
      <c r="H83" s="3353"/>
      <c r="I83" s="3353" t="e">
        <f t="shared" si="0"/>
        <v>#REF!</v>
      </c>
      <c r="J83" s="3353"/>
      <c r="K83" s="7280"/>
      <c r="L83" s="3353"/>
      <c r="M83" s="3353" t="e">
        <f t="shared" si="1"/>
        <v>#REF!</v>
      </c>
      <c r="N83" s="3353"/>
      <c r="O83" s="3353" t="e">
        <f>+'GRD SUMM RCL 150X150 '!#REF!</f>
        <v>#REF!</v>
      </c>
      <c r="P83" s="3353"/>
      <c r="Q83" s="3353" t="e">
        <f t="shared" si="2"/>
        <v>#REF!</v>
      </c>
      <c r="R83" s="3353"/>
      <c r="S83" s="3353" t="e">
        <f>+'GRD SUMM RCL 150X150 '!#REF!</f>
        <v>#REF!</v>
      </c>
      <c r="T83" s="3353"/>
      <c r="U83" s="3353" t="e">
        <f t="shared" si="3"/>
        <v>#REF!</v>
      </c>
      <c r="V83" s="3353"/>
      <c r="W83" s="3353" t="e">
        <f>+'GRD SUMM RCL 150X150 '!#REF!</f>
        <v>#REF!</v>
      </c>
      <c r="X83" s="3353"/>
      <c r="Y83" s="3353" t="e">
        <f t="shared" si="4"/>
        <v>#REF!</v>
      </c>
      <c r="Z83" s="3353"/>
      <c r="AA83" s="3353" t="e">
        <f t="shared" si="5"/>
        <v>#REF!</v>
      </c>
      <c r="AB83" s="3353"/>
      <c r="AC83" s="6620" t="e">
        <f>+'GRD SUMM RCL 150X150 '!#REF!</f>
        <v>#REF!</v>
      </c>
      <c r="AD83" s="3353"/>
      <c r="AE83" s="3353" t="e">
        <f t="shared" si="6"/>
        <v>#REF!</v>
      </c>
      <c r="AF83" s="3353"/>
      <c r="AG83" s="3353" t="e">
        <f>+'GRD SUMM RCL 150X150 '!#REF!</f>
        <v>#REF!</v>
      </c>
      <c r="AH83" s="3353"/>
      <c r="AI83" s="3353" t="e">
        <f t="shared" si="7"/>
        <v>#REF!</v>
      </c>
      <c r="AJ83" s="3353"/>
      <c r="AK83" s="6620" t="e">
        <f>+'GRD SUMM RCL 150X150 '!#REF!</f>
        <v>#REF!</v>
      </c>
      <c r="AL83" s="3353"/>
      <c r="AM83" s="3353" t="e">
        <f t="shared" si="8"/>
        <v>#REF!</v>
      </c>
      <c r="AN83" s="3353"/>
      <c r="AO83" s="3353" t="e">
        <f t="shared" si="9"/>
        <v>#REF!</v>
      </c>
      <c r="AP83" s="3353"/>
      <c r="AQ83" s="3353" t="e">
        <f>+'GRD SUMM RCL 150X150 '!#REF!</f>
        <v>#REF!</v>
      </c>
      <c r="AR83" s="3353"/>
      <c r="AS83" s="3353" t="e">
        <f t="shared" si="10"/>
        <v>#REF!</v>
      </c>
      <c r="AT83" s="3353"/>
      <c r="AU83" s="3353" t="e">
        <f>+'GRD SUMM RCL 150X150 '!#REF!</f>
        <v>#REF!</v>
      </c>
      <c r="AV83" s="3353"/>
      <c r="AW83" s="3353" t="e">
        <f t="shared" si="11"/>
        <v>#REF!</v>
      </c>
      <c r="AX83" s="3353"/>
      <c r="AY83" s="3353" t="e">
        <f>+'GRD SUMM RCL 150X150 '!#REF!</f>
        <v>#REF!</v>
      </c>
      <c r="AZ83" s="3353"/>
      <c r="BA83" s="3353" t="e">
        <f t="shared" si="12"/>
        <v>#REF!</v>
      </c>
      <c r="BB83" s="3353"/>
      <c r="BC83" s="3353" t="e">
        <f t="shared" si="13"/>
        <v>#REF!</v>
      </c>
      <c r="BD83" s="3375"/>
      <c r="BE83" s="3375" t="e">
        <f t="shared" si="14"/>
        <v>#REF!</v>
      </c>
    </row>
    <row r="84" spans="3:61" s="4712" customFormat="1" x14ac:dyDescent="0.25">
      <c r="C84" s="2" t="e">
        <f>+'GRD SUMM RCL 150X150 '!#REF!</f>
        <v>#REF!</v>
      </c>
      <c r="D84" s="304"/>
      <c r="E84" s="7280" t="e">
        <f>+'GRD SUMM RCL 150X150 '!#REF!</f>
        <v>#REF!</v>
      </c>
      <c r="F84" s="3353"/>
      <c r="G84" s="7280" t="e">
        <f>+'GRD SUMM RCL 150X150 '!#REF!</f>
        <v>#REF!</v>
      </c>
      <c r="H84" s="3353"/>
      <c r="I84" s="3353" t="e">
        <f t="shared" si="0"/>
        <v>#REF!</v>
      </c>
      <c r="J84" s="3353"/>
      <c r="K84" s="7280"/>
      <c r="L84" s="3353"/>
      <c r="M84" s="3353" t="e">
        <f t="shared" si="1"/>
        <v>#REF!</v>
      </c>
      <c r="N84" s="3353"/>
      <c r="O84" s="3353" t="e">
        <f>+'GRD SUMM RCL 150X150 '!#REF!</f>
        <v>#REF!</v>
      </c>
      <c r="P84" s="3353"/>
      <c r="Q84" s="3353" t="e">
        <f t="shared" si="2"/>
        <v>#REF!</v>
      </c>
      <c r="R84" s="3353"/>
      <c r="S84" s="3353" t="e">
        <f>+'GRD SUMM RCL 150X150 '!#REF!</f>
        <v>#REF!</v>
      </c>
      <c r="T84" s="3353"/>
      <c r="U84" s="3353" t="e">
        <f t="shared" si="3"/>
        <v>#REF!</v>
      </c>
      <c r="V84" s="3353"/>
      <c r="W84" s="3353" t="e">
        <f>+'GRD SUMM RCL 150X150 '!#REF!</f>
        <v>#REF!</v>
      </c>
      <c r="X84" s="3353"/>
      <c r="Y84" s="3353" t="e">
        <f t="shared" si="4"/>
        <v>#REF!</v>
      </c>
      <c r="Z84" s="3353"/>
      <c r="AA84" s="3353" t="e">
        <f t="shared" si="5"/>
        <v>#REF!</v>
      </c>
      <c r="AB84" s="3353"/>
      <c r="AC84" s="6620" t="e">
        <f>+'GRD SUMM RCL 150X150 '!#REF!</f>
        <v>#REF!</v>
      </c>
      <c r="AD84" s="3353"/>
      <c r="AE84" s="3353" t="e">
        <f t="shared" si="6"/>
        <v>#REF!</v>
      </c>
      <c r="AF84" s="3353"/>
      <c r="AG84" s="3353" t="e">
        <f>+'GRD SUMM RCL 150X150 '!#REF!</f>
        <v>#REF!</v>
      </c>
      <c r="AH84" s="3353"/>
      <c r="AI84" s="3353" t="e">
        <f t="shared" si="7"/>
        <v>#REF!</v>
      </c>
      <c r="AJ84" s="3353"/>
      <c r="AK84" s="6620" t="e">
        <f>+'GRD SUMM RCL 150X150 '!#REF!</f>
        <v>#REF!</v>
      </c>
      <c r="AL84" s="3353"/>
      <c r="AM84" s="3353" t="e">
        <f t="shared" si="8"/>
        <v>#REF!</v>
      </c>
      <c r="AN84" s="3353"/>
      <c r="AO84" s="3353" t="e">
        <f t="shared" si="9"/>
        <v>#REF!</v>
      </c>
      <c r="AP84" s="3353"/>
      <c r="AQ84" s="3353" t="e">
        <f>+'GRD SUMM RCL 150X150 '!#REF!</f>
        <v>#REF!</v>
      </c>
      <c r="AR84" s="3353"/>
      <c r="AS84" s="3353" t="e">
        <f t="shared" si="10"/>
        <v>#REF!</v>
      </c>
      <c r="AT84" s="3353"/>
      <c r="AU84" s="3353" t="e">
        <f>+'GRD SUMM RCL 150X150 '!#REF!</f>
        <v>#REF!</v>
      </c>
      <c r="AV84" s="3353"/>
      <c r="AW84" s="3353" t="e">
        <f t="shared" si="11"/>
        <v>#REF!</v>
      </c>
      <c r="AX84" s="3353"/>
      <c r="AY84" s="3353" t="e">
        <f>+'GRD SUMM RCL 150X150 '!#REF!</f>
        <v>#REF!</v>
      </c>
      <c r="AZ84" s="3353"/>
      <c r="BA84" s="3353" t="e">
        <f t="shared" si="12"/>
        <v>#REF!</v>
      </c>
      <c r="BB84" s="3353"/>
      <c r="BC84" s="3353" t="e">
        <f t="shared" si="13"/>
        <v>#REF!</v>
      </c>
      <c r="BD84" s="3375"/>
      <c r="BE84" s="3375" t="e">
        <f t="shared" si="14"/>
        <v>#REF!</v>
      </c>
    </row>
    <row r="85" spans="3:61" x14ac:dyDescent="0.25">
      <c r="C85" s="2" t="e">
        <f>+'GRD SUMM RCL 150X150 '!#REF!</f>
        <v>#REF!</v>
      </c>
      <c r="D85" s="304"/>
      <c r="E85" s="7280" t="e">
        <f>+'GRD SUMM RCL 150X150 '!#REF!</f>
        <v>#REF!</v>
      </c>
      <c r="F85" s="3353"/>
      <c r="G85" s="7280" t="e">
        <f>+'GRD SUMM RCL 150X150 '!#REF!</f>
        <v>#REF!</v>
      </c>
      <c r="H85" s="3353"/>
      <c r="I85" s="3353" t="e">
        <f t="shared" si="0"/>
        <v>#REF!</v>
      </c>
      <c r="J85" s="3353"/>
      <c r="K85" s="7280"/>
      <c r="L85" s="3353"/>
      <c r="M85" s="3353" t="e">
        <f t="shared" si="1"/>
        <v>#REF!</v>
      </c>
      <c r="N85" s="3353"/>
      <c r="O85" s="3353" t="e">
        <f>+'GRD SUMM RCL 150X150 '!#REF!</f>
        <v>#REF!</v>
      </c>
      <c r="P85" s="3353"/>
      <c r="Q85" s="3353" t="e">
        <f t="shared" si="2"/>
        <v>#REF!</v>
      </c>
      <c r="R85" s="3353"/>
      <c r="S85" s="3353" t="e">
        <f>+'GRD SUMM RCL 150X150 '!#REF!</f>
        <v>#REF!</v>
      </c>
      <c r="T85" s="3353"/>
      <c r="U85" s="3353" t="e">
        <f t="shared" si="3"/>
        <v>#REF!</v>
      </c>
      <c r="V85" s="3353"/>
      <c r="W85" s="3353" t="e">
        <f>+'GRD SUMM RCL 150X150 '!#REF!</f>
        <v>#REF!</v>
      </c>
      <c r="X85" s="3353"/>
      <c r="Y85" s="3353" t="e">
        <f t="shared" si="4"/>
        <v>#REF!</v>
      </c>
      <c r="Z85" s="3353"/>
      <c r="AA85" s="3353" t="e">
        <f t="shared" si="5"/>
        <v>#REF!</v>
      </c>
      <c r="AB85" s="3353"/>
      <c r="AC85" s="6620" t="e">
        <f>+'GRD SUMM RCL 150X150 '!#REF!</f>
        <v>#REF!</v>
      </c>
      <c r="AD85" s="3353"/>
      <c r="AE85" s="3353" t="e">
        <f t="shared" si="6"/>
        <v>#REF!</v>
      </c>
      <c r="AF85" s="3353"/>
      <c r="AG85" s="3353" t="e">
        <f>+'GRD SUMM RCL 150X150 '!#REF!</f>
        <v>#REF!</v>
      </c>
      <c r="AH85" s="3353"/>
      <c r="AI85" s="3353" t="e">
        <f t="shared" si="7"/>
        <v>#REF!</v>
      </c>
      <c r="AJ85" s="3353"/>
      <c r="AK85" s="6620" t="e">
        <f>+'GRD SUMM RCL 150X150 '!#REF!</f>
        <v>#REF!</v>
      </c>
      <c r="AL85" s="3353"/>
      <c r="AM85" s="3353" t="e">
        <f t="shared" si="8"/>
        <v>#REF!</v>
      </c>
      <c r="AN85" s="3353"/>
      <c r="AO85" s="3353" t="e">
        <f t="shared" si="9"/>
        <v>#REF!</v>
      </c>
      <c r="AP85" s="3353"/>
      <c r="AQ85" s="3353" t="e">
        <f>+'GRD SUMM RCL 150X150 '!#REF!</f>
        <v>#REF!</v>
      </c>
      <c r="AR85" s="3353"/>
      <c r="AS85" s="3353" t="e">
        <f t="shared" si="10"/>
        <v>#REF!</v>
      </c>
      <c r="AT85" s="3353"/>
      <c r="AU85" s="3353" t="e">
        <f>+'GRD SUMM RCL 150X150 '!#REF!</f>
        <v>#REF!</v>
      </c>
      <c r="AV85" s="3353"/>
      <c r="AW85" s="3353" t="e">
        <f t="shared" si="11"/>
        <v>#REF!</v>
      </c>
      <c r="AX85" s="3353"/>
      <c r="AY85" s="3353" t="e">
        <f>+'GRD SUMM RCL 150X150 '!#REF!</f>
        <v>#REF!</v>
      </c>
      <c r="AZ85" s="3353"/>
      <c r="BA85" s="3353" t="e">
        <f t="shared" si="12"/>
        <v>#REF!</v>
      </c>
      <c r="BB85" s="3353"/>
      <c r="BC85" s="3353" t="e">
        <f t="shared" si="13"/>
        <v>#REF!</v>
      </c>
      <c r="BD85" s="3375"/>
      <c r="BE85" s="3375" t="e">
        <f t="shared" si="14"/>
        <v>#REF!</v>
      </c>
    </row>
    <row r="86" spans="3:61" x14ac:dyDescent="0.25">
      <c r="C86" s="2" t="e">
        <f>+'GRD SUMM RCL 150X150 '!#REF!</f>
        <v>#REF!</v>
      </c>
      <c r="D86" s="304"/>
      <c r="E86" s="7280" t="e">
        <f>+'GRD SUMM RCL 150X150 '!#REF!</f>
        <v>#REF!</v>
      </c>
      <c r="F86" s="3353"/>
      <c r="G86" s="7280" t="e">
        <f>+'GRD SUMM RCL 150X150 '!#REF!</f>
        <v>#REF!</v>
      </c>
      <c r="H86" s="3353"/>
      <c r="I86" s="3353" t="e">
        <f t="shared" si="0"/>
        <v>#REF!</v>
      </c>
      <c r="J86" s="3353"/>
      <c r="K86" s="7280"/>
      <c r="L86" s="3353"/>
      <c r="M86" s="3353" t="e">
        <f t="shared" si="1"/>
        <v>#REF!</v>
      </c>
      <c r="N86" s="3353"/>
      <c r="O86" s="3353" t="e">
        <f>+'GRD SUMM RCL 150X150 '!#REF!</f>
        <v>#REF!</v>
      </c>
      <c r="P86" s="3353"/>
      <c r="Q86" s="3353" t="e">
        <f t="shared" si="2"/>
        <v>#REF!</v>
      </c>
      <c r="R86" s="3353"/>
      <c r="S86" s="3353" t="e">
        <f>+'GRD SUMM RCL 150X150 '!#REF!</f>
        <v>#REF!</v>
      </c>
      <c r="T86" s="3353"/>
      <c r="U86" s="3353" t="e">
        <f t="shared" si="3"/>
        <v>#REF!</v>
      </c>
      <c r="V86" s="3353"/>
      <c r="W86" s="3353" t="e">
        <f>+'GRD SUMM RCL 150X150 '!#REF!</f>
        <v>#REF!</v>
      </c>
      <c r="X86" s="3353"/>
      <c r="Y86" s="3353" t="e">
        <f t="shared" si="4"/>
        <v>#REF!</v>
      </c>
      <c r="Z86" s="3353"/>
      <c r="AA86" s="3353" t="e">
        <f t="shared" si="5"/>
        <v>#REF!</v>
      </c>
      <c r="AB86" s="3353"/>
      <c r="AC86" s="6620" t="e">
        <f>+'GRD SUMM RCL 150X150 '!#REF!</f>
        <v>#REF!</v>
      </c>
      <c r="AD86" s="3353"/>
      <c r="AE86" s="3353" t="e">
        <f t="shared" si="6"/>
        <v>#REF!</v>
      </c>
      <c r="AF86" s="3353"/>
      <c r="AG86" s="3353" t="e">
        <f>+'GRD SUMM RCL 150X150 '!#REF!</f>
        <v>#REF!</v>
      </c>
      <c r="AH86" s="3353"/>
      <c r="AI86" s="3353" t="e">
        <f t="shared" si="7"/>
        <v>#REF!</v>
      </c>
      <c r="AJ86" s="3353"/>
      <c r="AK86" s="6620" t="e">
        <f>+'GRD SUMM RCL 150X150 '!#REF!</f>
        <v>#REF!</v>
      </c>
      <c r="AL86" s="3353"/>
      <c r="AM86" s="3353" t="e">
        <f t="shared" si="8"/>
        <v>#REF!</v>
      </c>
      <c r="AN86" s="3353"/>
      <c r="AO86" s="3353" t="e">
        <f t="shared" si="9"/>
        <v>#REF!</v>
      </c>
      <c r="AP86" s="3353"/>
      <c r="AQ86" s="3353" t="e">
        <f>+'GRD SUMM RCL 150X150 '!#REF!</f>
        <v>#REF!</v>
      </c>
      <c r="AR86" s="3353"/>
      <c r="AS86" s="3353" t="e">
        <f t="shared" si="10"/>
        <v>#REF!</v>
      </c>
      <c r="AT86" s="3353"/>
      <c r="AU86" s="3353" t="e">
        <f>+'GRD SUMM RCL 150X150 '!#REF!</f>
        <v>#REF!</v>
      </c>
      <c r="AV86" s="3353"/>
      <c r="AW86" s="3353" t="e">
        <f t="shared" si="11"/>
        <v>#REF!</v>
      </c>
      <c r="AX86" s="3353"/>
      <c r="AY86" s="3353" t="e">
        <f>+'GRD SUMM RCL 150X150 '!#REF!</f>
        <v>#REF!</v>
      </c>
      <c r="AZ86" s="3353"/>
      <c r="BA86" s="3353" t="e">
        <f t="shared" si="12"/>
        <v>#REF!</v>
      </c>
      <c r="BB86" s="3353"/>
      <c r="BC86" s="3353" t="e">
        <f t="shared" si="13"/>
        <v>#REF!</v>
      </c>
      <c r="BD86" s="3375"/>
      <c r="BE86" s="3375" t="e">
        <f t="shared" si="14"/>
        <v>#REF!</v>
      </c>
    </row>
    <row r="87" spans="3:61" x14ac:dyDescent="0.25">
      <c r="C87" s="2" t="e">
        <f>+'GRD SUMM RCL 150X150 '!#REF!</f>
        <v>#REF!</v>
      </c>
      <c r="D87" s="304"/>
      <c r="E87" s="7280" t="e">
        <f>+'GRD SUMM RCL 150X150 '!#REF!</f>
        <v>#REF!</v>
      </c>
      <c r="F87" s="3353"/>
      <c r="G87" s="7280" t="e">
        <f>+'GRD SUMM RCL 150X150 '!#REF!</f>
        <v>#REF!</v>
      </c>
      <c r="H87" s="3353"/>
      <c r="I87" s="3353" t="e">
        <f t="shared" si="0"/>
        <v>#REF!</v>
      </c>
      <c r="J87" s="3353"/>
      <c r="K87" s="7280"/>
      <c r="L87" s="3353"/>
      <c r="M87" s="3353" t="e">
        <f t="shared" si="1"/>
        <v>#REF!</v>
      </c>
      <c r="N87" s="3353"/>
      <c r="O87" s="3353" t="e">
        <f>+'GRD SUMM RCL 150X150 '!#REF!</f>
        <v>#REF!</v>
      </c>
      <c r="P87" s="3353"/>
      <c r="Q87" s="3353" t="e">
        <f t="shared" si="2"/>
        <v>#REF!</v>
      </c>
      <c r="R87" s="3353"/>
      <c r="S87" s="3353" t="e">
        <f>+'GRD SUMM RCL 150X150 '!#REF!</f>
        <v>#REF!</v>
      </c>
      <c r="T87" s="3353"/>
      <c r="U87" s="3353" t="e">
        <f t="shared" si="3"/>
        <v>#REF!</v>
      </c>
      <c r="V87" s="3353"/>
      <c r="W87" s="3353" t="e">
        <f>+'GRD SUMM RCL 150X150 '!#REF!</f>
        <v>#REF!</v>
      </c>
      <c r="X87" s="3353"/>
      <c r="Y87" s="3353" t="e">
        <f t="shared" si="4"/>
        <v>#REF!</v>
      </c>
      <c r="Z87" s="3353"/>
      <c r="AA87" s="3353" t="e">
        <f t="shared" si="5"/>
        <v>#REF!</v>
      </c>
      <c r="AB87" s="3353"/>
      <c r="AC87" s="6620" t="e">
        <f>+'GRD SUMM RCL 150X150 '!#REF!</f>
        <v>#REF!</v>
      </c>
      <c r="AD87" s="3353"/>
      <c r="AE87" s="3353" t="e">
        <f t="shared" si="6"/>
        <v>#REF!</v>
      </c>
      <c r="AF87" s="3353"/>
      <c r="AG87" s="3353" t="e">
        <f>+'GRD SUMM RCL 150X150 '!#REF!</f>
        <v>#REF!</v>
      </c>
      <c r="AH87" s="3353"/>
      <c r="AI87" s="3353" t="e">
        <f t="shared" si="7"/>
        <v>#REF!</v>
      </c>
      <c r="AJ87" s="3353"/>
      <c r="AK87" s="6620" t="e">
        <f>+'GRD SUMM RCL 150X150 '!#REF!</f>
        <v>#REF!</v>
      </c>
      <c r="AL87" s="3353"/>
      <c r="AM87" s="3353" t="e">
        <f t="shared" si="8"/>
        <v>#REF!</v>
      </c>
      <c r="AN87" s="3353"/>
      <c r="AO87" s="3353" t="e">
        <f t="shared" si="9"/>
        <v>#REF!</v>
      </c>
      <c r="AP87" s="3353"/>
      <c r="AQ87" s="3353" t="e">
        <f>+'GRD SUMM RCL 150X150 '!#REF!</f>
        <v>#REF!</v>
      </c>
      <c r="AR87" s="3353"/>
      <c r="AS87" s="3353" t="e">
        <f t="shared" si="10"/>
        <v>#REF!</v>
      </c>
      <c r="AT87" s="3353"/>
      <c r="AU87" s="3353" t="e">
        <f>+'GRD SUMM RCL 150X150 '!#REF!</f>
        <v>#REF!</v>
      </c>
      <c r="AV87" s="3353"/>
      <c r="AW87" s="3353" t="e">
        <f t="shared" si="11"/>
        <v>#REF!</v>
      </c>
      <c r="AX87" s="3353"/>
      <c r="AY87" s="3353" t="e">
        <f>+'GRD SUMM RCL 150X150 '!#REF!</f>
        <v>#REF!</v>
      </c>
      <c r="AZ87" s="3353"/>
      <c r="BA87" s="3353" t="e">
        <f t="shared" si="12"/>
        <v>#REF!</v>
      </c>
      <c r="BB87" s="3353"/>
      <c r="BC87" s="3353" t="e">
        <f t="shared" si="13"/>
        <v>#REF!</v>
      </c>
      <c r="BD87" s="3375"/>
      <c r="BE87" s="3375" t="e">
        <f t="shared" si="14"/>
        <v>#REF!</v>
      </c>
      <c r="BF87" s="4712"/>
      <c r="BG87" s="4712"/>
      <c r="BH87" s="4712"/>
      <c r="BI87" s="4712"/>
    </row>
    <row r="88" spans="3:61" x14ac:dyDescent="0.25">
      <c r="C88" s="2" t="e">
        <f>+'GRD SUMM RCL 150X150 '!#REF!</f>
        <v>#REF!</v>
      </c>
      <c r="D88" s="304"/>
      <c r="E88" s="7280" t="e">
        <f>+'GRD SUMM RCL 150X150 '!#REF!</f>
        <v>#REF!</v>
      </c>
      <c r="F88" s="3353"/>
      <c r="G88" s="7280" t="e">
        <f>+'GRD SUMM RCL 150X150 '!#REF!</f>
        <v>#REF!</v>
      </c>
      <c r="H88" s="3353"/>
      <c r="I88" s="3353" t="e">
        <f t="shared" si="0"/>
        <v>#REF!</v>
      </c>
      <c r="J88" s="3353"/>
      <c r="K88" s="7280"/>
      <c r="L88" s="3353"/>
      <c r="M88" s="3353" t="e">
        <f t="shared" si="1"/>
        <v>#REF!</v>
      </c>
      <c r="N88" s="3353"/>
      <c r="O88" s="3353" t="e">
        <f>+'GRD SUMM RCL 150X150 '!#REF!</f>
        <v>#REF!</v>
      </c>
      <c r="P88" s="3353"/>
      <c r="Q88" s="3353" t="e">
        <f t="shared" si="2"/>
        <v>#REF!</v>
      </c>
      <c r="R88" s="3353"/>
      <c r="S88" s="3353" t="e">
        <f>+'GRD SUMM RCL 150X150 '!#REF!</f>
        <v>#REF!</v>
      </c>
      <c r="T88" s="3353"/>
      <c r="U88" s="3353" t="e">
        <f t="shared" si="3"/>
        <v>#REF!</v>
      </c>
      <c r="V88" s="3353"/>
      <c r="W88" s="3353" t="e">
        <f>+'GRD SUMM RCL 150X150 '!#REF!</f>
        <v>#REF!</v>
      </c>
      <c r="X88" s="3353"/>
      <c r="Y88" s="3353" t="e">
        <f t="shared" si="4"/>
        <v>#REF!</v>
      </c>
      <c r="Z88" s="3353"/>
      <c r="AA88" s="3353" t="e">
        <f t="shared" si="5"/>
        <v>#REF!</v>
      </c>
      <c r="AB88" s="3353"/>
      <c r="AC88" s="6620" t="e">
        <f>+'GRD SUMM RCL 150X150 '!#REF!</f>
        <v>#REF!</v>
      </c>
      <c r="AD88" s="3353"/>
      <c r="AE88" s="3353" t="e">
        <f t="shared" si="6"/>
        <v>#REF!</v>
      </c>
      <c r="AF88" s="3353"/>
      <c r="AG88" s="3353" t="e">
        <f>+'GRD SUMM RCL 150X150 '!#REF!</f>
        <v>#REF!</v>
      </c>
      <c r="AH88" s="3353"/>
      <c r="AI88" s="3353" t="e">
        <f t="shared" si="7"/>
        <v>#REF!</v>
      </c>
      <c r="AJ88" s="3353"/>
      <c r="AK88" s="6620" t="e">
        <f>+'GRD SUMM RCL 150X150 '!#REF!</f>
        <v>#REF!</v>
      </c>
      <c r="AL88" s="3353"/>
      <c r="AM88" s="3353" t="e">
        <f t="shared" si="8"/>
        <v>#REF!</v>
      </c>
      <c r="AN88" s="3353"/>
      <c r="AO88" s="3353" t="e">
        <f t="shared" si="9"/>
        <v>#REF!</v>
      </c>
      <c r="AP88" s="3353"/>
      <c r="AQ88" s="3353" t="e">
        <f>+'GRD SUMM RCL 150X150 '!#REF!</f>
        <v>#REF!</v>
      </c>
      <c r="AR88" s="3353"/>
      <c r="AS88" s="3353" t="e">
        <f t="shared" si="10"/>
        <v>#REF!</v>
      </c>
      <c r="AT88" s="3353"/>
      <c r="AU88" s="3353" t="e">
        <f>+'GRD SUMM RCL 150X150 '!#REF!</f>
        <v>#REF!</v>
      </c>
      <c r="AV88" s="3353"/>
      <c r="AW88" s="3353" t="e">
        <f t="shared" si="11"/>
        <v>#REF!</v>
      </c>
      <c r="AX88" s="3353"/>
      <c r="AY88" s="3353" t="e">
        <f>+'GRD SUMM RCL 150X150 '!#REF!</f>
        <v>#REF!</v>
      </c>
      <c r="AZ88" s="3353"/>
      <c r="BA88" s="3353" t="e">
        <f t="shared" si="12"/>
        <v>#REF!</v>
      </c>
      <c r="BB88" s="3353"/>
      <c r="BC88" s="3353" t="e">
        <f t="shared" si="13"/>
        <v>#REF!</v>
      </c>
      <c r="BD88" s="3375"/>
      <c r="BE88" s="3375" t="e">
        <f t="shared" si="14"/>
        <v>#REF!</v>
      </c>
      <c r="BF88" s="4712"/>
      <c r="BG88" s="4712"/>
      <c r="BH88" s="4712"/>
      <c r="BI88" s="4712"/>
    </row>
    <row r="89" spans="3:61" x14ac:dyDescent="0.25">
      <c r="C89" s="2" t="e">
        <f>+'GRD SUMM RCL 150X150 '!#REF!</f>
        <v>#REF!</v>
      </c>
      <c r="D89" s="304"/>
      <c r="E89" s="7280" t="e">
        <f>+'GRD SUMM RCL 150X150 '!#REF!</f>
        <v>#REF!</v>
      </c>
      <c r="F89" s="3353"/>
      <c r="G89" s="7280" t="e">
        <f>+'GRD SUMM RCL 150X150 '!#REF!</f>
        <v>#REF!</v>
      </c>
      <c r="H89" s="3353"/>
      <c r="I89" s="3353" t="e">
        <f t="shared" si="0"/>
        <v>#REF!</v>
      </c>
      <c r="J89" s="3353"/>
      <c r="K89" s="7280"/>
      <c r="L89" s="3353"/>
      <c r="M89" s="3353" t="e">
        <f t="shared" si="1"/>
        <v>#REF!</v>
      </c>
      <c r="N89" s="3353"/>
      <c r="O89" s="3353" t="e">
        <f>+'GRD SUMM RCL 150X150 '!#REF!</f>
        <v>#REF!</v>
      </c>
      <c r="P89" s="3353"/>
      <c r="Q89" s="3353" t="e">
        <f t="shared" si="2"/>
        <v>#REF!</v>
      </c>
      <c r="R89" s="3353"/>
      <c r="S89" s="3353" t="e">
        <f>+'GRD SUMM RCL 150X150 '!#REF!</f>
        <v>#REF!</v>
      </c>
      <c r="T89" s="3353"/>
      <c r="U89" s="3353" t="e">
        <f t="shared" si="3"/>
        <v>#REF!</v>
      </c>
      <c r="V89" s="3353"/>
      <c r="W89" s="3353" t="e">
        <f>+'GRD SUMM RCL 150X150 '!#REF!</f>
        <v>#REF!</v>
      </c>
      <c r="X89" s="3353"/>
      <c r="Y89" s="3353" t="e">
        <f t="shared" si="4"/>
        <v>#REF!</v>
      </c>
      <c r="Z89" s="3353"/>
      <c r="AA89" s="3353" t="e">
        <f t="shared" si="5"/>
        <v>#REF!</v>
      </c>
      <c r="AB89" s="3353"/>
      <c r="AC89" s="6620" t="e">
        <f>+'GRD SUMM RCL 150X150 '!#REF!</f>
        <v>#REF!</v>
      </c>
      <c r="AD89" s="3353"/>
      <c r="AE89" s="3353" t="e">
        <f t="shared" si="6"/>
        <v>#REF!</v>
      </c>
      <c r="AF89" s="3353"/>
      <c r="AG89" s="3353" t="e">
        <f>+'GRD SUMM RCL 150X150 '!#REF!</f>
        <v>#REF!</v>
      </c>
      <c r="AH89" s="3353"/>
      <c r="AI89" s="3353" t="e">
        <f t="shared" si="7"/>
        <v>#REF!</v>
      </c>
      <c r="AJ89" s="3353"/>
      <c r="AK89" s="6620" t="e">
        <f>+'GRD SUMM RCL 150X150 '!#REF!</f>
        <v>#REF!</v>
      </c>
      <c r="AL89" s="3353"/>
      <c r="AM89" s="3353" t="e">
        <f t="shared" si="8"/>
        <v>#REF!</v>
      </c>
      <c r="AN89" s="3353"/>
      <c r="AO89" s="3353" t="e">
        <f t="shared" si="9"/>
        <v>#REF!</v>
      </c>
      <c r="AP89" s="3353"/>
      <c r="AQ89" s="3353" t="e">
        <f>+'GRD SUMM RCL 150X150 '!#REF!</f>
        <v>#REF!</v>
      </c>
      <c r="AR89" s="3353"/>
      <c r="AS89" s="3353" t="e">
        <f t="shared" si="10"/>
        <v>#REF!</v>
      </c>
      <c r="AT89" s="3353"/>
      <c r="AU89" s="3353" t="e">
        <f>+'GRD SUMM RCL 150X150 '!#REF!</f>
        <v>#REF!</v>
      </c>
      <c r="AV89" s="3353"/>
      <c r="AW89" s="3353" t="e">
        <f t="shared" si="11"/>
        <v>#REF!</v>
      </c>
      <c r="AX89" s="3353"/>
      <c r="AY89" s="3353" t="e">
        <f>+'GRD SUMM RCL 150X150 '!#REF!</f>
        <v>#REF!</v>
      </c>
      <c r="AZ89" s="3353"/>
      <c r="BA89" s="3353" t="e">
        <f t="shared" si="12"/>
        <v>#REF!</v>
      </c>
      <c r="BB89" s="3353"/>
      <c r="BC89" s="3353" t="e">
        <f t="shared" si="13"/>
        <v>#REF!</v>
      </c>
      <c r="BD89" s="3375"/>
      <c r="BE89" s="3375" t="e">
        <f t="shared" si="14"/>
        <v>#REF!</v>
      </c>
      <c r="BF89" s="4712"/>
      <c r="BG89" s="4712"/>
      <c r="BH89" s="4712"/>
      <c r="BI89" s="4712"/>
    </row>
    <row r="90" spans="3:61" s="149" customFormat="1" x14ac:dyDescent="0.25">
      <c r="C90" s="2" t="e">
        <f>+'GRD SUMM RCL 150X150 '!#REF!</f>
        <v>#REF!</v>
      </c>
      <c r="D90" s="3380"/>
      <c r="E90" s="7280" t="e">
        <f>+'GRD SUMM RCL 150X150 '!#REF!</f>
        <v>#REF!</v>
      </c>
      <c r="F90" s="3359"/>
      <c r="G90" s="7280" t="e">
        <f>+'GRD SUMM RCL 150X150 '!#REF!</f>
        <v>#REF!</v>
      </c>
      <c r="H90" s="3359"/>
      <c r="I90" s="3359" t="e">
        <f t="shared" si="0"/>
        <v>#REF!</v>
      </c>
      <c r="J90" s="3359"/>
      <c r="K90" s="7280"/>
      <c r="L90" s="3359"/>
      <c r="M90" s="3359" t="e">
        <f t="shared" si="1"/>
        <v>#REF!</v>
      </c>
      <c r="N90" s="3359"/>
      <c r="O90" s="3359" t="e">
        <f>+'GRD SUMM RCL 150X150 '!#REF!</f>
        <v>#REF!</v>
      </c>
      <c r="P90" s="3359"/>
      <c r="Q90" s="3359" t="e">
        <f t="shared" si="2"/>
        <v>#REF!</v>
      </c>
      <c r="R90" s="3359"/>
      <c r="S90" s="3359" t="e">
        <f>+'GRD SUMM RCL 150X150 '!#REF!</f>
        <v>#REF!</v>
      </c>
      <c r="T90" s="3359"/>
      <c r="U90" s="3359" t="e">
        <f t="shared" si="3"/>
        <v>#REF!</v>
      </c>
      <c r="V90" s="3359"/>
      <c r="W90" s="3359" t="e">
        <f>+'GRD SUMM RCL 150X150 '!#REF!</f>
        <v>#REF!</v>
      </c>
      <c r="X90" s="3359"/>
      <c r="Y90" s="3359" t="e">
        <f t="shared" si="4"/>
        <v>#REF!</v>
      </c>
      <c r="Z90" s="3359"/>
      <c r="AA90" s="3359" t="e">
        <f t="shared" si="5"/>
        <v>#REF!</v>
      </c>
      <c r="AB90" s="3359"/>
      <c r="AC90" s="6622" t="e">
        <f>+'GRD SUMM RCL 150X150 '!#REF!</f>
        <v>#REF!</v>
      </c>
      <c r="AD90" s="3359"/>
      <c r="AE90" s="3359" t="e">
        <f t="shared" si="6"/>
        <v>#REF!</v>
      </c>
      <c r="AF90" s="3359"/>
      <c r="AG90" s="3359" t="e">
        <f>+'GRD SUMM RCL 150X150 '!#REF!</f>
        <v>#REF!</v>
      </c>
      <c r="AH90" s="3359"/>
      <c r="AI90" s="3359" t="e">
        <f t="shared" si="7"/>
        <v>#REF!</v>
      </c>
      <c r="AJ90" s="3359"/>
      <c r="AK90" s="6622" t="e">
        <f>+'GRD SUMM RCL 150X150 '!#REF!</f>
        <v>#REF!</v>
      </c>
      <c r="AL90" s="3359"/>
      <c r="AM90" s="3359" t="e">
        <f t="shared" si="8"/>
        <v>#REF!</v>
      </c>
      <c r="AN90" s="3359"/>
      <c r="AO90" s="3359" t="e">
        <f t="shared" si="9"/>
        <v>#REF!</v>
      </c>
      <c r="AP90" s="3359"/>
      <c r="AQ90" s="3359" t="e">
        <f>+'GRD SUMM RCL 150X150 '!#REF!</f>
        <v>#REF!</v>
      </c>
      <c r="AR90" s="3359"/>
      <c r="AS90" s="3359" t="e">
        <f t="shared" si="10"/>
        <v>#REF!</v>
      </c>
      <c r="AT90" s="3359"/>
      <c r="AU90" s="3359" t="e">
        <f>+'GRD SUMM RCL 150X150 '!#REF!</f>
        <v>#REF!</v>
      </c>
      <c r="AV90" s="3359"/>
      <c r="AW90" s="3359" t="e">
        <f t="shared" si="11"/>
        <v>#REF!</v>
      </c>
      <c r="AX90" s="3359"/>
      <c r="AY90" s="3359" t="e">
        <f>+'GRD SUMM RCL 150X150 '!#REF!</f>
        <v>#REF!</v>
      </c>
      <c r="AZ90" s="3359"/>
      <c r="BA90" s="3359" t="e">
        <f t="shared" si="12"/>
        <v>#REF!</v>
      </c>
      <c r="BB90" s="3359"/>
      <c r="BC90" s="3359" t="e">
        <f t="shared" si="13"/>
        <v>#REF!</v>
      </c>
      <c r="BD90" s="3375"/>
      <c r="BE90" s="3375" t="e">
        <f t="shared" si="14"/>
        <v>#REF!</v>
      </c>
      <c r="BF90" s="4712"/>
      <c r="BG90" s="4712"/>
      <c r="BH90" s="4712"/>
      <c r="BI90" s="4712"/>
    </row>
    <row r="91" spans="3:61" s="149" customFormat="1" x14ac:dyDescent="0.25">
      <c r="C91" s="2" t="e">
        <f>+'GRD SUMM RCL 150X150 '!#REF!</f>
        <v>#REF!</v>
      </c>
      <c r="D91" s="3380"/>
      <c r="E91" s="7280" t="e">
        <f>+'GRD SUMM RCL 150X150 '!#REF!</f>
        <v>#REF!</v>
      </c>
      <c r="F91" s="3359"/>
      <c r="G91" s="7280" t="e">
        <f>+'GRD SUMM RCL 150X150 '!#REF!</f>
        <v>#REF!</v>
      </c>
      <c r="H91" s="3359"/>
      <c r="I91" s="3359" t="e">
        <f t="shared" si="0"/>
        <v>#REF!</v>
      </c>
      <c r="J91" s="3359"/>
      <c r="K91" s="7280"/>
      <c r="L91" s="3359"/>
      <c r="M91" s="3359" t="e">
        <f t="shared" si="1"/>
        <v>#REF!</v>
      </c>
      <c r="N91" s="3359"/>
      <c r="O91" s="3359" t="e">
        <f>+'GRD SUMM RCL 150X150 '!#REF!</f>
        <v>#REF!</v>
      </c>
      <c r="P91" s="3359"/>
      <c r="Q91" s="3359" t="e">
        <f t="shared" si="2"/>
        <v>#REF!</v>
      </c>
      <c r="R91" s="3359"/>
      <c r="S91" s="3359" t="e">
        <f>+'GRD SUMM RCL 150X150 '!#REF!</f>
        <v>#REF!</v>
      </c>
      <c r="T91" s="3359"/>
      <c r="U91" s="3359" t="e">
        <f t="shared" si="3"/>
        <v>#REF!</v>
      </c>
      <c r="V91" s="3359"/>
      <c r="W91" s="3359" t="e">
        <f>+'GRD SUMM RCL 150X150 '!#REF!</f>
        <v>#REF!</v>
      </c>
      <c r="X91" s="3359"/>
      <c r="Y91" s="3359" t="e">
        <f t="shared" si="4"/>
        <v>#REF!</v>
      </c>
      <c r="Z91" s="3359"/>
      <c r="AA91" s="3359" t="e">
        <f t="shared" si="5"/>
        <v>#REF!</v>
      </c>
      <c r="AB91" s="3359"/>
      <c r="AC91" s="6622" t="e">
        <f>+'GRD SUMM RCL 150X150 '!#REF!</f>
        <v>#REF!</v>
      </c>
      <c r="AD91" s="3359"/>
      <c r="AE91" s="3359" t="e">
        <f t="shared" si="6"/>
        <v>#REF!</v>
      </c>
      <c r="AF91" s="3359"/>
      <c r="AG91" s="3359" t="e">
        <f>+'GRD SUMM RCL 150X150 '!#REF!</f>
        <v>#REF!</v>
      </c>
      <c r="AH91" s="3359"/>
      <c r="AI91" s="3359" t="e">
        <f t="shared" si="7"/>
        <v>#REF!</v>
      </c>
      <c r="AJ91" s="3359"/>
      <c r="AK91" s="6622" t="e">
        <f>+'GRD SUMM RCL 150X150 '!#REF!</f>
        <v>#REF!</v>
      </c>
      <c r="AL91" s="3359"/>
      <c r="AM91" s="3359" t="e">
        <f t="shared" si="8"/>
        <v>#REF!</v>
      </c>
      <c r="AN91" s="3359"/>
      <c r="AO91" s="3359" t="e">
        <f t="shared" si="9"/>
        <v>#REF!</v>
      </c>
      <c r="AP91" s="3359"/>
      <c r="AQ91" s="3359" t="e">
        <f>+'GRD SUMM RCL 150X150 '!#REF!</f>
        <v>#REF!</v>
      </c>
      <c r="AR91" s="3359"/>
      <c r="AS91" s="3359" t="e">
        <f t="shared" si="10"/>
        <v>#REF!</v>
      </c>
      <c r="AT91" s="3359"/>
      <c r="AU91" s="3359" t="e">
        <f>+'GRD SUMM RCL 150X150 '!#REF!</f>
        <v>#REF!</v>
      </c>
      <c r="AV91" s="3359"/>
      <c r="AW91" s="3359" t="e">
        <f t="shared" si="11"/>
        <v>#REF!</v>
      </c>
      <c r="AX91" s="3359"/>
      <c r="AY91" s="3359" t="e">
        <f>+'GRD SUMM RCL 150X150 '!#REF!</f>
        <v>#REF!</v>
      </c>
      <c r="AZ91" s="3359"/>
      <c r="BA91" s="3359" t="e">
        <f t="shared" si="12"/>
        <v>#REF!</v>
      </c>
      <c r="BB91" s="3359"/>
      <c r="BC91" s="3359" t="e">
        <f t="shared" si="13"/>
        <v>#REF!</v>
      </c>
      <c r="BD91" s="3375"/>
      <c r="BE91" s="3375" t="e">
        <f t="shared" si="14"/>
        <v>#REF!</v>
      </c>
      <c r="BF91" s="4712"/>
      <c r="BG91" s="4712"/>
      <c r="BH91" s="4712"/>
      <c r="BI91" s="4712"/>
    </row>
    <row r="92" spans="3:61" s="149" customFormat="1" x14ac:dyDescent="0.25">
      <c r="C92" s="2" t="str">
        <f>+'GRD SUMM RCL 150X150 '!E48</f>
        <v>BLOOM CB C25 HMN 150*150</v>
      </c>
      <c r="D92" s="3380"/>
      <c r="E92" s="7280">
        <f>+'GRD SUMM RCL 150X150 '!AU48</f>
        <v>1670</v>
      </c>
      <c r="F92" s="3359"/>
      <c r="G92" s="7280">
        <f>+'GRD SUMM RCL 150X150 '!AW48</f>
        <v>3414</v>
      </c>
      <c r="H92" s="3359"/>
      <c r="I92" s="3359">
        <f t="shared" si="0"/>
        <v>5084</v>
      </c>
      <c r="J92" s="3359"/>
      <c r="K92" s="7280"/>
      <c r="L92" s="3359"/>
      <c r="M92" s="3359">
        <f t="shared" si="1"/>
        <v>5084</v>
      </c>
      <c r="N92" s="3359"/>
      <c r="O92" s="3359" t="e">
        <f>+'GRD SUMM RCL 150X150 '!#REF!</f>
        <v>#REF!</v>
      </c>
      <c r="P92" s="3359"/>
      <c r="Q92" s="3359" t="e">
        <f t="shared" si="2"/>
        <v>#REF!</v>
      </c>
      <c r="R92" s="3359"/>
      <c r="S92" s="3359" t="e">
        <f>+'GRD SUMM RCL 150X150 '!#REF!</f>
        <v>#REF!</v>
      </c>
      <c r="T92" s="3359"/>
      <c r="U92" s="3359" t="e">
        <f t="shared" si="3"/>
        <v>#REF!</v>
      </c>
      <c r="V92" s="3359"/>
      <c r="W92" s="3359" t="e">
        <f>+'GRD SUMM RCL 150X150 '!#REF!</f>
        <v>#REF!</v>
      </c>
      <c r="X92" s="3359"/>
      <c r="Y92" s="3359" t="e">
        <f t="shared" si="4"/>
        <v>#REF!</v>
      </c>
      <c r="Z92" s="3359"/>
      <c r="AA92" s="3359" t="e">
        <f t="shared" si="5"/>
        <v>#REF!</v>
      </c>
      <c r="AB92" s="3359"/>
      <c r="AC92" s="6622" t="e">
        <f>+'GRD SUMM RCL 150X150 '!#REF!</f>
        <v>#REF!</v>
      </c>
      <c r="AD92" s="3359"/>
      <c r="AE92" s="3359" t="e">
        <f t="shared" si="6"/>
        <v>#REF!</v>
      </c>
      <c r="AF92" s="3359"/>
      <c r="AG92" s="3359" t="e">
        <f>+'GRD SUMM RCL 150X150 '!#REF!</f>
        <v>#REF!</v>
      </c>
      <c r="AH92" s="3359"/>
      <c r="AI92" s="3359" t="e">
        <f t="shared" si="7"/>
        <v>#REF!</v>
      </c>
      <c r="AJ92" s="3359"/>
      <c r="AK92" s="6622" t="e">
        <f>+'GRD SUMM RCL 150X150 '!#REF!</f>
        <v>#REF!</v>
      </c>
      <c r="AL92" s="3359"/>
      <c r="AM92" s="3359" t="e">
        <f t="shared" si="8"/>
        <v>#REF!</v>
      </c>
      <c r="AN92" s="3359"/>
      <c r="AO92" s="3359" t="e">
        <f t="shared" si="9"/>
        <v>#REF!</v>
      </c>
      <c r="AP92" s="3359"/>
      <c r="AQ92" s="3359" t="e">
        <f>+'GRD SUMM RCL 150X150 '!#REF!</f>
        <v>#REF!</v>
      </c>
      <c r="AR92" s="3359"/>
      <c r="AS92" s="3359" t="e">
        <f t="shared" si="10"/>
        <v>#REF!</v>
      </c>
      <c r="AT92" s="3359"/>
      <c r="AU92" s="3359" t="e">
        <f>+'GRD SUMM RCL 150X150 '!#REF!</f>
        <v>#REF!</v>
      </c>
      <c r="AV92" s="3359"/>
      <c r="AW92" s="3359" t="e">
        <f t="shared" si="11"/>
        <v>#REF!</v>
      </c>
      <c r="AX92" s="3359"/>
      <c r="AY92" s="3359" t="e">
        <f>+'GRD SUMM RCL 150X150 '!#REF!</f>
        <v>#REF!</v>
      </c>
      <c r="AZ92" s="3359"/>
      <c r="BA92" s="3359" t="e">
        <f t="shared" si="12"/>
        <v>#REF!</v>
      </c>
      <c r="BB92" s="3359"/>
      <c r="BC92" s="3359" t="e">
        <f t="shared" si="13"/>
        <v>#REF!</v>
      </c>
      <c r="BD92" s="3375"/>
      <c r="BE92" s="3375" t="e">
        <f t="shared" si="14"/>
        <v>#REF!</v>
      </c>
      <c r="BF92" s="4712"/>
      <c r="BG92" s="4712"/>
      <c r="BH92" s="4712"/>
      <c r="BI92" s="4712"/>
    </row>
    <row r="93" spans="3:61" s="149" customFormat="1" x14ac:dyDescent="0.25">
      <c r="C93" s="3358" t="str">
        <f>+'GRD SUMM RCL 150X150 '!E49</f>
        <v>ASSORTED BILLET (CCP)150*150</v>
      </c>
      <c r="D93" s="3380"/>
      <c r="E93" s="7281">
        <f>+'GRD SUMM RCL 150X150 '!AU49</f>
        <v>3034</v>
      </c>
      <c r="F93" s="3359"/>
      <c r="G93" s="7281">
        <f>+'GRD SUMM RCL 150X150 '!AW49</f>
        <v>3348</v>
      </c>
      <c r="H93" s="3359"/>
      <c r="I93" s="3359">
        <f t="shared" si="0"/>
        <v>6382</v>
      </c>
      <c r="J93" s="3359"/>
      <c r="K93" s="7281"/>
      <c r="L93" s="3359"/>
      <c r="M93" s="3359">
        <f t="shared" si="1"/>
        <v>6382</v>
      </c>
      <c r="N93" s="3359"/>
      <c r="O93" s="3359" t="e">
        <f>+'GRD SUMM RCL 150X150 '!#REF!</f>
        <v>#REF!</v>
      </c>
      <c r="P93" s="3359"/>
      <c r="Q93" s="3359" t="e">
        <f t="shared" si="2"/>
        <v>#REF!</v>
      </c>
      <c r="R93" s="3359"/>
      <c r="S93" s="3359" t="e">
        <f>+'GRD SUMM RCL 150X150 '!#REF!</f>
        <v>#REF!</v>
      </c>
      <c r="T93" s="3359"/>
      <c r="U93" s="3359" t="e">
        <f t="shared" si="3"/>
        <v>#REF!</v>
      </c>
      <c r="V93" s="3359"/>
      <c r="W93" s="3359" t="e">
        <f>+'GRD SUMM RCL 150X150 '!#REF!</f>
        <v>#REF!</v>
      </c>
      <c r="X93" s="3359"/>
      <c r="Y93" s="3359" t="e">
        <f t="shared" si="4"/>
        <v>#REF!</v>
      </c>
      <c r="Z93" s="3359"/>
      <c r="AA93" s="3359" t="e">
        <f t="shared" si="5"/>
        <v>#REF!</v>
      </c>
      <c r="AB93" s="3359"/>
      <c r="AC93" s="6622" t="e">
        <f>+'GRD SUMM RCL 150X150 '!#REF!</f>
        <v>#REF!</v>
      </c>
      <c r="AD93" s="3359"/>
      <c r="AE93" s="3359" t="e">
        <f t="shared" si="6"/>
        <v>#REF!</v>
      </c>
      <c r="AF93" s="3359"/>
      <c r="AG93" s="3359" t="e">
        <f>+'GRD SUMM RCL 150X150 '!#REF!</f>
        <v>#REF!</v>
      </c>
      <c r="AH93" s="3359"/>
      <c r="AI93" s="3359" t="e">
        <f t="shared" si="7"/>
        <v>#REF!</v>
      </c>
      <c r="AJ93" s="3359"/>
      <c r="AK93" s="6622" t="e">
        <f>+'GRD SUMM RCL 150X150 '!#REF!</f>
        <v>#REF!</v>
      </c>
      <c r="AL93" s="3359"/>
      <c r="AM93" s="3359" t="e">
        <f t="shared" si="8"/>
        <v>#REF!</v>
      </c>
      <c r="AN93" s="3359"/>
      <c r="AO93" s="3359" t="e">
        <f t="shared" si="9"/>
        <v>#REF!</v>
      </c>
      <c r="AP93" s="3359"/>
      <c r="AQ93" s="3359" t="e">
        <f>+'GRD SUMM RCL 150X150 '!#REF!</f>
        <v>#REF!</v>
      </c>
      <c r="AR93" s="3359"/>
      <c r="AS93" s="3359" t="e">
        <f t="shared" si="10"/>
        <v>#REF!</v>
      </c>
      <c r="AT93" s="3359"/>
      <c r="AU93" s="3359" t="e">
        <f>+'GRD SUMM RCL 150X150 '!#REF!</f>
        <v>#REF!</v>
      </c>
      <c r="AV93" s="3359"/>
      <c r="AW93" s="3359" t="e">
        <f t="shared" si="11"/>
        <v>#REF!</v>
      </c>
      <c r="AX93" s="3359"/>
      <c r="AY93" s="3359" t="e">
        <f>+'GRD SUMM RCL 150X150 '!#REF!</f>
        <v>#REF!</v>
      </c>
      <c r="AZ93" s="3359"/>
      <c r="BA93" s="3359" t="e">
        <f t="shared" si="12"/>
        <v>#REF!</v>
      </c>
      <c r="BB93" s="3359"/>
      <c r="BC93" s="3359" t="e">
        <f t="shared" si="13"/>
        <v>#REF!</v>
      </c>
      <c r="BD93" s="3375"/>
      <c r="BE93" s="3375" t="e">
        <f t="shared" si="14"/>
        <v>#REF!</v>
      </c>
      <c r="BF93" s="4712"/>
      <c r="BG93" s="4712"/>
      <c r="BH93" s="4712"/>
      <c r="BI93" s="4712"/>
    </row>
    <row r="94" spans="3:61" ht="15.75" x14ac:dyDescent="0.25">
      <c r="C94" s="3360" t="s">
        <v>2</v>
      </c>
      <c r="D94" s="3381"/>
      <c r="E94" s="3361" t="e">
        <f>+SUM(E68:E93)</f>
        <v>#REF!</v>
      </c>
      <c r="F94" s="3361"/>
      <c r="G94" s="3361" t="e">
        <f>+SUM(G68:G93)</f>
        <v>#REF!</v>
      </c>
      <c r="H94" s="3361"/>
      <c r="I94" s="3361" t="e">
        <f t="shared" si="0"/>
        <v>#REF!</v>
      </c>
      <c r="J94" s="3361"/>
      <c r="K94" s="3361">
        <f>+SUM(K68:K93)</f>
        <v>0</v>
      </c>
      <c r="L94" s="3361"/>
      <c r="M94" s="3361" t="e">
        <f t="shared" si="1"/>
        <v>#REF!</v>
      </c>
      <c r="N94" s="3361"/>
      <c r="O94" s="3361" t="e">
        <f>+SUM(O68:O93)</f>
        <v>#REF!</v>
      </c>
      <c r="P94" s="3361"/>
      <c r="Q94" s="3361" t="e">
        <f t="shared" si="2"/>
        <v>#REF!</v>
      </c>
      <c r="R94" s="3361"/>
      <c r="S94" s="3361" t="e">
        <f>+SUM(S68:S93)</f>
        <v>#REF!</v>
      </c>
      <c r="T94" s="3361"/>
      <c r="U94" s="3361" t="e">
        <f t="shared" si="3"/>
        <v>#REF!</v>
      </c>
      <c r="V94" s="3361"/>
      <c r="W94" s="3361" t="e">
        <f>+SUM(W68:W93)</f>
        <v>#REF!</v>
      </c>
      <c r="X94" s="3361"/>
      <c r="Y94" s="3361" t="e">
        <f t="shared" si="4"/>
        <v>#REF!</v>
      </c>
      <c r="Z94" s="3361"/>
      <c r="AA94" s="3361" t="e">
        <f t="shared" si="5"/>
        <v>#REF!</v>
      </c>
      <c r="AB94" s="3361"/>
      <c r="AC94" s="6623" t="e">
        <f>+SUM(AC68:AC93)</f>
        <v>#REF!</v>
      </c>
      <c r="AD94" s="3361"/>
      <c r="AE94" s="3361" t="e">
        <f t="shared" si="6"/>
        <v>#REF!</v>
      </c>
      <c r="AF94" s="3361"/>
      <c r="AG94" s="3361" t="e">
        <f>+SUM(AG68:AG93)</f>
        <v>#REF!</v>
      </c>
      <c r="AH94" s="3361"/>
      <c r="AI94" s="3361" t="e">
        <f t="shared" si="7"/>
        <v>#REF!</v>
      </c>
      <c r="AJ94" s="3361"/>
      <c r="AK94" s="6623" t="e">
        <f>+SUM(AK68:AK93)</f>
        <v>#REF!</v>
      </c>
      <c r="AL94" s="3361"/>
      <c r="AM94" s="3361" t="e">
        <f t="shared" si="8"/>
        <v>#REF!</v>
      </c>
      <c r="AN94" s="3361"/>
      <c r="AO94" s="3361" t="e">
        <f t="shared" si="9"/>
        <v>#REF!</v>
      </c>
      <c r="AP94" s="3361"/>
      <c r="AQ94" s="3361" t="e">
        <f>+SUM(AQ68:AQ93)</f>
        <v>#REF!</v>
      </c>
      <c r="AR94" s="3361"/>
      <c r="AS94" s="3361" t="e">
        <f t="shared" si="10"/>
        <v>#REF!</v>
      </c>
      <c r="AT94" s="3361"/>
      <c r="AU94" s="3361" t="e">
        <f>+SUM(AU68:AU93)</f>
        <v>#REF!</v>
      </c>
      <c r="AV94" s="3361"/>
      <c r="AW94" s="3361" t="e">
        <f t="shared" si="11"/>
        <v>#REF!</v>
      </c>
      <c r="AX94" s="3361"/>
      <c r="AY94" s="3361" t="e">
        <f>+SUM(AY68:AY93)</f>
        <v>#REF!</v>
      </c>
      <c r="AZ94" s="3361"/>
      <c r="BA94" s="3361" t="e">
        <f t="shared" si="12"/>
        <v>#REF!</v>
      </c>
      <c r="BB94" s="3361"/>
      <c r="BC94" s="3361" t="e">
        <f t="shared" si="13"/>
        <v>#REF!</v>
      </c>
      <c r="BD94" s="3361"/>
      <c r="BE94" s="3361" t="e">
        <f t="shared" si="14"/>
        <v>#REF!</v>
      </c>
      <c r="BF94" s="4712"/>
      <c r="BG94" s="4712"/>
      <c r="BH94" s="4712"/>
      <c r="BI94" s="4712"/>
    </row>
    <row r="95" spans="3:61" x14ac:dyDescent="0.25">
      <c r="C95" s="3362" t="s">
        <v>1527</v>
      </c>
      <c r="D95" s="3382"/>
      <c r="E95" s="3140">
        <f>+SMS!F36</f>
        <v>144</v>
      </c>
      <c r="F95" s="3140"/>
      <c r="G95" s="3140">
        <f>+SMS!H36</f>
        <v>154</v>
      </c>
      <c r="H95" s="3140"/>
      <c r="I95" s="3140">
        <f t="shared" si="0"/>
        <v>298</v>
      </c>
      <c r="J95" s="3140"/>
      <c r="K95" s="3140">
        <f>+SMS!L36</f>
        <v>389</v>
      </c>
      <c r="L95" s="3140"/>
      <c r="M95" s="3140">
        <f t="shared" si="1"/>
        <v>687</v>
      </c>
      <c r="N95" s="3140"/>
      <c r="O95" s="3140">
        <f>+SMS!P36</f>
        <v>113</v>
      </c>
      <c r="P95" s="3140"/>
      <c r="Q95" s="3140">
        <f t="shared" si="2"/>
        <v>800</v>
      </c>
      <c r="R95" s="3140"/>
      <c r="S95" s="3140">
        <f>+SMS!T36</f>
        <v>118</v>
      </c>
      <c r="T95" s="3140"/>
      <c r="U95" s="3140">
        <f t="shared" si="3"/>
        <v>918</v>
      </c>
      <c r="V95" s="3140"/>
      <c r="W95" s="3140">
        <f>+SMS!X36</f>
        <v>113</v>
      </c>
      <c r="X95" s="3140"/>
      <c r="Y95" s="3140">
        <f t="shared" si="4"/>
        <v>344</v>
      </c>
      <c r="Z95" s="3140"/>
      <c r="AA95" s="3140">
        <f t="shared" si="5"/>
        <v>1031</v>
      </c>
      <c r="AB95" s="3140"/>
      <c r="AC95" s="3140">
        <f>+SMS!AD36</f>
        <v>246</v>
      </c>
      <c r="AD95" s="3140"/>
      <c r="AE95" s="3140">
        <f t="shared" si="6"/>
        <v>1277</v>
      </c>
      <c r="AF95" s="3140"/>
      <c r="AG95" s="3140">
        <f>+SMS!AH36</f>
        <v>18</v>
      </c>
      <c r="AH95" s="3140"/>
      <c r="AI95" s="3140">
        <f t="shared" si="7"/>
        <v>1295</v>
      </c>
      <c r="AJ95" s="3140"/>
      <c r="AK95" s="3140">
        <f>+SMS!AL36</f>
        <v>455</v>
      </c>
      <c r="AL95" s="3140"/>
      <c r="AM95" s="3140">
        <f t="shared" si="8"/>
        <v>719</v>
      </c>
      <c r="AN95" s="3140"/>
      <c r="AO95" s="3140">
        <f t="shared" si="9"/>
        <v>1750</v>
      </c>
      <c r="AP95" s="3140"/>
      <c r="AQ95" s="3140">
        <f>+SMS!AR36</f>
        <v>494</v>
      </c>
      <c r="AR95" s="3140"/>
      <c r="AS95" s="3140">
        <f t="shared" si="10"/>
        <v>2244</v>
      </c>
      <c r="AT95" s="3140"/>
      <c r="AU95" s="3140">
        <f>+SMS!AV36</f>
        <v>154</v>
      </c>
      <c r="AV95" s="3140"/>
      <c r="AW95" s="3140">
        <f t="shared" si="11"/>
        <v>2398</v>
      </c>
      <c r="AX95" s="3140"/>
      <c r="AY95" s="3140">
        <f>+SMS!AZ36</f>
        <v>0</v>
      </c>
      <c r="AZ95" s="3140"/>
      <c r="BA95" s="3140">
        <f t="shared" si="12"/>
        <v>648</v>
      </c>
      <c r="BB95" s="3140"/>
      <c r="BC95" s="3140">
        <f t="shared" si="13"/>
        <v>1367</v>
      </c>
      <c r="BD95" s="6631"/>
      <c r="BE95" s="6631">
        <f t="shared" si="14"/>
        <v>2398</v>
      </c>
      <c r="BF95" s="4712"/>
      <c r="BG95" s="4712"/>
      <c r="BH95" s="4712"/>
      <c r="BI95" s="4712"/>
    </row>
    <row r="96" spans="3:61" x14ac:dyDescent="0.25">
      <c r="C96" s="6629" t="s">
        <v>1813</v>
      </c>
      <c r="D96" s="6630"/>
      <c r="E96" s="6631">
        <f>+SUM(E97:E100)</f>
        <v>7851</v>
      </c>
      <c r="F96" s="6631"/>
      <c r="G96" s="6631">
        <f>+SUM(G97:G100)</f>
        <v>8596</v>
      </c>
      <c r="H96" s="6631"/>
      <c r="I96" s="6631">
        <f t="shared" si="0"/>
        <v>16447</v>
      </c>
      <c r="J96" s="6631"/>
      <c r="K96" s="6631">
        <f>+SUM(K97:K100)</f>
        <v>3778</v>
      </c>
      <c r="L96" s="6631"/>
      <c r="M96" s="6631">
        <f t="shared" si="1"/>
        <v>20225</v>
      </c>
      <c r="N96" s="6631"/>
      <c r="O96" s="6631">
        <f>+SUM(O97:O100)</f>
        <v>6431</v>
      </c>
      <c r="P96" s="6631"/>
      <c r="Q96" s="6631">
        <f t="shared" si="2"/>
        <v>26656</v>
      </c>
      <c r="R96" s="6631"/>
      <c r="S96" s="6631">
        <f>+SUM(S97:S100)</f>
        <v>8230</v>
      </c>
      <c r="T96" s="6631"/>
      <c r="U96" s="6631">
        <f t="shared" si="3"/>
        <v>34886</v>
      </c>
      <c r="V96" s="6631"/>
      <c r="W96" s="6631">
        <f>+SUM(W97:W100)</f>
        <v>4443</v>
      </c>
      <c r="X96" s="6631"/>
      <c r="Y96" s="6631">
        <f t="shared" si="4"/>
        <v>19104</v>
      </c>
      <c r="Z96" s="6631"/>
      <c r="AA96" s="6631">
        <f t="shared" si="5"/>
        <v>39329</v>
      </c>
      <c r="AB96" s="6631"/>
      <c r="AC96" s="6631">
        <f>+SUM(AC97:AC100)</f>
        <v>10906</v>
      </c>
      <c r="AD96" s="6631"/>
      <c r="AE96" s="6631">
        <f t="shared" si="6"/>
        <v>50235</v>
      </c>
      <c r="AF96" s="6631"/>
      <c r="AG96" s="6631">
        <f>+SUM(AG97:AG100)</f>
        <v>9318</v>
      </c>
      <c r="AH96" s="6631"/>
      <c r="AI96" s="6631">
        <f t="shared" si="7"/>
        <v>59553</v>
      </c>
      <c r="AJ96" s="6631"/>
      <c r="AK96" s="6631">
        <f>+SUM(AK97:AK100)</f>
        <v>7815</v>
      </c>
      <c r="AL96" s="6631"/>
      <c r="AM96" s="6631">
        <f t="shared" si="8"/>
        <v>28039</v>
      </c>
      <c r="AN96" s="6631"/>
      <c r="AO96" s="6631">
        <f t="shared" si="9"/>
        <v>67368</v>
      </c>
      <c r="AP96" s="6631"/>
      <c r="AQ96" s="6631">
        <f>+SUM(AQ97:AQ100)</f>
        <v>7770</v>
      </c>
      <c r="AR96" s="6631"/>
      <c r="AS96" s="6631">
        <f t="shared" si="10"/>
        <v>75138</v>
      </c>
      <c r="AT96" s="6631"/>
      <c r="AU96" s="6631">
        <f>+SUM(AU97:AU100)</f>
        <v>5873</v>
      </c>
      <c r="AV96" s="6631"/>
      <c r="AW96" s="6631">
        <f t="shared" si="11"/>
        <v>81011</v>
      </c>
      <c r="AX96" s="6631"/>
      <c r="AY96" s="6631">
        <f>+SUM(AY97:AY100)</f>
        <v>6811</v>
      </c>
      <c r="AZ96" s="6631"/>
      <c r="BA96" s="6631">
        <f t="shared" si="12"/>
        <v>20454</v>
      </c>
      <c r="BB96" s="6631"/>
      <c r="BC96" s="6631">
        <f t="shared" si="13"/>
        <v>48493</v>
      </c>
      <c r="BD96" s="6631"/>
      <c r="BE96" s="6631">
        <f t="shared" si="14"/>
        <v>87822</v>
      </c>
      <c r="BF96" s="4712"/>
      <c r="BG96" s="4712"/>
      <c r="BH96" s="4712"/>
      <c r="BI96" s="4712"/>
    </row>
    <row r="97" spans="3:61" x14ac:dyDescent="0.25">
      <c r="C97" s="3363" t="s">
        <v>1814</v>
      </c>
      <c r="D97" s="3383"/>
      <c r="E97" s="3243">
        <v>7792</v>
      </c>
      <c r="F97" s="3243"/>
      <c r="G97" s="3243">
        <v>6587</v>
      </c>
      <c r="H97" s="3243"/>
      <c r="I97" s="3243">
        <f t="shared" si="0"/>
        <v>14379</v>
      </c>
      <c r="J97" s="3243"/>
      <c r="K97" s="3243">
        <v>3167</v>
      </c>
      <c r="L97" s="3243"/>
      <c r="M97" s="3243">
        <f t="shared" si="1"/>
        <v>17546</v>
      </c>
      <c r="N97" s="3243"/>
      <c r="O97" s="3243">
        <v>4922</v>
      </c>
      <c r="P97" s="3243"/>
      <c r="Q97" s="3243">
        <f t="shared" si="2"/>
        <v>22468</v>
      </c>
      <c r="R97" s="3243"/>
      <c r="S97" s="3243">
        <v>7431</v>
      </c>
      <c r="T97" s="3243"/>
      <c r="U97" s="3243">
        <f t="shared" si="3"/>
        <v>29899</v>
      </c>
      <c r="V97" s="3243"/>
      <c r="W97" s="3243">
        <v>3342</v>
      </c>
      <c r="X97" s="3243"/>
      <c r="Y97" s="3243">
        <f t="shared" si="4"/>
        <v>15695</v>
      </c>
      <c r="Z97" s="3243"/>
      <c r="AA97" s="3243">
        <f t="shared" si="5"/>
        <v>33241</v>
      </c>
      <c r="AB97" s="3243"/>
      <c r="AC97" s="3243">
        <v>2486</v>
      </c>
      <c r="AD97" s="3243"/>
      <c r="AE97" s="3243">
        <f t="shared" si="6"/>
        <v>35727</v>
      </c>
      <c r="AF97" s="3243"/>
      <c r="AG97" s="3243">
        <v>4655</v>
      </c>
      <c r="AH97" s="3243"/>
      <c r="AI97" s="3243">
        <f t="shared" si="7"/>
        <v>40382</v>
      </c>
      <c r="AJ97" s="3243"/>
      <c r="AK97" s="3243">
        <v>171</v>
      </c>
      <c r="AL97" s="3243"/>
      <c r="AM97" s="3243">
        <f t="shared" si="8"/>
        <v>7312</v>
      </c>
      <c r="AN97" s="3243"/>
      <c r="AO97" s="3243">
        <f t="shared" si="9"/>
        <v>40553</v>
      </c>
      <c r="AP97" s="3243"/>
      <c r="AQ97" s="3243">
        <v>89</v>
      </c>
      <c r="AR97" s="3243"/>
      <c r="AS97" s="3243">
        <f t="shared" si="10"/>
        <v>40642</v>
      </c>
      <c r="AT97" s="3243"/>
      <c r="AU97" s="3243">
        <v>76</v>
      </c>
      <c r="AV97" s="3243"/>
      <c r="AW97" s="3243">
        <f t="shared" si="11"/>
        <v>40718</v>
      </c>
      <c r="AX97" s="3243"/>
      <c r="AY97" s="3243">
        <v>27</v>
      </c>
      <c r="AZ97" s="3353"/>
      <c r="BA97" s="3353">
        <f t="shared" si="12"/>
        <v>192</v>
      </c>
      <c r="BB97" s="3353"/>
      <c r="BC97" s="3353">
        <f t="shared" si="13"/>
        <v>7504</v>
      </c>
      <c r="BD97" s="3375"/>
      <c r="BE97" s="3375">
        <f t="shared" si="14"/>
        <v>40745</v>
      </c>
      <c r="BF97" s="4712"/>
      <c r="BG97" s="4712"/>
      <c r="BH97" s="4712"/>
      <c r="BI97" s="4712"/>
    </row>
    <row r="98" spans="3:61" x14ac:dyDescent="0.25">
      <c r="C98" s="3363" t="s">
        <v>1815</v>
      </c>
      <c r="D98" s="3383"/>
      <c r="E98" s="3243">
        <v>59</v>
      </c>
      <c r="F98" s="3243"/>
      <c r="G98" s="3243">
        <v>63</v>
      </c>
      <c r="H98" s="3243"/>
      <c r="I98" s="3243">
        <f t="shared" si="0"/>
        <v>122</v>
      </c>
      <c r="J98" s="3243"/>
      <c r="K98" s="3243">
        <v>129</v>
      </c>
      <c r="L98" s="3243"/>
      <c r="M98" s="3243">
        <f t="shared" si="1"/>
        <v>251</v>
      </c>
      <c r="N98" s="3243"/>
      <c r="O98" s="3243">
        <v>59</v>
      </c>
      <c r="P98" s="3243"/>
      <c r="Q98" s="3243">
        <f t="shared" si="2"/>
        <v>310</v>
      </c>
      <c r="R98" s="3243"/>
      <c r="S98" s="3243">
        <v>108</v>
      </c>
      <c r="T98" s="3243"/>
      <c r="U98" s="3243">
        <f t="shared" si="3"/>
        <v>418</v>
      </c>
      <c r="V98" s="3243"/>
      <c r="W98" s="3243">
        <v>0</v>
      </c>
      <c r="X98" s="3243"/>
      <c r="Y98" s="3243">
        <f t="shared" si="4"/>
        <v>167</v>
      </c>
      <c r="Z98" s="3243"/>
      <c r="AA98" s="3243">
        <f t="shared" si="5"/>
        <v>418</v>
      </c>
      <c r="AB98" s="3243"/>
      <c r="AC98" s="3243">
        <v>74</v>
      </c>
      <c r="AD98" s="3243"/>
      <c r="AE98" s="3243">
        <f t="shared" si="6"/>
        <v>492</v>
      </c>
      <c r="AF98" s="3243"/>
      <c r="AG98" s="3243">
        <v>0</v>
      </c>
      <c r="AH98" s="3243"/>
      <c r="AI98" s="3243">
        <f t="shared" si="7"/>
        <v>492</v>
      </c>
      <c r="AJ98" s="3243"/>
      <c r="AK98" s="3243">
        <v>438</v>
      </c>
      <c r="AL98" s="3243"/>
      <c r="AM98" s="3243">
        <f t="shared" si="8"/>
        <v>512</v>
      </c>
      <c r="AN98" s="3243"/>
      <c r="AO98" s="3243">
        <f t="shared" si="9"/>
        <v>930</v>
      </c>
      <c r="AP98" s="3243"/>
      <c r="AQ98" s="3243">
        <v>213</v>
      </c>
      <c r="AR98" s="3243"/>
      <c r="AS98" s="3243">
        <f t="shared" si="10"/>
        <v>1143</v>
      </c>
      <c r="AT98" s="3243"/>
      <c r="AU98" s="3243">
        <v>66</v>
      </c>
      <c r="AV98" s="3243"/>
      <c r="AW98" s="3243">
        <f t="shared" si="11"/>
        <v>1209</v>
      </c>
      <c r="AX98" s="3243"/>
      <c r="AY98" s="3243">
        <v>0</v>
      </c>
      <c r="AZ98" s="3353"/>
      <c r="BA98" s="3353">
        <f t="shared" si="12"/>
        <v>279</v>
      </c>
      <c r="BB98" s="3353"/>
      <c r="BC98" s="3353">
        <f t="shared" si="13"/>
        <v>791</v>
      </c>
      <c r="BD98" s="3375"/>
      <c r="BE98" s="3375">
        <f t="shared" si="14"/>
        <v>1209</v>
      </c>
      <c r="BF98" s="4712"/>
      <c r="BG98" s="4712"/>
      <c r="BH98" s="4712"/>
      <c r="BI98" s="4712"/>
    </row>
    <row r="99" spans="3:61" s="5172" customFormat="1" x14ac:dyDescent="0.25">
      <c r="C99" s="6616" t="s">
        <v>2186</v>
      </c>
      <c r="D99" s="6617"/>
      <c r="E99" s="6640"/>
      <c r="F99" s="6640"/>
      <c r="G99" s="6640"/>
      <c r="H99" s="6640"/>
      <c r="I99" s="3243">
        <f t="shared" si="0"/>
        <v>0</v>
      </c>
      <c r="J99" s="6640"/>
      <c r="K99" s="6640">
        <v>0</v>
      </c>
      <c r="L99" s="6640"/>
      <c r="M99" s="3243">
        <f t="shared" si="1"/>
        <v>0</v>
      </c>
      <c r="N99" s="6640"/>
      <c r="O99" s="6640">
        <v>0</v>
      </c>
      <c r="P99" s="6640"/>
      <c r="Q99" s="3243">
        <f t="shared" si="2"/>
        <v>0</v>
      </c>
      <c r="R99" s="6640"/>
      <c r="S99" s="6640">
        <v>0</v>
      </c>
      <c r="T99" s="6640"/>
      <c r="U99" s="3243">
        <f t="shared" si="3"/>
        <v>0</v>
      </c>
      <c r="V99" s="6640"/>
      <c r="W99" s="6640"/>
      <c r="X99" s="6640"/>
      <c r="Y99" s="3243">
        <f t="shared" si="4"/>
        <v>0</v>
      </c>
      <c r="Z99" s="6640"/>
      <c r="AA99" s="3243">
        <f t="shared" si="5"/>
        <v>0</v>
      </c>
      <c r="AB99" s="6640"/>
      <c r="AC99" s="6640">
        <v>8346</v>
      </c>
      <c r="AD99" s="6640"/>
      <c r="AE99" s="3243">
        <f t="shared" si="6"/>
        <v>8346</v>
      </c>
      <c r="AF99" s="6640"/>
      <c r="AG99" s="6640">
        <v>0</v>
      </c>
      <c r="AH99" s="6640"/>
      <c r="AI99" s="3243">
        <f t="shared" si="7"/>
        <v>8346</v>
      </c>
      <c r="AJ99" s="6640"/>
      <c r="AK99" s="6640">
        <v>6791</v>
      </c>
      <c r="AL99" s="6640"/>
      <c r="AM99" s="3243">
        <f t="shared" si="8"/>
        <v>15137</v>
      </c>
      <c r="AN99" s="6640"/>
      <c r="AO99" s="3243">
        <f t="shared" si="9"/>
        <v>15137</v>
      </c>
      <c r="AP99" s="6640"/>
      <c r="AQ99" s="6640">
        <v>6961</v>
      </c>
      <c r="AR99" s="6640"/>
      <c r="AS99" s="3243">
        <f t="shared" si="10"/>
        <v>22098</v>
      </c>
      <c r="AT99" s="6640"/>
      <c r="AU99" s="6640">
        <v>4769</v>
      </c>
      <c r="AV99" s="6640"/>
      <c r="AW99" s="3243">
        <f t="shared" si="11"/>
        <v>26867</v>
      </c>
      <c r="AX99" s="6640"/>
      <c r="AY99" s="6640">
        <v>5321</v>
      </c>
      <c r="AZ99" s="6618"/>
      <c r="BA99" s="3353">
        <f t="shared" si="12"/>
        <v>17051</v>
      </c>
      <c r="BB99" s="6618"/>
      <c r="BC99" s="3353">
        <f t="shared" si="13"/>
        <v>32188</v>
      </c>
      <c r="BD99" s="6632"/>
      <c r="BE99" s="3375">
        <f t="shared" si="14"/>
        <v>32188</v>
      </c>
    </row>
    <row r="100" spans="3:61" x14ac:dyDescent="0.25">
      <c r="C100" s="3363" t="s">
        <v>1816</v>
      </c>
      <c r="D100" s="3383"/>
      <c r="E100" s="3243">
        <v>0</v>
      </c>
      <c r="F100" s="3243"/>
      <c r="G100" s="3243">
        <v>1946</v>
      </c>
      <c r="H100" s="3243"/>
      <c r="I100" s="3243">
        <f t="shared" si="0"/>
        <v>1946</v>
      </c>
      <c r="J100" s="3243"/>
      <c r="K100" s="3243">
        <v>482</v>
      </c>
      <c r="L100" s="3243"/>
      <c r="M100" s="3243">
        <f t="shared" si="1"/>
        <v>2428</v>
      </c>
      <c r="N100" s="3243"/>
      <c r="O100" s="3243">
        <v>1450</v>
      </c>
      <c r="P100" s="3243"/>
      <c r="Q100" s="3243">
        <f t="shared" si="2"/>
        <v>3878</v>
      </c>
      <c r="R100" s="3243"/>
      <c r="S100" s="3243">
        <v>691</v>
      </c>
      <c r="T100" s="3243"/>
      <c r="U100" s="3243">
        <f t="shared" si="3"/>
        <v>4569</v>
      </c>
      <c r="V100" s="3243"/>
      <c r="W100" s="3243">
        <v>1101</v>
      </c>
      <c r="X100" s="3243"/>
      <c r="Y100" s="3243">
        <f t="shared" si="4"/>
        <v>3242</v>
      </c>
      <c r="Z100" s="3243"/>
      <c r="AA100" s="3243">
        <f t="shared" si="5"/>
        <v>5670</v>
      </c>
      <c r="AB100" s="3243"/>
      <c r="AC100" s="3243">
        <v>0</v>
      </c>
      <c r="AD100" s="3243"/>
      <c r="AE100" s="3243">
        <f t="shared" si="6"/>
        <v>5670</v>
      </c>
      <c r="AF100" s="3243"/>
      <c r="AG100" s="3243">
        <v>4663</v>
      </c>
      <c r="AH100" s="3243"/>
      <c r="AI100" s="3243">
        <f t="shared" si="7"/>
        <v>10333</v>
      </c>
      <c r="AJ100" s="3243"/>
      <c r="AK100" s="3243">
        <v>415</v>
      </c>
      <c r="AL100" s="3243"/>
      <c r="AM100" s="3243">
        <f t="shared" si="8"/>
        <v>5078</v>
      </c>
      <c r="AN100" s="3243"/>
      <c r="AO100" s="3243">
        <f t="shared" si="9"/>
        <v>10748</v>
      </c>
      <c r="AP100" s="3243"/>
      <c r="AQ100" s="3243">
        <v>507</v>
      </c>
      <c r="AR100" s="3243"/>
      <c r="AS100" s="3243">
        <f t="shared" si="10"/>
        <v>11255</v>
      </c>
      <c r="AT100" s="3243"/>
      <c r="AU100" s="3243">
        <v>962</v>
      </c>
      <c r="AV100" s="3243"/>
      <c r="AW100" s="3243">
        <f t="shared" si="11"/>
        <v>12217</v>
      </c>
      <c r="AX100" s="3243"/>
      <c r="AY100" s="3243">
        <v>1463</v>
      </c>
      <c r="AZ100" s="3353"/>
      <c r="BA100" s="3353">
        <f t="shared" si="12"/>
        <v>2932</v>
      </c>
      <c r="BB100" s="3353"/>
      <c r="BC100" s="3353">
        <f t="shared" si="13"/>
        <v>8010</v>
      </c>
      <c r="BD100" s="3375"/>
      <c r="BE100" s="3375">
        <f t="shared" si="14"/>
        <v>13680</v>
      </c>
      <c r="BF100" s="4712"/>
      <c r="BG100" s="4712"/>
      <c r="BH100" s="4712"/>
      <c r="BI100" s="4712"/>
    </row>
    <row r="101" spans="3:61" ht="16.5" thickBot="1" x14ac:dyDescent="0.3">
      <c r="C101" s="3364" t="s">
        <v>1817</v>
      </c>
      <c r="D101" s="3384"/>
      <c r="E101" s="3365" t="e">
        <f>+E94+E95+E96</f>
        <v>#REF!</v>
      </c>
      <c r="F101" s="3365"/>
      <c r="G101" s="3365" t="e">
        <f>+G94+G95+G96</f>
        <v>#REF!</v>
      </c>
      <c r="H101" s="3365"/>
      <c r="I101" s="3365" t="e">
        <f t="shared" si="0"/>
        <v>#REF!</v>
      </c>
      <c r="J101" s="3365"/>
      <c r="K101" s="3365">
        <f>+K94+K95+K96</f>
        <v>4167</v>
      </c>
      <c r="L101" s="3365"/>
      <c r="M101" s="3365" t="e">
        <f t="shared" si="1"/>
        <v>#REF!</v>
      </c>
      <c r="N101" s="3365"/>
      <c r="O101" s="3365" t="e">
        <f>+O94+O95+O96</f>
        <v>#REF!</v>
      </c>
      <c r="P101" s="3365"/>
      <c r="Q101" s="3365" t="e">
        <f t="shared" si="2"/>
        <v>#REF!</v>
      </c>
      <c r="R101" s="3365"/>
      <c r="S101" s="3365" t="e">
        <f>+S94+S95+S96</f>
        <v>#REF!</v>
      </c>
      <c r="T101" s="3365"/>
      <c r="U101" s="3365" t="e">
        <f t="shared" si="3"/>
        <v>#REF!</v>
      </c>
      <c r="V101" s="3365"/>
      <c r="W101" s="3365" t="e">
        <f>+W94+W95+W96</f>
        <v>#REF!</v>
      </c>
      <c r="X101" s="3365"/>
      <c r="Y101" s="3365" t="e">
        <f t="shared" si="4"/>
        <v>#REF!</v>
      </c>
      <c r="Z101" s="3365"/>
      <c r="AA101" s="3365" t="e">
        <f t="shared" si="5"/>
        <v>#REF!</v>
      </c>
      <c r="AB101" s="3365"/>
      <c r="AC101" s="3365" t="e">
        <f>+AC94+AC95+AC96</f>
        <v>#REF!</v>
      </c>
      <c r="AD101" s="3365"/>
      <c r="AE101" s="3365" t="e">
        <f t="shared" si="6"/>
        <v>#REF!</v>
      </c>
      <c r="AF101" s="3365"/>
      <c r="AG101" s="3365" t="e">
        <f>+AG94+AG95+AG96</f>
        <v>#REF!</v>
      </c>
      <c r="AH101" s="3365"/>
      <c r="AI101" s="3365" t="e">
        <f t="shared" si="7"/>
        <v>#REF!</v>
      </c>
      <c r="AJ101" s="3365"/>
      <c r="AK101" s="3365" t="e">
        <f>+AK94+AK95+AK96</f>
        <v>#REF!</v>
      </c>
      <c r="AL101" s="3365"/>
      <c r="AM101" s="3365" t="e">
        <f t="shared" si="8"/>
        <v>#REF!</v>
      </c>
      <c r="AN101" s="3365"/>
      <c r="AO101" s="3365" t="e">
        <f t="shared" si="9"/>
        <v>#REF!</v>
      </c>
      <c r="AP101" s="3365"/>
      <c r="AQ101" s="3365" t="e">
        <f>+AQ94+AQ95+AQ96</f>
        <v>#REF!</v>
      </c>
      <c r="AR101" s="3365"/>
      <c r="AS101" s="3365" t="e">
        <f t="shared" si="10"/>
        <v>#REF!</v>
      </c>
      <c r="AT101" s="3365"/>
      <c r="AU101" s="3365" t="e">
        <f>+AU94+AU95+AU96</f>
        <v>#REF!</v>
      </c>
      <c r="AV101" s="3365"/>
      <c r="AW101" s="3365" t="e">
        <f t="shared" si="11"/>
        <v>#REF!</v>
      </c>
      <c r="AX101" s="3365"/>
      <c r="AY101" s="3365" t="e">
        <f>+AY94+AY95+AY96</f>
        <v>#REF!</v>
      </c>
      <c r="AZ101" s="3365"/>
      <c r="BA101" s="3365" t="e">
        <f t="shared" si="12"/>
        <v>#REF!</v>
      </c>
      <c r="BB101" s="3365"/>
      <c r="BC101" s="3365" t="e">
        <f t="shared" si="13"/>
        <v>#REF!</v>
      </c>
      <c r="BD101" s="3365"/>
      <c r="BE101" s="3365" t="e">
        <f t="shared" si="14"/>
        <v>#REF!</v>
      </c>
    </row>
    <row r="102" spans="3:61" x14ac:dyDescent="0.25">
      <c r="C102" s="3366"/>
      <c r="D102" s="1837"/>
      <c r="E102" s="1837"/>
      <c r="F102" s="1837"/>
      <c r="G102" s="1837"/>
      <c r="H102" s="1837"/>
      <c r="I102" s="1837"/>
      <c r="J102" s="1837"/>
      <c r="K102" s="1837"/>
      <c r="L102" s="1837"/>
      <c r="M102" s="1837"/>
      <c r="N102" s="1837"/>
      <c r="O102" s="1837"/>
      <c r="P102" s="1837"/>
      <c r="Q102" s="1837"/>
      <c r="R102" s="1837"/>
      <c r="S102" s="1837"/>
      <c r="T102" s="1837"/>
      <c r="U102" s="1837"/>
      <c r="V102" s="1837"/>
      <c r="W102" s="1837"/>
      <c r="X102" s="1837"/>
      <c r="Y102" s="1837"/>
      <c r="Z102" s="1837"/>
      <c r="AA102" s="1837"/>
      <c r="AB102" s="1837"/>
      <c r="AC102" s="1837"/>
      <c r="AD102" s="1837"/>
      <c r="AE102" s="1837"/>
      <c r="AF102" s="1837"/>
      <c r="AG102" s="1837"/>
      <c r="AH102" s="1837"/>
      <c r="AI102" s="1837"/>
      <c r="AJ102" s="1837"/>
      <c r="AK102" s="1837"/>
      <c r="AL102" s="1837"/>
      <c r="AM102" s="1837"/>
      <c r="AN102" s="1837"/>
      <c r="AO102" s="1837"/>
      <c r="AP102" s="1837"/>
      <c r="AQ102" s="1837"/>
      <c r="AR102" s="1837"/>
      <c r="AS102" s="1837"/>
      <c r="AT102" s="1837"/>
      <c r="AU102" s="1837"/>
      <c r="AV102" s="1837"/>
      <c r="AW102" s="1837"/>
      <c r="AX102" s="1837"/>
      <c r="AY102" s="1837"/>
      <c r="AZ102" s="1837"/>
      <c r="BA102" s="1837"/>
      <c r="BB102" s="1837"/>
      <c r="BC102" s="1837"/>
      <c r="BD102" s="4863"/>
      <c r="BE102" s="4863"/>
    </row>
    <row r="103" spans="3:61" ht="15" hidden="1" customHeight="1" x14ac:dyDescent="0.25">
      <c r="C103" s="3367" t="s">
        <v>1439</v>
      </c>
      <c r="D103" s="3385"/>
      <c r="E103" s="3368">
        <v>3662.1749999999997</v>
      </c>
      <c r="F103" s="3368"/>
      <c r="G103" s="3368">
        <v>3662.1749999999997</v>
      </c>
      <c r="H103" s="3368"/>
      <c r="I103" s="3368">
        <f t="shared" si="0"/>
        <v>7324.3499999999995</v>
      </c>
      <c r="J103" s="3368"/>
      <c r="K103" s="3368">
        <v>3662.1749999999997</v>
      </c>
      <c r="L103" s="3368"/>
      <c r="M103" s="3368">
        <f t="shared" si="1"/>
        <v>10986.525</v>
      </c>
      <c r="N103" s="3368"/>
      <c r="O103" s="3368">
        <v>3662.1749999999997</v>
      </c>
      <c r="P103" s="3368"/>
      <c r="Q103" s="3368">
        <f t="shared" si="2"/>
        <v>14648.699999999999</v>
      </c>
      <c r="R103" s="3368"/>
      <c r="S103" s="3368">
        <v>3662.1749999999997</v>
      </c>
      <c r="T103" s="3368"/>
      <c r="U103" s="3368">
        <f t="shared" si="3"/>
        <v>18310.875</v>
      </c>
      <c r="V103" s="3368"/>
      <c r="W103" s="3368">
        <v>3662.1749999999997</v>
      </c>
      <c r="X103" s="3368"/>
      <c r="Y103" s="3368">
        <f t="shared" si="4"/>
        <v>10986.525</v>
      </c>
      <c r="Z103" s="3368"/>
      <c r="AA103" s="3368">
        <f t="shared" si="5"/>
        <v>21973.05</v>
      </c>
      <c r="AB103" s="3368"/>
      <c r="AC103" s="3368">
        <v>3662.1749999999997</v>
      </c>
      <c r="AD103" s="3368"/>
      <c r="AE103" s="3368">
        <f t="shared" si="6"/>
        <v>25635.224999999999</v>
      </c>
      <c r="AF103" s="3368"/>
      <c r="AG103" s="3368">
        <v>3662.1749999999997</v>
      </c>
      <c r="AH103" s="3368"/>
      <c r="AI103" s="3368">
        <f t="shared" si="7"/>
        <v>29297.399999999998</v>
      </c>
      <c r="AJ103" s="3368"/>
      <c r="AK103" s="3368">
        <v>3662.1749999999997</v>
      </c>
      <c r="AL103" s="3368"/>
      <c r="AM103" s="3368">
        <f t="shared" si="8"/>
        <v>10986.525</v>
      </c>
      <c r="AN103" s="3368"/>
      <c r="AO103" s="3368">
        <f t="shared" si="9"/>
        <v>32959.574999999997</v>
      </c>
      <c r="AP103" s="3368"/>
      <c r="AQ103" s="3368">
        <v>3662.1749999999997</v>
      </c>
      <c r="AR103" s="3368"/>
      <c r="AS103" s="3368">
        <f t="shared" si="10"/>
        <v>36621.75</v>
      </c>
      <c r="AT103" s="3368"/>
      <c r="AU103" s="3368">
        <v>3662.1749999999997</v>
      </c>
      <c r="AV103" s="3368"/>
      <c r="AW103" s="3368">
        <f t="shared" si="11"/>
        <v>40283.925000000003</v>
      </c>
      <c r="AX103" s="3368"/>
      <c r="AY103" s="3368">
        <v>3662.1749999999997</v>
      </c>
      <c r="AZ103" s="3368"/>
      <c r="BA103" s="3368">
        <f t="shared" si="12"/>
        <v>10986.525</v>
      </c>
      <c r="BB103" s="3368"/>
      <c r="BC103" s="3368">
        <f t="shared" si="13"/>
        <v>21973.05</v>
      </c>
      <c r="BD103" s="3375"/>
      <c r="BE103" s="3375">
        <f t="shared" si="14"/>
        <v>43946.1</v>
      </c>
    </row>
    <row r="104" spans="3:61" ht="15" hidden="1" customHeight="1" x14ac:dyDescent="0.25">
      <c r="C104" s="3367" t="s">
        <v>1215</v>
      </c>
      <c r="D104" s="3385"/>
      <c r="E104" s="3368">
        <v>74606.466</v>
      </c>
      <c r="F104" s="3368"/>
      <c r="G104" s="3368">
        <v>74606.466</v>
      </c>
      <c r="H104" s="3368"/>
      <c r="I104" s="3368">
        <f t="shared" si="0"/>
        <v>149212.932</v>
      </c>
      <c r="J104" s="3368"/>
      <c r="K104" s="3368">
        <v>74606.466</v>
      </c>
      <c r="L104" s="3368"/>
      <c r="M104" s="3368">
        <f t="shared" si="1"/>
        <v>223819.39799999999</v>
      </c>
      <c r="N104" s="3368"/>
      <c r="O104" s="3368">
        <v>74606.466</v>
      </c>
      <c r="P104" s="3368"/>
      <c r="Q104" s="3368">
        <f t="shared" si="2"/>
        <v>298425.864</v>
      </c>
      <c r="R104" s="3368"/>
      <c r="S104" s="3368">
        <v>74606.466</v>
      </c>
      <c r="T104" s="3368"/>
      <c r="U104" s="3368">
        <f t="shared" si="3"/>
        <v>373032.33</v>
      </c>
      <c r="V104" s="3368"/>
      <c r="W104" s="3368">
        <v>74606.466</v>
      </c>
      <c r="X104" s="3368"/>
      <c r="Y104" s="3368">
        <f t="shared" si="4"/>
        <v>223819.39799999999</v>
      </c>
      <c r="Z104" s="3368"/>
      <c r="AA104" s="3368">
        <f t="shared" si="5"/>
        <v>447638.79600000003</v>
      </c>
      <c r="AB104" s="3368"/>
      <c r="AC104" s="3368">
        <v>74606.466</v>
      </c>
      <c r="AD104" s="3368"/>
      <c r="AE104" s="3368">
        <f t="shared" si="6"/>
        <v>522245.26200000005</v>
      </c>
      <c r="AF104" s="3368"/>
      <c r="AG104" s="3368">
        <v>74606.466</v>
      </c>
      <c r="AH104" s="3368"/>
      <c r="AI104" s="3368">
        <f t="shared" si="7"/>
        <v>596851.728</v>
      </c>
      <c r="AJ104" s="3368"/>
      <c r="AK104" s="3368">
        <v>74606.466</v>
      </c>
      <c r="AL104" s="3368"/>
      <c r="AM104" s="3368">
        <f t="shared" si="8"/>
        <v>223819.39799999999</v>
      </c>
      <c r="AN104" s="3368"/>
      <c r="AO104" s="3368">
        <f t="shared" si="9"/>
        <v>671458.19400000002</v>
      </c>
      <c r="AP104" s="3368"/>
      <c r="AQ104" s="3368">
        <v>74606.466</v>
      </c>
      <c r="AR104" s="3368"/>
      <c r="AS104" s="3368">
        <f t="shared" si="10"/>
        <v>746064.66</v>
      </c>
      <c r="AT104" s="3368"/>
      <c r="AU104" s="3368">
        <v>74606.466</v>
      </c>
      <c r="AV104" s="3368"/>
      <c r="AW104" s="3368">
        <f t="shared" si="11"/>
        <v>820671.12600000005</v>
      </c>
      <c r="AX104" s="3368"/>
      <c r="AY104" s="3368">
        <v>74606.466</v>
      </c>
      <c r="AZ104" s="3368"/>
      <c r="BA104" s="3368">
        <f t="shared" si="12"/>
        <v>223819.39799999999</v>
      </c>
      <c r="BB104" s="3368"/>
      <c r="BC104" s="3368">
        <f t="shared" si="13"/>
        <v>447638.79599999997</v>
      </c>
      <c r="BD104" s="3375"/>
      <c r="BE104" s="3375">
        <f t="shared" si="14"/>
        <v>895277.59199999995</v>
      </c>
    </row>
    <row r="105" spans="3:61" ht="16.5" thickBot="1" x14ac:dyDescent="0.3">
      <c r="C105" s="3364" t="s">
        <v>1818</v>
      </c>
      <c r="D105" s="3384"/>
      <c r="E105" s="3365">
        <f>+'Maj Production Summ'!F34</f>
        <v>45616.58799999996</v>
      </c>
      <c r="F105" s="3365"/>
      <c r="G105" s="3365">
        <f>+'Maj Production Summ'!H34</f>
        <v>52556</v>
      </c>
      <c r="H105" s="3365"/>
      <c r="I105" s="3365">
        <f t="shared" si="0"/>
        <v>98172.58799999996</v>
      </c>
      <c r="J105" s="3365"/>
      <c r="K105" s="3365">
        <f>+'Maj Production Summ'!L34</f>
        <v>25895</v>
      </c>
      <c r="L105" s="3365"/>
      <c r="M105" s="3365">
        <f t="shared" si="1"/>
        <v>124067.58799999996</v>
      </c>
      <c r="N105" s="3365"/>
      <c r="O105" s="3365">
        <f>+'Maj Production Summ'!P34</f>
        <v>58992</v>
      </c>
      <c r="P105" s="3365"/>
      <c r="Q105" s="3365">
        <f t="shared" si="2"/>
        <v>183059.58799999996</v>
      </c>
      <c r="R105" s="3365"/>
      <c r="S105" s="3365">
        <f>+'Maj Production Summ'!T34</f>
        <v>55648</v>
      </c>
      <c r="T105" s="3365"/>
      <c r="U105" s="3365">
        <f t="shared" si="3"/>
        <v>238707.58799999996</v>
      </c>
      <c r="V105" s="3365"/>
      <c r="W105" s="3365">
        <f>+'Maj Production Summ'!X34</f>
        <v>52843</v>
      </c>
      <c r="X105" s="3365"/>
      <c r="Y105" s="3365">
        <f t="shared" si="4"/>
        <v>167483</v>
      </c>
      <c r="Z105" s="3365"/>
      <c r="AA105" s="3365">
        <f t="shared" si="5"/>
        <v>291550.58799999999</v>
      </c>
      <c r="AB105" s="3365"/>
      <c r="AC105" s="3365">
        <f>+'Maj Production Summ'!AD34</f>
        <v>25418</v>
      </c>
      <c r="AD105" s="3365"/>
      <c r="AE105" s="3365">
        <f t="shared" si="6"/>
        <v>316968.58799999999</v>
      </c>
      <c r="AF105" s="3365"/>
      <c r="AG105" s="3365">
        <f>+'Maj Production Summ'!AH34</f>
        <v>7935</v>
      </c>
      <c r="AH105" s="3365"/>
      <c r="AI105" s="3365">
        <f t="shared" si="7"/>
        <v>324903.58799999999</v>
      </c>
      <c r="AJ105" s="3365"/>
      <c r="AK105" s="3365">
        <f>+'Maj Production Summ'!AL34</f>
        <v>64493</v>
      </c>
      <c r="AL105" s="3365"/>
      <c r="AM105" s="3365">
        <f t="shared" si="8"/>
        <v>97846</v>
      </c>
      <c r="AN105" s="3365"/>
      <c r="AO105" s="3365">
        <f t="shared" si="9"/>
        <v>389396.58799999999</v>
      </c>
      <c r="AP105" s="3365"/>
      <c r="AQ105" s="3365">
        <f>+'Maj Production Summ'!AR34</f>
        <v>63074.18</v>
      </c>
      <c r="AR105" s="3365"/>
      <c r="AS105" s="3365">
        <f t="shared" si="10"/>
        <v>452470.76799999998</v>
      </c>
      <c r="AT105" s="3365"/>
      <c r="AU105" s="3365">
        <f>+'Maj Production Summ'!AV34</f>
        <v>57481.269999999931</v>
      </c>
      <c r="AV105" s="3365"/>
      <c r="AW105" s="3365">
        <f t="shared" si="11"/>
        <v>509952.03799999994</v>
      </c>
      <c r="AX105" s="3365"/>
      <c r="AY105" s="3365">
        <f>+'Maj Production Summ'!AZ34</f>
        <v>57620</v>
      </c>
      <c r="AZ105" s="3365"/>
      <c r="BA105" s="3365">
        <f t="shared" si="12"/>
        <v>178175.44999999992</v>
      </c>
      <c r="BB105" s="3365"/>
      <c r="BC105" s="3365">
        <f t="shared" si="13"/>
        <v>276021.44999999995</v>
      </c>
      <c r="BD105" s="3365"/>
      <c r="BE105" s="3365">
        <f t="shared" si="14"/>
        <v>567572.03799999994</v>
      </c>
    </row>
    <row r="106" spans="3:61" x14ac:dyDescent="0.25">
      <c r="G106" s="5172"/>
      <c r="H106" s="5172"/>
      <c r="I106" s="5172"/>
      <c r="K106" s="5172"/>
      <c r="L106" s="5172"/>
      <c r="M106" s="5172"/>
      <c r="O106" s="5172"/>
      <c r="P106" s="5172"/>
      <c r="Q106" s="5172"/>
      <c r="S106" s="5172"/>
      <c r="T106" s="5172"/>
      <c r="U106" s="5172"/>
      <c r="W106" s="5172"/>
      <c r="X106" s="5172"/>
      <c r="Y106" s="5172"/>
      <c r="Z106" s="5172"/>
      <c r="AA106" s="5172"/>
      <c r="AD106" s="5172"/>
      <c r="AE106" s="5172"/>
      <c r="AG106" s="5172"/>
      <c r="AH106" s="5172"/>
      <c r="AI106" s="5172"/>
      <c r="AL106" s="5172"/>
      <c r="AM106" s="5172"/>
      <c r="AN106" s="5172"/>
      <c r="AO106" s="5172"/>
      <c r="AQ106" s="5172"/>
      <c r="AR106" s="5172"/>
      <c r="AS106" s="5172"/>
      <c r="AU106" s="5172"/>
      <c r="AV106" s="5172"/>
      <c r="AW106" s="5172"/>
      <c r="AY106" s="5172"/>
      <c r="AZ106" s="5172"/>
      <c r="BA106" s="5172"/>
      <c r="BB106" s="5172"/>
      <c r="BC106" s="5172"/>
      <c r="BD106" s="6633"/>
      <c r="BE106" s="6633"/>
    </row>
    <row r="107" spans="3:61" ht="18.75" x14ac:dyDescent="0.25">
      <c r="C107" s="3369" t="s">
        <v>1819</v>
      </c>
      <c r="D107" s="3369"/>
      <c r="E107" s="3370" t="e">
        <f>+E105-E101</f>
        <v>#REF!</v>
      </c>
      <c r="F107" s="3370">
        <f t="shared" ref="F107:BE107" si="15">+F105-F101</f>
        <v>0</v>
      </c>
      <c r="G107" s="3370" t="e">
        <f t="shared" si="15"/>
        <v>#REF!</v>
      </c>
      <c r="H107" s="3370">
        <f t="shared" si="15"/>
        <v>0</v>
      </c>
      <c r="I107" s="3370" t="e">
        <f t="shared" si="15"/>
        <v>#REF!</v>
      </c>
      <c r="J107" s="3370">
        <f t="shared" si="15"/>
        <v>0</v>
      </c>
      <c r="K107" s="3370">
        <f t="shared" si="15"/>
        <v>21728</v>
      </c>
      <c r="L107" s="3370">
        <f t="shared" si="15"/>
        <v>0</v>
      </c>
      <c r="M107" s="3370" t="e">
        <f t="shared" si="15"/>
        <v>#REF!</v>
      </c>
      <c r="N107" s="3370">
        <f t="shared" si="15"/>
        <v>0</v>
      </c>
      <c r="O107" s="3370" t="e">
        <f t="shared" si="15"/>
        <v>#REF!</v>
      </c>
      <c r="P107" s="3370">
        <f t="shared" si="15"/>
        <v>0</v>
      </c>
      <c r="Q107" s="3370" t="e">
        <f t="shared" si="15"/>
        <v>#REF!</v>
      </c>
      <c r="R107" s="3370">
        <f t="shared" si="15"/>
        <v>0</v>
      </c>
      <c r="S107" s="3370" t="e">
        <f t="shared" si="15"/>
        <v>#REF!</v>
      </c>
      <c r="T107" s="3370">
        <f t="shared" si="15"/>
        <v>0</v>
      </c>
      <c r="U107" s="3370" t="e">
        <f t="shared" si="15"/>
        <v>#REF!</v>
      </c>
      <c r="V107" s="3370">
        <f t="shared" si="15"/>
        <v>0</v>
      </c>
      <c r="W107" s="3370" t="e">
        <f t="shared" si="15"/>
        <v>#REF!</v>
      </c>
      <c r="X107" s="3370">
        <f t="shared" si="15"/>
        <v>0</v>
      </c>
      <c r="Y107" s="3370" t="e">
        <f t="shared" si="15"/>
        <v>#REF!</v>
      </c>
      <c r="Z107" s="3370">
        <f t="shared" si="15"/>
        <v>0</v>
      </c>
      <c r="AA107" s="3370" t="e">
        <f t="shared" si="15"/>
        <v>#REF!</v>
      </c>
      <c r="AB107" s="3370">
        <f t="shared" si="15"/>
        <v>0</v>
      </c>
      <c r="AC107" s="3370" t="e">
        <f t="shared" si="15"/>
        <v>#REF!</v>
      </c>
      <c r="AD107" s="3370">
        <f t="shared" si="15"/>
        <v>0</v>
      </c>
      <c r="AE107" s="3370" t="e">
        <f t="shared" si="15"/>
        <v>#REF!</v>
      </c>
      <c r="AF107" s="3370">
        <f t="shared" si="15"/>
        <v>0</v>
      </c>
      <c r="AG107" s="3370" t="e">
        <f t="shared" si="15"/>
        <v>#REF!</v>
      </c>
      <c r="AH107" s="3370">
        <f t="shared" si="15"/>
        <v>0</v>
      </c>
      <c r="AI107" s="3370" t="e">
        <f t="shared" si="15"/>
        <v>#REF!</v>
      </c>
      <c r="AJ107" s="3370">
        <f t="shared" si="15"/>
        <v>0</v>
      </c>
      <c r="AK107" s="3370" t="e">
        <f t="shared" si="15"/>
        <v>#REF!</v>
      </c>
      <c r="AL107" s="3370">
        <f t="shared" si="15"/>
        <v>0</v>
      </c>
      <c r="AM107" s="3370" t="e">
        <f t="shared" si="15"/>
        <v>#REF!</v>
      </c>
      <c r="AN107" s="3370">
        <f t="shared" si="15"/>
        <v>0</v>
      </c>
      <c r="AO107" s="3370" t="e">
        <f t="shared" si="15"/>
        <v>#REF!</v>
      </c>
      <c r="AP107" s="3370">
        <f t="shared" si="15"/>
        <v>0</v>
      </c>
      <c r="AQ107" s="3370" t="e">
        <f t="shared" si="15"/>
        <v>#REF!</v>
      </c>
      <c r="AR107" s="3370">
        <f t="shared" si="15"/>
        <v>0</v>
      </c>
      <c r="AS107" s="3370" t="e">
        <f t="shared" si="15"/>
        <v>#REF!</v>
      </c>
      <c r="AT107" s="3370">
        <f t="shared" si="15"/>
        <v>0</v>
      </c>
      <c r="AU107" s="3370" t="e">
        <f t="shared" si="15"/>
        <v>#REF!</v>
      </c>
      <c r="AV107" s="3370">
        <f t="shared" si="15"/>
        <v>0</v>
      </c>
      <c r="AW107" s="3370" t="e">
        <f t="shared" si="15"/>
        <v>#REF!</v>
      </c>
      <c r="AX107" s="3370">
        <f t="shared" si="15"/>
        <v>0</v>
      </c>
      <c r="AY107" s="3370" t="e">
        <f t="shared" si="15"/>
        <v>#REF!</v>
      </c>
      <c r="AZ107" s="3370">
        <f t="shared" si="15"/>
        <v>0</v>
      </c>
      <c r="BA107" s="3370" t="e">
        <f t="shared" si="15"/>
        <v>#REF!</v>
      </c>
      <c r="BB107" s="3370">
        <f t="shared" si="15"/>
        <v>0</v>
      </c>
      <c r="BC107" s="3370" t="e">
        <f t="shared" si="15"/>
        <v>#REF!</v>
      </c>
      <c r="BD107" s="3370">
        <f t="shared" si="15"/>
        <v>0</v>
      </c>
      <c r="BE107" s="3370" t="e">
        <f t="shared" si="15"/>
        <v>#REF!</v>
      </c>
    </row>
    <row r="108" spans="3:61" x14ac:dyDescent="0.25">
      <c r="H108" s="5172"/>
      <c r="I108" s="5172"/>
      <c r="L108" s="5172"/>
      <c r="M108" s="5172"/>
      <c r="P108" s="5172"/>
      <c r="Q108" s="5172"/>
      <c r="T108" s="5172"/>
      <c r="U108" s="5172"/>
      <c r="X108" s="5172"/>
      <c r="Y108" s="5172"/>
      <c r="Z108" s="5172"/>
      <c r="AA108" s="5172"/>
      <c r="AD108" s="5172"/>
      <c r="AE108" s="5172"/>
      <c r="AH108" s="5172"/>
      <c r="AI108" s="5172"/>
      <c r="AL108" s="5172"/>
      <c r="AM108" s="5172"/>
      <c r="AN108" s="5172"/>
      <c r="AO108" s="5172"/>
      <c r="AR108" s="5172"/>
      <c r="AS108" s="5172"/>
      <c r="AV108" s="5172"/>
      <c r="AW108" s="5172"/>
      <c r="AZ108" s="5172"/>
      <c r="BA108" s="5172"/>
      <c r="BB108" s="5172"/>
      <c r="BC108" s="5172"/>
      <c r="BD108" s="6633"/>
      <c r="BE108" s="6633"/>
    </row>
    <row r="109" spans="3:61" ht="15.75" thickBot="1" x14ac:dyDescent="0.3">
      <c r="H109" s="5172"/>
      <c r="I109" s="5172"/>
      <c r="L109" s="5172"/>
      <c r="M109" s="5172"/>
      <c r="P109" s="5172"/>
      <c r="Q109" s="5172"/>
      <c r="T109" s="5172"/>
      <c r="U109" s="5172"/>
      <c r="X109" s="5172"/>
      <c r="Y109" s="5172"/>
      <c r="Z109" s="5172"/>
      <c r="AA109" s="5172"/>
      <c r="AD109" s="5172"/>
      <c r="AE109" s="5172"/>
      <c r="AH109" s="5172"/>
      <c r="AI109" s="5172"/>
      <c r="AL109" s="5172"/>
      <c r="AM109" s="5172"/>
      <c r="AN109" s="5172"/>
      <c r="AO109" s="5172"/>
      <c r="AR109" s="5172"/>
      <c r="AS109" s="5172"/>
      <c r="AV109" s="5172"/>
      <c r="AW109" s="5172"/>
      <c r="AZ109" s="5172"/>
      <c r="BA109" s="5172"/>
      <c r="BB109" s="5172"/>
      <c r="BC109" s="5172"/>
      <c r="BD109" s="6633"/>
      <c r="BE109" s="6633"/>
    </row>
    <row r="110" spans="3:61" ht="24" thickBot="1" x14ac:dyDescent="0.4">
      <c r="C110" s="6614" t="s">
        <v>1820</v>
      </c>
      <c r="D110" s="6615"/>
      <c r="E110" s="6615"/>
      <c r="F110" s="6615"/>
      <c r="G110" s="6615"/>
      <c r="H110" s="6615"/>
      <c r="I110" s="6615"/>
      <c r="J110" s="6615"/>
      <c r="K110" s="6615"/>
      <c r="L110" s="6615"/>
      <c r="M110" s="6615"/>
      <c r="N110" s="6615"/>
      <c r="O110" s="6615"/>
      <c r="P110" s="6615"/>
      <c r="Q110" s="6615"/>
      <c r="R110" s="6615"/>
      <c r="S110" s="6615"/>
      <c r="T110" s="6615"/>
      <c r="U110" s="6615"/>
      <c r="V110" s="6615"/>
      <c r="W110" s="6615"/>
      <c r="X110" s="6615"/>
      <c r="Y110" s="6615"/>
      <c r="Z110" s="6615"/>
      <c r="AA110" s="6615"/>
      <c r="AB110" s="6615"/>
      <c r="AC110" s="6626"/>
      <c r="AD110" s="6615"/>
      <c r="AE110" s="6615"/>
      <c r="AF110" s="6615"/>
      <c r="AG110" s="6615"/>
      <c r="AH110" s="6615"/>
      <c r="AI110" s="6615"/>
      <c r="AJ110" s="6615"/>
      <c r="AK110" s="6626"/>
      <c r="AL110" s="6615"/>
      <c r="AM110" s="6615"/>
      <c r="AN110" s="6615"/>
      <c r="AO110" s="6615"/>
      <c r="AP110" s="6615"/>
      <c r="AQ110" s="6615"/>
      <c r="AR110" s="6615"/>
      <c r="AS110" s="6615"/>
      <c r="AT110" s="6615"/>
      <c r="AU110" s="6615"/>
      <c r="AV110" s="6615"/>
      <c r="AW110" s="6615"/>
      <c r="AX110" s="6615"/>
      <c r="AY110" s="6615"/>
      <c r="AZ110" s="6615"/>
      <c r="BA110" s="6615"/>
      <c r="BB110" s="6615"/>
      <c r="BC110" s="6615"/>
      <c r="BD110" s="6634"/>
      <c r="BE110" s="6634"/>
    </row>
    <row r="111" spans="3:61" ht="15.75" x14ac:dyDescent="0.25">
      <c r="C111" s="3371"/>
      <c r="D111" s="3371"/>
      <c r="E111" s="3357" t="str">
        <f>+E67</f>
        <v>APR'25</v>
      </c>
      <c r="F111" s="7755" t="str">
        <f t="shared" ref="F111:BE111" si="16">+F67</f>
        <v>MAY'25</v>
      </c>
      <c r="G111" s="7756">
        <f t="shared" si="16"/>
        <v>0</v>
      </c>
      <c r="H111" s="7755" t="str">
        <f t="shared" si="16"/>
        <v>2 M</v>
      </c>
      <c r="I111" s="7756">
        <f t="shared" si="16"/>
        <v>0</v>
      </c>
      <c r="J111" s="7755" t="str">
        <f t="shared" si="16"/>
        <v>JUN'25</v>
      </c>
      <c r="K111" s="7756">
        <f t="shared" si="16"/>
        <v>0</v>
      </c>
      <c r="L111" s="7755" t="str">
        <f t="shared" si="16"/>
        <v>QTR-1</v>
      </c>
      <c r="M111" s="7756">
        <f t="shared" si="16"/>
        <v>0</v>
      </c>
      <c r="N111" s="7755" t="str">
        <f t="shared" si="16"/>
        <v>JUL'25</v>
      </c>
      <c r="O111" s="7756">
        <f t="shared" si="16"/>
        <v>0</v>
      </c>
      <c r="P111" s="7755" t="str">
        <f t="shared" si="16"/>
        <v>4 M</v>
      </c>
      <c r="Q111" s="7756">
        <f t="shared" si="16"/>
        <v>0</v>
      </c>
      <c r="R111" s="7755" t="str">
        <f t="shared" si="16"/>
        <v>AUG'25</v>
      </c>
      <c r="S111" s="7756">
        <f t="shared" si="16"/>
        <v>0</v>
      </c>
      <c r="T111" s="7755" t="str">
        <f t="shared" si="16"/>
        <v>5 M</v>
      </c>
      <c r="U111" s="7756">
        <f t="shared" si="16"/>
        <v>0</v>
      </c>
      <c r="V111" s="7755" t="str">
        <f t="shared" si="16"/>
        <v>SEP'25</v>
      </c>
      <c r="W111" s="7756">
        <f t="shared" si="16"/>
        <v>0</v>
      </c>
      <c r="X111" s="7755" t="str">
        <f t="shared" si="16"/>
        <v>QTR-2</v>
      </c>
      <c r="Y111" s="7756">
        <f t="shared" si="16"/>
        <v>0</v>
      </c>
      <c r="Z111" s="7755" t="str">
        <f t="shared" si="16"/>
        <v>H1</v>
      </c>
      <c r="AA111" s="7756">
        <f t="shared" si="16"/>
        <v>0</v>
      </c>
      <c r="AB111" s="7755" t="str">
        <f t="shared" si="16"/>
        <v>OCT'25</v>
      </c>
      <c r="AC111" s="7756">
        <f t="shared" si="16"/>
        <v>0</v>
      </c>
      <c r="AD111" s="7755" t="str">
        <f t="shared" si="16"/>
        <v>7 M</v>
      </c>
      <c r="AE111" s="7756">
        <f t="shared" si="16"/>
        <v>0</v>
      </c>
      <c r="AF111" s="7755" t="str">
        <f t="shared" si="16"/>
        <v>NOV'25</v>
      </c>
      <c r="AG111" s="7756">
        <f t="shared" si="16"/>
        <v>0</v>
      </c>
      <c r="AH111" s="7755" t="str">
        <f t="shared" si="16"/>
        <v>8 M</v>
      </c>
      <c r="AI111" s="7756">
        <f t="shared" si="16"/>
        <v>0</v>
      </c>
      <c r="AJ111" s="7755" t="str">
        <f t="shared" si="16"/>
        <v>DEC'25</v>
      </c>
      <c r="AK111" s="7756">
        <f t="shared" si="16"/>
        <v>0</v>
      </c>
      <c r="AL111" s="7755" t="str">
        <f t="shared" si="16"/>
        <v>QTR-3</v>
      </c>
      <c r="AM111" s="7756">
        <f t="shared" si="16"/>
        <v>0</v>
      </c>
      <c r="AN111" s="7755" t="str">
        <f t="shared" si="16"/>
        <v>9 M</v>
      </c>
      <c r="AO111" s="7756">
        <f t="shared" si="16"/>
        <v>0</v>
      </c>
      <c r="AP111" s="7755" t="str">
        <f t="shared" si="16"/>
        <v>JAN'26</v>
      </c>
      <c r="AQ111" s="7756">
        <f t="shared" si="16"/>
        <v>0</v>
      </c>
      <c r="AR111" s="7755" t="str">
        <f t="shared" si="16"/>
        <v>10 M</v>
      </c>
      <c r="AS111" s="7756">
        <f t="shared" si="16"/>
        <v>0</v>
      </c>
      <c r="AT111" s="7755" t="str">
        <f t="shared" si="16"/>
        <v>FEB'26</v>
      </c>
      <c r="AU111" s="7756">
        <f t="shared" si="16"/>
        <v>0</v>
      </c>
      <c r="AV111" s="7755" t="str">
        <f t="shared" si="16"/>
        <v>11 M</v>
      </c>
      <c r="AW111" s="7756">
        <f t="shared" si="16"/>
        <v>0</v>
      </c>
      <c r="AX111" s="7755" t="str">
        <f t="shared" si="16"/>
        <v>MAR'26</v>
      </c>
      <c r="AY111" s="7756">
        <f t="shared" si="16"/>
        <v>0</v>
      </c>
      <c r="AZ111" s="7755" t="str">
        <f t="shared" si="16"/>
        <v>QTR-4</v>
      </c>
      <c r="BA111" s="7756">
        <f t="shared" si="16"/>
        <v>0</v>
      </c>
      <c r="BB111" s="7755" t="str">
        <f t="shared" si="16"/>
        <v>H2</v>
      </c>
      <c r="BC111" s="7757">
        <f t="shared" si="16"/>
        <v>0</v>
      </c>
      <c r="BD111" s="7758" t="str">
        <f t="shared" si="16"/>
        <v>2024-25</v>
      </c>
      <c r="BE111" s="7759">
        <f t="shared" si="16"/>
        <v>0</v>
      </c>
    </row>
    <row r="112" spans="3:61" ht="18.75" x14ac:dyDescent="0.25">
      <c r="C112" s="3373" t="s">
        <v>1219</v>
      </c>
      <c r="D112" s="3372"/>
      <c r="E112" s="3353">
        <f>+'GRD SUMM RCL CASTER 3'!C7</f>
        <v>0</v>
      </c>
      <c r="F112" s="3350"/>
      <c r="G112" s="3353">
        <f>+'GRD SUMM RCL CASTER 3'!E7</f>
        <v>0</v>
      </c>
      <c r="H112" s="3350"/>
      <c r="I112" s="3353">
        <f t="shared" ref="I112:I128" si="17">+E112+G112</f>
        <v>0</v>
      </c>
      <c r="J112" s="3350"/>
      <c r="K112" s="3353">
        <f>+'GRD SUMM RCL CASTER 3'!I7</f>
        <v>2812</v>
      </c>
      <c r="L112" s="3350"/>
      <c r="M112" s="3353">
        <f t="shared" ref="M112:M133" si="18">+E112+G112+K112</f>
        <v>2812</v>
      </c>
      <c r="N112" s="3350"/>
      <c r="O112" s="3353">
        <f>+'GRD SUMM RCL CASTER 3'!M7</f>
        <v>131</v>
      </c>
      <c r="P112" s="3350"/>
      <c r="Q112" s="3353">
        <f t="shared" ref="Q112:Q133" si="19">+O112+K112+G112+E112</f>
        <v>2943</v>
      </c>
      <c r="R112" s="3350"/>
      <c r="S112" s="3353">
        <f>+'GRD SUMM RCL CASTER 3'!Q7</f>
        <v>2379</v>
      </c>
      <c r="T112" s="3350"/>
      <c r="U112" s="3353">
        <f t="shared" ref="U112:U133" si="20">+S112+O112+K112+G112+E112</f>
        <v>5322</v>
      </c>
      <c r="V112" s="3350"/>
      <c r="W112" s="3353">
        <f>+'GRD SUMM RCL CASTER 3'!U7</f>
        <v>4284.3059999999996</v>
      </c>
      <c r="X112" s="3350"/>
      <c r="Y112" s="3353">
        <f t="shared" ref="Y112" si="21">+W112+S112+O112</f>
        <v>6794.3059999999996</v>
      </c>
      <c r="Z112" s="3350"/>
      <c r="AA112" s="3353">
        <f t="shared" ref="AA112" si="22">+E112+G112+K112+O112+S112+W112</f>
        <v>9606.3060000000005</v>
      </c>
      <c r="AB112" s="3350"/>
      <c r="AC112" s="6620">
        <f>+'GRD SUMM RCL CASTER 3'!AA7</f>
        <v>1571.31</v>
      </c>
      <c r="AD112" s="3350"/>
      <c r="AE112" s="3353">
        <f t="shared" ref="AE112:AE133" si="23">+AC112+W112+S112+O112+K112+G112+E112</f>
        <v>11177.616</v>
      </c>
      <c r="AF112" s="3350"/>
      <c r="AG112" s="3353">
        <f>+'GRD SUMM RCL CASTER 3'!AE7</f>
        <v>0</v>
      </c>
      <c r="AH112" s="3350"/>
      <c r="AI112" s="3353">
        <f t="shared" ref="AI112:AI133" si="24">+AG112+AC112+W112+S112+O112+K112+G112+E112</f>
        <v>11177.616</v>
      </c>
      <c r="AJ112" s="3350"/>
      <c r="AK112" s="6620">
        <f>+'GRD SUMM RCL CASTER 3'!AI7</f>
        <v>1587</v>
      </c>
      <c r="AL112" s="3350"/>
      <c r="AM112" s="3353">
        <f t="shared" ref="AM112:AM133" si="25">+AK112+AG112+AC112</f>
        <v>3158.31</v>
      </c>
      <c r="AN112" s="3350"/>
      <c r="AO112" s="3353">
        <f t="shared" ref="AO112:AO133" si="26">+AK112+AG112+AC112+W112+S112+O112+K112+G112+E112</f>
        <v>12764.616</v>
      </c>
      <c r="AP112" s="3350"/>
      <c r="AQ112" s="3353">
        <f>+'GRD SUMM RCL CASTER 3'!AO7</f>
        <v>254.59200000000001</v>
      </c>
      <c r="AR112" s="3350"/>
      <c r="AS112" s="3353">
        <f t="shared" ref="AS112:AS133" si="27">+AO112+AQ112</f>
        <v>13019.208000000001</v>
      </c>
      <c r="AT112" s="3350"/>
      <c r="AU112" s="3353">
        <f>+'GRD SUMM RCL CASTER 3'!AS7</f>
        <v>0</v>
      </c>
      <c r="AV112" s="3350"/>
      <c r="AW112" s="3353">
        <f t="shared" ref="AW112:AW133" si="28">+AS112+AU112</f>
        <v>13019.208000000001</v>
      </c>
      <c r="AX112" s="3350"/>
      <c r="AY112" s="3353">
        <f>+'GRD SUMM RCL CASTER 3'!AW7</f>
        <v>0</v>
      </c>
      <c r="AZ112" s="3350"/>
      <c r="BA112" s="3353">
        <f t="shared" ref="BA112:BA133" si="29">+AY112+AU112+AQ112</f>
        <v>254.59200000000001</v>
      </c>
      <c r="BB112" s="3350"/>
      <c r="BC112" s="3353">
        <f t="shared" ref="BC112:BC133" si="30">+BA112+AM112</f>
        <v>3412.902</v>
      </c>
      <c r="BD112" s="6635"/>
      <c r="BE112" s="3375">
        <f t="shared" ref="BE112:BE133" si="31">+BC112+AA112</f>
        <v>13019.208000000001</v>
      </c>
    </row>
    <row r="113" spans="2:58" x14ac:dyDescent="0.25">
      <c r="C113" s="3373" t="s">
        <v>1220</v>
      </c>
      <c r="D113" s="3373"/>
      <c r="E113" s="3353">
        <f>+'GRD SUMM RCL CASTER 3'!C8</f>
        <v>0</v>
      </c>
      <c r="F113" s="3353"/>
      <c r="G113" s="3353">
        <f>+'GRD SUMM RCL CASTER 3'!E8</f>
        <v>8</v>
      </c>
      <c r="H113" s="3353"/>
      <c r="I113" s="3353">
        <f t="shared" si="17"/>
        <v>8</v>
      </c>
      <c r="J113" s="3353"/>
      <c r="K113" s="3353">
        <f>+'GRD SUMM RCL CASTER 3'!I8</f>
        <v>40</v>
      </c>
      <c r="L113" s="3353"/>
      <c r="M113" s="3353">
        <f t="shared" si="18"/>
        <v>48</v>
      </c>
      <c r="N113" s="3353"/>
      <c r="O113" s="3353">
        <f>+'GRD SUMM RCL CASTER 3'!M8</f>
        <v>63</v>
      </c>
      <c r="P113" s="3353"/>
      <c r="Q113" s="3353">
        <f t="shared" si="19"/>
        <v>111</v>
      </c>
      <c r="R113" s="3353"/>
      <c r="S113" s="3353">
        <f>+'GRD SUMM RCL CASTER 3'!Q8</f>
        <v>88</v>
      </c>
      <c r="T113" s="3353"/>
      <c r="U113" s="3353">
        <f t="shared" si="20"/>
        <v>199</v>
      </c>
      <c r="V113" s="3353"/>
      <c r="W113" s="3353">
        <f>+'GRD SUMM RCL CASTER 3'!U8</f>
        <v>115.36199999999999</v>
      </c>
      <c r="X113" s="3353"/>
      <c r="Y113" s="3353">
        <f t="shared" ref="Y113:Y133" si="32">+W113+S113+O113</f>
        <v>266.36199999999997</v>
      </c>
      <c r="Z113" s="3353"/>
      <c r="AA113" s="3353">
        <f t="shared" ref="AA113:AA133" si="33">+E113+G113+K113+O113+S113+W113</f>
        <v>314.36199999999997</v>
      </c>
      <c r="AB113" s="3353"/>
      <c r="AC113" s="6620">
        <f>+'GRD SUMM RCL CASTER 3'!AA8</f>
        <v>43.758000000000003</v>
      </c>
      <c r="AD113" s="3353"/>
      <c r="AE113" s="3353">
        <f t="shared" si="23"/>
        <v>358.12</v>
      </c>
      <c r="AF113" s="3353"/>
      <c r="AG113" s="3353">
        <f>+'GRD SUMM RCL CASTER 3'!AE8</f>
        <v>0</v>
      </c>
      <c r="AH113" s="3353"/>
      <c r="AI113" s="3353">
        <f t="shared" si="24"/>
        <v>358.12</v>
      </c>
      <c r="AJ113" s="3353"/>
      <c r="AK113" s="6620">
        <f>+'GRD SUMM RCL CASTER 3'!AI8</f>
        <v>477</v>
      </c>
      <c r="AL113" s="3353"/>
      <c r="AM113" s="3353">
        <f t="shared" si="25"/>
        <v>520.75800000000004</v>
      </c>
      <c r="AN113" s="3353"/>
      <c r="AO113" s="3353">
        <f t="shared" si="26"/>
        <v>835.12</v>
      </c>
      <c r="AP113" s="3353"/>
      <c r="AQ113" s="3353">
        <f>+'GRD SUMM RCL CASTER 3'!AO8</f>
        <v>298.35000000000002</v>
      </c>
      <c r="AR113" s="3353"/>
      <c r="AS113" s="3353">
        <f t="shared" si="27"/>
        <v>1133.47</v>
      </c>
      <c r="AT113" s="3353"/>
      <c r="AU113" s="3353">
        <f>+'GRD SUMM RCL CASTER 3'!AS8</f>
        <v>0</v>
      </c>
      <c r="AV113" s="3353"/>
      <c r="AW113" s="3353">
        <f t="shared" si="28"/>
        <v>1133.47</v>
      </c>
      <c r="AX113" s="3353"/>
      <c r="AY113" s="3353">
        <f>+'GRD SUMM RCL CASTER 3'!AW8</f>
        <v>0</v>
      </c>
      <c r="AZ113" s="3353"/>
      <c r="BA113" s="3353">
        <f t="shared" si="29"/>
        <v>298.35000000000002</v>
      </c>
      <c r="BB113" s="3353"/>
      <c r="BC113" s="3353">
        <f t="shared" si="30"/>
        <v>819.10800000000006</v>
      </c>
      <c r="BD113" s="3375"/>
      <c r="BE113" s="3375">
        <f t="shared" si="31"/>
        <v>1133.47</v>
      </c>
    </row>
    <row r="114" spans="2:58" x14ac:dyDescent="0.25">
      <c r="C114" s="3373" t="s">
        <v>1263</v>
      </c>
      <c r="D114" s="3373"/>
      <c r="E114" s="3353" t="e">
        <f>+'GRD SUMM RCL CASTER 3'!#REF!</f>
        <v>#REF!</v>
      </c>
      <c r="F114" s="3353"/>
      <c r="G114" s="3353" t="e">
        <f>+'GRD SUMM RCL CASTER 3'!#REF!</f>
        <v>#REF!</v>
      </c>
      <c r="H114" s="3353"/>
      <c r="I114" s="3353" t="e">
        <f t="shared" si="17"/>
        <v>#REF!</v>
      </c>
      <c r="J114" s="3353"/>
      <c r="K114" s="3353" t="e">
        <f>+'GRD SUMM RCL CASTER 3'!#REF!</f>
        <v>#REF!</v>
      </c>
      <c r="L114" s="3353"/>
      <c r="M114" s="3353" t="e">
        <f t="shared" si="18"/>
        <v>#REF!</v>
      </c>
      <c r="N114" s="3353"/>
      <c r="O114" s="3353" t="e">
        <f>+'GRD SUMM RCL CASTER 3'!#REF!</f>
        <v>#REF!</v>
      </c>
      <c r="P114" s="3353"/>
      <c r="Q114" s="3353" t="e">
        <f t="shared" si="19"/>
        <v>#REF!</v>
      </c>
      <c r="R114" s="3353"/>
      <c r="S114" s="3353" t="e">
        <f>+'GRD SUMM RCL CASTER 3'!#REF!</f>
        <v>#REF!</v>
      </c>
      <c r="T114" s="3353"/>
      <c r="U114" s="3353" t="e">
        <f t="shared" si="20"/>
        <v>#REF!</v>
      </c>
      <c r="V114" s="3353"/>
      <c r="W114" s="3353" t="e">
        <f>+'GRD SUMM RCL CASTER 3'!#REF!</f>
        <v>#REF!</v>
      </c>
      <c r="X114" s="3353"/>
      <c r="Y114" s="3353" t="e">
        <f t="shared" si="32"/>
        <v>#REF!</v>
      </c>
      <c r="Z114" s="3353"/>
      <c r="AA114" s="3353" t="e">
        <f t="shared" si="33"/>
        <v>#REF!</v>
      </c>
      <c r="AB114" s="3353"/>
      <c r="AC114" s="6620" t="e">
        <f>+'GRD SUMM RCL CASTER 3'!#REF!</f>
        <v>#REF!</v>
      </c>
      <c r="AD114" s="3353"/>
      <c r="AE114" s="3353" t="e">
        <f t="shared" si="23"/>
        <v>#REF!</v>
      </c>
      <c r="AF114" s="3353"/>
      <c r="AG114" s="3353" t="e">
        <f>+'GRD SUMM RCL CASTER 3'!#REF!</f>
        <v>#REF!</v>
      </c>
      <c r="AH114" s="3353"/>
      <c r="AI114" s="3353" t="e">
        <f t="shared" si="24"/>
        <v>#REF!</v>
      </c>
      <c r="AJ114" s="3353"/>
      <c r="AK114" s="6620" t="e">
        <f>+'GRD SUMM RCL CASTER 3'!#REF!</f>
        <v>#REF!</v>
      </c>
      <c r="AL114" s="3353"/>
      <c r="AM114" s="3353" t="e">
        <f t="shared" si="25"/>
        <v>#REF!</v>
      </c>
      <c r="AN114" s="3353"/>
      <c r="AO114" s="3353" t="e">
        <f t="shared" si="26"/>
        <v>#REF!</v>
      </c>
      <c r="AP114" s="3353"/>
      <c r="AQ114" s="3353" t="e">
        <f>+'GRD SUMM RCL CASTER 3'!#REF!</f>
        <v>#REF!</v>
      </c>
      <c r="AR114" s="3353"/>
      <c r="AS114" s="3353" t="e">
        <f t="shared" si="27"/>
        <v>#REF!</v>
      </c>
      <c r="AT114" s="3353"/>
      <c r="AU114" s="3353" t="e">
        <f>+'GRD SUMM RCL CASTER 3'!#REF!</f>
        <v>#REF!</v>
      </c>
      <c r="AV114" s="3353"/>
      <c r="AW114" s="3353" t="e">
        <f t="shared" si="28"/>
        <v>#REF!</v>
      </c>
      <c r="AX114" s="3353"/>
      <c r="AY114" s="3353" t="e">
        <f>+'GRD SUMM RCL CASTER 3'!#REF!</f>
        <v>#REF!</v>
      </c>
      <c r="AZ114" s="3353"/>
      <c r="BA114" s="3353" t="e">
        <f t="shared" si="29"/>
        <v>#REF!</v>
      </c>
      <c r="BB114" s="3353"/>
      <c r="BC114" s="3353" t="e">
        <f t="shared" si="30"/>
        <v>#REF!</v>
      </c>
      <c r="BD114" s="3375"/>
      <c r="BE114" s="3375" t="e">
        <f t="shared" si="31"/>
        <v>#REF!</v>
      </c>
    </row>
    <row r="115" spans="2:58" x14ac:dyDescent="0.25">
      <c r="C115" s="3373" t="s">
        <v>1546</v>
      </c>
      <c r="D115" s="3373"/>
      <c r="E115" s="3353" t="e">
        <f>+'GRD SUMM RCL CASTER 3'!#REF!</f>
        <v>#REF!</v>
      </c>
      <c r="F115" s="3353"/>
      <c r="G115" s="3353" t="e">
        <f>+'GRD SUMM RCL CASTER 3'!#REF!</f>
        <v>#REF!</v>
      </c>
      <c r="H115" s="3353"/>
      <c r="I115" s="3353" t="e">
        <f t="shared" si="17"/>
        <v>#REF!</v>
      </c>
      <c r="J115" s="3353"/>
      <c r="K115" s="3353" t="e">
        <f>+'GRD SUMM RCL CASTER 3'!#REF!</f>
        <v>#REF!</v>
      </c>
      <c r="L115" s="3353"/>
      <c r="M115" s="3353" t="e">
        <f t="shared" si="18"/>
        <v>#REF!</v>
      </c>
      <c r="N115" s="3353"/>
      <c r="O115" s="3353" t="e">
        <f>+'GRD SUMM RCL CASTER 3'!#REF!</f>
        <v>#REF!</v>
      </c>
      <c r="P115" s="3353"/>
      <c r="Q115" s="3353" t="e">
        <f t="shared" si="19"/>
        <v>#REF!</v>
      </c>
      <c r="R115" s="3353"/>
      <c r="S115" s="3353" t="e">
        <f>+'GRD SUMM RCL CASTER 3'!#REF!</f>
        <v>#REF!</v>
      </c>
      <c r="T115" s="3353"/>
      <c r="U115" s="3353" t="e">
        <f t="shared" si="20"/>
        <v>#REF!</v>
      </c>
      <c r="V115" s="3353"/>
      <c r="W115" s="3353" t="e">
        <f>+'GRD SUMM RCL CASTER 3'!#REF!</f>
        <v>#REF!</v>
      </c>
      <c r="X115" s="3353"/>
      <c r="Y115" s="3353" t="e">
        <f t="shared" si="32"/>
        <v>#REF!</v>
      </c>
      <c r="Z115" s="3353"/>
      <c r="AA115" s="3353" t="e">
        <f t="shared" si="33"/>
        <v>#REF!</v>
      </c>
      <c r="AB115" s="3353"/>
      <c r="AC115" s="6620" t="e">
        <f>+'GRD SUMM RCL CASTER 3'!#REF!</f>
        <v>#REF!</v>
      </c>
      <c r="AD115" s="3353"/>
      <c r="AE115" s="3353" t="e">
        <f t="shared" si="23"/>
        <v>#REF!</v>
      </c>
      <c r="AF115" s="3353"/>
      <c r="AG115" s="3353" t="e">
        <f>+'GRD SUMM RCL CASTER 3'!#REF!</f>
        <v>#REF!</v>
      </c>
      <c r="AH115" s="3353"/>
      <c r="AI115" s="3353" t="e">
        <f t="shared" si="24"/>
        <v>#REF!</v>
      </c>
      <c r="AJ115" s="3353"/>
      <c r="AK115" s="6620" t="e">
        <f>+'GRD SUMM RCL CASTER 3'!#REF!</f>
        <v>#REF!</v>
      </c>
      <c r="AL115" s="3353"/>
      <c r="AM115" s="3353" t="e">
        <f t="shared" si="25"/>
        <v>#REF!</v>
      </c>
      <c r="AN115" s="3353"/>
      <c r="AO115" s="3353" t="e">
        <f t="shared" si="26"/>
        <v>#REF!</v>
      </c>
      <c r="AP115" s="3353"/>
      <c r="AQ115" s="3353" t="e">
        <f>+'GRD SUMM RCL CASTER 3'!#REF!</f>
        <v>#REF!</v>
      </c>
      <c r="AR115" s="3353"/>
      <c r="AS115" s="3353" t="e">
        <f t="shared" si="27"/>
        <v>#REF!</v>
      </c>
      <c r="AT115" s="3353"/>
      <c r="AU115" s="3353" t="e">
        <f>+'GRD SUMM RCL CASTER 3'!#REF!</f>
        <v>#REF!</v>
      </c>
      <c r="AV115" s="3353"/>
      <c r="AW115" s="3353" t="e">
        <f t="shared" si="28"/>
        <v>#REF!</v>
      </c>
      <c r="AX115" s="3353"/>
      <c r="AY115" s="3353" t="e">
        <f>+'GRD SUMM RCL CASTER 3'!#REF!</f>
        <v>#REF!</v>
      </c>
      <c r="AZ115" s="3353"/>
      <c r="BA115" s="3353" t="e">
        <f t="shared" si="29"/>
        <v>#REF!</v>
      </c>
      <c r="BB115" s="3353"/>
      <c r="BC115" s="3353" t="e">
        <f t="shared" si="30"/>
        <v>#REF!</v>
      </c>
      <c r="BD115" s="3375"/>
      <c r="BE115" s="3375" t="e">
        <f t="shared" si="31"/>
        <v>#REF!</v>
      </c>
    </row>
    <row r="116" spans="2:58" x14ac:dyDescent="0.25">
      <c r="C116" s="3373" t="s">
        <v>1221</v>
      </c>
      <c r="D116" s="3373"/>
      <c r="E116" s="3353">
        <f>+'GRD SUMM RCL CASTER 3'!C9</f>
        <v>0</v>
      </c>
      <c r="F116" s="3353"/>
      <c r="G116" s="3353">
        <f>+'GRD SUMM RCL CASTER 3'!E9</f>
        <v>2204</v>
      </c>
      <c r="H116" s="3353"/>
      <c r="I116" s="3353">
        <f t="shared" si="17"/>
        <v>2204</v>
      </c>
      <c r="J116" s="3353"/>
      <c r="K116" s="3353">
        <f>+'GRD SUMM RCL CASTER 3'!I9</f>
        <v>1532</v>
      </c>
      <c r="L116" s="3353"/>
      <c r="M116" s="3353">
        <f t="shared" si="18"/>
        <v>3736</v>
      </c>
      <c r="N116" s="3353"/>
      <c r="O116" s="3353">
        <f>+'GRD SUMM RCL CASTER 3'!M9</f>
        <v>3338</v>
      </c>
      <c r="P116" s="3353"/>
      <c r="Q116" s="3353">
        <f t="shared" si="19"/>
        <v>7074</v>
      </c>
      <c r="R116" s="3353"/>
      <c r="S116" s="3353">
        <f>+'GRD SUMM RCL CASTER 3'!Q9</f>
        <v>5159</v>
      </c>
      <c r="T116" s="3353"/>
      <c r="U116" s="3353">
        <f t="shared" si="20"/>
        <v>12233</v>
      </c>
      <c r="V116" s="3353"/>
      <c r="W116" s="3353">
        <f>+'GRD SUMM RCL CASTER 3'!U9</f>
        <v>982.56600000000003</v>
      </c>
      <c r="X116" s="3353"/>
      <c r="Y116" s="3353">
        <f t="shared" si="32"/>
        <v>9479.5659999999989</v>
      </c>
      <c r="Z116" s="3353"/>
      <c r="AA116" s="3353">
        <f t="shared" si="33"/>
        <v>13215.566000000001</v>
      </c>
      <c r="AB116" s="3353"/>
      <c r="AC116" s="6620">
        <f>+'GRD SUMM RCL CASTER 3'!AA9</f>
        <v>5183.3339999999998</v>
      </c>
      <c r="AD116" s="3353"/>
      <c r="AE116" s="3353">
        <f t="shared" si="23"/>
        <v>18398.900000000001</v>
      </c>
      <c r="AF116" s="3353"/>
      <c r="AG116" s="3353">
        <f>+'GRD SUMM RCL CASTER 3'!AE9</f>
        <v>0</v>
      </c>
      <c r="AH116" s="3353"/>
      <c r="AI116" s="3353">
        <f t="shared" si="24"/>
        <v>18398.900000000001</v>
      </c>
      <c r="AJ116" s="3353"/>
      <c r="AK116" s="6620">
        <f>+'GRD SUMM RCL CASTER 3'!AI9</f>
        <v>10406</v>
      </c>
      <c r="AL116" s="3353"/>
      <c r="AM116" s="3353">
        <f t="shared" si="25"/>
        <v>15589.333999999999</v>
      </c>
      <c r="AN116" s="3353"/>
      <c r="AO116" s="3353">
        <f t="shared" si="26"/>
        <v>28804.899999999998</v>
      </c>
      <c r="AP116" s="3353"/>
      <c r="AQ116" s="3353">
        <f>+'GRD SUMM RCL CASTER 3'!AO9</f>
        <v>10251.306</v>
      </c>
      <c r="AR116" s="3353"/>
      <c r="AS116" s="3353">
        <f t="shared" si="27"/>
        <v>39056.205999999998</v>
      </c>
      <c r="AT116" s="3353"/>
      <c r="AU116" s="3353">
        <f>+'GRD SUMM RCL CASTER 3'!AS9</f>
        <v>0</v>
      </c>
      <c r="AV116" s="3353"/>
      <c r="AW116" s="3353">
        <f t="shared" si="28"/>
        <v>39056.205999999998</v>
      </c>
      <c r="AX116" s="3353"/>
      <c r="AY116" s="3353">
        <f>+'GRD SUMM RCL CASTER 3'!AW9</f>
        <v>0</v>
      </c>
      <c r="AZ116" s="3353"/>
      <c r="BA116" s="3353">
        <f t="shared" si="29"/>
        <v>10251.306</v>
      </c>
      <c r="BB116" s="3353"/>
      <c r="BC116" s="3353">
        <f t="shared" si="30"/>
        <v>25840.639999999999</v>
      </c>
      <c r="BD116" s="3375"/>
      <c r="BE116" s="3375">
        <f t="shared" si="31"/>
        <v>39056.205999999998</v>
      </c>
    </row>
    <row r="117" spans="2:58" x14ac:dyDescent="0.25">
      <c r="C117" s="3373" t="s">
        <v>1391</v>
      </c>
      <c r="D117" s="3373"/>
      <c r="E117" s="3353">
        <f>+'GRD SUMM RCL CASTER 3'!C11</f>
        <v>0</v>
      </c>
      <c r="F117" s="3353"/>
      <c r="G117" s="3353">
        <f>+'GRD SUMM RCL CASTER 3'!E11</f>
        <v>0</v>
      </c>
      <c r="H117" s="3353"/>
      <c r="I117" s="3353">
        <f t="shared" si="17"/>
        <v>0</v>
      </c>
      <c r="J117" s="3353"/>
      <c r="K117" s="3353">
        <f>+'GRD SUMM RCL CASTER 3'!I11</f>
        <v>0</v>
      </c>
      <c r="L117" s="3353"/>
      <c r="M117" s="3353">
        <f t="shared" si="18"/>
        <v>0</v>
      </c>
      <c r="N117" s="3353"/>
      <c r="O117" s="3353">
        <f>+'GRD SUMM RCL CASTER 3'!M11</f>
        <v>1125</v>
      </c>
      <c r="P117" s="3353"/>
      <c r="Q117" s="3353">
        <f t="shared" si="19"/>
        <v>1125</v>
      </c>
      <c r="R117" s="3353"/>
      <c r="S117" s="3353">
        <f>+'GRD SUMM RCL CASTER 3'!Q11</f>
        <v>0</v>
      </c>
      <c r="T117" s="3353"/>
      <c r="U117" s="3353">
        <f t="shared" si="20"/>
        <v>1125</v>
      </c>
      <c r="V117" s="3353"/>
      <c r="W117" s="3353">
        <f>+'GRD SUMM RCL CASTER 3'!U11</f>
        <v>0</v>
      </c>
      <c r="X117" s="3353"/>
      <c r="Y117" s="3353">
        <f t="shared" si="32"/>
        <v>1125</v>
      </c>
      <c r="Z117" s="3353"/>
      <c r="AA117" s="3353">
        <f t="shared" si="33"/>
        <v>1125</v>
      </c>
      <c r="AB117" s="3353"/>
      <c r="AC117" s="6620">
        <f>+'GRD SUMM RCL CASTER 3'!AA11</f>
        <v>0</v>
      </c>
      <c r="AD117" s="3353"/>
      <c r="AE117" s="3353">
        <f t="shared" si="23"/>
        <v>1125</v>
      </c>
      <c r="AF117" s="3353"/>
      <c r="AG117" s="3353">
        <f>+'GRD SUMM RCL CASTER 3'!AE11</f>
        <v>0</v>
      </c>
      <c r="AH117" s="3353"/>
      <c r="AI117" s="3353">
        <f t="shared" si="24"/>
        <v>1125</v>
      </c>
      <c r="AJ117" s="3353"/>
      <c r="AK117" s="6620">
        <f>+'GRD SUMM RCL CASTER 3'!AI11</f>
        <v>0</v>
      </c>
      <c r="AL117" s="3353"/>
      <c r="AM117" s="3353">
        <f t="shared" si="25"/>
        <v>0</v>
      </c>
      <c r="AN117" s="3353"/>
      <c r="AO117" s="3353">
        <f t="shared" si="26"/>
        <v>1125</v>
      </c>
      <c r="AP117" s="3353"/>
      <c r="AQ117" s="3353">
        <f>+'GRD SUMM RCL CASTER 3'!AO11</f>
        <v>0</v>
      </c>
      <c r="AR117" s="3353"/>
      <c r="AS117" s="3353">
        <f t="shared" si="27"/>
        <v>1125</v>
      </c>
      <c r="AT117" s="3353"/>
      <c r="AU117" s="3353">
        <f>+'GRD SUMM RCL CASTER 3'!AS11</f>
        <v>0</v>
      </c>
      <c r="AV117" s="3353"/>
      <c r="AW117" s="3353">
        <f t="shared" si="28"/>
        <v>1125</v>
      </c>
      <c r="AX117" s="3353"/>
      <c r="AY117" s="3353">
        <f>+'GRD SUMM RCL CASTER 3'!AW11</f>
        <v>0</v>
      </c>
      <c r="AZ117" s="3353"/>
      <c r="BA117" s="3353">
        <f t="shared" si="29"/>
        <v>0</v>
      </c>
      <c r="BB117" s="3353"/>
      <c r="BC117" s="3353">
        <f t="shared" si="30"/>
        <v>0</v>
      </c>
      <c r="BD117" s="3375"/>
      <c r="BE117" s="3375">
        <f t="shared" si="31"/>
        <v>1125</v>
      </c>
    </row>
    <row r="118" spans="2:58" x14ac:dyDescent="0.25">
      <c r="C118" s="3373" t="s">
        <v>1633</v>
      </c>
      <c r="D118" s="3373"/>
      <c r="E118" s="3353">
        <f>+'GRD SUMM RCL CASTER 3'!C12</f>
        <v>0</v>
      </c>
      <c r="F118" s="3353"/>
      <c r="G118" s="3353">
        <f>+'GRD SUMM RCL CASTER 3'!E12</f>
        <v>2438</v>
      </c>
      <c r="H118" s="3353"/>
      <c r="I118" s="3353">
        <f t="shared" si="17"/>
        <v>2438</v>
      </c>
      <c r="J118" s="3353"/>
      <c r="K118" s="3353">
        <f>+'GRD SUMM RCL CASTER 3'!I12</f>
        <v>0</v>
      </c>
      <c r="L118" s="3353"/>
      <c r="M118" s="3353">
        <f t="shared" si="18"/>
        <v>2438</v>
      </c>
      <c r="N118" s="3353"/>
      <c r="O118" s="3353">
        <f>+'GRD SUMM RCL CASTER 3'!M12</f>
        <v>0</v>
      </c>
      <c r="P118" s="3353"/>
      <c r="Q118" s="3353">
        <f t="shared" si="19"/>
        <v>2438</v>
      </c>
      <c r="R118" s="3353"/>
      <c r="S118" s="3353">
        <f>+'GRD SUMM RCL CASTER 3'!Q12</f>
        <v>0</v>
      </c>
      <c r="T118" s="3353"/>
      <c r="U118" s="3353">
        <f t="shared" si="20"/>
        <v>2438</v>
      </c>
      <c r="V118" s="3353"/>
      <c r="W118" s="3353">
        <f>+'GRD SUMM RCL CASTER 3'!U12</f>
        <v>1690.729</v>
      </c>
      <c r="X118" s="3353"/>
      <c r="Y118" s="3353">
        <f t="shared" si="32"/>
        <v>1690.729</v>
      </c>
      <c r="Z118" s="3353"/>
      <c r="AA118" s="3353">
        <f t="shared" si="33"/>
        <v>4128.7290000000003</v>
      </c>
      <c r="AB118" s="3353"/>
      <c r="AC118" s="6620">
        <f>+'GRD SUMM RCL CASTER 3'!AA12</f>
        <v>0</v>
      </c>
      <c r="AD118" s="3353"/>
      <c r="AE118" s="3353">
        <f t="shared" si="23"/>
        <v>4128.7290000000003</v>
      </c>
      <c r="AF118" s="3353"/>
      <c r="AG118" s="3353">
        <f>+'GRD SUMM RCL CASTER 3'!AE12</f>
        <v>0</v>
      </c>
      <c r="AH118" s="3353"/>
      <c r="AI118" s="3353">
        <f t="shared" si="24"/>
        <v>4128.7290000000003</v>
      </c>
      <c r="AJ118" s="3353"/>
      <c r="AK118" s="6620">
        <f>+'GRD SUMM RCL CASTER 3'!AI12</f>
        <v>0</v>
      </c>
      <c r="AL118" s="3353"/>
      <c r="AM118" s="3353">
        <f t="shared" si="25"/>
        <v>0</v>
      </c>
      <c r="AN118" s="3353"/>
      <c r="AO118" s="3353">
        <f t="shared" si="26"/>
        <v>4128.7290000000003</v>
      </c>
      <c r="AP118" s="3353"/>
      <c r="AQ118" s="3353">
        <f>+'GRD SUMM RCL CASTER 3'!AO12</f>
        <v>0</v>
      </c>
      <c r="AR118" s="3353"/>
      <c r="AS118" s="3353">
        <f t="shared" si="27"/>
        <v>4128.7290000000003</v>
      </c>
      <c r="AT118" s="3353"/>
      <c r="AU118" s="3353">
        <f>+'GRD SUMM RCL CASTER 3'!AS12</f>
        <v>0</v>
      </c>
      <c r="AV118" s="3353"/>
      <c r="AW118" s="3353">
        <f t="shared" si="28"/>
        <v>4128.7290000000003</v>
      </c>
      <c r="AX118" s="3353"/>
      <c r="AY118" s="3353">
        <f>+'GRD SUMM RCL CASTER 3'!AW12</f>
        <v>0</v>
      </c>
      <c r="AZ118" s="3353"/>
      <c r="BA118" s="3353">
        <f t="shared" si="29"/>
        <v>0</v>
      </c>
      <c r="BB118" s="3353"/>
      <c r="BC118" s="3353">
        <f t="shared" si="30"/>
        <v>0</v>
      </c>
      <c r="BD118" s="3375"/>
      <c r="BE118" s="3375">
        <f t="shared" si="31"/>
        <v>4128.7290000000003</v>
      </c>
    </row>
    <row r="119" spans="2:58" x14ac:dyDescent="0.25">
      <c r="C119" s="3373" t="s">
        <v>1218</v>
      </c>
      <c r="D119" s="3373"/>
      <c r="E119" s="3353">
        <f>+'GRD SUMM RCL CASTER 3'!C13</f>
        <v>0</v>
      </c>
      <c r="F119" s="3353"/>
      <c r="G119" s="3353">
        <f>+'GRD SUMM RCL CASTER 3'!E13</f>
        <v>69</v>
      </c>
      <c r="H119" s="3353"/>
      <c r="I119" s="3353">
        <f t="shared" si="17"/>
        <v>69</v>
      </c>
      <c r="J119" s="3353"/>
      <c r="K119" s="3353">
        <f>+'GRD SUMM RCL CASTER 3'!I13</f>
        <v>4</v>
      </c>
      <c r="L119" s="3353"/>
      <c r="M119" s="3353">
        <f t="shared" si="18"/>
        <v>73</v>
      </c>
      <c r="N119" s="3353"/>
      <c r="O119" s="3353">
        <f>+'GRD SUMM RCL CASTER 3'!M13</f>
        <v>59</v>
      </c>
      <c r="P119" s="3353"/>
      <c r="Q119" s="3353">
        <f t="shared" si="19"/>
        <v>132</v>
      </c>
      <c r="R119" s="3353"/>
      <c r="S119" s="3353">
        <f>+'GRD SUMM RCL CASTER 3'!Q13</f>
        <v>24</v>
      </c>
      <c r="T119" s="3353"/>
      <c r="U119" s="3353">
        <f t="shared" si="20"/>
        <v>156</v>
      </c>
      <c r="V119" s="3353"/>
      <c r="W119" s="3353">
        <f>+'GRD SUMM RCL CASTER 3'!U13</f>
        <v>46.875</v>
      </c>
      <c r="X119" s="3353"/>
      <c r="Y119" s="3353">
        <f t="shared" si="32"/>
        <v>129.875</v>
      </c>
      <c r="Z119" s="3353"/>
      <c r="AA119" s="3353">
        <f t="shared" si="33"/>
        <v>202.875</v>
      </c>
      <c r="AB119" s="3353"/>
      <c r="AC119" s="6620">
        <f>+'GRD SUMM RCL CASTER 3'!AA13</f>
        <v>71.603999999999999</v>
      </c>
      <c r="AD119" s="3353"/>
      <c r="AE119" s="3353">
        <f t="shared" si="23"/>
        <v>274.47899999999998</v>
      </c>
      <c r="AF119" s="3353"/>
      <c r="AG119" s="3353">
        <f>+'GRD SUMM RCL CASTER 3'!AE13</f>
        <v>0</v>
      </c>
      <c r="AH119" s="3353"/>
      <c r="AI119" s="3353">
        <f t="shared" si="24"/>
        <v>274.47899999999998</v>
      </c>
      <c r="AJ119" s="3353"/>
      <c r="AK119" s="6620">
        <f>+'GRD SUMM RCL CASTER 3'!AI13</f>
        <v>72</v>
      </c>
      <c r="AL119" s="3353"/>
      <c r="AM119" s="3353">
        <f t="shared" si="25"/>
        <v>143.60399999999998</v>
      </c>
      <c r="AN119" s="3353"/>
      <c r="AO119" s="3353">
        <f t="shared" si="26"/>
        <v>346.47899999999998</v>
      </c>
      <c r="AP119" s="3353"/>
      <c r="AQ119" s="3353">
        <f>+'GRD SUMM RCL CASTER 3'!AO13</f>
        <v>103.428</v>
      </c>
      <c r="AR119" s="3353"/>
      <c r="AS119" s="3353">
        <f t="shared" si="27"/>
        <v>449.90699999999998</v>
      </c>
      <c r="AT119" s="3353"/>
      <c r="AU119" s="3353">
        <f>+'GRD SUMM RCL CASTER 3'!AS13</f>
        <v>0</v>
      </c>
      <c r="AV119" s="3353"/>
      <c r="AW119" s="3353">
        <f t="shared" si="28"/>
        <v>449.90699999999998</v>
      </c>
      <c r="AX119" s="3353"/>
      <c r="AY119" s="3353">
        <f>+'GRD SUMM RCL CASTER 3'!AW13</f>
        <v>0</v>
      </c>
      <c r="AZ119" s="3353"/>
      <c r="BA119" s="3353">
        <f t="shared" si="29"/>
        <v>103.428</v>
      </c>
      <c r="BB119" s="3353"/>
      <c r="BC119" s="3353">
        <f t="shared" si="30"/>
        <v>247.03199999999998</v>
      </c>
      <c r="BD119" s="3375"/>
      <c r="BE119" s="3375">
        <f t="shared" si="31"/>
        <v>449.90699999999998</v>
      </c>
    </row>
    <row r="120" spans="2:58" x14ac:dyDescent="0.25">
      <c r="C120" s="3373" t="s">
        <v>1741</v>
      </c>
      <c r="D120" s="3373"/>
      <c r="E120" s="3353" t="e">
        <f>+'GRD SUMM RCL CASTER 3'!#REF!</f>
        <v>#REF!</v>
      </c>
      <c r="F120" s="3353"/>
      <c r="G120" s="3353" t="e">
        <f>+'GRD SUMM RCL CASTER 3'!#REF!</f>
        <v>#REF!</v>
      </c>
      <c r="H120" s="3353"/>
      <c r="I120" s="3353" t="e">
        <f t="shared" si="17"/>
        <v>#REF!</v>
      </c>
      <c r="J120" s="3353"/>
      <c r="K120" s="3353" t="e">
        <f>+'GRD SUMM RCL CASTER 3'!#REF!</f>
        <v>#REF!</v>
      </c>
      <c r="L120" s="3353"/>
      <c r="M120" s="3353" t="e">
        <f t="shared" si="18"/>
        <v>#REF!</v>
      </c>
      <c r="N120" s="3353"/>
      <c r="O120" s="3353" t="e">
        <f>+'GRD SUMM RCL CASTER 3'!#REF!</f>
        <v>#REF!</v>
      </c>
      <c r="P120" s="3353"/>
      <c r="Q120" s="3353" t="e">
        <f t="shared" si="19"/>
        <v>#REF!</v>
      </c>
      <c r="R120" s="3353"/>
      <c r="S120" s="3353" t="e">
        <f>+'GRD SUMM RCL CASTER 3'!#REF!</f>
        <v>#REF!</v>
      </c>
      <c r="T120" s="3353"/>
      <c r="U120" s="3353" t="e">
        <f t="shared" si="20"/>
        <v>#REF!</v>
      </c>
      <c r="V120" s="3353"/>
      <c r="W120" s="3353" t="e">
        <f>+'GRD SUMM RCL CASTER 3'!#REF!</f>
        <v>#REF!</v>
      </c>
      <c r="X120" s="3353"/>
      <c r="Y120" s="3353" t="e">
        <f t="shared" si="32"/>
        <v>#REF!</v>
      </c>
      <c r="Z120" s="3353"/>
      <c r="AA120" s="3353" t="e">
        <f t="shared" si="33"/>
        <v>#REF!</v>
      </c>
      <c r="AB120" s="3353"/>
      <c r="AC120" s="6620" t="e">
        <f>+'GRD SUMM RCL CASTER 3'!#REF!</f>
        <v>#REF!</v>
      </c>
      <c r="AD120" s="3353"/>
      <c r="AE120" s="3353" t="e">
        <f t="shared" si="23"/>
        <v>#REF!</v>
      </c>
      <c r="AF120" s="3353"/>
      <c r="AG120" s="3353" t="e">
        <f>+'GRD SUMM RCL CASTER 3'!#REF!</f>
        <v>#REF!</v>
      </c>
      <c r="AH120" s="3353"/>
      <c r="AI120" s="3353" t="e">
        <f t="shared" si="24"/>
        <v>#REF!</v>
      </c>
      <c r="AJ120" s="3353"/>
      <c r="AK120" s="6620" t="e">
        <f>+'GRD SUMM RCL CASTER 3'!#REF!</f>
        <v>#REF!</v>
      </c>
      <c r="AL120" s="3353"/>
      <c r="AM120" s="3353" t="e">
        <f t="shared" si="25"/>
        <v>#REF!</v>
      </c>
      <c r="AN120" s="3353"/>
      <c r="AO120" s="3353" t="e">
        <f t="shared" si="26"/>
        <v>#REF!</v>
      </c>
      <c r="AP120" s="3353"/>
      <c r="AQ120" s="3353" t="e">
        <f>+'GRD SUMM RCL CASTER 3'!#REF!</f>
        <v>#REF!</v>
      </c>
      <c r="AR120" s="3353"/>
      <c r="AS120" s="3353" t="e">
        <f t="shared" si="27"/>
        <v>#REF!</v>
      </c>
      <c r="AT120" s="3353"/>
      <c r="AU120" s="3353" t="e">
        <f>+'GRD SUMM RCL CASTER 3'!#REF!</f>
        <v>#REF!</v>
      </c>
      <c r="AV120" s="3353"/>
      <c r="AW120" s="3353" t="e">
        <f t="shared" si="28"/>
        <v>#REF!</v>
      </c>
      <c r="AX120" s="3353"/>
      <c r="AY120" s="3353" t="e">
        <f>+'GRD SUMM RCL CASTER 3'!#REF!</f>
        <v>#REF!</v>
      </c>
      <c r="AZ120" s="3353"/>
      <c r="BA120" s="3353" t="e">
        <f t="shared" si="29"/>
        <v>#REF!</v>
      </c>
      <c r="BB120" s="3353"/>
      <c r="BC120" s="3353" t="e">
        <f t="shared" si="30"/>
        <v>#REF!</v>
      </c>
      <c r="BD120" s="3375"/>
      <c r="BE120" s="3375" t="e">
        <f t="shared" si="31"/>
        <v>#REF!</v>
      </c>
    </row>
    <row r="121" spans="2:58" ht="16.5" thickBot="1" x14ac:dyDescent="0.3">
      <c r="B121" s="279"/>
      <c r="C121" s="3364" t="s">
        <v>1821</v>
      </c>
      <c r="D121" s="3384"/>
      <c r="E121" s="3365" t="e">
        <f>SUM(E112:E120)</f>
        <v>#REF!</v>
      </c>
      <c r="F121" s="3365"/>
      <c r="G121" s="3365" t="e">
        <f>SUM(G112:G120)</f>
        <v>#REF!</v>
      </c>
      <c r="H121" s="3365"/>
      <c r="I121" s="3365" t="e">
        <f t="shared" si="17"/>
        <v>#REF!</v>
      </c>
      <c r="J121" s="3365"/>
      <c r="K121" s="3365" t="e">
        <f>SUM(K112:K120)</f>
        <v>#REF!</v>
      </c>
      <c r="L121" s="3365"/>
      <c r="M121" s="3365" t="e">
        <f t="shared" si="18"/>
        <v>#REF!</v>
      </c>
      <c r="N121" s="3365"/>
      <c r="O121" s="3365" t="e">
        <f>SUM(O112:O120)</f>
        <v>#REF!</v>
      </c>
      <c r="P121" s="3365"/>
      <c r="Q121" s="3365" t="e">
        <f t="shared" si="19"/>
        <v>#REF!</v>
      </c>
      <c r="R121" s="3365"/>
      <c r="S121" s="3365" t="e">
        <f>SUM(S112:S120)</f>
        <v>#REF!</v>
      </c>
      <c r="T121" s="3365"/>
      <c r="U121" s="3365" t="e">
        <f t="shared" si="20"/>
        <v>#REF!</v>
      </c>
      <c r="V121" s="3365"/>
      <c r="W121" s="3365" t="e">
        <f>SUM(W112:W120)</f>
        <v>#REF!</v>
      </c>
      <c r="X121" s="3365"/>
      <c r="Y121" s="3365" t="e">
        <f t="shared" si="32"/>
        <v>#REF!</v>
      </c>
      <c r="Z121" s="3365"/>
      <c r="AA121" s="3365" t="e">
        <f t="shared" si="33"/>
        <v>#REF!</v>
      </c>
      <c r="AB121" s="3365"/>
      <c r="AC121" s="6625" t="e">
        <f>SUM(AC112:AC120)</f>
        <v>#REF!</v>
      </c>
      <c r="AD121" s="3365"/>
      <c r="AE121" s="3365" t="e">
        <f t="shared" si="23"/>
        <v>#REF!</v>
      </c>
      <c r="AF121" s="3365"/>
      <c r="AG121" s="3365" t="e">
        <f>SUM(AG112:AG120)</f>
        <v>#REF!</v>
      </c>
      <c r="AH121" s="3365"/>
      <c r="AI121" s="3365" t="e">
        <f t="shared" si="24"/>
        <v>#REF!</v>
      </c>
      <c r="AJ121" s="3365"/>
      <c r="AK121" s="6625" t="e">
        <f>SUM(AK112:AK120)</f>
        <v>#REF!</v>
      </c>
      <c r="AL121" s="3365"/>
      <c r="AM121" s="3365" t="e">
        <f t="shared" si="25"/>
        <v>#REF!</v>
      </c>
      <c r="AN121" s="3365"/>
      <c r="AO121" s="3365" t="e">
        <f t="shared" si="26"/>
        <v>#REF!</v>
      </c>
      <c r="AP121" s="3365"/>
      <c r="AQ121" s="3365" t="e">
        <f>SUM(AQ112:AQ120)</f>
        <v>#REF!</v>
      </c>
      <c r="AR121" s="3365"/>
      <c r="AS121" s="3365" t="e">
        <f t="shared" si="27"/>
        <v>#REF!</v>
      </c>
      <c r="AT121" s="3365"/>
      <c r="AU121" s="3365" t="e">
        <f>SUM(AU112:AU120)</f>
        <v>#REF!</v>
      </c>
      <c r="AV121" s="3365"/>
      <c r="AW121" s="3365" t="e">
        <f t="shared" si="28"/>
        <v>#REF!</v>
      </c>
      <c r="AX121" s="3365"/>
      <c r="AY121" s="3365" t="e">
        <f>SUM(AY112:AY120)</f>
        <v>#REF!</v>
      </c>
      <c r="AZ121" s="3365"/>
      <c r="BA121" s="3365" t="e">
        <f t="shared" si="29"/>
        <v>#REF!</v>
      </c>
      <c r="BB121" s="3365"/>
      <c r="BC121" s="3365" t="e">
        <f t="shared" si="30"/>
        <v>#REF!</v>
      </c>
      <c r="BD121" s="3365"/>
      <c r="BE121" s="3365" t="e">
        <f t="shared" si="31"/>
        <v>#REF!</v>
      </c>
    </row>
    <row r="122" spans="2:58" x14ac:dyDescent="0.25">
      <c r="B122" s="280"/>
      <c r="C122" s="261"/>
      <c r="D122" s="261"/>
      <c r="G122" s="5172"/>
      <c r="H122" s="5172"/>
      <c r="I122" s="5172"/>
      <c r="K122" s="5172"/>
      <c r="L122" s="5172"/>
      <c r="M122" s="5172"/>
      <c r="O122" s="5172"/>
      <c r="P122" s="5172"/>
      <c r="Q122" s="5172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556"/>
      <c r="AD122" s="149"/>
      <c r="AE122" s="149"/>
      <c r="AF122" s="149"/>
      <c r="AG122" s="149"/>
      <c r="AH122" s="149"/>
      <c r="AI122" s="149"/>
      <c r="AJ122" s="149"/>
      <c r="AK122" s="1556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</row>
    <row r="123" spans="2:58" x14ac:dyDescent="0.25">
      <c r="B123" s="280"/>
      <c r="C123" s="3374" t="s">
        <v>1822</v>
      </c>
      <c r="D123" s="3374"/>
      <c r="E123" s="3140">
        <f>+SMS!F42</f>
        <v>0</v>
      </c>
      <c r="F123" s="3140"/>
      <c r="G123" s="3140">
        <f>+SMS!H42</f>
        <v>0</v>
      </c>
      <c r="H123" s="3140"/>
      <c r="I123" s="3140">
        <f t="shared" si="17"/>
        <v>0</v>
      </c>
      <c r="J123" s="3140"/>
      <c r="K123" s="3140">
        <f>+SMS!L42</f>
        <v>10</v>
      </c>
      <c r="L123" s="3140"/>
      <c r="M123" s="3140">
        <f t="shared" si="18"/>
        <v>10</v>
      </c>
      <c r="N123" s="3140"/>
      <c r="O123" s="3140">
        <f>+SMS!P42</f>
        <v>13</v>
      </c>
      <c r="P123" s="3140"/>
      <c r="Q123" s="3140">
        <f t="shared" si="19"/>
        <v>23</v>
      </c>
      <c r="R123" s="3140"/>
      <c r="S123" s="3140">
        <f>+SMS!T42</f>
        <v>0</v>
      </c>
      <c r="T123" s="3140"/>
      <c r="U123" s="3140">
        <f t="shared" si="20"/>
        <v>23</v>
      </c>
      <c r="V123" s="3140"/>
      <c r="W123" s="3140">
        <f>+SMS!X42</f>
        <v>9</v>
      </c>
      <c r="X123" s="3140"/>
      <c r="Y123" s="3140">
        <f t="shared" si="32"/>
        <v>22</v>
      </c>
      <c r="Z123" s="3140"/>
      <c r="AA123" s="3140">
        <f t="shared" si="33"/>
        <v>32</v>
      </c>
      <c r="AB123" s="3140"/>
      <c r="AC123" s="6624">
        <f>+SMS!AD42</f>
        <v>13</v>
      </c>
      <c r="AD123" s="3140"/>
      <c r="AE123" s="3140">
        <f t="shared" si="23"/>
        <v>45</v>
      </c>
      <c r="AF123" s="3140"/>
      <c r="AG123" s="3140">
        <f>+SMS!AH42</f>
        <v>0</v>
      </c>
      <c r="AH123" s="3140"/>
      <c r="AI123" s="3140">
        <f t="shared" si="24"/>
        <v>45</v>
      </c>
      <c r="AJ123" s="3140"/>
      <c r="AK123" s="6624">
        <f>+SMS!AL42</f>
        <v>22</v>
      </c>
      <c r="AL123" s="3140"/>
      <c r="AM123" s="3140">
        <f t="shared" si="25"/>
        <v>35</v>
      </c>
      <c r="AN123" s="3140"/>
      <c r="AO123" s="3140">
        <f t="shared" si="26"/>
        <v>67</v>
      </c>
      <c r="AP123" s="3140"/>
      <c r="AQ123" s="3140">
        <f>+SMS!AR42</f>
        <v>12</v>
      </c>
      <c r="AR123" s="3140"/>
      <c r="AS123" s="3140">
        <f t="shared" si="27"/>
        <v>79</v>
      </c>
      <c r="AT123" s="3140"/>
      <c r="AU123" s="3140">
        <f>+SMS!AV42</f>
        <v>0</v>
      </c>
      <c r="AV123" s="3140"/>
      <c r="AW123" s="3140">
        <f t="shared" si="28"/>
        <v>79</v>
      </c>
      <c r="AX123" s="3140"/>
      <c r="AY123" s="3140">
        <f>+SMS!AZ42</f>
        <v>0</v>
      </c>
      <c r="AZ123" s="3140"/>
      <c r="BA123" s="3140">
        <f t="shared" si="29"/>
        <v>12</v>
      </c>
      <c r="BB123" s="3140"/>
      <c r="BC123" s="3140">
        <f t="shared" si="30"/>
        <v>47</v>
      </c>
      <c r="BD123" s="6631"/>
      <c r="BE123" s="6631">
        <f t="shared" si="31"/>
        <v>79</v>
      </c>
    </row>
    <row r="124" spans="2:58" x14ac:dyDescent="0.25">
      <c r="B124" s="280"/>
      <c r="C124" s="3374" t="s">
        <v>1823</v>
      </c>
      <c r="D124" s="3374"/>
      <c r="E124" s="3140">
        <f>+'Direct sales IPT details'!E14</f>
        <v>0</v>
      </c>
      <c r="F124" s="3140"/>
      <c r="G124" s="3140">
        <f>+'Direct sales IPT details'!G14</f>
        <v>640.46</v>
      </c>
      <c r="H124" s="3140"/>
      <c r="I124" s="3140">
        <f t="shared" si="17"/>
        <v>640.46</v>
      </c>
      <c r="J124" s="3140"/>
      <c r="K124" s="3140">
        <f>+'Direct sales IPT details'!K14</f>
        <v>1468.38</v>
      </c>
      <c r="L124" s="3140"/>
      <c r="M124" s="3140">
        <f t="shared" si="18"/>
        <v>2108.84</v>
      </c>
      <c r="N124" s="3140"/>
      <c r="O124" s="3140">
        <f>+'Direct sales IPT details'!O14</f>
        <v>0</v>
      </c>
      <c r="P124" s="3140"/>
      <c r="Q124" s="3140">
        <f t="shared" si="19"/>
        <v>2108.84</v>
      </c>
      <c r="R124" s="3140"/>
      <c r="S124" s="3140">
        <f>+'Direct sales IPT details'!S14</f>
        <v>848.76</v>
      </c>
      <c r="T124" s="3140"/>
      <c r="U124" s="3140">
        <f t="shared" si="20"/>
        <v>2957.6000000000004</v>
      </c>
      <c r="V124" s="3140"/>
      <c r="W124" s="3140">
        <f>+'Direct sales IPT details'!W14</f>
        <v>793.3</v>
      </c>
      <c r="X124" s="3140"/>
      <c r="Y124" s="3140">
        <f t="shared" si="32"/>
        <v>1642.06</v>
      </c>
      <c r="Z124" s="3140"/>
      <c r="AA124" s="3140">
        <f t="shared" si="33"/>
        <v>3750.9000000000005</v>
      </c>
      <c r="AB124" s="3140"/>
      <c r="AC124" s="6624">
        <f>+'Direct sales IPT details'!AC14</f>
        <v>632.55999999999995</v>
      </c>
      <c r="AD124" s="3140"/>
      <c r="AE124" s="3140">
        <f t="shared" si="23"/>
        <v>4383.46</v>
      </c>
      <c r="AF124" s="3140"/>
      <c r="AG124" s="3140">
        <f>+'Direct sales IPT details'!AG14</f>
        <v>636.88</v>
      </c>
      <c r="AH124" s="3140"/>
      <c r="AI124" s="3140">
        <f t="shared" si="24"/>
        <v>5020.34</v>
      </c>
      <c r="AJ124" s="3140"/>
      <c r="AK124" s="6624">
        <f>+'Direct sales IPT details'!AK14</f>
        <v>367.46</v>
      </c>
      <c r="AL124" s="3140"/>
      <c r="AM124" s="3140">
        <f t="shared" si="25"/>
        <v>1636.8999999999999</v>
      </c>
      <c r="AN124" s="3140"/>
      <c r="AO124" s="3140">
        <f t="shared" si="26"/>
        <v>5387.8</v>
      </c>
      <c r="AP124" s="3140"/>
      <c r="AQ124" s="3140">
        <f>+'Direct sales IPT details'!AQ14</f>
        <v>0</v>
      </c>
      <c r="AR124" s="3140"/>
      <c r="AS124" s="3140">
        <f t="shared" si="27"/>
        <v>5387.8</v>
      </c>
      <c r="AT124" s="3140"/>
      <c r="AU124" s="3140">
        <f>+'Direct sales IPT details'!AU14</f>
        <v>0</v>
      </c>
      <c r="AV124" s="3140"/>
      <c r="AW124" s="3140">
        <f t="shared" si="28"/>
        <v>5387.8</v>
      </c>
      <c r="AX124" s="3140"/>
      <c r="AY124" s="3140">
        <f>+'Direct sales IPT details'!AY14</f>
        <v>0</v>
      </c>
      <c r="AZ124" s="3140"/>
      <c r="BA124" s="3140">
        <f t="shared" si="29"/>
        <v>0</v>
      </c>
      <c r="BB124" s="3140"/>
      <c r="BC124" s="3140">
        <f t="shared" si="30"/>
        <v>1636.8999999999999</v>
      </c>
      <c r="BD124" s="6631"/>
      <c r="BE124" s="6631">
        <f t="shared" si="31"/>
        <v>5387.8</v>
      </c>
    </row>
    <row r="125" spans="2:58" x14ac:dyDescent="0.25">
      <c r="C125" s="3376"/>
      <c r="D125" s="3376"/>
      <c r="E125" s="3199"/>
      <c r="F125" s="3199"/>
      <c r="G125" s="3199"/>
      <c r="H125" s="3199"/>
      <c r="I125" s="3199"/>
      <c r="J125" s="3199"/>
      <c r="K125" s="3199"/>
      <c r="L125" s="3199"/>
      <c r="M125" s="3199"/>
      <c r="N125" s="3199"/>
      <c r="O125" s="3199"/>
      <c r="P125" s="3199"/>
      <c r="Q125" s="3199"/>
      <c r="R125" s="3199"/>
      <c r="S125" s="3199"/>
      <c r="T125" s="3199"/>
      <c r="U125" s="3199"/>
      <c r="V125" s="3199"/>
      <c r="W125" s="3199"/>
      <c r="X125" s="3199"/>
      <c r="Y125" s="3199"/>
      <c r="Z125" s="3199"/>
      <c r="AA125" s="3199"/>
      <c r="AB125" s="3199"/>
      <c r="AC125" s="6627"/>
      <c r="AD125" s="3199"/>
      <c r="AE125" s="3199"/>
      <c r="AF125" s="3199"/>
      <c r="AG125" s="3199"/>
      <c r="AH125" s="3199"/>
      <c r="AI125" s="3199"/>
      <c r="AJ125" s="3199"/>
      <c r="AK125" s="6627"/>
      <c r="AL125" s="3199"/>
      <c r="AM125" s="3199"/>
      <c r="AN125" s="3199"/>
      <c r="AO125" s="3199"/>
      <c r="AP125" s="3199"/>
      <c r="AQ125" s="3199"/>
      <c r="AR125" s="3199"/>
      <c r="AS125" s="3199"/>
      <c r="AT125" s="3199"/>
      <c r="AU125" s="3199"/>
      <c r="AV125" s="3199"/>
      <c r="AW125" s="3199"/>
      <c r="AX125" s="3199"/>
      <c r="AY125" s="3199"/>
      <c r="AZ125" s="3199"/>
      <c r="BA125" s="3199"/>
      <c r="BB125" s="3199"/>
      <c r="BC125" s="3199"/>
      <c r="BD125" s="6636"/>
      <c r="BE125" s="6636"/>
    </row>
    <row r="126" spans="2:58" ht="16.5" thickBot="1" x14ac:dyDescent="0.3">
      <c r="C126" s="3364" t="s">
        <v>1824</v>
      </c>
      <c r="D126" s="3384"/>
      <c r="E126" s="3365" t="e">
        <f>+E121+E123+E124</f>
        <v>#REF!</v>
      </c>
      <c r="F126" s="3365"/>
      <c r="G126" s="3365" t="e">
        <f>+G121+G123+G124</f>
        <v>#REF!</v>
      </c>
      <c r="H126" s="3365"/>
      <c r="I126" s="3365" t="e">
        <f t="shared" si="17"/>
        <v>#REF!</v>
      </c>
      <c r="J126" s="3365"/>
      <c r="K126" s="3365" t="e">
        <f>+K121+K123+K124</f>
        <v>#REF!</v>
      </c>
      <c r="L126" s="3365"/>
      <c r="M126" s="3365" t="e">
        <f t="shared" si="18"/>
        <v>#REF!</v>
      </c>
      <c r="N126" s="3365"/>
      <c r="O126" s="3365" t="e">
        <f>+O121+O123+O124</f>
        <v>#REF!</v>
      </c>
      <c r="P126" s="3365"/>
      <c r="Q126" s="3365" t="e">
        <f t="shared" si="19"/>
        <v>#REF!</v>
      </c>
      <c r="R126" s="3365"/>
      <c r="S126" s="3365" t="e">
        <f>+S121+S123+S124</f>
        <v>#REF!</v>
      </c>
      <c r="T126" s="3365"/>
      <c r="U126" s="3365" t="e">
        <f t="shared" si="20"/>
        <v>#REF!</v>
      </c>
      <c r="V126" s="3365"/>
      <c r="W126" s="3365" t="e">
        <f>+W121+W123+W124</f>
        <v>#REF!</v>
      </c>
      <c r="X126" s="3365"/>
      <c r="Y126" s="3365" t="e">
        <f t="shared" si="32"/>
        <v>#REF!</v>
      </c>
      <c r="Z126" s="3365"/>
      <c r="AA126" s="3365" t="e">
        <f t="shared" si="33"/>
        <v>#REF!</v>
      </c>
      <c r="AB126" s="3365"/>
      <c r="AC126" s="6625" t="e">
        <f>+AC121+AC123+AC124</f>
        <v>#REF!</v>
      </c>
      <c r="AD126" s="3365"/>
      <c r="AE126" s="3365" t="e">
        <f t="shared" si="23"/>
        <v>#REF!</v>
      </c>
      <c r="AF126" s="3365"/>
      <c r="AG126" s="3365" t="e">
        <f>+AG121+AG123+AG124</f>
        <v>#REF!</v>
      </c>
      <c r="AH126" s="3365"/>
      <c r="AI126" s="3365" t="e">
        <f t="shared" si="24"/>
        <v>#REF!</v>
      </c>
      <c r="AJ126" s="3365"/>
      <c r="AK126" s="6625" t="e">
        <f>+AK121+AK123+AK124</f>
        <v>#REF!</v>
      </c>
      <c r="AL126" s="3365"/>
      <c r="AM126" s="3365" t="e">
        <f t="shared" si="25"/>
        <v>#REF!</v>
      </c>
      <c r="AN126" s="3365"/>
      <c r="AO126" s="3365" t="e">
        <f t="shared" si="26"/>
        <v>#REF!</v>
      </c>
      <c r="AP126" s="3365"/>
      <c r="AQ126" s="3365" t="e">
        <f>+AQ121+AQ123+AQ124</f>
        <v>#REF!</v>
      </c>
      <c r="AR126" s="3365"/>
      <c r="AS126" s="3365" t="e">
        <f t="shared" si="27"/>
        <v>#REF!</v>
      </c>
      <c r="AT126" s="3365"/>
      <c r="AU126" s="3365" t="e">
        <f>+AU121+AU123+AU124</f>
        <v>#REF!</v>
      </c>
      <c r="AV126" s="3365"/>
      <c r="AW126" s="3365" t="e">
        <f t="shared" si="28"/>
        <v>#REF!</v>
      </c>
      <c r="AX126" s="3365"/>
      <c r="AY126" s="3365" t="e">
        <f>+AY121+AY123+AY124</f>
        <v>#REF!</v>
      </c>
      <c r="AZ126" s="3365"/>
      <c r="BA126" s="3365" t="e">
        <f t="shared" si="29"/>
        <v>#REF!</v>
      </c>
      <c r="BB126" s="3365"/>
      <c r="BC126" s="3365" t="e">
        <f t="shared" si="30"/>
        <v>#REF!</v>
      </c>
      <c r="BD126" s="3365"/>
      <c r="BE126" s="3365" t="e">
        <f t="shared" si="31"/>
        <v>#REF!</v>
      </c>
    </row>
    <row r="127" spans="2:58" x14ac:dyDescent="0.25">
      <c r="C127" s="261"/>
      <c r="D127" s="261"/>
      <c r="G127" s="5172"/>
      <c r="H127" s="5172"/>
      <c r="I127" s="5172"/>
      <c r="K127" s="5172"/>
      <c r="L127" s="5172"/>
      <c r="M127" s="5172"/>
      <c r="O127" s="5172"/>
      <c r="P127" s="5172"/>
      <c r="Q127" s="5172"/>
      <c r="S127" s="5172"/>
      <c r="T127" s="5172"/>
      <c r="U127" s="5172"/>
      <c r="W127" s="5172"/>
      <c r="X127" s="5172"/>
      <c r="Y127" s="5172"/>
      <c r="Z127" s="5172"/>
      <c r="AA127" s="5172"/>
      <c r="AD127" s="5172"/>
      <c r="AE127" s="5172"/>
      <c r="AG127" s="5172"/>
      <c r="AH127" s="5172"/>
      <c r="AI127" s="5172"/>
      <c r="AL127" s="5172"/>
      <c r="AM127" s="5172"/>
      <c r="AN127" s="5172"/>
      <c r="AO127" s="5172"/>
      <c r="AQ127" s="5172"/>
      <c r="AR127" s="5172"/>
      <c r="AS127" s="5172"/>
      <c r="AU127" s="5172"/>
      <c r="AV127" s="5172"/>
      <c r="AW127" s="5172"/>
      <c r="AY127" s="5172"/>
      <c r="AZ127" s="5172"/>
      <c r="BA127" s="5172"/>
      <c r="BB127" s="5172"/>
      <c r="BC127" s="5172"/>
      <c r="BD127" s="6633"/>
      <c r="BE127" s="6633"/>
    </row>
    <row r="128" spans="2:58" ht="16.5" thickBot="1" x14ac:dyDescent="0.3">
      <c r="C128" s="3364" t="s">
        <v>1825</v>
      </c>
      <c r="D128" s="3384"/>
      <c r="E128" s="3365">
        <f>+'Maj Production Summ'!F35</f>
        <v>0</v>
      </c>
      <c r="F128" s="3365"/>
      <c r="G128" s="3365">
        <f>+'Maj Production Summ'!H35</f>
        <v>3000</v>
      </c>
      <c r="H128" s="3365"/>
      <c r="I128" s="3365">
        <f t="shared" si="17"/>
        <v>3000</v>
      </c>
      <c r="J128" s="3365"/>
      <c r="K128" s="3365">
        <f>+'Maj Production Summ'!L35</f>
        <v>5866</v>
      </c>
      <c r="L128" s="3365"/>
      <c r="M128" s="3365">
        <f t="shared" si="18"/>
        <v>8866</v>
      </c>
      <c r="N128" s="3365"/>
      <c r="O128" s="3365">
        <f>+'Maj Production Summ'!P35</f>
        <v>5431.48</v>
      </c>
      <c r="P128" s="3365"/>
      <c r="Q128" s="3365">
        <f t="shared" si="19"/>
        <v>14297.48</v>
      </c>
      <c r="R128" s="3365"/>
      <c r="S128" s="3365">
        <f>+'Maj Production Summ'!T35</f>
        <v>8492</v>
      </c>
      <c r="T128" s="3365"/>
      <c r="U128" s="3365">
        <f t="shared" si="20"/>
        <v>22789.48</v>
      </c>
      <c r="V128" s="3365"/>
      <c r="W128" s="3365">
        <f>+'Maj Production Summ'!X35</f>
        <v>6231</v>
      </c>
      <c r="X128" s="3365"/>
      <c r="Y128" s="3365">
        <f t="shared" si="32"/>
        <v>20154.48</v>
      </c>
      <c r="Z128" s="3365"/>
      <c r="AA128" s="3365">
        <f t="shared" si="33"/>
        <v>29020.48</v>
      </c>
      <c r="AB128" s="3365"/>
      <c r="AC128" s="6625">
        <f>+'Maj Production Summ'!AD35</f>
        <v>7379.5262000000002</v>
      </c>
      <c r="AD128" s="3365"/>
      <c r="AE128" s="3365">
        <f t="shared" si="23"/>
        <v>36400.006200000003</v>
      </c>
      <c r="AF128" s="3365"/>
      <c r="AG128" s="3365">
        <f>+'Maj Production Summ'!AH35</f>
        <v>637</v>
      </c>
      <c r="AH128" s="3365"/>
      <c r="AI128" s="3365">
        <f t="shared" si="24"/>
        <v>37037.006200000003</v>
      </c>
      <c r="AJ128" s="3365"/>
      <c r="AK128" s="6625">
        <f>+'Maj Production Summ'!AL35</f>
        <v>12910</v>
      </c>
      <c r="AL128" s="3365"/>
      <c r="AM128" s="3365">
        <f t="shared" si="25"/>
        <v>20926.5262</v>
      </c>
      <c r="AN128" s="3365"/>
      <c r="AO128" s="3365">
        <f t="shared" si="26"/>
        <v>49947.006200000003</v>
      </c>
      <c r="AP128" s="3365"/>
      <c r="AQ128" s="3365">
        <f>+'Maj Production Summ'!AR35</f>
        <v>10907.843000000001</v>
      </c>
      <c r="AR128" s="3365"/>
      <c r="AS128" s="3365">
        <f t="shared" si="27"/>
        <v>60854.849200000004</v>
      </c>
      <c r="AT128" s="3365"/>
      <c r="AU128" s="3365">
        <f>+'Maj Production Summ'!AV35</f>
        <v>0</v>
      </c>
      <c r="AV128" s="3365"/>
      <c r="AW128" s="3365">
        <f t="shared" si="28"/>
        <v>60854.849200000004</v>
      </c>
      <c r="AX128" s="3365"/>
      <c r="AY128" s="3365">
        <f>+'Maj Production Summ'!AZ35</f>
        <v>0</v>
      </c>
      <c r="AZ128" s="3365"/>
      <c r="BA128" s="3365">
        <f t="shared" si="29"/>
        <v>10907.843000000001</v>
      </c>
      <c r="BB128" s="3365"/>
      <c r="BC128" s="3365">
        <f t="shared" si="30"/>
        <v>31834.369200000001</v>
      </c>
      <c r="BD128" s="3365"/>
      <c r="BE128" s="3365">
        <f t="shared" si="31"/>
        <v>60854.849199999997</v>
      </c>
    </row>
    <row r="129" spans="3:57" x14ac:dyDescent="0.25">
      <c r="C129" s="261"/>
      <c r="D129" s="261"/>
      <c r="G129" s="5172"/>
      <c r="H129" s="5172"/>
      <c r="I129" s="5172"/>
      <c r="K129" s="5172"/>
      <c r="L129" s="5172"/>
      <c r="M129" s="5172"/>
      <c r="O129" s="5172"/>
      <c r="P129" s="5172"/>
      <c r="Q129" s="5172"/>
      <c r="S129" s="5172"/>
      <c r="T129" s="5172"/>
      <c r="U129" s="5172"/>
      <c r="W129" s="5172"/>
      <c r="X129" s="5172"/>
      <c r="Y129" s="5172"/>
      <c r="Z129" s="5172"/>
      <c r="AA129" s="5172"/>
      <c r="AD129" s="5172"/>
      <c r="AE129" s="5172"/>
      <c r="AG129" s="5172"/>
      <c r="AH129" s="5172"/>
      <c r="AI129" s="5172"/>
      <c r="AL129" s="5172"/>
      <c r="AM129" s="5172"/>
      <c r="AN129" s="5172"/>
      <c r="AO129" s="5172"/>
      <c r="AQ129" s="5172"/>
      <c r="AR129" s="5172"/>
      <c r="AS129" s="5172"/>
      <c r="AU129" s="5172"/>
      <c r="AV129" s="5172"/>
      <c r="AW129" s="5172"/>
      <c r="AY129" s="5172"/>
      <c r="AZ129" s="5172"/>
      <c r="BA129" s="5172"/>
      <c r="BB129" s="5172"/>
      <c r="BC129" s="5172"/>
      <c r="BD129" s="6633"/>
      <c r="BE129" s="6633"/>
    </row>
    <row r="130" spans="3:57" ht="18.75" x14ac:dyDescent="0.25">
      <c r="C130" s="3369" t="s">
        <v>1819</v>
      </c>
      <c r="D130" s="3369"/>
      <c r="E130" s="3370" t="e">
        <f>+E128-E126</f>
        <v>#REF!</v>
      </c>
      <c r="F130" s="3370">
        <f t="shared" ref="F130:BE130" si="34">+F128-F126</f>
        <v>0</v>
      </c>
      <c r="G130" s="3370" t="e">
        <f t="shared" si="34"/>
        <v>#REF!</v>
      </c>
      <c r="H130" s="3370">
        <f t="shared" si="34"/>
        <v>0</v>
      </c>
      <c r="I130" s="3370" t="e">
        <f t="shared" si="34"/>
        <v>#REF!</v>
      </c>
      <c r="J130" s="3370">
        <f t="shared" si="34"/>
        <v>0</v>
      </c>
      <c r="K130" s="3370" t="e">
        <f t="shared" si="34"/>
        <v>#REF!</v>
      </c>
      <c r="L130" s="3370">
        <f t="shared" si="34"/>
        <v>0</v>
      </c>
      <c r="M130" s="3370" t="e">
        <f t="shared" si="34"/>
        <v>#REF!</v>
      </c>
      <c r="N130" s="3370">
        <f t="shared" si="34"/>
        <v>0</v>
      </c>
      <c r="O130" s="3370" t="e">
        <f t="shared" si="34"/>
        <v>#REF!</v>
      </c>
      <c r="P130" s="3370">
        <f t="shared" si="34"/>
        <v>0</v>
      </c>
      <c r="Q130" s="3370" t="e">
        <f t="shared" si="34"/>
        <v>#REF!</v>
      </c>
      <c r="R130" s="3370">
        <f t="shared" si="34"/>
        <v>0</v>
      </c>
      <c r="S130" s="3370" t="e">
        <f t="shared" si="34"/>
        <v>#REF!</v>
      </c>
      <c r="T130" s="3370">
        <f t="shared" si="34"/>
        <v>0</v>
      </c>
      <c r="U130" s="3370" t="e">
        <f t="shared" si="34"/>
        <v>#REF!</v>
      </c>
      <c r="V130" s="3370">
        <f t="shared" si="34"/>
        <v>0</v>
      </c>
      <c r="W130" s="3370" t="e">
        <f t="shared" si="34"/>
        <v>#REF!</v>
      </c>
      <c r="X130" s="3370">
        <f t="shared" si="34"/>
        <v>0</v>
      </c>
      <c r="Y130" s="3370" t="e">
        <f t="shared" si="34"/>
        <v>#REF!</v>
      </c>
      <c r="Z130" s="3370">
        <f t="shared" si="34"/>
        <v>0</v>
      </c>
      <c r="AA130" s="3370" t="e">
        <f t="shared" si="34"/>
        <v>#REF!</v>
      </c>
      <c r="AB130" s="3370">
        <f t="shared" si="34"/>
        <v>0</v>
      </c>
      <c r="AC130" s="3370" t="e">
        <f t="shared" si="34"/>
        <v>#REF!</v>
      </c>
      <c r="AD130" s="3370">
        <f t="shared" si="34"/>
        <v>0</v>
      </c>
      <c r="AE130" s="3370" t="e">
        <f t="shared" si="34"/>
        <v>#REF!</v>
      </c>
      <c r="AF130" s="3370">
        <f t="shared" si="34"/>
        <v>0</v>
      </c>
      <c r="AG130" s="3370" t="e">
        <f t="shared" si="34"/>
        <v>#REF!</v>
      </c>
      <c r="AH130" s="3370">
        <f t="shared" si="34"/>
        <v>0</v>
      </c>
      <c r="AI130" s="3370" t="e">
        <f t="shared" si="34"/>
        <v>#REF!</v>
      </c>
      <c r="AJ130" s="3370">
        <f t="shared" si="34"/>
        <v>0</v>
      </c>
      <c r="AK130" s="3370" t="e">
        <f t="shared" si="34"/>
        <v>#REF!</v>
      </c>
      <c r="AL130" s="3370">
        <f t="shared" si="34"/>
        <v>0</v>
      </c>
      <c r="AM130" s="3370" t="e">
        <f t="shared" si="34"/>
        <v>#REF!</v>
      </c>
      <c r="AN130" s="3370">
        <f t="shared" si="34"/>
        <v>0</v>
      </c>
      <c r="AO130" s="3370" t="e">
        <f t="shared" si="34"/>
        <v>#REF!</v>
      </c>
      <c r="AP130" s="3370">
        <f t="shared" si="34"/>
        <v>0</v>
      </c>
      <c r="AQ130" s="3370" t="e">
        <f t="shared" si="34"/>
        <v>#REF!</v>
      </c>
      <c r="AR130" s="3370">
        <f t="shared" si="34"/>
        <v>0</v>
      </c>
      <c r="AS130" s="3370" t="e">
        <f t="shared" si="34"/>
        <v>#REF!</v>
      </c>
      <c r="AT130" s="3370">
        <f t="shared" si="34"/>
        <v>0</v>
      </c>
      <c r="AU130" s="3370" t="e">
        <f t="shared" si="34"/>
        <v>#REF!</v>
      </c>
      <c r="AV130" s="3370">
        <f t="shared" si="34"/>
        <v>0</v>
      </c>
      <c r="AW130" s="3370" t="e">
        <f t="shared" si="34"/>
        <v>#REF!</v>
      </c>
      <c r="AX130" s="3370">
        <f t="shared" si="34"/>
        <v>0</v>
      </c>
      <c r="AY130" s="3370" t="e">
        <f t="shared" si="34"/>
        <v>#REF!</v>
      </c>
      <c r="AZ130" s="3370">
        <f t="shared" si="34"/>
        <v>0</v>
      </c>
      <c r="BA130" s="3370" t="e">
        <f t="shared" si="34"/>
        <v>#REF!</v>
      </c>
      <c r="BB130" s="3370">
        <f t="shared" si="34"/>
        <v>0</v>
      </c>
      <c r="BC130" s="3370" t="e">
        <f t="shared" si="34"/>
        <v>#REF!</v>
      </c>
      <c r="BD130" s="3370">
        <f t="shared" si="34"/>
        <v>0</v>
      </c>
      <c r="BE130" s="3370" t="e">
        <f t="shared" si="34"/>
        <v>#REF!</v>
      </c>
    </row>
    <row r="131" spans="3:57" x14ac:dyDescent="0.25">
      <c r="G131" s="5172"/>
      <c r="H131" s="5172"/>
      <c r="I131" s="5172"/>
      <c r="K131" s="5172"/>
      <c r="L131" s="5172"/>
      <c r="M131" s="5172"/>
      <c r="O131" s="5172"/>
      <c r="P131" s="5172"/>
      <c r="Q131" s="5172"/>
      <c r="S131" s="5172"/>
      <c r="T131" s="5172"/>
      <c r="U131" s="5172"/>
      <c r="W131" s="5172"/>
      <c r="X131" s="5172"/>
      <c r="Y131" s="5172"/>
      <c r="Z131" s="5172"/>
      <c r="AA131" s="5172"/>
      <c r="AD131" s="5172"/>
      <c r="AE131" s="5172"/>
      <c r="AG131" s="5172"/>
      <c r="AH131" s="5172"/>
      <c r="AI131" s="5172"/>
      <c r="AL131" s="5172"/>
      <c r="AM131" s="5172"/>
      <c r="AN131" s="5172"/>
      <c r="AO131" s="5172"/>
      <c r="AQ131" s="5172"/>
      <c r="AR131" s="5172"/>
      <c r="AS131" s="5172"/>
      <c r="AU131" s="5172"/>
      <c r="AV131" s="5172"/>
      <c r="AW131" s="5172"/>
      <c r="AY131" s="5172"/>
      <c r="AZ131" s="5172"/>
      <c r="BA131" s="5172"/>
      <c r="BB131" s="5172"/>
      <c r="BC131" s="5172"/>
      <c r="BD131" s="6633"/>
      <c r="BE131" s="6633"/>
    </row>
    <row r="132" spans="3:57" ht="18.75" x14ac:dyDescent="0.25">
      <c r="C132" s="3377" t="s">
        <v>1826</v>
      </c>
      <c r="D132" s="3377"/>
      <c r="E132" s="6639" t="e">
        <f>+E101+E126</f>
        <v>#REF!</v>
      </c>
      <c r="F132" s="6639"/>
      <c r="G132" s="6639" t="e">
        <f>+G101+G126</f>
        <v>#REF!</v>
      </c>
      <c r="H132" s="6639"/>
      <c r="I132" s="6639" t="e">
        <f t="shared" ref="I132:I133" si="35">+E132+G132</f>
        <v>#REF!</v>
      </c>
      <c r="J132" s="6639"/>
      <c r="K132" s="6639" t="e">
        <f>+K101+K126</f>
        <v>#REF!</v>
      </c>
      <c r="L132" s="3378"/>
      <c r="M132" s="3378" t="e">
        <f t="shared" si="18"/>
        <v>#REF!</v>
      </c>
      <c r="N132" s="3378"/>
      <c r="O132" s="3378" t="e">
        <f>+O101+O126</f>
        <v>#REF!</v>
      </c>
      <c r="P132" s="3378"/>
      <c r="Q132" s="3378" t="e">
        <f t="shared" si="19"/>
        <v>#REF!</v>
      </c>
      <c r="R132" s="3378"/>
      <c r="S132" s="6639" t="e">
        <f>+S101+S126</f>
        <v>#REF!</v>
      </c>
      <c r="T132" s="3378"/>
      <c r="U132" s="3378" t="e">
        <f t="shared" si="20"/>
        <v>#REF!</v>
      </c>
      <c r="V132" s="3378"/>
      <c r="W132" s="6639" t="e">
        <f>+W101+W126</f>
        <v>#REF!</v>
      </c>
      <c r="X132" s="3378"/>
      <c r="Y132" s="3378" t="e">
        <f t="shared" si="32"/>
        <v>#REF!</v>
      </c>
      <c r="Z132" s="3378"/>
      <c r="AA132" s="3378" t="e">
        <f t="shared" si="33"/>
        <v>#REF!</v>
      </c>
      <c r="AB132" s="3378"/>
      <c r="AC132" s="6638" t="e">
        <f>+AC101+AC126</f>
        <v>#REF!</v>
      </c>
      <c r="AD132" s="3378"/>
      <c r="AE132" s="3378" t="e">
        <f t="shared" si="23"/>
        <v>#REF!</v>
      </c>
      <c r="AF132" s="3378"/>
      <c r="AG132" s="3378" t="e">
        <f>+AG101+AG126</f>
        <v>#REF!</v>
      </c>
      <c r="AH132" s="3378"/>
      <c r="AI132" s="3378" t="e">
        <f t="shared" si="24"/>
        <v>#REF!</v>
      </c>
      <c r="AJ132" s="3378"/>
      <c r="AK132" s="6628" t="e">
        <f>+AK101+AK126</f>
        <v>#REF!</v>
      </c>
      <c r="AL132" s="3378"/>
      <c r="AM132" s="3378" t="e">
        <f t="shared" si="25"/>
        <v>#REF!</v>
      </c>
      <c r="AN132" s="3378"/>
      <c r="AO132" s="3378" t="e">
        <f t="shared" si="26"/>
        <v>#REF!</v>
      </c>
      <c r="AP132" s="3378"/>
      <c r="AQ132" s="3378" t="e">
        <f>+AQ101+AQ126</f>
        <v>#REF!</v>
      </c>
      <c r="AR132" s="3378"/>
      <c r="AS132" s="3378" t="e">
        <f t="shared" si="27"/>
        <v>#REF!</v>
      </c>
      <c r="AT132" s="3378"/>
      <c r="AU132" s="3378" t="e">
        <f>+AU101+AU126</f>
        <v>#REF!</v>
      </c>
      <c r="AV132" s="3378"/>
      <c r="AW132" s="3378" t="e">
        <f t="shared" si="28"/>
        <v>#REF!</v>
      </c>
      <c r="AX132" s="3378"/>
      <c r="AY132" s="3378" t="e">
        <f>+AY101+AY126</f>
        <v>#REF!</v>
      </c>
      <c r="AZ132" s="3378"/>
      <c r="BA132" s="3378" t="e">
        <f t="shared" si="29"/>
        <v>#REF!</v>
      </c>
      <c r="BB132" s="3378"/>
      <c r="BC132" s="3378" t="e">
        <f t="shared" si="30"/>
        <v>#REF!</v>
      </c>
      <c r="BD132" s="6637"/>
      <c r="BE132" s="6637" t="e">
        <f t="shared" si="31"/>
        <v>#REF!</v>
      </c>
    </row>
    <row r="133" spans="3:57" ht="18.75" x14ac:dyDescent="0.25">
      <c r="C133" s="3377" t="s">
        <v>1827</v>
      </c>
      <c r="D133" s="3377"/>
      <c r="E133" s="3378">
        <f>+E105+E128</f>
        <v>45616.58799999996</v>
      </c>
      <c r="F133" s="3378"/>
      <c r="G133" s="3378">
        <f>+G105+G128</f>
        <v>55556</v>
      </c>
      <c r="H133" s="3378"/>
      <c r="I133" s="3378">
        <f t="shared" si="35"/>
        <v>101172.58799999996</v>
      </c>
      <c r="J133" s="3378"/>
      <c r="K133" s="3378">
        <f>+K105+K128</f>
        <v>31761</v>
      </c>
      <c r="L133" s="3378"/>
      <c r="M133" s="3378">
        <f t="shared" si="18"/>
        <v>132933.58799999996</v>
      </c>
      <c r="N133" s="3378"/>
      <c r="O133" s="3378">
        <f>+O105+O128</f>
        <v>64423.479999999996</v>
      </c>
      <c r="P133" s="3378"/>
      <c r="Q133" s="3378">
        <f t="shared" si="19"/>
        <v>197357.06799999994</v>
      </c>
      <c r="R133" s="3378"/>
      <c r="S133" s="3378">
        <f>+S105+S128</f>
        <v>64140</v>
      </c>
      <c r="T133" s="3378"/>
      <c r="U133" s="3378">
        <f t="shared" si="20"/>
        <v>261497.06799999994</v>
      </c>
      <c r="V133" s="3378"/>
      <c r="W133" s="3378">
        <f>+W105+W128</f>
        <v>59074</v>
      </c>
      <c r="X133" s="3378"/>
      <c r="Y133" s="3378">
        <f t="shared" si="32"/>
        <v>187637.47999999998</v>
      </c>
      <c r="Z133" s="3378"/>
      <c r="AA133" s="3378">
        <f t="shared" si="33"/>
        <v>320571.06799999997</v>
      </c>
      <c r="AB133" s="3378"/>
      <c r="AC133" s="6638">
        <f>+AC105+AC128</f>
        <v>32797.5262</v>
      </c>
      <c r="AD133" s="3378"/>
      <c r="AE133" s="3378">
        <f t="shared" si="23"/>
        <v>353368.59419999993</v>
      </c>
      <c r="AF133" s="3378"/>
      <c r="AG133" s="3378">
        <f>+AG105+AG128</f>
        <v>8572</v>
      </c>
      <c r="AH133" s="3378"/>
      <c r="AI133" s="3378">
        <f t="shared" si="24"/>
        <v>361940.59419999993</v>
      </c>
      <c r="AJ133" s="3378"/>
      <c r="AK133" s="6628">
        <f>+AK105+AK128</f>
        <v>77403</v>
      </c>
      <c r="AL133" s="3378"/>
      <c r="AM133" s="3378">
        <f t="shared" si="25"/>
        <v>118772.52619999999</v>
      </c>
      <c r="AN133" s="3378"/>
      <c r="AO133" s="3378">
        <f t="shared" si="26"/>
        <v>439343.59419999993</v>
      </c>
      <c r="AP133" s="3378"/>
      <c r="AQ133" s="3378">
        <f>+AQ105+AQ128</f>
        <v>73982.023000000001</v>
      </c>
      <c r="AR133" s="3378"/>
      <c r="AS133" s="3378">
        <f t="shared" si="27"/>
        <v>513325.61719999992</v>
      </c>
      <c r="AT133" s="3378"/>
      <c r="AU133" s="3378">
        <f>+AU105+AU128</f>
        <v>57481.269999999931</v>
      </c>
      <c r="AV133" s="3378"/>
      <c r="AW133" s="3378">
        <f t="shared" si="28"/>
        <v>570806.88719999988</v>
      </c>
      <c r="AX133" s="3378"/>
      <c r="AY133" s="3378">
        <f>+AY105+AY128</f>
        <v>57620</v>
      </c>
      <c r="AZ133" s="3378"/>
      <c r="BA133" s="3378">
        <f t="shared" si="29"/>
        <v>189083.29299999995</v>
      </c>
      <c r="BB133" s="3378"/>
      <c r="BC133" s="3378">
        <f t="shared" si="30"/>
        <v>307855.81919999991</v>
      </c>
      <c r="BD133" s="6637"/>
      <c r="BE133" s="6637">
        <f t="shared" si="31"/>
        <v>628426.88719999988</v>
      </c>
    </row>
    <row r="134" spans="3:57" x14ac:dyDescent="0.25">
      <c r="G134" s="5172"/>
      <c r="H134" s="5172"/>
      <c r="I134" s="5172"/>
      <c r="K134" s="5172"/>
      <c r="L134" s="5172"/>
      <c r="M134" s="5172"/>
      <c r="O134" s="5172"/>
      <c r="P134" s="5172"/>
      <c r="Q134" s="5172"/>
      <c r="S134" s="5172"/>
      <c r="T134" s="5172"/>
      <c r="U134" s="5172"/>
      <c r="W134" s="5172"/>
      <c r="X134" s="5172"/>
      <c r="Y134" s="5172"/>
      <c r="Z134" s="5172"/>
      <c r="AA134" s="5172"/>
      <c r="AD134" s="5172"/>
      <c r="AE134" s="5172"/>
      <c r="AG134" s="5172"/>
      <c r="AH134" s="5172"/>
      <c r="AI134" s="5172"/>
      <c r="AL134" s="5172"/>
      <c r="AM134" s="5172"/>
      <c r="AN134" s="5172"/>
      <c r="AO134" s="5172"/>
      <c r="AQ134" s="5172"/>
      <c r="AR134" s="5172"/>
      <c r="AS134" s="5172"/>
      <c r="AU134" s="5172"/>
      <c r="AV134" s="5172"/>
      <c r="AW134" s="5172"/>
      <c r="AY134" s="5172"/>
      <c r="AZ134" s="5172"/>
      <c r="BA134" s="5172"/>
      <c r="BB134" s="5172"/>
      <c r="BC134" s="5172"/>
      <c r="BD134" s="6633"/>
      <c r="BE134" s="6633"/>
    </row>
    <row r="135" spans="3:57" ht="18.75" x14ac:dyDescent="0.25">
      <c r="C135" s="3369" t="s">
        <v>1819</v>
      </c>
      <c r="D135" s="3369"/>
      <c r="E135" s="3370" t="e">
        <f>+E133-E132</f>
        <v>#REF!</v>
      </c>
      <c r="F135" s="3370">
        <f t="shared" ref="F135:BE135" si="36">+F133-F132</f>
        <v>0</v>
      </c>
      <c r="G135" s="3370" t="e">
        <f t="shared" si="36"/>
        <v>#REF!</v>
      </c>
      <c r="H135" s="3370">
        <f t="shared" si="36"/>
        <v>0</v>
      </c>
      <c r="I135" s="3370" t="e">
        <f t="shared" si="36"/>
        <v>#REF!</v>
      </c>
      <c r="J135" s="3370">
        <f t="shared" si="36"/>
        <v>0</v>
      </c>
      <c r="K135" s="3370" t="e">
        <f t="shared" si="36"/>
        <v>#REF!</v>
      </c>
      <c r="L135" s="3370">
        <f t="shared" si="36"/>
        <v>0</v>
      </c>
      <c r="M135" s="3370" t="e">
        <f t="shared" si="36"/>
        <v>#REF!</v>
      </c>
      <c r="N135" s="3370">
        <f t="shared" si="36"/>
        <v>0</v>
      </c>
      <c r="O135" s="3370" t="e">
        <f t="shared" si="36"/>
        <v>#REF!</v>
      </c>
      <c r="P135" s="3370">
        <f t="shared" si="36"/>
        <v>0</v>
      </c>
      <c r="Q135" s="3370" t="e">
        <f t="shared" si="36"/>
        <v>#REF!</v>
      </c>
      <c r="R135" s="3370">
        <f t="shared" si="36"/>
        <v>0</v>
      </c>
      <c r="S135" s="3370" t="e">
        <f t="shared" si="36"/>
        <v>#REF!</v>
      </c>
      <c r="T135" s="3370">
        <f t="shared" si="36"/>
        <v>0</v>
      </c>
      <c r="U135" s="3370" t="e">
        <f t="shared" si="36"/>
        <v>#REF!</v>
      </c>
      <c r="V135" s="3370">
        <f t="shared" si="36"/>
        <v>0</v>
      </c>
      <c r="W135" s="3370" t="e">
        <f t="shared" si="36"/>
        <v>#REF!</v>
      </c>
      <c r="X135" s="3370">
        <f t="shared" si="36"/>
        <v>0</v>
      </c>
      <c r="Y135" s="3370" t="e">
        <f t="shared" si="36"/>
        <v>#REF!</v>
      </c>
      <c r="Z135" s="3370">
        <f t="shared" si="36"/>
        <v>0</v>
      </c>
      <c r="AA135" s="3370" t="e">
        <f t="shared" si="36"/>
        <v>#REF!</v>
      </c>
      <c r="AB135" s="3370">
        <f t="shared" si="36"/>
        <v>0</v>
      </c>
      <c r="AC135" s="3370" t="e">
        <f t="shared" si="36"/>
        <v>#REF!</v>
      </c>
      <c r="AD135" s="3370">
        <f t="shared" si="36"/>
        <v>0</v>
      </c>
      <c r="AE135" s="3370" t="e">
        <f t="shared" si="36"/>
        <v>#REF!</v>
      </c>
      <c r="AF135" s="3370">
        <f t="shared" si="36"/>
        <v>0</v>
      </c>
      <c r="AG135" s="3370" t="e">
        <f t="shared" si="36"/>
        <v>#REF!</v>
      </c>
      <c r="AH135" s="3370">
        <f t="shared" si="36"/>
        <v>0</v>
      </c>
      <c r="AI135" s="3370" t="e">
        <f t="shared" si="36"/>
        <v>#REF!</v>
      </c>
      <c r="AJ135" s="3370">
        <f t="shared" si="36"/>
        <v>0</v>
      </c>
      <c r="AK135" s="3370" t="e">
        <f t="shared" si="36"/>
        <v>#REF!</v>
      </c>
      <c r="AL135" s="3370">
        <f t="shared" si="36"/>
        <v>0</v>
      </c>
      <c r="AM135" s="3370" t="e">
        <f t="shared" si="36"/>
        <v>#REF!</v>
      </c>
      <c r="AN135" s="3370">
        <f t="shared" si="36"/>
        <v>0</v>
      </c>
      <c r="AO135" s="3370" t="e">
        <f t="shared" si="36"/>
        <v>#REF!</v>
      </c>
      <c r="AP135" s="3370">
        <f t="shared" si="36"/>
        <v>0</v>
      </c>
      <c r="AQ135" s="3370" t="e">
        <f t="shared" si="36"/>
        <v>#REF!</v>
      </c>
      <c r="AR135" s="3370">
        <f t="shared" si="36"/>
        <v>0</v>
      </c>
      <c r="AS135" s="3370" t="e">
        <f t="shared" si="36"/>
        <v>#REF!</v>
      </c>
      <c r="AT135" s="3370">
        <f t="shared" si="36"/>
        <v>0</v>
      </c>
      <c r="AU135" s="3370" t="e">
        <f t="shared" si="36"/>
        <v>#REF!</v>
      </c>
      <c r="AV135" s="3370">
        <f t="shared" si="36"/>
        <v>0</v>
      </c>
      <c r="AW135" s="3370" t="e">
        <f t="shared" si="36"/>
        <v>#REF!</v>
      </c>
      <c r="AX135" s="3370">
        <f t="shared" si="36"/>
        <v>0</v>
      </c>
      <c r="AY135" s="3370" t="e">
        <f t="shared" si="36"/>
        <v>#REF!</v>
      </c>
      <c r="AZ135" s="3370">
        <f t="shared" si="36"/>
        <v>0</v>
      </c>
      <c r="BA135" s="3370" t="e">
        <f t="shared" si="36"/>
        <v>#REF!</v>
      </c>
      <c r="BB135" s="3370">
        <f t="shared" si="36"/>
        <v>0</v>
      </c>
      <c r="BC135" s="3370" t="e">
        <f t="shared" si="36"/>
        <v>#REF!</v>
      </c>
      <c r="BD135" s="3370">
        <f t="shared" si="36"/>
        <v>0</v>
      </c>
      <c r="BE135" s="3370" t="e">
        <f t="shared" si="36"/>
        <v>#REF!</v>
      </c>
    </row>
    <row r="141" spans="3:57" x14ac:dyDescent="0.25">
      <c r="C141" s="3345" t="s">
        <v>1580</v>
      </c>
    </row>
    <row r="142" spans="3:57" x14ac:dyDescent="0.25">
      <c r="C142" s="3345" t="s">
        <v>1365</v>
      </c>
    </row>
    <row r="143" spans="3:57" x14ac:dyDescent="0.25">
      <c r="C143" s="3345" t="s">
        <v>1424</v>
      </c>
    </row>
    <row r="144" spans="3:57" x14ac:dyDescent="0.25">
      <c r="C144" s="3345" t="s">
        <v>1417</v>
      </c>
    </row>
    <row r="145" spans="3:3" x14ac:dyDescent="0.25">
      <c r="C145" s="3345" t="s">
        <v>1671</v>
      </c>
    </row>
    <row r="146" spans="3:3" x14ac:dyDescent="0.25">
      <c r="C146" s="3345" t="s">
        <v>1732</v>
      </c>
    </row>
    <row r="147" spans="3:3" x14ac:dyDescent="0.25">
      <c r="C147" s="3345" t="s">
        <v>1733</v>
      </c>
    </row>
    <row r="148" spans="3:3" x14ac:dyDescent="0.25">
      <c r="C148" s="3345" t="s">
        <v>1433</v>
      </c>
    </row>
    <row r="149" spans="3:3" x14ac:dyDescent="0.25">
      <c r="C149" s="3345" t="s">
        <v>1670</v>
      </c>
    </row>
    <row r="150" spans="3:3" x14ac:dyDescent="0.25">
      <c r="C150" s="3345" t="s">
        <v>1434</v>
      </c>
    </row>
    <row r="151" spans="3:3" x14ac:dyDescent="0.25">
      <c r="C151" s="3345" t="s">
        <v>1548</v>
      </c>
    </row>
    <row r="152" spans="3:3" x14ac:dyDescent="0.25">
      <c r="C152" s="3345" t="s">
        <v>1272</v>
      </c>
    </row>
    <row r="153" spans="3:3" x14ac:dyDescent="0.25">
      <c r="C153" s="3345" t="s">
        <v>1260</v>
      </c>
    </row>
    <row r="154" spans="3:3" x14ac:dyDescent="0.25">
      <c r="C154" s="3345" t="s">
        <v>1296</v>
      </c>
    </row>
    <row r="155" spans="3:3" x14ac:dyDescent="0.25">
      <c r="C155" s="3345" t="s">
        <v>1212</v>
      </c>
    </row>
    <row r="156" spans="3:3" x14ac:dyDescent="0.25">
      <c r="C156" s="3345" t="s">
        <v>1273</v>
      </c>
    </row>
    <row r="157" spans="3:3" x14ac:dyDescent="0.25">
      <c r="C157" s="3345" t="s">
        <v>1213</v>
      </c>
    </row>
    <row r="158" spans="3:3" x14ac:dyDescent="0.25">
      <c r="C158" s="3345" t="s">
        <v>1310</v>
      </c>
    </row>
    <row r="159" spans="3:3" x14ac:dyDescent="0.25">
      <c r="C159" s="3345" t="s">
        <v>1435</v>
      </c>
    </row>
    <row r="160" spans="3:3" x14ac:dyDescent="0.25">
      <c r="C160" s="3345" t="s">
        <v>1436</v>
      </c>
    </row>
    <row r="161" spans="3:3" x14ac:dyDescent="0.25">
      <c r="C161" s="3345" t="s">
        <v>1437</v>
      </c>
    </row>
    <row r="162" spans="3:3" x14ac:dyDescent="0.25">
      <c r="C162" s="3345" t="s">
        <v>1418</v>
      </c>
    </row>
    <row r="163" spans="3:3" x14ac:dyDescent="0.25">
      <c r="C163" s="3345" t="s">
        <v>1214</v>
      </c>
    </row>
    <row r="164" spans="3:3" x14ac:dyDescent="0.25">
      <c r="C164" s="3345" t="s">
        <v>1579</v>
      </c>
    </row>
    <row r="165" spans="3:3" x14ac:dyDescent="0.25">
      <c r="C165" s="3345" t="s">
        <v>1216</v>
      </c>
    </row>
    <row r="166" spans="3:3" x14ac:dyDescent="0.25">
      <c r="C166" s="3345" t="s">
        <v>1217</v>
      </c>
    </row>
    <row r="167" spans="3:3" x14ac:dyDescent="0.25">
      <c r="C167" s="3345" t="s">
        <v>1740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R67:AS67"/>
    <mergeCell ref="AF111:AG111"/>
    <mergeCell ref="AH111:AI111"/>
    <mergeCell ref="AJ111:AK111"/>
    <mergeCell ref="AL111:AM111"/>
    <mergeCell ref="AN111:AO111"/>
    <mergeCell ref="AZ111:BA111"/>
    <mergeCell ref="BB111:BC111"/>
    <mergeCell ref="BD111:BE111"/>
    <mergeCell ref="AP111:AQ111"/>
    <mergeCell ref="AR111:AS111"/>
    <mergeCell ref="AT111:AU111"/>
    <mergeCell ref="AV111:AW111"/>
    <mergeCell ref="AX111:AY111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I181"/>
  <sheetViews>
    <sheetView workbookViewId="0">
      <pane xSplit="6" ySplit="1" topLeftCell="G70" activePane="bottomRight" state="frozen"/>
      <selection pane="topRight" activeCell="G1" sqref="G1"/>
      <selection pane="bottomLeft" activeCell="A2" sqref="A2"/>
      <selection pane="bottomRight" activeCell="BK138" sqref="BK138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9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750" customWidth="1"/>
    <col min="12" max="12" width="10.140625" hidden="1" customWidth="1"/>
    <col min="13" max="13" width="10.42578125" hidden="1" customWidth="1"/>
    <col min="14" max="14" width="10.140625" hidden="1" customWidth="1"/>
    <col min="15" max="15" width="13.28515625" style="5751" hidden="1" customWidth="1"/>
    <col min="16" max="16" width="10" hidden="1" customWidth="1"/>
    <col min="17" max="17" width="10.85546875" hidden="1" customWidth="1"/>
    <col min="18" max="18" width="11" hidden="1" customWidth="1"/>
    <col min="19" max="19" width="9.85546875" style="5750" hidden="1" customWidth="1"/>
    <col min="20" max="20" width="10" style="1803" hidden="1" customWidth="1"/>
    <col min="21" max="21" width="12" style="1763" hidden="1" customWidth="1"/>
    <col min="22" max="22" width="14.85546875" style="1763" hidden="1" customWidth="1"/>
    <col min="23" max="23" width="17.140625" style="5750" hidden="1" customWidth="1"/>
    <col min="24" max="24" width="17.140625" style="149" hidden="1" customWidth="1"/>
    <col min="25" max="25" width="12.42578125" style="149" hidden="1" customWidth="1"/>
    <col min="26" max="26" width="10.140625" style="2253" hidden="1" customWidth="1"/>
    <col min="27" max="27" width="9.85546875" style="5751" hidden="1" customWidth="1"/>
    <col min="28" max="28" width="9.85546875" style="453" hidden="1" customWidth="1"/>
    <col min="29" max="29" width="14.5703125" style="5752" hidden="1" customWidth="1"/>
    <col min="30" max="31" width="11.28515625" hidden="1" customWidth="1"/>
    <col min="32" max="32" width="9.140625" hidden="1" customWidth="1"/>
    <col min="33" max="33" width="11.28515625" style="5750" hidden="1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5750" hidden="1" customWidth="1"/>
    <col min="38" max="39" width="9.140625" hidden="1" customWidth="1"/>
    <col min="40" max="41" width="9.140625" style="5172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5172" hidden="1" customWidth="1"/>
    <col min="57" max="57" width="10.28515625" style="5172" hidden="1" customWidth="1"/>
    <col min="58" max="58" width="9.140625" hidden="1" customWidth="1"/>
    <col min="59" max="59" width="10.28515625" hidden="1" customWidth="1"/>
  </cols>
  <sheetData>
    <row r="1" spans="1:61" s="149" customFormat="1" ht="23.25" x14ac:dyDescent="0.35">
      <c r="C1" s="7763" t="s">
        <v>2180</v>
      </c>
      <c r="D1" s="7763"/>
      <c r="E1" s="7763"/>
      <c r="F1" s="7763"/>
      <c r="G1" s="7763"/>
      <c r="H1" s="7763"/>
      <c r="I1" s="7763"/>
      <c r="J1" s="7763"/>
      <c r="K1" s="7763"/>
      <c r="L1" s="7763"/>
      <c r="M1" s="7763"/>
      <c r="N1" s="7763"/>
      <c r="O1" s="7763"/>
      <c r="P1" s="7763"/>
      <c r="Q1" s="7763"/>
      <c r="R1" s="7763"/>
      <c r="S1" s="7763"/>
      <c r="T1" s="7763"/>
      <c r="U1" s="7763"/>
      <c r="V1" s="7763"/>
      <c r="W1" s="7763"/>
      <c r="X1" s="7763"/>
      <c r="Y1" s="7763"/>
      <c r="Z1" s="7763"/>
      <c r="AA1" s="7763"/>
      <c r="AB1" s="7763"/>
      <c r="AC1" s="7763"/>
      <c r="AD1" s="7763"/>
      <c r="AE1" s="7763"/>
      <c r="AF1" s="7763"/>
      <c r="AG1" s="7763"/>
      <c r="AH1" s="7763"/>
      <c r="AI1" s="7763"/>
      <c r="AJ1" s="7763"/>
      <c r="AK1" s="7763"/>
      <c r="AL1" s="7763"/>
      <c r="AM1" s="7763"/>
      <c r="AN1" s="7763"/>
      <c r="AO1" s="7763"/>
      <c r="AP1" s="7763"/>
      <c r="AQ1" s="7763"/>
    </row>
    <row r="2" spans="1:61" s="5172" customFormat="1" x14ac:dyDescent="0.25"/>
    <row r="3" spans="1:61" s="279" customFormat="1" ht="16.5" x14ac:dyDescent="0.25">
      <c r="C3" s="5753" t="s">
        <v>966</v>
      </c>
      <c r="D3" s="5753" t="s">
        <v>850</v>
      </c>
      <c r="E3" s="5753" t="s">
        <v>172</v>
      </c>
      <c r="F3" s="7773" t="s">
        <v>2290</v>
      </c>
      <c r="G3" s="7774"/>
      <c r="H3" s="7773" t="s">
        <v>2306</v>
      </c>
      <c r="I3" s="7774"/>
      <c r="J3" s="7771" t="s">
        <v>658</v>
      </c>
      <c r="K3" s="7772"/>
      <c r="L3" s="7773" t="s">
        <v>1903</v>
      </c>
      <c r="M3" s="7774"/>
      <c r="N3" s="7776" t="s">
        <v>637</v>
      </c>
      <c r="O3" s="7777"/>
      <c r="P3" s="7775" t="s">
        <v>1937</v>
      </c>
      <c r="Q3" s="7775"/>
      <c r="R3" s="7767" t="s">
        <v>651</v>
      </c>
      <c r="S3" s="7767"/>
      <c r="T3" s="7775" t="s">
        <v>1961</v>
      </c>
      <c r="U3" s="7775"/>
      <c r="V3" s="7767" t="s">
        <v>836</v>
      </c>
      <c r="W3" s="7767"/>
      <c r="X3" s="5822"/>
      <c r="Y3" s="5811" t="s">
        <v>1983</v>
      </c>
      <c r="Z3" s="7776" t="s">
        <v>660</v>
      </c>
      <c r="AA3" s="7777"/>
      <c r="AB3" s="5823"/>
      <c r="AC3" s="5754" t="s">
        <v>512</v>
      </c>
      <c r="AD3" s="7775" t="s">
        <v>2002</v>
      </c>
      <c r="AE3" s="7775"/>
      <c r="AF3" s="7767" t="s">
        <v>1102</v>
      </c>
      <c r="AG3" s="7767"/>
      <c r="AH3" s="7775" t="s">
        <v>2018</v>
      </c>
      <c r="AI3" s="7775"/>
      <c r="AJ3" s="7767" t="s">
        <v>1666</v>
      </c>
      <c r="AK3" s="7767"/>
      <c r="AL3" s="7775" t="s">
        <v>2033</v>
      </c>
      <c r="AM3" s="7775"/>
      <c r="AN3" s="7786" t="s">
        <v>2034</v>
      </c>
      <c r="AO3" s="7787"/>
      <c r="AP3" s="7767" t="s">
        <v>918</v>
      </c>
      <c r="AQ3" s="7767"/>
      <c r="AR3" s="7775" t="s">
        <v>2137</v>
      </c>
      <c r="AS3" s="7775"/>
      <c r="AT3" s="7767" t="s">
        <v>1705</v>
      </c>
      <c r="AU3" s="7767"/>
      <c r="AV3" s="7775" t="s">
        <v>2151</v>
      </c>
      <c r="AW3" s="7775"/>
      <c r="AX3" s="7767" t="s">
        <v>1715</v>
      </c>
      <c r="AY3" s="7767"/>
      <c r="AZ3" s="7785">
        <v>45717</v>
      </c>
      <c r="BA3" s="7775"/>
      <c r="BB3" s="7786" t="s">
        <v>2172</v>
      </c>
      <c r="BC3" s="7787"/>
      <c r="BD3" s="5823"/>
      <c r="BE3" s="5754" t="s">
        <v>550</v>
      </c>
      <c r="BF3" s="7767" t="s">
        <v>1765</v>
      </c>
      <c r="BG3" s="7767"/>
    </row>
    <row r="4" spans="1:61" ht="16.5" x14ac:dyDescent="0.25">
      <c r="C4" s="5755" t="s">
        <v>16</v>
      </c>
      <c r="D4" s="5756" t="s">
        <v>1384</v>
      </c>
      <c r="E4" s="7783"/>
      <c r="F4" s="5755"/>
      <c r="G4" s="5757">
        <f>+SUMIF(WRM!$C$7:$C$119,$D4,WRM!$F$7:$F$119)</f>
        <v>475.60000000000008</v>
      </c>
      <c r="H4" s="5757"/>
      <c r="I4" s="5757">
        <f>+SUMIF(WRM!$C$7:$C$119,$D4,WRM!$H$7:$H$119)</f>
        <v>1963.9</v>
      </c>
      <c r="J4" s="5758"/>
      <c r="K4" s="5758">
        <f>+G4+I4</f>
        <v>2439.5</v>
      </c>
      <c r="L4" s="5757"/>
      <c r="M4" s="5757">
        <f>+SUMIF(WRM!$C$7:$C$119,$D4,WRM!$L$7:$L$119)</f>
        <v>1092.6499999999999</v>
      </c>
      <c r="N4" s="5759"/>
      <c r="O4" s="5759">
        <f>+G4+I4+M4</f>
        <v>3532.1499999999996</v>
      </c>
      <c r="P4" s="5757"/>
      <c r="Q4" s="5757">
        <f>+SUMIF(WRM!$C$7:$C$119,$D4,WRM!$P$7:$P$119)</f>
        <v>904.05</v>
      </c>
      <c r="R4" s="5760"/>
      <c r="S4" s="5758">
        <f>O4+Q4</f>
        <v>4436.2</v>
      </c>
      <c r="T4" s="5757"/>
      <c r="U4" s="5757">
        <f>+SUMIF(WRM!$C$7:$C$119,$D4,WRM!$T$7:$T$119)</f>
        <v>1967.9999999999998</v>
      </c>
      <c r="V4" s="5760"/>
      <c r="W4" s="5758">
        <f>S4+U4</f>
        <v>6404.2</v>
      </c>
      <c r="X4" s="5761"/>
      <c r="Y4" s="5775">
        <f>+SUMIF(WRM!$C$7:$C$119,$D4,WRM!$X$7:$X$119)</f>
        <v>1717.8999999999999</v>
      </c>
      <c r="Z4" s="5759"/>
      <c r="AA4" s="5759">
        <f>Q4+U4+Y4</f>
        <v>4589.95</v>
      </c>
      <c r="AB4" s="5762"/>
      <c r="AC4" s="5763">
        <f>O4+AA4</f>
        <v>8122.0999999999995</v>
      </c>
      <c r="AD4" s="5757"/>
      <c r="AE4" s="5757">
        <f>+SUMIF(WRM!$C$7:$C$119,$D4,WRM!$AD$7:$AD$119)</f>
        <v>1795.8</v>
      </c>
      <c r="AF4" s="5760"/>
      <c r="AG4" s="5758">
        <f>+AC4+AE4</f>
        <v>9917.9</v>
      </c>
      <c r="AH4" s="5757"/>
      <c r="AI4" s="5757">
        <f>+SUMIF(WRM!$C$7:$C$119,$D4,WRM!$AH$7:$AH$119)</f>
        <v>569.90000000000009</v>
      </c>
      <c r="AJ4" s="5760"/>
      <c r="AK4" s="5758">
        <f>+AG4+AI4</f>
        <v>10487.8</v>
      </c>
      <c r="AL4" s="5757"/>
      <c r="AM4" s="5757">
        <f>+SUMIF(WRM!$C$7:$C$119,$D4,WRM!$AL$7:$AL$119)</f>
        <v>3212.3500000000004</v>
      </c>
      <c r="AN4" s="5972"/>
      <c r="AO4" s="5759">
        <f>AE4+AI4+AM4</f>
        <v>5578.05</v>
      </c>
      <c r="AP4" s="5760"/>
      <c r="AQ4" s="5758">
        <f t="shared" ref="AQ4:AQ30" si="0">+AK4+AM4</f>
        <v>13700.15</v>
      </c>
      <c r="AR4" s="5757"/>
      <c r="AS4" s="5757">
        <f>+SUMIF(WRM!$C$7:$C$119,$D4,WRM!$AR$7:$AR$119)</f>
        <v>1314.05</v>
      </c>
      <c r="AT4" s="5760"/>
      <c r="AU4" s="5758">
        <f>+AQ4+AS4</f>
        <v>15014.199999999999</v>
      </c>
      <c r="AV4" s="5757"/>
      <c r="AW4" s="5757">
        <f>+SUMIF(WRM!$C$7:$C$119,$D4,WRM!$AV$7:$AV$119)</f>
        <v>1385.8000000000002</v>
      </c>
      <c r="AX4" s="5760"/>
      <c r="AY4" s="5758">
        <f>+AU4+AW4</f>
        <v>16400</v>
      </c>
      <c r="AZ4" s="5757"/>
      <c r="BA4" s="5757">
        <f>+SUMIF(WRM!$C$7:$C$119,$D4,WRM!$AZ$7:$AZ$119)</f>
        <v>1594.9</v>
      </c>
      <c r="BB4" s="5972"/>
      <c r="BC4" s="5759">
        <f>AS4+AW4+BA4</f>
        <v>4294.75</v>
      </c>
      <c r="BD4" s="5762"/>
      <c r="BE4" s="5763">
        <f>AO4+BC4</f>
        <v>9872.7999999999993</v>
      </c>
      <c r="BF4" s="5760"/>
      <c r="BG4" s="5758">
        <f>+AY4+BA4</f>
        <v>17994.900000000001</v>
      </c>
      <c r="BH4" s="26"/>
      <c r="BI4" s="26"/>
    </row>
    <row r="5" spans="1:61" ht="16.5" x14ac:dyDescent="0.25">
      <c r="C5" s="5755" t="s">
        <v>16</v>
      </c>
      <c r="D5" s="5756" t="s">
        <v>1986</v>
      </c>
      <c r="E5" s="7783"/>
      <c r="F5" s="5755"/>
      <c r="G5" s="5757">
        <f>+SUMIF(WRM!$C$7:$C$119,$D5,WRM!$F$7:$F$119)</f>
        <v>1262.8000000000002</v>
      </c>
      <c r="H5" s="5757"/>
      <c r="I5" s="5757">
        <f>+SUMIF(WRM!$C$7:$C$119,$D5,WRM!$H$7:$H$119)</f>
        <v>0</v>
      </c>
      <c r="J5" s="5758"/>
      <c r="K5" s="5758">
        <f t="shared" ref="K5:K24" si="1">+G5+I5</f>
        <v>1262.8000000000002</v>
      </c>
      <c r="L5" s="5757"/>
      <c r="M5" s="5757">
        <f>+SUMIF(WRM!$C$7:$C$119,$D5,WRM!$L$7:$L$119)</f>
        <v>0</v>
      </c>
      <c r="N5" s="5759"/>
      <c r="O5" s="5759">
        <f t="shared" ref="O5:O73" si="2">+G5+I5+M5</f>
        <v>1262.8000000000002</v>
      </c>
      <c r="P5" s="5757"/>
      <c r="Q5" s="5757">
        <f>+SUMIF(WRM!$C$7:$C$119,$D5,WRM!$P$7:$P$119)</f>
        <v>0</v>
      </c>
      <c r="R5" s="5760"/>
      <c r="S5" s="5758">
        <f t="shared" ref="S5:S73" si="3">O5+Q5</f>
        <v>1262.8000000000002</v>
      </c>
      <c r="T5" s="5757"/>
      <c r="U5" s="5757">
        <f>+SUMIF(WRM!$C$7:$C$119,$D5,WRM!$T$7:$T$119)</f>
        <v>0</v>
      </c>
      <c r="V5" s="5760"/>
      <c r="W5" s="5758">
        <f t="shared" ref="W5:W73" si="4">S5+U5</f>
        <v>1262.8000000000002</v>
      </c>
      <c r="X5" s="5761"/>
      <c r="Y5" s="6045">
        <f>+SUMIF(WRM!$C$7:$C$119,$D5,WRM!$X$7:$X$119)</f>
        <v>1658.4499999999998</v>
      </c>
      <c r="Z5" s="5759"/>
      <c r="AA5" s="5759">
        <f t="shared" ref="AA5:AA73" si="5">Q5+U5+Y5</f>
        <v>1658.4499999999998</v>
      </c>
      <c r="AB5" s="5762"/>
      <c r="AC5" s="5763">
        <f t="shared" ref="AC5:AC73" si="6">O5+AA5</f>
        <v>2921.25</v>
      </c>
      <c r="AD5" s="5757"/>
      <c r="AE5" s="5775">
        <f>+SUMIF(WRM!$C$7:$C$119,$D5,WRM!$AD$7:$AD$119)</f>
        <v>0</v>
      </c>
      <c r="AF5" s="5760"/>
      <c r="AG5" s="5758">
        <f t="shared" ref="AG5:AG73" si="7">+AC5+AE5</f>
        <v>2921.25</v>
      </c>
      <c r="AH5" s="5757"/>
      <c r="AI5" s="5757">
        <f>+SUMIF(WRM!$C$7:$C$119,$D5,WRM!$AH$7:$AH$119)</f>
        <v>0</v>
      </c>
      <c r="AJ5" s="5760"/>
      <c r="AK5" s="5758">
        <f t="shared" ref="AK5:AK73" si="8">+AG5+AI5</f>
        <v>2921.25</v>
      </c>
      <c r="AL5" s="5757"/>
      <c r="AM5" s="5757">
        <f>+SUMIF(WRM!$C$7:$C$119,$D5,WRM!$AL$7:$AL$119)</f>
        <v>0</v>
      </c>
      <c r="AN5" s="5972"/>
      <c r="AO5" s="5759">
        <f t="shared" ref="AO5:AO73" si="9">AE5+AI5+AM5</f>
        <v>0</v>
      </c>
      <c r="AP5" s="5760"/>
      <c r="AQ5" s="6045">
        <f t="shared" si="0"/>
        <v>2921.25</v>
      </c>
      <c r="AR5" s="5757"/>
      <c r="AS5" s="5757">
        <f>+SUMIF(WRM!$C$7:$C$119,$D5,WRM!$AR$7:$AR$119)</f>
        <v>678.55000000000007</v>
      </c>
      <c r="AT5" s="5760"/>
      <c r="AU5" s="5758">
        <f t="shared" ref="AU5:AU30" si="10">+AQ5+AS5</f>
        <v>3599.8</v>
      </c>
      <c r="AV5" s="5757"/>
      <c r="AW5" s="5757">
        <f>+SUMIF(WRM!$C$7:$C$119,$D5,WRM!$AV$7:$AV$119)</f>
        <v>0</v>
      </c>
      <c r="AX5" s="5760"/>
      <c r="AY5" s="5758">
        <f t="shared" ref="AY5:AY37" si="11">+AU5+AW5</f>
        <v>3599.8</v>
      </c>
      <c r="AZ5" s="5757"/>
      <c r="BA5" s="5757">
        <f>+SUMIF(WRM!$C$7:$C$119,$D5,WRM!$AZ$7:$AZ$119)</f>
        <v>0</v>
      </c>
      <c r="BB5" s="5972"/>
      <c r="BC5" s="5759">
        <f t="shared" ref="BC5:BC37" si="12">AS5+AW5+BA5</f>
        <v>678.55000000000007</v>
      </c>
      <c r="BD5" s="5762"/>
      <c r="BE5" s="5763">
        <f t="shared" ref="BE5:BE69" si="13">AO5+BC5</f>
        <v>678.55000000000007</v>
      </c>
      <c r="BF5" s="5760"/>
      <c r="BG5" s="5758">
        <f t="shared" ref="BG5:BG37" si="14">+AY5+BA5</f>
        <v>3599.8</v>
      </c>
      <c r="BH5" s="26"/>
      <c r="BI5" s="26"/>
    </row>
    <row r="6" spans="1:61" ht="16.5" x14ac:dyDescent="0.25">
      <c r="C6" s="5755" t="s">
        <v>16</v>
      </c>
      <c r="D6" s="5756" t="s">
        <v>1333</v>
      </c>
      <c r="E6" s="7783"/>
      <c r="F6" s="5755"/>
      <c r="G6" s="5757">
        <f>+SUMIF(WRM!$C$7:$C$119,$D6,WRM!$F$7:$F$119)</f>
        <v>0</v>
      </c>
      <c r="H6" s="5757"/>
      <c r="I6" s="5757">
        <f>+SUMIF(WRM!$C$7:$C$119,$D6,WRM!$H$7:$H$119)</f>
        <v>0</v>
      </c>
      <c r="J6" s="5758"/>
      <c r="K6" s="5758">
        <f t="shared" si="1"/>
        <v>0</v>
      </c>
      <c r="L6" s="5757"/>
      <c r="M6" s="5757">
        <f>+SUMIF(WRM!$C$7:$C$119,$D6,WRM!$L$7:$L$119)</f>
        <v>0</v>
      </c>
      <c r="N6" s="5759"/>
      <c r="O6" s="5759">
        <f t="shared" si="2"/>
        <v>0</v>
      </c>
      <c r="P6" s="5757"/>
      <c r="Q6" s="5757">
        <f>+SUMIF(WRM!$C$7:$C$119,$D6,WRM!$P$7:$P$119)</f>
        <v>608.85</v>
      </c>
      <c r="R6" s="5760"/>
      <c r="S6" s="5758">
        <f t="shared" si="3"/>
        <v>608.85</v>
      </c>
      <c r="T6" s="5757"/>
      <c r="U6" s="5757">
        <f>+SUMIF(WRM!$C$7:$C$119,$D6,WRM!$T$7:$T$119)</f>
        <v>910.2</v>
      </c>
      <c r="V6" s="5760"/>
      <c r="W6" s="5758">
        <f t="shared" si="4"/>
        <v>1519.0500000000002</v>
      </c>
      <c r="X6" s="5761"/>
      <c r="Y6" s="5775">
        <f>+SUMIF(WRM!$C$7:$C$119,$D6,WRM!$X$7:$X$119)</f>
        <v>569.90000000000009</v>
      </c>
      <c r="Z6" s="5759"/>
      <c r="AA6" s="5759">
        <f t="shared" si="5"/>
        <v>2088.9500000000003</v>
      </c>
      <c r="AB6" s="5762"/>
      <c r="AC6" s="5763">
        <f t="shared" si="6"/>
        <v>2088.9500000000003</v>
      </c>
      <c r="AD6" s="5757"/>
      <c r="AE6" s="5775">
        <f>+SUMIF(WRM!$C$7:$C$119,$D6,WRM!$AD$7:$AD$119)</f>
        <v>731.85000000000014</v>
      </c>
      <c r="AF6" s="5760"/>
      <c r="AG6" s="5758">
        <f t="shared" si="7"/>
        <v>2820.8</v>
      </c>
      <c r="AH6" s="5757"/>
      <c r="AI6" s="5757">
        <f>+SUMIF(WRM!$C$7:$C$119,$D6,WRM!$AH$7:$AH$119)</f>
        <v>147.6</v>
      </c>
      <c r="AJ6" s="5760"/>
      <c r="AK6" s="5758">
        <f t="shared" si="8"/>
        <v>2968.4</v>
      </c>
      <c r="AL6" s="5757"/>
      <c r="AM6" s="5757">
        <f>+SUMIF(WRM!$C$7:$C$119,$D6,WRM!$AL$7:$AL$119)</f>
        <v>573.99999999999989</v>
      </c>
      <c r="AN6" s="5972"/>
      <c r="AO6" s="5759">
        <f t="shared" si="9"/>
        <v>1453.45</v>
      </c>
      <c r="AP6" s="5760"/>
      <c r="AQ6" s="5758">
        <f t="shared" si="0"/>
        <v>3542.4</v>
      </c>
      <c r="AR6" s="5757"/>
      <c r="AS6" s="5757">
        <f>+SUMIF(WRM!$C$7:$C$119,$D6,WRM!$AR$7:$AR$119)</f>
        <v>196.79999999999998</v>
      </c>
      <c r="AT6" s="5760"/>
      <c r="AU6" s="5758">
        <f t="shared" si="10"/>
        <v>3739.2000000000003</v>
      </c>
      <c r="AV6" s="5757"/>
      <c r="AW6" s="5757">
        <f>+SUMIF(WRM!$C$7:$C$119,$D6,WRM!$AV$7:$AV$119)</f>
        <v>592.45000000000005</v>
      </c>
      <c r="AX6" s="5760"/>
      <c r="AY6" s="5758">
        <f t="shared" si="11"/>
        <v>4331.6500000000005</v>
      </c>
      <c r="AZ6" s="5757"/>
      <c r="BA6" s="5757">
        <f>+SUMIF(WRM!$C$7:$C$119,$D6,WRM!$AZ$7:$AZ$119)</f>
        <v>0</v>
      </c>
      <c r="BB6" s="5972"/>
      <c r="BC6" s="5759">
        <f t="shared" si="12"/>
        <v>789.25</v>
      </c>
      <c r="BD6" s="5762"/>
      <c r="BE6" s="5763">
        <f t="shared" si="13"/>
        <v>2242.6999999999998</v>
      </c>
      <c r="BF6" s="5760"/>
      <c r="BG6" s="5758">
        <f t="shared" si="14"/>
        <v>4331.6500000000005</v>
      </c>
      <c r="BH6" s="26"/>
      <c r="BI6" s="26"/>
    </row>
    <row r="7" spans="1:61" ht="16.5" x14ac:dyDescent="0.25">
      <c r="C7" s="5755" t="s">
        <v>16</v>
      </c>
      <c r="D7" s="5756" t="s">
        <v>951</v>
      </c>
      <c r="E7" s="7783"/>
      <c r="F7" s="5755"/>
      <c r="G7" s="5757">
        <f>+SUMIF(WRM!$C$7:$C$119,$D7,WRM!$F$7:$F$119)</f>
        <v>0</v>
      </c>
      <c r="H7" s="5757"/>
      <c r="I7" s="5757">
        <f>+SUMIF(WRM!$C$7:$C$119,$D7,WRM!$H$7:$H$119)</f>
        <v>104.55</v>
      </c>
      <c r="J7" s="5758"/>
      <c r="K7" s="5758">
        <f t="shared" si="1"/>
        <v>104.55</v>
      </c>
      <c r="L7" s="5757"/>
      <c r="M7" s="5757">
        <f>+SUMIF(WRM!$C$7:$C$119,$D7,WRM!$L$7:$L$119)</f>
        <v>0</v>
      </c>
      <c r="N7" s="5759"/>
      <c r="O7" s="5759">
        <f t="shared" si="2"/>
        <v>104.55</v>
      </c>
      <c r="P7" s="5757"/>
      <c r="Q7" s="5757">
        <f>+SUMIF(WRM!$C$7:$C$119,$D7,WRM!$P$7:$P$119)</f>
        <v>47.150000000000006</v>
      </c>
      <c r="R7" s="5760"/>
      <c r="S7" s="5758">
        <f t="shared" si="3"/>
        <v>151.69999999999999</v>
      </c>
      <c r="T7" s="5757"/>
      <c r="U7" s="5757">
        <f>+SUMIF(WRM!$C$7:$C$119,$D7,WRM!$T$7:$T$119)</f>
        <v>0</v>
      </c>
      <c r="V7" s="5760"/>
      <c r="W7" s="5758">
        <f t="shared" si="4"/>
        <v>151.69999999999999</v>
      </c>
      <c r="X7" s="5761"/>
      <c r="Y7" s="5775">
        <f>+SUMIF(WRM!$C$7:$C$119,$D7,WRM!$X$7:$X$119)</f>
        <v>0</v>
      </c>
      <c r="Z7" s="5759"/>
      <c r="AA7" s="5759">
        <f t="shared" si="5"/>
        <v>47.150000000000006</v>
      </c>
      <c r="AB7" s="5762"/>
      <c r="AC7" s="5763">
        <f t="shared" si="6"/>
        <v>151.69999999999999</v>
      </c>
      <c r="AD7" s="5757"/>
      <c r="AE7" s="5775">
        <f>+SUMIF(WRM!$C$7:$C$119,$D7,WRM!$AD$7:$AD$119)</f>
        <v>0</v>
      </c>
      <c r="AF7" s="5760"/>
      <c r="AG7" s="5758">
        <f t="shared" si="7"/>
        <v>151.69999999999999</v>
      </c>
      <c r="AH7" s="5757"/>
      <c r="AI7" s="5757">
        <f>+SUMIF(WRM!$C$7:$C$119,$D7,WRM!$AH$7:$AH$119)</f>
        <v>0</v>
      </c>
      <c r="AJ7" s="5760"/>
      <c r="AK7" s="5758">
        <f t="shared" si="8"/>
        <v>151.69999999999999</v>
      </c>
      <c r="AL7" s="5757"/>
      <c r="AM7" s="5757">
        <f>+SUMIF(WRM!$C$7:$C$119,$D7,WRM!$AL$7:$AL$119)</f>
        <v>0</v>
      </c>
      <c r="AN7" s="5972"/>
      <c r="AO7" s="5759">
        <f t="shared" si="9"/>
        <v>0</v>
      </c>
      <c r="AP7" s="5760"/>
      <c r="AQ7" s="5758">
        <f t="shared" si="0"/>
        <v>151.69999999999999</v>
      </c>
      <c r="AR7" s="5757"/>
      <c r="AS7" s="5757">
        <f>+SUMIF(WRM!$C$7:$C$119,$D7,WRM!$AR$7:$AR$119)</f>
        <v>0</v>
      </c>
      <c r="AT7" s="5760"/>
      <c r="AU7" s="5758">
        <f t="shared" si="10"/>
        <v>151.69999999999999</v>
      </c>
      <c r="AV7" s="5757"/>
      <c r="AW7" s="5757">
        <f>+SUMIF(WRM!$C$7:$C$119,$D7,WRM!$AV$7:$AV$119)</f>
        <v>0</v>
      </c>
      <c r="AX7" s="5760"/>
      <c r="AY7" s="5758">
        <f t="shared" si="11"/>
        <v>151.69999999999999</v>
      </c>
      <c r="AZ7" s="5757"/>
      <c r="BA7" s="5757">
        <f>+SUMIF(WRM!$C$7:$C$119,$D7,WRM!$AZ$7:$AZ$119)</f>
        <v>0</v>
      </c>
      <c r="BB7" s="5972"/>
      <c r="BC7" s="5759">
        <f t="shared" si="12"/>
        <v>0</v>
      </c>
      <c r="BD7" s="5762"/>
      <c r="BE7" s="5763">
        <f t="shared" si="13"/>
        <v>0</v>
      </c>
      <c r="BF7" s="5760"/>
      <c r="BG7" s="5758">
        <f t="shared" si="14"/>
        <v>151.69999999999999</v>
      </c>
      <c r="BH7" s="26"/>
      <c r="BI7" s="26"/>
    </row>
    <row r="8" spans="1:61" ht="16.5" x14ac:dyDescent="0.25">
      <c r="C8" s="5755" t="s">
        <v>16</v>
      </c>
      <c r="D8" s="5756" t="s">
        <v>1385</v>
      </c>
      <c r="E8" s="7783"/>
      <c r="F8" s="5755"/>
      <c r="G8" s="5757">
        <f>+SUMIF(WRM!$C$7:$C$119,$D8,WRM!$F$7:$F$119)</f>
        <v>0</v>
      </c>
      <c r="H8" s="5757"/>
      <c r="I8" s="5757">
        <f>+SUMIF(WRM!$C$7:$C$119,$D8,WRM!$H$7:$H$119)</f>
        <v>0</v>
      </c>
      <c r="J8" s="5758"/>
      <c r="K8" s="5758">
        <f t="shared" si="1"/>
        <v>0</v>
      </c>
      <c r="L8" s="5757"/>
      <c r="M8" s="5757">
        <f>+SUMIF(WRM!$C$7:$C$119,$D8,WRM!$L$7:$L$119)</f>
        <v>0</v>
      </c>
      <c r="N8" s="5759"/>
      <c r="O8" s="5759">
        <f t="shared" si="2"/>
        <v>0</v>
      </c>
      <c r="P8" s="5757"/>
      <c r="Q8" s="5757">
        <f>+SUMIF(WRM!$C$7:$C$119,$D8,WRM!$P$7:$P$119)</f>
        <v>0</v>
      </c>
      <c r="R8" s="5760"/>
      <c r="S8" s="5758">
        <f t="shared" si="3"/>
        <v>0</v>
      </c>
      <c r="T8" s="5757"/>
      <c r="U8" s="5757">
        <f>+SUMIF(WRM!$C$7:$C$119,$D8,WRM!$T$7:$T$119)</f>
        <v>0</v>
      </c>
      <c r="V8" s="5760"/>
      <c r="W8" s="5758">
        <f t="shared" si="4"/>
        <v>0</v>
      </c>
      <c r="X8" s="5761"/>
      <c r="Y8" s="5775">
        <f>+SUMIF(WRM!$C$7:$C$119,$D8,WRM!$X$7:$X$119)</f>
        <v>0</v>
      </c>
      <c r="Z8" s="5759"/>
      <c r="AA8" s="5759">
        <f t="shared" si="5"/>
        <v>0</v>
      </c>
      <c r="AB8" s="5762"/>
      <c r="AC8" s="5763">
        <f t="shared" si="6"/>
        <v>0</v>
      </c>
      <c r="AD8" s="5757"/>
      <c r="AE8" s="5775">
        <f>+SUMIF(WRM!$C$7:$C$119,$D8,WRM!$AD$7:$AD$119)</f>
        <v>0</v>
      </c>
      <c r="AF8" s="5760"/>
      <c r="AG8" s="5758">
        <f t="shared" si="7"/>
        <v>0</v>
      </c>
      <c r="AH8" s="5757"/>
      <c r="AI8" s="5757">
        <f>+SUMIF(WRM!$C$7:$C$119,$D8,WRM!$AH$7:$AH$119)</f>
        <v>0</v>
      </c>
      <c r="AJ8" s="5760"/>
      <c r="AK8" s="5758">
        <f t="shared" si="8"/>
        <v>0</v>
      </c>
      <c r="AL8" s="5757"/>
      <c r="AM8" s="5757">
        <f>+SUMIF(WRM!$C$7:$C$119,$D8,WRM!$AL$7:$AL$119)</f>
        <v>0</v>
      </c>
      <c r="AN8" s="5972"/>
      <c r="AO8" s="5759">
        <f t="shared" si="9"/>
        <v>0</v>
      </c>
      <c r="AP8" s="5760"/>
      <c r="AQ8" s="5758">
        <f t="shared" si="0"/>
        <v>0</v>
      </c>
      <c r="AR8" s="5757"/>
      <c r="AS8" s="5757">
        <f>+SUMIF(WRM!$C$7:$C$119,$D8,WRM!$AR$7:$AR$119)</f>
        <v>0</v>
      </c>
      <c r="AT8" s="5760"/>
      <c r="AU8" s="5758">
        <f t="shared" si="10"/>
        <v>0</v>
      </c>
      <c r="AV8" s="5757"/>
      <c r="AW8" s="5757">
        <f>+SUMIF(WRM!$C$7:$C$119,$D8,WRM!$AV$7:$AV$119)</f>
        <v>0</v>
      </c>
      <c r="AX8" s="5760"/>
      <c r="AY8" s="5758">
        <f t="shared" si="11"/>
        <v>0</v>
      </c>
      <c r="AZ8" s="5757"/>
      <c r="BA8" s="5757">
        <f>+SUMIF(WRM!$C$7:$C$119,$D8,WRM!$AZ$7:$AZ$119)</f>
        <v>0</v>
      </c>
      <c r="BB8" s="5972"/>
      <c r="BC8" s="5759">
        <f t="shared" si="12"/>
        <v>0</v>
      </c>
      <c r="BD8" s="5762"/>
      <c r="BE8" s="5763">
        <f t="shared" si="13"/>
        <v>0</v>
      </c>
      <c r="BF8" s="5760"/>
      <c r="BG8" s="5758">
        <f t="shared" si="14"/>
        <v>0</v>
      </c>
      <c r="BH8" s="26"/>
      <c r="BI8" s="26"/>
    </row>
    <row r="9" spans="1:61" ht="16.5" x14ac:dyDescent="0.25">
      <c r="C9" s="5755" t="s">
        <v>16</v>
      </c>
      <c r="D9" s="5756" t="s">
        <v>874</v>
      </c>
      <c r="E9" s="7783"/>
      <c r="F9" s="5755"/>
      <c r="G9" s="5757">
        <f>+SUMIF(WRM!$C$7:$C$119,$D9,WRM!$F$7:$F$119)</f>
        <v>4233.3500000000004</v>
      </c>
      <c r="H9" s="5757"/>
      <c r="I9" s="5757">
        <f>+SUMIF(WRM!$C$7:$C$119,$D9,WRM!$H$7:$H$119)</f>
        <v>9493.5499999999993</v>
      </c>
      <c r="J9" s="5758"/>
      <c r="K9" s="5758">
        <f t="shared" si="1"/>
        <v>13726.9</v>
      </c>
      <c r="L9" s="5757"/>
      <c r="M9" s="5757">
        <f>+SUMIF(WRM!$C$7:$C$119,$D9,WRM!$L$7:$L$119)</f>
        <v>4327.55</v>
      </c>
      <c r="N9" s="5759"/>
      <c r="O9" s="5759">
        <f t="shared" si="2"/>
        <v>18054.45</v>
      </c>
      <c r="P9" s="5757"/>
      <c r="Q9" s="5757">
        <f>+SUMIF(WRM!$C$7:$C$119,$D9,WRM!$P$7:$P$119)</f>
        <v>7363.6000000000049</v>
      </c>
      <c r="R9" s="5760"/>
      <c r="S9" s="5758">
        <f t="shared" si="3"/>
        <v>25418.050000000007</v>
      </c>
      <c r="T9" s="5757"/>
      <c r="U9" s="5757">
        <f>+SUMIF(WRM!$C$7:$C$119,$D9,WRM!$T$7:$T$119)</f>
        <v>5600.5999999999995</v>
      </c>
      <c r="V9" s="5760"/>
      <c r="W9" s="5758">
        <f t="shared" si="4"/>
        <v>31018.650000000005</v>
      </c>
      <c r="X9" s="5761"/>
      <c r="Y9" s="5775">
        <f>+SUMIF(WRM!$C$7:$C$119,$D9,WRM!$X$7:$X$119)</f>
        <v>6152.05</v>
      </c>
      <c r="Z9" s="5759"/>
      <c r="AA9" s="5759">
        <f t="shared" si="5"/>
        <v>19116.250000000004</v>
      </c>
      <c r="AB9" s="5762"/>
      <c r="AC9" s="5763">
        <f t="shared" si="6"/>
        <v>37170.700000000004</v>
      </c>
      <c r="AD9" s="5757"/>
      <c r="AE9" s="5775">
        <f>+SUMIF(WRM!$C$7:$C$119,$D9,WRM!$AD$7:$AD$119)</f>
        <v>7002.8000000000075</v>
      </c>
      <c r="AF9" s="5760"/>
      <c r="AG9" s="5758">
        <f t="shared" si="7"/>
        <v>44173.500000000015</v>
      </c>
      <c r="AH9" s="5757"/>
      <c r="AI9" s="5757">
        <f>+SUMIF(WRM!$C$7:$C$119,$D9,WRM!$AH$7:$AH$119)</f>
        <v>3649</v>
      </c>
      <c r="AJ9" s="5760"/>
      <c r="AK9" s="5758">
        <f t="shared" si="8"/>
        <v>47822.500000000015</v>
      </c>
      <c r="AL9" s="5757"/>
      <c r="AM9" s="5757">
        <f>+SUMIF(WRM!$C$7:$C$119,$D9,WRM!$AL$7:$AL$119)</f>
        <v>6063.9</v>
      </c>
      <c r="AN9" s="5972"/>
      <c r="AO9" s="5759">
        <f t="shared" si="9"/>
        <v>16715.700000000004</v>
      </c>
      <c r="AP9" s="5760"/>
      <c r="AQ9" s="5758">
        <f t="shared" si="0"/>
        <v>53886.400000000016</v>
      </c>
      <c r="AR9" s="5757"/>
      <c r="AS9" s="5757">
        <f>+SUMIF(WRM!$C$7:$C$119,$D9,WRM!$AR$7:$AR$119)</f>
        <v>7312.35</v>
      </c>
      <c r="AT9" s="5760"/>
      <c r="AU9" s="5758">
        <f t="shared" si="10"/>
        <v>61198.750000000015</v>
      </c>
      <c r="AV9" s="5757"/>
      <c r="AW9" s="5757">
        <f>+SUMIF(WRM!$C$7:$C$119,$D9,WRM!$AV$7:$AV$119)</f>
        <v>7252.9</v>
      </c>
      <c r="AX9" s="5760"/>
      <c r="AY9" s="5758">
        <f t="shared" si="11"/>
        <v>68451.650000000009</v>
      </c>
      <c r="AZ9" s="5757"/>
      <c r="BA9" s="5757">
        <f>+SUMIF(WRM!$C$7:$C$119,$D9,WRM!$AZ$7:$AZ$119)</f>
        <v>4592.0000000000009</v>
      </c>
      <c r="BB9" s="5972"/>
      <c r="BC9" s="5759">
        <f t="shared" si="12"/>
        <v>19157.25</v>
      </c>
      <c r="BD9" s="5762"/>
      <c r="BE9" s="5763">
        <f t="shared" si="13"/>
        <v>35872.950000000004</v>
      </c>
      <c r="BF9" s="5760"/>
      <c r="BG9" s="5758">
        <f t="shared" si="14"/>
        <v>73043.650000000009</v>
      </c>
      <c r="BH9" s="26"/>
      <c r="BI9" s="26"/>
    </row>
    <row r="10" spans="1:61" ht="16.5" x14ac:dyDescent="0.25">
      <c r="C10" s="5755" t="s">
        <v>16</v>
      </c>
      <c r="D10" s="5756" t="s">
        <v>877</v>
      </c>
      <c r="E10" s="7783"/>
      <c r="F10" s="5755"/>
      <c r="G10" s="5757">
        <f>+SUMIF(WRM!$C$7:$C$119,$D10,WRM!$F$7:$F$119)</f>
        <v>0</v>
      </c>
      <c r="H10" s="5757"/>
      <c r="I10" s="5757">
        <f>+SUMIF(WRM!$C$7:$C$119,$D10,WRM!$H$7:$H$119)</f>
        <v>0</v>
      </c>
      <c r="J10" s="5758"/>
      <c r="K10" s="5758">
        <f t="shared" si="1"/>
        <v>0</v>
      </c>
      <c r="L10" s="5757"/>
      <c r="M10" s="5757">
        <f>+SUMIF(WRM!$C$7:$C$119,$D10,WRM!$L$7:$L$119)</f>
        <v>0</v>
      </c>
      <c r="N10" s="5759"/>
      <c r="O10" s="5759">
        <f t="shared" si="2"/>
        <v>0</v>
      </c>
      <c r="P10" s="5757"/>
      <c r="Q10" s="5757">
        <f>+SUMIF(WRM!$C$7:$C$119,$D10,WRM!$P$7:$P$119)</f>
        <v>0</v>
      </c>
      <c r="R10" s="5760"/>
      <c r="S10" s="5758">
        <f t="shared" si="3"/>
        <v>0</v>
      </c>
      <c r="T10" s="5757"/>
      <c r="U10" s="5757">
        <f>+SUMIF(WRM!$C$7:$C$119,$D10,WRM!$T$7:$T$119)</f>
        <v>0</v>
      </c>
      <c r="V10" s="5760"/>
      <c r="W10" s="5758">
        <f t="shared" si="4"/>
        <v>0</v>
      </c>
      <c r="X10" s="5761"/>
      <c r="Y10" s="5775">
        <f>+SUMIF(WRM!$C$7:$C$119,$D10,WRM!$X$7:$X$119)</f>
        <v>0</v>
      </c>
      <c r="Z10" s="5759"/>
      <c r="AA10" s="5759">
        <f t="shared" si="5"/>
        <v>0</v>
      </c>
      <c r="AB10" s="5762"/>
      <c r="AC10" s="5763">
        <f t="shared" si="6"/>
        <v>0</v>
      </c>
      <c r="AD10" s="5757"/>
      <c r="AE10" s="5775">
        <f>+SUMIF(WRM!$C$7:$C$119,$D10,WRM!$AD$7:$AD$119)</f>
        <v>0</v>
      </c>
      <c r="AF10" s="5760"/>
      <c r="AG10" s="5758">
        <f t="shared" si="7"/>
        <v>0</v>
      </c>
      <c r="AH10" s="5757"/>
      <c r="AI10" s="5757">
        <f>+SUMIF(WRM!$C$7:$C$119,$D10,WRM!$AH$7:$AH$119)</f>
        <v>0</v>
      </c>
      <c r="AJ10" s="5760"/>
      <c r="AK10" s="5758">
        <f t="shared" si="8"/>
        <v>0</v>
      </c>
      <c r="AL10" s="5757"/>
      <c r="AM10" s="5757">
        <f>+SUMIF(WRM!$C$7:$C$119,$D10,WRM!$AL$7:$AL$119)</f>
        <v>0</v>
      </c>
      <c r="AN10" s="5972"/>
      <c r="AO10" s="5759">
        <f t="shared" si="9"/>
        <v>0</v>
      </c>
      <c r="AP10" s="5760"/>
      <c r="AQ10" s="5758">
        <f t="shared" si="0"/>
        <v>0</v>
      </c>
      <c r="AR10" s="5757"/>
      <c r="AS10" s="5757">
        <f>+SUMIF(WRM!$C$7:$C$119,$D10,WRM!$AR$7:$AR$119)</f>
        <v>0</v>
      </c>
      <c r="AT10" s="5760"/>
      <c r="AU10" s="5758">
        <f t="shared" si="10"/>
        <v>0</v>
      </c>
      <c r="AV10" s="5757"/>
      <c r="AW10" s="5757">
        <f>+SUMIF(WRM!$C$7:$C$119,$D10,WRM!$AV$7:$AV$119)</f>
        <v>0</v>
      </c>
      <c r="AX10" s="5760"/>
      <c r="AY10" s="5758">
        <f t="shared" si="11"/>
        <v>0</v>
      </c>
      <c r="AZ10" s="5757"/>
      <c r="BA10" s="5757">
        <f>+SUMIF(WRM!$C$7:$C$119,$D10,WRM!$AZ$7:$AZ$119)</f>
        <v>0</v>
      </c>
      <c r="BB10" s="5972"/>
      <c r="BC10" s="5759">
        <f t="shared" si="12"/>
        <v>0</v>
      </c>
      <c r="BD10" s="5762"/>
      <c r="BE10" s="5763">
        <f t="shared" si="13"/>
        <v>0</v>
      </c>
      <c r="BF10" s="5760"/>
      <c r="BG10" s="5758">
        <f t="shared" si="14"/>
        <v>0</v>
      </c>
      <c r="BH10" s="26"/>
      <c r="BI10" s="26"/>
    </row>
    <row r="11" spans="1:61" ht="16.5" x14ac:dyDescent="0.25">
      <c r="C11" s="5755" t="s">
        <v>16</v>
      </c>
      <c r="D11" s="5756" t="s">
        <v>1275</v>
      </c>
      <c r="E11" s="7783"/>
      <c r="F11" s="5755"/>
      <c r="G11" s="5757">
        <f>+SUMIF(WRM!$C$7:$C$119,$D11,WRM!$F$7:$F$119)</f>
        <v>0</v>
      </c>
      <c r="H11" s="5757"/>
      <c r="I11" s="5757">
        <f>+SUMIF(WRM!$C$7:$C$119,$D11,WRM!$H$7:$H$119)</f>
        <v>0</v>
      </c>
      <c r="J11" s="5758"/>
      <c r="K11" s="5758">
        <f t="shared" si="1"/>
        <v>0</v>
      </c>
      <c r="L11" s="5757"/>
      <c r="M11" s="5757">
        <f>+SUMIF(WRM!$C$7:$C$119,$D11,WRM!$L$7:$L$119)</f>
        <v>0</v>
      </c>
      <c r="N11" s="5759"/>
      <c r="O11" s="5759">
        <f t="shared" si="2"/>
        <v>0</v>
      </c>
      <c r="P11" s="5757"/>
      <c r="Q11" s="5757">
        <f>+SUMIF(WRM!$C$7:$C$119,$D11,WRM!$P$7:$P$119)</f>
        <v>0</v>
      </c>
      <c r="R11" s="5760"/>
      <c r="S11" s="5758">
        <f t="shared" si="3"/>
        <v>0</v>
      </c>
      <c r="T11" s="5757"/>
      <c r="U11" s="5757">
        <f>+SUMIF(WRM!$C$7:$C$119,$D11,WRM!$T$7:$T$119)</f>
        <v>0</v>
      </c>
      <c r="V11" s="5760"/>
      <c r="W11" s="5758">
        <f t="shared" si="4"/>
        <v>0</v>
      </c>
      <c r="X11" s="5761"/>
      <c r="Y11" s="5775">
        <f>+SUMIF(WRM!$C$7:$C$119,$D11,WRM!$X$7:$X$119)</f>
        <v>0</v>
      </c>
      <c r="Z11" s="5759"/>
      <c r="AA11" s="5759">
        <f t="shared" si="5"/>
        <v>0</v>
      </c>
      <c r="AB11" s="5762"/>
      <c r="AC11" s="5763">
        <f t="shared" si="6"/>
        <v>0</v>
      </c>
      <c r="AD11" s="5757"/>
      <c r="AE11" s="5775">
        <f>+SUMIF(WRM!$C$7:$C$119,$D11,WRM!$AD$7:$AD$119)</f>
        <v>0</v>
      </c>
      <c r="AF11" s="5760"/>
      <c r="AG11" s="5758">
        <f t="shared" si="7"/>
        <v>0</v>
      </c>
      <c r="AH11" s="5757"/>
      <c r="AI11" s="5757">
        <f>+SUMIF(WRM!$C$7:$C$119,$D11,WRM!$AH$7:$AH$119)</f>
        <v>0</v>
      </c>
      <c r="AJ11" s="5760"/>
      <c r="AK11" s="5758">
        <f t="shared" si="8"/>
        <v>0</v>
      </c>
      <c r="AL11" s="5757"/>
      <c r="AM11" s="5757">
        <f>+SUMIF(WRM!$C$7:$C$119,$D11,WRM!$AL$7:$AL$119)</f>
        <v>0</v>
      </c>
      <c r="AN11" s="5972"/>
      <c r="AO11" s="5759">
        <f t="shared" si="9"/>
        <v>0</v>
      </c>
      <c r="AP11" s="5760"/>
      <c r="AQ11" s="5758">
        <f t="shared" si="0"/>
        <v>0</v>
      </c>
      <c r="AR11" s="5757"/>
      <c r="AS11" s="5757">
        <f>+SUMIF(WRM!$C$7:$C$119,$D11,WRM!$AR$7:$AR$119)</f>
        <v>0</v>
      </c>
      <c r="AT11" s="5760"/>
      <c r="AU11" s="5758">
        <f t="shared" si="10"/>
        <v>0</v>
      </c>
      <c r="AV11" s="5757"/>
      <c r="AW11" s="5757">
        <f>+SUMIF(WRM!$C$7:$C$119,$D11,WRM!$AV$7:$AV$119)</f>
        <v>0</v>
      </c>
      <c r="AX11" s="5760"/>
      <c r="AY11" s="5758">
        <f t="shared" si="11"/>
        <v>0</v>
      </c>
      <c r="AZ11" s="5757"/>
      <c r="BA11" s="5757">
        <f>+SUMIF(WRM!$C$7:$C$119,$D11,WRM!$AZ$7:$AZ$119)</f>
        <v>0</v>
      </c>
      <c r="BB11" s="5972"/>
      <c r="BC11" s="5759">
        <f t="shared" si="12"/>
        <v>0</v>
      </c>
      <c r="BD11" s="5762"/>
      <c r="BE11" s="5763">
        <f t="shared" si="13"/>
        <v>0</v>
      </c>
      <c r="BF11" s="5760"/>
      <c r="BG11" s="5758">
        <f t="shared" si="14"/>
        <v>0</v>
      </c>
      <c r="BH11" s="26"/>
      <c r="BI11" s="26"/>
    </row>
    <row r="12" spans="1:61" ht="16.5" x14ac:dyDescent="0.25">
      <c r="C12" s="5755" t="s">
        <v>16</v>
      </c>
      <c r="D12" s="5756" t="s">
        <v>972</v>
      </c>
      <c r="E12" s="7783"/>
      <c r="F12" s="5755"/>
      <c r="G12" s="5757">
        <f>+SUMIF(WRM!$C$7:$C$119,$D12,WRM!$F$7:$F$119)</f>
        <v>1096.75</v>
      </c>
      <c r="H12" s="5757"/>
      <c r="I12" s="5757">
        <f>+SUMIF(WRM!$C$7:$C$119,$D12,WRM!$H$7:$H$119)</f>
        <v>223.45000000000002</v>
      </c>
      <c r="J12" s="5758"/>
      <c r="K12" s="5758">
        <f t="shared" si="1"/>
        <v>1320.2</v>
      </c>
      <c r="L12" s="5757"/>
      <c r="M12" s="5757">
        <f>+SUMIF(WRM!$C$7:$C$119,$D12,WRM!$L$7:$L$119)</f>
        <v>0</v>
      </c>
      <c r="N12" s="5759"/>
      <c r="O12" s="5759">
        <f t="shared" si="2"/>
        <v>1320.2</v>
      </c>
      <c r="P12" s="5757"/>
      <c r="Q12" s="5757">
        <f>+SUMIF(WRM!$C$7:$C$119,$D12,WRM!$P$7:$P$119)</f>
        <v>832.30000000000007</v>
      </c>
      <c r="R12" s="5760"/>
      <c r="S12" s="5758">
        <f t="shared" si="3"/>
        <v>2152.5</v>
      </c>
      <c r="T12" s="5757"/>
      <c r="U12" s="5757">
        <f>+SUMIF(WRM!$C$7:$C$119,$D12,WRM!$T$7:$T$119)</f>
        <v>1031.1499999999999</v>
      </c>
      <c r="V12" s="5760"/>
      <c r="W12" s="5758">
        <f t="shared" si="4"/>
        <v>3183.6499999999996</v>
      </c>
      <c r="X12" s="5761"/>
      <c r="Y12" s="5775">
        <f>+SUMIF(WRM!$C$7:$C$119,$D12,WRM!$X$7:$X$119)</f>
        <v>957.34999999999991</v>
      </c>
      <c r="Z12" s="5759"/>
      <c r="AA12" s="5759">
        <f t="shared" si="5"/>
        <v>2820.7999999999997</v>
      </c>
      <c r="AB12" s="5762"/>
      <c r="AC12" s="5763">
        <f t="shared" si="6"/>
        <v>4141</v>
      </c>
      <c r="AD12" s="5757"/>
      <c r="AE12" s="5775">
        <f>+SUMIF(WRM!$C$7:$C$119,$D12,WRM!$AD$7:$AD$119)</f>
        <v>770.80000000000018</v>
      </c>
      <c r="AF12" s="5760"/>
      <c r="AG12" s="5758">
        <f t="shared" si="7"/>
        <v>4911.8</v>
      </c>
      <c r="AH12" s="5757"/>
      <c r="AI12" s="5757">
        <f>+SUMIF(WRM!$C$7:$C$119,$D12,WRM!$AH$7:$AH$119)</f>
        <v>0</v>
      </c>
      <c r="AJ12" s="5760"/>
      <c r="AK12" s="5758">
        <f t="shared" si="8"/>
        <v>4911.8</v>
      </c>
      <c r="AL12" s="5757"/>
      <c r="AM12" s="5757">
        <f>+SUMIF(WRM!$C$7:$C$119,$D12,WRM!$AL$7:$AL$119)</f>
        <v>1014.7500000000001</v>
      </c>
      <c r="AN12" s="5972"/>
      <c r="AO12" s="5759">
        <f t="shared" si="9"/>
        <v>1785.5500000000002</v>
      </c>
      <c r="AP12" s="5760"/>
      <c r="AQ12" s="5758">
        <f t="shared" si="0"/>
        <v>5926.55</v>
      </c>
      <c r="AR12" s="5757"/>
      <c r="AS12" s="5757">
        <f>+SUMIF(WRM!$C$7:$C$119,$D12,WRM!$AR$7:$AR$119)</f>
        <v>1070.1000000000004</v>
      </c>
      <c r="AT12" s="5760"/>
      <c r="AU12" s="5758">
        <f t="shared" si="10"/>
        <v>6996.6500000000005</v>
      </c>
      <c r="AV12" s="5757"/>
      <c r="AW12" s="5757">
        <f>+SUMIF(WRM!$C$7:$C$119,$D12,WRM!$AV$7:$AV$119)</f>
        <v>604.75</v>
      </c>
      <c r="AX12" s="5760"/>
      <c r="AY12" s="5758">
        <f t="shared" si="11"/>
        <v>7601.4000000000005</v>
      </c>
      <c r="AZ12" s="5757"/>
      <c r="BA12" s="5757">
        <f>+SUMIF(WRM!$C$7:$C$119,$D12,WRM!$AZ$7:$AZ$119)</f>
        <v>104.55</v>
      </c>
      <c r="BB12" s="5972"/>
      <c r="BC12" s="5759">
        <f t="shared" si="12"/>
        <v>1779.4000000000003</v>
      </c>
      <c r="BD12" s="5762"/>
      <c r="BE12" s="5763">
        <f t="shared" si="13"/>
        <v>3564.9500000000007</v>
      </c>
      <c r="BF12" s="5760"/>
      <c r="BG12" s="5758">
        <f t="shared" si="14"/>
        <v>7705.9500000000007</v>
      </c>
      <c r="BH12" s="26"/>
      <c r="BI12" s="26"/>
    </row>
    <row r="13" spans="1:61" ht="16.5" x14ac:dyDescent="0.25">
      <c r="A13" s="2631"/>
      <c r="B13" s="2631"/>
      <c r="C13" s="5755" t="s">
        <v>16</v>
      </c>
      <c r="D13" s="5756" t="s">
        <v>1648</v>
      </c>
      <c r="E13" s="7783"/>
      <c r="F13" s="5755"/>
      <c r="G13" s="5757">
        <f>+SUMIF(WRM!$C$7:$C$119,$D13,WRM!$F$7:$F$119)</f>
        <v>0</v>
      </c>
      <c r="H13" s="5757"/>
      <c r="I13" s="5757">
        <f>+SUMIF(WRM!$C$7:$C$119,$D13,WRM!$H$7:$H$119)</f>
        <v>0</v>
      </c>
      <c r="J13" s="5758"/>
      <c r="K13" s="5758">
        <f t="shared" si="1"/>
        <v>0</v>
      </c>
      <c r="L13" s="5757"/>
      <c r="M13" s="5757">
        <f>+SUMIF(WRM!$C$7:$C$119,$D13,WRM!$L$7:$L$119)</f>
        <v>0</v>
      </c>
      <c r="N13" s="5759"/>
      <c r="O13" s="5759">
        <f t="shared" si="2"/>
        <v>0</v>
      </c>
      <c r="P13" s="5757"/>
      <c r="Q13" s="5757">
        <f>+SUMIF(WRM!$C$7:$C$119,$D13,WRM!$P$7:$P$119)</f>
        <v>0</v>
      </c>
      <c r="R13" s="5760"/>
      <c r="S13" s="5758">
        <f t="shared" si="3"/>
        <v>0</v>
      </c>
      <c r="T13" s="5757"/>
      <c r="U13" s="5757">
        <f>+SUMIF(WRM!$C$7:$C$119,$D13,WRM!$T$7:$T$119)</f>
        <v>0</v>
      </c>
      <c r="V13" s="5760"/>
      <c r="W13" s="5758">
        <f t="shared" si="4"/>
        <v>0</v>
      </c>
      <c r="X13" s="5761"/>
      <c r="Y13" s="5775">
        <f>+SUMIF(WRM!$C$7:$C$119,$D13,WRM!$X$7:$X$119)</f>
        <v>0</v>
      </c>
      <c r="Z13" s="5759"/>
      <c r="AA13" s="5759">
        <f t="shared" si="5"/>
        <v>0</v>
      </c>
      <c r="AB13" s="5762"/>
      <c r="AC13" s="5763">
        <f t="shared" si="6"/>
        <v>0</v>
      </c>
      <c r="AD13" s="5757"/>
      <c r="AE13" s="5775">
        <f>+SUMIF(WRM!$C$7:$C$119,$D13,WRM!$AD$7:$AD$119)</f>
        <v>0</v>
      </c>
      <c r="AF13" s="5760"/>
      <c r="AG13" s="5758">
        <f t="shared" si="7"/>
        <v>0</v>
      </c>
      <c r="AH13" s="5757"/>
      <c r="AI13" s="5757">
        <f>+SUMIF(WRM!$C$7:$C$119,$D13,WRM!$AH$7:$AH$119)</f>
        <v>0</v>
      </c>
      <c r="AJ13" s="5760"/>
      <c r="AK13" s="5758">
        <f t="shared" si="8"/>
        <v>0</v>
      </c>
      <c r="AL13" s="5757"/>
      <c r="AM13" s="5757">
        <f>+SUMIF(WRM!$C$7:$C$119,$D13,WRM!$AL$7:$AL$119)</f>
        <v>0</v>
      </c>
      <c r="AN13" s="5972"/>
      <c r="AO13" s="5759">
        <f t="shared" si="9"/>
        <v>0</v>
      </c>
      <c r="AP13" s="5760"/>
      <c r="AQ13" s="5758">
        <f t="shared" si="0"/>
        <v>0</v>
      </c>
      <c r="AR13" s="5757"/>
      <c r="AS13" s="5757">
        <f>+SUMIF(WRM!$C$7:$C$119,$D13,WRM!$AR$7:$AR$119)</f>
        <v>0</v>
      </c>
      <c r="AT13" s="5760"/>
      <c r="AU13" s="5758">
        <f t="shared" si="10"/>
        <v>0</v>
      </c>
      <c r="AV13" s="5757"/>
      <c r="AW13" s="5757">
        <f>+SUMIF(WRM!$C$7:$C$119,$D13,WRM!$AV$7:$AV$119)</f>
        <v>0</v>
      </c>
      <c r="AX13" s="5760"/>
      <c r="AY13" s="5758">
        <f t="shared" si="11"/>
        <v>0</v>
      </c>
      <c r="AZ13" s="5757"/>
      <c r="BA13" s="5757">
        <f>+SUMIF(WRM!$C$7:$C$119,$D13,WRM!$AZ$7:$AZ$119)</f>
        <v>0</v>
      </c>
      <c r="BB13" s="5972"/>
      <c r="BC13" s="5759">
        <f t="shared" si="12"/>
        <v>0</v>
      </c>
      <c r="BD13" s="5762"/>
      <c r="BE13" s="5763">
        <f t="shared" si="13"/>
        <v>0</v>
      </c>
      <c r="BF13" s="5760"/>
      <c r="BG13" s="5758">
        <f t="shared" si="14"/>
        <v>0</v>
      </c>
      <c r="BH13" s="26"/>
      <c r="BI13" s="26"/>
    </row>
    <row r="14" spans="1:61" ht="16.5" x14ac:dyDescent="0.25">
      <c r="A14" s="3323"/>
      <c r="B14" s="3323"/>
      <c r="C14" s="5764" t="s">
        <v>16</v>
      </c>
      <c r="D14" s="5765" t="s">
        <v>975</v>
      </c>
      <c r="E14" s="7783"/>
      <c r="F14" s="5764"/>
      <c r="G14" s="5757">
        <f>+SUMIF(WRM!$C$7:$C$119,$D14,WRM!$F$7:$F$119)</f>
        <v>559.65</v>
      </c>
      <c r="H14" s="5766"/>
      <c r="I14" s="5757">
        <f>+SUMIF(WRM!$C$7:$C$119,$D14,WRM!$H$7:$H$119)</f>
        <v>565.79999999999995</v>
      </c>
      <c r="J14" s="5768"/>
      <c r="K14" s="5758">
        <f t="shared" si="1"/>
        <v>1125.4499999999998</v>
      </c>
      <c r="L14" s="5766"/>
      <c r="M14" s="5757">
        <f>+SUMIF(WRM!$C$7:$C$119,$D14,WRM!$L$7:$L$119)</f>
        <v>0</v>
      </c>
      <c r="N14" s="5767"/>
      <c r="O14" s="5759">
        <f t="shared" si="2"/>
        <v>1125.4499999999998</v>
      </c>
      <c r="P14" s="5766"/>
      <c r="Q14" s="5757">
        <f>+SUMIF(WRM!$C$7:$C$119,$D14,WRM!$P$7:$P$119)</f>
        <v>106.60000000000001</v>
      </c>
      <c r="R14" s="5760"/>
      <c r="S14" s="5758">
        <f t="shared" si="3"/>
        <v>1232.0499999999997</v>
      </c>
      <c r="T14" s="5766"/>
      <c r="U14" s="5757">
        <f>+SUMIF(WRM!$C$7:$C$119,$D14,WRM!$T$7:$T$119)</f>
        <v>606.79999999999995</v>
      </c>
      <c r="V14" s="5760"/>
      <c r="W14" s="5758">
        <f t="shared" si="4"/>
        <v>1838.8499999999997</v>
      </c>
      <c r="X14" s="5761"/>
      <c r="Y14" s="5775">
        <f>+SUMIF(WRM!$C$7:$C$119,$D14,WRM!$X$7:$X$119)</f>
        <v>1316.1000000000001</v>
      </c>
      <c r="Z14" s="5767"/>
      <c r="AA14" s="5759">
        <f t="shared" si="5"/>
        <v>2029.5</v>
      </c>
      <c r="AB14" s="5762"/>
      <c r="AC14" s="5763">
        <f t="shared" si="6"/>
        <v>3154.95</v>
      </c>
      <c r="AD14" s="5766"/>
      <c r="AE14" s="5775">
        <f>+SUMIF(WRM!$C$7:$C$119,$D14,WRM!$AD$7:$AD$119)</f>
        <v>287</v>
      </c>
      <c r="AF14" s="5760"/>
      <c r="AG14" s="5758">
        <f t="shared" si="7"/>
        <v>3441.95</v>
      </c>
      <c r="AH14" s="5766"/>
      <c r="AI14" s="5757">
        <f>+SUMIF(WRM!$C$7:$C$119,$D14,WRM!$AH$7:$AH$119)</f>
        <v>0</v>
      </c>
      <c r="AJ14" s="5760"/>
      <c r="AK14" s="5758">
        <f t="shared" si="8"/>
        <v>3441.95</v>
      </c>
      <c r="AL14" s="5766"/>
      <c r="AM14" s="5757">
        <f>+SUMIF(WRM!$C$7:$C$119,$D14,WRM!$AL$7:$AL$119)</f>
        <v>524.79999999999995</v>
      </c>
      <c r="AN14" s="5972"/>
      <c r="AO14" s="5759">
        <f t="shared" si="9"/>
        <v>811.8</v>
      </c>
      <c r="AP14" s="5760"/>
      <c r="AQ14" s="5758">
        <f t="shared" si="0"/>
        <v>3966.75</v>
      </c>
      <c r="AR14" s="5766"/>
      <c r="AS14" s="5757">
        <f>+SUMIF(WRM!$C$7:$C$119,$D14,WRM!$AR$7:$AR$119)</f>
        <v>694.95</v>
      </c>
      <c r="AT14" s="5760"/>
      <c r="AU14" s="5758">
        <f t="shared" si="10"/>
        <v>4661.7</v>
      </c>
      <c r="AV14" s="5766"/>
      <c r="AW14" s="5757">
        <f>+SUMIF(WRM!$C$7:$C$119,$D14,WRM!$AV$7:$AV$119)</f>
        <v>1381.6999999999998</v>
      </c>
      <c r="AX14" s="5760"/>
      <c r="AY14" s="5758">
        <f t="shared" si="11"/>
        <v>6043.4</v>
      </c>
      <c r="AZ14" s="5766"/>
      <c r="BA14" s="5757">
        <f>+SUMIF(WRM!$C$7:$C$119,$D14,WRM!$AZ$7:$AZ$119)</f>
        <v>442.7999999999999</v>
      </c>
      <c r="BB14" s="5972"/>
      <c r="BC14" s="5759">
        <f t="shared" si="12"/>
        <v>2519.4499999999994</v>
      </c>
      <c r="BD14" s="5762"/>
      <c r="BE14" s="5763">
        <f t="shared" si="13"/>
        <v>3331.2499999999991</v>
      </c>
      <c r="BF14" s="5760"/>
      <c r="BG14" s="5758">
        <f t="shared" si="14"/>
        <v>6486.2</v>
      </c>
      <c r="BH14" s="26"/>
      <c r="BI14" s="26"/>
    </row>
    <row r="15" spans="1:61" ht="16.5" x14ac:dyDescent="0.25">
      <c r="C15" s="5755" t="s">
        <v>16</v>
      </c>
      <c r="D15" s="5756" t="s">
        <v>974</v>
      </c>
      <c r="E15" s="7783"/>
      <c r="F15" s="5755"/>
      <c r="G15" s="5757">
        <f>+SUMIF(WRM!$C$7:$C$119,$D15,WRM!$F$7:$F$119)</f>
        <v>596.54999999999995</v>
      </c>
      <c r="H15" s="5757"/>
      <c r="I15" s="5757">
        <f>+SUMIF(WRM!$C$7:$C$119,$D15,WRM!$H$7:$H$119)</f>
        <v>906.1</v>
      </c>
      <c r="J15" s="5758"/>
      <c r="K15" s="5758">
        <f t="shared" si="1"/>
        <v>1502.65</v>
      </c>
      <c r="L15" s="5757"/>
      <c r="M15" s="5757">
        <f>+SUMIF(WRM!$C$7:$C$119,$D15,WRM!$L$7:$L$119)</f>
        <v>549.40000000000009</v>
      </c>
      <c r="N15" s="5759"/>
      <c r="O15" s="5759">
        <f t="shared" si="2"/>
        <v>2052.0500000000002</v>
      </c>
      <c r="P15" s="5757"/>
      <c r="Q15" s="5757">
        <f>+SUMIF(WRM!$C$7:$C$119,$D15,WRM!$P$7:$P$119)</f>
        <v>1125.45</v>
      </c>
      <c r="R15" s="5760"/>
      <c r="S15" s="5758">
        <f t="shared" si="3"/>
        <v>3177.5</v>
      </c>
      <c r="T15" s="5757"/>
      <c r="U15" s="5757">
        <f>+SUMIF(WRM!$C$7:$C$119,$D15,WRM!$T$7:$T$119)</f>
        <v>2168.9</v>
      </c>
      <c r="V15" s="5760"/>
      <c r="W15" s="5758">
        <f t="shared" si="4"/>
        <v>5346.4</v>
      </c>
      <c r="X15" s="5761"/>
      <c r="Y15" s="5775">
        <f>+SUMIF(WRM!$C$7:$C$119,$D15,WRM!$X$7:$X$119)</f>
        <v>940.95</v>
      </c>
      <c r="Z15" s="5759"/>
      <c r="AA15" s="5759">
        <f t="shared" si="5"/>
        <v>4235.3</v>
      </c>
      <c r="AB15" s="5762"/>
      <c r="AC15" s="5763">
        <f t="shared" si="6"/>
        <v>6287.35</v>
      </c>
      <c r="AD15" s="5757"/>
      <c r="AE15" s="5775">
        <f>+SUMIF(WRM!$C$7:$C$119,$D15,WRM!$AD$7:$AD$119)</f>
        <v>2459.9900000000007</v>
      </c>
      <c r="AF15" s="5760"/>
      <c r="AG15" s="5758">
        <f t="shared" si="7"/>
        <v>8747.34</v>
      </c>
      <c r="AH15" s="5757"/>
      <c r="AI15" s="5757">
        <f>+SUMIF(WRM!$C$7:$C$119,$D15,WRM!$AH$7:$AH$119)</f>
        <v>1221.8000000000002</v>
      </c>
      <c r="AJ15" s="5760"/>
      <c r="AK15" s="5758">
        <f t="shared" si="8"/>
        <v>9969.14</v>
      </c>
      <c r="AL15" s="5757"/>
      <c r="AM15" s="5757">
        <f>+SUMIF(WRM!$C$7:$C$119,$D15,WRM!$AL$7:$AL$119)</f>
        <v>2088.9499999999998</v>
      </c>
      <c r="AN15" s="5972"/>
      <c r="AO15" s="5759">
        <f t="shared" si="9"/>
        <v>5770.7400000000007</v>
      </c>
      <c r="AP15" s="5760"/>
      <c r="AQ15" s="5758">
        <f t="shared" si="0"/>
        <v>12058.09</v>
      </c>
      <c r="AR15" s="5757"/>
      <c r="AS15" s="5757">
        <f>+SUMIF(WRM!$C$7:$C$119,$D15,WRM!$AR$7:$AR$119)</f>
        <v>1227.95</v>
      </c>
      <c r="AT15" s="5760"/>
      <c r="AU15" s="5758">
        <f t="shared" si="10"/>
        <v>13286.04</v>
      </c>
      <c r="AV15" s="5757"/>
      <c r="AW15" s="5757">
        <f>+SUMIF(WRM!$C$7:$C$119,$D15,WRM!$AV$7:$AV$119)</f>
        <v>2193.5</v>
      </c>
      <c r="AX15" s="5760"/>
      <c r="AY15" s="5758">
        <f t="shared" si="11"/>
        <v>15479.54</v>
      </c>
      <c r="AZ15" s="5757"/>
      <c r="BA15" s="5757">
        <f>+SUMIF(WRM!$C$7:$C$119,$D15,WRM!$AZ$7:$AZ$119)</f>
        <v>2525.6</v>
      </c>
      <c r="BB15" s="5972"/>
      <c r="BC15" s="5759">
        <f t="shared" si="12"/>
        <v>5947.0499999999993</v>
      </c>
      <c r="BD15" s="5762"/>
      <c r="BE15" s="5763">
        <f t="shared" si="13"/>
        <v>11717.79</v>
      </c>
      <c r="BF15" s="5760"/>
      <c r="BG15" s="5758">
        <f t="shared" si="14"/>
        <v>18005.14</v>
      </c>
      <c r="BH15" s="26"/>
      <c r="BI15" s="26"/>
    </row>
    <row r="16" spans="1:61" ht="16.5" x14ac:dyDescent="0.25">
      <c r="C16" s="5755" t="s">
        <v>16</v>
      </c>
      <c r="D16" s="5756" t="s">
        <v>1138</v>
      </c>
      <c r="E16" s="7783"/>
      <c r="F16" s="5755"/>
      <c r="G16" s="5757">
        <f>+SUMIF(WRM!$C$7:$C$119,$D16,WRM!$F$7:$F$119)</f>
        <v>252.14999999999998</v>
      </c>
      <c r="H16" s="5757"/>
      <c r="I16" s="5757">
        <f>+SUMIF(WRM!$C$7:$C$119,$D16,WRM!$H$7:$H$119)</f>
        <v>243.95000000000002</v>
      </c>
      <c r="J16" s="5758"/>
      <c r="K16" s="5758">
        <f t="shared" si="1"/>
        <v>496.1</v>
      </c>
      <c r="L16" s="5757"/>
      <c r="M16" s="5757">
        <f>+SUMIF(WRM!$C$7:$C$119,$D16,WRM!$L$7:$L$119)</f>
        <v>0</v>
      </c>
      <c r="N16" s="5759"/>
      <c r="O16" s="5759">
        <f t="shared" si="2"/>
        <v>496.1</v>
      </c>
      <c r="P16" s="5757"/>
      <c r="Q16" s="5757">
        <f>+SUMIF(WRM!$C$7:$C$119,$D16,WRM!$P$7:$P$119)</f>
        <v>98.4</v>
      </c>
      <c r="R16" s="5760"/>
      <c r="S16" s="5758">
        <f t="shared" si="3"/>
        <v>594.5</v>
      </c>
      <c r="T16" s="5757"/>
      <c r="U16" s="5757">
        <f>+SUMIF(WRM!$C$7:$C$119,$D16,WRM!$T$7:$T$119)</f>
        <v>116.85</v>
      </c>
      <c r="V16" s="5760"/>
      <c r="W16" s="5758">
        <f t="shared" si="4"/>
        <v>711.35</v>
      </c>
      <c r="X16" s="5761"/>
      <c r="Y16" s="5775">
        <f>+SUMIF(WRM!$C$7:$C$119,$D16,WRM!$X$7:$X$119)</f>
        <v>207.05</v>
      </c>
      <c r="Z16" s="5759"/>
      <c r="AA16" s="5759">
        <f t="shared" si="5"/>
        <v>422.3</v>
      </c>
      <c r="AB16" s="5762"/>
      <c r="AC16" s="5763">
        <f t="shared" si="6"/>
        <v>918.40000000000009</v>
      </c>
      <c r="AD16" s="5757"/>
      <c r="AE16" s="5775">
        <f>+SUMIF(WRM!$C$7:$C$119,$D16,WRM!$AD$7:$AD$119)</f>
        <v>0</v>
      </c>
      <c r="AF16" s="5760"/>
      <c r="AG16" s="5758">
        <f t="shared" si="7"/>
        <v>918.40000000000009</v>
      </c>
      <c r="AH16" s="5757"/>
      <c r="AI16" s="5757">
        <f>+SUMIF(WRM!$C$7:$C$119,$D16,WRM!$AH$7:$AH$119)</f>
        <v>0</v>
      </c>
      <c r="AJ16" s="5760"/>
      <c r="AK16" s="5758">
        <f t="shared" si="8"/>
        <v>918.40000000000009</v>
      </c>
      <c r="AL16" s="5757"/>
      <c r="AM16" s="5757">
        <f>+SUMIF(WRM!$C$7:$C$119,$D16,WRM!$AL$7:$AL$119)</f>
        <v>0</v>
      </c>
      <c r="AN16" s="5972"/>
      <c r="AO16" s="5759">
        <f t="shared" si="9"/>
        <v>0</v>
      </c>
      <c r="AP16" s="5760"/>
      <c r="AQ16" s="5758">
        <f t="shared" si="0"/>
        <v>918.40000000000009</v>
      </c>
      <c r="AR16" s="5757"/>
      <c r="AS16" s="5757">
        <f>+SUMIF(WRM!$C$7:$C$119,$D16,WRM!$AR$7:$AR$119)</f>
        <v>221.40000000000003</v>
      </c>
      <c r="AT16" s="5760"/>
      <c r="AU16" s="5758">
        <f t="shared" si="10"/>
        <v>1139.8000000000002</v>
      </c>
      <c r="AV16" s="5757"/>
      <c r="AW16" s="5757">
        <f>+SUMIF(WRM!$C$7:$C$119,$D16,WRM!$AV$7:$AV$119)</f>
        <v>0</v>
      </c>
      <c r="AX16" s="5760"/>
      <c r="AY16" s="5758">
        <f t="shared" si="11"/>
        <v>1139.8000000000002</v>
      </c>
      <c r="AZ16" s="5757"/>
      <c r="BA16" s="5757">
        <f>+SUMIF(WRM!$C$7:$C$119,$D16,WRM!$AZ$7:$AZ$119)</f>
        <v>0</v>
      </c>
      <c r="BB16" s="5972"/>
      <c r="BC16" s="5759">
        <f t="shared" si="12"/>
        <v>221.40000000000003</v>
      </c>
      <c r="BD16" s="5762"/>
      <c r="BE16" s="5763">
        <f t="shared" si="13"/>
        <v>221.40000000000003</v>
      </c>
      <c r="BF16" s="5760"/>
      <c r="BG16" s="5758">
        <f t="shared" si="14"/>
        <v>1139.8000000000002</v>
      </c>
      <c r="BH16" s="26"/>
      <c r="BI16" s="26"/>
    </row>
    <row r="17" spans="1:61" ht="16.5" x14ac:dyDescent="0.25">
      <c r="C17" s="5755" t="s">
        <v>16</v>
      </c>
      <c r="D17" s="5756" t="s">
        <v>976</v>
      </c>
      <c r="E17" s="7783"/>
      <c r="F17" s="5755"/>
      <c r="G17" s="5757">
        <f>+SUMIF(WRM!$C$7:$C$119,$D17,WRM!$F$7:$F$119)</f>
        <v>1332.4999999999995</v>
      </c>
      <c r="H17" s="5757"/>
      <c r="I17" s="5757">
        <f>+SUMIF(WRM!$C$7:$C$119,$D17,WRM!$H$7:$H$119)</f>
        <v>2179.1499999999996</v>
      </c>
      <c r="J17" s="5758"/>
      <c r="K17" s="5758">
        <f t="shared" si="1"/>
        <v>3511.6499999999992</v>
      </c>
      <c r="L17" s="5757"/>
      <c r="M17" s="5757">
        <f>+SUMIF(WRM!$C$7:$C$119,$D17,WRM!$L$7:$L$119)</f>
        <v>178.35</v>
      </c>
      <c r="N17" s="5759"/>
      <c r="O17" s="5759">
        <f t="shared" si="2"/>
        <v>3689.9999999999991</v>
      </c>
      <c r="P17" s="5757"/>
      <c r="Q17" s="5757">
        <f>+SUMIF(WRM!$C$7:$C$119,$D17,WRM!$P$7:$P$119)</f>
        <v>1031.1500000000001</v>
      </c>
      <c r="R17" s="5760"/>
      <c r="S17" s="5758">
        <f t="shared" si="3"/>
        <v>4721.1499999999996</v>
      </c>
      <c r="T17" s="5757"/>
      <c r="U17" s="5757">
        <f>+SUMIF(WRM!$C$7:$C$119,$D17,WRM!$T$7:$T$119)</f>
        <v>2652.7</v>
      </c>
      <c r="V17" s="5760"/>
      <c r="W17" s="5758">
        <f t="shared" si="4"/>
        <v>7373.8499999999995</v>
      </c>
      <c r="X17" s="5761"/>
      <c r="Y17" s="5775">
        <f>+SUMIF(WRM!$C$7:$C$119,$D17,WRM!$X$7:$X$119)</f>
        <v>1810.1499999999996</v>
      </c>
      <c r="Z17" s="5759"/>
      <c r="AA17" s="5759">
        <f t="shared" si="5"/>
        <v>5494</v>
      </c>
      <c r="AB17" s="5762"/>
      <c r="AC17" s="5763">
        <f t="shared" si="6"/>
        <v>9184</v>
      </c>
      <c r="AD17" s="5757"/>
      <c r="AE17" s="5775">
        <f>+SUMIF(WRM!$C$7:$C$119,$D17,WRM!$AD$7:$AD$119)</f>
        <v>1045.5</v>
      </c>
      <c r="AF17" s="5760"/>
      <c r="AG17" s="5758">
        <f t="shared" si="7"/>
        <v>10229.5</v>
      </c>
      <c r="AH17" s="5757"/>
      <c r="AI17" s="5757">
        <f>+SUMIF(WRM!$C$7:$C$119,$D17,WRM!$AH$7:$AH$119)</f>
        <v>0</v>
      </c>
      <c r="AJ17" s="5760"/>
      <c r="AK17" s="5758">
        <f t="shared" si="8"/>
        <v>10229.5</v>
      </c>
      <c r="AL17" s="5757"/>
      <c r="AM17" s="5757">
        <f>+SUMIF(WRM!$C$7:$C$119,$D17,WRM!$AL$7:$AL$119)</f>
        <v>2144.2999999999997</v>
      </c>
      <c r="AN17" s="5972"/>
      <c r="AO17" s="5759">
        <f t="shared" si="9"/>
        <v>3189.7999999999997</v>
      </c>
      <c r="AP17" s="5760"/>
      <c r="AQ17" s="5758">
        <f t="shared" si="0"/>
        <v>12373.8</v>
      </c>
      <c r="AR17" s="5757"/>
      <c r="AS17" s="5757">
        <f>+SUMIF(WRM!$C$7:$C$119,$D17,WRM!$AR$7:$AR$119)</f>
        <v>1896.2500000000002</v>
      </c>
      <c r="AT17" s="5760"/>
      <c r="AU17" s="5758">
        <f t="shared" si="10"/>
        <v>14270.05</v>
      </c>
      <c r="AV17" s="5757"/>
      <c r="AW17" s="5757">
        <f>+SUMIF(WRM!$C$7:$C$119,$D17,WRM!$AV$7:$AV$119)</f>
        <v>2480.5</v>
      </c>
      <c r="AX17" s="5760"/>
      <c r="AY17" s="5758">
        <f t="shared" si="11"/>
        <v>16750.55</v>
      </c>
      <c r="AZ17" s="5757"/>
      <c r="BA17" s="5757">
        <f>+SUMIF(WRM!$C$7:$C$119,$D17,WRM!$AZ$7:$AZ$119)</f>
        <v>971.7</v>
      </c>
      <c r="BB17" s="5972"/>
      <c r="BC17" s="5759">
        <f t="shared" si="12"/>
        <v>5348.45</v>
      </c>
      <c r="BD17" s="5762"/>
      <c r="BE17" s="5763">
        <f t="shared" si="13"/>
        <v>8538.25</v>
      </c>
      <c r="BF17" s="5760"/>
      <c r="BG17" s="5758">
        <f t="shared" si="14"/>
        <v>17722.25</v>
      </c>
      <c r="BH17" s="26"/>
      <c r="BI17" s="26"/>
    </row>
    <row r="18" spans="1:61" ht="16.5" x14ac:dyDescent="0.25">
      <c r="C18" s="5755" t="s">
        <v>16</v>
      </c>
      <c r="D18" s="5756" t="s">
        <v>1142</v>
      </c>
      <c r="E18" s="7783"/>
      <c r="F18" s="5755"/>
      <c r="G18" s="5757">
        <f>+SUMIF(WRM!$C$7:$C$119,$D18,WRM!$F$7:$F$119)</f>
        <v>18.45</v>
      </c>
      <c r="H18" s="5757"/>
      <c r="I18" s="5757">
        <f>+SUMIF(WRM!$C$7:$C$119,$D18,WRM!$H$7:$H$119)</f>
        <v>4.0999999999999996</v>
      </c>
      <c r="J18" s="5758"/>
      <c r="K18" s="5758">
        <f t="shared" si="1"/>
        <v>22.549999999999997</v>
      </c>
      <c r="L18" s="5757"/>
      <c r="M18" s="5757">
        <f>+SUMIF(WRM!$C$7:$C$119,$D18,WRM!$L$7:$L$119)</f>
        <v>2.0499999999999998</v>
      </c>
      <c r="N18" s="5759"/>
      <c r="O18" s="5759">
        <f t="shared" si="2"/>
        <v>24.599999999999998</v>
      </c>
      <c r="P18" s="5757"/>
      <c r="Q18" s="5757">
        <f>+SUMIF(WRM!$C$7:$C$119,$D18,WRM!$P$7:$P$119)</f>
        <v>82</v>
      </c>
      <c r="R18" s="5760"/>
      <c r="S18" s="5758">
        <f t="shared" si="3"/>
        <v>106.6</v>
      </c>
      <c r="T18" s="5757"/>
      <c r="U18" s="5757">
        <f>+SUMIF(WRM!$C$7:$C$119,$D18,WRM!$T$7:$T$119)</f>
        <v>0</v>
      </c>
      <c r="V18" s="5760"/>
      <c r="W18" s="5758">
        <f t="shared" si="4"/>
        <v>106.6</v>
      </c>
      <c r="X18" s="5761"/>
      <c r="Y18" s="5775">
        <f>+SUMIF(WRM!$C$7:$C$119,$D18,WRM!$X$7:$X$119)</f>
        <v>149.65</v>
      </c>
      <c r="Z18" s="5759"/>
      <c r="AA18" s="5759">
        <f t="shared" si="5"/>
        <v>231.65</v>
      </c>
      <c r="AB18" s="5762"/>
      <c r="AC18" s="5763">
        <f t="shared" si="6"/>
        <v>256.25</v>
      </c>
      <c r="AD18" s="5757"/>
      <c r="AE18" s="5775">
        <f>+SUMIF(WRM!$C$7:$C$119,$D18,WRM!$AD$7:$AD$119)</f>
        <v>0</v>
      </c>
      <c r="AF18" s="5760"/>
      <c r="AG18" s="5758">
        <f t="shared" si="7"/>
        <v>256.25</v>
      </c>
      <c r="AH18" s="5757"/>
      <c r="AI18" s="5757">
        <f>+SUMIF(WRM!$C$7:$C$119,$D18,WRM!$AH$7:$AH$119)</f>
        <v>0</v>
      </c>
      <c r="AJ18" s="5760"/>
      <c r="AK18" s="5758">
        <f t="shared" si="8"/>
        <v>256.25</v>
      </c>
      <c r="AL18" s="5757"/>
      <c r="AM18" s="5757">
        <f>+SUMIF(WRM!$C$7:$C$119,$D18,WRM!$AL$7:$AL$119)</f>
        <v>4.0999999999999996</v>
      </c>
      <c r="AN18" s="5972"/>
      <c r="AO18" s="5759">
        <f t="shared" si="9"/>
        <v>4.0999999999999996</v>
      </c>
      <c r="AP18" s="5760"/>
      <c r="AQ18" s="5758">
        <f t="shared" si="0"/>
        <v>260.35000000000002</v>
      </c>
      <c r="AR18" s="5757"/>
      <c r="AS18" s="5757">
        <f>+SUMIF(WRM!$C$7:$C$119,$D18,WRM!$AR$7:$AR$119)</f>
        <v>174.25</v>
      </c>
      <c r="AT18" s="5760"/>
      <c r="AU18" s="5758">
        <f t="shared" si="10"/>
        <v>434.6</v>
      </c>
      <c r="AV18" s="5757"/>
      <c r="AW18" s="5757">
        <f>+SUMIF(WRM!$C$7:$C$119,$D18,WRM!$AV$7:$AV$119)</f>
        <v>77.900000000000006</v>
      </c>
      <c r="AX18" s="5760"/>
      <c r="AY18" s="5758">
        <f t="shared" si="11"/>
        <v>512.5</v>
      </c>
      <c r="AZ18" s="5757"/>
      <c r="BA18" s="5757">
        <f>+SUMIF(WRM!$C$7:$C$119,$D18,WRM!$AZ$7:$AZ$119)</f>
        <v>0</v>
      </c>
      <c r="BB18" s="5972"/>
      <c r="BC18" s="5759">
        <f t="shared" si="12"/>
        <v>252.15</v>
      </c>
      <c r="BD18" s="5762"/>
      <c r="BE18" s="5763">
        <f t="shared" si="13"/>
        <v>256.25</v>
      </c>
      <c r="BF18" s="5760"/>
      <c r="BG18" s="5758">
        <f t="shared" si="14"/>
        <v>512.5</v>
      </c>
      <c r="BH18" s="26"/>
      <c r="BI18" s="26"/>
    </row>
    <row r="19" spans="1:61" ht="16.5" x14ac:dyDescent="0.25">
      <c r="A19" s="2680"/>
      <c r="B19" s="2680"/>
      <c r="C19" s="5755" t="s">
        <v>16</v>
      </c>
      <c r="D19" s="5756" t="s">
        <v>977</v>
      </c>
      <c r="E19" s="7783"/>
      <c r="F19" s="5755"/>
      <c r="G19" s="5757">
        <f>+SUMIF(WRM!$C$7:$C$119,$D19,WRM!$F$7:$F$119)</f>
        <v>108.65</v>
      </c>
      <c r="H19" s="5757"/>
      <c r="I19" s="5757">
        <f>+SUMIF(WRM!$C$7:$C$119,$D19,WRM!$H$7:$H$119)</f>
        <v>0</v>
      </c>
      <c r="J19" s="5758"/>
      <c r="K19" s="5758">
        <f t="shared" si="1"/>
        <v>108.65</v>
      </c>
      <c r="L19" s="5757"/>
      <c r="M19" s="5757">
        <f>+SUMIF(WRM!$C$7:$C$119,$D19,WRM!$L$7:$L$119)</f>
        <v>0</v>
      </c>
      <c r="N19" s="5759"/>
      <c r="O19" s="5759">
        <f t="shared" si="2"/>
        <v>108.65</v>
      </c>
      <c r="P19" s="5757"/>
      <c r="Q19" s="5757">
        <f>+SUMIF(WRM!$C$7:$C$119,$D19,WRM!$P$7:$P$119)</f>
        <v>0</v>
      </c>
      <c r="R19" s="5760"/>
      <c r="S19" s="5758">
        <f t="shared" si="3"/>
        <v>108.65</v>
      </c>
      <c r="T19" s="5757"/>
      <c r="U19" s="5757">
        <f>+SUMIF(WRM!$C$7:$C$119,$D19,WRM!$T$7:$T$119)</f>
        <v>0</v>
      </c>
      <c r="V19" s="5760"/>
      <c r="W19" s="5758">
        <f t="shared" si="4"/>
        <v>108.65</v>
      </c>
      <c r="X19" s="5761"/>
      <c r="Y19" s="5775">
        <f>+SUMIF(WRM!$C$7:$C$119,$D19,WRM!$X$7:$X$119)</f>
        <v>98.399999999999991</v>
      </c>
      <c r="Z19" s="5759"/>
      <c r="AA19" s="5759">
        <f t="shared" si="5"/>
        <v>98.399999999999991</v>
      </c>
      <c r="AB19" s="5762"/>
      <c r="AC19" s="5763">
        <f t="shared" si="6"/>
        <v>207.05</v>
      </c>
      <c r="AD19" s="5757"/>
      <c r="AE19" s="5775">
        <f>+SUMIF(WRM!$C$7:$C$119,$D19,WRM!$AD$7:$AD$119)</f>
        <v>0</v>
      </c>
      <c r="AF19" s="5760"/>
      <c r="AG19" s="5758">
        <f t="shared" si="7"/>
        <v>207.05</v>
      </c>
      <c r="AH19" s="5757"/>
      <c r="AI19" s="5757">
        <f>+SUMIF(WRM!$C$7:$C$119,$D19,WRM!$AH$7:$AH$119)</f>
        <v>0</v>
      </c>
      <c r="AJ19" s="5760"/>
      <c r="AK19" s="5758">
        <f t="shared" si="8"/>
        <v>207.05</v>
      </c>
      <c r="AL19" s="5757"/>
      <c r="AM19" s="5757">
        <f>+SUMIF(WRM!$C$7:$C$119,$D19,WRM!$AL$7:$AL$119)</f>
        <v>104.55000000000001</v>
      </c>
      <c r="AN19" s="5972"/>
      <c r="AO19" s="5759">
        <f t="shared" si="9"/>
        <v>104.55000000000001</v>
      </c>
      <c r="AP19" s="5760"/>
      <c r="AQ19" s="5758">
        <f t="shared" si="0"/>
        <v>311.60000000000002</v>
      </c>
      <c r="AR19" s="5757"/>
      <c r="AS19" s="5757">
        <f>+SUMIF(WRM!$C$7:$C$119,$D19,WRM!$AR$7:$AR$119)</f>
        <v>0</v>
      </c>
      <c r="AT19" s="5760"/>
      <c r="AU19" s="5758">
        <f t="shared" si="10"/>
        <v>311.60000000000002</v>
      </c>
      <c r="AV19" s="5757"/>
      <c r="AW19" s="5757">
        <f>+SUMIF(WRM!$C$7:$C$119,$D19,WRM!$AV$7:$AV$119)</f>
        <v>0</v>
      </c>
      <c r="AX19" s="5760"/>
      <c r="AY19" s="5758">
        <f t="shared" si="11"/>
        <v>311.60000000000002</v>
      </c>
      <c r="AZ19" s="5757"/>
      <c r="BA19" s="5757">
        <f>+SUMIF(WRM!$C$7:$C$119,$D19,WRM!$AZ$7:$AZ$119)</f>
        <v>0</v>
      </c>
      <c r="BB19" s="5972"/>
      <c r="BC19" s="5759">
        <f t="shared" si="12"/>
        <v>0</v>
      </c>
      <c r="BD19" s="5762"/>
      <c r="BE19" s="5763">
        <f t="shared" si="13"/>
        <v>104.55000000000001</v>
      </c>
      <c r="BF19" s="5760"/>
      <c r="BG19" s="5758">
        <f t="shared" si="14"/>
        <v>311.60000000000002</v>
      </c>
      <c r="BH19" s="26"/>
      <c r="BI19" s="26"/>
    </row>
    <row r="20" spans="1:61" s="5172" customFormat="1" ht="16.5" x14ac:dyDescent="0.25">
      <c r="C20" s="5755" t="s">
        <v>16</v>
      </c>
      <c r="D20" s="5857" t="s">
        <v>2010</v>
      </c>
      <c r="E20" s="7783"/>
      <c r="F20" s="5845"/>
      <c r="G20" s="5757">
        <f>+SUMIF(WRM!$C$7:$C$119,$D20,WRM!$F$7:$F$119)</f>
        <v>0</v>
      </c>
      <c r="H20" s="5879"/>
      <c r="I20" s="5757">
        <f>+SUMIF(WRM!$C$7:$C$119,$D20,WRM!$H$7:$H$119)</f>
        <v>0</v>
      </c>
      <c r="J20" s="5847"/>
      <c r="K20" s="5758">
        <f t="shared" si="1"/>
        <v>0</v>
      </c>
      <c r="L20" s="5879"/>
      <c r="M20" s="5757">
        <f>+SUMIF(WRM!$C$7:$C$119,$D20,WRM!$L$7:$L$119)</f>
        <v>0</v>
      </c>
      <c r="N20" s="5848"/>
      <c r="O20" s="5759">
        <f t="shared" si="2"/>
        <v>0</v>
      </c>
      <c r="P20" s="5879"/>
      <c r="Q20" s="5757">
        <f>+SUMIF(WRM!$C$7:$C$119,$D20,WRM!$P$7:$P$119)</f>
        <v>0</v>
      </c>
      <c r="R20" s="5760"/>
      <c r="S20" s="5847"/>
      <c r="T20" s="5879"/>
      <c r="U20" s="5757">
        <f>+SUMIF(WRM!$C$7:$C$119,$D20,WRM!$T$7:$T$119)</f>
        <v>0</v>
      </c>
      <c r="V20" s="5760"/>
      <c r="W20" s="5847"/>
      <c r="X20" s="5880"/>
      <c r="Y20" s="5775">
        <f>+SUMIF(WRM!$C$7:$C$119,$D20,WRM!$X$7:$X$119)</f>
        <v>0</v>
      </c>
      <c r="Z20" s="5848"/>
      <c r="AA20" s="5759">
        <f t="shared" si="5"/>
        <v>0</v>
      </c>
      <c r="AB20" s="5849"/>
      <c r="AC20" s="5763">
        <f t="shared" si="6"/>
        <v>0</v>
      </c>
      <c r="AD20" s="5879"/>
      <c r="AE20" s="5775">
        <f>+SUMIF(WRM!$C$7:$C$119,$D20,WRM!$AD$7:$AD$119)</f>
        <v>131.19999999999999</v>
      </c>
      <c r="AF20" s="5760"/>
      <c r="AG20" s="5758">
        <f t="shared" si="7"/>
        <v>131.19999999999999</v>
      </c>
      <c r="AH20" s="5879"/>
      <c r="AI20" s="5757">
        <f>+SUMIF(WRM!$C$7:$C$119,$D20,WRM!$AH$7:$AH$119)</f>
        <v>0</v>
      </c>
      <c r="AJ20" s="5760"/>
      <c r="AK20" s="5758">
        <f t="shared" si="8"/>
        <v>131.19999999999999</v>
      </c>
      <c r="AL20" s="5879"/>
      <c r="AM20" s="5757">
        <f>+SUMIF(WRM!$C$7:$C$119,$D20,WRM!$AL$7:$AL$119)</f>
        <v>0</v>
      </c>
      <c r="AN20" s="5972"/>
      <c r="AO20" s="5759">
        <f t="shared" si="9"/>
        <v>131.19999999999999</v>
      </c>
      <c r="AP20" s="5760"/>
      <c r="AQ20" s="6045">
        <f t="shared" si="0"/>
        <v>131.19999999999999</v>
      </c>
      <c r="AR20" s="5879"/>
      <c r="AS20" s="5757">
        <f>+SUMIF(WRM!$C$7:$C$119,$D20,WRM!$AR$7:$AR$119)</f>
        <v>403.85</v>
      </c>
      <c r="AT20" s="5760"/>
      <c r="AU20" s="5758">
        <f t="shared" si="10"/>
        <v>535.04999999999995</v>
      </c>
      <c r="AV20" s="5879"/>
      <c r="AW20" s="5757">
        <f>+SUMIF(WRM!$C$7:$C$119,$D20,WRM!$AV$7:$AV$119)</f>
        <v>0</v>
      </c>
      <c r="AX20" s="5760"/>
      <c r="AY20" s="5758">
        <f t="shared" si="11"/>
        <v>535.04999999999995</v>
      </c>
      <c r="AZ20" s="5879"/>
      <c r="BA20" s="5757">
        <f>+SUMIF(WRM!$C$7:$C$119,$D20,WRM!$AZ$7:$AZ$119)</f>
        <v>0</v>
      </c>
      <c r="BB20" s="5972"/>
      <c r="BC20" s="5759">
        <f t="shared" si="12"/>
        <v>403.85</v>
      </c>
      <c r="BD20" s="5849"/>
      <c r="BE20" s="5763">
        <f t="shared" si="13"/>
        <v>535.04999999999995</v>
      </c>
      <c r="BF20" s="5760"/>
      <c r="BG20" s="5758">
        <f t="shared" si="14"/>
        <v>535.04999999999995</v>
      </c>
      <c r="BH20" s="26"/>
      <c r="BI20" s="26"/>
    </row>
    <row r="21" spans="1:61" s="5172" customFormat="1" ht="16.5" x14ac:dyDescent="0.25">
      <c r="C21" s="5755" t="s">
        <v>16</v>
      </c>
      <c r="D21" s="5857" t="s">
        <v>2011</v>
      </c>
      <c r="E21" s="7783"/>
      <c r="F21" s="5881"/>
      <c r="G21" s="5757">
        <f>+SUMIF(WRM!$C$7:$C$119,$D21,WRM!$F$7:$F$119)</f>
        <v>498.15000000000003</v>
      </c>
      <c r="H21" s="5882"/>
      <c r="I21" s="5757">
        <f>+SUMIF(WRM!$C$7:$C$119,$D21,WRM!$H$7:$H$119)</f>
        <v>590.4</v>
      </c>
      <c r="J21" s="5883"/>
      <c r="K21" s="5758">
        <f t="shared" si="1"/>
        <v>1088.55</v>
      </c>
      <c r="L21" s="5882"/>
      <c r="M21" s="5757">
        <f>+SUMIF(WRM!$C$7:$C$119,$D21,WRM!$L$7:$L$119)</f>
        <v>0</v>
      </c>
      <c r="N21" s="5884"/>
      <c r="O21" s="5759">
        <f t="shared" si="2"/>
        <v>1088.55</v>
      </c>
      <c r="P21" s="5882"/>
      <c r="Q21" s="5757">
        <f>+SUMIF(WRM!$C$7:$C$119,$D21,WRM!$P$7:$P$119)</f>
        <v>0</v>
      </c>
      <c r="R21" s="5760"/>
      <c r="S21" s="5883"/>
      <c r="T21" s="5882"/>
      <c r="U21" s="5757">
        <f>+SUMIF(WRM!$C$7:$C$119,$D21,WRM!$T$7:$T$119)</f>
        <v>0</v>
      </c>
      <c r="V21" s="5760"/>
      <c r="W21" s="5883"/>
      <c r="X21" s="5885"/>
      <c r="Y21" s="5775">
        <f>+SUMIF(WRM!$C$7:$C$119,$D21,WRM!$X$7:$X$119)</f>
        <v>0</v>
      </c>
      <c r="Z21" s="5884"/>
      <c r="AA21" s="5759">
        <f t="shared" si="5"/>
        <v>0</v>
      </c>
      <c r="AB21" s="5886"/>
      <c r="AC21" s="5763">
        <f t="shared" si="6"/>
        <v>1088.55</v>
      </c>
      <c r="AD21" s="5882"/>
      <c r="AE21" s="5775">
        <f>+SUMIF(WRM!$C$7:$C$119,$D21,WRM!$AD$7:$AD$119)</f>
        <v>67.650000000000006</v>
      </c>
      <c r="AF21" s="5760"/>
      <c r="AG21" s="5758">
        <f t="shared" si="7"/>
        <v>1156.2</v>
      </c>
      <c r="AH21" s="5882"/>
      <c r="AI21" s="5757">
        <f>+SUMIF(WRM!$C$7:$C$119,$D21,WRM!$AH$7:$AH$119)</f>
        <v>0</v>
      </c>
      <c r="AJ21" s="5760"/>
      <c r="AK21" s="5758">
        <f t="shared" si="8"/>
        <v>1156.2</v>
      </c>
      <c r="AL21" s="5882"/>
      <c r="AM21" s="5757">
        <f>+SUMIF(WRM!$C$7:$C$119,$D21,WRM!$AL$7:$AL$119)</f>
        <v>0</v>
      </c>
      <c r="AN21" s="5972"/>
      <c r="AO21" s="5759">
        <f t="shared" si="9"/>
        <v>67.650000000000006</v>
      </c>
      <c r="AP21" s="5760"/>
      <c r="AQ21" s="6045">
        <f t="shared" si="0"/>
        <v>1156.2</v>
      </c>
      <c r="AR21" s="5882"/>
      <c r="AS21" s="5757">
        <f>+SUMIF(WRM!$C$7:$C$119,$D21,WRM!$AR$7:$AR$119)</f>
        <v>0</v>
      </c>
      <c r="AT21" s="5760"/>
      <c r="AU21" s="5758">
        <f t="shared" si="10"/>
        <v>1156.2</v>
      </c>
      <c r="AV21" s="5882"/>
      <c r="AW21" s="5757">
        <f>+SUMIF(WRM!$C$7:$C$119,$D21,WRM!$AV$7:$AV$119)</f>
        <v>0</v>
      </c>
      <c r="AX21" s="5760"/>
      <c r="AY21" s="5758">
        <f t="shared" si="11"/>
        <v>1156.2</v>
      </c>
      <c r="AZ21" s="5882"/>
      <c r="BA21" s="5757">
        <f>+SUMIF(WRM!$C$7:$C$119,$D21,WRM!$AZ$7:$AZ$119)</f>
        <v>446.89999999999992</v>
      </c>
      <c r="BB21" s="5972"/>
      <c r="BC21" s="5759">
        <f t="shared" si="12"/>
        <v>446.89999999999992</v>
      </c>
      <c r="BD21" s="5886"/>
      <c r="BE21" s="5763">
        <f t="shared" si="13"/>
        <v>514.54999999999995</v>
      </c>
      <c r="BF21" s="5760"/>
      <c r="BG21" s="5758">
        <f t="shared" si="14"/>
        <v>1603.1</v>
      </c>
      <c r="BH21" s="26"/>
      <c r="BI21" s="26"/>
    </row>
    <row r="22" spans="1:61" s="5172" customFormat="1" ht="16.5" x14ac:dyDescent="0.25">
      <c r="C22" s="5755" t="s">
        <v>16</v>
      </c>
      <c r="D22" s="5857" t="s">
        <v>1943</v>
      </c>
      <c r="E22" s="7783"/>
      <c r="F22" s="5845"/>
      <c r="G22" s="5757">
        <f>+SUMIF(WRM!$C$7:$C$119,$D22,WRM!$F$7:$F$119)</f>
        <v>0</v>
      </c>
      <c r="H22" s="5879"/>
      <c r="I22" s="5757">
        <f>+SUMIF(WRM!$C$7:$C$119,$D22,WRM!$H$7:$H$119)</f>
        <v>0</v>
      </c>
      <c r="J22" s="5847"/>
      <c r="K22" s="5758">
        <f t="shared" si="1"/>
        <v>0</v>
      </c>
      <c r="L22" s="5879"/>
      <c r="M22" s="5757">
        <f>+SUMIF(WRM!$C$7:$C$119,$D22,WRM!$L$7:$L$119)</f>
        <v>0</v>
      </c>
      <c r="N22" s="5848"/>
      <c r="O22" s="5759">
        <f t="shared" si="2"/>
        <v>0</v>
      </c>
      <c r="P22" s="5879"/>
      <c r="Q22" s="5757">
        <f>+SUMIF(WRM!$C$7:$C$119,$D22,WRM!$P$7:$P$119)</f>
        <v>84.05</v>
      </c>
      <c r="R22" s="5760"/>
      <c r="S22" s="5847"/>
      <c r="T22" s="5879"/>
      <c r="U22" s="5757">
        <f>+SUMIF(WRM!$C$7:$C$119,$D22,WRM!$T$7:$T$119)</f>
        <v>0</v>
      </c>
      <c r="V22" s="5760"/>
      <c r="W22" s="5847"/>
      <c r="X22" s="5880"/>
      <c r="Y22" s="5775">
        <f>+SUMIF(WRM!$C$7:$C$119,$D22,WRM!$X$7:$X$119)</f>
        <v>0</v>
      </c>
      <c r="Z22" s="5848"/>
      <c r="AA22" s="5759">
        <f t="shared" si="5"/>
        <v>84.05</v>
      </c>
      <c r="AB22" s="5849"/>
      <c r="AC22" s="5763">
        <f t="shared" si="6"/>
        <v>84.05</v>
      </c>
      <c r="AD22" s="5879"/>
      <c r="AE22" s="5775">
        <f>+SUMIF(WRM!$C$7:$C$119,$D22,WRM!$AD$7:$AD$119)</f>
        <v>0</v>
      </c>
      <c r="AF22" s="5760"/>
      <c r="AG22" s="5758">
        <f t="shared" si="7"/>
        <v>84.05</v>
      </c>
      <c r="AH22" s="5879"/>
      <c r="AI22" s="5757">
        <f>+SUMIF(WRM!$C$7:$C$119,$D22,WRM!$AH$7:$AH$119)</f>
        <v>0</v>
      </c>
      <c r="AJ22" s="5760"/>
      <c r="AK22" s="5758">
        <f t="shared" si="8"/>
        <v>84.05</v>
      </c>
      <c r="AL22" s="5879"/>
      <c r="AM22" s="5757">
        <f>+SUMIF(WRM!$C$7:$C$119,$D22,WRM!$AL$7:$AL$119)</f>
        <v>0</v>
      </c>
      <c r="AN22" s="5972"/>
      <c r="AO22" s="5759">
        <f t="shared" si="9"/>
        <v>0</v>
      </c>
      <c r="AP22" s="5760"/>
      <c r="AQ22" s="6045">
        <f t="shared" si="0"/>
        <v>84.05</v>
      </c>
      <c r="AR22" s="5879"/>
      <c r="AS22" s="5757">
        <f>+SUMIF(WRM!$C$7:$C$119,$D22,WRM!$AR$7:$AR$119)</f>
        <v>0</v>
      </c>
      <c r="AT22" s="5760"/>
      <c r="AU22" s="5758">
        <f t="shared" si="10"/>
        <v>84.05</v>
      </c>
      <c r="AV22" s="5879"/>
      <c r="AW22" s="5757">
        <f>+SUMIF(WRM!$C$7:$C$119,$D22,WRM!$AV$7:$AV$119)</f>
        <v>0</v>
      </c>
      <c r="AX22" s="5760"/>
      <c r="AY22" s="5758">
        <f t="shared" si="11"/>
        <v>84.05</v>
      </c>
      <c r="AZ22" s="5879"/>
      <c r="BA22" s="5757">
        <f>+SUMIF(WRM!$C$7:$C$119,$D22,WRM!$AZ$7:$AZ$119)</f>
        <v>0</v>
      </c>
      <c r="BB22" s="5972"/>
      <c r="BC22" s="5759">
        <f t="shared" si="12"/>
        <v>0</v>
      </c>
      <c r="BD22" s="5849"/>
      <c r="BE22" s="5763">
        <f t="shared" si="13"/>
        <v>0</v>
      </c>
      <c r="BF22" s="5760"/>
      <c r="BG22" s="5758">
        <f t="shared" si="14"/>
        <v>84.05</v>
      </c>
      <c r="BH22" s="26"/>
      <c r="BI22" s="26"/>
    </row>
    <row r="23" spans="1:61" ht="16.5" x14ac:dyDescent="0.25">
      <c r="A23" s="2269"/>
      <c r="B23" s="2269"/>
      <c r="C23" s="5755" t="s">
        <v>16</v>
      </c>
      <c r="D23" s="5756" t="s">
        <v>1626</v>
      </c>
      <c r="E23" s="7783"/>
      <c r="F23" s="5755"/>
      <c r="G23" s="5757">
        <f>+SUMIF(WRM!$C$7:$C$119,$D23,WRM!$F$7:$F$119)</f>
        <v>627.29999999999995</v>
      </c>
      <c r="H23" s="5757"/>
      <c r="I23" s="5757">
        <f>+SUMIF(WRM!$C$7:$C$119,$D23,WRM!$H$7:$H$119)</f>
        <v>0</v>
      </c>
      <c r="J23" s="5758"/>
      <c r="K23" s="5758">
        <f t="shared" si="1"/>
        <v>627.29999999999995</v>
      </c>
      <c r="L23" s="5757"/>
      <c r="M23" s="5757">
        <f>+SUMIF(WRM!$C$7:$C$119,$D23,WRM!$L$7:$L$119)</f>
        <v>0</v>
      </c>
      <c r="N23" s="5759"/>
      <c r="O23" s="5759">
        <f t="shared" si="2"/>
        <v>627.29999999999995</v>
      </c>
      <c r="P23" s="5757"/>
      <c r="Q23" s="5757">
        <f>+SUMIF(WRM!$C$7:$C$119,$D23,WRM!$P$7:$P$119)</f>
        <v>0</v>
      </c>
      <c r="R23" s="5760"/>
      <c r="S23" s="5758">
        <f t="shared" si="3"/>
        <v>627.29999999999995</v>
      </c>
      <c r="T23" s="5757"/>
      <c r="U23" s="5757">
        <f>+SUMIF(WRM!$C$7:$C$119,$D23,WRM!$T$7:$T$119)</f>
        <v>0</v>
      </c>
      <c r="V23" s="5760"/>
      <c r="W23" s="5758">
        <f t="shared" si="4"/>
        <v>627.29999999999995</v>
      </c>
      <c r="X23" s="5761"/>
      <c r="Y23" s="5775">
        <f>+SUMIF(WRM!$C$7:$C$119,$D23,WRM!$X$7:$X$119)</f>
        <v>0</v>
      </c>
      <c r="Z23" s="5759"/>
      <c r="AA23" s="5759">
        <f t="shared" si="5"/>
        <v>0</v>
      </c>
      <c r="AB23" s="5762"/>
      <c r="AC23" s="5763">
        <f t="shared" si="6"/>
        <v>627.29999999999995</v>
      </c>
      <c r="AD23" s="5757"/>
      <c r="AE23" s="5775">
        <f>+SUMIF(WRM!$C$7:$C$119,$D23,WRM!$AD$7:$AD$119)</f>
        <v>0</v>
      </c>
      <c r="AF23" s="5760"/>
      <c r="AG23" s="5758">
        <f t="shared" si="7"/>
        <v>627.29999999999995</v>
      </c>
      <c r="AH23" s="5757"/>
      <c r="AI23" s="5757">
        <f>+SUMIF(WRM!$C$7:$C$119,$D23,WRM!$AH$7:$AH$119)</f>
        <v>0</v>
      </c>
      <c r="AJ23" s="5760"/>
      <c r="AK23" s="5758">
        <f t="shared" si="8"/>
        <v>627.29999999999995</v>
      </c>
      <c r="AL23" s="5757"/>
      <c r="AM23" s="5757">
        <f>+SUMIF(WRM!$C$7:$C$119,$D23,WRM!$AL$7:$AL$119)</f>
        <v>0</v>
      </c>
      <c r="AN23" s="5972"/>
      <c r="AO23" s="5759">
        <f t="shared" si="9"/>
        <v>0</v>
      </c>
      <c r="AP23" s="5760"/>
      <c r="AQ23" s="5758">
        <f t="shared" si="0"/>
        <v>627.29999999999995</v>
      </c>
      <c r="AR23" s="5757"/>
      <c r="AS23" s="5757">
        <f>+SUMIF(WRM!$C$7:$C$119,$D23,WRM!$AR$7:$AR$119)</f>
        <v>55.35</v>
      </c>
      <c r="AT23" s="5760"/>
      <c r="AU23" s="5758">
        <f t="shared" si="10"/>
        <v>682.65</v>
      </c>
      <c r="AV23" s="5757"/>
      <c r="AW23" s="5757">
        <f>+SUMIF(WRM!$C$7:$C$119,$D23,WRM!$AV$7:$AV$119)</f>
        <v>0</v>
      </c>
      <c r="AX23" s="5760"/>
      <c r="AY23" s="5758">
        <f t="shared" si="11"/>
        <v>682.65</v>
      </c>
      <c r="AZ23" s="5757"/>
      <c r="BA23" s="5757">
        <f>+SUMIF(WRM!$C$7:$C$119,$D23,WRM!$AZ$7:$AZ$119)</f>
        <v>0</v>
      </c>
      <c r="BB23" s="5972"/>
      <c r="BC23" s="5759">
        <f t="shared" si="12"/>
        <v>55.35</v>
      </c>
      <c r="BD23" s="5762"/>
      <c r="BE23" s="5763">
        <f t="shared" si="13"/>
        <v>55.35</v>
      </c>
      <c r="BF23" s="5760"/>
      <c r="BG23" s="5758">
        <f t="shared" si="14"/>
        <v>682.65</v>
      </c>
      <c r="BH23" s="26"/>
      <c r="BI23" s="26"/>
    </row>
    <row r="24" spans="1:61" ht="16.5" x14ac:dyDescent="0.25">
      <c r="C24" s="5755" t="s">
        <v>16</v>
      </c>
      <c r="D24" s="5756" t="s">
        <v>1143</v>
      </c>
      <c r="E24" s="7783"/>
      <c r="F24" s="5755"/>
      <c r="G24" s="5757">
        <f>+SUMIF(WRM!$C$7:$C$119,$D24,WRM!$F$7:$F$119)</f>
        <v>6223.8</v>
      </c>
      <c r="H24" s="5757"/>
      <c r="I24" s="5757">
        <f>+SUMIF(WRM!$C$7:$C$119,$D24,WRM!$H$7:$H$119)</f>
        <v>3849.9</v>
      </c>
      <c r="J24" s="5758"/>
      <c r="K24" s="5758">
        <f t="shared" si="1"/>
        <v>10073.700000000001</v>
      </c>
      <c r="L24" s="5757"/>
      <c r="M24" s="5757">
        <f>+SUMIF(WRM!$C$7:$C$119,$D24,WRM!$L$7:$L$119)</f>
        <v>8156.9499999999989</v>
      </c>
      <c r="N24" s="5759"/>
      <c r="O24" s="5759">
        <f t="shared" si="2"/>
        <v>18230.650000000001</v>
      </c>
      <c r="P24" s="5757"/>
      <c r="Q24" s="5757">
        <f>+SUMIF(WRM!$C$7:$C$119,$D24,WRM!$P$7:$P$119)</f>
        <v>4637.1000000000004</v>
      </c>
      <c r="R24" s="5760"/>
      <c r="S24" s="5758">
        <f t="shared" si="3"/>
        <v>22867.75</v>
      </c>
      <c r="T24" s="5757"/>
      <c r="U24" s="5757">
        <f>+SUMIF(WRM!$C$7:$C$119,$D24,WRM!$T$7:$T$119)</f>
        <v>14854.300000000001</v>
      </c>
      <c r="V24" s="5760"/>
      <c r="W24" s="5758">
        <f t="shared" si="4"/>
        <v>37722.050000000003</v>
      </c>
      <c r="X24" s="5761"/>
      <c r="Y24" s="5775">
        <f>+SUMIF(WRM!$C$7:$C$119,$D24,WRM!$X$7:$X$119)</f>
        <v>8230.75</v>
      </c>
      <c r="Z24" s="5759"/>
      <c r="AA24" s="5759">
        <f t="shared" si="5"/>
        <v>27722.15</v>
      </c>
      <c r="AB24" s="5762"/>
      <c r="AC24" s="5763">
        <f t="shared" si="6"/>
        <v>45952.800000000003</v>
      </c>
      <c r="AD24" s="5757"/>
      <c r="AE24" s="5775">
        <f>+SUMIF(WRM!$C$7:$C$119,$D24,WRM!$AD$7:$AD$119)</f>
        <v>13357.8</v>
      </c>
      <c r="AF24" s="5760"/>
      <c r="AG24" s="5758">
        <f t="shared" si="7"/>
        <v>59310.600000000006</v>
      </c>
      <c r="AH24" s="5757"/>
      <c r="AI24" s="5757">
        <f>+SUMIF(WRM!$C$7:$C$119,$D24,WRM!$AH$7:$AH$119)</f>
        <v>7810.5000000000036</v>
      </c>
      <c r="AJ24" s="5760"/>
      <c r="AK24" s="5758">
        <f t="shared" si="8"/>
        <v>67121.100000000006</v>
      </c>
      <c r="AL24" s="5757"/>
      <c r="AM24" s="5757">
        <f>+SUMIF(WRM!$C$7:$C$119,$D24,WRM!$AL$7:$AL$119)</f>
        <v>8860.1000000000095</v>
      </c>
      <c r="AN24" s="5972"/>
      <c r="AO24" s="5759">
        <f t="shared" si="9"/>
        <v>30028.400000000012</v>
      </c>
      <c r="AP24" s="5760"/>
      <c r="AQ24" s="5758">
        <f t="shared" si="0"/>
        <v>75981.200000000012</v>
      </c>
      <c r="AR24" s="5757"/>
      <c r="AS24" s="5757">
        <f>+SUMIF(WRM!$C$7:$C$119,$D24,WRM!$AR$7:$AR$119)</f>
        <v>12025.300000000001</v>
      </c>
      <c r="AT24" s="5760"/>
      <c r="AU24" s="5758">
        <f t="shared" si="10"/>
        <v>88006.500000000015</v>
      </c>
      <c r="AV24" s="5757"/>
      <c r="AW24" s="5757">
        <f>+SUMIF(WRM!$C$7:$C$119,$D24,WRM!$AV$7:$AV$119)</f>
        <v>6549.7500000000009</v>
      </c>
      <c r="AX24" s="5760"/>
      <c r="AY24" s="5758">
        <f t="shared" si="11"/>
        <v>94556.250000000015</v>
      </c>
      <c r="AZ24" s="5757"/>
      <c r="BA24" s="5757">
        <f>+SUMIF(WRM!$C$7:$C$119,$D24,WRM!$AZ$7:$AZ$119)</f>
        <v>6424.7000000000044</v>
      </c>
      <c r="BB24" s="5972"/>
      <c r="BC24" s="5759">
        <f t="shared" si="12"/>
        <v>24999.750000000007</v>
      </c>
      <c r="BD24" s="5762"/>
      <c r="BE24" s="5763">
        <f t="shared" si="13"/>
        <v>55028.150000000023</v>
      </c>
      <c r="BF24" s="5760"/>
      <c r="BG24" s="5758">
        <f t="shared" si="14"/>
        <v>100980.95000000001</v>
      </c>
      <c r="BH24" s="26"/>
      <c r="BI24" s="26"/>
    </row>
    <row r="25" spans="1:61" ht="16.5" x14ac:dyDescent="0.25">
      <c r="C25" s="5755" t="s">
        <v>16</v>
      </c>
      <c r="D25" s="5756" t="s">
        <v>875</v>
      </c>
      <c r="E25" s="7783"/>
      <c r="F25" s="5755"/>
      <c r="G25" s="5757">
        <f>+SUMIF(WRM!$C$7:$C$119,$D25,WRM!$F$7:$F$119)</f>
        <v>522.75</v>
      </c>
      <c r="H25" s="5757"/>
      <c r="I25" s="5757">
        <f>+SUMIF(WRM!$C$7:$C$119,$D25,WRM!$H$7:$H$119)</f>
        <v>485.84999999999997</v>
      </c>
      <c r="J25" s="5758"/>
      <c r="K25" s="5758">
        <f t="shared" ref="K25:K73" si="15">+G25+I25</f>
        <v>1008.5999999999999</v>
      </c>
      <c r="L25" s="5757"/>
      <c r="M25" s="5757">
        <f>+SUMIF(WRM!$C$7:$C$119,$D25,WRM!$L$7:$L$119)</f>
        <v>0</v>
      </c>
      <c r="N25" s="5759"/>
      <c r="O25" s="5759">
        <f t="shared" si="2"/>
        <v>1008.5999999999999</v>
      </c>
      <c r="P25" s="5757"/>
      <c r="Q25" s="5757">
        <f>+SUMIF(WRM!$C$7:$C$119,$D25,WRM!$P$7:$P$119)</f>
        <v>1535.4499999999996</v>
      </c>
      <c r="R25" s="5760"/>
      <c r="S25" s="5758">
        <f t="shared" si="3"/>
        <v>2544.0499999999993</v>
      </c>
      <c r="T25" s="5757"/>
      <c r="U25" s="5757">
        <f>+SUMIF(WRM!$C$7:$C$119,$D25,WRM!$T$7:$T$119)</f>
        <v>1529.2999999999997</v>
      </c>
      <c r="V25" s="5760"/>
      <c r="W25" s="5758">
        <f t="shared" si="4"/>
        <v>4073.349999999999</v>
      </c>
      <c r="X25" s="5761"/>
      <c r="Y25" s="5775">
        <f>+SUMIF(WRM!$C$7:$C$119,$D25,WRM!$X$7:$X$119)</f>
        <v>713.4</v>
      </c>
      <c r="Z25" s="5759"/>
      <c r="AA25" s="5759">
        <f t="shared" si="5"/>
        <v>3778.1499999999992</v>
      </c>
      <c r="AB25" s="5762"/>
      <c r="AC25" s="5763">
        <f t="shared" si="6"/>
        <v>4786.7499999999991</v>
      </c>
      <c r="AD25" s="5757"/>
      <c r="AE25" s="5775">
        <f>+SUMIF(WRM!$C$7:$C$119,$D25,WRM!$AD$7:$AD$119)</f>
        <v>1414.5000000000002</v>
      </c>
      <c r="AF25" s="5760"/>
      <c r="AG25" s="5758">
        <f t="shared" si="7"/>
        <v>6201.2499999999991</v>
      </c>
      <c r="AH25" s="5757"/>
      <c r="AI25" s="5757">
        <f>+SUMIF(WRM!$C$7:$C$119,$D25,WRM!$AH$7:$AH$119)</f>
        <v>764.65</v>
      </c>
      <c r="AJ25" s="5760"/>
      <c r="AK25" s="5758">
        <f t="shared" si="8"/>
        <v>6965.8999999999987</v>
      </c>
      <c r="AL25" s="5757"/>
      <c r="AM25" s="5757">
        <f>+SUMIF(WRM!$C$7:$C$119,$D25,WRM!$AL$7:$AL$119)</f>
        <v>772.85</v>
      </c>
      <c r="AN25" s="5972"/>
      <c r="AO25" s="5759">
        <f t="shared" si="9"/>
        <v>2952</v>
      </c>
      <c r="AP25" s="5760"/>
      <c r="AQ25" s="5758">
        <f t="shared" si="0"/>
        <v>7738.7499999999991</v>
      </c>
      <c r="AR25" s="5757"/>
      <c r="AS25" s="5757">
        <f>+SUMIF(WRM!$C$7:$C$119,$D25,WRM!$AR$7:$AR$119)</f>
        <v>133.25</v>
      </c>
      <c r="AT25" s="5760"/>
      <c r="AU25" s="5758">
        <f t="shared" si="10"/>
        <v>7871.9999999999991</v>
      </c>
      <c r="AV25" s="5757"/>
      <c r="AW25" s="5757">
        <f>+SUMIF(WRM!$C$7:$C$119,$D25,WRM!$AV$7:$AV$119)</f>
        <v>205</v>
      </c>
      <c r="AX25" s="5760"/>
      <c r="AY25" s="5758">
        <f t="shared" si="11"/>
        <v>8076.9999999999991</v>
      </c>
      <c r="AZ25" s="5757"/>
      <c r="BA25" s="5757">
        <f>+SUMIF(WRM!$C$7:$C$119,$D25,WRM!$AZ$7:$AZ$119)</f>
        <v>0</v>
      </c>
      <c r="BB25" s="5972"/>
      <c r="BC25" s="5759">
        <f t="shared" si="12"/>
        <v>338.25</v>
      </c>
      <c r="BD25" s="5762"/>
      <c r="BE25" s="5763">
        <f t="shared" si="13"/>
        <v>3290.25</v>
      </c>
      <c r="BF25" s="5760"/>
      <c r="BG25" s="5758">
        <f t="shared" si="14"/>
        <v>8076.9999999999991</v>
      </c>
      <c r="BH25" s="26"/>
      <c r="BI25" s="26"/>
    </row>
    <row r="26" spans="1:61" s="5172" customFormat="1" ht="16.5" x14ac:dyDescent="0.25">
      <c r="C26" s="5755" t="s">
        <v>16</v>
      </c>
      <c r="D26" s="5887" t="s">
        <v>2008</v>
      </c>
      <c r="E26" s="7783"/>
      <c r="F26" s="5881"/>
      <c r="G26" s="5757">
        <f>+SUMIF(WRM!$C$7:$C$119,$D26,WRM!$F$7:$F$119)</f>
        <v>116.85000000000001</v>
      </c>
      <c r="H26" s="5882"/>
      <c r="I26" s="5757">
        <f>+SUMIF(WRM!$C$7:$C$119,$D26,WRM!$H$7:$H$119)</f>
        <v>0</v>
      </c>
      <c r="J26" s="5883"/>
      <c r="K26" s="5758">
        <f t="shared" si="15"/>
        <v>116.85000000000001</v>
      </c>
      <c r="L26" s="5882"/>
      <c r="M26" s="5757">
        <f>+SUMIF(WRM!$C$7:$C$119,$D26,WRM!$L$7:$L$119)</f>
        <v>0</v>
      </c>
      <c r="N26" s="5884"/>
      <c r="O26" s="5759">
        <f t="shared" si="2"/>
        <v>116.85000000000001</v>
      </c>
      <c r="P26" s="5882"/>
      <c r="Q26" s="5757">
        <f>+SUMIF(WRM!$C$7:$C$119,$D26,WRM!$P$7:$P$119)</f>
        <v>0</v>
      </c>
      <c r="R26" s="5760"/>
      <c r="S26" s="5883"/>
      <c r="T26" s="5882"/>
      <c r="U26" s="5757">
        <f>+SUMIF(WRM!$C$7:$C$119,$D26,WRM!$T$7:$T$119)</f>
        <v>0</v>
      </c>
      <c r="V26" s="5760"/>
      <c r="W26" s="5883"/>
      <c r="X26" s="5885"/>
      <c r="Y26" s="5775">
        <f>+SUMIF(WRM!$C$7:$C$119,$D26,WRM!$X$7:$X$119)</f>
        <v>0</v>
      </c>
      <c r="Z26" s="5884"/>
      <c r="AA26" s="5759">
        <f t="shared" si="5"/>
        <v>0</v>
      </c>
      <c r="AB26" s="5886"/>
      <c r="AC26" s="5763">
        <f t="shared" si="6"/>
        <v>116.85000000000001</v>
      </c>
      <c r="AD26" s="5882"/>
      <c r="AE26" s="5775">
        <f>+SUMIF(WRM!$C$7:$C$119,$D26,WRM!$AD$7:$AD$119)</f>
        <v>205</v>
      </c>
      <c r="AF26" s="5760"/>
      <c r="AG26" s="5758">
        <f t="shared" si="7"/>
        <v>321.85000000000002</v>
      </c>
      <c r="AH26" s="5882"/>
      <c r="AI26" s="5757">
        <f>+SUMIF(WRM!$C$7:$C$119,$D26,WRM!$AH$7:$AH$119)</f>
        <v>0</v>
      </c>
      <c r="AJ26" s="5760"/>
      <c r="AK26" s="5758">
        <f t="shared" si="8"/>
        <v>321.85000000000002</v>
      </c>
      <c r="AL26" s="5882"/>
      <c r="AM26" s="5757">
        <f>+SUMIF(WRM!$C$7:$C$119,$D26,WRM!$AL$7:$AL$119)</f>
        <v>0</v>
      </c>
      <c r="AN26" s="5972"/>
      <c r="AO26" s="5759">
        <f t="shared" si="9"/>
        <v>205</v>
      </c>
      <c r="AP26" s="5760"/>
      <c r="AQ26" s="5758">
        <f t="shared" si="0"/>
        <v>321.85000000000002</v>
      </c>
      <c r="AR26" s="5882"/>
      <c r="AS26" s="5757">
        <f>+SUMIF(WRM!$C$7:$C$119,$D26,WRM!$AR$7:$AR$119)</f>
        <v>0</v>
      </c>
      <c r="AT26" s="5760"/>
      <c r="AU26" s="5758">
        <f t="shared" si="10"/>
        <v>321.85000000000002</v>
      </c>
      <c r="AV26" s="5882"/>
      <c r="AW26" s="5757">
        <f>+SUMIF(WRM!$C$7:$C$119,$D26,WRM!$AV$7:$AV$119)</f>
        <v>0</v>
      </c>
      <c r="AX26" s="5760"/>
      <c r="AY26" s="5758">
        <f t="shared" si="11"/>
        <v>321.85000000000002</v>
      </c>
      <c r="AZ26" s="5882"/>
      <c r="BA26" s="5757">
        <f>+SUMIF(WRM!$C$7:$C$119,$D26,WRM!$AZ$7:$AZ$119)</f>
        <v>0</v>
      </c>
      <c r="BB26" s="5972"/>
      <c r="BC26" s="5759">
        <f t="shared" si="12"/>
        <v>0</v>
      </c>
      <c r="BD26" s="5886"/>
      <c r="BE26" s="5763">
        <f t="shared" si="13"/>
        <v>205</v>
      </c>
      <c r="BF26" s="5760"/>
      <c r="BG26" s="5758">
        <f t="shared" si="14"/>
        <v>321.85000000000002</v>
      </c>
      <c r="BH26" s="26"/>
      <c r="BI26" s="26"/>
    </row>
    <row r="27" spans="1:61" ht="16.5" x14ac:dyDescent="0.25">
      <c r="C27" s="5755" t="s">
        <v>16</v>
      </c>
      <c r="D27" s="5756" t="s">
        <v>971</v>
      </c>
      <c r="E27" s="7783"/>
      <c r="F27" s="5755"/>
      <c r="G27" s="5757">
        <f>+SUMIF(WRM!$C$7:$C$119,$D27,WRM!$F$7:$F$119)</f>
        <v>4930.2300000000005</v>
      </c>
      <c r="H27" s="5757"/>
      <c r="I27" s="5757">
        <f>+SUMIF(WRM!$C$7:$C$119,$D27,WRM!$H$7:$H$119)</f>
        <v>5530.9</v>
      </c>
      <c r="J27" s="5758"/>
      <c r="K27" s="5758">
        <f t="shared" si="15"/>
        <v>10461.130000000001</v>
      </c>
      <c r="L27" s="5757"/>
      <c r="M27" s="5757">
        <f>+SUMIF(WRM!$C$7:$C$119,$D27,WRM!$L$7:$L$119)</f>
        <v>8624.35</v>
      </c>
      <c r="N27" s="5759"/>
      <c r="O27" s="5759">
        <f t="shared" si="2"/>
        <v>19085.480000000003</v>
      </c>
      <c r="P27" s="5757"/>
      <c r="Q27" s="5757">
        <f>+SUMIF(WRM!$C$7:$C$119,$D27,WRM!$P$7:$P$119)</f>
        <v>5787.1500000000005</v>
      </c>
      <c r="R27" s="5760"/>
      <c r="S27" s="5758">
        <f t="shared" si="3"/>
        <v>24872.630000000005</v>
      </c>
      <c r="T27" s="5757"/>
      <c r="U27" s="5757">
        <f>+SUMIF(WRM!$C$7:$C$119,$D27,WRM!$T$7:$T$119)</f>
        <v>4083.6</v>
      </c>
      <c r="V27" s="5760"/>
      <c r="W27" s="5758">
        <f t="shared" si="4"/>
        <v>28956.230000000003</v>
      </c>
      <c r="X27" s="5761"/>
      <c r="Y27" s="5775">
        <f>+SUMIF(WRM!$C$7:$C$119,$D27,WRM!$X$7:$X$119)</f>
        <v>2365.6999999999998</v>
      </c>
      <c r="Z27" s="5759"/>
      <c r="AA27" s="5759">
        <f t="shared" si="5"/>
        <v>12236.45</v>
      </c>
      <c r="AB27" s="5762"/>
      <c r="AC27" s="5763">
        <f t="shared" si="6"/>
        <v>31321.930000000004</v>
      </c>
      <c r="AD27" s="5757"/>
      <c r="AE27" s="5775">
        <f>+SUMIF(WRM!$C$7:$C$119,$D27,WRM!$AD$7:$AD$119)</f>
        <v>3950.35</v>
      </c>
      <c r="AF27" s="5760"/>
      <c r="AG27" s="5758">
        <f t="shared" si="7"/>
        <v>35272.280000000006</v>
      </c>
      <c r="AH27" s="5757"/>
      <c r="AI27" s="5757">
        <f>+SUMIF(WRM!$C$7:$C$119,$D27,WRM!$AH$7:$AH$119)</f>
        <v>1066</v>
      </c>
      <c r="AJ27" s="5760"/>
      <c r="AK27" s="5758">
        <f t="shared" si="8"/>
        <v>36338.280000000006</v>
      </c>
      <c r="AL27" s="5757"/>
      <c r="AM27" s="5757">
        <f>+SUMIF(WRM!$C$7:$C$119,$D27,WRM!$AL$7:$AL$119)</f>
        <v>2179.15</v>
      </c>
      <c r="AN27" s="5972"/>
      <c r="AO27" s="5759">
        <f t="shared" si="9"/>
        <v>7195.5</v>
      </c>
      <c r="AP27" s="5760"/>
      <c r="AQ27" s="5758">
        <f t="shared" si="0"/>
        <v>38517.430000000008</v>
      </c>
      <c r="AR27" s="5757"/>
      <c r="AS27" s="5757">
        <f>+SUMIF(WRM!$C$7:$C$119,$D27,WRM!$AR$7:$AR$119)</f>
        <v>4042.6</v>
      </c>
      <c r="AT27" s="5760"/>
      <c r="AU27" s="5758">
        <f t="shared" si="10"/>
        <v>42560.030000000006</v>
      </c>
      <c r="AV27" s="5757"/>
      <c r="AW27" s="5757">
        <f>+SUMIF(WRM!$C$7:$C$119,$D27,WRM!$AV$7:$AV$119)</f>
        <v>6957.6</v>
      </c>
      <c r="AX27" s="5760"/>
      <c r="AY27" s="5758">
        <f t="shared" si="11"/>
        <v>49517.630000000005</v>
      </c>
      <c r="AZ27" s="5757"/>
      <c r="BA27" s="5757">
        <f>+SUMIF(WRM!$C$7:$C$119,$D27,WRM!$AZ$7:$AZ$119)</f>
        <v>8398.8500000000022</v>
      </c>
      <c r="BB27" s="5972"/>
      <c r="BC27" s="5759">
        <f t="shared" si="12"/>
        <v>19399.050000000003</v>
      </c>
      <c r="BD27" s="5762"/>
      <c r="BE27" s="5763">
        <f t="shared" si="13"/>
        <v>26594.550000000003</v>
      </c>
      <c r="BF27" s="5760"/>
      <c r="BG27" s="5758">
        <f t="shared" si="14"/>
        <v>57916.48000000001</v>
      </c>
      <c r="BH27" s="26"/>
      <c r="BI27" s="26"/>
    </row>
    <row r="28" spans="1:61" ht="16.5" x14ac:dyDescent="0.25">
      <c r="C28" s="5755" t="s">
        <v>16</v>
      </c>
      <c r="D28" s="5756" t="s">
        <v>973</v>
      </c>
      <c r="E28" s="7783"/>
      <c r="F28" s="5755"/>
      <c r="G28" s="5757">
        <f>+SUMIF(WRM!$C$7:$C$119,$D28,WRM!$F$7:$F$119)</f>
        <v>2039.65</v>
      </c>
      <c r="H28" s="5757"/>
      <c r="I28" s="5757">
        <f>+SUMIF(WRM!$C$7:$C$119,$D28,WRM!$H$7:$H$119)</f>
        <v>2564.5499999999997</v>
      </c>
      <c r="J28" s="5758"/>
      <c r="K28" s="5758">
        <f t="shared" si="15"/>
        <v>4604.2</v>
      </c>
      <c r="L28" s="5757"/>
      <c r="M28" s="5757">
        <f>+SUMIF(WRM!$C$7:$C$119,$D28,WRM!$L$7:$L$119)</f>
        <v>3825.3</v>
      </c>
      <c r="N28" s="5759"/>
      <c r="O28" s="5759">
        <f t="shared" si="2"/>
        <v>8429.5</v>
      </c>
      <c r="P28" s="5757"/>
      <c r="Q28" s="5757">
        <f>+SUMIF(WRM!$C$7:$C$119,$D28,WRM!$P$7:$P$119)</f>
        <v>2222.1999999999998</v>
      </c>
      <c r="R28" s="5760"/>
      <c r="S28" s="5758">
        <f t="shared" si="3"/>
        <v>10651.7</v>
      </c>
      <c r="T28" s="5757"/>
      <c r="U28" s="5757">
        <f>+SUMIF(WRM!$C$7:$C$119,$D28,WRM!$T$7:$T$119)</f>
        <v>1988.4999999999986</v>
      </c>
      <c r="V28" s="5760"/>
      <c r="W28" s="5758">
        <f t="shared" si="4"/>
        <v>12640.199999999999</v>
      </c>
      <c r="X28" s="5761"/>
      <c r="Y28" s="5775">
        <f>+SUMIF(WRM!$C$7:$C$119,$D28,WRM!$X$7:$X$119)</f>
        <v>2265.25</v>
      </c>
      <c r="Z28" s="5759"/>
      <c r="AA28" s="5759">
        <f t="shared" si="5"/>
        <v>6475.9499999999989</v>
      </c>
      <c r="AB28" s="5762"/>
      <c r="AC28" s="5763">
        <f t="shared" si="6"/>
        <v>14905.449999999999</v>
      </c>
      <c r="AD28" s="5757"/>
      <c r="AE28" s="5775">
        <f>+SUMIF(WRM!$C$7:$C$119,$D28,WRM!$AD$7:$AD$119)</f>
        <v>867.15</v>
      </c>
      <c r="AF28" s="5760"/>
      <c r="AG28" s="5758">
        <f t="shared" si="7"/>
        <v>15772.599999999999</v>
      </c>
      <c r="AH28" s="5757"/>
      <c r="AI28" s="5757">
        <f>+SUMIF(WRM!$C$7:$C$119,$D28,WRM!$AH$7:$AH$119)</f>
        <v>1605.15</v>
      </c>
      <c r="AJ28" s="5760"/>
      <c r="AK28" s="5758">
        <f t="shared" si="8"/>
        <v>17377.75</v>
      </c>
      <c r="AL28" s="5757"/>
      <c r="AM28" s="5757">
        <f>+SUMIF(WRM!$C$7:$C$119,$D28,WRM!$AL$7:$AL$119)</f>
        <v>2175.0499999999988</v>
      </c>
      <c r="AN28" s="5972"/>
      <c r="AO28" s="5759">
        <f t="shared" si="9"/>
        <v>4647.3499999999985</v>
      </c>
      <c r="AP28" s="5760"/>
      <c r="AQ28" s="5758">
        <f t="shared" si="0"/>
        <v>19552.8</v>
      </c>
      <c r="AR28" s="5757"/>
      <c r="AS28" s="5757">
        <f>+SUMIF(WRM!$C$7:$C$119,$D28,WRM!$AR$7:$AR$119)</f>
        <v>1785.5500000000002</v>
      </c>
      <c r="AT28" s="5760"/>
      <c r="AU28" s="5758">
        <f t="shared" si="10"/>
        <v>21338.35</v>
      </c>
      <c r="AV28" s="5757"/>
      <c r="AW28" s="5757">
        <f>+SUMIF(WRM!$C$7:$C$119,$D28,WRM!$AV$7:$AV$119)</f>
        <v>2632.2</v>
      </c>
      <c r="AX28" s="5760"/>
      <c r="AY28" s="5758">
        <f t="shared" si="11"/>
        <v>23970.55</v>
      </c>
      <c r="AZ28" s="5757"/>
      <c r="BA28" s="5757">
        <f>+SUMIF(WRM!$C$7:$C$119,$D28,WRM!$AZ$7:$AZ$119)</f>
        <v>9173.7500000000036</v>
      </c>
      <c r="BB28" s="5972"/>
      <c r="BC28" s="5759">
        <f t="shared" si="12"/>
        <v>13591.500000000004</v>
      </c>
      <c r="BD28" s="5762"/>
      <c r="BE28" s="5763">
        <f t="shared" si="13"/>
        <v>18238.850000000002</v>
      </c>
      <c r="BF28" s="5760"/>
      <c r="BG28" s="5758">
        <f t="shared" si="14"/>
        <v>33144.300000000003</v>
      </c>
      <c r="BH28" s="26"/>
      <c r="BI28" s="26"/>
    </row>
    <row r="29" spans="1:61" ht="16.5" x14ac:dyDescent="0.25">
      <c r="C29" s="5755" t="s">
        <v>16</v>
      </c>
      <c r="D29" s="5756" t="s">
        <v>1124</v>
      </c>
      <c r="E29" s="7783"/>
      <c r="F29" s="5755"/>
      <c r="G29" s="5757">
        <f>+SUMIF(WRM!$C$7:$C$119,$D29,WRM!$F$7:$F$119)</f>
        <v>1906.5</v>
      </c>
      <c r="H29" s="5757"/>
      <c r="I29" s="5757">
        <f>+SUMIF(WRM!$C$7:$C$119,$D29,WRM!$H$7:$H$119)</f>
        <v>2402.5999999999995</v>
      </c>
      <c r="J29" s="5758"/>
      <c r="K29" s="5758">
        <f t="shared" si="15"/>
        <v>4309.0999999999995</v>
      </c>
      <c r="L29" s="5757"/>
      <c r="M29" s="5757">
        <f>+SUMIF(WRM!$C$7:$C$119,$D29,WRM!$L$7:$L$119)</f>
        <v>1824.5000000000002</v>
      </c>
      <c r="N29" s="5759"/>
      <c r="O29" s="5759">
        <f t="shared" si="2"/>
        <v>6133.5999999999995</v>
      </c>
      <c r="P29" s="5757"/>
      <c r="Q29" s="5757">
        <f>+SUMIF(WRM!$C$7:$C$119,$D29,WRM!$P$7:$P$119)</f>
        <v>164</v>
      </c>
      <c r="R29" s="5760"/>
      <c r="S29" s="5758">
        <f t="shared" si="3"/>
        <v>6297.5999999999995</v>
      </c>
      <c r="T29" s="5757"/>
      <c r="U29" s="5757">
        <f>+SUMIF(WRM!$C$7:$C$119,$D29,WRM!$T$7:$T$119)</f>
        <v>3417.3500000000008</v>
      </c>
      <c r="V29" s="5760"/>
      <c r="W29" s="5758">
        <f t="shared" si="4"/>
        <v>9714.9500000000007</v>
      </c>
      <c r="X29" s="5761"/>
      <c r="Y29" s="5775">
        <f>+SUMIF(WRM!$C$7:$C$119,$D29,WRM!$X$7:$X$119)</f>
        <v>1336.5999999999997</v>
      </c>
      <c r="Z29" s="5759"/>
      <c r="AA29" s="5759">
        <f t="shared" si="5"/>
        <v>4917.9500000000007</v>
      </c>
      <c r="AB29" s="5762"/>
      <c r="AC29" s="5763">
        <f t="shared" si="6"/>
        <v>11051.55</v>
      </c>
      <c r="AD29" s="5757"/>
      <c r="AE29" s="5775">
        <f>+SUMIF(WRM!$C$7:$C$119,$D29,WRM!$AD$7:$AD$119)</f>
        <v>4007.75</v>
      </c>
      <c r="AF29" s="5760"/>
      <c r="AG29" s="5758">
        <f t="shared" si="7"/>
        <v>15059.3</v>
      </c>
      <c r="AH29" s="5757"/>
      <c r="AI29" s="5757">
        <f>+SUMIF(WRM!$C$7:$C$119,$D29,WRM!$AH$7:$AH$119)</f>
        <v>1394</v>
      </c>
      <c r="AJ29" s="5760"/>
      <c r="AK29" s="5758">
        <f t="shared" si="8"/>
        <v>16453.3</v>
      </c>
      <c r="AL29" s="5757"/>
      <c r="AM29" s="5757">
        <f>+SUMIF(WRM!$C$7:$C$119,$D29,WRM!$AL$7:$AL$119)</f>
        <v>1818.3500000000006</v>
      </c>
      <c r="AN29" s="5972"/>
      <c r="AO29" s="5759">
        <f t="shared" si="9"/>
        <v>7220.1</v>
      </c>
      <c r="AP29" s="5760"/>
      <c r="AQ29" s="5758">
        <f t="shared" si="0"/>
        <v>18271.650000000001</v>
      </c>
      <c r="AR29" s="5757"/>
      <c r="AS29" s="5757">
        <f>+SUMIF(WRM!$C$7:$C$119,$D29,WRM!$AR$7:$AR$119)</f>
        <v>0</v>
      </c>
      <c r="AT29" s="5760"/>
      <c r="AU29" s="5758">
        <f t="shared" si="10"/>
        <v>18271.650000000001</v>
      </c>
      <c r="AV29" s="5757"/>
      <c r="AW29" s="5757">
        <f>+SUMIF(WRM!$C$7:$C$119,$D29,WRM!$AV$7:$AV$119)</f>
        <v>1025</v>
      </c>
      <c r="AX29" s="5760"/>
      <c r="AY29" s="5758">
        <f t="shared" si="11"/>
        <v>19296.650000000001</v>
      </c>
      <c r="AZ29" s="5757"/>
      <c r="BA29" s="5757">
        <f>+SUMIF(WRM!$C$7:$C$119,$D29,WRM!$AZ$7:$AZ$119)</f>
        <v>1512.9</v>
      </c>
      <c r="BB29" s="5972"/>
      <c r="BC29" s="5759">
        <f t="shared" si="12"/>
        <v>2537.9</v>
      </c>
      <c r="BD29" s="5762"/>
      <c r="BE29" s="5763">
        <f t="shared" si="13"/>
        <v>9758</v>
      </c>
      <c r="BF29" s="5760"/>
      <c r="BG29" s="5758">
        <f t="shared" si="14"/>
        <v>20809.550000000003</v>
      </c>
      <c r="BH29" s="26"/>
      <c r="BI29" s="26"/>
    </row>
    <row r="30" spans="1:61" ht="16.5" x14ac:dyDescent="0.25">
      <c r="A30" s="2253"/>
      <c r="B30" s="2253"/>
      <c r="C30" s="5755" t="s">
        <v>16</v>
      </c>
      <c r="D30" s="5756" t="s">
        <v>1627</v>
      </c>
      <c r="E30" s="7783"/>
      <c r="F30" s="5755"/>
      <c r="G30" s="5757">
        <f>+SUMIF(WRM!$C$7:$C$119,$D30,WRM!$F$7:$F$119)</f>
        <v>0</v>
      </c>
      <c r="H30" s="5757"/>
      <c r="I30" s="5757">
        <f>+SUMIF(WRM!$C$7:$C$119,$D30,WRM!$H$7:$H$119)</f>
        <v>0</v>
      </c>
      <c r="J30" s="5758"/>
      <c r="K30" s="5758">
        <f t="shared" si="15"/>
        <v>0</v>
      </c>
      <c r="L30" s="5757"/>
      <c r="M30" s="5757">
        <f>+SUMIF(WRM!$C$7:$C$119,$D30,WRM!$L$7:$L$119)</f>
        <v>0</v>
      </c>
      <c r="N30" s="5759"/>
      <c r="O30" s="5759">
        <f t="shared" si="2"/>
        <v>0</v>
      </c>
      <c r="P30" s="5757"/>
      <c r="Q30" s="5757">
        <f>+SUMIF(WRM!$C$7:$C$119,$D30,WRM!$P$7:$P$119)</f>
        <v>0</v>
      </c>
      <c r="R30" s="5760"/>
      <c r="S30" s="5758">
        <f t="shared" si="3"/>
        <v>0</v>
      </c>
      <c r="T30" s="5757"/>
      <c r="U30" s="5757">
        <f>+SUMIF(WRM!$C$7:$C$119,$D30,WRM!$T$7:$T$119)</f>
        <v>0</v>
      </c>
      <c r="V30" s="5760"/>
      <c r="W30" s="5758">
        <f t="shared" si="4"/>
        <v>0</v>
      </c>
      <c r="X30" s="5761"/>
      <c r="Y30" s="5775">
        <f>+SUMIF(WRM!$C$7:$C$119,$D30,WRM!$X$7:$X$119)</f>
        <v>0</v>
      </c>
      <c r="Z30" s="5759"/>
      <c r="AA30" s="5759">
        <f t="shared" si="5"/>
        <v>0</v>
      </c>
      <c r="AB30" s="5762"/>
      <c r="AC30" s="5763">
        <f t="shared" si="6"/>
        <v>0</v>
      </c>
      <c r="AD30" s="5757"/>
      <c r="AE30" s="5775">
        <f>+SUMIF(WRM!$C$7:$C$119,$D30,WRM!$AD$7:$AD$119)</f>
        <v>0</v>
      </c>
      <c r="AF30" s="5760"/>
      <c r="AG30" s="5758">
        <f t="shared" si="7"/>
        <v>0</v>
      </c>
      <c r="AH30" s="5757"/>
      <c r="AI30" s="5757">
        <f>+SUMIF(WRM!$C$7:$C$119,$D30,WRM!$AH$7:$AH$119)</f>
        <v>0</v>
      </c>
      <c r="AJ30" s="5760"/>
      <c r="AK30" s="5758">
        <f t="shared" si="8"/>
        <v>0</v>
      </c>
      <c r="AL30" s="5757"/>
      <c r="AM30" s="5757">
        <f>+SUMIF(WRM!$C$7:$C$119,$D30,WRM!$AL$7:$AL$119)</f>
        <v>0</v>
      </c>
      <c r="AN30" s="5972"/>
      <c r="AO30" s="5759">
        <f t="shared" si="9"/>
        <v>0</v>
      </c>
      <c r="AP30" s="5760"/>
      <c r="AQ30" s="5758">
        <f t="shared" si="0"/>
        <v>0</v>
      </c>
      <c r="AR30" s="5757"/>
      <c r="AS30" s="5757">
        <f>+SUMIF(WRM!$C$7:$C$119,$D30,WRM!$AR$7:$AR$119)</f>
        <v>0</v>
      </c>
      <c r="AT30" s="5760"/>
      <c r="AU30" s="5758">
        <f t="shared" si="10"/>
        <v>0</v>
      </c>
      <c r="AV30" s="5757"/>
      <c r="AW30" s="5757">
        <f>+SUMIF(WRM!$C$7:$C$119,$D30,WRM!$AV$7:$AV$119)</f>
        <v>0</v>
      </c>
      <c r="AX30" s="5760"/>
      <c r="AY30" s="5758">
        <f t="shared" si="11"/>
        <v>0</v>
      </c>
      <c r="AZ30" s="5757"/>
      <c r="BA30" s="5757">
        <f>+SUMIF(WRM!$C$7:$C$119,$D30,WRM!$AZ$7:$AZ$119)</f>
        <v>0</v>
      </c>
      <c r="BB30" s="5972"/>
      <c r="BC30" s="5759">
        <f t="shared" si="12"/>
        <v>0</v>
      </c>
      <c r="BD30" s="5762"/>
      <c r="BE30" s="5763">
        <f t="shared" si="13"/>
        <v>0</v>
      </c>
      <c r="BF30" s="5760"/>
      <c r="BG30" s="5758">
        <f t="shared" si="14"/>
        <v>0</v>
      </c>
      <c r="BH30" s="26"/>
      <c r="BI30" s="26"/>
    </row>
    <row r="31" spans="1:61" s="5172" customFormat="1" ht="16.5" x14ac:dyDescent="0.25">
      <c r="C31" s="6304" t="s">
        <v>16</v>
      </c>
      <c r="D31" s="6305" t="s">
        <v>2153</v>
      </c>
      <c r="E31" s="7783"/>
      <c r="F31" s="5755"/>
      <c r="G31" s="5757">
        <f>+SUMIF(WRM!$C$7:$C$119,$D31,WRM!$F$7:$F$119)</f>
        <v>0</v>
      </c>
      <c r="H31" s="5757"/>
      <c r="I31" s="5757">
        <f>+SUMIF(WRM!$C$7:$C$119,$D31,WRM!$H$7:$H$119)</f>
        <v>225.5</v>
      </c>
      <c r="J31" s="5758"/>
      <c r="K31" s="5758">
        <f t="shared" ref="K31" si="16">+G31+I31</f>
        <v>225.5</v>
      </c>
      <c r="L31" s="5757"/>
      <c r="M31" s="5757">
        <f>+SUMIF(WRM!$C$7:$C$119,$D31,WRM!$L$7:$L$119)</f>
        <v>0</v>
      </c>
      <c r="N31" s="5759"/>
      <c r="O31" s="5759">
        <f t="shared" ref="O31" si="17">+G31+I31+M31</f>
        <v>225.5</v>
      </c>
      <c r="P31" s="5757"/>
      <c r="Q31" s="5757">
        <f>+SUMIF(WRM!$C$7:$C$119,$D31,WRM!$P$7:$P$119)</f>
        <v>0</v>
      </c>
      <c r="R31" s="5760"/>
      <c r="S31" s="5758">
        <f t="shared" ref="S31" si="18">O31+Q31</f>
        <v>225.5</v>
      </c>
      <c r="T31" s="5757"/>
      <c r="U31" s="5757">
        <f>+SUMIF(WRM!$C$7:$C$119,$D31,WRM!$T$7:$T$119)</f>
        <v>0</v>
      </c>
      <c r="V31" s="5760"/>
      <c r="W31" s="5758">
        <f t="shared" ref="W31" si="19">S31+U31</f>
        <v>225.5</v>
      </c>
      <c r="X31" s="5761"/>
      <c r="Y31" s="5775">
        <f>+SUMIF(WRM!$C$7:$C$119,$D31,WRM!$X$7:$X$119)</f>
        <v>0</v>
      </c>
      <c r="Z31" s="5759"/>
      <c r="AA31" s="5759">
        <f t="shared" ref="AA31" si="20">Q31+U31+Y31</f>
        <v>0</v>
      </c>
      <c r="AB31" s="5762"/>
      <c r="AC31" s="5763">
        <f t="shared" ref="AC31" si="21">O31+AA31</f>
        <v>225.5</v>
      </c>
      <c r="AD31" s="5757"/>
      <c r="AE31" s="5775">
        <f>+SUMIF(WRM!$C$7:$C$119,$D31,WRM!$AD$7:$AD$119)</f>
        <v>0</v>
      </c>
      <c r="AF31" s="5760"/>
      <c r="AG31" s="5758">
        <f t="shared" ref="AG31" si="22">+AC31+AE31</f>
        <v>225.5</v>
      </c>
      <c r="AH31" s="5757"/>
      <c r="AI31" s="5757">
        <f>+SUMIF(WRM!$C$7:$C$119,$D31,WRM!$AH$7:$AH$119)</f>
        <v>0</v>
      </c>
      <c r="AJ31" s="5760"/>
      <c r="AK31" s="5758">
        <f t="shared" ref="AK31" si="23">+AG31+AI31</f>
        <v>225.5</v>
      </c>
      <c r="AL31" s="5757"/>
      <c r="AM31" s="5757">
        <f>+SUMIF(WRM!$C$7:$C$119,$D31,WRM!$AL$7:$AL$119)</f>
        <v>0</v>
      </c>
      <c r="AN31" s="5972"/>
      <c r="AO31" s="5759">
        <f t="shared" ref="AO31" si="24">AE31+AI31+AM31</f>
        <v>0</v>
      </c>
      <c r="AP31" s="5760"/>
      <c r="AQ31" s="5758">
        <f t="shared" ref="AQ31" si="25">+AK31+AM31</f>
        <v>225.5</v>
      </c>
      <c r="AR31" s="5757"/>
      <c r="AS31" s="5757">
        <f>+SUMIF(WRM!$C$7:$C$119,$D31,WRM!$AR$7:$AR$119)</f>
        <v>0</v>
      </c>
      <c r="AT31" s="5760"/>
      <c r="AU31" s="5758">
        <f t="shared" ref="AU31" si="26">+AQ31+AS31</f>
        <v>225.5</v>
      </c>
      <c r="AV31" s="5757"/>
      <c r="AW31" s="5757">
        <f>+SUMIF(WRM!$C$7:$C$119,$D31,WRM!$AV$7:$AV$119)</f>
        <v>104.55</v>
      </c>
      <c r="AX31" s="5760"/>
      <c r="AY31" s="5758">
        <f t="shared" si="11"/>
        <v>330.05</v>
      </c>
      <c r="AZ31" s="5757"/>
      <c r="BA31" s="5757">
        <f>+SUMIF(WRM!$C$7:$C$119,$D31,WRM!$AZ$7:$AZ$119)</f>
        <v>145.55000000000001</v>
      </c>
      <c r="BB31" s="5972"/>
      <c r="BC31" s="5759">
        <f t="shared" si="12"/>
        <v>250.10000000000002</v>
      </c>
      <c r="BD31" s="5762"/>
      <c r="BE31" s="5763">
        <f t="shared" si="13"/>
        <v>250.10000000000002</v>
      </c>
      <c r="BF31" s="5760"/>
      <c r="BG31" s="5758">
        <f t="shared" si="14"/>
        <v>475.6</v>
      </c>
      <c r="BH31" s="26"/>
      <c r="BI31" s="26"/>
    </row>
    <row r="32" spans="1:61" ht="16.5" x14ac:dyDescent="0.25">
      <c r="C32" s="5755" t="s">
        <v>16</v>
      </c>
      <c r="D32" s="5756" t="s">
        <v>1039</v>
      </c>
      <c r="E32" s="7783"/>
      <c r="F32" s="5755"/>
      <c r="G32" s="5757">
        <f>+SUMIF(WRM!$C$7:$C$119,$D32,WRM!$F$7:$F$119)</f>
        <v>3593.6499999999996</v>
      </c>
      <c r="H32" s="5757"/>
      <c r="I32" s="5757">
        <f>+SUMIF(WRM!$C$7:$C$119,$D32,WRM!$H$7:$H$119)</f>
        <v>2585.0500000000002</v>
      </c>
      <c r="J32" s="5758"/>
      <c r="K32" s="5758">
        <f t="shared" ref="K32:K37" si="27">+G32+I32</f>
        <v>6178.7</v>
      </c>
      <c r="L32" s="5757"/>
      <c r="M32" s="5757">
        <f>+SUMIF(WRM!$C$7:$C$119,$D32,WRM!$L$7:$L$119)</f>
        <v>1420.65</v>
      </c>
      <c r="N32" s="5759"/>
      <c r="O32" s="5759">
        <f t="shared" ref="O32:O37" si="28">+G32+I32+M32</f>
        <v>7599.35</v>
      </c>
      <c r="P32" s="5757"/>
      <c r="Q32" s="5757">
        <f>+SUMIF(WRM!$C$7:$C$119,$D32,WRM!$P$7:$P$119)</f>
        <v>2941.75</v>
      </c>
      <c r="R32" s="5760"/>
      <c r="S32" s="5758">
        <f t="shared" ref="S32:S37" si="29">O32+Q32</f>
        <v>10541.1</v>
      </c>
      <c r="T32" s="5757"/>
      <c r="U32" s="5757">
        <f>+SUMIF(WRM!$C$7:$C$119,$D32,WRM!$T$7:$T$119)</f>
        <v>0</v>
      </c>
      <c r="V32" s="5760"/>
      <c r="W32" s="5758">
        <f t="shared" ref="W32:W37" si="30">S32+U32</f>
        <v>10541.1</v>
      </c>
      <c r="X32" s="5761"/>
      <c r="Y32" s="5775">
        <f>+SUMIF(WRM!$C$7:$C$119,$D32,WRM!$X$7:$X$119)</f>
        <v>3511.6499999999996</v>
      </c>
      <c r="Z32" s="5759"/>
      <c r="AA32" s="5759">
        <f t="shared" ref="AA32:AA37" si="31">Q32+U32+Y32</f>
        <v>6453.4</v>
      </c>
      <c r="AB32" s="5762"/>
      <c r="AC32" s="5763">
        <f t="shared" ref="AC32:AC37" si="32">O32+AA32</f>
        <v>14052.75</v>
      </c>
      <c r="AD32" s="5757"/>
      <c r="AE32" s="5775">
        <f>+SUMIF(WRM!$C$7:$C$119,$D32,WRM!$AD$7:$AD$119)</f>
        <v>67.650000000000006</v>
      </c>
      <c r="AF32" s="5760"/>
      <c r="AG32" s="5758">
        <f t="shared" ref="AG32:AG37" si="33">+AC32+AE32</f>
        <v>14120.4</v>
      </c>
      <c r="AH32" s="5757"/>
      <c r="AI32" s="5757">
        <f>+SUMIF(WRM!$C$7:$C$119,$D32,WRM!$AH$7:$AH$119)</f>
        <v>910.2</v>
      </c>
      <c r="AJ32" s="5760"/>
      <c r="AK32" s="5758">
        <f t="shared" ref="AK32:AK37" si="34">+AG32+AI32</f>
        <v>15030.6</v>
      </c>
      <c r="AL32" s="5757"/>
      <c r="AM32" s="5757">
        <f>+SUMIF(WRM!$C$7:$C$119,$D32,WRM!$AL$7:$AL$119)</f>
        <v>2747</v>
      </c>
      <c r="AN32" s="5972"/>
      <c r="AO32" s="5759">
        <f t="shared" ref="AO32:AO37" si="35">AE32+AI32+AM32</f>
        <v>3724.85</v>
      </c>
      <c r="AP32" s="5760"/>
      <c r="AQ32" s="5758">
        <f t="shared" ref="AQ32:AQ37" si="36">+AK32+AM32</f>
        <v>17777.599999999999</v>
      </c>
      <c r="AR32" s="5757"/>
      <c r="AS32" s="5757">
        <f>+SUMIF(WRM!$C$7:$C$119,$D32,WRM!$AR$7:$AR$119)</f>
        <v>922.50000000000011</v>
      </c>
      <c r="AT32" s="5760"/>
      <c r="AU32" s="5758">
        <f t="shared" ref="AU32:AU37" si="37">+AQ32+AS32</f>
        <v>18700.099999999999</v>
      </c>
      <c r="AV32" s="5757"/>
      <c r="AW32" s="5757">
        <f>+SUMIF(WRM!$C$7:$C$119,$D32,WRM!$AV$7:$AV$119)</f>
        <v>0</v>
      </c>
      <c r="AX32" s="5760"/>
      <c r="AY32" s="5758">
        <f t="shared" si="11"/>
        <v>18700.099999999999</v>
      </c>
      <c r="AZ32" s="5757"/>
      <c r="BA32" s="5757">
        <f>+SUMIF(WRM!$C$7:$C$119,$D32,WRM!$AZ$7:$AZ$119)</f>
        <v>2240.6499999999996</v>
      </c>
      <c r="BB32" s="5972"/>
      <c r="BC32" s="5759">
        <f t="shared" si="12"/>
        <v>3163.1499999999996</v>
      </c>
      <c r="BD32" s="5762"/>
      <c r="BE32" s="5763">
        <f t="shared" si="13"/>
        <v>6888</v>
      </c>
      <c r="BF32" s="5760"/>
      <c r="BG32" s="5758">
        <f t="shared" si="14"/>
        <v>20940.75</v>
      </c>
      <c r="BH32" s="26"/>
      <c r="BI32" s="26"/>
    </row>
    <row r="33" spans="3:61" ht="16.5" x14ac:dyDescent="0.25">
      <c r="C33" s="5755" t="s">
        <v>16</v>
      </c>
      <c r="D33" s="5756" t="s">
        <v>1040</v>
      </c>
      <c r="E33" s="7783"/>
      <c r="F33" s="5755"/>
      <c r="G33" s="5757">
        <f>+SUMIF(WRM!$C$7:$C$119,$D33,WRM!$F$7:$F$119)</f>
        <v>4366.5</v>
      </c>
      <c r="H33" s="5757"/>
      <c r="I33" s="5757">
        <f>+SUMIF(WRM!$C$7:$C$119,$D33,WRM!$H$7:$H$119)</f>
        <v>2429.25</v>
      </c>
      <c r="J33" s="5758"/>
      <c r="K33" s="5758">
        <f t="shared" si="27"/>
        <v>6795.75</v>
      </c>
      <c r="L33" s="5757"/>
      <c r="M33" s="5757">
        <f>+SUMIF(WRM!$C$7:$C$119,$D33,WRM!$L$7:$L$119)</f>
        <v>6100.8</v>
      </c>
      <c r="N33" s="5759"/>
      <c r="O33" s="5759">
        <f t="shared" si="28"/>
        <v>12896.55</v>
      </c>
      <c r="P33" s="5757"/>
      <c r="Q33" s="5757">
        <f>+SUMIF(WRM!$C$7:$C$119,$D33,WRM!$P$7:$P$119)</f>
        <v>4516.1499999999996</v>
      </c>
      <c r="R33" s="5760"/>
      <c r="S33" s="5758">
        <f t="shared" si="29"/>
        <v>17412.699999999997</v>
      </c>
      <c r="T33" s="5757"/>
      <c r="U33" s="5757">
        <f>+SUMIF(WRM!$C$7:$C$119,$D33,WRM!$T$7:$T$119)</f>
        <v>0</v>
      </c>
      <c r="V33" s="5760"/>
      <c r="W33" s="5758">
        <f t="shared" si="30"/>
        <v>17412.699999999997</v>
      </c>
      <c r="X33" s="5761"/>
      <c r="Y33" s="5775">
        <f>+SUMIF(WRM!$C$7:$C$119,$D33,WRM!$X$7:$X$119)</f>
        <v>2714.2</v>
      </c>
      <c r="Z33" s="5759"/>
      <c r="AA33" s="5759">
        <f t="shared" si="31"/>
        <v>7230.3499999999995</v>
      </c>
      <c r="AB33" s="5762"/>
      <c r="AC33" s="5763">
        <f t="shared" si="32"/>
        <v>20126.899999999998</v>
      </c>
      <c r="AD33" s="5757"/>
      <c r="AE33" s="5775">
        <f>+SUMIF(WRM!$C$7:$C$119,$D33,WRM!$AD$7:$AD$119)</f>
        <v>2119.6999999999998</v>
      </c>
      <c r="AF33" s="5760"/>
      <c r="AG33" s="5758">
        <f t="shared" si="33"/>
        <v>22246.6</v>
      </c>
      <c r="AH33" s="5757"/>
      <c r="AI33" s="5757">
        <f>+SUMIF(WRM!$C$7:$C$119,$D33,WRM!$AH$7:$AH$119)</f>
        <v>627.30000000000007</v>
      </c>
      <c r="AJ33" s="5760"/>
      <c r="AK33" s="5758">
        <f t="shared" si="34"/>
        <v>22873.899999999998</v>
      </c>
      <c r="AL33" s="5757"/>
      <c r="AM33" s="5757">
        <f>+SUMIF(WRM!$C$7:$C$119,$D33,WRM!$AL$7:$AL$119)</f>
        <v>4175.8500000000004</v>
      </c>
      <c r="AN33" s="5972"/>
      <c r="AO33" s="5759">
        <f t="shared" si="35"/>
        <v>6922.85</v>
      </c>
      <c r="AP33" s="5760"/>
      <c r="AQ33" s="5758">
        <f t="shared" si="36"/>
        <v>27049.75</v>
      </c>
      <c r="AR33" s="5757"/>
      <c r="AS33" s="5757">
        <f>+SUMIF(WRM!$C$7:$C$119,$D33,WRM!$AR$7:$AR$119)</f>
        <v>2429.25</v>
      </c>
      <c r="AT33" s="5760"/>
      <c r="AU33" s="5758">
        <f t="shared" si="37"/>
        <v>29479</v>
      </c>
      <c r="AV33" s="5757"/>
      <c r="AW33" s="5757">
        <f>+SUMIF(WRM!$C$7:$C$119,$D33,WRM!$AV$7:$AV$119)</f>
        <v>0</v>
      </c>
      <c r="AX33" s="5760"/>
      <c r="AY33" s="5758">
        <f t="shared" si="11"/>
        <v>29479</v>
      </c>
      <c r="AZ33" s="5757"/>
      <c r="BA33" s="5757">
        <f>+SUMIF(WRM!$C$7:$C$119,$D33,WRM!$AZ$7:$AZ$119)</f>
        <v>2291.9</v>
      </c>
      <c r="BB33" s="5972"/>
      <c r="BC33" s="5759">
        <f t="shared" si="12"/>
        <v>4721.1499999999996</v>
      </c>
      <c r="BD33" s="5762"/>
      <c r="BE33" s="5763">
        <f t="shared" si="13"/>
        <v>11644</v>
      </c>
      <c r="BF33" s="5760"/>
      <c r="BG33" s="5758">
        <f t="shared" si="14"/>
        <v>31770.9</v>
      </c>
      <c r="BH33" s="26"/>
      <c r="BI33" s="26"/>
    </row>
    <row r="34" spans="3:61" ht="16.5" x14ac:dyDescent="0.25">
      <c r="C34" s="5755" t="s">
        <v>16</v>
      </c>
      <c r="D34" s="5756" t="s">
        <v>1416</v>
      </c>
      <c r="E34" s="7783"/>
      <c r="F34" s="5755"/>
      <c r="G34" s="5757">
        <f>+SUMIF(WRM!$C$7:$C$119,$D34,WRM!$F$7:$F$119)</f>
        <v>0</v>
      </c>
      <c r="H34" s="5757"/>
      <c r="I34" s="5757">
        <f>+SUMIF(WRM!$C$7:$C$119,$D34,WRM!$H$7:$H$119)</f>
        <v>0</v>
      </c>
      <c r="J34" s="5758"/>
      <c r="K34" s="5758">
        <f t="shared" si="27"/>
        <v>0</v>
      </c>
      <c r="L34" s="5757"/>
      <c r="M34" s="5757">
        <f>+SUMIF(WRM!$C$7:$C$119,$D34,WRM!$L$7:$L$119)</f>
        <v>0</v>
      </c>
      <c r="N34" s="5759"/>
      <c r="O34" s="5759">
        <f t="shared" si="28"/>
        <v>0</v>
      </c>
      <c r="P34" s="5757"/>
      <c r="Q34" s="5757">
        <f>+SUMIF(WRM!$C$7:$C$119,$D34,WRM!$P$7:$P$119)</f>
        <v>0</v>
      </c>
      <c r="R34" s="5760"/>
      <c r="S34" s="5758">
        <f t="shared" si="29"/>
        <v>0</v>
      </c>
      <c r="T34" s="5757"/>
      <c r="U34" s="5757">
        <f>+SUMIF(WRM!$C$7:$C$119,$D34,WRM!$T$7:$T$119)</f>
        <v>0</v>
      </c>
      <c r="V34" s="5760"/>
      <c r="W34" s="5758">
        <f t="shared" si="30"/>
        <v>0</v>
      </c>
      <c r="X34" s="5761"/>
      <c r="Y34" s="5775">
        <f>+SUMIF(WRM!$C$7:$C$119,$D34,WRM!$X$7:$X$119)</f>
        <v>0</v>
      </c>
      <c r="Z34" s="5759"/>
      <c r="AA34" s="5759">
        <f t="shared" si="31"/>
        <v>0</v>
      </c>
      <c r="AB34" s="5762"/>
      <c r="AC34" s="5763">
        <f t="shared" si="32"/>
        <v>0</v>
      </c>
      <c r="AD34" s="5757"/>
      <c r="AE34" s="5775">
        <f>+SUMIF(WRM!$C$7:$C$119,$D34,WRM!$AD$7:$AD$119)</f>
        <v>0</v>
      </c>
      <c r="AF34" s="5760"/>
      <c r="AG34" s="5758">
        <f t="shared" si="33"/>
        <v>0</v>
      </c>
      <c r="AH34" s="5757"/>
      <c r="AI34" s="5757">
        <f>+SUMIF(WRM!$C$7:$C$119,$D34,WRM!$AH$7:$AH$119)</f>
        <v>0</v>
      </c>
      <c r="AJ34" s="5760"/>
      <c r="AK34" s="5758">
        <f t="shared" si="34"/>
        <v>0</v>
      </c>
      <c r="AL34" s="5757"/>
      <c r="AM34" s="5757">
        <f>+SUMIF(WRM!$C$7:$C$119,$D34,WRM!$AL$7:$AL$119)</f>
        <v>0</v>
      </c>
      <c r="AN34" s="5972"/>
      <c r="AO34" s="5759">
        <f t="shared" si="35"/>
        <v>0</v>
      </c>
      <c r="AP34" s="5760"/>
      <c r="AQ34" s="5758">
        <f t="shared" si="36"/>
        <v>0</v>
      </c>
      <c r="AR34" s="5757"/>
      <c r="AS34" s="5757">
        <f>+SUMIF(WRM!$C$7:$C$119,$D34,WRM!$AR$7:$AR$119)</f>
        <v>0</v>
      </c>
      <c r="AT34" s="5760"/>
      <c r="AU34" s="5758">
        <f t="shared" si="37"/>
        <v>0</v>
      </c>
      <c r="AV34" s="5757"/>
      <c r="AW34" s="5757">
        <f>+SUMIF(WRM!$C$7:$C$119,$D34,WRM!$AV$7:$AV$119)</f>
        <v>0</v>
      </c>
      <c r="AX34" s="5760"/>
      <c r="AY34" s="5758">
        <f t="shared" si="11"/>
        <v>0</v>
      </c>
      <c r="AZ34" s="5757"/>
      <c r="BA34" s="5757">
        <f>+SUMIF(WRM!$C$7:$C$119,$D34,WRM!$AZ$7:$AZ$119)</f>
        <v>0</v>
      </c>
      <c r="BB34" s="5972"/>
      <c r="BC34" s="5759">
        <f t="shared" si="12"/>
        <v>0</v>
      </c>
      <c r="BD34" s="5762"/>
      <c r="BE34" s="5763">
        <f t="shared" si="13"/>
        <v>0</v>
      </c>
      <c r="BF34" s="5760"/>
      <c r="BG34" s="5758">
        <f t="shared" si="14"/>
        <v>0</v>
      </c>
      <c r="BH34" s="26"/>
      <c r="BI34" s="26"/>
    </row>
    <row r="35" spans="3:61" ht="16.5" x14ac:dyDescent="0.25">
      <c r="C35" s="5755" t="s">
        <v>16</v>
      </c>
      <c r="D35" s="5756" t="s">
        <v>1475</v>
      </c>
      <c r="E35" s="7783"/>
      <c r="F35" s="5755"/>
      <c r="G35" s="5757">
        <f>+SUMIF(WRM!$C$7:$C$119,$D35,WRM!$F$7:$F$119)</f>
        <v>229.6</v>
      </c>
      <c r="H35" s="5757"/>
      <c r="I35" s="5757">
        <f>+SUMIF(WRM!$C$7:$C$119,$D35,WRM!$H$7:$H$119)</f>
        <v>0</v>
      </c>
      <c r="J35" s="5758"/>
      <c r="K35" s="5758">
        <f t="shared" si="27"/>
        <v>229.6</v>
      </c>
      <c r="L35" s="5757"/>
      <c r="M35" s="5757">
        <f>+SUMIF(WRM!$C$7:$C$119,$D35,WRM!$L$7:$L$119)</f>
        <v>108.64999999999999</v>
      </c>
      <c r="N35" s="5759"/>
      <c r="O35" s="5759">
        <f t="shared" si="28"/>
        <v>338.25</v>
      </c>
      <c r="P35" s="5757"/>
      <c r="Q35" s="5757">
        <f>+SUMIF(WRM!$C$7:$C$119,$D35,WRM!$P$7:$P$119)</f>
        <v>461.25</v>
      </c>
      <c r="R35" s="5760"/>
      <c r="S35" s="5758">
        <f t="shared" si="29"/>
        <v>799.5</v>
      </c>
      <c r="T35" s="5757"/>
      <c r="U35" s="5757">
        <f>+SUMIF(WRM!$C$7:$C$119,$D35,WRM!$T$7:$T$119)</f>
        <v>0</v>
      </c>
      <c r="V35" s="5760"/>
      <c r="W35" s="5758">
        <f t="shared" si="30"/>
        <v>799.5</v>
      </c>
      <c r="X35" s="5761"/>
      <c r="Y35" s="5775">
        <f>+SUMIF(WRM!$C$7:$C$119,$D35,WRM!$X$7:$X$119)</f>
        <v>928.65000000000009</v>
      </c>
      <c r="Z35" s="5759"/>
      <c r="AA35" s="5759">
        <f t="shared" si="31"/>
        <v>1389.9</v>
      </c>
      <c r="AB35" s="5762"/>
      <c r="AC35" s="5763">
        <f t="shared" si="32"/>
        <v>1728.15</v>
      </c>
      <c r="AD35" s="5757"/>
      <c r="AE35" s="5775">
        <f>+SUMIF(WRM!$C$7:$C$119,$D35,WRM!$AD$7:$AD$119)</f>
        <v>0</v>
      </c>
      <c r="AF35" s="5760"/>
      <c r="AG35" s="5758">
        <f t="shared" si="33"/>
        <v>1728.15</v>
      </c>
      <c r="AH35" s="5757"/>
      <c r="AI35" s="5757">
        <f>+SUMIF(WRM!$C$7:$C$119,$D35,WRM!$AH$7:$AH$119)</f>
        <v>0</v>
      </c>
      <c r="AJ35" s="5760"/>
      <c r="AK35" s="5758">
        <f t="shared" si="34"/>
        <v>1728.15</v>
      </c>
      <c r="AL35" s="5757"/>
      <c r="AM35" s="5757">
        <f>+SUMIF(WRM!$C$7:$C$119,$D35,WRM!$AL$7:$AL$119)</f>
        <v>202.95</v>
      </c>
      <c r="AN35" s="5972"/>
      <c r="AO35" s="5759">
        <f t="shared" si="35"/>
        <v>202.95</v>
      </c>
      <c r="AP35" s="5760"/>
      <c r="AQ35" s="5758">
        <f t="shared" si="36"/>
        <v>1931.1000000000001</v>
      </c>
      <c r="AR35" s="5757"/>
      <c r="AS35" s="5757">
        <f>+SUMIF(WRM!$C$7:$C$119,$D35,WRM!$AR$7:$AR$119)</f>
        <v>885.59999999999991</v>
      </c>
      <c r="AT35" s="5760"/>
      <c r="AU35" s="5758">
        <f t="shared" si="37"/>
        <v>2816.7</v>
      </c>
      <c r="AV35" s="5757"/>
      <c r="AW35" s="5757">
        <f>+SUMIF(WRM!$C$7:$C$119,$D35,WRM!$AV$7:$AV$119)</f>
        <v>0</v>
      </c>
      <c r="AX35" s="5760"/>
      <c r="AY35" s="5758">
        <f t="shared" si="11"/>
        <v>2816.7</v>
      </c>
      <c r="AZ35" s="5757"/>
      <c r="BA35" s="5757">
        <f>+SUMIF(WRM!$C$7:$C$119,$D35,WRM!$AZ$7:$AZ$119)</f>
        <v>381.3</v>
      </c>
      <c r="BB35" s="5972"/>
      <c r="BC35" s="5759">
        <f t="shared" si="12"/>
        <v>1266.8999999999999</v>
      </c>
      <c r="BD35" s="5762"/>
      <c r="BE35" s="5763">
        <f t="shared" si="13"/>
        <v>1469.85</v>
      </c>
      <c r="BF35" s="5760"/>
      <c r="BG35" s="5758">
        <f t="shared" si="14"/>
        <v>3198</v>
      </c>
      <c r="BH35" s="26"/>
      <c r="BI35" s="26"/>
    </row>
    <row r="36" spans="3:61" ht="16.5" x14ac:dyDescent="0.25">
      <c r="C36" s="5755" t="s">
        <v>16</v>
      </c>
      <c r="D36" s="5756" t="s">
        <v>1535</v>
      </c>
      <c r="E36" s="7783"/>
      <c r="F36" s="5755"/>
      <c r="G36" s="5757">
        <f>+SUMIF(WRM!$C$7:$C$119,$D36,WRM!$F$7:$F$119)</f>
        <v>0</v>
      </c>
      <c r="H36" s="5757"/>
      <c r="I36" s="5757">
        <f>+SUMIF(WRM!$C$7:$C$119,$D36,WRM!$H$7:$H$119)</f>
        <v>0</v>
      </c>
      <c r="J36" s="5758"/>
      <c r="K36" s="5758">
        <f t="shared" si="27"/>
        <v>0</v>
      </c>
      <c r="L36" s="5757"/>
      <c r="M36" s="5757">
        <f>+SUMIF(WRM!$C$7:$C$119,$D36,WRM!$L$7:$L$119)</f>
        <v>0</v>
      </c>
      <c r="N36" s="5759"/>
      <c r="O36" s="5759">
        <f t="shared" si="28"/>
        <v>0</v>
      </c>
      <c r="P36" s="5757"/>
      <c r="Q36" s="5757">
        <f>+SUMIF(WRM!$C$7:$C$119,$D36,WRM!$P$7:$P$119)</f>
        <v>0</v>
      </c>
      <c r="R36" s="5760"/>
      <c r="S36" s="5758">
        <f t="shared" si="29"/>
        <v>0</v>
      </c>
      <c r="T36" s="5757"/>
      <c r="U36" s="5757">
        <f>+SUMIF(WRM!$C$7:$C$119,$D36,WRM!$T$7:$T$119)</f>
        <v>0</v>
      </c>
      <c r="V36" s="5760"/>
      <c r="W36" s="5758">
        <f t="shared" si="30"/>
        <v>0</v>
      </c>
      <c r="X36" s="5761"/>
      <c r="Y36" s="5775">
        <f>+SUMIF(WRM!$C$7:$C$119,$D36,WRM!$X$7:$X$119)</f>
        <v>0</v>
      </c>
      <c r="Z36" s="5759"/>
      <c r="AA36" s="5759">
        <f t="shared" si="31"/>
        <v>0</v>
      </c>
      <c r="AB36" s="5762"/>
      <c r="AC36" s="5763">
        <f t="shared" si="32"/>
        <v>0</v>
      </c>
      <c r="AD36" s="5757"/>
      <c r="AE36" s="5775">
        <f>+SUMIF(WRM!$C$7:$C$119,$D36,WRM!$AD$7:$AD$119)</f>
        <v>0</v>
      </c>
      <c r="AF36" s="5760"/>
      <c r="AG36" s="5758">
        <f t="shared" si="33"/>
        <v>0</v>
      </c>
      <c r="AH36" s="5757"/>
      <c r="AI36" s="5757">
        <f>+SUMIF(WRM!$C$7:$C$119,$D36,WRM!$AH$7:$AH$119)</f>
        <v>0</v>
      </c>
      <c r="AJ36" s="5760"/>
      <c r="AK36" s="5758">
        <f t="shared" si="34"/>
        <v>0</v>
      </c>
      <c r="AL36" s="5757"/>
      <c r="AM36" s="5757">
        <f>+SUMIF(WRM!$C$7:$C$119,$D36,WRM!$AL$7:$AL$119)</f>
        <v>0</v>
      </c>
      <c r="AN36" s="5972"/>
      <c r="AO36" s="5759">
        <f t="shared" si="35"/>
        <v>0</v>
      </c>
      <c r="AP36" s="5760"/>
      <c r="AQ36" s="5758">
        <f t="shared" si="36"/>
        <v>0</v>
      </c>
      <c r="AR36" s="5757"/>
      <c r="AS36" s="5757">
        <f>+SUMIF(WRM!$C$7:$C$119,$D36,WRM!$AR$7:$AR$119)</f>
        <v>0</v>
      </c>
      <c r="AT36" s="5760"/>
      <c r="AU36" s="5758">
        <f t="shared" si="37"/>
        <v>0</v>
      </c>
      <c r="AV36" s="5757"/>
      <c r="AW36" s="5757">
        <f>+SUMIF(WRM!$C$7:$C$119,$D36,WRM!$AV$7:$AV$119)</f>
        <v>0</v>
      </c>
      <c r="AX36" s="5760"/>
      <c r="AY36" s="5758">
        <f t="shared" si="11"/>
        <v>0</v>
      </c>
      <c r="AZ36" s="5757"/>
      <c r="BA36" s="5757">
        <f>+SUMIF(WRM!$C$7:$C$119,$D36,WRM!$AZ$7:$AZ$119)</f>
        <v>0</v>
      </c>
      <c r="BB36" s="5972"/>
      <c r="BC36" s="5759">
        <f t="shared" si="12"/>
        <v>0</v>
      </c>
      <c r="BD36" s="5762"/>
      <c r="BE36" s="5763">
        <f t="shared" si="13"/>
        <v>0</v>
      </c>
      <c r="BF36" s="5760"/>
      <c r="BG36" s="5758">
        <f t="shared" si="14"/>
        <v>0</v>
      </c>
      <c r="BH36" s="26"/>
      <c r="BI36" s="26"/>
    </row>
    <row r="37" spans="3:61" ht="16.5" x14ac:dyDescent="0.25">
      <c r="C37" s="5755" t="s">
        <v>16</v>
      </c>
      <c r="D37" s="5756" t="s">
        <v>1477</v>
      </c>
      <c r="E37" s="7783"/>
      <c r="F37" s="5755"/>
      <c r="G37" s="5757">
        <f>+SUMIF(WRM!$C$7:$C$119,$D37,WRM!$F$7:$F$119)</f>
        <v>412.05</v>
      </c>
      <c r="H37" s="5757"/>
      <c r="I37" s="5757">
        <f>+SUMIF(WRM!$C$7:$C$119,$D37,WRM!$H$7:$H$119)</f>
        <v>200.89999999999998</v>
      </c>
      <c r="J37" s="5758"/>
      <c r="K37" s="5758">
        <f t="shared" si="27"/>
        <v>612.95000000000005</v>
      </c>
      <c r="L37" s="5757"/>
      <c r="M37" s="5757">
        <f>+SUMIF(WRM!$C$7:$C$119,$D37,WRM!$L$7:$L$119)</f>
        <v>680.6</v>
      </c>
      <c r="N37" s="5759"/>
      <c r="O37" s="5759">
        <f t="shared" si="28"/>
        <v>1293.5500000000002</v>
      </c>
      <c r="P37" s="5757"/>
      <c r="Q37" s="5757">
        <f>+SUMIF(WRM!$C$7:$C$119,$D37,WRM!$P$7:$P$119)</f>
        <v>1246.4000000000001</v>
      </c>
      <c r="R37" s="5760"/>
      <c r="S37" s="5758">
        <f t="shared" si="29"/>
        <v>2539.9500000000003</v>
      </c>
      <c r="T37" s="5757"/>
      <c r="U37" s="5757">
        <f>+SUMIF(WRM!$C$7:$C$119,$D37,WRM!$T$7:$T$119)</f>
        <v>0</v>
      </c>
      <c r="V37" s="5760"/>
      <c r="W37" s="5758">
        <f t="shared" si="30"/>
        <v>2539.9500000000003</v>
      </c>
      <c r="X37" s="5761"/>
      <c r="Y37" s="5775">
        <f>+SUMIF(WRM!$C$7:$C$119,$D37,WRM!$X$7:$X$119)</f>
        <v>3169.3</v>
      </c>
      <c r="Z37" s="5759"/>
      <c r="AA37" s="5759">
        <f t="shared" si="31"/>
        <v>4415.7000000000007</v>
      </c>
      <c r="AB37" s="5762"/>
      <c r="AC37" s="5763">
        <f t="shared" si="32"/>
        <v>5709.2500000000009</v>
      </c>
      <c r="AD37" s="5757"/>
      <c r="AE37" s="5775">
        <f>+SUMIF(WRM!$C$7:$C$119,$D37,WRM!$AD$7:$AD$119)</f>
        <v>414.1</v>
      </c>
      <c r="AF37" s="5760"/>
      <c r="AG37" s="5758">
        <f t="shared" si="33"/>
        <v>6123.3500000000013</v>
      </c>
      <c r="AH37" s="5757"/>
      <c r="AI37" s="5757">
        <f>+SUMIF(WRM!$C$7:$C$119,$D37,WRM!$AH$7:$AH$119)</f>
        <v>184.5</v>
      </c>
      <c r="AJ37" s="5760"/>
      <c r="AK37" s="5758">
        <f t="shared" si="34"/>
        <v>6307.8500000000013</v>
      </c>
      <c r="AL37" s="5757"/>
      <c r="AM37" s="5757">
        <f>+SUMIF(WRM!$C$7:$C$119,$D37,WRM!$AL$7:$AL$119)</f>
        <v>280.85000000000002</v>
      </c>
      <c r="AN37" s="5972"/>
      <c r="AO37" s="5759">
        <f t="shared" si="35"/>
        <v>879.45</v>
      </c>
      <c r="AP37" s="5760"/>
      <c r="AQ37" s="5758">
        <f t="shared" si="36"/>
        <v>6588.7000000000016</v>
      </c>
      <c r="AR37" s="5757"/>
      <c r="AS37" s="5757">
        <f>+SUMIF(WRM!$C$7:$C$119,$D37,WRM!$AR$7:$AR$119)</f>
        <v>756.45</v>
      </c>
      <c r="AT37" s="5760"/>
      <c r="AU37" s="5758">
        <f t="shared" si="37"/>
        <v>7345.1500000000015</v>
      </c>
      <c r="AV37" s="5757"/>
      <c r="AW37" s="5757">
        <f>+SUMIF(WRM!$C$7:$C$119,$D37,WRM!$AV$7:$AV$119)</f>
        <v>0</v>
      </c>
      <c r="AX37" s="5760"/>
      <c r="AY37" s="5758">
        <f t="shared" si="11"/>
        <v>7345.1500000000015</v>
      </c>
      <c r="AZ37" s="5757"/>
      <c r="BA37" s="5757">
        <f>+SUMIF(WRM!$C$7:$C$119,$D37,WRM!$AZ$7:$AZ$119)</f>
        <v>397.7</v>
      </c>
      <c r="BB37" s="5972"/>
      <c r="BC37" s="5759">
        <f t="shared" si="12"/>
        <v>1154.1500000000001</v>
      </c>
      <c r="BD37" s="5762"/>
      <c r="BE37" s="5763">
        <f t="shared" si="13"/>
        <v>2033.6000000000001</v>
      </c>
      <c r="BF37" s="5760"/>
      <c r="BG37" s="5758">
        <f t="shared" si="14"/>
        <v>7742.8500000000013</v>
      </c>
      <c r="BH37" s="26"/>
      <c r="BI37" s="26"/>
    </row>
    <row r="38" spans="3:61" ht="16.5" x14ac:dyDescent="0.25">
      <c r="C38" s="7781" t="s">
        <v>968</v>
      </c>
      <c r="D38" s="7781"/>
      <c r="E38" s="7783"/>
      <c r="F38" s="5770"/>
      <c r="G38" s="5771">
        <f t="shared" ref="G38:AM38" si="38">SUM(G4:G37)</f>
        <v>35403.480000000003</v>
      </c>
      <c r="H38" s="5771">
        <f t="shared" si="38"/>
        <v>0</v>
      </c>
      <c r="I38" s="5771">
        <f t="shared" si="38"/>
        <v>36549.449999999997</v>
      </c>
      <c r="J38" s="5771">
        <f t="shared" si="38"/>
        <v>0</v>
      </c>
      <c r="K38" s="5772">
        <f t="shared" si="38"/>
        <v>71952.930000000008</v>
      </c>
      <c r="L38" s="5771">
        <f t="shared" si="38"/>
        <v>0</v>
      </c>
      <c r="M38" s="5771">
        <f t="shared" si="38"/>
        <v>36891.800000000003</v>
      </c>
      <c r="N38" s="5771">
        <f t="shared" si="38"/>
        <v>0</v>
      </c>
      <c r="O38" s="5773">
        <f t="shared" si="38"/>
        <v>108844.73000000003</v>
      </c>
      <c r="P38" s="5771">
        <f t="shared" si="38"/>
        <v>0</v>
      </c>
      <c r="Q38" s="5771">
        <f t="shared" si="38"/>
        <v>35795.05000000001</v>
      </c>
      <c r="R38" s="5771">
        <f t="shared" si="38"/>
        <v>0</v>
      </c>
      <c r="S38" s="5772">
        <f t="shared" si="38"/>
        <v>143350.33000000002</v>
      </c>
      <c r="T38" s="5771">
        <f t="shared" si="38"/>
        <v>0</v>
      </c>
      <c r="U38" s="5771">
        <f t="shared" si="38"/>
        <v>40928.25</v>
      </c>
      <c r="V38" s="5771">
        <f t="shared" si="38"/>
        <v>0</v>
      </c>
      <c r="W38" s="5772">
        <f t="shared" si="38"/>
        <v>184278.58000000007</v>
      </c>
      <c r="X38" s="5771">
        <f t="shared" si="38"/>
        <v>0</v>
      </c>
      <c r="Y38" s="5771">
        <f t="shared" si="38"/>
        <v>40813.449999999997</v>
      </c>
      <c r="Z38" s="5771">
        <f t="shared" si="38"/>
        <v>0</v>
      </c>
      <c r="AA38" s="5773">
        <f t="shared" si="38"/>
        <v>117536.75</v>
      </c>
      <c r="AB38" s="5771">
        <f t="shared" si="38"/>
        <v>0</v>
      </c>
      <c r="AC38" s="5774">
        <f t="shared" si="38"/>
        <v>226381.48</v>
      </c>
      <c r="AD38" s="5771">
        <f t="shared" si="38"/>
        <v>0</v>
      </c>
      <c r="AE38" s="5771">
        <f t="shared" si="38"/>
        <v>40696.590000000004</v>
      </c>
      <c r="AF38" s="5771">
        <f t="shared" si="38"/>
        <v>0</v>
      </c>
      <c r="AG38" s="5772">
        <f t="shared" si="38"/>
        <v>267078.07</v>
      </c>
      <c r="AH38" s="5771">
        <f t="shared" si="38"/>
        <v>0</v>
      </c>
      <c r="AI38" s="5771">
        <f t="shared" si="38"/>
        <v>19950.600000000002</v>
      </c>
      <c r="AJ38" s="5771">
        <f t="shared" si="38"/>
        <v>0</v>
      </c>
      <c r="AK38" s="5772">
        <f t="shared" si="38"/>
        <v>287028.67000000004</v>
      </c>
      <c r="AL38" s="5771">
        <f t="shared" si="38"/>
        <v>0</v>
      </c>
      <c r="AM38" s="5771">
        <f t="shared" si="38"/>
        <v>38943.850000000006</v>
      </c>
      <c r="AN38" s="5973"/>
      <c r="AO38" s="5773">
        <f t="shared" ref="AO38:AY38" si="39">SUM(AO4:AO37)</f>
        <v>99591.040000000037</v>
      </c>
      <c r="AP38" s="5771">
        <f t="shared" si="39"/>
        <v>0</v>
      </c>
      <c r="AQ38" s="5772">
        <f t="shared" si="39"/>
        <v>325972.52</v>
      </c>
      <c r="AR38" s="5771">
        <f t="shared" si="39"/>
        <v>0</v>
      </c>
      <c r="AS38" s="5771">
        <f t="shared" si="39"/>
        <v>38226.35</v>
      </c>
      <c r="AT38" s="5771">
        <f t="shared" si="39"/>
        <v>0</v>
      </c>
      <c r="AU38" s="5772">
        <f t="shared" si="39"/>
        <v>364198.87000000005</v>
      </c>
      <c r="AV38" s="5771">
        <f t="shared" si="39"/>
        <v>0</v>
      </c>
      <c r="AW38" s="5771">
        <f t="shared" si="39"/>
        <v>33443.600000000006</v>
      </c>
      <c r="AX38" s="5771">
        <f t="shared" si="39"/>
        <v>0</v>
      </c>
      <c r="AY38" s="5772">
        <f t="shared" si="39"/>
        <v>397642.47000000003</v>
      </c>
      <c r="AZ38" s="5771">
        <f t="shared" ref="AZ38:BG38" si="40">SUM(AZ4:AZ37)</f>
        <v>0</v>
      </c>
      <c r="BA38" s="5771">
        <f t="shared" si="40"/>
        <v>41645.750000000022</v>
      </c>
      <c r="BB38" s="5973"/>
      <c r="BC38" s="5773">
        <f t="shared" ref="BC38" si="41">SUM(BC4:BC37)</f>
        <v>113315.69999999998</v>
      </c>
      <c r="BD38" s="5771">
        <f t="shared" ref="BD38:BE38" si="42">SUM(BD4:BD37)</f>
        <v>0</v>
      </c>
      <c r="BE38" s="5774">
        <f t="shared" si="42"/>
        <v>212906.74000000005</v>
      </c>
      <c r="BF38" s="5771">
        <f t="shared" si="40"/>
        <v>0</v>
      </c>
      <c r="BG38" s="5772">
        <f t="shared" si="40"/>
        <v>439288.21999999986</v>
      </c>
      <c r="BH38" s="26"/>
      <c r="BI38" s="26"/>
    </row>
    <row r="39" spans="3:61" ht="16.5" x14ac:dyDescent="0.25">
      <c r="C39" s="5755" t="s">
        <v>91</v>
      </c>
      <c r="D39" s="5755" t="s">
        <v>1044</v>
      </c>
      <c r="E39" s="7783"/>
      <c r="F39" s="5755"/>
      <c r="G39" s="5757">
        <f>+SUMIF(BM!$C$7:$C$40,$D39,BM!$F$7:$F$40)</f>
        <v>8938.2249999999985</v>
      </c>
      <c r="H39" s="5757"/>
      <c r="I39" s="5757">
        <f>+SUMIF(BM!$C$7:$C$40,$D39,BM!$H$7:$H$40)</f>
        <v>19895.290000000015</v>
      </c>
      <c r="J39" s="5758"/>
      <c r="K39" s="5758">
        <f t="shared" si="15"/>
        <v>28833.515000000014</v>
      </c>
      <c r="L39" s="5757"/>
      <c r="M39" s="5757">
        <f>+SUMIF(BM!$C$7:$C$40,$D39,BM!$L$7:$L$40)</f>
        <v>17825.280000000021</v>
      </c>
      <c r="N39" s="5759"/>
      <c r="O39" s="5759">
        <f t="shared" si="2"/>
        <v>46658.795000000035</v>
      </c>
      <c r="P39" s="5757"/>
      <c r="Q39" s="5757">
        <f>+SUMIF(BM!$C$7:$C$40,$D39,BM!$P$7:$P$40)</f>
        <v>28577.170000000027</v>
      </c>
      <c r="R39" s="5760"/>
      <c r="S39" s="5758">
        <f t="shared" si="3"/>
        <v>75235.965000000055</v>
      </c>
      <c r="T39" s="5757"/>
      <c r="U39" s="5757">
        <f>+SUMIF(BM!$C$7:$C$40,$D39,BM!$T$7:$T$40)</f>
        <v>33213.27600000002</v>
      </c>
      <c r="V39" s="5760"/>
      <c r="W39" s="5758">
        <f t="shared" si="4"/>
        <v>108449.24100000007</v>
      </c>
      <c r="X39" s="5761"/>
      <c r="Y39" s="5757">
        <f>+SUMIF(BM!$C$7:$C$40,$D39,BM!$X$7:$X$40)</f>
        <v>20386.04500000002</v>
      </c>
      <c r="Z39" s="5759"/>
      <c r="AA39" s="5759">
        <f t="shared" si="5"/>
        <v>82176.491000000067</v>
      </c>
      <c r="AB39" s="5762"/>
      <c r="AC39" s="5763">
        <f t="shared" si="6"/>
        <v>128835.28600000011</v>
      </c>
      <c r="AD39" s="5757"/>
      <c r="AE39" s="5757">
        <f>+SUMIF(BM!$C$7:$C$40,$D39,BM!$AD$7:$AD$40)</f>
        <v>18856.439999999999</v>
      </c>
      <c r="AF39" s="5760"/>
      <c r="AG39" s="5758">
        <f t="shared" si="7"/>
        <v>147691.72600000011</v>
      </c>
      <c r="AH39" s="5757"/>
      <c r="AI39" s="5757">
        <f>+SUMIF(BM!$C$7:$C$40,$D39,BM!$AH$7:$AH$40)</f>
        <v>1674.8249999999998</v>
      </c>
      <c r="AJ39" s="5760"/>
      <c r="AK39" s="5758">
        <f t="shared" si="8"/>
        <v>149366.55100000012</v>
      </c>
      <c r="AL39" s="5757"/>
      <c r="AM39" s="5757">
        <f>+SUMIF(BM!$C$7:$C$40,$D39,BM!$AL$7:$AL$40)</f>
        <v>16538.060000000005</v>
      </c>
      <c r="AN39" s="5972"/>
      <c r="AO39" s="5759">
        <f t="shared" si="9"/>
        <v>37069.325000000004</v>
      </c>
      <c r="AP39" s="5760"/>
      <c r="AQ39" s="5758">
        <f t="shared" ref="AQ39:AQ45" si="43">+AK39+AM39</f>
        <v>165904.61100000012</v>
      </c>
      <c r="AR39" s="5757"/>
      <c r="AS39" s="5757">
        <f>+SUMIF(BM!$C$7:$C$40,$D39,BM!$AR$7:$AR$40)</f>
        <v>12937.125000000004</v>
      </c>
      <c r="AT39" s="5760"/>
      <c r="AU39" s="5758">
        <f t="shared" ref="AU39:AU45" si="44">+AQ39+AS39</f>
        <v>178841.73600000012</v>
      </c>
      <c r="AV39" s="5757"/>
      <c r="AW39" s="5757">
        <f>+SUMIF(BM!$C$7:$C$40,$D39,BM!$AV$7:$AV$40)</f>
        <v>20498.365000000005</v>
      </c>
      <c r="AX39" s="5760"/>
      <c r="AY39" s="5758">
        <f t="shared" ref="AY39:AY45" si="45">+AU39+AW39</f>
        <v>199340.10100000014</v>
      </c>
      <c r="AZ39" s="5757"/>
      <c r="BA39" s="5757">
        <f>+SUMIF(BM!$C$7:$C$40,$D39,BM!$AZ$7:$AZ$40)</f>
        <v>16234.730000000005</v>
      </c>
      <c r="BB39" s="5972"/>
      <c r="BC39" s="5759">
        <f t="shared" ref="BC39:BC45" si="46">AS39+AW39+BA39</f>
        <v>49670.220000000008</v>
      </c>
      <c r="BD39" s="5762"/>
      <c r="BE39" s="5763">
        <f t="shared" si="13"/>
        <v>86739.545000000013</v>
      </c>
      <c r="BF39" s="5760"/>
      <c r="BG39" s="5758">
        <f t="shared" ref="BG39:BG45" si="47">+AY39+BA39</f>
        <v>215574.83100000015</v>
      </c>
      <c r="BH39" s="26"/>
      <c r="BI39" s="26"/>
    </row>
    <row r="40" spans="3:61" ht="16.5" x14ac:dyDescent="0.25">
      <c r="C40" s="5755" t="s">
        <v>91</v>
      </c>
      <c r="D40" s="5755" t="s">
        <v>1045</v>
      </c>
      <c r="E40" s="7783"/>
      <c r="F40" s="5755"/>
      <c r="G40" s="5757">
        <f>+SUMIF(BM!$C$7:$C$40,$D40,BM!$F$7:$F$40)</f>
        <v>23478.605000000014</v>
      </c>
      <c r="H40" s="5757"/>
      <c r="I40" s="5757">
        <f>+SUMIF(BM!$C$7:$C$40,$D40,BM!$H$7:$H$40)</f>
        <v>26257.105000000018</v>
      </c>
      <c r="J40" s="5758"/>
      <c r="K40" s="5758">
        <f t="shared" si="15"/>
        <v>49735.710000000036</v>
      </c>
      <c r="L40" s="5757"/>
      <c r="M40" s="5757">
        <f>+SUMIF(BM!$C$7:$C$40,$D40,BM!$L$7:$L$40)</f>
        <v>6337.454999999999</v>
      </c>
      <c r="N40" s="5759"/>
      <c r="O40" s="5759">
        <f t="shared" si="2"/>
        <v>56073.165000000037</v>
      </c>
      <c r="P40" s="5757"/>
      <c r="Q40" s="5757">
        <f>+SUMIF(BM!$C$7:$C$40,$D40,BM!$P$7:$P$40)</f>
        <v>14871.390000000003</v>
      </c>
      <c r="R40" s="5760"/>
      <c r="S40" s="5758">
        <f t="shared" si="3"/>
        <v>70944.555000000037</v>
      </c>
      <c r="T40" s="5757"/>
      <c r="U40" s="5757">
        <f>+SUMIF(BM!$C$7:$C$40,$D40,BM!$T$7:$T$40)</f>
        <v>16333.137000000002</v>
      </c>
      <c r="V40" s="5760"/>
      <c r="W40" s="5758">
        <f t="shared" si="4"/>
        <v>87277.692000000039</v>
      </c>
      <c r="X40" s="5761"/>
      <c r="Y40" s="5757">
        <f>+SUMIF(BM!$C$7:$C$40,$D40,BM!$X$7:$X$40)</f>
        <v>23319.195</v>
      </c>
      <c r="Z40" s="5759"/>
      <c r="AA40" s="5759">
        <f t="shared" si="5"/>
        <v>54523.722000000009</v>
      </c>
      <c r="AB40" s="5762"/>
      <c r="AC40" s="5763">
        <f t="shared" si="6"/>
        <v>110596.88700000005</v>
      </c>
      <c r="AD40" s="5757"/>
      <c r="AE40" s="5757">
        <f>+SUMIF(BM!$C$7:$C$40,$D40,BM!$AD$7:$AD$40)</f>
        <v>11991.88</v>
      </c>
      <c r="AF40" s="5760"/>
      <c r="AG40" s="5758">
        <f t="shared" si="7"/>
        <v>122588.76700000005</v>
      </c>
      <c r="AH40" s="5757"/>
      <c r="AI40" s="5757">
        <f>+SUMIF(BM!$C$7:$C$40,$D40,BM!$AH$7:$AH$40)</f>
        <v>0</v>
      </c>
      <c r="AJ40" s="5760"/>
      <c r="AK40" s="5758">
        <f t="shared" si="8"/>
        <v>122588.76700000005</v>
      </c>
      <c r="AL40" s="5757"/>
      <c r="AM40" s="5757">
        <f>+SUMIF(BM!$C$7:$C$40,$D40,BM!$AL$7:$AL$40)</f>
        <v>19161.365000000013</v>
      </c>
      <c r="AN40" s="5972"/>
      <c r="AO40" s="5759">
        <f t="shared" si="9"/>
        <v>31153.24500000001</v>
      </c>
      <c r="AP40" s="5760"/>
      <c r="AQ40" s="5758">
        <f t="shared" si="43"/>
        <v>141750.13200000007</v>
      </c>
      <c r="AR40" s="5757"/>
      <c r="AS40" s="5757">
        <f>+SUMIF(BM!$C$7:$C$40,$D40,BM!$AR$7:$AR$40)</f>
        <v>19081.88</v>
      </c>
      <c r="AT40" s="5760"/>
      <c r="AU40" s="5758">
        <f t="shared" si="44"/>
        <v>160832.01200000008</v>
      </c>
      <c r="AV40" s="5757"/>
      <c r="AW40" s="5757">
        <f>+SUMIF(BM!$C$7:$C$40,$D40,BM!$AV$7:$AV$40)</f>
        <v>13546.21000000001</v>
      </c>
      <c r="AX40" s="5760"/>
      <c r="AY40" s="5758">
        <f t="shared" si="45"/>
        <v>174378.2220000001</v>
      </c>
      <c r="AZ40" s="5757"/>
      <c r="BA40" s="5757">
        <f>+SUMIF(BM!$C$7:$C$40,$D40,BM!$AZ$7:$AZ$40)</f>
        <v>26490.700000000019</v>
      </c>
      <c r="BB40" s="5972"/>
      <c r="BC40" s="5759">
        <f t="shared" si="46"/>
        <v>59118.79000000003</v>
      </c>
      <c r="BD40" s="5762"/>
      <c r="BE40" s="5763">
        <f t="shared" si="13"/>
        <v>90272.035000000033</v>
      </c>
      <c r="BF40" s="5760"/>
      <c r="BG40" s="5758">
        <f t="shared" si="47"/>
        <v>200868.92200000011</v>
      </c>
      <c r="BH40" s="26"/>
      <c r="BI40" s="26"/>
    </row>
    <row r="41" spans="3:61" ht="16.5" x14ac:dyDescent="0.25">
      <c r="C41" s="5755" t="s">
        <v>91</v>
      </c>
      <c r="D41" s="5755" t="s">
        <v>1149</v>
      </c>
      <c r="E41" s="7783"/>
      <c r="F41" s="5755"/>
      <c r="G41" s="5757">
        <f>+SUMIF(BM!$C$7:$C$40,$D41,BM!$F$7:$F$40)</f>
        <v>31546.220000000012</v>
      </c>
      <c r="H41" s="5757"/>
      <c r="I41" s="5757">
        <f>+SUMIF(BM!$C$7:$C$40,$D41,BM!$H$7:$H$40)</f>
        <v>29282.950000000026</v>
      </c>
      <c r="J41" s="5758"/>
      <c r="K41" s="5758">
        <f t="shared" si="15"/>
        <v>60829.170000000042</v>
      </c>
      <c r="L41" s="5757"/>
      <c r="M41" s="5757">
        <f>+SUMIF(BM!$C$7:$C$40,$D41,BM!$L$7:$L$40)</f>
        <v>23975.393000000033</v>
      </c>
      <c r="N41" s="5759"/>
      <c r="O41" s="5759">
        <f t="shared" si="2"/>
        <v>84804.563000000082</v>
      </c>
      <c r="P41" s="5757"/>
      <c r="Q41" s="5757">
        <f>+SUMIF(BM!$C$7:$C$40,$D41,BM!$P$7:$P$40)</f>
        <v>24292.735000000041</v>
      </c>
      <c r="R41" s="5760"/>
      <c r="S41" s="5758">
        <f t="shared" si="3"/>
        <v>109097.29800000013</v>
      </c>
      <c r="T41" s="5757"/>
      <c r="U41" s="5757">
        <f>+SUMIF(BM!$C$7:$C$40,$D41,BM!$T$7:$T$40)</f>
        <v>21617.730000000025</v>
      </c>
      <c r="V41" s="5760"/>
      <c r="W41" s="5758">
        <f t="shared" si="4"/>
        <v>130715.02800000015</v>
      </c>
      <c r="X41" s="5761"/>
      <c r="Y41" s="5757">
        <f>+SUMIF(BM!$C$7:$C$40,$D41,BM!$X$7:$X$40)</f>
        <v>24613.715000000018</v>
      </c>
      <c r="Z41" s="5759"/>
      <c r="AA41" s="5759">
        <f t="shared" si="5"/>
        <v>70524.18000000008</v>
      </c>
      <c r="AB41" s="5762"/>
      <c r="AC41" s="5763">
        <f t="shared" si="6"/>
        <v>155328.74300000016</v>
      </c>
      <c r="AD41" s="5757"/>
      <c r="AE41" s="5757">
        <f>+SUMIF(BM!$C$7:$C$40,$D41,BM!$AD$7:$AD$40)</f>
        <v>34364.19</v>
      </c>
      <c r="AF41" s="5760"/>
      <c r="AG41" s="5758">
        <f t="shared" si="7"/>
        <v>189692.93300000016</v>
      </c>
      <c r="AH41" s="5757"/>
      <c r="AI41" s="5757">
        <f>+SUMIF(BM!$C$7:$C$40,$D41,BM!$AH$7:$AH$40)</f>
        <v>1494.8950000000002</v>
      </c>
      <c r="AJ41" s="5760"/>
      <c r="AK41" s="5758">
        <f t="shared" si="8"/>
        <v>191187.82800000015</v>
      </c>
      <c r="AL41" s="5757"/>
      <c r="AM41" s="5757">
        <f>+SUMIF(BM!$C$7:$C$40,$D41,BM!$AL$7:$AL$40)</f>
        <v>33898.930000000044</v>
      </c>
      <c r="AN41" s="5972"/>
      <c r="AO41" s="5759">
        <f t="shared" si="9"/>
        <v>69758.015000000043</v>
      </c>
      <c r="AP41" s="5760"/>
      <c r="AQ41" s="5758">
        <f t="shared" si="43"/>
        <v>225086.75800000021</v>
      </c>
      <c r="AR41" s="5757"/>
      <c r="AS41" s="5757">
        <f>+SUMIF(BM!$C$7:$C$40,$D41,BM!$AR$7:$AR$40)</f>
        <v>35524.17500000009</v>
      </c>
      <c r="AT41" s="5760"/>
      <c r="AU41" s="5758">
        <f t="shared" si="44"/>
        <v>260610.93300000031</v>
      </c>
      <c r="AV41" s="5757"/>
      <c r="AW41" s="5757">
        <f>+SUMIF(BM!$C$7:$C$40,$D41,BM!$AV$7:$AV$40)</f>
        <v>28920.870000000039</v>
      </c>
      <c r="AX41" s="5760"/>
      <c r="AY41" s="5758">
        <f t="shared" si="45"/>
        <v>289531.80300000036</v>
      </c>
      <c r="AZ41" s="5757"/>
      <c r="BA41" s="5757">
        <f>+SUMIF(BM!$C$7:$C$40,$D41,BM!$AZ$7:$AZ$40)</f>
        <v>35285.180000000037</v>
      </c>
      <c r="BB41" s="5972"/>
      <c r="BC41" s="5759">
        <f t="shared" si="46"/>
        <v>99730.225000000166</v>
      </c>
      <c r="BD41" s="5762"/>
      <c r="BE41" s="5763">
        <f t="shared" si="13"/>
        <v>169488.24000000022</v>
      </c>
      <c r="BF41" s="5760"/>
      <c r="BG41" s="5758">
        <f t="shared" si="47"/>
        <v>324816.98300000041</v>
      </c>
      <c r="BH41" s="26"/>
      <c r="BI41" s="26"/>
    </row>
    <row r="42" spans="3:61" ht="16.5" x14ac:dyDescent="0.25">
      <c r="C42" s="5755" t="s">
        <v>91</v>
      </c>
      <c r="D42" s="5755" t="s">
        <v>1536</v>
      </c>
      <c r="E42" s="7783"/>
      <c r="F42" s="5755"/>
      <c r="G42" s="5757">
        <f>+SUMIF(BM!$C$7:$C$40,$D42,BM!$F$7:$F$40)</f>
        <v>0</v>
      </c>
      <c r="H42" s="5757"/>
      <c r="I42" s="5757">
        <f>+SUMIF(BM!$C$7:$C$40,$D42,BM!$H$7:$H$40)</f>
        <v>0</v>
      </c>
      <c r="J42" s="5758"/>
      <c r="K42" s="5758">
        <f t="shared" si="15"/>
        <v>0</v>
      </c>
      <c r="L42" s="5757"/>
      <c r="M42" s="5757">
        <f>+SUMIF(BM!$C$7:$C$40,$D42,BM!$L$7:$L$40)</f>
        <v>0</v>
      </c>
      <c r="N42" s="5759"/>
      <c r="O42" s="5759">
        <f t="shared" si="2"/>
        <v>0</v>
      </c>
      <c r="P42" s="5757"/>
      <c r="Q42" s="5757">
        <f>+SUMIF(BM!$C$7:$C$40,$D42,BM!$P$7:$P$40)</f>
        <v>0</v>
      </c>
      <c r="R42" s="5760"/>
      <c r="S42" s="5758">
        <f t="shared" si="3"/>
        <v>0</v>
      </c>
      <c r="T42" s="5757"/>
      <c r="U42" s="5757">
        <f>+SUMIF(BM!$C$7:$C$40,$D42,BM!$T$7:$T$40)</f>
        <v>0</v>
      </c>
      <c r="V42" s="5760"/>
      <c r="W42" s="5758">
        <f t="shared" si="4"/>
        <v>0</v>
      </c>
      <c r="X42" s="5761"/>
      <c r="Y42" s="5757">
        <f>+SUMIF(BM!$C$7:$C$40,$D42,BM!$X$7:$X$40)</f>
        <v>0</v>
      </c>
      <c r="Z42" s="5759"/>
      <c r="AA42" s="5759">
        <f t="shared" si="5"/>
        <v>0</v>
      </c>
      <c r="AB42" s="5762"/>
      <c r="AC42" s="5763">
        <f t="shared" si="6"/>
        <v>0</v>
      </c>
      <c r="AD42" s="5757"/>
      <c r="AE42" s="5757">
        <f>+SUMIF(BM!$C$7:$C$40,$D42,BM!$AD$7:$AD$40)</f>
        <v>0</v>
      </c>
      <c r="AF42" s="5760"/>
      <c r="AG42" s="5758">
        <f t="shared" si="7"/>
        <v>0</v>
      </c>
      <c r="AH42" s="5757"/>
      <c r="AI42" s="5757">
        <f>+SUMIF(BM!$C$7:$C$40,$D42,BM!$AH$7:$AH$40)</f>
        <v>0</v>
      </c>
      <c r="AJ42" s="5760"/>
      <c r="AK42" s="5758">
        <f t="shared" si="8"/>
        <v>0</v>
      </c>
      <c r="AL42" s="5757"/>
      <c r="AM42" s="5757">
        <f>+SUMIF(BM!$C$7:$C$40,$D42,BM!$AL$7:$AL$40)</f>
        <v>0</v>
      </c>
      <c r="AN42" s="5972"/>
      <c r="AO42" s="5759">
        <f t="shared" si="9"/>
        <v>0</v>
      </c>
      <c r="AP42" s="5760"/>
      <c r="AQ42" s="5758">
        <f t="shared" si="43"/>
        <v>0</v>
      </c>
      <c r="AR42" s="5757"/>
      <c r="AS42" s="5757">
        <f>+SUMIF(BM!$C$7:$C$40,$D42,BM!$AR$7:$AR$40)</f>
        <v>0</v>
      </c>
      <c r="AT42" s="5760"/>
      <c r="AU42" s="5758">
        <f t="shared" si="44"/>
        <v>0</v>
      </c>
      <c r="AV42" s="5757"/>
      <c r="AW42" s="5757">
        <f>+SUMIF(BM!$C$7:$C$40,$D42,BM!$AV$7:$AV$40)</f>
        <v>0</v>
      </c>
      <c r="AX42" s="5760"/>
      <c r="AY42" s="5758">
        <f t="shared" si="45"/>
        <v>0</v>
      </c>
      <c r="AZ42" s="5757"/>
      <c r="BA42" s="5757">
        <f>+SUMIF(BM!$C$7:$C$40,$D42,BM!$AZ$7:$AZ$40)</f>
        <v>0</v>
      </c>
      <c r="BB42" s="5972"/>
      <c r="BC42" s="5759">
        <f t="shared" si="46"/>
        <v>0</v>
      </c>
      <c r="BD42" s="5762"/>
      <c r="BE42" s="5763">
        <f t="shared" si="13"/>
        <v>0</v>
      </c>
      <c r="BF42" s="5760"/>
      <c r="BG42" s="5758">
        <f t="shared" si="47"/>
        <v>0</v>
      </c>
      <c r="BH42" s="26"/>
      <c r="BI42" s="26"/>
    </row>
    <row r="43" spans="3:61" ht="16.5" x14ac:dyDescent="0.25">
      <c r="C43" s="5755" t="s">
        <v>91</v>
      </c>
      <c r="D43" s="5755" t="s">
        <v>1127</v>
      </c>
      <c r="E43" s="7783"/>
      <c r="F43" s="5755"/>
      <c r="G43" s="5757">
        <f>+SUMIF(BM!$C$7:$C$40,$D43,BM!$F$7:$F$40)</f>
        <v>0</v>
      </c>
      <c r="H43" s="5757"/>
      <c r="I43" s="5757">
        <f>+SUMIF(BM!$C$7:$C$40,$D43,BM!$H$7:$H$40)</f>
        <v>137.01500000000001</v>
      </c>
      <c r="J43" s="5758"/>
      <c r="K43" s="5758">
        <f t="shared" si="15"/>
        <v>137.01500000000001</v>
      </c>
      <c r="L43" s="5757"/>
      <c r="M43" s="5757">
        <f>+SUMIF(BM!$C$7:$C$40,$D43,BM!$L$7:$L$40)</f>
        <v>0</v>
      </c>
      <c r="N43" s="5759"/>
      <c r="O43" s="5759">
        <f t="shared" si="2"/>
        <v>137.01500000000001</v>
      </c>
      <c r="P43" s="5757"/>
      <c r="Q43" s="5757">
        <f>+SUMIF(BM!$C$7:$C$40,$D43,BM!$P$7:$P$40)</f>
        <v>0</v>
      </c>
      <c r="R43" s="5760"/>
      <c r="S43" s="5758">
        <f t="shared" si="3"/>
        <v>137.01500000000001</v>
      </c>
      <c r="T43" s="5757"/>
      <c r="U43" s="5757">
        <f>+SUMIF(BM!$C$7:$C$40,$D43,BM!$T$7:$T$40)</f>
        <v>0</v>
      </c>
      <c r="V43" s="5760"/>
      <c r="W43" s="5758">
        <f t="shared" si="4"/>
        <v>137.01500000000001</v>
      </c>
      <c r="X43" s="5761"/>
      <c r="Y43" s="5757">
        <f>+SUMIF(BM!$C$7:$C$40,$D43,BM!$X$7:$X$40)</f>
        <v>0</v>
      </c>
      <c r="Z43" s="5759"/>
      <c r="AA43" s="5759">
        <f t="shared" si="5"/>
        <v>0</v>
      </c>
      <c r="AB43" s="5762"/>
      <c r="AC43" s="5763">
        <f t="shared" si="6"/>
        <v>137.01500000000001</v>
      </c>
      <c r="AD43" s="5757"/>
      <c r="AE43" s="5757">
        <f>+SUMIF(BM!$C$7:$C$40,$D43,BM!$AD$7:$AD$40)</f>
        <v>0</v>
      </c>
      <c r="AF43" s="5760"/>
      <c r="AG43" s="5758">
        <f t="shared" si="7"/>
        <v>137.01500000000001</v>
      </c>
      <c r="AH43" s="5757"/>
      <c r="AI43" s="5757">
        <f>+SUMIF(BM!$C$7:$C$40,$D43,BM!$AH$7:$AH$40)</f>
        <v>0</v>
      </c>
      <c r="AJ43" s="5760"/>
      <c r="AK43" s="5758">
        <f t="shared" si="8"/>
        <v>137.01500000000001</v>
      </c>
      <c r="AL43" s="5757"/>
      <c r="AM43" s="5757">
        <f>+SUMIF(BM!$C$7:$C$40,$D43,BM!$AL$7:$AL$40)</f>
        <v>0</v>
      </c>
      <c r="AN43" s="5972"/>
      <c r="AO43" s="5759">
        <f t="shared" si="9"/>
        <v>0</v>
      </c>
      <c r="AP43" s="5760"/>
      <c r="AQ43" s="5758">
        <f t="shared" si="43"/>
        <v>137.01500000000001</v>
      </c>
      <c r="AR43" s="5757"/>
      <c r="AS43" s="5757">
        <f>+SUMIF(BM!$C$7:$C$40,$D43,BM!$AR$7:$AR$40)</f>
        <v>0</v>
      </c>
      <c r="AT43" s="5760"/>
      <c r="AU43" s="5758">
        <f t="shared" si="44"/>
        <v>137.01500000000001</v>
      </c>
      <c r="AV43" s="5757"/>
      <c r="AW43" s="5757">
        <f>+SUMIF(BM!$C$7:$C$40,$D43,BM!$AV$7:$AV$40)</f>
        <v>0</v>
      </c>
      <c r="AX43" s="5760"/>
      <c r="AY43" s="5758">
        <f t="shared" si="45"/>
        <v>137.01500000000001</v>
      </c>
      <c r="AZ43" s="5757"/>
      <c r="BA43" s="5757">
        <f>+SUMIF(BM!$C$7:$C$40,$D43,BM!$AZ$7:$AZ$40)</f>
        <v>0</v>
      </c>
      <c r="BB43" s="5972"/>
      <c r="BC43" s="5759">
        <f t="shared" si="46"/>
        <v>0</v>
      </c>
      <c r="BD43" s="5762"/>
      <c r="BE43" s="5763">
        <f t="shared" si="13"/>
        <v>0</v>
      </c>
      <c r="BF43" s="5760"/>
      <c r="BG43" s="5758">
        <f t="shared" si="47"/>
        <v>137.01500000000001</v>
      </c>
      <c r="BH43" s="26"/>
      <c r="BI43" s="26"/>
    </row>
    <row r="44" spans="3:61" ht="16.5" x14ac:dyDescent="0.25">
      <c r="C44" s="5755" t="s">
        <v>91</v>
      </c>
      <c r="D44" s="5755" t="s">
        <v>1046</v>
      </c>
      <c r="E44" s="7783"/>
      <c r="F44" s="5755"/>
      <c r="G44" s="5757">
        <f>+SUMIF(BM!$C$7:$C$40,$D44,BM!$F$7:$F$40)</f>
        <v>2932.4049999999997</v>
      </c>
      <c r="H44" s="5757"/>
      <c r="I44" s="5757">
        <f>+SUMIF(BM!$C$7:$C$40,$D44,BM!$H$7:$H$40)</f>
        <v>603.27499999999998</v>
      </c>
      <c r="J44" s="5758"/>
      <c r="K44" s="5758">
        <f t="shared" si="15"/>
        <v>3535.68</v>
      </c>
      <c r="L44" s="5757"/>
      <c r="M44" s="5757">
        <f>+SUMIF(BM!$C$7:$C$40,$D44,BM!$L$7:$L$40)</f>
        <v>1537.84</v>
      </c>
      <c r="N44" s="5759"/>
      <c r="O44" s="5759">
        <f t="shared" si="2"/>
        <v>5073.5199999999995</v>
      </c>
      <c r="P44" s="5757"/>
      <c r="Q44" s="5757">
        <f>+SUMIF(BM!$C$7:$C$40,$D44,BM!$P$7:$P$40)</f>
        <v>2355.8399999999997</v>
      </c>
      <c r="R44" s="5760"/>
      <c r="S44" s="5758">
        <f t="shared" si="3"/>
        <v>7429.3599999999988</v>
      </c>
      <c r="T44" s="5757"/>
      <c r="U44" s="5757">
        <f>+SUMIF(BM!$C$7:$C$40,$D44,BM!$T$7:$T$40)</f>
        <v>0</v>
      </c>
      <c r="V44" s="5760"/>
      <c r="W44" s="5758">
        <f t="shared" si="4"/>
        <v>7429.3599999999988</v>
      </c>
      <c r="X44" s="5761"/>
      <c r="Y44" s="5757">
        <f>+SUMIF(BM!$C$7:$C$40,$D44,BM!$X$7:$X$40)</f>
        <v>1519.4350000000002</v>
      </c>
      <c r="Z44" s="5759"/>
      <c r="AA44" s="5759">
        <f t="shared" si="5"/>
        <v>3875.2749999999996</v>
      </c>
      <c r="AB44" s="5762"/>
      <c r="AC44" s="5763">
        <f t="shared" si="6"/>
        <v>8948.7949999999983</v>
      </c>
      <c r="AD44" s="5757"/>
      <c r="AE44" s="5757">
        <f>+SUMIF(BM!$C$7:$C$40,$D44,BM!$AD$7:$AD$40)</f>
        <v>0</v>
      </c>
      <c r="AF44" s="5760"/>
      <c r="AG44" s="5758">
        <f t="shared" si="7"/>
        <v>8948.7949999999983</v>
      </c>
      <c r="AH44" s="5757"/>
      <c r="AI44" s="5757">
        <f>+SUMIF(BM!$C$7:$C$40,$D44,BM!$AH$7:$AH$40)</f>
        <v>0</v>
      </c>
      <c r="AJ44" s="5760"/>
      <c r="AK44" s="5758">
        <f t="shared" si="8"/>
        <v>8948.7949999999983</v>
      </c>
      <c r="AL44" s="5757"/>
      <c r="AM44" s="5757">
        <f>+SUMIF(BM!$C$7:$C$40,$D44,BM!$AL$7:$AL$40)</f>
        <v>1032.2749999999999</v>
      </c>
      <c r="AN44" s="5972"/>
      <c r="AO44" s="5759">
        <f t="shared" si="9"/>
        <v>1032.2749999999999</v>
      </c>
      <c r="AP44" s="5760"/>
      <c r="AQ44" s="5758">
        <f t="shared" si="43"/>
        <v>9981.0699999999979</v>
      </c>
      <c r="AR44" s="5757"/>
      <c r="AS44" s="5757">
        <f>+SUMIF(BM!$C$7:$C$40,$D44,BM!$AR$7:$AR$40)</f>
        <v>1811.87</v>
      </c>
      <c r="AT44" s="5760"/>
      <c r="AU44" s="5758">
        <f t="shared" si="44"/>
        <v>11792.939999999999</v>
      </c>
      <c r="AV44" s="5757"/>
      <c r="AW44" s="5757">
        <f>+SUMIF(BM!$C$7:$C$40,$D44,BM!$AV$7:$AV$40)</f>
        <v>1799.5999999999995</v>
      </c>
      <c r="AX44" s="5760"/>
      <c r="AY44" s="5758">
        <f t="shared" si="45"/>
        <v>13592.539999999997</v>
      </c>
      <c r="AZ44" s="5757"/>
      <c r="BA44" s="5757">
        <f>+SUMIF(BM!$C$7:$C$40,$D44,BM!$AZ$7:$AZ$40)</f>
        <v>0</v>
      </c>
      <c r="BB44" s="5972"/>
      <c r="BC44" s="5759">
        <f t="shared" si="46"/>
        <v>3611.4699999999993</v>
      </c>
      <c r="BD44" s="5762"/>
      <c r="BE44" s="5763">
        <f t="shared" si="13"/>
        <v>4643.744999999999</v>
      </c>
      <c r="BF44" s="5760"/>
      <c r="BG44" s="5758">
        <f t="shared" si="47"/>
        <v>13592.539999999997</v>
      </c>
      <c r="BH44" s="26"/>
      <c r="BI44" s="26"/>
    </row>
    <row r="45" spans="3:61" ht="16.5" x14ac:dyDescent="0.25">
      <c r="C45" s="5755" t="s">
        <v>91</v>
      </c>
      <c r="D45" s="5755" t="s">
        <v>1014</v>
      </c>
      <c r="E45" s="7783"/>
      <c r="F45" s="5755"/>
      <c r="G45" s="5757">
        <f>+SUMIF(BM!$C$7:$C$40,$D45,BM!$F$7:$F$40)</f>
        <v>0</v>
      </c>
      <c r="H45" s="5757"/>
      <c r="I45" s="5757">
        <f>+SUMIF(BM!$C$7:$C$40,$D45,BM!$H$7:$H$40)</f>
        <v>0</v>
      </c>
      <c r="J45" s="5758"/>
      <c r="K45" s="5758">
        <f t="shared" si="15"/>
        <v>0</v>
      </c>
      <c r="L45" s="5757"/>
      <c r="M45" s="5757">
        <f>+SUMIF(BM!$C$7:$C$40,$D45,BM!$L$7:$L$40)</f>
        <v>0</v>
      </c>
      <c r="N45" s="5759"/>
      <c r="O45" s="5759">
        <f t="shared" si="2"/>
        <v>0</v>
      </c>
      <c r="P45" s="5757"/>
      <c r="Q45" s="5757">
        <f>+SUMIF(BM!$C$7:$C$40,$D45,BM!$P$7:$P$40)</f>
        <v>0</v>
      </c>
      <c r="R45" s="5760"/>
      <c r="S45" s="5758">
        <f t="shared" si="3"/>
        <v>0</v>
      </c>
      <c r="T45" s="5757"/>
      <c r="U45" s="5757">
        <f>+SUMIF(BM!$C$7:$C$40,$D45,BM!$T$7:$T$40)</f>
        <v>0</v>
      </c>
      <c r="V45" s="5760"/>
      <c r="W45" s="5758">
        <f t="shared" si="4"/>
        <v>0</v>
      </c>
      <c r="X45" s="5761"/>
      <c r="Y45" s="5757">
        <f>+SUMIF(BM!$C$7:$C$40,$D45,BM!$X$7:$X$40)</f>
        <v>646.2199999999998</v>
      </c>
      <c r="Z45" s="5759"/>
      <c r="AA45" s="5759">
        <f t="shared" si="5"/>
        <v>646.2199999999998</v>
      </c>
      <c r="AB45" s="5762"/>
      <c r="AC45" s="5763">
        <f t="shared" si="6"/>
        <v>646.2199999999998</v>
      </c>
      <c r="AD45" s="5757"/>
      <c r="AE45" s="5757">
        <f>+SUMIF(BM!$C$7:$C$40,$D45,BM!$AD$7:$AD$40)</f>
        <v>1535.2900000000002</v>
      </c>
      <c r="AF45" s="5760"/>
      <c r="AG45" s="5758">
        <f t="shared" si="7"/>
        <v>2181.5100000000002</v>
      </c>
      <c r="AH45" s="5757"/>
      <c r="AI45" s="5757">
        <f>+SUMIF(BM!$C$7:$C$40,$D45,BM!$AH$7:$AH$40)</f>
        <v>0</v>
      </c>
      <c r="AJ45" s="5760"/>
      <c r="AK45" s="5758">
        <f t="shared" si="8"/>
        <v>2181.5100000000002</v>
      </c>
      <c r="AL45" s="5757"/>
      <c r="AM45" s="5757">
        <f>+SUMIF(BM!$C$7:$C$40,$D45,BM!$AL$7:$AL$40)</f>
        <v>0</v>
      </c>
      <c r="AN45" s="5972"/>
      <c r="AO45" s="5759">
        <f t="shared" si="9"/>
        <v>1535.2900000000002</v>
      </c>
      <c r="AP45" s="5760"/>
      <c r="AQ45" s="5758">
        <f t="shared" si="43"/>
        <v>2181.5100000000002</v>
      </c>
      <c r="AR45" s="5757"/>
      <c r="AS45" s="5757">
        <f>+SUMIF(BM!$C$7:$C$40,$D45,BM!$AR$7:$AR$40)</f>
        <v>730.06499999999994</v>
      </c>
      <c r="AT45" s="5760"/>
      <c r="AU45" s="5758">
        <f t="shared" si="44"/>
        <v>2911.5750000000003</v>
      </c>
      <c r="AV45" s="5757"/>
      <c r="AW45" s="5757">
        <f>+SUMIF(BM!$C$7:$C$40,$D45,BM!$AV$7:$AV$40)</f>
        <v>1224.9549999999997</v>
      </c>
      <c r="AX45" s="5760"/>
      <c r="AY45" s="5758">
        <f t="shared" si="45"/>
        <v>4136.53</v>
      </c>
      <c r="AZ45" s="5757"/>
      <c r="BA45" s="5757">
        <f>+SUMIF(BM!$C$7:$C$40,$D45,BM!$AZ$7:$AZ$40)</f>
        <v>0</v>
      </c>
      <c r="BB45" s="5972"/>
      <c r="BC45" s="5759">
        <f t="shared" si="46"/>
        <v>1955.0199999999995</v>
      </c>
      <c r="BD45" s="5762"/>
      <c r="BE45" s="5763">
        <f t="shared" si="13"/>
        <v>3490.3099999999995</v>
      </c>
      <c r="BF45" s="5760"/>
      <c r="BG45" s="5758">
        <f t="shared" si="47"/>
        <v>4136.53</v>
      </c>
      <c r="BH45" s="26"/>
      <c r="BI45" s="26"/>
    </row>
    <row r="46" spans="3:61" ht="16.5" x14ac:dyDescent="0.25">
      <c r="C46" s="7781" t="s">
        <v>969</v>
      </c>
      <c r="D46" s="7781"/>
      <c r="E46" s="7783"/>
      <c r="F46" s="5770"/>
      <c r="G46" s="5771">
        <f>SUM(G39:G45)</f>
        <v>66895.455000000031</v>
      </c>
      <c r="H46" s="5771">
        <f t="shared" ref="H46:AK46" si="48">SUM(H39:H45)</f>
        <v>0</v>
      </c>
      <c r="I46" s="5771">
        <f t="shared" si="48"/>
        <v>76175.635000000053</v>
      </c>
      <c r="J46" s="5771">
        <f t="shared" si="48"/>
        <v>0</v>
      </c>
      <c r="K46" s="5772">
        <f t="shared" si="48"/>
        <v>143071.09000000008</v>
      </c>
      <c r="L46" s="5771">
        <f t="shared" si="48"/>
        <v>0</v>
      </c>
      <c r="M46" s="5771">
        <f t="shared" si="48"/>
        <v>49675.968000000052</v>
      </c>
      <c r="N46" s="5771">
        <f t="shared" si="48"/>
        <v>0</v>
      </c>
      <c r="O46" s="5773">
        <f t="shared" si="48"/>
        <v>192747.05800000016</v>
      </c>
      <c r="P46" s="5771">
        <f t="shared" si="48"/>
        <v>0</v>
      </c>
      <c r="Q46" s="5771">
        <f t="shared" si="48"/>
        <v>70097.135000000068</v>
      </c>
      <c r="R46" s="5771">
        <f t="shared" si="48"/>
        <v>0</v>
      </c>
      <c r="S46" s="5772">
        <f t="shared" si="48"/>
        <v>262844.1930000002</v>
      </c>
      <c r="T46" s="5771">
        <f t="shared" si="48"/>
        <v>0</v>
      </c>
      <c r="U46" s="5771">
        <f t="shared" si="48"/>
        <v>71164.14300000004</v>
      </c>
      <c r="V46" s="5771">
        <f t="shared" si="48"/>
        <v>0</v>
      </c>
      <c r="W46" s="5772">
        <f t="shared" si="48"/>
        <v>334008.33600000024</v>
      </c>
      <c r="X46" s="5771">
        <f t="shared" si="48"/>
        <v>0</v>
      </c>
      <c r="Y46" s="5771">
        <f t="shared" si="48"/>
        <v>70484.610000000044</v>
      </c>
      <c r="Z46" s="5771">
        <f t="shared" si="48"/>
        <v>0</v>
      </c>
      <c r="AA46" s="5773">
        <f t="shared" si="48"/>
        <v>211745.88800000015</v>
      </c>
      <c r="AB46" s="5771">
        <f t="shared" si="48"/>
        <v>0</v>
      </c>
      <c r="AC46" s="5774">
        <f t="shared" si="48"/>
        <v>404492.94600000029</v>
      </c>
      <c r="AD46" s="5771">
        <f t="shared" si="48"/>
        <v>0</v>
      </c>
      <c r="AE46" s="5771">
        <f t="shared" si="48"/>
        <v>66747.8</v>
      </c>
      <c r="AF46" s="5771">
        <f t="shared" si="48"/>
        <v>0</v>
      </c>
      <c r="AG46" s="5772">
        <f t="shared" si="48"/>
        <v>471240.74600000033</v>
      </c>
      <c r="AH46" s="5771">
        <f t="shared" si="48"/>
        <v>0</v>
      </c>
      <c r="AI46" s="5771">
        <f t="shared" si="48"/>
        <v>3169.7200000000003</v>
      </c>
      <c r="AJ46" s="5771">
        <f t="shared" si="48"/>
        <v>0</v>
      </c>
      <c r="AK46" s="5772">
        <f t="shared" si="48"/>
        <v>474410.46600000036</v>
      </c>
      <c r="AL46" s="5771">
        <f t="shared" ref="AL46:AQ46" si="49">SUM(AL39:AL45)</f>
        <v>0</v>
      </c>
      <c r="AM46" s="5771">
        <f t="shared" si="49"/>
        <v>70630.630000000063</v>
      </c>
      <c r="AN46" s="5973"/>
      <c r="AO46" s="5773">
        <f t="shared" ref="AO46" si="50">SUM(AO39:AO45)</f>
        <v>140548.15000000005</v>
      </c>
      <c r="AP46" s="5771">
        <f t="shared" si="49"/>
        <v>0</v>
      </c>
      <c r="AQ46" s="5772">
        <f t="shared" si="49"/>
        <v>545041.09600000037</v>
      </c>
      <c r="AR46" s="5771">
        <f t="shared" ref="AR46:AU46" si="51">SUM(AR39:AR45)</f>
        <v>0</v>
      </c>
      <c r="AS46" s="5771">
        <f t="shared" si="51"/>
        <v>70085.115000000093</v>
      </c>
      <c r="AT46" s="5771">
        <f t="shared" si="51"/>
        <v>0</v>
      </c>
      <c r="AU46" s="5772">
        <f t="shared" si="51"/>
        <v>615126.21100000048</v>
      </c>
      <c r="AV46" s="5771">
        <f t="shared" ref="AV46:AY46" si="52">SUM(AV39:AV45)</f>
        <v>0</v>
      </c>
      <c r="AW46" s="5771">
        <f t="shared" si="52"/>
        <v>65990.000000000044</v>
      </c>
      <c r="AX46" s="5771">
        <f t="shared" si="52"/>
        <v>0</v>
      </c>
      <c r="AY46" s="5772">
        <f t="shared" si="52"/>
        <v>681116.21100000071</v>
      </c>
      <c r="AZ46" s="5771">
        <f t="shared" ref="AZ46:BG46" si="53">SUM(AZ39:AZ45)</f>
        <v>0</v>
      </c>
      <c r="BA46" s="5771">
        <f t="shared" si="53"/>
        <v>78010.610000000059</v>
      </c>
      <c r="BB46" s="5973"/>
      <c r="BC46" s="5773">
        <f t="shared" ref="BC46:BE46" si="54">SUM(BC39:BC45)</f>
        <v>214085.72500000021</v>
      </c>
      <c r="BD46" s="5771">
        <f t="shared" si="54"/>
        <v>0</v>
      </c>
      <c r="BE46" s="5774">
        <f t="shared" si="54"/>
        <v>354633.87500000029</v>
      </c>
      <c r="BF46" s="5771">
        <f t="shared" si="53"/>
        <v>0</v>
      </c>
      <c r="BG46" s="5772">
        <f t="shared" si="53"/>
        <v>759126.82100000081</v>
      </c>
      <c r="BH46" s="26"/>
      <c r="BI46" s="26"/>
    </row>
    <row r="47" spans="3:61" ht="16.5" x14ac:dyDescent="0.25">
      <c r="C47" s="5755" t="s">
        <v>109</v>
      </c>
      <c r="D47" s="5755" t="s">
        <v>1015</v>
      </c>
      <c r="E47" s="7783"/>
      <c r="F47" s="5755"/>
      <c r="G47" s="5757">
        <f>SUMIF(USM!$C$6:$C$73,$D47,USM!G$6:G$73)</f>
        <v>33310.241000000009</v>
      </c>
      <c r="H47" s="5757"/>
      <c r="I47" s="5757">
        <f>SUMIF(USM!$C$6:$C$73,$D47,USM!I$6:I$73)</f>
        <v>41379.888999999996</v>
      </c>
      <c r="J47" s="5758"/>
      <c r="K47" s="5758">
        <f t="shared" si="15"/>
        <v>74690.13</v>
      </c>
      <c r="L47" s="5757"/>
      <c r="M47" s="5757">
        <f>SUMIF(USM!$C$6:$C$73,$D47,USM!M$6:M$73)</f>
        <v>17018.933000000001</v>
      </c>
      <c r="N47" s="5759"/>
      <c r="O47" s="5759">
        <f t="shared" si="2"/>
        <v>91709.063000000009</v>
      </c>
      <c r="P47" s="5757"/>
      <c r="Q47" s="5757">
        <f>SUMIF(USM!$C$6:$C$73,$D47,USM!Q$6:Q$73)</f>
        <v>29279.470999999998</v>
      </c>
      <c r="R47" s="5760"/>
      <c r="S47" s="5758">
        <f t="shared" si="3"/>
        <v>120988.53400000001</v>
      </c>
      <c r="T47" s="5757"/>
      <c r="U47" s="5757">
        <f>SUMIF(USM!$C$6:$C$73,$D47,USM!U$6:U$73)</f>
        <v>25477.595000000001</v>
      </c>
      <c r="V47" s="5760"/>
      <c r="W47" s="5758">
        <f t="shared" si="4"/>
        <v>146466.12900000002</v>
      </c>
      <c r="X47" s="5761"/>
      <c r="Y47" s="5757">
        <f>SUMIF(USM!$C$6:$C$73,$D47,USM!Y$6:Y$73)</f>
        <v>35880.567000000003</v>
      </c>
      <c r="Z47" s="5759"/>
      <c r="AA47" s="5759">
        <f t="shared" si="5"/>
        <v>90637.633000000002</v>
      </c>
      <c r="AB47" s="5762"/>
      <c r="AC47" s="5763">
        <f t="shared" si="6"/>
        <v>182346.696</v>
      </c>
      <c r="AD47" s="5757"/>
      <c r="AE47" s="5757">
        <f>SUMIF(USM!$C$6:$C$73,$D47,USM!AE$6:AE$73)</f>
        <v>36897.876000000004</v>
      </c>
      <c r="AF47" s="5760"/>
      <c r="AG47" s="5758">
        <f t="shared" si="7"/>
        <v>219244.57199999999</v>
      </c>
      <c r="AH47" s="5757"/>
      <c r="AI47" s="5757">
        <f>SUMIF(USM!$C$6:$C$73,$D47,USM!AI$6:AI$73)</f>
        <v>8436.8180000000011</v>
      </c>
      <c r="AJ47" s="5760"/>
      <c r="AK47" s="5758">
        <f t="shared" si="8"/>
        <v>227681.38999999998</v>
      </c>
      <c r="AL47" s="5757"/>
      <c r="AM47" s="5757">
        <f>SUMIF(USM!$C$6:$C$73,$D47,USM!AM$6:AM$73)</f>
        <v>27091.125</v>
      </c>
      <c r="AN47" s="5972"/>
      <c r="AO47" s="5759">
        <f t="shared" si="9"/>
        <v>72425.819000000003</v>
      </c>
      <c r="AP47" s="5760"/>
      <c r="AQ47" s="5758">
        <f t="shared" ref="AQ47:AQ52" si="55">+AK47+AM47</f>
        <v>254772.51499999998</v>
      </c>
      <c r="AR47" s="5757"/>
      <c r="AS47" s="5757">
        <f>SUMIF(USM!$C$6:$C$73,$D47,USM!AS$6:AS$73)</f>
        <v>38064.049999999996</v>
      </c>
      <c r="AT47" s="5760"/>
      <c r="AU47" s="5758">
        <f t="shared" ref="AU47:AU52" si="56">+AQ47+AS47</f>
        <v>292836.565</v>
      </c>
      <c r="AV47" s="5757"/>
      <c r="AW47" s="5757">
        <f>SUMIF(USM!$C$6:$C$73,$D47,USM!AW$6:AW$73)</f>
        <v>30173.117000000002</v>
      </c>
      <c r="AX47" s="5760"/>
      <c r="AY47" s="5758">
        <f t="shared" ref="AY47:AY52" si="57">+AU47+AW47</f>
        <v>323009.68200000003</v>
      </c>
      <c r="AZ47" s="5757"/>
      <c r="BA47" s="5757">
        <f>SUMIF(USM!$C$6:$C$73,$D47,USM!BA$6:BA$73)</f>
        <v>44357.076000000001</v>
      </c>
      <c r="BB47" s="5972"/>
      <c r="BC47" s="5759">
        <f t="shared" ref="BC47:BC52" si="58">AS47+AW47+BA47</f>
        <v>112594.243</v>
      </c>
      <c r="BD47" s="5762"/>
      <c r="BE47" s="5763">
        <f t="shared" si="13"/>
        <v>185020.06200000001</v>
      </c>
      <c r="BF47" s="5760"/>
      <c r="BG47" s="5758">
        <f t="shared" ref="BG47:BG52" si="59">+AY47+BA47</f>
        <v>367366.75800000003</v>
      </c>
      <c r="BH47" s="26"/>
      <c r="BI47" s="26"/>
    </row>
    <row r="48" spans="3:61" ht="16.5" x14ac:dyDescent="0.25">
      <c r="C48" s="5755" t="s">
        <v>109</v>
      </c>
      <c r="D48" s="5755" t="s">
        <v>1364</v>
      </c>
      <c r="E48" s="7783"/>
      <c r="F48" s="5755"/>
      <c r="G48" s="5757">
        <f>SUMIF(USM!$C$6:$C$73,$D48,USM!G$6:G$73)</f>
        <v>2807.8309999999992</v>
      </c>
      <c r="H48" s="5757"/>
      <c r="I48" s="5757">
        <f>SUMIF(USM!$C$6:$C$73,$D48,USM!I$6:I$73)</f>
        <v>3069.2429999999995</v>
      </c>
      <c r="J48" s="5758"/>
      <c r="K48" s="5758">
        <f t="shared" si="15"/>
        <v>5877.0739999999987</v>
      </c>
      <c r="L48" s="5757"/>
      <c r="M48" s="5757">
        <f>SUMIF(USM!$C$6:$C$73,$D48,USM!M$6:M$73)</f>
        <v>2549.9639999999999</v>
      </c>
      <c r="N48" s="5759"/>
      <c r="O48" s="5759">
        <f t="shared" si="2"/>
        <v>8427.0379999999986</v>
      </c>
      <c r="P48" s="5757"/>
      <c r="Q48" s="5757">
        <f>SUMIF(USM!$C$6:$C$73,$D48,USM!Q$6:Q$73)</f>
        <v>0</v>
      </c>
      <c r="R48" s="5760"/>
      <c r="S48" s="5758">
        <f t="shared" si="3"/>
        <v>8427.0379999999986</v>
      </c>
      <c r="T48" s="5757"/>
      <c r="U48" s="5757">
        <f>SUMIF(USM!$C$6:$C$73,$D48,USM!U$6:U$73)</f>
        <v>0</v>
      </c>
      <c r="V48" s="5760"/>
      <c r="W48" s="5758">
        <f t="shared" si="4"/>
        <v>8427.0379999999986</v>
      </c>
      <c r="X48" s="5761"/>
      <c r="Y48" s="5757">
        <f>SUMIF(USM!$C$6:$C$73,$D48,USM!Y$6:Y$73)</f>
        <v>2044.2550000000001</v>
      </c>
      <c r="Z48" s="5759"/>
      <c r="AA48" s="5759">
        <f t="shared" si="5"/>
        <v>2044.2550000000001</v>
      </c>
      <c r="AB48" s="5762"/>
      <c r="AC48" s="5763">
        <f t="shared" si="6"/>
        <v>10471.292999999998</v>
      </c>
      <c r="AD48" s="5757"/>
      <c r="AE48" s="5757">
        <f>SUMIF(USM!$C$6:$C$73,$D48,USM!AE$6:AE$73)</f>
        <v>71.840999999999994</v>
      </c>
      <c r="AF48" s="5760"/>
      <c r="AG48" s="5758">
        <f t="shared" si="7"/>
        <v>10543.133999999998</v>
      </c>
      <c r="AH48" s="5757"/>
      <c r="AI48" s="5757">
        <f>SUMIF(USM!$C$6:$C$73,$D48,USM!AI$6:AI$73)</f>
        <v>0</v>
      </c>
      <c r="AJ48" s="5760"/>
      <c r="AK48" s="5758">
        <f t="shared" si="8"/>
        <v>10543.133999999998</v>
      </c>
      <c r="AL48" s="5757"/>
      <c r="AM48" s="5757">
        <f>SUMIF(USM!$C$6:$C$73,$D48,USM!AM$6:AM$73)</f>
        <v>3830.9300000000003</v>
      </c>
      <c r="AN48" s="5972"/>
      <c r="AO48" s="5759">
        <f t="shared" si="9"/>
        <v>3902.7710000000002</v>
      </c>
      <c r="AP48" s="5760"/>
      <c r="AQ48" s="5758">
        <f t="shared" si="55"/>
        <v>14374.063999999998</v>
      </c>
      <c r="AR48" s="5757"/>
      <c r="AS48" s="5757">
        <f>SUMIF(USM!$C$6:$C$73,$D48,USM!AS$6:AS$73)</f>
        <v>0</v>
      </c>
      <c r="AT48" s="5760"/>
      <c r="AU48" s="5758">
        <f t="shared" si="56"/>
        <v>14374.063999999998</v>
      </c>
      <c r="AV48" s="5757"/>
      <c r="AW48" s="5757">
        <f>SUMIF(USM!$C$6:$C$73,$D48,USM!AW$6:AW$73)</f>
        <v>4167.0959999999995</v>
      </c>
      <c r="AX48" s="5760"/>
      <c r="AY48" s="5758">
        <f t="shared" si="57"/>
        <v>18541.159999999996</v>
      </c>
      <c r="AZ48" s="5757"/>
      <c r="BA48" s="5757">
        <f>SUMIF(USM!$C$6:$C$73,$D48,USM!BA$6:BA$73)</f>
        <v>2843.715999999999</v>
      </c>
      <c r="BB48" s="5972"/>
      <c r="BC48" s="5759">
        <f t="shared" si="58"/>
        <v>7010.8119999999981</v>
      </c>
      <c r="BD48" s="5762"/>
      <c r="BE48" s="5763">
        <f t="shared" si="13"/>
        <v>10913.582999999999</v>
      </c>
      <c r="BF48" s="5760"/>
      <c r="BG48" s="5758">
        <f t="shared" si="59"/>
        <v>21384.875999999997</v>
      </c>
      <c r="BH48" s="26"/>
      <c r="BI48" s="26"/>
    </row>
    <row r="49" spans="1:61" ht="16.5" x14ac:dyDescent="0.25">
      <c r="A49" s="2256"/>
      <c r="B49" s="2256"/>
      <c r="C49" s="5755" t="s">
        <v>109</v>
      </c>
      <c r="D49" s="5755" t="s">
        <v>1632</v>
      </c>
      <c r="E49" s="7783"/>
      <c r="F49" s="5755"/>
      <c r="G49" s="5757">
        <f>SUMIF(USM!$C$6:$C$73,$D49,USM!G$6:G$73)</f>
        <v>0</v>
      </c>
      <c r="H49" s="5757"/>
      <c r="I49" s="5757">
        <f>SUMIF(USM!$C$6:$C$73,$D49,USM!I$6:I$73)</f>
        <v>332.20299999999997</v>
      </c>
      <c r="J49" s="5758"/>
      <c r="K49" s="5758">
        <f t="shared" si="15"/>
        <v>332.20299999999997</v>
      </c>
      <c r="L49" s="5757"/>
      <c r="M49" s="5757">
        <f>SUMIF(USM!$C$6:$C$73,$D49,USM!M$6:M$73)</f>
        <v>0</v>
      </c>
      <c r="N49" s="5759"/>
      <c r="O49" s="5759">
        <f t="shared" si="2"/>
        <v>332.20299999999997</v>
      </c>
      <c r="P49" s="5757"/>
      <c r="Q49" s="5757">
        <f>SUMIF(USM!$C$6:$C$73,$D49,USM!Q$6:Q$73)</f>
        <v>268.32400000000001</v>
      </c>
      <c r="R49" s="5760"/>
      <c r="S49" s="5758">
        <f t="shared" si="3"/>
        <v>600.52700000000004</v>
      </c>
      <c r="T49" s="5757"/>
      <c r="U49" s="5757">
        <f>SUMIF(USM!$C$6:$C$73,$D49,USM!U$6:U$73)</f>
        <v>1062.982</v>
      </c>
      <c r="V49" s="5760"/>
      <c r="W49" s="5758">
        <f t="shared" si="4"/>
        <v>1663.509</v>
      </c>
      <c r="X49" s="5761"/>
      <c r="Y49" s="5757">
        <f>SUMIF(USM!$C$6:$C$73,$D49,USM!Y$6:Y$73)</f>
        <v>404.58</v>
      </c>
      <c r="Z49" s="5759"/>
      <c r="AA49" s="5759">
        <f t="shared" si="5"/>
        <v>1735.886</v>
      </c>
      <c r="AB49" s="5762"/>
      <c r="AC49" s="5763">
        <f t="shared" si="6"/>
        <v>2068.0889999999999</v>
      </c>
      <c r="AD49" s="5757"/>
      <c r="AE49" s="5757">
        <f>SUMIF(USM!$C$6:$C$73,$D49,USM!AE$6:AE$73)</f>
        <v>0</v>
      </c>
      <c r="AF49" s="5760"/>
      <c r="AG49" s="5758">
        <f t="shared" si="7"/>
        <v>2068.0889999999999</v>
      </c>
      <c r="AH49" s="5757"/>
      <c r="AI49" s="5757">
        <f>SUMIF(USM!$C$6:$C$73,$D49,USM!AI$6:AI$73)</f>
        <v>0</v>
      </c>
      <c r="AJ49" s="5760"/>
      <c r="AK49" s="5758">
        <f t="shared" si="8"/>
        <v>2068.0889999999999</v>
      </c>
      <c r="AL49" s="5757"/>
      <c r="AM49" s="5757">
        <f>SUMIF(USM!$C$6:$C$73,$D49,USM!AM$6:AM$73)</f>
        <v>0</v>
      </c>
      <c r="AN49" s="5972"/>
      <c r="AO49" s="5759">
        <f t="shared" si="9"/>
        <v>0</v>
      </c>
      <c r="AP49" s="5760"/>
      <c r="AQ49" s="5758">
        <f t="shared" si="55"/>
        <v>2068.0889999999999</v>
      </c>
      <c r="AR49" s="5757"/>
      <c r="AS49" s="5757">
        <f>SUMIF(USM!$C$6:$C$73,$D49,USM!AS$6:AS$73)</f>
        <v>558.58299999999997</v>
      </c>
      <c r="AT49" s="5760"/>
      <c r="AU49" s="5758">
        <f t="shared" si="56"/>
        <v>2626.672</v>
      </c>
      <c r="AV49" s="5757"/>
      <c r="AW49" s="5757">
        <f>SUMIF(USM!$C$6:$C$73,$D49,USM!AW$6:AW$73)</f>
        <v>0</v>
      </c>
      <c r="AX49" s="5760"/>
      <c r="AY49" s="5758">
        <f t="shared" si="57"/>
        <v>2626.672</v>
      </c>
      <c r="AZ49" s="5757"/>
      <c r="BA49" s="5757">
        <f>SUMIF(USM!$C$6:$C$73,$D49,USM!BA$6:BA$73)</f>
        <v>0</v>
      </c>
      <c r="BB49" s="5972"/>
      <c r="BC49" s="5759">
        <f t="shared" si="58"/>
        <v>558.58299999999997</v>
      </c>
      <c r="BD49" s="5762"/>
      <c r="BE49" s="5763">
        <f t="shared" si="13"/>
        <v>558.58299999999997</v>
      </c>
      <c r="BF49" s="5760"/>
      <c r="BG49" s="5758">
        <f t="shared" si="59"/>
        <v>2626.672</v>
      </c>
      <c r="BH49" s="26"/>
      <c r="BI49" s="26"/>
    </row>
    <row r="50" spans="1:61" ht="16.5" x14ac:dyDescent="0.25">
      <c r="C50" s="5755" t="s">
        <v>109</v>
      </c>
      <c r="D50" s="5755" t="s">
        <v>948</v>
      </c>
      <c r="E50" s="7783"/>
      <c r="F50" s="5755"/>
      <c r="G50" s="5757">
        <f>SUMIF(USM!$C$6:$C$73,$D50,USM!G$6:G$73)</f>
        <v>13213.612999999999</v>
      </c>
      <c r="H50" s="5757"/>
      <c r="I50" s="5757">
        <f>SUMIF(USM!$C$6:$C$73,$D50,USM!I$6:I$73)</f>
        <v>12437.809000000001</v>
      </c>
      <c r="J50" s="5758"/>
      <c r="K50" s="5758">
        <f t="shared" si="15"/>
        <v>25651.421999999999</v>
      </c>
      <c r="L50" s="5757"/>
      <c r="M50" s="5757">
        <f>SUMIF(USM!$C$6:$C$73,$D50,USM!M$6:M$73)</f>
        <v>7595.3889999999992</v>
      </c>
      <c r="N50" s="5759"/>
      <c r="O50" s="5759">
        <f t="shared" si="2"/>
        <v>33246.811000000002</v>
      </c>
      <c r="P50" s="5757"/>
      <c r="Q50" s="5757">
        <f>SUMIF(USM!$C$6:$C$73,$D50,USM!Q$6:Q$73)</f>
        <v>15160.198</v>
      </c>
      <c r="R50" s="5760"/>
      <c r="S50" s="5758">
        <f t="shared" si="3"/>
        <v>48407.009000000005</v>
      </c>
      <c r="T50" s="5757"/>
      <c r="U50" s="5757">
        <f>SUMIF(USM!$C$6:$C$73,$D50,USM!U$6:U$73)</f>
        <v>7849.5549999999994</v>
      </c>
      <c r="V50" s="5760"/>
      <c r="W50" s="5758">
        <f t="shared" si="4"/>
        <v>56256.564000000006</v>
      </c>
      <c r="X50" s="5761"/>
      <c r="Y50" s="5757">
        <f>SUMIF(USM!$C$6:$C$73,$D50,USM!Y$6:Y$73)</f>
        <v>5341.393</v>
      </c>
      <c r="Z50" s="5759"/>
      <c r="AA50" s="5759">
        <f t="shared" si="5"/>
        <v>28351.146000000001</v>
      </c>
      <c r="AB50" s="5762"/>
      <c r="AC50" s="5763">
        <f t="shared" si="6"/>
        <v>61597.957000000002</v>
      </c>
      <c r="AD50" s="5757"/>
      <c r="AE50" s="5757">
        <f>SUMIF(USM!$C$6:$C$73,$D50,USM!AE$6:AE$73)</f>
        <v>7930.5840000000007</v>
      </c>
      <c r="AF50" s="5760"/>
      <c r="AG50" s="5758">
        <f t="shared" si="7"/>
        <v>69528.540999999997</v>
      </c>
      <c r="AH50" s="5757"/>
      <c r="AI50" s="5757">
        <f>SUMIF(USM!$C$6:$C$73,$D50,USM!AI$6:AI$73)</f>
        <v>148.166</v>
      </c>
      <c r="AJ50" s="5760"/>
      <c r="AK50" s="5758">
        <f t="shared" si="8"/>
        <v>69676.706999999995</v>
      </c>
      <c r="AL50" s="5757"/>
      <c r="AM50" s="5757">
        <f>SUMIF(USM!$C$6:$C$73,$D50,USM!AM$6:AM$73)</f>
        <v>9144.7129999999997</v>
      </c>
      <c r="AN50" s="5972"/>
      <c r="AO50" s="5759">
        <f t="shared" si="9"/>
        <v>17223.463</v>
      </c>
      <c r="AP50" s="5760"/>
      <c r="AQ50" s="5758">
        <f t="shared" si="55"/>
        <v>78821.42</v>
      </c>
      <c r="AR50" s="5757"/>
      <c r="AS50" s="5757">
        <f>SUMIF(USM!$C$6:$C$73,$D50,USM!AS$6:AS$73)</f>
        <v>12416.546000000002</v>
      </c>
      <c r="AT50" s="5760"/>
      <c r="AU50" s="5758">
        <f t="shared" si="56"/>
        <v>91237.966</v>
      </c>
      <c r="AV50" s="5757"/>
      <c r="AW50" s="5757">
        <f>SUMIF(USM!$C$6:$C$73,$D50,USM!AW$6:AW$73)</f>
        <v>16339.8</v>
      </c>
      <c r="AX50" s="5760"/>
      <c r="AY50" s="5758">
        <f t="shared" si="57"/>
        <v>107577.766</v>
      </c>
      <c r="AZ50" s="5757"/>
      <c r="BA50" s="5757">
        <f>SUMIF(USM!$C$6:$C$73,$D50,USM!BA$6:BA$73)</f>
        <v>14636.821999999998</v>
      </c>
      <c r="BB50" s="5972"/>
      <c r="BC50" s="5759">
        <f t="shared" si="58"/>
        <v>43393.167999999998</v>
      </c>
      <c r="BD50" s="5762"/>
      <c r="BE50" s="5763">
        <f t="shared" si="13"/>
        <v>60616.630999999994</v>
      </c>
      <c r="BF50" s="5760"/>
      <c r="BG50" s="5758">
        <f t="shared" si="59"/>
        <v>122214.588</v>
      </c>
      <c r="BH50" s="26"/>
      <c r="BI50" s="26"/>
    </row>
    <row r="51" spans="1:61" ht="16.5" x14ac:dyDescent="0.25">
      <c r="A51" s="2637"/>
      <c r="B51" s="2637"/>
      <c r="C51" s="5755" t="s">
        <v>109</v>
      </c>
      <c r="D51" s="5755" t="s">
        <v>1649</v>
      </c>
      <c r="E51" s="7783"/>
      <c r="F51" s="5755"/>
      <c r="G51" s="5757">
        <f>SUMIF(USM!$C$6:$C$73,$D51,USM!G$6:G$73)</f>
        <v>212.09199999999998</v>
      </c>
      <c r="H51" s="5757"/>
      <c r="I51" s="5757">
        <f>SUMIF(USM!$C$6:$C$73,$D51,USM!I$6:I$73)</f>
        <v>0</v>
      </c>
      <c r="J51" s="5758"/>
      <c r="K51" s="5758">
        <f t="shared" si="15"/>
        <v>212.09199999999998</v>
      </c>
      <c r="L51" s="5757"/>
      <c r="M51" s="5757">
        <f>SUMIF(USM!$C$6:$C$73,$D51,USM!M$6:M$73)</f>
        <v>715.04700000000003</v>
      </c>
      <c r="N51" s="5759"/>
      <c r="O51" s="5759">
        <f t="shared" si="2"/>
        <v>927.13900000000001</v>
      </c>
      <c r="P51" s="5757"/>
      <c r="Q51" s="5757">
        <f>SUMIF(USM!$C$6:$C$73,$D51,USM!Q$6:Q$73)</f>
        <v>0</v>
      </c>
      <c r="R51" s="5760"/>
      <c r="S51" s="5758">
        <f t="shared" si="3"/>
        <v>927.13900000000001</v>
      </c>
      <c r="T51" s="5757"/>
      <c r="U51" s="5757">
        <f>SUMIF(USM!$C$6:$C$73,$D51,USM!U$6:U$73)</f>
        <v>0</v>
      </c>
      <c r="V51" s="5760"/>
      <c r="W51" s="5758">
        <f t="shared" si="4"/>
        <v>927.13900000000001</v>
      </c>
      <c r="X51" s="5761"/>
      <c r="Y51" s="5757">
        <f>SUMIF(USM!$C$6:$C$73,$D51,USM!Y$6:Y$73)</f>
        <v>0</v>
      </c>
      <c r="Z51" s="5759"/>
      <c r="AA51" s="5759">
        <f t="shared" si="5"/>
        <v>0</v>
      </c>
      <c r="AB51" s="5762"/>
      <c r="AC51" s="5763">
        <f t="shared" si="6"/>
        <v>927.13900000000001</v>
      </c>
      <c r="AD51" s="5757"/>
      <c r="AE51" s="5757">
        <f>SUMIF(USM!$C$6:$C$73,$D51,USM!AE$6:AE$73)</f>
        <v>0</v>
      </c>
      <c r="AF51" s="5760"/>
      <c r="AG51" s="5758">
        <f t="shared" si="7"/>
        <v>927.13900000000001</v>
      </c>
      <c r="AH51" s="5757"/>
      <c r="AI51" s="5757">
        <f>SUMIF(USM!$C$6:$C$73,$D51,USM!AI$6:AI$73)</f>
        <v>0</v>
      </c>
      <c r="AJ51" s="5760"/>
      <c r="AK51" s="5758">
        <f t="shared" si="8"/>
        <v>927.13900000000001</v>
      </c>
      <c r="AL51" s="5757"/>
      <c r="AM51" s="5757">
        <f>SUMIF(USM!$C$6:$C$73,$D51,USM!AM$6:AM$73)</f>
        <v>0</v>
      </c>
      <c r="AN51" s="5972"/>
      <c r="AO51" s="5759">
        <f t="shared" si="9"/>
        <v>0</v>
      </c>
      <c r="AP51" s="5760"/>
      <c r="AQ51" s="5758">
        <f t="shared" si="55"/>
        <v>927.13900000000001</v>
      </c>
      <c r="AR51" s="5757"/>
      <c r="AS51" s="5757">
        <f>SUMIF(USM!$C$6:$C$73,$D51,USM!AS$6:AS$73)</f>
        <v>0</v>
      </c>
      <c r="AT51" s="5760"/>
      <c r="AU51" s="5758">
        <f t="shared" si="56"/>
        <v>927.13900000000001</v>
      </c>
      <c r="AV51" s="5757"/>
      <c r="AW51" s="5757">
        <f>SUMIF(USM!$C$6:$C$73,$D51,USM!AW$6:AW$73)</f>
        <v>329.46699999999998</v>
      </c>
      <c r="AX51" s="5760"/>
      <c r="AY51" s="5758">
        <f t="shared" si="57"/>
        <v>1256.606</v>
      </c>
      <c r="AZ51" s="5757"/>
      <c r="BA51" s="5757">
        <f>SUMIF(USM!$C$6:$C$73,$D51,USM!BA$6:BA$73)</f>
        <v>234.27600000000001</v>
      </c>
      <c r="BB51" s="5972"/>
      <c r="BC51" s="5759">
        <f t="shared" si="58"/>
        <v>563.74299999999994</v>
      </c>
      <c r="BD51" s="5762"/>
      <c r="BE51" s="5763">
        <f t="shared" si="13"/>
        <v>563.74299999999994</v>
      </c>
      <c r="BF51" s="5760"/>
      <c r="BG51" s="5758">
        <f t="shared" si="59"/>
        <v>1490.8820000000001</v>
      </c>
      <c r="BH51" s="26"/>
      <c r="BI51" s="26"/>
    </row>
    <row r="52" spans="1:61" ht="16.5" x14ac:dyDescent="0.25">
      <c r="A52" s="2637"/>
      <c r="B52" s="2637"/>
      <c r="C52" s="5755" t="s">
        <v>109</v>
      </c>
      <c r="D52" s="5755" t="s">
        <v>1650</v>
      </c>
      <c r="E52" s="7783"/>
      <c r="F52" s="5755"/>
      <c r="G52" s="5757">
        <f>SUMIF(USM!$C$6:$C$73,$D52,USM!G$6:G$73)</f>
        <v>0</v>
      </c>
      <c r="H52" s="5757"/>
      <c r="I52" s="5757">
        <f>SUMIF(USM!$C$6:$C$73,$D52,USM!I$6:I$73)</f>
        <v>0</v>
      </c>
      <c r="J52" s="5758"/>
      <c r="K52" s="5758">
        <f t="shared" si="15"/>
        <v>0</v>
      </c>
      <c r="L52" s="5757"/>
      <c r="M52" s="5757">
        <f>SUMIF(USM!$C$6:$C$73,$D52,USM!M$6:M$73)</f>
        <v>0</v>
      </c>
      <c r="N52" s="5759"/>
      <c r="O52" s="5759">
        <f t="shared" si="2"/>
        <v>0</v>
      </c>
      <c r="P52" s="5757"/>
      <c r="Q52" s="5757">
        <f>SUMIF(USM!$C$6:$C$73,$D52,USM!Q$6:Q$73)</f>
        <v>0</v>
      </c>
      <c r="R52" s="5760"/>
      <c r="S52" s="5758">
        <f t="shared" si="3"/>
        <v>0</v>
      </c>
      <c r="T52" s="5757"/>
      <c r="U52" s="5757">
        <f>SUMIF(USM!$C$6:$C$73,$D52,USM!U$6:U$73)</f>
        <v>0</v>
      </c>
      <c r="V52" s="5760"/>
      <c r="W52" s="5758">
        <f t="shared" si="4"/>
        <v>0</v>
      </c>
      <c r="X52" s="5761"/>
      <c r="Y52" s="5757">
        <f>SUMIF(USM!$C$6:$C$73,$D52,USM!Y$6:Y$73)</f>
        <v>0</v>
      </c>
      <c r="Z52" s="5759"/>
      <c r="AA52" s="5759">
        <f t="shared" si="5"/>
        <v>0</v>
      </c>
      <c r="AB52" s="5762"/>
      <c r="AC52" s="5763">
        <f t="shared" si="6"/>
        <v>0</v>
      </c>
      <c r="AD52" s="5757"/>
      <c r="AE52" s="5757">
        <f>SUMIF(USM!$C$6:$C$73,$D52,USM!AE$6:AE$73)</f>
        <v>0</v>
      </c>
      <c r="AF52" s="5760"/>
      <c r="AG52" s="5758">
        <f t="shared" si="7"/>
        <v>0</v>
      </c>
      <c r="AH52" s="5757"/>
      <c r="AI52" s="5757">
        <f>SUMIF(USM!$C$6:$C$73,$D52,USM!AI$6:AI$73)</f>
        <v>0</v>
      </c>
      <c r="AJ52" s="5760"/>
      <c r="AK52" s="5758">
        <f t="shared" si="8"/>
        <v>0</v>
      </c>
      <c r="AL52" s="5757"/>
      <c r="AM52" s="5757">
        <f>SUMIF(USM!$C$6:$C$73,$D52,USM!AM$6:AM$73)</f>
        <v>0</v>
      </c>
      <c r="AN52" s="5972"/>
      <c r="AO52" s="5759">
        <f t="shared" si="9"/>
        <v>0</v>
      </c>
      <c r="AP52" s="5760"/>
      <c r="AQ52" s="5758">
        <f t="shared" si="55"/>
        <v>0</v>
      </c>
      <c r="AR52" s="5757"/>
      <c r="AS52" s="5757">
        <f>SUMIF(USM!$C$6:$C$73,$D52,USM!AS$6:AS$73)</f>
        <v>0</v>
      </c>
      <c r="AT52" s="5760"/>
      <c r="AU52" s="5758">
        <f t="shared" si="56"/>
        <v>0</v>
      </c>
      <c r="AV52" s="5757"/>
      <c r="AW52" s="5757">
        <f>SUMIF(USM!$C$6:$C$73,$D52,USM!AW$6:AW$73)</f>
        <v>0</v>
      </c>
      <c r="AX52" s="5760"/>
      <c r="AY52" s="5758">
        <f t="shared" si="57"/>
        <v>0</v>
      </c>
      <c r="AZ52" s="5757"/>
      <c r="BA52" s="5757">
        <f>SUMIF(USM!$C$6:$C$73,$D52,USM!BA$6:BA$73)</f>
        <v>0</v>
      </c>
      <c r="BB52" s="5972"/>
      <c r="BC52" s="5759">
        <f t="shared" si="58"/>
        <v>0</v>
      </c>
      <c r="BD52" s="5762"/>
      <c r="BE52" s="5763">
        <f t="shared" si="13"/>
        <v>0</v>
      </c>
      <c r="BF52" s="5760"/>
      <c r="BG52" s="5758">
        <f t="shared" si="59"/>
        <v>0</v>
      </c>
      <c r="BH52" s="26"/>
      <c r="BI52" s="26"/>
    </row>
    <row r="53" spans="1:61" ht="16.5" x14ac:dyDescent="0.25">
      <c r="C53" s="7781" t="s">
        <v>970</v>
      </c>
      <c r="D53" s="7781"/>
      <c r="E53" s="7783"/>
      <c r="F53" s="5770"/>
      <c r="G53" s="5771">
        <f>SUM(G47:G52)</f>
        <v>49543.777000000002</v>
      </c>
      <c r="H53" s="5771">
        <f t="shared" ref="H53:AK53" si="60">SUM(H47:H52)</f>
        <v>0</v>
      </c>
      <c r="I53" s="5771">
        <f t="shared" si="60"/>
        <v>57219.144</v>
      </c>
      <c r="J53" s="5771">
        <f t="shared" si="60"/>
        <v>0</v>
      </c>
      <c r="K53" s="5772">
        <f t="shared" si="60"/>
        <v>106762.921</v>
      </c>
      <c r="L53" s="5771">
        <f t="shared" si="60"/>
        <v>0</v>
      </c>
      <c r="M53" s="5771">
        <f t="shared" si="60"/>
        <v>27879.332999999999</v>
      </c>
      <c r="N53" s="5771">
        <f t="shared" si="60"/>
        <v>0</v>
      </c>
      <c r="O53" s="5773">
        <f t="shared" si="60"/>
        <v>134642.25399999999</v>
      </c>
      <c r="P53" s="5771">
        <f t="shared" si="60"/>
        <v>0</v>
      </c>
      <c r="Q53" s="5771">
        <f t="shared" si="60"/>
        <v>44707.993000000002</v>
      </c>
      <c r="R53" s="5771">
        <f t="shared" si="60"/>
        <v>0</v>
      </c>
      <c r="S53" s="5772">
        <f t="shared" si="60"/>
        <v>179350.247</v>
      </c>
      <c r="T53" s="5771">
        <f t="shared" si="60"/>
        <v>0</v>
      </c>
      <c r="U53" s="5771">
        <f t="shared" si="60"/>
        <v>34390.131999999998</v>
      </c>
      <c r="V53" s="5771">
        <f t="shared" si="60"/>
        <v>0</v>
      </c>
      <c r="W53" s="5772">
        <f t="shared" si="60"/>
        <v>213740.37900000002</v>
      </c>
      <c r="X53" s="5771">
        <f t="shared" si="60"/>
        <v>0</v>
      </c>
      <c r="Y53" s="5771">
        <f t="shared" si="60"/>
        <v>43670.794999999998</v>
      </c>
      <c r="Z53" s="5771">
        <f t="shared" si="60"/>
        <v>0</v>
      </c>
      <c r="AA53" s="5773">
        <f t="shared" si="60"/>
        <v>122768.92000000001</v>
      </c>
      <c r="AB53" s="5771">
        <f t="shared" si="60"/>
        <v>0</v>
      </c>
      <c r="AC53" s="5774">
        <f t="shared" si="60"/>
        <v>257411.174</v>
      </c>
      <c r="AD53" s="5771">
        <f t="shared" si="60"/>
        <v>0</v>
      </c>
      <c r="AE53" s="5771">
        <f t="shared" si="60"/>
        <v>44900.301000000007</v>
      </c>
      <c r="AF53" s="5771">
        <f t="shared" si="60"/>
        <v>0</v>
      </c>
      <c r="AG53" s="5772">
        <f t="shared" si="60"/>
        <v>302311.47500000003</v>
      </c>
      <c r="AH53" s="5771">
        <f t="shared" si="60"/>
        <v>0</v>
      </c>
      <c r="AI53" s="5771">
        <f t="shared" si="60"/>
        <v>8584.9840000000004</v>
      </c>
      <c r="AJ53" s="5771">
        <f t="shared" si="60"/>
        <v>0</v>
      </c>
      <c r="AK53" s="5772">
        <f t="shared" si="60"/>
        <v>310896.45899999997</v>
      </c>
      <c r="AL53" s="5771">
        <f t="shared" ref="AL53:AQ53" si="61">SUM(AL47:AL52)</f>
        <v>0</v>
      </c>
      <c r="AM53" s="5771">
        <f t="shared" si="61"/>
        <v>40066.767999999996</v>
      </c>
      <c r="AN53" s="5973"/>
      <c r="AO53" s="5773">
        <f t="shared" ref="AO53" si="62">SUM(AO47:AO52)</f>
        <v>93552.053</v>
      </c>
      <c r="AP53" s="5771">
        <f t="shared" si="61"/>
        <v>0</v>
      </c>
      <c r="AQ53" s="5772">
        <f t="shared" si="61"/>
        <v>350963.22699999996</v>
      </c>
      <c r="AR53" s="5771">
        <f t="shared" ref="AR53:AU53" si="63">SUM(AR47:AR52)</f>
        <v>0</v>
      </c>
      <c r="AS53" s="5771">
        <f t="shared" si="63"/>
        <v>51039.178999999996</v>
      </c>
      <c r="AT53" s="5771">
        <f t="shared" si="63"/>
        <v>0</v>
      </c>
      <c r="AU53" s="5772">
        <f t="shared" si="63"/>
        <v>402002.40600000008</v>
      </c>
      <c r="AV53" s="5771">
        <f t="shared" ref="AV53:AY53" si="64">SUM(AV47:AV52)</f>
        <v>0</v>
      </c>
      <c r="AW53" s="5771">
        <f t="shared" si="64"/>
        <v>51009.48</v>
      </c>
      <c r="AX53" s="5771">
        <f t="shared" si="64"/>
        <v>0</v>
      </c>
      <c r="AY53" s="5772">
        <f t="shared" si="64"/>
        <v>453011.88600000006</v>
      </c>
      <c r="AZ53" s="5771">
        <f t="shared" ref="AZ53:BG53" si="65">SUM(AZ47:AZ52)</f>
        <v>0</v>
      </c>
      <c r="BA53" s="5771">
        <f t="shared" si="65"/>
        <v>62071.89</v>
      </c>
      <c r="BB53" s="5973"/>
      <c r="BC53" s="5773">
        <f t="shared" ref="BC53:BE53" si="66">SUM(BC47:BC52)</f>
        <v>164120.54899999997</v>
      </c>
      <c r="BD53" s="5771">
        <f t="shared" si="66"/>
        <v>0</v>
      </c>
      <c r="BE53" s="5774">
        <f t="shared" si="66"/>
        <v>257672.60200000001</v>
      </c>
      <c r="BF53" s="5771">
        <f t="shared" si="65"/>
        <v>0</v>
      </c>
      <c r="BG53" s="5772">
        <f t="shared" si="65"/>
        <v>515083.77600000001</v>
      </c>
      <c r="BH53" s="26"/>
      <c r="BI53" s="26"/>
    </row>
    <row r="54" spans="1:61" ht="16.5" x14ac:dyDescent="0.25">
      <c r="C54" s="5755" t="s">
        <v>979</v>
      </c>
      <c r="D54" s="5755" t="s">
        <v>642</v>
      </c>
      <c r="E54" s="7783"/>
      <c r="F54" s="5755"/>
      <c r="G54" s="5775">
        <f>6895.58799999996-1636</f>
        <v>5259.5879999999597</v>
      </c>
      <c r="H54" s="5775"/>
      <c r="I54" s="5775">
        <v>9133</v>
      </c>
      <c r="J54" s="5758"/>
      <c r="K54" s="5758">
        <f t="shared" si="15"/>
        <v>14392.58799999996</v>
      </c>
      <c r="L54" s="5775"/>
      <c r="M54" s="5775">
        <f>5125+6</f>
        <v>5131</v>
      </c>
      <c r="N54" s="5759"/>
      <c r="O54" s="5759">
        <f t="shared" si="2"/>
        <v>19523.58799999996</v>
      </c>
      <c r="P54" s="5775"/>
      <c r="Q54" s="5775">
        <v>19201</v>
      </c>
      <c r="R54" s="5760"/>
      <c r="S54" s="5758">
        <f t="shared" si="3"/>
        <v>38724.58799999996</v>
      </c>
      <c r="T54" s="5775"/>
      <c r="U54" s="5775">
        <v>17045</v>
      </c>
      <c r="V54" s="5760"/>
      <c r="W54" s="5758">
        <f t="shared" si="4"/>
        <v>55769.58799999996</v>
      </c>
      <c r="X54" s="5761"/>
      <c r="Y54" s="5775">
        <v>5930.757999999998</v>
      </c>
      <c r="Z54" s="5759"/>
      <c r="AA54" s="5759">
        <f t="shared" si="5"/>
        <v>42176.758000000002</v>
      </c>
      <c r="AB54" s="5762"/>
      <c r="AC54" s="5763">
        <f t="shared" si="6"/>
        <v>61700.345999999961</v>
      </c>
      <c r="AD54" s="5775"/>
      <c r="AE54" s="5775">
        <v>15363.04</v>
      </c>
      <c r="AF54" s="5760"/>
      <c r="AG54" s="5758">
        <f t="shared" si="7"/>
        <v>77063.385999999969</v>
      </c>
      <c r="AH54" s="5775"/>
      <c r="AI54" s="5775">
        <v>7756</v>
      </c>
      <c r="AJ54" s="5760"/>
      <c r="AK54" s="5758">
        <f t="shared" si="8"/>
        <v>84819.385999999969</v>
      </c>
      <c r="AL54" s="5775"/>
      <c r="AM54" s="5775">
        <v>9901.14</v>
      </c>
      <c r="AN54" s="5974"/>
      <c r="AO54" s="5759">
        <f t="shared" si="9"/>
        <v>33020.18</v>
      </c>
      <c r="AP54" s="5760"/>
      <c r="AQ54" s="5758">
        <f t="shared" ref="AQ54:AQ76" si="67">+AK54+AM54</f>
        <v>94720.525999999969</v>
      </c>
      <c r="AR54" s="5775"/>
      <c r="AS54" s="5775">
        <v>5783.4060000000009</v>
      </c>
      <c r="AT54" s="5760"/>
      <c r="AU54" s="5758">
        <f t="shared" ref="AU54:AU76" si="68">+AQ54+AS54</f>
        <v>100503.93199999997</v>
      </c>
      <c r="AV54" s="5775"/>
      <c r="AW54" s="5775">
        <v>8844.7939999999289</v>
      </c>
      <c r="AX54" s="5760"/>
      <c r="AY54" s="5758">
        <f t="shared" ref="AY54:AY76" si="69">+AU54+AW54</f>
        <v>109348.72599999991</v>
      </c>
      <c r="AZ54" s="5775"/>
      <c r="BA54" s="5775">
        <v>8755</v>
      </c>
      <c r="BB54" s="5974"/>
      <c r="BC54" s="5759">
        <f t="shared" ref="BC54:BC76" si="70">AS54+AW54+BA54</f>
        <v>23383.199999999932</v>
      </c>
      <c r="BD54" s="5762"/>
      <c r="BE54" s="5763">
        <f t="shared" si="13"/>
        <v>56403.379999999932</v>
      </c>
      <c r="BF54" s="5760"/>
      <c r="BG54" s="5758">
        <f t="shared" ref="BG54:BG76" si="71">+AY54+BA54</f>
        <v>118103.72599999991</v>
      </c>
      <c r="BH54" s="26"/>
      <c r="BI54" s="26"/>
    </row>
    <row r="55" spans="1:61" s="4712" customFormat="1" ht="16.5" x14ac:dyDescent="0.25">
      <c r="C55" s="5755" t="s">
        <v>979</v>
      </c>
      <c r="D55" s="5764" t="s">
        <v>1962</v>
      </c>
      <c r="E55" s="7783"/>
      <c r="F55" s="5764"/>
      <c r="G55" s="5761"/>
      <c r="H55" s="5761"/>
      <c r="I55" s="5761"/>
      <c r="J55" s="5768"/>
      <c r="K55" s="5758">
        <f t="shared" si="15"/>
        <v>0</v>
      </c>
      <c r="L55" s="5761"/>
      <c r="M55" s="5761"/>
      <c r="N55" s="5767"/>
      <c r="O55" s="5759">
        <f t="shared" si="2"/>
        <v>0</v>
      </c>
      <c r="P55" s="5761"/>
      <c r="Q55" s="5761"/>
      <c r="R55" s="5760"/>
      <c r="S55" s="5758">
        <f t="shared" si="3"/>
        <v>0</v>
      </c>
      <c r="T55" s="5761"/>
      <c r="U55" s="5761">
        <v>1442</v>
      </c>
      <c r="V55" s="5760"/>
      <c r="W55" s="5758">
        <f t="shared" si="4"/>
        <v>1442</v>
      </c>
      <c r="X55" s="5761"/>
      <c r="Y55" s="5761">
        <v>150.09399999999999</v>
      </c>
      <c r="Z55" s="5767"/>
      <c r="AA55" s="5759">
        <f t="shared" si="5"/>
        <v>1592.0940000000001</v>
      </c>
      <c r="AB55" s="5762"/>
      <c r="AC55" s="5763">
        <f t="shared" si="6"/>
        <v>1592.0940000000001</v>
      </c>
      <c r="AD55" s="5761"/>
      <c r="AE55" s="5761"/>
      <c r="AF55" s="5760"/>
      <c r="AG55" s="5758">
        <f t="shared" si="7"/>
        <v>1592.0940000000001</v>
      </c>
      <c r="AH55" s="5761"/>
      <c r="AI55" s="5761"/>
      <c r="AJ55" s="5760"/>
      <c r="AK55" s="5758">
        <f t="shared" si="8"/>
        <v>1592.0940000000001</v>
      </c>
      <c r="AL55" s="5761"/>
      <c r="AM55" s="5761">
        <v>109.928</v>
      </c>
      <c r="AN55" s="5974"/>
      <c r="AO55" s="5759">
        <f t="shared" si="9"/>
        <v>109.928</v>
      </c>
      <c r="AP55" s="5760"/>
      <c r="AQ55" s="5758">
        <f t="shared" si="67"/>
        <v>1702.0219999999999</v>
      </c>
      <c r="AR55" s="5761"/>
      <c r="AS55" s="5761"/>
      <c r="AT55" s="5760"/>
      <c r="AU55" s="5758">
        <f t="shared" si="68"/>
        <v>1702.0219999999999</v>
      </c>
      <c r="AV55" s="5761"/>
      <c r="AW55" s="5761"/>
      <c r="AX55" s="5760"/>
      <c r="AY55" s="5758">
        <f t="shared" si="69"/>
        <v>1702.0219999999999</v>
      </c>
      <c r="AZ55" s="5761"/>
      <c r="BA55" s="5761"/>
      <c r="BB55" s="5974"/>
      <c r="BC55" s="5759">
        <f t="shared" si="70"/>
        <v>0</v>
      </c>
      <c r="BD55" s="5762"/>
      <c r="BE55" s="5763">
        <f t="shared" si="13"/>
        <v>109.928</v>
      </c>
      <c r="BF55" s="5760"/>
      <c r="BG55" s="5758">
        <f t="shared" si="71"/>
        <v>1702.0219999999999</v>
      </c>
      <c r="BH55" s="26"/>
      <c r="BI55" s="26"/>
    </row>
    <row r="56" spans="1:61" ht="16.5" x14ac:dyDescent="0.25">
      <c r="C56" s="5755" t="s">
        <v>979</v>
      </c>
      <c r="D56" s="5755" t="s">
        <v>2162</v>
      </c>
      <c r="E56" s="7783"/>
      <c r="F56" s="5755"/>
      <c r="G56" s="5775"/>
      <c r="H56" s="5775"/>
      <c r="I56" s="5775"/>
      <c r="J56" s="5758"/>
      <c r="K56" s="5758">
        <f t="shared" si="15"/>
        <v>0</v>
      </c>
      <c r="L56" s="5775"/>
      <c r="M56" s="5775"/>
      <c r="N56" s="5759"/>
      <c r="O56" s="5759">
        <f t="shared" si="2"/>
        <v>0</v>
      </c>
      <c r="P56" s="5775"/>
      <c r="Q56" s="5775"/>
      <c r="R56" s="5760"/>
      <c r="S56" s="5758">
        <f t="shared" si="3"/>
        <v>0</v>
      </c>
      <c r="T56" s="5775"/>
      <c r="U56" s="5775"/>
      <c r="V56" s="5760"/>
      <c r="W56" s="5758">
        <f t="shared" si="4"/>
        <v>0</v>
      </c>
      <c r="X56" s="5761"/>
      <c r="Y56" s="5775"/>
      <c r="Z56" s="5759"/>
      <c r="AA56" s="5759">
        <f t="shared" si="5"/>
        <v>0</v>
      </c>
      <c r="AB56" s="5762"/>
      <c r="AC56" s="5763">
        <f t="shared" si="6"/>
        <v>0</v>
      </c>
      <c r="AD56" s="5775"/>
      <c r="AE56" s="5775"/>
      <c r="AF56" s="5760"/>
      <c r="AG56" s="5758">
        <f t="shared" si="7"/>
        <v>0</v>
      </c>
      <c r="AH56" s="5775"/>
      <c r="AI56" s="5775"/>
      <c r="AJ56" s="5760"/>
      <c r="AK56" s="5758">
        <f t="shared" si="8"/>
        <v>0</v>
      </c>
      <c r="AL56" s="5775"/>
      <c r="AM56" s="5775"/>
      <c r="AN56" s="5974"/>
      <c r="AO56" s="5759">
        <f t="shared" si="9"/>
        <v>0</v>
      </c>
      <c r="AP56" s="5760"/>
      <c r="AQ56" s="5758">
        <f t="shared" si="67"/>
        <v>0</v>
      </c>
      <c r="AR56" s="5775"/>
      <c r="AS56" s="5775"/>
      <c r="AT56" s="5760"/>
      <c r="AU56" s="5758">
        <f t="shared" si="68"/>
        <v>0</v>
      </c>
      <c r="AV56" s="5775"/>
      <c r="AW56" s="5775">
        <v>1828.61</v>
      </c>
      <c r="AX56" s="5760"/>
      <c r="AY56" s="5758">
        <f t="shared" si="69"/>
        <v>1828.61</v>
      </c>
      <c r="AZ56" s="5775"/>
      <c r="BA56" s="5775">
        <v>577</v>
      </c>
      <c r="BB56" s="5974"/>
      <c r="BC56" s="5759">
        <f t="shared" si="70"/>
        <v>2405.6099999999997</v>
      </c>
      <c r="BD56" s="5762"/>
      <c r="BE56" s="5763">
        <f t="shared" si="13"/>
        <v>2405.6099999999997</v>
      </c>
      <c r="BF56" s="5760"/>
      <c r="BG56" s="5758">
        <f t="shared" si="71"/>
        <v>2405.6099999999997</v>
      </c>
      <c r="BH56" s="26"/>
      <c r="BI56" s="26"/>
    </row>
    <row r="57" spans="1:61" ht="16.5" x14ac:dyDescent="0.25">
      <c r="C57" s="5755" t="s">
        <v>979</v>
      </c>
      <c r="D57" s="5755" t="s">
        <v>1302</v>
      </c>
      <c r="E57" s="7783"/>
      <c r="F57" s="5755"/>
      <c r="G57" s="5775">
        <v>2361</v>
      </c>
      <c r="H57" s="5775"/>
      <c r="I57" s="5775">
        <v>4082</v>
      </c>
      <c r="J57" s="5758"/>
      <c r="K57" s="5758">
        <f t="shared" si="15"/>
        <v>6443</v>
      </c>
      <c r="L57" s="5775"/>
      <c r="M57" s="5775">
        <v>7165</v>
      </c>
      <c r="N57" s="5759"/>
      <c r="O57" s="5759">
        <f t="shared" si="2"/>
        <v>13608</v>
      </c>
      <c r="P57" s="5775"/>
      <c r="Q57" s="5775">
        <v>8251</v>
      </c>
      <c r="R57" s="5760"/>
      <c r="S57" s="5758">
        <f t="shared" si="3"/>
        <v>21859</v>
      </c>
      <c r="T57" s="5775"/>
      <c r="U57" s="5775">
        <v>3002</v>
      </c>
      <c r="V57" s="5760"/>
      <c r="W57" s="5758">
        <f t="shared" si="4"/>
        <v>24861</v>
      </c>
      <c r="X57" s="5761"/>
      <c r="Y57" s="5775">
        <v>9060.6039999999994</v>
      </c>
      <c r="Z57" s="5759"/>
      <c r="AA57" s="5759">
        <f t="shared" si="5"/>
        <v>20313.603999999999</v>
      </c>
      <c r="AB57" s="5762"/>
      <c r="AC57" s="5763">
        <f t="shared" si="6"/>
        <v>33921.603999999999</v>
      </c>
      <c r="AD57" s="5775"/>
      <c r="AE57" s="5775"/>
      <c r="AF57" s="5760"/>
      <c r="AG57" s="5758">
        <f t="shared" si="7"/>
        <v>33921.603999999999</v>
      </c>
      <c r="AH57" s="5775"/>
      <c r="AI57" s="5775"/>
      <c r="AJ57" s="5760"/>
      <c r="AK57" s="5758">
        <f t="shared" si="8"/>
        <v>33921.603999999999</v>
      </c>
      <c r="AL57" s="5775"/>
      <c r="AM57" s="5775">
        <v>9555.2800000000007</v>
      </c>
      <c r="AN57" s="5974"/>
      <c r="AO57" s="5759">
        <f t="shared" si="9"/>
        <v>9555.2800000000007</v>
      </c>
      <c r="AP57" s="5760"/>
      <c r="AQ57" s="5758">
        <f t="shared" si="67"/>
        <v>43476.883999999998</v>
      </c>
      <c r="AR57" s="5775"/>
      <c r="AS57" s="5775">
        <v>8094.5059999999994</v>
      </c>
      <c r="AT57" s="5760"/>
      <c r="AU57" s="5758">
        <f t="shared" si="68"/>
        <v>51571.39</v>
      </c>
      <c r="AV57" s="5775"/>
      <c r="AW57" s="5775">
        <v>2771.4540000000002</v>
      </c>
      <c r="AX57" s="5760"/>
      <c r="AY57" s="5758">
        <f t="shared" si="69"/>
        <v>54342.843999999997</v>
      </c>
      <c r="AZ57" s="5775"/>
      <c r="BA57" s="5775">
        <v>4636</v>
      </c>
      <c r="BB57" s="5974"/>
      <c r="BC57" s="5759">
        <f t="shared" si="70"/>
        <v>15501.96</v>
      </c>
      <c r="BD57" s="5762"/>
      <c r="BE57" s="5763">
        <f t="shared" si="13"/>
        <v>25057.239999999998</v>
      </c>
      <c r="BF57" s="5760"/>
      <c r="BG57" s="5758">
        <f t="shared" si="71"/>
        <v>58978.843999999997</v>
      </c>
      <c r="BH57" s="26"/>
      <c r="BI57" s="26"/>
    </row>
    <row r="58" spans="1:61" ht="16.5" x14ac:dyDescent="0.25">
      <c r="C58" s="5755" t="s">
        <v>979</v>
      </c>
      <c r="D58" s="5755" t="s">
        <v>1281</v>
      </c>
      <c r="E58" s="7783"/>
      <c r="F58" s="5755"/>
      <c r="G58" s="5775"/>
      <c r="H58" s="5775"/>
      <c r="I58" s="5775"/>
      <c r="J58" s="5758"/>
      <c r="K58" s="5758">
        <f t="shared" si="15"/>
        <v>0</v>
      </c>
      <c r="L58" s="5775"/>
      <c r="M58" s="5775"/>
      <c r="N58" s="5759"/>
      <c r="O58" s="5759">
        <f t="shared" si="2"/>
        <v>0</v>
      </c>
      <c r="P58" s="5775"/>
      <c r="Q58" s="5775"/>
      <c r="R58" s="5760"/>
      <c r="S58" s="5758">
        <f t="shared" si="3"/>
        <v>0</v>
      </c>
      <c r="T58" s="5775"/>
      <c r="U58" s="5775"/>
      <c r="V58" s="5760"/>
      <c r="W58" s="5758">
        <f t="shared" si="4"/>
        <v>0</v>
      </c>
      <c r="X58" s="5761"/>
      <c r="Y58" s="5775"/>
      <c r="Z58" s="5759"/>
      <c r="AA58" s="5759">
        <f t="shared" si="5"/>
        <v>0</v>
      </c>
      <c r="AB58" s="5762"/>
      <c r="AC58" s="5763">
        <f t="shared" si="6"/>
        <v>0</v>
      </c>
      <c r="AD58" s="5775"/>
      <c r="AE58" s="5775"/>
      <c r="AF58" s="5760"/>
      <c r="AG58" s="5758">
        <f t="shared" si="7"/>
        <v>0</v>
      </c>
      <c r="AH58" s="5775"/>
      <c r="AI58" s="5775"/>
      <c r="AJ58" s="5760"/>
      <c r="AK58" s="5758">
        <f t="shared" si="8"/>
        <v>0</v>
      </c>
      <c r="AL58" s="5775"/>
      <c r="AM58" s="5775"/>
      <c r="AN58" s="5974"/>
      <c r="AO58" s="5759">
        <f t="shared" si="9"/>
        <v>0</v>
      </c>
      <c r="AP58" s="5760"/>
      <c r="AQ58" s="5758">
        <f t="shared" si="67"/>
        <v>0</v>
      </c>
      <c r="AR58" s="5775"/>
      <c r="AS58" s="5775"/>
      <c r="AT58" s="5760"/>
      <c r="AU58" s="5758">
        <f t="shared" si="68"/>
        <v>0</v>
      </c>
      <c r="AV58" s="5775"/>
      <c r="AW58" s="5775"/>
      <c r="AX58" s="5760"/>
      <c r="AY58" s="5758">
        <f t="shared" si="69"/>
        <v>0</v>
      </c>
      <c r="AZ58" s="5775"/>
      <c r="BA58" s="5775"/>
      <c r="BB58" s="5974"/>
      <c r="BC58" s="5759">
        <f t="shared" si="70"/>
        <v>0</v>
      </c>
      <c r="BD58" s="5762"/>
      <c r="BE58" s="5763">
        <f t="shared" si="13"/>
        <v>0</v>
      </c>
      <c r="BF58" s="5760"/>
      <c r="BG58" s="5758">
        <f t="shared" si="71"/>
        <v>0</v>
      </c>
      <c r="BH58" s="26"/>
      <c r="BI58" s="26"/>
    </row>
    <row r="59" spans="1:61" ht="16.5" x14ac:dyDescent="0.25">
      <c r="C59" s="5755" t="s">
        <v>979</v>
      </c>
      <c r="D59" s="5755" t="s">
        <v>1110</v>
      </c>
      <c r="E59" s="7783"/>
      <c r="F59" s="5755"/>
      <c r="G59" s="5775">
        <v>685</v>
      </c>
      <c r="H59" s="5775"/>
      <c r="I59" s="5775">
        <v>480</v>
      </c>
      <c r="J59" s="5758"/>
      <c r="K59" s="5758">
        <f t="shared" si="15"/>
        <v>1165</v>
      </c>
      <c r="L59" s="5775"/>
      <c r="M59" s="5775"/>
      <c r="N59" s="5759"/>
      <c r="O59" s="5759">
        <f t="shared" si="2"/>
        <v>1165</v>
      </c>
      <c r="P59" s="5775"/>
      <c r="Q59" s="5775"/>
      <c r="R59" s="5760"/>
      <c r="S59" s="5758">
        <f t="shared" si="3"/>
        <v>1165</v>
      </c>
      <c r="T59" s="5775"/>
      <c r="U59" s="5775"/>
      <c r="V59" s="5760"/>
      <c r="W59" s="5758">
        <f t="shared" si="4"/>
        <v>1165</v>
      </c>
      <c r="X59" s="5761"/>
      <c r="Y59" s="5775">
        <v>689.16399999999999</v>
      </c>
      <c r="Z59" s="5759"/>
      <c r="AA59" s="5759">
        <f t="shared" si="5"/>
        <v>689.16399999999999</v>
      </c>
      <c r="AB59" s="5762"/>
      <c r="AC59" s="5763">
        <f t="shared" si="6"/>
        <v>1854.164</v>
      </c>
      <c r="AD59" s="5775"/>
      <c r="AE59" s="5775"/>
      <c r="AF59" s="5760"/>
      <c r="AG59" s="5758">
        <f t="shared" si="7"/>
        <v>1854.164</v>
      </c>
      <c r="AH59" s="5775"/>
      <c r="AI59" s="5775"/>
      <c r="AJ59" s="5760"/>
      <c r="AK59" s="5758">
        <f t="shared" si="8"/>
        <v>1854.164</v>
      </c>
      <c r="AL59" s="5775"/>
      <c r="AM59" s="5775"/>
      <c r="AN59" s="5974"/>
      <c r="AO59" s="5759">
        <f t="shared" si="9"/>
        <v>0</v>
      </c>
      <c r="AP59" s="5760"/>
      <c r="AQ59" s="5758">
        <f t="shared" si="67"/>
        <v>1854.164</v>
      </c>
      <c r="AR59" s="5775"/>
      <c r="AS59" s="5775"/>
      <c r="AT59" s="5760"/>
      <c r="AU59" s="5758">
        <f t="shared" si="68"/>
        <v>1854.164</v>
      </c>
      <c r="AV59" s="5775"/>
      <c r="AW59" s="5775"/>
      <c r="AX59" s="5760"/>
      <c r="AY59" s="5758">
        <f t="shared" si="69"/>
        <v>1854.164</v>
      </c>
      <c r="AZ59" s="5775"/>
      <c r="BA59" s="5775"/>
      <c r="BB59" s="5974"/>
      <c r="BC59" s="5759">
        <f t="shared" si="70"/>
        <v>0</v>
      </c>
      <c r="BD59" s="5762"/>
      <c r="BE59" s="5763">
        <f t="shared" si="13"/>
        <v>0</v>
      </c>
      <c r="BF59" s="5760"/>
      <c r="BG59" s="5758">
        <f t="shared" si="71"/>
        <v>1854.164</v>
      </c>
      <c r="BH59" s="26"/>
      <c r="BI59" s="26"/>
    </row>
    <row r="60" spans="1:61" s="5172" customFormat="1" ht="16.5" x14ac:dyDescent="0.25">
      <c r="C60" s="5755" t="s">
        <v>979</v>
      </c>
      <c r="D60" s="7135" t="s">
        <v>2285</v>
      </c>
      <c r="E60" s="7783"/>
      <c r="F60" s="7135"/>
      <c r="G60" s="7136">
        <v>1636</v>
      </c>
      <c r="H60" s="7136"/>
      <c r="I60" s="7136"/>
      <c r="J60" s="7137"/>
      <c r="K60" s="5758">
        <f t="shared" si="15"/>
        <v>1636</v>
      </c>
      <c r="L60" s="7136"/>
      <c r="M60" s="7136"/>
      <c r="N60" s="7138"/>
      <c r="O60" s="7138"/>
      <c r="P60" s="7136"/>
      <c r="Q60" s="7136"/>
      <c r="R60" s="5760"/>
      <c r="S60" s="7137"/>
      <c r="T60" s="7136"/>
      <c r="U60" s="7136"/>
      <c r="V60" s="5760"/>
      <c r="W60" s="7137"/>
      <c r="X60" s="7136"/>
      <c r="Y60" s="7136"/>
      <c r="Z60" s="7138"/>
      <c r="AA60" s="7138"/>
      <c r="AB60" s="7139"/>
      <c r="AC60" s="7139"/>
      <c r="AD60" s="7136"/>
      <c r="AE60" s="7136"/>
      <c r="AF60" s="5760"/>
      <c r="AG60" s="7137"/>
      <c r="AH60" s="7136"/>
      <c r="AI60" s="7136"/>
      <c r="AJ60" s="5760"/>
      <c r="AK60" s="7137"/>
      <c r="AL60" s="7136"/>
      <c r="AM60" s="7136"/>
      <c r="AN60" s="5974"/>
      <c r="AO60" s="7138"/>
      <c r="AP60" s="5760"/>
      <c r="AQ60" s="7137"/>
      <c r="AR60" s="7136"/>
      <c r="AS60" s="7136"/>
      <c r="AT60" s="5760"/>
      <c r="AU60" s="7137"/>
      <c r="AV60" s="7136"/>
      <c r="AW60" s="7136"/>
      <c r="AX60" s="5760"/>
      <c r="AY60" s="7137"/>
      <c r="AZ60" s="7136"/>
      <c r="BA60" s="7136"/>
      <c r="BB60" s="5974"/>
      <c r="BC60" s="7138"/>
      <c r="BD60" s="7139"/>
      <c r="BE60" s="7139"/>
      <c r="BF60" s="5760"/>
      <c r="BG60" s="7137"/>
      <c r="BH60" s="26"/>
      <c r="BI60" s="26"/>
    </row>
    <row r="61" spans="1:61" s="5172" customFormat="1" ht="16.5" x14ac:dyDescent="0.25">
      <c r="C61" s="5764" t="s">
        <v>979</v>
      </c>
      <c r="D61" s="5764" t="s">
        <v>1987</v>
      </c>
      <c r="E61" s="7783"/>
      <c r="F61" s="5764"/>
      <c r="G61" s="5761">
        <v>1306</v>
      </c>
      <c r="H61" s="5761"/>
      <c r="I61" s="5761">
        <v>110</v>
      </c>
      <c r="J61" s="5768"/>
      <c r="K61" s="5758">
        <f t="shared" si="15"/>
        <v>1416</v>
      </c>
      <c r="L61" s="5761"/>
      <c r="M61" s="5761"/>
      <c r="N61" s="5767"/>
      <c r="O61" s="5759">
        <f t="shared" si="2"/>
        <v>1416</v>
      </c>
      <c r="P61" s="5761"/>
      <c r="Q61" s="5761"/>
      <c r="R61" s="5760"/>
      <c r="S61" s="5758">
        <f t="shared" si="3"/>
        <v>1416</v>
      </c>
      <c r="T61" s="5761"/>
      <c r="U61" s="5761"/>
      <c r="V61" s="5760"/>
      <c r="W61" s="5758">
        <f t="shared" si="4"/>
        <v>1416</v>
      </c>
      <c r="X61" s="5761"/>
      <c r="Y61" s="5761">
        <v>1777.874</v>
      </c>
      <c r="Z61" s="5767"/>
      <c r="AA61" s="5759">
        <f t="shared" si="5"/>
        <v>1777.874</v>
      </c>
      <c r="AB61" s="5762"/>
      <c r="AC61" s="5763">
        <f t="shared" si="6"/>
        <v>3193.8739999999998</v>
      </c>
      <c r="AD61" s="5761"/>
      <c r="AE61" s="5761"/>
      <c r="AF61" s="5760"/>
      <c r="AG61" s="5758">
        <f t="shared" si="7"/>
        <v>3193.8739999999998</v>
      </c>
      <c r="AH61" s="5761"/>
      <c r="AI61" s="5761"/>
      <c r="AJ61" s="5760"/>
      <c r="AK61" s="5758">
        <f t="shared" si="8"/>
        <v>3193.8739999999998</v>
      </c>
      <c r="AL61" s="5761"/>
      <c r="AM61" s="5761"/>
      <c r="AN61" s="5974"/>
      <c r="AO61" s="5759">
        <f t="shared" si="9"/>
        <v>0</v>
      </c>
      <c r="AP61" s="5760"/>
      <c r="AQ61" s="5758">
        <f t="shared" si="67"/>
        <v>3193.8739999999998</v>
      </c>
      <c r="AR61" s="5761"/>
      <c r="AS61" s="5761">
        <v>708.19</v>
      </c>
      <c r="AT61" s="5760"/>
      <c r="AU61" s="5758">
        <f t="shared" si="68"/>
        <v>3902.0639999999999</v>
      </c>
      <c r="AV61" s="5761"/>
      <c r="AW61" s="5761"/>
      <c r="AX61" s="5760"/>
      <c r="AY61" s="5758">
        <f t="shared" si="69"/>
        <v>3902.0639999999999</v>
      </c>
      <c r="AZ61" s="5761"/>
      <c r="BA61" s="5761"/>
      <c r="BB61" s="5974"/>
      <c r="BC61" s="5759">
        <f t="shared" si="70"/>
        <v>708.19</v>
      </c>
      <c r="BD61" s="5762"/>
      <c r="BE61" s="5763">
        <f t="shared" si="13"/>
        <v>708.19</v>
      </c>
      <c r="BF61" s="5760"/>
      <c r="BG61" s="5758">
        <f t="shared" si="71"/>
        <v>3902.0639999999999</v>
      </c>
      <c r="BH61" s="26"/>
      <c r="BI61" s="26"/>
    </row>
    <row r="62" spans="1:61" ht="16.5" x14ac:dyDescent="0.25">
      <c r="C62" s="5755" t="s">
        <v>979</v>
      </c>
      <c r="D62" s="5755" t="s">
        <v>1105</v>
      </c>
      <c r="E62" s="7783"/>
      <c r="F62" s="5755"/>
      <c r="G62" s="5775"/>
      <c r="H62" s="5775"/>
      <c r="I62" s="5775"/>
      <c r="J62" s="5758"/>
      <c r="K62" s="5758">
        <f t="shared" si="15"/>
        <v>0</v>
      </c>
      <c r="L62" s="5775"/>
      <c r="M62" s="5775"/>
      <c r="N62" s="5759"/>
      <c r="O62" s="5759">
        <f t="shared" si="2"/>
        <v>0</v>
      </c>
      <c r="P62" s="5775"/>
      <c r="Q62" s="5775"/>
      <c r="R62" s="5760"/>
      <c r="S62" s="5758">
        <f t="shared" si="3"/>
        <v>0</v>
      </c>
      <c r="T62" s="5775"/>
      <c r="U62" s="5775"/>
      <c r="V62" s="5760"/>
      <c r="W62" s="5758">
        <f t="shared" si="4"/>
        <v>0</v>
      </c>
      <c r="X62" s="5761"/>
      <c r="Y62" s="5775"/>
      <c r="Z62" s="5759"/>
      <c r="AA62" s="5759">
        <f t="shared" si="5"/>
        <v>0</v>
      </c>
      <c r="AB62" s="5762"/>
      <c r="AC62" s="5763">
        <f t="shared" si="6"/>
        <v>0</v>
      </c>
      <c r="AD62" s="5775"/>
      <c r="AE62" s="5775"/>
      <c r="AF62" s="5760"/>
      <c r="AG62" s="5758">
        <f t="shared" si="7"/>
        <v>0</v>
      </c>
      <c r="AH62" s="5775"/>
      <c r="AI62" s="5775"/>
      <c r="AJ62" s="5760"/>
      <c r="AK62" s="5758">
        <f t="shared" si="8"/>
        <v>0</v>
      </c>
      <c r="AL62" s="5775"/>
      <c r="AM62" s="5775"/>
      <c r="AN62" s="5974"/>
      <c r="AO62" s="5759">
        <f t="shared" si="9"/>
        <v>0</v>
      </c>
      <c r="AP62" s="5760"/>
      <c r="AQ62" s="5758">
        <f t="shared" si="67"/>
        <v>0</v>
      </c>
      <c r="AR62" s="5775"/>
      <c r="AS62" s="5775"/>
      <c r="AT62" s="5760"/>
      <c r="AU62" s="5758">
        <f t="shared" si="68"/>
        <v>0</v>
      </c>
      <c r="AV62" s="5775"/>
      <c r="AW62" s="5775"/>
      <c r="AX62" s="5760"/>
      <c r="AY62" s="5758">
        <f t="shared" si="69"/>
        <v>0</v>
      </c>
      <c r="AZ62" s="5775"/>
      <c r="BA62" s="5775"/>
      <c r="BB62" s="5974"/>
      <c r="BC62" s="5759">
        <f t="shared" si="70"/>
        <v>0</v>
      </c>
      <c r="BD62" s="5762"/>
      <c r="BE62" s="5763">
        <f t="shared" si="13"/>
        <v>0</v>
      </c>
      <c r="BF62" s="5760"/>
      <c r="BG62" s="5758">
        <f t="shared" si="71"/>
        <v>0</v>
      </c>
      <c r="BH62" s="26"/>
      <c r="BI62" s="26"/>
    </row>
    <row r="63" spans="1:61" ht="16.5" x14ac:dyDescent="0.25">
      <c r="C63" s="5755" t="s">
        <v>979</v>
      </c>
      <c r="D63" s="5755" t="s">
        <v>1077</v>
      </c>
      <c r="E63" s="7783"/>
      <c r="F63" s="5755"/>
      <c r="G63" s="5775"/>
      <c r="H63" s="5775"/>
      <c r="I63" s="5775"/>
      <c r="J63" s="5758"/>
      <c r="K63" s="5758">
        <f t="shared" si="15"/>
        <v>0</v>
      </c>
      <c r="L63" s="5775"/>
      <c r="M63" s="5775">
        <v>3049</v>
      </c>
      <c r="N63" s="5759"/>
      <c r="O63" s="5759">
        <f t="shared" si="2"/>
        <v>3049</v>
      </c>
      <c r="P63" s="5775"/>
      <c r="Q63" s="5775">
        <v>564</v>
      </c>
      <c r="R63" s="5760"/>
      <c r="S63" s="5758">
        <f t="shared" si="3"/>
        <v>3613</v>
      </c>
      <c r="T63" s="5775"/>
      <c r="U63" s="5775">
        <v>1205</v>
      </c>
      <c r="V63" s="5760"/>
      <c r="W63" s="5758">
        <f t="shared" si="4"/>
        <v>4818</v>
      </c>
      <c r="X63" s="5761"/>
      <c r="Y63" s="5775">
        <v>517.92999999999995</v>
      </c>
      <c r="Z63" s="5759"/>
      <c r="AA63" s="5759">
        <f t="shared" si="5"/>
        <v>2286.9299999999998</v>
      </c>
      <c r="AB63" s="5762"/>
      <c r="AC63" s="5763">
        <f t="shared" si="6"/>
        <v>5335.93</v>
      </c>
      <c r="AD63" s="5775"/>
      <c r="AE63" s="5775"/>
      <c r="AF63" s="5760"/>
      <c r="AG63" s="5758">
        <f t="shared" si="7"/>
        <v>5335.93</v>
      </c>
      <c r="AH63" s="5775"/>
      <c r="AI63" s="5775"/>
      <c r="AJ63" s="5760"/>
      <c r="AK63" s="5758">
        <f t="shared" si="8"/>
        <v>5335.93</v>
      </c>
      <c r="AL63" s="5775"/>
      <c r="AM63" s="5775">
        <v>7426.482</v>
      </c>
      <c r="AN63" s="5974"/>
      <c r="AO63" s="5759">
        <f t="shared" si="9"/>
        <v>7426.482</v>
      </c>
      <c r="AP63" s="5760"/>
      <c r="AQ63" s="5758">
        <f t="shared" si="67"/>
        <v>12762.412</v>
      </c>
      <c r="AR63" s="5775"/>
      <c r="AS63" s="5775">
        <v>5065.1440000000002</v>
      </c>
      <c r="AT63" s="5760"/>
      <c r="AU63" s="5758">
        <f t="shared" si="68"/>
        <v>17827.556</v>
      </c>
      <c r="AV63" s="5775"/>
      <c r="AW63" s="5775">
        <v>3792.5160000000001</v>
      </c>
      <c r="AX63" s="5760"/>
      <c r="AY63" s="5758">
        <f t="shared" si="69"/>
        <v>21620.072</v>
      </c>
      <c r="AZ63" s="5775"/>
      <c r="BA63" s="5775">
        <v>1951</v>
      </c>
      <c r="BB63" s="5974"/>
      <c r="BC63" s="5759">
        <f t="shared" si="70"/>
        <v>10808.66</v>
      </c>
      <c r="BD63" s="5762"/>
      <c r="BE63" s="5763">
        <f t="shared" si="13"/>
        <v>18235.142</v>
      </c>
      <c r="BF63" s="5760"/>
      <c r="BG63" s="5758">
        <f t="shared" si="71"/>
        <v>23571.072</v>
      </c>
      <c r="BH63" s="26"/>
      <c r="BI63" s="26"/>
    </row>
    <row r="64" spans="1:61" ht="16.5" x14ac:dyDescent="0.25">
      <c r="A64" s="2637"/>
      <c r="B64" s="2637"/>
      <c r="C64" s="5755" t="s">
        <v>979</v>
      </c>
      <c r="D64" s="5755" t="s">
        <v>1548</v>
      </c>
      <c r="E64" s="7783"/>
      <c r="F64" s="5755"/>
      <c r="G64" s="5775"/>
      <c r="H64" s="5775"/>
      <c r="I64" s="5775"/>
      <c r="J64" s="5758"/>
      <c r="K64" s="5758">
        <f t="shared" si="15"/>
        <v>0</v>
      </c>
      <c r="L64" s="5775"/>
      <c r="M64" s="5775">
        <v>588</v>
      </c>
      <c r="N64" s="5759"/>
      <c r="O64" s="5759">
        <f t="shared" si="2"/>
        <v>588</v>
      </c>
      <c r="P64" s="5775"/>
      <c r="Q64" s="5775">
        <v>254</v>
      </c>
      <c r="R64" s="5760"/>
      <c r="S64" s="5758">
        <f t="shared" si="3"/>
        <v>842</v>
      </c>
      <c r="T64" s="5775"/>
      <c r="U64" s="5775"/>
      <c r="V64" s="5760"/>
      <c r="W64" s="5758">
        <f t="shared" si="4"/>
        <v>842</v>
      </c>
      <c r="X64" s="5761"/>
      <c r="Y64" s="5775"/>
      <c r="Z64" s="5759"/>
      <c r="AA64" s="5759">
        <f t="shared" si="5"/>
        <v>254</v>
      </c>
      <c r="AB64" s="5762"/>
      <c r="AC64" s="5763">
        <f t="shared" si="6"/>
        <v>842</v>
      </c>
      <c r="AD64" s="5775"/>
      <c r="AE64" s="5775"/>
      <c r="AF64" s="5760"/>
      <c r="AG64" s="5758">
        <f t="shared" si="7"/>
        <v>842</v>
      </c>
      <c r="AH64" s="5775"/>
      <c r="AI64" s="5775"/>
      <c r="AJ64" s="5760"/>
      <c r="AK64" s="5758">
        <f t="shared" si="8"/>
        <v>842</v>
      </c>
      <c r="AL64" s="5775"/>
      <c r="AM64" s="5775"/>
      <c r="AN64" s="5974"/>
      <c r="AO64" s="5759">
        <f t="shared" si="9"/>
        <v>0</v>
      </c>
      <c r="AP64" s="5760"/>
      <c r="AQ64" s="5758">
        <f t="shared" si="67"/>
        <v>842</v>
      </c>
      <c r="AR64" s="5775"/>
      <c r="AS64" s="5775"/>
      <c r="AT64" s="5760"/>
      <c r="AU64" s="5758">
        <f t="shared" si="68"/>
        <v>842</v>
      </c>
      <c r="AV64" s="5775"/>
      <c r="AW64" s="5775"/>
      <c r="AX64" s="5760"/>
      <c r="AY64" s="5758">
        <f t="shared" si="69"/>
        <v>842</v>
      </c>
      <c r="AZ64" s="5775"/>
      <c r="BA64" s="5775"/>
      <c r="BB64" s="5974"/>
      <c r="BC64" s="5759">
        <f t="shared" si="70"/>
        <v>0</v>
      </c>
      <c r="BD64" s="5762"/>
      <c r="BE64" s="5763">
        <f t="shared" si="13"/>
        <v>0</v>
      </c>
      <c r="BF64" s="5760"/>
      <c r="BG64" s="5758">
        <f t="shared" si="71"/>
        <v>842</v>
      </c>
      <c r="BH64" s="26"/>
      <c r="BI64" s="26"/>
    </row>
    <row r="65" spans="1:61" ht="16.5" x14ac:dyDescent="0.25">
      <c r="C65" s="5755" t="s">
        <v>979</v>
      </c>
      <c r="D65" s="5755" t="s">
        <v>1078</v>
      </c>
      <c r="E65" s="7783"/>
      <c r="F65" s="5755"/>
      <c r="G65" s="5775"/>
      <c r="H65" s="5775"/>
      <c r="I65" s="5775"/>
      <c r="J65" s="5758"/>
      <c r="K65" s="5758">
        <f t="shared" si="15"/>
        <v>0</v>
      </c>
      <c r="L65" s="5775"/>
      <c r="M65" s="5775"/>
      <c r="N65" s="5759"/>
      <c r="O65" s="5759">
        <f t="shared" si="2"/>
        <v>0</v>
      </c>
      <c r="P65" s="5775"/>
      <c r="Q65" s="5775"/>
      <c r="R65" s="5760"/>
      <c r="S65" s="5758">
        <f t="shared" si="3"/>
        <v>0</v>
      </c>
      <c r="T65" s="5775"/>
      <c r="U65" s="5775"/>
      <c r="V65" s="5760"/>
      <c r="W65" s="5758">
        <f t="shared" si="4"/>
        <v>0</v>
      </c>
      <c r="X65" s="5761"/>
      <c r="Y65" s="5775"/>
      <c r="Z65" s="5759"/>
      <c r="AA65" s="5759">
        <f t="shared" si="5"/>
        <v>0</v>
      </c>
      <c r="AB65" s="5762"/>
      <c r="AC65" s="5763">
        <f t="shared" si="6"/>
        <v>0</v>
      </c>
      <c r="AD65" s="5775"/>
      <c r="AE65" s="5775"/>
      <c r="AF65" s="5760"/>
      <c r="AG65" s="5758">
        <f t="shared" si="7"/>
        <v>0</v>
      </c>
      <c r="AH65" s="5775"/>
      <c r="AI65" s="5775"/>
      <c r="AJ65" s="5760"/>
      <c r="AK65" s="5758">
        <f t="shared" si="8"/>
        <v>0</v>
      </c>
      <c r="AL65" s="5775"/>
      <c r="AM65" s="5775"/>
      <c r="AN65" s="5974"/>
      <c r="AO65" s="5759">
        <f t="shared" si="9"/>
        <v>0</v>
      </c>
      <c r="AP65" s="5760"/>
      <c r="AQ65" s="5758">
        <f t="shared" si="67"/>
        <v>0</v>
      </c>
      <c r="AR65" s="5775"/>
      <c r="AS65" s="5775"/>
      <c r="AT65" s="5760"/>
      <c r="AU65" s="5758">
        <f t="shared" si="68"/>
        <v>0</v>
      </c>
      <c r="AV65" s="5775"/>
      <c r="AW65" s="5775"/>
      <c r="AX65" s="5760"/>
      <c r="AY65" s="5758">
        <f t="shared" si="69"/>
        <v>0</v>
      </c>
      <c r="AZ65" s="5775"/>
      <c r="BA65" s="5775"/>
      <c r="BB65" s="5974"/>
      <c r="BC65" s="5759">
        <f t="shared" si="70"/>
        <v>0</v>
      </c>
      <c r="BD65" s="5762"/>
      <c r="BE65" s="5763">
        <f t="shared" si="13"/>
        <v>0</v>
      </c>
      <c r="BF65" s="5760"/>
      <c r="BG65" s="5758">
        <f t="shared" si="71"/>
        <v>0</v>
      </c>
      <c r="BH65" s="26"/>
      <c r="BI65" s="26"/>
    </row>
    <row r="66" spans="1:61" ht="16.5" x14ac:dyDescent="0.25">
      <c r="A66" s="1804"/>
      <c r="B66" s="1804"/>
      <c r="C66" s="5755" t="s">
        <v>979</v>
      </c>
      <c r="D66" s="5755" t="s">
        <v>1586</v>
      </c>
      <c r="E66" s="7783"/>
      <c r="F66" s="5755"/>
      <c r="G66" s="5775">
        <v>723</v>
      </c>
      <c r="H66" s="5775"/>
      <c r="I66" s="5775">
        <v>590</v>
      </c>
      <c r="J66" s="5758"/>
      <c r="K66" s="5758">
        <f t="shared" si="15"/>
        <v>1313</v>
      </c>
      <c r="L66" s="5775"/>
      <c r="M66" s="5775"/>
      <c r="N66" s="5759"/>
      <c r="O66" s="5759">
        <f t="shared" si="2"/>
        <v>1313</v>
      </c>
      <c r="P66" s="5775"/>
      <c r="Q66" s="5775">
        <v>3702</v>
      </c>
      <c r="R66" s="5760"/>
      <c r="S66" s="5758">
        <f t="shared" si="3"/>
        <v>5015</v>
      </c>
      <c r="T66" s="5775"/>
      <c r="U66" s="5775">
        <v>408</v>
      </c>
      <c r="V66" s="5760"/>
      <c r="W66" s="5758">
        <f t="shared" si="4"/>
        <v>5423</v>
      </c>
      <c r="X66" s="5761"/>
      <c r="Y66" s="5775"/>
      <c r="Z66" s="5759"/>
      <c r="AA66" s="5759">
        <f t="shared" si="5"/>
        <v>4110</v>
      </c>
      <c r="AB66" s="5762"/>
      <c r="AC66" s="5763">
        <f t="shared" si="6"/>
        <v>5423</v>
      </c>
      <c r="AD66" s="5775"/>
      <c r="AE66" s="5775"/>
      <c r="AF66" s="5760"/>
      <c r="AG66" s="5758">
        <f t="shared" si="7"/>
        <v>5423</v>
      </c>
      <c r="AH66" s="5775"/>
      <c r="AI66" s="5775"/>
      <c r="AJ66" s="5760"/>
      <c r="AK66" s="5758">
        <f t="shared" si="8"/>
        <v>5423</v>
      </c>
      <c r="AL66" s="5775"/>
      <c r="AM66" s="5775"/>
      <c r="AN66" s="5974"/>
      <c r="AO66" s="5759">
        <f t="shared" si="9"/>
        <v>0</v>
      </c>
      <c r="AP66" s="5760"/>
      <c r="AQ66" s="6045">
        <f t="shared" si="67"/>
        <v>5423</v>
      </c>
      <c r="AR66" s="5775"/>
      <c r="AS66" s="5775">
        <v>832.91600000000005</v>
      </c>
      <c r="AT66" s="5760"/>
      <c r="AU66" s="5758">
        <f t="shared" si="68"/>
        <v>6255.9160000000002</v>
      </c>
      <c r="AV66" s="5775"/>
      <c r="AW66" s="5775">
        <v>1663.7180000000001</v>
      </c>
      <c r="AX66" s="5760"/>
      <c r="AY66" s="5758">
        <f t="shared" si="69"/>
        <v>7919.634</v>
      </c>
      <c r="AZ66" s="5775"/>
      <c r="BA66" s="5775"/>
      <c r="BB66" s="5974"/>
      <c r="BC66" s="5759">
        <f t="shared" si="70"/>
        <v>2496.634</v>
      </c>
      <c r="BD66" s="5762"/>
      <c r="BE66" s="5763">
        <f t="shared" si="13"/>
        <v>2496.634</v>
      </c>
      <c r="BF66" s="5760"/>
      <c r="BG66" s="5758">
        <f t="shared" si="71"/>
        <v>7919.634</v>
      </c>
      <c r="BH66" s="26"/>
      <c r="BI66" s="26"/>
    </row>
    <row r="67" spans="1:61" ht="16.5" x14ac:dyDescent="0.25">
      <c r="A67" s="3057"/>
      <c r="B67" s="3057"/>
      <c r="C67" s="5776" t="s">
        <v>979</v>
      </c>
      <c r="D67" s="5776" t="s">
        <v>1733</v>
      </c>
      <c r="E67" s="7783"/>
      <c r="F67" s="5776"/>
      <c r="G67" s="5777"/>
      <c r="H67" s="5777"/>
      <c r="I67" s="5777">
        <v>258</v>
      </c>
      <c r="J67" s="5778"/>
      <c r="K67" s="5758">
        <f t="shared" si="15"/>
        <v>258</v>
      </c>
      <c r="L67" s="5777"/>
      <c r="M67" s="5777"/>
      <c r="N67" s="5779"/>
      <c r="O67" s="5759">
        <f t="shared" si="2"/>
        <v>258</v>
      </c>
      <c r="P67" s="5777"/>
      <c r="Q67" s="5777"/>
      <c r="R67" s="5760"/>
      <c r="S67" s="5758">
        <f t="shared" si="3"/>
        <v>258</v>
      </c>
      <c r="T67" s="5777"/>
      <c r="U67" s="5777"/>
      <c r="V67" s="5760"/>
      <c r="W67" s="5758">
        <f t="shared" si="4"/>
        <v>258</v>
      </c>
      <c r="X67" s="5761"/>
      <c r="Y67" s="6046">
        <v>725.10199999999998</v>
      </c>
      <c r="Z67" s="5779"/>
      <c r="AA67" s="5759">
        <f t="shared" si="5"/>
        <v>725.10199999999998</v>
      </c>
      <c r="AB67" s="5762"/>
      <c r="AC67" s="5763">
        <f t="shared" si="6"/>
        <v>983.10199999999998</v>
      </c>
      <c r="AD67" s="5777"/>
      <c r="AE67" s="5777"/>
      <c r="AF67" s="5760"/>
      <c r="AG67" s="5758">
        <f t="shared" si="7"/>
        <v>983.10199999999998</v>
      </c>
      <c r="AH67" s="5777"/>
      <c r="AI67" s="5777"/>
      <c r="AJ67" s="5760"/>
      <c r="AK67" s="5758">
        <f t="shared" si="8"/>
        <v>983.10199999999998</v>
      </c>
      <c r="AL67" s="5777"/>
      <c r="AM67" s="5777">
        <v>257.90800000000002</v>
      </c>
      <c r="AN67" s="5974"/>
      <c r="AO67" s="5759">
        <f t="shared" si="9"/>
        <v>257.90800000000002</v>
      </c>
      <c r="AP67" s="5760"/>
      <c r="AQ67" s="6045">
        <f t="shared" si="67"/>
        <v>1241.01</v>
      </c>
      <c r="AR67" s="5777"/>
      <c r="AS67" s="5777"/>
      <c r="AT67" s="5760"/>
      <c r="AU67" s="5758">
        <f t="shared" si="68"/>
        <v>1241.01</v>
      </c>
      <c r="AV67" s="5777"/>
      <c r="AW67" s="5777"/>
      <c r="AX67" s="5760"/>
      <c r="AY67" s="5758">
        <f t="shared" si="69"/>
        <v>1241.01</v>
      </c>
      <c r="AZ67" s="5777"/>
      <c r="BA67" s="5777"/>
      <c r="BB67" s="5974"/>
      <c r="BC67" s="5759">
        <f t="shared" si="70"/>
        <v>0</v>
      </c>
      <c r="BD67" s="5762"/>
      <c r="BE67" s="5763">
        <f t="shared" si="13"/>
        <v>257.90800000000002</v>
      </c>
      <c r="BF67" s="5760"/>
      <c r="BG67" s="5758">
        <f t="shared" si="71"/>
        <v>1241.01</v>
      </c>
      <c r="BH67" s="26"/>
      <c r="BI67" s="26"/>
    </row>
    <row r="68" spans="1:61" ht="16.5" x14ac:dyDescent="0.25">
      <c r="A68" s="2685"/>
      <c r="B68" s="2685"/>
      <c r="C68" s="5755" t="s">
        <v>979</v>
      </c>
      <c r="D68" s="5755" t="s">
        <v>1670</v>
      </c>
      <c r="E68" s="7783"/>
      <c r="F68" s="5755"/>
      <c r="G68" s="5775"/>
      <c r="H68" s="5775"/>
      <c r="I68" s="5775"/>
      <c r="J68" s="5758"/>
      <c r="K68" s="5758">
        <f t="shared" si="15"/>
        <v>0</v>
      </c>
      <c r="L68" s="5775"/>
      <c r="M68" s="5775"/>
      <c r="N68" s="5759"/>
      <c r="O68" s="5759">
        <f t="shared" si="2"/>
        <v>0</v>
      </c>
      <c r="P68" s="5775"/>
      <c r="Q68" s="5775">
        <v>583</v>
      </c>
      <c r="R68" s="5760"/>
      <c r="S68" s="5758">
        <f t="shared" si="3"/>
        <v>583</v>
      </c>
      <c r="T68" s="5775"/>
      <c r="U68" s="5775"/>
      <c r="V68" s="5760"/>
      <c r="W68" s="5758">
        <f t="shared" si="4"/>
        <v>583</v>
      </c>
      <c r="X68" s="5761"/>
      <c r="Y68" s="5775">
        <v>160.66399999999999</v>
      </c>
      <c r="Z68" s="5759"/>
      <c r="AA68" s="5759">
        <f t="shared" si="5"/>
        <v>743.66399999999999</v>
      </c>
      <c r="AB68" s="5762"/>
      <c r="AC68" s="5763">
        <f t="shared" si="6"/>
        <v>743.66399999999999</v>
      </c>
      <c r="AD68" s="5775"/>
      <c r="AE68" s="5775"/>
      <c r="AF68" s="5760"/>
      <c r="AG68" s="5758">
        <f t="shared" si="7"/>
        <v>743.66399999999999</v>
      </c>
      <c r="AH68" s="5775"/>
      <c r="AI68" s="5775"/>
      <c r="AJ68" s="5760"/>
      <c r="AK68" s="5758">
        <f t="shared" si="8"/>
        <v>743.66399999999999</v>
      </c>
      <c r="AL68" s="5775"/>
      <c r="AM68" s="5775"/>
      <c r="AN68" s="5974"/>
      <c r="AO68" s="5759">
        <f t="shared" si="9"/>
        <v>0</v>
      </c>
      <c r="AP68" s="5760"/>
      <c r="AQ68" s="5758">
        <f t="shared" si="67"/>
        <v>743.66399999999999</v>
      </c>
      <c r="AR68" s="5775"/>
      <c r="AS68" s="5775"/>
      <c r="AT68" s="5760"/>
      <c r="AU68" s="5758">
        <f t="shared" si="68"/>
        <v>743.66399999999999</v>
      </c>
      <c r="AV68" s="5775"/>
      <c r="AW68" s="5775"/>
      <c r="AX68" s="5760"/>
      <c r="AY68" s="5758">
        <f t="shared" si="69"/>
        <v>743.66399999999999</v>
      </c>
      <c r="AZ68" s="5775"/>
      <c r="BA68" s="5775"/>
      <c r="BB68" s="5974"/>
      <c r="BC68" s="5759">
        <f t="shared" si="70"/>
        <v>0</v>
      </c>
      <c r="BD68" s="5762"/>
      <c r="BE68" s="5763">
        <f t="shared" si="13"/>
        <v>0</v>
      </c>
      <c r="BF68" s="5760"/>
      <c r="BG68" s="5758">
        <f t="shared" si="71"/>
        <v>743.66399999999999</v>
      </c>
      <c r="BH68" s="26"/>
      <c r="BI68" s="26"/>
    </row>
    <row r="69" spans="1:61" s="5172" customFormat="1" ht="16.5" x14ac:dyDescent="0.25">
      <c r="C69" s="5755" t="s">
        <v>979</v>
      </c>
      <c r="D69" s="5780" t="s">
        <v>2014</v>
      </c>
      <c r="E69" s="7783"/>
      <c r="F69" s="5780"/>
      <c r="G69" s="5781"/>
      <c r="H69" s="5781"/>
      <c r="I69" s="5781"/>
      <c r="J69" s="5782"/>
      <c r="K69" s="5758">
        <f t="shared" si="15"/>
        <v>0</v>
      </c>
      <c r="L69" s="5781"/>
      <c r="M69" s="5781"/>
      <c r="N69" s="5783"/>
      <c r="O69" s="5759">
        <f t="shared" si="2"/>
        <v>0</v>
      </c>
      <c r="P69" s="5781"/>
      <c r="Q69" s="5781"/>
      <c r="R69" s="5760"/>
      <c r="S69" s="5758">
        <f t="shared" si="3"/>
        <v>0</v>
      </c>
      <c r="T69" s="5781"/>
      <c r="U69" s="5781"/>
      <c r="V69" s="5760"/>
      <c r="W69" s="5758">
        <f t="shared" si="4"/>
        <v>0</v>
      </c>
      <c r="X69" s="5781"/>
      <c r="Y69" s="5781"/>
      <c r="Z69" s="5783"/>
      <c r="AA69" s="5759">
        <f t="shared" si="5"/>
        <v>0</v>
      </c>
      <c r="AB69" s="5784"/>
      <c r="AC69" s="5763">
        <f t="shared" si="6"/>
        <v>0</v>
      </c>
      <c r="AD69" s="5781"/>
      <c r="AE69" s="5781">
        <v>293.846</v>
      </c>
      <c r="AF69" s="5760"/>
      <c r="AG69" s="5758">
        <f t="shared" si="7"/>
        <v>293.846</v>
      </c>
      <c r="AH69" s="5781"/>
      <c r="AI69" s="5781"/>
      <c r="AJ69" s="5760"/>
      <c r="AK69" s="5758">
        <f t="shared" si="8"/>
        <v>293.846</v>
      </c>
      <c r="AL69" s="5781"/>
      <c r="AM69" s="5781"/>
      <c r="AN69" s="5974"/>
      <c r="AO69" s="5759">
        <f t="shared" si="9"/>
        <v>293.846</v>
      </c>
      <c r="AP69" s="5760"/>
      <c r="AQ69" s="5758">
        <f t="shared" si="67"/>
        <v>293.846</v>
      </c>
      <c r="AR69" s="5781"/>
      <c r="AS69" s="5781"/>
      <c r="AT69" s="5760"/>
      <c r="AU69" s="5758">
        <f t="shared" si="68"/>
        <v>293.846</v>
      </c>
      <c r="AV69" s="5781"/>
      <c r="AW69" s="5781"/>
      <c r="AX69" s="5760"/>
      <c r="AY69" s="5758">
        <f t="shared" si="69"/>
        <v>293.846</v>
      </c>
      <c r="AZ69" s="5781"/>
      <c r="BA69" s="5781"/>
      <c r="BB69" s="5974"/>
      <c r="BC69" s="5759">
        <f t="shared" si="70"/>
        <v>0</v>
      </c>
      <c r="BD69" s="5784"/>
      <c r="BE69" s="5763">
        <f t="shared" si="13"/>
        <v>293.846</v>
      </c>
      <c r="BF69" s="5760"/>
      <c r="BG69" s="5758">
        <f t="shared" si="71"/>
        <v>293.846</v>
      </c>
      <c r="BH69" s="26"/>
      <c r="BI69" s="26"/>
    </row>
    <row r="70" spans="1:61" ht="16.5" x14ac:dyDescent="0.25">
      <c r="A70" s="2685"/>
      <c r="B70" s="2685"/>
      <c r="C70" s="5755" t="s">
        <v>979</v>
      </c>
      <c r="D70" s="5755" t="s">
        <v>1671</v>
      </c>
      <c r="E70" s="7783"/>
      <c r="F70" s="5755"/>
      <c r="G70" s="5775"/>
      <c r="H70" s="5775"/>
      <c r="I70" s="5775"/>
      <c r="J70" s="5758"/>
      <c r="K70" s="5758">
        <f t="shared" si="15"/>
        <v>0</v>
      </c>
      <c r="L70" s="5775"/>
      <c r="M70" s="5775"/>
      <c r="N70" s="5759"/>
      <c r="O70" s="5759">
        <f t="shared" si="2"/>
        <v>0</v>
      </c>
      <c r="P70" s="5775"/>
      <c r="Q70" s="5775"/>
      <c r="R70" s="5760"/>
      <c r="S70" s="5758">
        <f t="shared" si="3"/>
        <v>0</v>
      </c>
      <c r="T70" s="5775"/>
      <c r="U70" s="5775">
        <v>651</v>
      </c>
      <c r="V70" s="5760"/>
      <c r="W70" s="5758">
        <f t="shared" si="4"/>
        <v>651</v>
      </c>
      <c r="X70" s="5761"/>
      <c r="Y70" s="5775"/>
      <c r="Z70" s="5759"/>
      <c r="AA70" s="5759">
        <f t="shared" si="5"/>
        <v>651</v>
      </c>
      <c r="AB70" s="5762"/>
      <c r="AC70" s="5763">
        <f t="shared" si="6"/>
        <v>651</v>
      </c>
      <c r="AD70" s="5775"/>
      <c r="AE70" s="5775"/>
      <c r="AF70" s="5760"/>
      <c r="AG70" s="5758">
        <f t="shared" si="7"/>
        <v>651</v>
      </c>
      <c r="AH70" s="5775"/>
      <c r="AI70" s="5775"/>
      <c r="AJ70" s="5760"/>
      <c r="AK70" s="5758">
        <f t="shared" si="8"/>
        <v>651</v>
      </c>
      <c r="AL70" s="5775"/>
      <c r="AM70" s="5775"/>
      <c r="AN70" s="5974"/>
      <c r="AO70" s="5759">
        <f t="shared" si="9"/>
        <v>0</v>
      </c>
      <c r="AP70" s="5760"/>
      <c r="AQ70" s="6045">
        <f t="shared" si="67"/>
        <v>651</v>
      </c>
      <c r="AR70" s="5775"/>
      <c r="AS70" s="5775"/>
      <c r="AT70" s="5760"/>
      <c r="AU70" s="5758">
        <f t="shared" si="68"/>
        <v>651</v>
      </c>
      <c r="AV70" s="5775"/>
      <c r="AW70" s="5775"/>
      <c r="AX70" s="5760"/>
      <c r="AY70" s="5758">
        <f t="shared" si="69"/>
        <v>651</v>
      </c>
      <c r="AZ70" s="5775"/>
      <c r="BA70" s="5775"/>
      <c r="BB70" s="5974"/>
      <c r="BC70" s="5759">
        <f t="shared" si="70"/>
        <v>0</v>
      </c>
      <c r="BD70" s="5762"/>
      <c r="BE70" s="5763">
        <f t="shared" ref="BE70:BE88" si="72">AO70+BC70</f>
        <v>0</v>
      </c>
      <c r="BF70" s="5760"/>
      <c r="BG70" s="5758">
        <f t="shared" si="71"/>
        <v>651</v>
      </c>
      <c r="BH70" s="26"/>
      <c r="BI70" s="26"/>
    </row>
    <row r="71" spans="1:61" ht="16.5" x14ac:dyDescent="0.25">
      <c r="C71" s="5755" t="s">
        <v>979</v>
      </c>
      <c r="D71" s="5755" t="s">
        <v>1372</v>
      </c>
      <c r="E71" s="7783"/>
      <c r="F71" s="5755"/>
      <c r="G71" s="5775"/>
      <c r="H71" s="5775"/>
      <c r="I71" s="5775"/>
      <c r="J71" s="5758"/>
      <c r="K71" s="5758">
        <f t="shared" si="15"/>
        <v>0</v>
      </c>
      <c r="L71" s="5775"/>
      <c r="M71" s="5775"/>
      <c r="N71" s="5759"/>
      <c r="O71" s="5759">
        <f t="shared" si="2"/>
        <v>0</v>
      </c>
      <c r="P71" s="5775"/>
      <c r="Q71" s="5775"/>
      <c r="R71" s="5760"/>
      <c r="S71" s="5758">
        <f t="shared" si="3"/>
        <v>0</v>
      </c>
      <c r="T71" s="5775"/>
      <c r="U71" s="5775"/>
      <c r="V71" s="5760"/>
      <c r="W71" s="5758">
        <f t="shared" si="4"/>
        <v>0</v>
      </c>
      <c r="X71" s="5761"/>
      <c r="Y71" s="5775"/>
      <c r="Z71" s="5759"/>
      <c r="AA71" s="5759">
        <f t="shared" si="5"/>
        <v>0</v>
      </c>
      <c r="AB71" s="5762"/>
      <c r="AC71" s="5763">
        <f t="shared" si="6"/>
        <v>0</v>
      </c>
      <c r="AD71" s="5775"/>
      <c r="AE71" s="5775"/>
      <c r="AF71" s="5760"/>
      <c r="AG71" s="5758">
        <f t="shared" si="7"/>
        <v>0</v>
      </c>
      <c r="AH71" s="5775"/>
      <c r="AI71" s="5775"/>
      <c r="AJ71" s="5760"/>
      <c r="AK71" s="5758">
        <f t="shared" si="8"/>
        <v>0</v>
      </c>
      <c r="AL71" s="5775"/>
      <c r="AM71" s="5775"/>
      <c r="AN71" s="5974"/>
      <c r="AO71" s="5759">
        <f t="shared" si="9"/>
        <v>0</v>
      </c>
      <c r="AP71" s="5760"/>
      <c r="AQ71" s="5758">
        <f t="shared" si="67"/>
        <v>0</v>
      </c>
      <c r="AR71" s="5775"/>
      <c r="AS71" s="5775"/>
      <c r="AT71" s="5760"/>
      <c r="AU71" s="5758">
        <f t="shared" si="68"/>
        <v>0</v>
      </c>
      <c r="AV71" s="5775"/>
      <c r="AW71" s="5775"/>
      <c r="AX71" s="5760"/>
      <c r="AY71" s="5758">
        <f t="shared" si="69"/>
        <v>0</v>
      </c>
      <c r="AZ71" s="5775"/>
      <c r="BA71" s="5775"/>
      <c r="BB71" s="5974"/>
      <c r="BC71" s="5759">
        <f t="shared" si="70"/>
        <v>0</v>
      </c>
      <c r="BD71" s="5762"/>
      <c r="BE71" s="5763">
        <f t="shared" si="72"/>
        <v>0</v>
      </c>
      <c r="BF71" s="5760"/>
      <c r="BG71" s="5758">
        <f t="shared" si="71"/>
        <v>0</v>
      </c>
      <c r="BH71" s="26"/>
      <c r="BI71" s="26"/>
    </row>
    <row r="72" spans="1:61" ht="16.5" x14ac:dyDescent="0.25">
      <c r="C72" s="5755" t="s">
        <v>979</v>
      </c>
      <c r="D72" s="5755" t="s">
        <v>1282</v>
      </c>
      <c r="E72" s="7783"/>
      <c r="F72" s="5755"/>
      <c r="G72" s="5775"/>
      <c r="H72" s="5775"/>
      <c r="I72" s="5775"/>
      <c r="J72" s="5758"/>
      <c r="K72" s="5758">
        <f t="shared" si="15"/>
        <v>0</v>
      </c>
      <c r="L72" s="5775"/>
      <c r="M72" s="5775"/>
      <c r="N72" s="5759"/>
      <c r="O72" s="5759">
        <f t="shared" si="2"/>
        <v>0</v>
      </c>
      <c r="P72" s="5775"/>
      <c r="Q72" s="5775"/>
      <c r="R72" s="5760"/>
      <c r="S72" s="5758">
        <f t="shared" si="3"/>
        <v>0</v>
      </c>
      <c r="T72" s="5775"/>
      <c r="U72" s="5775"/>
      <c r="V72" s="5760"/>
      <c r="W72" s="5758">
        <f t="shared" si="4"/>
        <v>0</v>
      </c>
      <c r="X72" s="5761"/>
      <c r="Y72" s="5775"/>
      <c r="Z72" s="5759"/>
      <c r="AA72" s="5759">
        <f t="shared" si="5"/>
        <v>0</v>
      </c>
      <c r="AB72" s="5762"/>
      <c r="AC72" s="5763">
        <f t="shared" si="6"/>
        <v>0</v>
      </c>
      <c r="AD72" s="5775"/>
      <c r="AE72" s="5775"/>
      <c r="AF72" s="5760"/>
      <c r="AG72" s="5758">
        <f t="shared" si="7"/>
        <v>0</v>
      </c>
      <c r="AH72" s="5775"/>
      <c r="AI72" s="5775"/>
      <c r="AJ72" s="5760"/>
      <c r="AK72" s="5758">
        <f t="shared" si="8"/>
        <v>0</v>
      </c>
      <c r="AL72" s="5775"/>
      <c r="AM72" s="5775"/>
      <c r="AN72" s="5974"/>
      <c r="AO72" s="5759">
        <f t="shared" si="9"/>
        <v>0</v>
      </c>
      <c r="AP72" s="5760"/>
      <c r="AQ72" s="5758">
        <f t="shared" si="67"/>
        <v>0</v>
      </c>
      <c r="AR72" s="5775"/>
      <c r="AS72" s="5775"/>
      <c r="AT72" s="5760"/>
      <c r="AU72" s="5758">
        <f t="shared" si="68"/>
        <v>0</v>
      </c>
      <c r="AV72" s="5775"/>
      <c r="AW72" s="5775"/>
      <c r="AX72" s="5760"/>
      <c r="AY72" s="5758">
        <f t="shared" si="69"/>
        <v>0</v>
      </c>
      <c r="AZ72" s="5775"/>
      <c r="BA72" s="5775"/>
      <c r="BB72" s="5974"/>
      <c r="BC72" s="5759">
        <f t="shared" si="70"/>
        <v>0</v>
      </c>
      <c r="BD72" s="5762"/>
      <c r="BE72" s="5763">
        <f t="shared" si="72"/>
        <v>0</v>
      </c>
      <c r="BF72" s="5760"/>
      <c r="BG72" s="5758">
        <f t="shared" si="71"/>
        <v>0</v>
      </c>
      <c r="BH72" s="26"/>
      <c r="BI72" s="26"/>
    </row>
    <row r="73" spans="1:61" ht="16.5" x14ac:dyDescent="0.25">
      <c r="C73" s="5755" t="s">
        <v>979</v>
      </c>
      <c r="D73" s="5755" t="s">
        <v>1269</v>
      </c>
      <c r="E73" s="7783"/>
      <c r="F73" s="5755"/>
      <c r="G73" s="5775">
        <v>442</v>
      </c>
      <c r="H73" s="5775"/>
      <c r="I73" s="5775">
        <v>104</v>
      </c>
      <c r="J73" s="5758"/>
      <c r="K73" s="5758">
        <f t="shared" si="15"/>
        <v>546</v>
      </c>
      <c r="L73" s="5775"/>
      <c r="M73" s="5775"/>
      <c r="N73" s="5759"/>
      <c r="O73" s="5759">
        <f t="shared" si="2"/>
        <v>546</v>
      </c>
      <c r="P73" s="5775"/>
      <c r="Q73" s="5775"/>
      <c r="R73" s="5769"/>
      <c r="S73" s="5758">
        <f t="shared" si="3"/>
        <v>546</v>
      </c>
      <c r="T73" s="5775"/>
      <c r="U73" s="5775">
        <v>268</v>
      </c>
      <c r="V73" s="5769"/>
      <c r="W73" s="5758">
        <f t="shared" si="4"/>
        <v>814</v>
      </c>
      <c r="X73" s="5761"/>
      <c r="Y73" s="5775">
        <v>253.68</v>
      </c>
      <c r="Z73" s="5759"/>
      <c r="AA73" s="5759">
        <f t="shared" si="5"/>
        <v>521.68000000000006</v>
      </c>
      <c r="AB73" s="5762"/>
      <c r="AC73" s="5763">
        <f t="shared" si="6"/>
        <v>1067.68</v>
      </c>
      <c r="AD73" s="5775"/>
      <c r="AE73" s="5775"/>
      <c r="AF73" s="5769"/>
      <c r="AG73" s="5758">
        <f t="shared" si="7"/>
        <v>1067.68</v>
      </c>
      <c r="AH73" s="5775"/>
      <c r="AI73" s="5775"/>
      <c r="AJ73" s="5769"/>
      <c r="AK73" s="5758">
        <f t="shared" si="8"/>
        <v>1067.68</v>
      </c>
      <c r="AL73" s="5775"/>
      <c r="AM73" s="5775">
        <v>257.90800000000002</v>
      </c>
      <c r="AN73" s="5974"/>
      <c r="AO73" s="5759">
        <f t="shared" si="9"/>
        <v>257.90800000000002</v>
      </c>
      <c r="AP73" s="5769"/>
      <c r="AQ73" s="5758">
        <f t="shared" si="67"/>
        <v>1325.5880000000002</v>
      </c>
      <c r="AR73" s="5775"/>
      <c r="AS73" s="5775"/>
      <c r="AT73" s="5769"/>
      <c r="AU73" s="5758">
        <f t="shared" si="68"/>
        <v>1325.5880000000002</v>
      </c>
      <c r="AV73" s="5775"/>
      <c r="AW73" s="5775">
        <v>215.62799999999999</v>
      </c>
      <c r="AX73" s="5769"/>
      <c r="AY73" s="5758">
        <f t="shared" si="69"/>
        <v>1541.2160000000001</v>
      </c>
      <c r="AZ73" s="5775"/>
      <c r="BA73" s="5775"/>
      <c r="BB73" s="5974"/>
      <c r="BC73" s="5759">
        <f t="shared" si="70"/>
        <v>215.62799999999999</v>
      </c>
      <c r="BD73" s="5762"/>
      <c r="BE73" s="5763">
        <f t="shared" si="72"/>
        <v>473.536</v>
      </c>
      <c r="BF73" s="5769"/>
      <c r="BG73" s="5758">
        <f t="shared" si="71"/>
        <v>1541.2160000000001</v>
      </c>
      <c r="BH73" s="26"/>
      <c r="BI73" s="26"/>
    </row>
    <row r="74" spans="1:61" ht="16.5" x14ac:dyDescent="0.25">
      <c r="C74" s="5755" t="s">
        <v>979</v>
      </c>
      <c r="D74" s="5755" t="s">
        <v>1135</v>
      </c>
      <c r="E74" s="7783"/>
      <c r="F74" s="5755"/>
      <c r="G74" s="5775"/>
      <c r="H74" s="5775"/>
      <c r="I74" s="5775">
        <v>268.39999999999998</v>
      </c>
      <c r="J74" s="5758"/>
      <c r="K74" s="5758">
        <f t="shared" ref="K74:K88" si="73">+G74+I74</f>
        <v>268.39999999999998</v>
      </c>
      <c r="L74" s="5775"/>
      <c r="M74" s="5775"/>
      <c r="N74" s="5759"/>
      <c r="O74" s="5759">
        <f t="shared" ref="O74:O88" si="74">+G74+I74+M74</f>
        <v>268.39999999999998</v>
      </c>
      <c r="P74" s="5775"/>
      <c r="Q74" s="5775">
        <v>108</v>
      </c>
      <c r="R74" s="5760"/>
      <c r="S74" s="5758">
        <f t="shared" ref="S74:S88" si="75">O74+Q74</f>
        <v>376.4</v>
      </c>
      <c r="T74" s="5775"/>
      <c r="U74" s="5775"/>
      <c r="V74" s="5760"/>
      <c r="W74" s="5758">
        <f t="shared" ref="W74:W88" si="76">S74+U74</f>
        <v>376.4</v>
      </c>
      <c r="X74" s="5761"/>
      <c r="Y74" s="5775">
        <v>777.952</v>
      </c>
      <c r="Z74" s="5759"/>
      <c r="AA74" s="5759">
        <f t="shared" ref="AA74:AA88" si="77">Q74+U74+Y74</f>
        <v>885.952</v>
      </c>
      <c r="AB74" s="5762"/>
      <c r="AC74" s="5763">
        <f t="shared" ref="AC74:AC88" si="78">O74+AA74</f>
        <v>1154.3519999999999</v>
      </c>
      <c r="AD74" s="5775"/>
      <c r="AE74" s="5775">
        <v>105.7</v>
      </c>
      <c r="AF74" s="5760"/>
      <c r="AG74" s="5758">
        <f t="shared" ref="AG74:AG88" si="79">+AC74+AE74</f>
        <v>1260.0519999999999</v>
      </c>
      <c r="AH74" s="5775"/>
      <c r="AI74" s="5775"/>
      <c r="AJ74" s="5760"/>
      <c r="AK74" s="5758">
        <f t="shared" ref="AK74:AK88" si="80">+AG74+AI74</f>
        <v>1260.0519999999999</v>
      </c>
      <c r="AL74" s="5775"/>
      <c r="AM74" s="5775">
        <v>1010.492</v>
      </c>
      <c r="AN74" s="5974"/>
      <c r="AO74" s="5759">
        <f t="shared" ref="AO74:AO88" si="81">AE74+AI74+AM74</f>
        <v>1116.192</v>
      </c>
      <c r="AP74" s="5760"/>
      <c r="AQ74" s="5758">
        <f t="shared" si="67"/>
        <v>2270.5439999999999</v>
      </c>
      <c r="AR74" s="5775"/>
      <c r="AS74" s="5775">
        <v>323.44200000000001</v>
      </c>
      <c r="AT74" s="5760"/>
      <c r="AU74" s="5758">
        <f t="shared" si="68"/>
        <v>2593.9859999999999</v>
      </c>
      <c r="AV74" s="5775"/>
      <c r="AW74" s="5775">
        <v>109.928</v>
      </c>
      <c r="AX74" s="5760"/>
      <c r="AY74" s="5758">
        <f t="shared" si="69"/>
        <v>2703.9139999999998</v>
      </c>
      <c r="AZ74" s="5775"/>
      <c r="BA74" s="5775"/>
      <c r="BB74" s="5974"/>
      <c r="BC74" s="5759">
        <f t="shared" si="70"/>
        <v>433.37</v>
      </c>
      <c r="BD74" s="5762"/>
      <c r="BE74" s="5763">
        <f t="shared" si="72"/>
        <v>1549.5619999999999</v>
      </c>
      <c r="BF74" s="5760"/>
      <c r="BG74" s="5758">
        <f t="shared" si="71"/>
        <v>2703.9139999999998</v>
      </c>
      <c r="BH74" s="26"/>
      <c r="BI74" s="26"/>
    </row>
    <row r="75" spans="1:61" ht="16.5" x14ac:dyDescent="0.25">
      <c r="C75" s="5755" t="s">
        <v>979</v>
      </c>
      <c r="D75" s="5755" t="s">
        <v>945</v>
      </c>
      <c r="E75" s="7783"/>
      <c r="F75" s="5755"/>
      <c r="G75" s="5775">
        <v>15200</v>
      </c>
      <c r="H75" s="5785"/>
      <c r="I75" s="5775">
        <v>17368</v>
      </c>
      <c r="J75" s="5786"/>
      <c r="K75" s="5758">
        <f t="shared" si="73"/>
        <v>32568</v>
      </c>
      <c r="L75" s="5785"/>
      <c r="M75" s="5775">
        <v>2182</v>
      </c>
      <c r="N75" s="5787"/>
      <c r="O75" s="5759">
        <f t="shared" si="74"/>
        <v>34750</v>
      </c>
      <c r="P75" s="5785"/>
      <c r="Q75" s="5775">
        <v>5594</v>
      </c>
      <c r="R75" s="5760"/>
      <c r="S75" s="5758">
        <f t="shared" si="75"/>
        <v>40344</v>
      </c>
      <c r="T75" s="5785"/>
      <c r="U75" s="5775">
        <v>10520</v>
      </c>
      <c r="V75" s="5760"/>
      <c r="W75" s="5758">
        <f t="shared" si="76"/>
        <v>50864</v>
      </c>
      <c r="X75" s="5761"/>
      <c r="Y75" s="5775">
        <v>12119.562</v>
      </c>
      <c r="Z75" s="5787"/>
      <c r="AA75" s="5759">
        <f t="shared" si="77"/>
        <v>28233.561999999998</v>
      </c>
      <c r="AB75" s="5762"/>
      <c r="AC75" s="5763">
        <f t="shared" si="78"/>
        <v>62983.561999999998</v>
      </c>
      <c r="AD75" s="5785"/>
      <c r="AE75" s="5775">
        <v>5301.9119999999994</v>
      </c>
      <c r="AF75" s="5760"/>
      <c r="AG75" s="5758">
        <f t="shared" si="79"/>
        <v>68285.474000000002</v>
      </c>
      <c r="AH75" s="5785"/>
      <c r="AI75" s="5775">
        <v>13</v>
      </c>
      <c r="AJ75" s="5760"/>
      <c r="AK75" s="5758">
        <f t="shared" si="80"/>
        <v>68298.474000000002</v>
      </c>
      <c r="AL75" s="5785"/>
      <c r="AM75" s="5775">
        <v>13226.085999999999</v>
      </c>
      <c r="AN75" s="5974"/>
      <c r="AO75" s="5759">
        <f t="shared" si="81"/>
        <v>18540.998</v>
      </c>
      <c r="AP75" s="5760"/>
      <c r="AQ75" s="5758">
        <f t="shared" si="67"/>
        <v>81524.56</v>
      </c>
      <c r="AR75" s="5785"/>
      <c r="AS75" s="5775">
        <v>16717.511999999999</v>
      </c>
      <c r="AT75" s="5760"/>
      <c r="AU75" s="5758">
        <f t="shared" si="68"/>
        <v>98242.072</v>
      </c>
      <c r="AV75" s="5785"/>
      <c r="AW75" s="5775">
        <v>17791.423999999999</v>
      </c>
      <c r="AX75" s="5760"/>
      <c r="AY75" s="5758">
        <f t="shared" si="69"/>
        <v>116033.496</v>
      </c>
      <c r="AZ75" s="5785"/>
      <c r="BA75" s="5775">
        <v>20855</v>
      </c>
      <c r="BB75" s="5974"/>
      <c r="BC75" s="5759">
        <f t="shared" si="70"/>
        <v>55363.936000000002</v>
      </c>
      <c r="BD75" s="5762"/>
      <c r="BE75" s="5763">
        <f t="shared" si="72"/>
        <v>73904.934000000008</v>
      </c>
      <c r="BF75" s="5760"/>
      <c r="BG75" s="5758">
        <f t="shared" si="71"/>
        <v>136888.49599999998</v>
      </c>
      <c r="BH75" s="26"/>
      <c r="BI75" s="26"/>
    </row>
    <row r="76" spans="1:61" ht="16.5" x14ac:dyDescent="0.25">
      <c r="C76" s="5755" t="s">
        <v>979</v>
      </c>
      <c r="D76" s="5755" t="s">
        <v>992</v>
      </c>
      <c r="E76" s="7783"/>
      <c r="F76" s="5755"/>
      <c r="G76" s="5775">
        <v>13156</v>
      </c>
      <c r="H76" s="5785"/>
      <c r="I76" s="5775">
        <v>13247</v>
      </c>
      <c r="J76" s="5786"/>
      <c r="K76" s="5758">
        <f t="shared" si="73"/>
        <v>26403</v>
      </c>
      <c r="L76" s="5785"/>
      <c r="M76" s="5775">
        <v>2932</v>
      </c>
      <c r="N76" s="5787"/>
      <c r="O76" s="5759">
        <f t="shared" si="74"/>
        <v>29335</v>
      </c>
      <c r="P76" s="5785"/>
      <c r="Q76" s="5775">
        <v>16119</v>
      </c>
      <c r="R76" s="5769"/>
      <c r="S76" s="5758">
        <f t="shared" si="75"/>
        <v>45454</v>
      </c>
      <c r="T76" s="5785"/>
      <c r="U76" s="5775">
        <v>17118</v>
      </c>
      <c r="V76" s="5769"/>
      <c r="W76" s="5758">
        <f t="shared" si="76"/>
        <v>62572</v>
      </c>
      <c r="X76" s="5761"/>
      <c r="Y76" s="5775">
        <v>15444.884</v>
      </c>
      <c r="Z76" s="5787"/>
      <c r="AA76" s="5759">
        <f t="shared" si="77"/>
        <v>48681.883999999998</v>
      </c>
      <c r="AB76" s="5762"/>
      <c r="AC76" s="5763">
        <f t="shared" si="78"/>
        <v>78016.883999999991</v>
      </c>
      <c r="AD76" s="5785"/>
      <c r="AE76" s="5775">
        <v>105.7</v>
      </c>
      <c r="AF76" s="5769"/>
      <c r="AG76" s="5758">
        <f t="shared" si="79"/>
        <v>78122.583999999988</v>
      </c>
      <c r="AH76" s="5785"/>
      <c r="AI76" s="5775"/>
      <c r="AJ76" s="5769"/>
      <c r="AK76" s="5758">
        <f t="shared" si="80"/>
        <v>78122.583999999988</v>
      </c>
      <c r="AL76" s="5785"/>
      <c r="AM76" s="5775">
        <v>17175.242000000002</v>
      </c>
      <c r="AN76" s="5974"/>
      <c r="AO76" s="5759">
        <f t="shared" si="81"/>
        <v>17280.942000000003</v>
      </c>
      <c r="AP76" s="5769"/>
      <c r="AQ76" s="5758">
        <f t="shared" si="67"/>
        <v>95297.825999999986</v>
      </c>
      <c r="AR76" s="5785"/>
      <c r="AS76" s="5775">
        <v>20455</v>
      </c>
      <c r="AT76" s="5769"/>
      <c r="AU76" s="5758">
        <f t="shared" si="68"/>
        <v>115752.82599999999</v>
      </c>
      <c r="AV76" s="5785"/>
      <c r="AW76" s="5775">
        <v>15495.62</v>
      </c>
      <c r="AX76" s="5769"/>
      <c r="AY76" s="5758">
        <f t="shared" si="69"/>
        <v>131248.446</v>
      </c>
      <c r="AZ76" s="5785"/>
      <c r="BA76" s="5775">
        <v>16130</v>
      </c>
      <c r="BB76" s="5974"/>
      <c r="BC76" s="5759">
        <f t="shared" si="70"/>
        <v>52080.62</v>
      </c>
      <c r="BD76" s="5762"/>
      <c r="BE76" s="5763">
        <f t="shared" si="72"/>
        <v>69361.562000000005</v>
      </c>
      <c r="BF76" s="5769"/>
      <c r="BG76" s="5758">
        <f t="shared" si="71"/>
        <v>147378.446</v>
      </c>
      <c r="BH76" s="26"/>
      <c r="BI76" s="26"/>
    </row>
    <row r="77" spans="1:61" ht="16.5" x14ac:dyDescent="0.25">
      <c r="C77" s="7781" t="s">
        <v>1042</v>
      </c>
      <c r="D77" s="7781"/>
      <c r="E77" s="7783"/>
      <c r="F77" s="5770"/>
      <c r="G77" s="5771">
        <f t="shared" ref="G77:AM77" si="82">SUM(G54:G76)</f>
        <v>40768.58799999996</v>
      </c>
      <c r="H77" s="5771">
        <f t="shared" si="82"/>
        <v>0</v>
      </c>
      <c r="I77" s="5771">
        <f t="shared" si="82"/>
        <v>45640.4</v>
      </c>
      <c r="J77" s="5771">
        <f t="shared" si="82"/>
        <v>0</v>
      </c>
      <c r="K77" s="5772">
        <f t="shared" si="82"/>
        <v>86408.987999999954</v>
      </c>
      <c r="L77" s="5771">
        <f t="shared" si="82"/>
        <v>0</v>
      </c>
      <c r="M77" s="5771">
        <f t="shared" si="82"/>
        <v>21047</v>
      </c>
      <c r="N77" s="5771">
        <f t="shared" si="82"/>
        <v>0</v>
      </c>
      <c r="O77" s="5773">
        <f t="shared" si="82"/>
        <v>105819.98799999995</v>
      </c>
      <c r="P77" s="5771">
        <f t="shared" si="82"/>
        <v>0</v>
      </c>
      <c r="Q77" s="5771">
        <f t="shared" si="82"/>
        <v>54376</v>
      </c>
      <c r="R77" s="5771">
        <f t="shared" si="82"/>
        <v>0</v>
      </c>
      <c r="S77" s="5772">
        <f t="shared" si="82"/>
        <v>160195.98799999995</v>
      </c>
      <c r="T77" s="5771">
        <f t="shared" si="82"/>
        <v>0</v>
      </c>
      <c r="U77" s="5771">
        <f t="shared" si="82"/>
        <v>51659</v>
      </c>
      <c r="V77" s="5771">
        <f t="shared" si="82"/>
        <v>0</v>
      </c>
      <c r="W77" s="5772">
        <f t="shared" si="82"/>
        <v>211854.98799999995</v>
      </c>
      <c r="X77" s="5771">
        <f t="shared" si="82"/>
        <v>0</v>
      </c>
      <c r="Y77" s="5771">
        <f t="shared" si="82"/>
        <v>47608.267999999996</v>
      </c>
      <c r="Z77" s="5771">
        <f t="shared" si="82"/>
        <v>0</v>
      </c>
      <c r="AA77" s="5773">
        <f t="shared" si="82"/>
        <v>153643.26799999998</v>
      </c>
      <c r="AB77" s="5771">
        <f t="shared" si="82"/>
        <v>0</v>
      </c>
      <c r="AC77" s="5774">
        <f t="shared" si="82"/>
        <v>259463.25599999994</v>
      </c>
      <c r="AD77" s="5771">
        <f t="shared" si="82"/>
        <v>0</v>
      </c>
      <c r="AE77" s="5771">
        <f t="shared" si="82"/>
        <v>21170.198</v>
      </c>
      <c r="AF77" s="5771">
        <f t="shared" si="82"/>
        <v>0</v>
      </c>
      <c r="AG77" s="5772">
        <f t="shared" si="82"/>
        <v>280633.45399999991</v>
      </c>
      <c r="AH77" s="5771">
        <f t="shared" si="82"/>
        <v>0</v>
      </c>
      <c r="AI77" s="5771">
        <f t="shared" si="82"/>
        <v>7769</v>
      </c>
      <c r="AJ77" s="5771">
        <f t="shared" si="82"/>
        <v>0</v>
      </c>
      <c r="AK77" s="5772">
        <f t="shared" si="82"/>
        <v>288402.45399999991</v>
      </c>
      <c r="AL77" s="5771">
        <f t="shared" si="82"/>
        <v>0</v>
      </c>
      <c r="AM77" s="5771">
        <f t="shared" si="82"/>
        <v>58920.466</v>
      </c>
      <c r="AN77" s="5973"/>
      <c r="AO77" s="5773">
        <f t="shared" ref="AO77:AY77" si="83">SUM(AO54:AO76)</f>
        <v>87859.664000000019</v>
      </c>
      <c r="AP77" s="5771">
        <f t="shared" si="83"/>
        <v>0</v>
      </c>
      <c r="AQ77" s="5772">
        <f t="shared" si="83"/>
        <v>347322.91999999993</v>
      </c>
      <c r="AR77" s="5771">
        <f t="shared" si="83"/>
        <v>0</v>
      </c>
      <c r="AS77" s="5771">
        <f t="shared" si="83"/>
        <v>57980.115999999995</v>
      </c>
      <c r="AT77" s="5771">
        <f t="shared" si="83"/>
        <v>0</v>
      </c>
      <c r="AU77" s="5772">
        <f t="shared" si="83"/>
        <v>405303.03599999996</v>
      </c>
      <c r="AV77" s="5771">
        <f t="shared" si="83"/>
        <v>0</v>
      </c>
      <c r="AW77" s="5771">
        <f t="shared" si="83"/>
        <v>52513.69199999993</v>
      </c>
      <c r="AX77" s="5771">
        <f t="shared" si="83"/>
        <v>0</v>
      </c>
      <c r="AY77" s="5772">
        <f t="shared" si="83"/>
        <v>457816.72799999989</v>
      </c>
      <c r="AZ77" s="5771">
        <f t="shared" ref="AZ77:BG77" si="84">SUM(AZ54:AZ76)</f>
        <v>0</v>
      </c>
      <c r="BA77" s="5771">
        <f t="shared" si="84"/>
        <v>52904</v>
      </c>
      <c r="BB77" s="5973"/>
      <c r="BC77" s="5773">
        <f t="shared" ref="BC77:BE77" si="85">SUM(BC54:BC76)</f>
        <v>163397.80799999993</v>
      </c>
      <c r="BD77" s="5771">
        <f t="shared" si="85"/>
        <v>0</v>
      </c>
      <c r="BE77" s="5774">
        <f t="shared" si="85"/>
        <v>251257.47199999995</v>
      </c>
      <c r="BF77" s="5771">
        <f t="shared" si="84"/>
        <v>0</v>
      </c>
      <c r="BG77" s="5772">
        <f t="shared" si="84"/>
        <v>510720.72799999989</v>
      </c>
      <c r="BH77" s="26"/>
      <c r="BI77" s="26"/>
    </row>
    <row r="78" spans="1:61" ht="16.5" x14ac:dyDescent="0.25">
      <c r="A78" s="233"/>
      <c r="B78" s="233"/>
      <c r="C78" s="5788" t="s">
        <v>980</v>
      </c>
      <c r="D78" s="5788" t="s">
        <v>642</v>
      </c>
      <c r="E78" s="7783"/>
      <c r="F78" s="5789"/>
      <c r="G78" s="5790"/>
      <c r="H78" s="5791"/>
      <c r="I78" s="5790">
        <v>79</v>
      </c>
      <c r="J78" s="5792"/>
      <c r="K78" s="5758">
        <f t="shared" si="73"/>
        <v>79</v>
      </c>
      <c r="L78" s="5791"/>
      <c r="M78" s="5790">
        <f>2811.62</f>
        <v>2811.62</v>
      </c>
      <c r="N78" s="5793"/>
      <c r="O78" s="5759">
        <f t="shared" si="74"/>
        <v>2890.62</v>
      </c>
      <c r="P78" s="5791"/>
      <c r="Q78" s="5794">
        <v>117</v>
      </c>
      <c r="R78" s="5795"/>
      <c r="S78" s="5758">
        <f t="shared" si="75"/>
        <v>3007.62</v>
      </c>
      <c r="T78" s="5791"/>
      <c r="U78" s="5794">
        <v>2372.2399999999998</v>
      </c>
      <c r="V78" s="5795"/>
      <c r="W78" s="5758">
        <f t="shared" si="76"/>
        <v>5379.86</v>
      </c>
      <c r="X78" s="5796"/>
      <c r="Y78" s="5794">
        <v>4283.8969999999999</v>
      </c>
      <c r="Z78" s="5793"/>
      <c r="AA78" s="5759">
        <f t="shared" si="77"/>
        <v>6773.1369999999997</v>
      </c>
      <c r="AB78" s="5762"/>
      <c r="AC78" s="5763">
        <f t="shared" si="78"/>
        <v>9663.7569999999996</v>
      </c>
      <c r="AD78" s="5791"/>
      <c r="AE78" s="5794">
        <v>1435.2702000000004</v>
      </c>
      <c r="AF78" s="5797"/>
      <c r="AG78" s="5758">
        <f t="shared" si="79"/>
        <v>11099.0272</v>
      </c>
      <c r="AH78" s="5791"/>
      <c r="AI78" s="5794"/>
      <c r="AJ78" s="5797"/>
      <c r="AK78" s="5758">
        <f t="shared" si="80"/>
        <v>11099.0272</v>
      </c>
      <c r="AL78" s="5791"/>
      <c r="AM78" s="5794">
        <v>1565.1279999999997</v>
      </c>
      <c r="AN78" s="5975"/>
      <c r="AO78" s="5759">
        <f t="shared" si="81"/>
        <v>3000.3982000000001</v>
      </c>
      <c r="AP78" s="5797"/>
      <c r="AQ78" s="5758">
        <f t="shared" ref="AQ78:AQ88" si="86">+AK78+AM78</f>
        <v>12664.155200000001</v>
      </c>
      <c r="AR78" s="5791"/>
      <c r="AS78" s="5794">
        <v>242.75900000000024</v>
      </c>
      <c r="AT78" s="5797"/>
      <c r="AU78" s="5758">
        <f t="shared" ref="AU78:AU88" si="87">+AQ78+AS78</f>
        <v>12906.914200000001</v>
      </c>
      <c r="AV78" s="5791"/>
      <c r="AW78" s="5794"/>
      <c r="AX78" s="5797"/>
      <c r="AY78" s="5758">
        <f t="shared" ref="AY78:AY88" si="88">+AU78+AW78</f>
        <v>12906.914200000001</v>
      </c>
      <c r="AZ78" s="5791"/>
      <c r="BA78" s="5794"/>
      <c r="BB78" s="5975"/>
      <c r="BC78" s="5759">
        <f t="shared" ref="BC78:BC88" si="89">AS78+AW78+BA78</f>
        <v>242.75900000000024</v>
      </c>
      <c r="BD78" s="5762"/>
      <c r="BE78" s="5763">
        <f t="shared" si="72"/>
        <v>3243.1572000000006</v>
      </c>
      <c r="BF78" s="5797"/>
      <c r="BG78" s="5758">
        <f t="shared" ref="BG78:BG88" si="90">+AY78+BA78</f>
        <v>12906.914200000001</v>
      </c>
      <c r="BH78" s="26"/>
      <c r="BI78" s="26"/>
    </row>
    <row r="79" spans="1:61" ht="16.5" x14ac:dyDescent="0.25">
      <c r="C79" s="5755" t="s">
        <v>980</v>
      </c>
      <c r="D79" s="5755" t="s">
        <v>993</v>
      </c>
      <c r="E79" s="7783"/>
      <c r="F79" s="5755"/>
      <c r="G79" s="5775"/>
      <c r="H79" s="5798"/>
      <c r="I79" s="5775"/>
      <c r="J79" s="5786"/>
      <c r="K79" s="5758">
        <f t="shared" si="73"/>
        <v>0</v>
      </c>
      <c r="L79" s="5798"/>
      <c r="M79" s="5775"/>
      <c r="N79" s="5787"/>
      <c r="O79" s="5759">
        <f t="shared" si="74"/>
        <v>0</v>
      </c>
      <c r="P79" s="5798"/>
      <c r="Q79" s="5757"/>
      <c r="R79" s="5760"/>
      <c r="S79" s="5758">
        <f t="shared" si="75"/>
        <v>0</v>
      </c>
      <c r="T79" s="5798"/>
      <c r="U79" s="5757"/>
      <c r="V79" s="5760"/>
      <c r="W79" s="5758">
        <f t="shared" si="76"/>
        <v>0</v>
      </c>
      <c r="X79" s="5761"/>
      <c r="Y79" s="5757"/>
      <c r="Z79" s="5787"/>
      <c r="AA79" s="5759">
        <f t="shared" si="77"/>
        <v>0</v>
      </c>
      <c r="AB79" s="5762"/>
      <c r="AC79" s="5763">
        <f t="shared" si="78"/>
        <v>0</v>
      </c>
      <c r="AD79" s="5798"/>
      <c r="AE79" s="5757"/>
      <c r="AF79" s="5760"/>
      <c r="AG79" s="5758">
        <f t="shared" si="79"/>
        <v>0</v>
      </c>
      <c r="AH79" s="5798"/>
      <c r="AI79" s="5757"/>
      <c r="AJ79" s="5760"/>
      <c r="AK79" s="5758">
        <f t="shared" si="80"/>
        <v>0</v>
      </c>
      <c r="AL79" s="5967"/>
      <c r="AM79" s="5757"/>
      <c r="AN79" s="5972"/>
      <c r="AO79" s="5759">
        <f t="shared" si="81"/>
        <v>0</v>
      </c>
      <c r="AP79" s="5760"/>
      <c r="AQ79" s="5758">
        <f t="shared" si="86"/>
        <v>0</v>
      </c>
      <c r="AR79" s="6120"/>
      <c r="AS79" s="5757"/>
      <c r="AT79" s="5760"/>
      <c r="AU79" s="5758">
        <f t="shared" si="87"/>
        <v>0</v>
      </c>
      <c r="AV79" s="6335"/>
      <c r="AW79" s="5757"/>
      <c r="AX79" s="5760"/>
      <c r="AY79" s="5758">
        <f t="shared" si="88"/>
        <v>0</v>
      </c>
      <c r="AZ79" s="6462"/>
      <c r="BA79" s="5757"/>
      <c r="BB79" s="5972"/>
      <c r="BC79" s="5759">
        <f t="shared" si="89"/>
        <v>0</v>
      </c>
      <c r="BD79" s="5762"/>
      <c r="BE79" s="5763">
        <f t="shared" si="72"/>
        <v>0</v>
      </c>
      <c r="BF79" s="5760"/>
      <c r="BG79" s="5758">
        <f t="shared" si="90"/>
        <v>0</v>
      </c>
      <c r="BH79" s="26"/>
      <c r="BI79" s="26"/>
    </row>
    <row r="80" spans="1:61" ht="16.5" x14ac:dyDescent="0.25">
      <c r="A80" s="2269"/>
      <c r="B80" s="2269"/>
      <c r="C80" s="5755" t="s">
        <v>980</v>
      </c>
      <c r="D80" s="5755" t="s">
        <v>1640</v>
      </c>
      <c r="E80" s="7783"/>
      <c r="F80" s="5755"/>
      <c r="G80" s="5775"/>
      <c r="H80" s="5798"/>
      <c r="I80" s="5775"/>
      <c r="J80" s="5786"/>
      <c r="K80" s="5758">
        <f t="shared" si="73"/>
        <v>0</v>
      </c>
      <c r="L80" s="5798"/>
      <c r="M80" s="5775"/>
      <c r="N80" s="5787"/>
      <c r="O80" s="5759">
        <f t="shared" si="74"/>
        <v>0</v>
      </c>
      <c r="P80" s="5798"/>
      <c r="Q80" s="5757"/>
      <c r="R80" s="5760"/>
      <c r="S80" s="5758">
        <f t="shared" si="75"/>
        <v>0</v>
      </c>
      <c r="T80" s="5798"/>
      <c r="U80" s="5757"/>
      <c r="V80" s="5760"/>
      <c r="W80" s="5758">
        <f t="shared" si="76"/>
        <v>0</v>
      </c>
      <c r="X80" s="5799"/>
      <c r="Y80" s="5757"/>
      <c r="Z80" s="5787"/>
      <c r="AA80" s="5759">
        <f t="shared" si="77"/>
        <v>0</v>
      </c>
      <c r="AB80" s="5762"/>
      <c r="AC80" s="5763">
        <f t="shared" si="78"/>
        <v>0</v>
      </c>
      <c r="AD80" s="5798"/>
      <c r="AE80" s="5757"/>
      <c r="AF80" s="5760"/>
      <c r="AG80" s="5758">
        <f t="shared" si="79"/>
        <v>0</v>
      </c>
      <c r="AH80" s="5798"/>
      <c r="AI80" s="5757"/>
      <c r="AJ80" s="5760"/>
      <c r="AK80" s="5758">
        <f t="shared" si="80"/>
        <v>0</v>
      </c>
      <c r="AL80" s="5967"/>
      <c r="AM80" s="5757"/>
      <c r="AN80" s="5972"/>
      <c r="AO80" s="5759">
        <f t="shared" si="81"/>
        <v>0</v>
      </c>
      <c r="AP80" s="5760"/>
      <c r="AQ80" s="5758">
        <f t="shared" si="86"/>
        <v>0</v>
      </c>
      <c r="AR80" s="6120"/>
      <c r="AS80" s="5757"/>
      <c r="AT80" s="5760"/>
      <c r="AU80" s="5758">
        <f t="shared" si="87"/>
        <v>0</v>
      </c>
      <c r="AV80" s="6335"/>
      <c r="AW80" s="5757"/>
      <c r="AX80" s="5760"/>
      <c r="AY80" s="5758">
        <f t="shared" si="88"/>
        <v>0</v>
      </c>
      <c r="AZ80" s="6462"/>
      <c r="BA80" s="5757"/>
      <c r="BB80" s="5972"/>
      <c r="BC80" s="5759">
        <f t="shared" si="89"/>
        <v>0</v>
      </c>
      <c r="BD80" s="5762"/>
      <c r="BE80" s="5763">
        <f t="shared" si="72"/>
        <v>0</v>
      </c>
      <c r="BF80" s="5760"/>
      <c r="BG80" s="5758">
        <f t="shared" si="90"/>
        <v>0</v>
      </c>
      <c r="BH80" s="26"/>
      <c r="BI80" s="26"/>
    </row>
    <row r="81" spans="1:61" ht="16.5" x14ac:dyDescent="0.25">
      <c r="C81" s="5755" t="s">
        <v>980</v>
      </c>
      <c r="D81" s="5755" t="s">
        <v>676</v>
      </c>
      <c r="E81" s="7783"/>
      <c r="F81" s="5755"/>
      <c r="G81" s="5775"/>
      <c r="H81" s="5798"/>
      <c r="I81" s="5775">
        <v>2204</v>
      </c>
      <c r="J81" s="5786"/>
      <c r="K81" s="5758">
        <f t="shared" si="73"/>
        <v>2204</v>
      </c>
      <c r="L81" s="5798"/>
      <c r="M81" s="5775">
        <v>1532</v>
      </c>
      <c r="N81" s="5787"/>
      <c r="O81" s="5759">
        <f t="shared" si="74"/>
        <v>3736</v>
      </c>
      <c r="P81" s="5798"/>
      <c r="Q81" s="5757">
        <v>3338</v>
      </c>
      <c r="R81" s="5760"/>
      <c r="S81" s="5758">
        <f t="shared" si="75"/>
        <v>7074</v>
      </c>
      <c r="T81" s="5798"/>
      <c r="U81" s="5757">
        <v>5159</v>
      </c>
      <c r="V81" s="5760"/>
      <c r="W81" s="5758">
        <f t="shared" si="76"/>
        <v>12233</v>
      </c>
      <c r="X81" s="5799"/>
      <c r="Y81" s="5757">
        <v>982.56600000000003</v>
      </c>
      <c r="Z81" s="5787"/>
      <c r="AA81" s="5759">
        <f t="shared" si="77"/>
        <v>9479.5660000000007</v>
      </c>
      <c r="AB81" s="5762"/>
      <c r="AC81" s="5763">
        <f t="shared" si="78"/>
        <v>13215.566000000001</v>
      </c>
      <c r="AD81" s="5798"/>
      <c r="AE81" s="5757">
        <v>5183.3339999999998</v>
      </c>
      <c r="AF81" s="5760"/>
      <c r="AG81" s="5758">
        <f t="shared" si="79"/>
        <v>18398.900000000001</v>
      </c>
      <c r="AH81" s="5798"/>
      <c r="AI81" s="5757"/>
      <c r="AJ81" s="5760"/>
      <c r="AK81" s="5758">
        <f t="shared" si="80"/>
        <v>18398.900000000001</v>
      </c>
      <c r="AL81" s="5967"/>
      <c r="AM81" s="5757">
        <v>10406.448</v>
      </c>
      <c r="AN81" s="5972"/>
      <c r="AO81" s="5759">
        <f t="shared" si="81"/>
        <v>15589.781999999999</v>
      </c>
      <c r="AP81" s="5760"/>
      <c r="AQ81" s="5758">
        <f t="shared" si="86"/>
        <v>28805.348000000002</v>
      </c>
      <c r="AR81" s="6120"/>
      <c r="AS81" s="5757">
        <v>10251.306</v>
      </c>
      <c r="AT81" s="5760"/>
      <c r="AU81" s="5758">
        <f t="shared" si="87"/>
        <v>39056.654000000002</v>
      </c>
      <c r="AV81" s="6335"/>
      <c r="AW81" s="5757"/>
      <c r="AX81" s="5760"/>
      <c r="AY81" s="5758">
        <f t="shared" si="88"/>
        <v>39056.654000000002</v>
      </c>
      <c r="AZ81" s="6462"/>
      <c r="BA81" s="5757"/>
      <c r="BB81" s="5972"/>
      <c r="BC81" s="5759">
        <f t="shared" si="89"/>
        <v>10251.306</v>
      </c>
      <c r="BD81" s="5762"/>
      <c r="BE81" s="5763">
        <f t="shared" si="72"/>
        <v>25841.088</v>
      </c>
      <c r="BF81" s="5760"/>
      <c r="BG81" s="5758">
        <f t="shared" si="90"/>
        <v>39056.654000000002</v>
      </c>
      <c r="BH81" s="26"/>
      <c r="BI81" s="26"/>
    </row>
    <row r="82" spans="1:61" ht="16.5" x14ac:dyDescent="0.25">
      <c r="C82" s="5755" t="s">
        <v>980</v>
      </c>
      <c r="D82" s="5755" t="s">
        <v>1123</v>
      </c>
      <c r="E82" s="7783"/>
      <c r="F82" s="5755"/>
      <c r="G82" s="5775"/>
      <c r="H82" s="5798"/>
      <c r="I82" s="5775"/>
      <c r="J82" s="5786"/>
      <c r="K82" s="5758">
        <f t="shared" si="73"/>
        <v>0</v>
      </c>
      <c r="L82" s="5798"/>
      <c r="M82" s="5775"/>
      <c r="N82" s="5787"/>
      <c r="O82" s="5759">
        <f t="shared" si="74"/>
        <v>0</v>
      </c>
      <c r="P82" s="5798"/>
      <c r="Q82" s="5798"/>
      <c r="R82" s="5760"/>
      <c r="S82" s="5758">
        <f t="shared" si="75"/>
        <v>0</v>
      </c>
      <c r="T82" s="5798"/>
      <c r="U82" s="5798"/>
      <c r="V82" s="5760"/>
      <c r="W82" s="5758">
        <f t="shared" si="76"/>
        <v>0</v>
      </c>
      <c r="X82" s="5761"/>
      <c r="Y82" s="5798"/>
      <c r="Z82" s="5787"/>
      <c r="AA82" s="5759">
        <f t="shared" si="77"/>
        <v>0</v>
      </c>
      <c r="AB82" s="5762"/>
      <c r="AC82" s="5763">
        <f t="shared" si="78"/>
        <v>0</v>
      </c>
      <c r="AD82" s="5798"/>
      <c r="AE82" s="5798"/>
      <c r="AF82" s="5760"/>
      <c r="AG82" s="5758">
        <f t="shared" si="79"/>
        <v>0</v>
      </c>
      <c r="AH82" s="5798"/>
      <c r="AI82" s="5798"/>
      <c r="AJ82" s="5760"/>
      <c r="AK82" s="5758">
        <f t="shared" si="80"/>
        <v>0</v>
      </c>
      <c r="AL82" s="5967"/>
      <c r="AM82" s="5967"/>
      <c r="AN82" s="5976"/>
      <c r="AO82" s="5759">
        <f t="shared" si="81"/>
        <v>0</v>
      </c>
      <c r="AP82" s="5760"/>
      <c r="AQ82" s="5758">
        <f t="shared" si="86"/>
        <v>0</v>
      </c>
      <c r="AR82" s="6120"/>
      <c r="AS82" s="6120"/>
      <c r="AT82" s="5760"/>
      <c r="AU82" s="5758">
        <f t="shared" si="87"/>
        <v>0</v>
      </c>
      <c r="AV82" s="6335"/>
      <c r="AW82" s="6335"/>
      <c r="AX82" s="5760"/>
      <c r="AY82" s="5758">
        <f t="shared" si="88"/>
        <v>0</v>
      </c>
      <c r="AZ82" s="6462"/>
      <c r="BA82" s="6462"/>
      <c r="BB82" s="5976"/>
      <c r="BC82" s="5759">
        <f t="shared" si="89"/>
        <v>0</v>
      </c>
      <c r="BD82" s="5762"/>
      <c r="BE82" s="5763">
        <f t="shared" si="72"/>
        <v>0</v>
      </c>
      <c r="BF82" s="5760"/>
      <c r="BG82" s="5758">
        <f t="shared" si="90"/>
        <v>0</v>
      </c>
      <c r="BH82" s="26"/>
      <c r="BI82" s="26"/>
    </row>
    <row r="83" spans="1:61" ht="16.5" x14ac:dyDescent="0.25">
      <c r="C83" s="5755" t="s">
        <v>980</v>
      </c>
      <c r="D83" s="5755" t="s">
        <v>675</v>
      </c>
      <c r="E83" s="7783"/>
      <c r="F83" s="5755"/>
      <c r="G83" s="5775"/>
      <c r="H83" s="5798"/>
      <c r="I83" s="5775"/>
      <c r="J83" s="5786"/>
      <c r="K83" s="5758">
        <f t="shared" si="73"/>
        <v>0</v>
      </c>
      <c r="L83" s="5798"/>
      <c r="M83" s="5775"/>
      <c r="N83" s="5787"/>
      <c r="O83" s="5759">
        <f t="shared" si="74"/>
        <v>0</v>
      </c>
      <c r="P83" s="5798"/>
      <c r="Q83" s="5757">
        <v>716</v>
      </c>
      <c r="R83" s="5760"/>
      <c r="S83" s="5758">
        <f t="shared" si="75"/>
        <v>716</v>
      </c>
      <c r="T83" s="5798"/>
      <c r="U83" s="5757"/>
      <c r="V83" s="5760"/>
      <c r="W83" s="5758">
        <f t="shared" si="76"/>
        <v>716</v>
      </c>
      <c r="X83" s="5761"/>
      <c r="Y83" s="5757"/>
      <c r="Z83" s="5787"/>
      <c r="AA83" s="5759">
        <f t="shared" si="77"/>
        <v>716</v>
      </c>
      <c r="AB83" s="5762"/>
      <c r="AC83" s="5763">
        <f t="shared" si="78"/>
        <v>716</v>
      </c>
      <c r="AD83" s="5798"/>
      <c r="AE83" s="5757"/>
      <c r="AF83" s="5760"/>
      <c r="AG83" s="5758">
        <f t="shared" si="79"/>
        <v>716</v>
      </c>
      <c r="AH83" s="5798"/>
      <c r="AI83" s="5757"/>
      <c r="AJ83" s="5760"/>
      <c r="AK83" s="5758">
        <f t="shared" si="80"/>
        <v>716</v>
      </c>
      <c r="AL83" s="5967"/>
      <c r="AM83" s="5757"/>
      <c r="AN83" s="5972"/>
      <c r="AO83" s="5759">
        <f t="shared" si="81"/>
        <v>0</v>
      </c>
      <c r="AP83" s="5760"/>
      <c r="AQ83" s="5758">
        <f t="shared" si="86"/>
        <v>716</v>
      </c>
      <c r="AR83" s="6120"/>
      <c r="AS83" s="5757"/>
      <c r="AT83" s="5760"/>
      <c r="AU83" s="5758">
        <f t="shared" si="87"/>
        <v>716</v>
      </c>
      <c r="AV83" s="6335"/>
      <c r="AW83" s="5757"/>
      <c r="AX83" s="5760"/>
      <c r="AY83" s="5758">
        <f t="shared" si="88"/>
        <v>716</v>
      </c>
      <c r="AZ83" s="6462"/>
      <c r="BA83" s="5757"/>
      <c r="BB83" s="5972"/>
      <c r="BC83" s="5759">
        <f t="shared" si="89"/>
        <v>0</v>
      </c>
      <c r="BD83" s="5762"/>
      <c r="BE83" s="5763">
        <f t="shared" si="72"/>
        <v>0</v>
      </c>
      <c r="BF83" s="5760"/>
      <c r="BG83" s="5758">
        <f t="shared" si="90"/>
        <v>716</v>
      </c>
      <c r="BH83" s="26"/>
      <c r="BI83" s="26"/>
    </row>
    <row r="84" spans="1:61" ht="16.5" x14ac:dyDescent="0.25">
      <c r="C84" s="5755" t="s">
        <v>980</v>
      </c>
      <c r="D84" s="5755" t="s">
        <v>1080</v>
      </c>
      <c r="E84" s="7783"/>
      <c r="F84" s="5755"/>
      <c r="G84" s="5775"/>
      <c r="H84" s="5798"/>
      <c r="I84" s="5775"/>
      <c r="J84" s="5786"/>
      <c r="K84" s="5758">
        <f t="shared" si="73"/>
        <v>0</v>
      </c>
      <c r="L84" s="5798"/>
      <c r="M84" s="5775"/>
      <c r="N84" s="5787"/>
      <c r="O84" s="5759">
        <f t="shared" si="74"/>
        <v>0</v>
      </c>
      <c r="P84" s="5798"/>
      <c r="Q84" s="5757"/>
      <c r="R84" s="5760"/>
      <c r="S84" s="5758">
        <f t="shared" si="75"/>
        <v>0</v>
      </c>
      <c r="T84" s="5798"/>
      <c r="U84" s="5757"/>
      <c r="V84" s="5760"/>
      <c r="W84" s="5758">
        <f t="shared" si="76"/>
        <v>0</v>
      </c>
      <c r="X84" s="5761"/>
      <c r="Y84" s="5757"/>
      <c r="Z84" s="5787"/>
      <c r="AA84" s="5759">
        <f t="shared" si="77"/>
        <v>0</v>
      </c>
      <c r="AB84" s="5762"/>
      <c r="AC84" s="5763">
        <f t="shared" si="78"/>
        <v>0</v>
      </c>
      <c r="AD84" s="5798"/>
      <c r="AE84" s="5757"/>
      <c r="AF84" s="5760"/>
      <c r="AG84" s="5758">
        <f t="shared" si="79"/>
        <v>0</v>
      </c>
      <c r="AH84" s="5798"/>
      <c r="AI84" s="5757"/>
      <c r="AJ84" s="5760"/>
      <c r="AK84" s="5758">
        <f t="shared" si="80"/>
        <v>0</v>
      </c>
      <c r="AL84" s="5967"/>
      <c r="AM84" s="5757"/>
      <c r="AN84" s="5972"/>
      <c r="AO84" s="5759">
        <f t="shared" si="81"/>
        <v>0</v>
      </c>
      <c r="AP84" s="5760"/>
      <c r="AQ84" s="5758">
        <f t="shared" si="86"/>
        <v>0</v>
      </c>
      <c r="AR84" s="6120"/>
      <c r="AS84" s="5757"/>
      <c r="AT84" s="5760"/>
      <c r="AU84" s="5758">
        <f t="shared" si="87"/>
        <v>0</v>
      </c>
      <c r="AV84" s="6335"/>
      <c r="AW84" s="5757"/>
      <c r="AX84" s="5760"/>
      <c r="AY84" s="5758">
        <f t="shared" si="88"/>
        <v>0</v>
      </c>
      <c r="AZ84" s="6462"/>
      <c r="BA84" s="5757"/>
      <c r="BB84" s="5972"/>
      <c r="BC84" s="5759">
        <f t="shared" si="89"/>
        <v>0</v>
      </c>
      <c r="BD84" s="5762"/>
      <c r="BE84" s="5763">
        <f t="shared" si="72"/>
        <v>0</v>
      </c>
      <c r="BF84" s="5760"/>
      <c r="BG84" s="5758">
        <f t="shared" si="90"/>
        <v>0</v>
      </c>
      <c r="BH84" s="26"/>
      <c r="BI84" s="26"/>
    </row>
    <row r="85" spans="1:61" ht="16.5" x14ac:dyDescent="0.25">
      <c r="C85" s="5755" t="s">
        <v>980</v>
      </c>
      <c r="D85" s="5755" t="s">
        <v>643</v>
      </c>
      <c r="E85" s="7783"/>
      <c r="F85" s="5755"/>
      <c r="G85" s="5775"/>
      <c r="H85" s="5798"/>
      <c r="I85" s="5775"/>
      <c r="J85" s="5786"/>
      <c r="K85" s="5758">
        <f t="shared" si="73"/>
        <v>0</v>
      </c>
      <c r="L85" s="5798"/>
      <c r="M85" s="5775"/>
      <c r="N85" s="5787"/>
      <c r="O85" s="5759">
        <f t="shared" si="74"/>
        <v>0</v>
      </c>
      <c r="P85" s="5798"/>
      <c r="Q85" s="5757">
        <v>1125</v>
      </c>
      <c r="R85" s="5760"/>
      <c r="S85" s="5758">
        <f t="shared" si="75"/>
        <v>1125</v>
      </c>
      <c r="T85" s="5798"/>
      <c r="U85" s="5757"/>
      <c r="V85" s="5760"/>
      <c r="W85" s="5758">
        <f t="shared" si="76"/>
        <v>1125</v>
      </c>
      <c r="X85" s="5799"/>
      <c r="Y85" s="5757"/>
      <c r="Z85" s="5787"/>
      <c r="AA85" s="5759">
        <f t="shared" si="77"/>
        <v>1125</v>
      </c>
      <c r="AB85" s="5762"/>
      <c r="AC85" s="5763">
        <f t="shared" si="78"/>
        <v>1125</v>
      </c>
      <c r="AD85" s="5798"/>
      <c r="AE85" s="5757"/>
      <c r="AF85" s="5760"/>
      <c r="AG85" s="5758">
        <f t="shared" si="79"/>
        <v>1125</v>
      </c>
      <c r="AH85" s="5798"/>
      <c r="AI85" s="5757"/>
      <c r="AJ85" s="5760"/>
      <c r="AK85" s="5758">
        <f t="shared" si="80"/>
        <v>1125</v>
      </c>
      <c r="AL85" s="5967"/>
      <c r="AM85" s="5757"/>
      <c r="AN85" s="5972"/>
      <c r="AO85" s="5759">
        <f t="shared" si="81"/>
        <v>0</v>
      </c>
      <c r="AP85" s="5760"/>
      <c r="AQ85" s="5758">
        <f t="shared" si="86"/>
        <v>1125</v>
      </c>
      <c r="AR85" s="6120"/>
      <c r="AS85" s="5757"/>
      <c r="AT85" s="5760"/>
      <c r="AU85" s="5758">
        <f t="shared" si="87"/>
        <v>1125</v>
      </c>
      <c r="AV85" s="6335"/>
      <c r="AW85" s="5757"/>
      <c r="AX85" s="5760"/>
      <c r="AY85" s="5758">
        <f t="shared" si="88"/>
        <v>1125</v>
      </c>
      <c r="AZ85" s="6462"/>
      <c r="BA85" s="5757"/>
      <c r="BB85" s="5972"/>
      <c r="BC85" s="5759">
        <f t="shared" si="89"/>
        <v>0</v>
      </c>
      <c r="BD85" s="5762"/>
      <c r="BE85" s="5763">
        <f t="shared" si="72"/>
        <v>0</v>
      </c>
      <c r="BF85" s="5760"/>
      <c r="BG85" s="5758">
        <f t="shared" si="90"/>
        <v>1125</v>
      </c>
      <c r="BH85" s="26"/>
      <c r="BI85" s="26"/>
    </row>
    <row r="86" spans="1:61" ht="16.5" x14ac:dyDescent="0.25">
      <c r="C86" s="5755" t="s">
        <v>980</v>
      </c>
      <c r="D86" s="5755" t="s">
        <v>1391</v>
      </c>
      <c r="E86" s="7783"/>
      <c r="F86" s="5755"/>
      <c r="G86" s="5775"/>
      <c r="H86" s="5798"/>
      <c r="I86" s="5775"/>
      <c r="J86" s="5786"/>
      <c r="K86" s="5758">
        <f t="shared" si="73"/>
        <v>0</v>
      </c>
      <c r="L86" s="5798"/>
      <c r="M86" s="5775"/>
      <c r="N86" s="5787"/>
      <c r="O86" s="5759">
        <f t="shared" si="74"/>
        <v>0</v>
      </c>
      <c r="P86" s="5798"/>
      <c r="Q86" s="5757"/>
      <c r="R86" s="5760"/>
      <c r="S86" s="5758">
        <f t="shared" si="75"/>
        <v>0</v>
      </c>
      <c r="T86" s="5798"/>
      <c r="U86" s="5757"/>
      <c r="V86" s="5760"/>
      <c r="W86" s="5758">
        <f t="shared" si="76"/>
        <v>0</v>
      </c>
      <c r="X86" s="5761"/>
      <c r="Y86" s="5757"/>
      <c r="Z86" s="5787"/>
      <c r="AA86" s="5759">
        <f t="shared" si="77"/>
        <v>0</v>
      </c>
      <c r="AB86" s="5762"/>
      <c r="AC86" s="5763">
        <f t="shared" si="78"/>
        <v>0</v>
      </c>
      <c r="AD86" s="5798"/>
      <c r="AE86" s="5757"/>
      <c r="AF86" s="5760"/>
      <c r="AG86" s="5758">
        <f t="shared" si="79"/>
        <v>0</v>
      </c>
      <c r="AH86" s="5798"/>
      <c r="AI86" s="5757"/>
      <c r="AJ86" s="5760"/>
      <c r="AK86" s="5758">
        <f t="shared" si="80"/>
        <v>0</v>
      </c>
      <c r="AL86" s="5967"/>
      <c r="AM86" s="5757"/>
      <c r="AN86" s="5972"/>
      <c r="AO86" s="5759">
        <f t="shared" si="81"/>
        <v>0</v>
      </c>
      <c r="AP86" s="5760"/>
      <c r="AQ86" s="5758">
        <f t="shared" si="86"/>
        <v>0</v>
      </c>
      <c r="AR86" s="6120"/>
      <c r="AS86" s="5757"/>
      <c r="AT86" s="5760"/>
      <c r="AU86" s="5758">
        <f t="shared" si="87"/>
        <v>0</v>
      </c>
      <c r="AV86" s="6335"/>
      <c r="AW86" s="5757"/>
      <c r="AX86" s="5760"/>
      <c r="AY86" s="5758">
        <f t="shared" si="88"/>
        <v>0</v>
      </c>
      <c r="AZ86" s="6462"/>
      <c r="BA86" s="5757"/>
      <c r="BB86" s="5972"/>
      <c r="BC86" s="5759">
        <f t="shared" si="89"/>
        <v>0</v>
      </c>
      <c r="BD86" s="5762"/>
      <c r="BE86" s="5763">
        <f t="shared" si="72"/>
        <v>0</v>
      </c>
      <c r="BF86" s="5760"/>
      <c r="BG86" s="5758">
        <f t="shared" si="90"/>
        <v>0</v>
      </c>
      <c r="BH86" s="26"/>
      <c r="BI86" s="26"/>
    </row>
    <row r="87" spans="1:61" ht="16.5" x14ac:dyDescent="0.25">
      <c r="A87" s="639"/>
      <c r="B87" s="639"/>
      <c r="C87" s="5755" t="s">
        <v>980</v>
      </c>
      <c r="D87" s="5755" t="s">
        <v>1026</v>
      </c>
      <c r="E87" s="7783"/>
      <c r="F87" s="5755"/>
      <c r="G87" s="5775"/>
      <c r="H87" s="5798"/>
      <c r="I87" s="5775"/>
      <c r="J87" s="5786"/>
      <c r="K87" s="5758">
        <f t="shared" si="73"/>
        <v>0</v>
      </c>
      <c r="L87" s="5798"/>
      <c r="M87" s="5775"/>
      <c r="N87" s="5787"/>
      <c r="O87" s="5759">
        <f t="shared" si="74"/>
        <v>0</v>
      </c>
      <c r="P87" s="5798"/>
      <c r="Q87" s="5798"/>
      <c r="R87" s="5769"/>
      <c r="S87" s="5758">
        <f t="shared" si="75"/>
        <v>0</v>
      </c>
      <c r="T87" s="5798"/>
      <c r="U87" s="5798"/>
      <c r="V87" s="5769"/>
      <c r="W87" s="5758">
        <f t="shared" si="76"/>
        <v>0</v>
      </c>
      <c r="X87" s="5761"/>
      <c r="Y87" s="5798"/>
      <c r="Z87" s="5787"/>
      <c r="AA87" s="5759">
        <f t="shared" si="77"/>
        <v>0</v>
      </c>
      <c r="AB87" s="5762"/>
      <c r="AC87" s="5763">
        <f t="shared" si="78"/>
        <v>0</v>
      </c>
      <c r="AD87" s="5798"/>
      <c r="AE87" s="5798"/>
      <c r="AF87" s="5769"/>
      <c r="AG87" s="5758">
        <f t="shared" si="79"/>
        <v>0</v>
      </c>
      <c r="AH87" s="5798"/>
      <c r="AI87" s="5798"/>
      <c r="AJ87" s="5769"/>
      <c r="AK87" s="5758">
        <f t="shared" si="80"/>
        <v>0</v>
      </c>
      <c r="AL87" s="5967"/>
      <c r="AM87" s="5967"/>
      <c r="AN87" s="5976"/>
      <c r="AO87" s="5759">
        <f t="shared" si="81"/>
        <v>0</v>
      </c>
      <c r="AP87" s="5769"/>
      <c r="AQ87" s="5758">
        <f t="shared" si="86"/>
        <v>0</v>
      </c>
      <c r="AR87" s="6120"/>
      <c r="AS87" s="6120"/>
      <c r="AT87" s="5769"/>
      <c r="AU87" s="5758">
        <f t="shared" si="87"/>
        <v>0</v>
      </c>
      <c r="AV87" s="6335"/>
      <c r="AW87" s="6335"/>
      <c r="AX87" s="5769"/>
      <c r="AY87" s="5758">
        <f t="shared" si="88"/>
        <v>0</v>
      </c>
      <c r="AZ87" s="6462"/>
      <c r="BA87" s="6462"/>
      <c r="BB87" s="5976"/>
      <c r="BC87" s="5759">
        <f t="shared" si="89"/>
        <v>0</v>
      </c>
      <c r="BD87" s="5762"/>
      <c r="BE87" s="5763">
        <f t="shared" si="72"/>
        <v>0</v>
      </c>
      <c r="BF87" s="5769"/>
      <c r="BG87" s="5758">
        <f t="shared" si="90"/>
        <v>0</v>
      </c>
      <c r="BH87" s="26"/>
      <c r="BI87" s="26"/>
    </row>
    <row r="88" spans="1:61" ht="16.5" x14ac:dyDescent="0.25">
      <c r="C88" s="5755" t="s">
        <v>980</v>
      </c>
      <c r="D88" s="5755" t="s">
        <v>1008</v>
      </c>
      <c r="E88" s="7783"/>
      <c r="F88" s="5755"/>
      <c r="G88" s="5775"/>
      <c r="H88" s="5798"/>
      <c r="I88" s="5775"/>
      <c r="J88" s="5786"/>
      <c r="K88" s="5758">
        <f t="shared" si="73"/>
        <v>0</v>
      </c>
      <c r="L88" s="5798"/>
      <c r="M88" s="5775"/>
      <c r="N88" s="5787"/>
      <c r="O88" s="5759">
        <f t="shared" si="74"/>
        <v>0</v>
      </c>
      <c r="P88" s="5798"/>
      <c r="Q88" s="5798"/>
      <c r="R88" s="5760"/>
      <c r="S88" s="5758">
        <f t="shared" si="75"/>
        <v>0</v>
      </c>
      <c r="T88" s="5798"/>
      <c r="U88" s="5798"/>
      <c r="V88" s="5760"/>
      <c r="W88" s="5758">
        <f t="shared" si="76"/>
        <v>0</v>
      </c>
      <c r="X88" s="5761"/>
      <c r="Y88" s="5798"/>
      <c r="Z88" s="5787"/>
      <c r="AA88" s="5759">
        <f t="shared" si="77"/>
        <v>0</v>
      </c>
      <c r="AB88" s="5762"/>
      <c r="AC88" s="5763">
        <f t="shared" si="78"/>
        <v>0</v>
      </c>
      <c r="AD88" s="5798"/>
      <c r="AE88" s="5798"/>
      <c r="AF88" s="5760"/>
      <c r="AG88" s="5758">
        <f t="shared" si="79"/>
        <v>0</v>
      </c>
      <c r="AH88" s="5798"/>
      <c r="AI88" s="5798"/>
      <c r="AJ88" s="5760"/>
      <c r="AK88" s="5758">
        <f t="shared" si="80"/>
        <v>0</v>
      </c>
      <c r="AL88" s="5967"/>
      <c r="AM88" s="5967"/>
      <c r="AN88" s="5976"/>
      <c r="AO88" s="5759">
        <f t="shared" si="81"/>
        <v>0</v>
      </c>
      <c r="AP88" s="5760"/>
      <c r="AQ88" s="5758">
        <f t="shared" si="86"/>
        <v>0</v>
      </c>
      <c r="AR88" s="6120"/>
      <c r="AS88" s="6120"/>
      <c r="AT88" s="5760"/>
      <c r="AU88" s="5758">
        <f t="shared" si="87"/>
        <v>0</v>
      </c>
      <c r="AV88" s="6335"/>
      <c r="AW88" s="6335"/>
      <c r="AX88" s="5760"/>
      <c r="AY88" s="5758">
        <f t="shared" si="88"/>
        <v>0</v>
      </c>
      <c r="AZ88" s="6462"/>
      <c r="BA88" s="6462"/>
      <c r="BB88" s="5976"/>
      <c r="BC88" s="5759">
        <f t="shared" si="89"/>
        <v>0</v>
      </c>
      <c r="BD88" s="5762"/>
      <c r="BE88" s="5763">
        <f t="shared" si="72"/>
        <v>0</v>
      </c>
      <c r="BF88" s="5760"/>
      <c r="BG88" s="5758">
        <f t="shared" si="90"/>
        <v>0</v>
      </c>
      <c r="BH88" s="26"/>
      <c r="BI88" s="26"/>
    </row>
    <row r="89" spans="1:61" ht="16.5" x14ac:dyDescent="0.25">
      <c r="C89" s="7781" t="s">
        <v>1043</v>
      </c>
      <c r="D89" s="7781"/>
      <c r="E89" s="7783"/>
      <c r="F89" s="5770"/>
      <c r="G89" s="5771">
        <f>SUM(G78:G88)</f>
        <v>0</v>
      </c>
      <c r="H89" s="5771">
        <f t="shared" ref="H89:AK89" si="91">SUM(H78:H88)</f>
        <v>0</v>
      </c>
      <c r="I89" s="5771">
        <f t="shared" si="91"/>
        <v>2283</v>
      </c>
      <c r="J89" s="5771">
        <f t="shared" si="91"/>
        <v>0</v>
      </c>
      <c r="K89" s="5772">
        <f t="shared" si="91"/>
        <v>2283</v>
      </c>
      <c r="L89" s="5771">
        <f t="shared" si="91"/>
        <v>0</v>
      </c>
      <c r="M89" s="5771">
        <f t="shared" si="91"/>
        <v>4343.62</v>
      </c>
      <c r="N89" s="5771">
        <f t="shared" si="91"/>
        <v>0</v>
      </c>
      <c r="O89" s="5773">
        <f t="shared" si="91"/>
        <v>6626.62</v>
      </c>
      <c r="P89" s="5771">
        <f t="shared" si="91"/>
        <v>0</v>
      </c>
      <c r="Q89" s="5771">
        <f t="shared" si="91"/>
        <v>5296</v>
      </c>
      <c r="R89" s="5771">
        <f t="shared" si="91"/>
        <v>0</v>
      </c>
      <c r="S89" s="5772">
        <f t="shared" si="91"/>
        <v>11922.619999999999</v>
      </c>
      <c r="T89" s="5771">
        <f t="shared" si="91"/>
        <v>0</v>
      </c>
      <c r="U89" s="5771">
        <f t="shared" si="91"/>
        <v>7531.24</v>
      </c>
      <c r="V89" s="5771">
        <f t="shared" si="91"/>
        <v>0</v>
      </c>
      <c r="W89" s="5772">
        <f t="shared" si="91"/>
        <v>19453.86</v>
      </c>
      <c r="X89" s="5771">
        <f t="shared" si="91"/>
        <v>0</v>
      </c>
      <c r="Y89" s="5771">
        <f t="shared" si="91"/>
        <v>5266.4629999999997</v>
      </c>
      <c r="Z89" s="5771">
        <f t="shared" si="91"/>
        <v>0</v>
      </c>
      <c r="AA89" s="5773">
        <f t="shared" si="91"/>
        <v>18093.703000000001</v>
      </c>
      <c r="AB89" s="5771">
        <f t="shared" si="91"/>
        <v>0</v>
      </c>
      <c r="AC89" s="5774">
        <f t="shared" si="91"/>
        <v>24720.323</v>
      </c>
      <c r="AD89" s="5771">
        <f t="shared" si="91"/>
        <v>0</v>
      </c>
      <c r="AE89" s="5771">
        <f t="shared" si="91"/>
        <v>6618.6041999999998</v>
      </c>
      <c r="AF89" s="5771">
        <f t="shared" si="91"/>
        <v>0</v>
      </c>
      <c r="AG89" s="5772">
        <f t="shared" si="91"/>
        <v>31338.927200000002</v>
      </c>
      <c r="AH89" s="5771">
        <f t="shared" si="91"/>
        <v>0</v>
      </c>
      <c r="AI89" s="5771">
        <f t="shared" si="91"/>
        <v>0</v>
      </c>
      <c r="AJ89" s="5771">
        <f t="shared" si="91"/>
        <v>0</v>
      </c>
      <c r="AK89" s="5772">
        <f t="shared" si="91"/>
        <v>31338.927200000002</v>
      </c>
      <c r="AL89" s="5771">
        <f t="shared" ref="AL89:AQ89" si="92">SUM(AL78:AL88)</f>
        <v>0</v>
      </c>
      <c r="AM89" s="5771">
        <f t="shared" si="92"/>
        <v>11971.576000000001</v>
      </c>
      <c r="AN89" s="5973"/>
      <c r="AO89" s="5773">
        <f t="shared" ref="AO89" si="93">SUM(AO78:AO88)</f>
        <v>18590.180199999999</v>
      </c>
      <c r="AP89" s="5771">
        <f t="shared" si="92"/>
        <v>0</v>
      </c>
      <c r="AQ89" s="5772">
        <f t="shared" si="92"/>
        <v>43310.503200000006</v>
      </c>
      <c r="AR89" s="5771">
        <f t="shared" ref="AR89:AU89" si="94">SUM(AR78:AR88)</f>
        <v>0</v>
      </c>
      <c r="AS89" s="5771">
        <f t="shared" si="94"/>
        <v>10494.065000000001</v>
      </c>
      <c r="AT89" s="5771">
        <f t="shared" si="94"/>
        <v>0</v>
      </c>
      <c r="AU89" s="5772">
        <f t="shared" si="94"/>
        <v>53804.568200000002</v>
      </c>
      <c r="AV89" s="5771">
        <f t="shared" ref="AV89:AY89" si="95">SUM(AV78:AV88)</f>
        <v>0</v>
      </c>
      <c r="AW89" s="5771">
        <f t="shared" si="95"/>
        <v>0</v>
      </c>
      <c r="AX89" s="5771">
        <f t="shared" si="95"/>
        <v>0</v>
      </c>
      <c r="AY89" s="5772">
        <f t="shared" si="95"/>
        <v>53804.568200000002</v>
      </c>
      <c r="AZ89" s="5771">
        <f t="shared" ref="AZ89:BG89" si="96">SUM(AZ78:AZ88)</f>
        <v>0</v>
      </c>
      <c r="BA89" s="5771">
        <f t="shared" si="96"/>
        <v>0</v>
      </c>
      <c r="BB89" s="5973"/>
      <c r="BC89" s="5773">
        <f t="shared" ref="BC89:BE89" si="97">SUM(BC78:BC88)</f>
        <v>10494.065000000001</v>
      </c>
      <c r="BD89" s="5771">
        <f t="shared" si="97"/>
        <v>0</v>
      </c>
      <c r="BE89" s="5774">
        <f t="shared" si="97"/>
        <v>29084.245200000001</v>
      </c>
      <c r="BF89" s="5771">
        <f t="shared" si="96"/>
        <v>0</v>
      </c>
      <c r="BG89" s="5772">
        <f t="shared" si="96"/>
        <v>53804.568200000002</v>
      </c>
      <c r="BH89" s="26"/>
      <c r="BI89" s="26"/>
    </row>
    <row r="90" spans="1:61" ht="16.5" x14ac:dyDescent="0.25">
      <c r="C90" s="7782" t="s">
        <v>981</v>
      </c>
      <c r="D90" s="7782"/>
      <c r="E90" s="7784"/>
      <c r="F90" s="5800"/>
      <c r="G90" s="5801">
        <f t="shared" ref="G90:AM90" si="98">+G89+G77+G53+G46+G38</f>
        <v>192611.30000000002</v>
      </c>
      <c r="H90" s="5801">
        <f t="shared" si="98"/>
        <v>0</v>
      </c>
      <c r="I90" s="5801">
        <f t="shared" si="98"/>
        <v>217867.62900000007</v>
      </c>
      <c r="J90" s="5801">
        <f t="shared" si="98"/>
        <v>0</v>
      </c>
      <c r="K90" s="5772">
        <f t="shared" si="98"/>
        <v>410478.92900000006</v>
      </c>
      <c r="L90" s="5801">
        <f t="shared" si="98"/>
        <v>0</v>
      </c>
      <c r="M90" s="5801">
        <f t="shared" si="98"/>
        <v>139837.72100000005</v>
      </c>
      <c r="N90" s="5801">
        <f t="shared" si="98"/>
        <v>0</v>
      </c>
      <c r="O90" s="5773">
        <f t="shared" si="98"/>
        <v>548680.65000000014</v>
      </c>
      <c r="P90" s="5801">
        <f t="shared" si="98"/>
        <v>0</v>
      </c>
      <c r="Q90" s="5801">
        <f t="shared" si="98"/>
        <v>210272.1780000001</v>
      </c>
      <c r="R90" s="5801">
        <f t="shared" si="98"/>
        <v>0</v>
      </c>
      <c r="S90" s="5772">
        <f t="shared" si="98"/>
        <v>757663.37800000026</v>
      </c>
      <c r="T90" s="5801">
        <f t="shared" si="98"/>
        <v>0</v>
      </c>
      <c r="U90" s="5801">
        <f t="shared" si="98"/>
        <v>205672.76500000004</v>
      </c>
      <c r="V90" s="5801">
        <f t="shared" si="98"/>
        <v>0</v>
      </c>
      <c r="W90" s="5772">
        <f t="shared" si="98"/>
        <v>963336.14300000027</v>
      </c>
      <c r="X90" s="5801">
        <f t="shared" si="98"/>
        <v>0</v>
      </c>
      <c r="Y90" s="5801">
        <f t="shared" si="98"/>
        <v>207843.58600000007</v>
      </c>
      <c r="Z90" s="5801">
        <f t="shared" si="98"/>
        <v>0</v>
      </c>
      <c r="AA90" s="5773">
        <f t="shared" si="98"/>
        <v>623788.5290000001</v>
      </c>
      <c r="AB90" s="5801">
        <f t="shared" si="98"/>
        <v>0</v>
      </c>
      <c r="AC90" s="5774">
        <f t="shared" si="98"/>
        <v>1172469.1790000002</v>
      </c>
      <c r="AD90" s="5801">
        <f t="shared" si="98"/>
        <v>0</v>
      </c>
      <c r="AE90" s="5801">
        <f t="shared" si="98"/>
        <v>180133.4932</v>
      </c>
      <c r="AF90" s="5801">
        <f t="shared" si="98"/>
        <v>0</v>
      </c>
      <c r="AG90" s="5772">
        <f t="shared" si="98"/>
        <v>1352602.6722000004</v>
      </c>
      <c r="AH90" s="5801">
        <f t="shared" si="98"/>
        <v>0</v>
      </c>
      <c r="AI90" s="5801">
        <f t="shared" si="98"/>
        <v>39474.304000000004</v>
      </c>
      <c r="AJ90" s="5801">
        <f t="shared" si="98"/>
        <v>0</v>
      </c>
      <c r="AK90" s="5772">
        <f t="shared" si="98"/>
        <v>1392076.9762000004</v>
      </c>
      <c r="AL90" s="5801">
        <f t="shared" si="98"/>
        <v>0</v>
      </c>
      <c r="AM90" s="5801">
        <f t="shared" si="98"/>
        <v>220533.29000000007</v>
      </c>
      <c r="AN90" s="5977"/>
      <c r="AO90" s="5773">
        <f t="shared" ref="AO90:AY90" si="99">+AO89+AO77+AO53+AO46+AO38</f>
        <v>440141.08720000007</v>
      </c>
      <c r="AP90" s="5801">
        <f t="shared" si="99"/>
        <v>0</v>
      </c>
      <c r="AQ90" s="5772">
        <f t="shared" si="99"/>
        <v>1612610.2662000004</v>
      </c>
      <c r="AR90" s="5801">
        <f t="shared" si="99"/>
        <v>0</v>
      </c>
      <c r="AS90" s="5801">
        <f t="shared" si="99"/>
        <v>227824.8250000001</v>
      </c>
      <c r="AT90" s="5801">
        <f t="shared" si="99"/>
        <v>0</v>
      </c>
      <c r="AU90" s="5772">
        <f t="shared" si="99"/>
        <v>1840435.0912000006</v>
      </c>
      <c r="AV90" s="5801">
        <f t="shared" si="99"/>
        <v>0</v>
      </c>
      <c r="AW90" s="5801">
        <f t="shared" si="99"/>
        <v>202956.77199999997</v>
      </c>
      <c r="AX90" s="5801">
        <f t="shared" si="99"/>
        <v>0</v>
      </c>
      <c r="AY90" s="5772">
        <f t="shared" si="99"/>
        <v>2043391.8632000007</v>
      </c>
      <c r="AZ90" s="5801">
        <f t="shared" ref="AZ90:BG90" si="100">+AZ89+AZ77+AZ53+AZ46+AZ38</f>
        <v>0</v>
      </c>
      <c r="BA90" s="5801">
        <f t="shared" si="100"/>
        <v>234632.25000000009</v>
      </c>
      <c r="BB90" s="5977"/>
      <c r="BC90" s="5773">
        <f t="shared" ref="BC90:BE90" si="101">+BC89+BC77+BC53+BC46+BC38</f>
        <v>665413.84700000007</v>
      </c>
      <c r="BD90" s="5801">
        <f t="shared" si="101"/>
        <v>0</v>
      </c>
      <c r="BE90" s="5774">
        <f t="shared" si="101"/>
        <v>1105554.9342000003</v>
      </c>
      <c r="BF90" s="5801">
        <f t="shared" si="100"/>
        <v>0</v>
      </c>
      <c r="BG90" s="5772">
        <f t="shared" si="100"/>
        <v>2278024.1132000005</v>
      </c>
      <c r="BH90" s="26"/>
      <c r="BI90" s="26"/>
    </row>
    <row r="91" spans="1:61" ht="16.5" x14ac:dyDescent="0.25">
      <c r="C91" s="7780" t="s">
        <v>982</v>
      </c>
      <c r="D91" s="7780"/>
      <c r="E91" s="5802" t="s">
        <v>983</v>
      </c>
      <c r="F91" s="5755"/>
      <c r="G91" s="7134">
        <f>+G90/G93</f>
        <v>0.96886971830985924</v>
      </c>
      <c r="H91" s="5803">
        <f t="shared" ref="H91:AK91" si="102">+H90/H93</f>
        <v>0</v>
      </c>
      <c r="I91" s="7134">
        <f t="shared" si="102"/>
        <v>0.95419908423658439</v>
      </c>
      <c r="J91" s="7134">
        <f t="shared" si="102"/>
        <v>0</v>
      </c>
      <c r="K91" s="7275">
        <f t="shared" si="102"/>
        <v>0.96102734568913639</v>
      </c>
      <c r="L91" s="5803">
        <f t="shared" si="102"/>
        <v>0</v>
      </c>
      <c r="M91" s="5803">
        <f t="shared" si="102"/>
        <v>0.94723867737178513</v>
      </c>
      <c r="N91" s="5803">
        <f t="shared" si="102"/>
        <v>0</v>
      </c>
      <c r="O91" s="5805">
        <f t="shared" si="102"/>
        <v>0.95463923968715347</v>
      </c>
      <c r="P91" s="5803">
        <f t="shared" si="102"/>
        <v>0</v>
      </c>
      <c r="Q91" s="5803">
        <f t="shared" si="102"/>
        <v>0.9502967885281588</v>
      </c>
      <c r="R91" s="5803">
        <f t="shared" si="102"/>
        <v>0</v>
      </c>
      <c r="S91" s="5804">
        <f t="shared" si="102"/>
        <v>0.95181230191325483</v>
      </c>
      <c r="T91" s="5803">
        <f t="shared" si="102"/>
        <v>0</v>
      </c>
      <c r="U91" s="5803">
        <f t="shared" si="102"/>
        <v>0.97358079855794377</v>
      </c>
      <c r="V91" s="5803">
        <f t="shared" si="102"/>
        <v>0</v>
      </c>
      <c r="W91" s="5804">
        <f t="shared" si="102"/>
        <v>0.95637776504307692</v>
      </c>
      <c r="X91" s="5803">
        <f t="shared" si="102"/>
        <v>0</v>
      </c>
      <c r="Y91" s="5803">
        <f t="shared" si="102"/>
        <v>0.96145139093373566</v>
      </c>
      <c r="Z91" s="5803">
        <f t="shared" si="102"/>
        <v>0</v>
      </c>
      <c r="AA91" s="5805">
        <f t="shared" si="102"/>
        <v>0.96159661350707226</v>
      </c>
      <c r="AB91" s="5803">
        <f t="shared" si="102"/>
        <v>0</v>
      </c>
      <c r="AC91" s="5806">
        <f t="shared" si="102"/>
        <v>0.95832818846736123</v>
      </c>
      <c r="AD91" s="5803">
        <f t="shared" si="102"/>
        <v>0</v>
      </c>
      <c r="AE91" s="5803">
        <f t="shared" si="102"/>
        <v>0.96415522067707826</v>
      </c>
      <c r="AF91" s="5803">
        <f t="shared" si="102"/>
        <v>0</v>
      </c>
      <c r="AG91" s="5804">
        <f t="shared" si="102"/>
        <v>0.95910013753102918</v>
      </c>
      <c r="AH91" s="5803">
        <f t="shared" si="102"/>
        <v>0</v>
      </c>
      <c r="AI91" s="5803">
        <f t="shared" si="102"/>
        <v>0.97931554820284805</v>
      </c>
      <c r="AJ91" s="5803">
        <f t="shared" si="102"/>
        <v>0</v>
      </c>
      <c r="AK91" s="5804">
        <f t="shared" si="102"/>
        <v>0.95966186982059309</v>
      </c>
      <c r="AL91" s="5803">
        <f t="shared" ref="AL91:AQ91" si="103">+AL90/AL93</f>
        <v>0</v>
      </c>
      <c r="AM91" s="6152">
        <f t="shared" si="103"/>
        <v>0.97022792268585345</v>
      </c>
      <c r="AN91" s="5978"/>
      <c r="AO91" s="6163">
        <f t="shared" ref="AO91" si="104">+AO90/AO93</f>
        <v>0.96853735283959119</v>
      </c>
      <c r="AP91" s="6152">
        <f t="shared" si="103"/>
        <v>0</v>
      </c>
      <c r="AQ91" s="6153">
        <f t="shared" si="103"/>
        <v>0.96109323110034584</v>
      </c>
      <c r="AR91" s="6152">
        <f t="shared" ref="AR91:AU91" si="105">+AR90/AR93</f>
        <v>0</v>
      </c>
      <c r="AS91" s="6152">
        <f t="shared" si="105"/>
        <v>0.96780696667517663</v>
      </c>
      <c r="AT91" s="6152">
        <f t="shared" si="105"/>
        <v>0</v>
      </c>
      <c r="AU91" s="6153">
        <f t="shared" si="105"/>
        <v>0.96191925887088447</v>
      </c>
      <c r="AV91" s="6152">
        <f t="shared" ref="AV91:AY91" si="106">+AV90/AV93</f>
        <v>0</v>
      </c>
      <c r="AW91" s="6152">
        <f t="shared" si="106"/>
        <v>0.97194024790234068</v>
      </c>
      <c r="AX91" s="6152">
        <f t="shared" si="106"/>
        <v>0</v>
      </c>
      <c r="AY91" s="6153">
        <f t="shared" si="106"/>
        <v>0.96290532603312939</v>
      </c>
      <c r="AZ91" s="6152">
        <f t="shared" ref="AZ91:BG91" si="107">+AZ90/AZ93</f>
        <v>0</v>
      </c>
      <c r="BA91" s="6152">
        <f t="shared" si="107"/>
        <v>0.974487389785611</v>
      </c>
      <c r="BB91" s="5978"/>
      <c r="BC91" s="6163">
        <f t="shared" ref="BC91:BE91" si="108">+BC90/BC93</f>
        <v>0.97141513511271937</v>
      </c>
      <c r="BD91" s="5803">
        <f t="shared" si="108"/>
        <v>0</v>
      </c>
      <c r="BE91" s="5806">
        <f t="shared" si="108"/>
        <v>0.97026739230608028</v>
      </c>
      <c r="BF91" s="6152">
        <f t="shared" si="107"/>
        <v>0</v>
      </c>
      <c r="BG91" s="6153">
        <f t="shared" si="107"/>
        <v>0.96408552349867194</v>
      </c>
      <c r="BH91" s="26"/>
      <c r="BI91" s="26"/>
    </row>
    <row r="92" spans="1:61" s="5172" customFormat="1" x14ac:dyDescent="0.25">
      <c r="BH92" s="26"/>
      <c r="BI92" s="26"/>
    </row>
    <row r="93" spans="1:61" s="5864" customFormat="1" ht="20.25" x14ac:dyDescent="0.3">
      <c r="C93" s="7778" t="s">
        <v>1041</v>
      </c>
      <c r="D93" s="7779"/>
      <c r="E93" s="5865" t="s">
        <v>66</v>
      </c>
      <c r="F93" s="5866">
        <f>+'Maj Production Summ'!E37</f>
        <v>228999.81536860339</v>
      </c>
      <c r="G93" s="5866">
        <f>+'Maj Production Summ'!F37</f>
        <v>198800</v>
      </c>
      <c r="H93" s="5866">
        <f>+'Maj Production Summ'!G37</f>
        <v>236499.57667165709</v>
      </c>
      <c r="I93" s="5866">
        <f>+'Maj Production Summ'!H37</f>
        <v>228325.12900000007</v>
      </c>
      <c r="J93" s="5866">
        <f>+'Maj Production Summ'!I37</f>
        <v>465499.39204026049</v>
      </c>
      <c r="K93" s="5866">
        <f>+'Maj Production Summ'!J37</f>
        <v>427125.12900000007</v>
      </c>
      <c r="L93" s="5866">
        <f>+'Maj Production Summ'!K37</f>
        <v>142529.06735751301</v>
      </c>
      <c r="M93" s="5866">
        <f>+'Maj Production Summ'!L37</f>
        <v>147626.70100000006</v>
      </c>
      <c r="N93" s="5866">
        <f>+'Maj Production Summ'!M37</f>
        <v>608028.45939777349</v>
      </c>
      <c r="O93" s="5866">
        <f>+'Maj Production Summ'!N37</f>
        <v>574751.83000000007</v>
      </c>
      <c r="P93" s="5866">
        <f>+'Maj Production Summ'!O37</f>
        <v>81183.229706390324</v>
      </c>
      <c r="Q93" s="5866">
        <f>+'Maj Production Summ'!P37</f>
        <v>221270.00800000009</v>
      </c>
      <c r="R93" s="5866">
        <f>+'Maj Production Summ'!Q37</f>
        <v>689211.68910416379</v>
      </c>
      <c r="S93" s="5866">
        <f>+'Maj Production Summ'!R37</f>
        <v>796021.83800000022</v>
      </c>
      <c r="T93" s="5866">
        <f>+'Maj Production Summ'!S37</f>
        <v>217952.17645827011</v>
      </c>
      <c r="U93" s="5866">
        <f>+'Maj Production Summ'!T37</f>
        <v>211253.92500000008</v>
      </c>
      <c r="V93" s="5866">
        <f>+'Maj Production Summ'!U37</f>
        <v>907163.86556243396</v>
      </c>
      <c r="W93" s="5866">
        <f>+'Maj Production Summ'!V37</f>
        <v>1007275.7630000003</v>
      </c>
      <c r="X93" s="5866">
        <f>+'Maj Production Summ'!W37</f>
        <v>205480.78583765111</v>
      </c>
      <c r="Y93" s="5866">
        <f>+'Maj Production Summ'!X37</f>
        <v>216176.90500000003</v>
      </c>
      <c r="Z93" s="5866">
        <f>+'Maj Production Summ'!Y37</f>
        <v>504616.19200231152</v>
      </c>
      <c r="AA93" s="5866">
        <f>+'Maj Production Summ'!Z37</f>
        <v>648700.83800000022</v>
      </c>
      <c r="AB93" s="5866">
        <f>+'Maj Production Summ'!AA37</f>
        <v>1112644.6514000851</v>
      </c>
      <c r="AC93" s="5866">
        <f>+'Maj Production Summ'!AB37</f>
        <v>1223452.6680000003</v>
      </c>
      <c r="AD93" s="5866">
        <f>+'Maj Production Summ'!AC37</f>
        <v>226841.09386753975</v>
      </c>
      <c r="AE93" s="5866">
        <f>+'Maj Production Summ'!AD37</f>
        <v>186830.38720000003</v>
      </c>
      <c r="AF93" s="5866">
        <f>+'Maj Production Summ'!AE37</f>
        <v>1339485.7452676247</v>
      </c>
      <c r="AG93" s="5866">
        <f>+'Maj Production Summ'!AF37</f>
        <v>1410283.0552000003</v>
      </c>
      <c r="AH93" s="5866">
        <f>+'Maj Production Summ'!AG37</f>
        <v>223180.91557330103</v>
      </c>
      <c r="AI93" s="5866">
        <f>+'Maj Production Summ'!AH37</f>
        <v>40308.054000000004</v>
      </c>
      <c r="AJ93" s="5866">
        <f>+'Maj Production Summ'!AI37</f>
        <v>1562666.6608409258</v>
      </c>
      <c r="AK93" s="5866">
        <f>+'Maj Production Summ'!AJ37</f>
        <v>1450591.1092000003</v>
      </c>
      <c r="AL93" s="5866">
        <f>+'Maj Production Summ'!AK37</f>
        <v>225210.06226252159</v>
      </c>
      <c r="AM93" s="5866">
        <f>+'Maj Production Summ'!AL37</f>
        <v>227300.49800000008</v>
      </c>
      <c r="AN93" s="5979"/>
      <c r="AO93" s="5866">
        <f>+'Maj Production Summ'!AN37</f>
        <v>454438.93920000014</v>
      </c>
      <c r="AP93" s="5866">
        <f>+'Maj Production Summ'!AM37</f>
        <v>675232.0717033624</v>
      </c>
      <c r="AQ93" s="5866">
        <f>+'Maj Production Summ'!AP37</f>
        <v>1677891.6072000002</v>
      </c>
      <c r="AR93" s="5866">
        <f>+'Maj Production Summ'!AQ37</f>
        <v>226839.61226252161</v>
      </c>
      <c r="AS93" s="5866">
        <f>+'Maj Production Summ'!AR37</f>
        <v>235403.16700000007</v>
      </c>
      <c r="AT93" s="5866">
        <f>+'Maj Production Summ'!AS37</f>
        <v>2014716.335365969</v>
      </c>
      <c r="AU93" s="5866">
        <f>+'Maj Production Summ'!AT37</f>
        <v>1913294.7742000003</v>
      </c>
      <c r="AV93" s="5866">
        <f>+'Maj Production Summ'!AU37</f>
        <v>207657.99609174184</v>
      </c>
      <c r="AW93" s="5866">
        <f>+'Maj Production Summ'!AV37</f>
        <v>208816.1</v>
      </c>
      <c r="AX93" s="5866">
        <f>+'Maj Production Summ'!AW37</f>
        <v>2222374.3314577108</v>
      </c>
      <c r="AY93" s="5866">
        <f>+'Maj Production Summ'!AX37</f>
        <v>2122110.8742000004</v>
      </c>
      <c r="AZ93" s="5866">
        <f>+'Maj Production Summ'!AY37</f>
        <v>230952.61226252158</v>
      </c>
      <c r="BA93" s="5866">
        <f>+'Maj Production Summ'!AZ37</f>
        <v>240775.0500000001</v>
      </c>
      <c r="BB93" s="5979"/>
      <c r="BC93" s="5866">
        <f>+'Maj Production Summ'!BB37</f>
        <v>684994.31700000016</v>
      </c>
      <c r="BD93" s="5866">
        <f>+'Maj Production Summ'!BC37</f>
        <v>1340682.2923201474</v>
      </c>
      <c r="BE93" s="5866">
        <f>+'Maj Production Summ'!BD37</f>
        <v>1139433.2562000004</v>
      </c>
      <c r="BF93" s="5866">
        <f>+'Maj Production Summ'!BE37</f>
        <v>2453326.9437202322</v>
      </c>
      <c r="BG93" s="5866">
        <f>+'Maj Production Summ'!BF37</f>
        <v>2362885.9242000002</v>
      </c>
      <c r="BH93" s="26"/>
      <c r="BI93" s="26"/>
    </row>
    <row r="94" spans="1:61" s="5172" customFormat="1" ht="15.75" thickBot="1" x14ac:dyDescent="0.3">
      <c r="BH94" s="26"/>
      <c r="BI94" s="26"/>
    </row>
    <row r="95" spans="1:61" ht="15.75" hidden="1" customHeight="1" thickBot="1" x14ac:dyDescent="0.3">
      <c r="C95" s="5760"/>
      <c r="D95" s="5760"/>
      <c r="E95" s="5812"/>
      <c r="F95" s="5760"/>
      <c r="G95" s="5760"/>
      <c r="H95" s="5760"/>
      <c r="I95" s="5760"/>
      <c r="J95" s="5760"/>
      <c r="K95" s="5808"/>
      <c r="L95" s="5760"/>
      <c r="M95" s="5760"/>
      <c r="N95" s="5760"/>
      <c r="O95" s="5809"/>
      <c r="P95" s="5760"/>
      <c r="Q95" s="5760"/>
      <c r="R95" s="5760"/>
      <c r="S95" s="5808"/>
      <c r="T95" s="5760"/>
      <c r="U95" s="5760"/>
      <c r="V95" s="5760"/>
      <c r="W95" s="5808"/>
      <c r="X95" s="5807"/>
      <c r="Y95" s="5760"/>
      <c r="Z95" s="5760"/>
      <c r="AA95" s="5809"/>
      <c r="AB95" s="5810"/>
      <c r="AC95" s="5810"/>
      <c r="AD95" s="5760"/>
      <c r="AE95" s="5760"/>
      <c r="AF95" s="5760"/>
      <c r="AG95" s="5808"/>
      <c r="AH95" s="5760"/>
      <c r="AI95" s="5760"/>
      <c r="AJ95" s="5760"/>
      <c r="AK95" s="5808"/>
      <c r="AL95" s="5760"/>
      <c r="AM95" s="5760"/>
      <c r="AN95" s="5760"/>
      <c r="AO95" s="5760"/>
      <c r="AP95" s="5760"/>
      <c r="AQ95" s="5808"/>
      <c r="AR95" s="5760"/>
      <c r="AS95" s="5760"/>
      <c r="AT95" s="5760"/>
      <c r="AU95" s="5808"/>
      <c r="AV95" s="5760"/>
      <c r="AW95" s="5760"/>
      <c r="AX95" s="5760"/>
      <c r="AY95" s="5808"/>
      <c r="AZ95" s="5760"/>
      <c r="BA95" s="5760"/>
      <c r="BB95" s="5760"/>
      <c r="BC95" s="5760"/>
      <c r="BD95" s="5810"/>
      <c r="BE95" s="5810"/>
      <c r="BF95" s="5760"/>
      <c r="BG95" s="5808"/>
      <c r="BH95" s="26"/>
      <c r="BI95" s="26"/>
    </row>
    <row r="96" spans="1:61" ht="15.75" hidden="1" customHeight="1" thickBot="1" x14ac:dyDescent="0.3">
      <c r="C96" s="5760"/>
      <c r="D96" s="5760" t="s">
        <v>1469</v>
      </c>
      <c r="E96" s="5812"/>
      <c r="F96" s="5760"/>
      <c r="G96" s="5769">
        <f>+'Maj Production Summ'!F34</f>
        <v>45616.58799999996</v>
      </c>
      <c r="H96" s="5769"/>
      <c r="I96" s="5769">
        <f>+'Maj Production Summ'!H34</f>
        <v>52556</v>
      </c>
      <c r="J96" s="5769"/>
      <c r="K96" s="5813">
        <f>+G96+I96</f>
        <v>98172.58799999996</v>
      </c>
      <c r="L96" s="5769"/>
      <c r="M96" s="5769">
        <f>+'Maj Production Summ'!L34</f>
        <v>25895</v>
      </c>
      <c r="N96" s="5760"/>
      <c r="O96" s="5814">
        <f t="shared" ref="O96:O98" si="109">+G96+I96+M96</f>
        <v>124067.58799999996</v>
      </c>
      <c r="P96" s="5769"/>
      <c r="Q96" s="5769">
        <f>+'Maj Production Summ'!P34</f>
        <v>58992</v>
      </c>
      <c r="R96" s="5760"/>
      <c r="S96" s="5813">
        <f>+O96+Q96</f>
        <v>183059.58799999996</v>
      </c>
      <c r="T96" s="5769"/>
      <c r="U96" s="5769">
        <f>+'Maj Production Summ'!S34</f>
        <v>38452.612262521601</v>
      </c>
      <c r="V96" s="5760"/>
      <c r="W96" s="5813">
        <f>+R96+U96</f>
        <v>38452.612262521601</v>
      </c>
      <c r="X96" s="5815"/>
      <c r="Y96" s="5769">
        <f>+'Maj Production Summ'!W34</f>
        <v>35980.785837651099</v>
      </c>
      <c r="Z96" s="5760"/>
      <c r="AA96" s="5814">
        <f t="shared" ref="AA96:AA98" si="110">+R96+T96+Y96</f>
        <v>35980.785837651099</v>
      </c>
      <c r="AB96" s="5816"/>
      <c r="AC96" s="5810"/>
      <c r="AD96" s="5769"/>
      <c r="AE96" s="5769">
        <f>+'Maj Production Summ'!AA34</f>
        <v>207145.08720433651</v>
      </c>
      <c r="AF96" s="5760"/>
      <c r="AG96" s="5813">
        <f>+AA96+AE96</f>
        <v>243125.87304198759</v>
      </c>
      <c r="AH96" s="5769"/>
      <c r="AI96" s="5769">
        <f>+'Maj Production Summ'!AE34</f>
        <v>254485.69946685809</v>
      </c>
      <c r="AJ96" s="5760"/>
      <c r="AK96" s="5813">
        <f>+AE96+AI96</f>
        <v>461630.7866711946</v>
      </c>
      <c r="AL96" s="5769"/>
      <c r="AM96" s="5769">
        <f>+'Maj Production Summ'!AI34</f>
        <v>300166.48530450917</v>
      </c>
      <c r="AN96" s="5769"/>
      <c r="AO96" s="5769"/>
      <c r="AP96" s="5760"/>
      <c r="AQ96" s="5813">
        <f>+AI96+AM96</f>
        <v>554652.18477136723</v>
      </c>
      <c r="AR96" s="5769"/>
      <c r="AS96" s="5769">
        <f>+'Maj Production Summ'!AO34</f>
        <v>345876.54756703076</v>
      </c>
      <c r="AT96" s="5760"/>
      <c r="AU96" s="5813">
        <f>+AO96+AS96</f>
        <v>345876.54756703076</v>
      </c>
      <c r="AV96" s="5769"/>
      <c r="AW96" s="5769">
        <f>+'Maj Production Summ'!AS34</f>
        <v>393216.15982955234</v>
      </c>
      <c r="AX96" s="5760"/>
      <c r="AY96" s="5813">
        <f>+AS96+AW96</f>
        <v>739092.70739658317</v>
      </c>
      <c r="AZ96" s="5769"/>
      <c r="BA96" s="5769">
        <f>+'Maj Production Summ'!AW34</f>
        <v>435874.12615079584</v>
      </c>
      <c r="BB96" s="5769"/>
      <c r="BC96" s="5769"/>
      <c r="BD96" s="5816"/>
      <c r="BE96" s="5810"/>
      <c r="BF96" s="5760"/>
      <c r="BG96" s="5813">
        <f>+AW96+BA96</f>
        <v>829090.28598034824</v>
      </c>
      <c r="BH96" s="26"/>
      <c r="BI96" s="26"/>
    </row>
    <row r="97" spans="1:61" ht="15.75" hidden="1" customHeight="1" thickBot="1" x14ac:dyDescent="0.3">
      <c r="C97" s="5760"/>
      <c r="D97" s="5760" t="s">
        <v>1470</v>
      </c>
      <c r="E97" s="5812"/>
      <c r="F97" s="5760"/>
      <c r="G97" s="5769">
        <f>+SMS!F36</f>
        <v>144</v>
      </c>
      <c r="H97" s="5760"/>
      <c r="I97" s="5769">
        <f>+SMS!H36</f>
        <v>154</v>
      </c>
      <c r="J97" s="5760"/>
      <c r="K97" s="5813">
        <f>+G97+I97</f>
        <v>298</v>
      </c>
      <c r="L97" s="5760"/>
      <c r="M97" s="5769">
        <f>+SMS!L36</f>
        <v>389</v>
      </c>
      <c r="N97" s="5760"/>
      <c r="O97" s="5814">
        <f t="shared" si="109"/>
        <v>687</v>
      </c>
      <c r="P97" s="5760"/>
      <c r="Q97" s="5769">
        <f>+SMS!P36</f>
        <v>113</v>
      </c>
      <c r="R97" s="5760"/>
      <c r="S97" s="5813">
        <f t="shared" ref="S97:S98" si="111">+O97+Q97</f>
        <v>800</v>
      </c>
      <c r="T97" s="5760"/>
      <c r="U97" s="5769">
        <f>+SMS!S36</f>
        <v>0</v>
      </c>
      <c r="V97" s="5760"/>
      <c r="W97" s="5813">
        <f t="shared" ref="W97:W98" si="112">+R97+U97</f>
        <v>0</v>
      </c>
      <c r="X97" s="5815"/>
      <c r="Y97" s="5769">
        <f>+SMS!W36</f>
        <v>0</v>
      </c>
      <c r="Z97" s="5760"/>
      <c r="AA97" s="5814">
        <f t="shared" si="110"/>
        <v>0</v>
      </c>
      <c r="AB97" s="5816"/>
      <c r="AC97" s="5810"/>
      <c r="AD97" s="5760"/>
      <c r="AE97" s="5769">
        <f>+SMS!AA36</f>
        <v>0</v>
      </c>
      <c r="AF97" s="5760"/>
      <c r="AG97" s="5813">
        <f t="shared" ref="AG97:AG98" si="113">+AA97+AE97</f>
        <v>0</v>
      </c>
      <c r="AH97" s="5760"/>
      <c r="AI97" s="5769">
        <f>+SMS!AE36</f>
        <v>0</v>
      </c>
      <c r="AJ97" s="5760"/>
      <c r="AK97" s="5813">
        <f t="shared" ref="AK97:AK98" si="114">+AE97+AI97</f>
        <v>0</v>
      </c>
      <c r="AL97" s="5760"/>
      <c r="AM97" s="5769">
        <f>+SMS!AI36</f>
        <v>0</v>
      </c>
      <c r="AN97" s="5769"/>
      <c r="AO97" s="5769"/>
      <c r="AP97" s="5760"/>
      <c r="AQ97" s="5813">
        <f>+AI97+AM97</f>
        <v>0</v>
      </c>
      <c r="AR97" s="5760"/>
      <c r="AS97" s="5769">
        <f>+SMS!AO36</f>
        <v>0</v>
      </c>
      <c r="AT97" s="5760"/>
      <c r="AU97" s="5813">
        <f t="shared" ref="AU97:AU98" si="115">+AO97+AS97</f>
        <v>0</v>
      </c>
      <c r="AV97" s="5760"/>
      <c r="AW97" s="5769">
        <f>+SMS!AS36</f>
        <v>0</v>
      </c>
      <c r="AX97" s="5760"/>
      <c r="AY97" s="5813">
        <f t="shared" ref="AY97:AY98" si="116">+AS97+AW97</f>
        <v>0</v>
      </c>
      <c r="AZ97" s="5760"/>
      <c r="BA97" s="5769">
        <f>+SMS!AW36</f>
        <v>0</v>
      </c>
      <c r="BB97" s="5769"/>
      <c r="BC97" s="5769"/>
      <c r="BD97" s="5816"/>
      <c r="BE97" s="5810"/>
      <c r="BF97" s="5760"/>
      <c r="BG97" s="5813">
        <f t="shared" ref="BG97:BG98" si="117">+AW97+BA97</f>
        <v>0</v>
      </c>
      <c r="BH97" s="26"/>
      <c r="BI97" s="26"/>
    </row>
    <row r="98" spans="1:61" ht="15.75" hidden="1" customHeight="1" thickBot="1" x14ac:dyDescent="0.3">
      <c r="C98" s="5760"/>
      <c r="D98" s="5760" t="s">
        <v>1471</v>
      </c>
      <c r="E98" s="5812"/>
      <c r="F98" s="5760"/>
      <c r="G98" s="5769" t="e">
        <f>+SUM('GRD SUMM RCL 150X150 '!#REF!)</f>
        <v>#REF!</v>
      </c>
      <c r="H98" s="5760"/>
      <c r="I98" s="5769" t="e">
        <f>+SUM('GRD SUMM RCL 150X150 '!#REF!)</f>
        <v>#REF!</v>
      </c>
      <c r="J98" s="5760"/>
      <c r="K98" s="5813" t="e">
        <f>+G98+I98</f>
        <v>#REF!</v>
      </c>
      <c r="L98" s="5760"/>
      <c r="M98" s="5769" t="e">
        <f>+SUM('GRD SUMM RCL 150X150 '!#REF!)</f>
        <v>#REF!</v>
      </c>
      <c r="N98" s="5760"/>
      <c r="O98" s="5814" t="e">
        <f t="shared" si="109"/>
        <v>#REF!</v>
      </c>
      <c r="P98" s="5760"/>
      <c r="Q98" s="5769" t="e">
        <f>+SUM('GRD SUMM RCL 150X150 '!#REF!)</f>
        <v>#REF!</v>
      </c>
      <c r="R98" s="5760"/>
      <c r="S98" s="5813" t="e">
        <f t="shared" si="111"/>
        <v>#REF!</v>
      </c>
      <c r="T98" s="5760"/>
      <c r="U98" s="5769" t="e">
        <f>+SUM('GRD SUMM RCL 150X150 '!#REF!)</f>
        <v>#REF!</v>
      </c>
      <c r="V98" s="5760"/>
      <c r="W98" s="5813" t="e">
        <f t="shared" si="112"/>
        <v>#REF!</v>
      </c>
      <c r="X98" s="5815"/>
      <c r="Y98" s="5769" t="e">
        <f>+SUM('GRD SUMM RCL 150X150 '!#REF!)</f>
        <v>#REF!</v>
      </c>
      <c r="Z98" s="5760"/>
      <c r="AA98" s="5814" t="e">
        <f t="shared" si="110"/>
        <v>#REF!</v>
      </c>
      <c r="AB98" s="5816"/>
      <c r="AC98" s="5810"/>
      <c r="AD98" s="5760"/>
      <c r="AE98" s="5769" t="e">
        <f>+SUM('GRD SUMM RCL 150X150 '!#REF!)</f>
        <v>#REF!</v>
      </c>
      <c r="AF98" s="5760"/>
      <c r="AG98" s="5813" t="e">
        <f t="shared" si="113"/>
        <v>#REF!</v>
      </c>
      <c r="AH98" s="5760"/>
      <c r="AI98" s="5769" t="e">
        <f>+SUM('GRD SUMM RCL 150X150 '!#REF!)</f>
        <v>#REF!</v>
      </c>
      <c r="AJ98" s="5760"/>
      <c r="AK98" s="5813" t="e">
        <f t="shared" si="114"/>
        <v>#REF!</v>
      </c>
      <c r="AL98" s="5760"/>
      <c r="AM98" s="5769" t="e">
        <f>+SUM('GRD SUMM RCL 150X150 '!#REF!)</f>
        <v>#REF!</v>
      </c>
      <c r="AN98" s="5769"/>
      <c r="AO98" s="5769"/>
      <c r="AP98" s="5760"/>
      <c r="AQ98" s="5813" t="e">
        <f>+AI98+AM98</f>
        <v>#REF!</v>
      </c>
      <c r="AR98" s="5760"/>
      <c r="AS98" s="5769" t="e">
        <f>+SUM('GRD SUMM RCL 150X150 '!#REF!)</f>
        <v>#REF!</v>
      </c>
      <c r="AT98" s="5760"/>
      <c r="AU98" s="5813" t="e">
        <f t="shared" si="115"/>
        <v>#REF!</v>
      </c>
      <c r="AV98" s="5760"/>
      <c r="AW98" s="5769" t="e">
        <f>+SUM('GRD SUMM RCL 150X150 '!#REF!)</f>
        <v>#REF!</v>
      </c>
      <c r="AX98" s="5760"/>
      <c r="AY98" s="5813" t="e">
        <f t="shared" si="116"/>
        <v>#REF!</v>
      </c>
      <c r="AZ98" s="5760"/>
      <c r="BA98" s="5769" t="e">
        <f>+SUM('GRD SUMM RCL 150X150 '!#REF!)</f>
        <v>#REF!</v>
      </c>
      <c r="BB98" s="5769"/>
      <c r="BC98" s="5769"/>
      <c r="BD98" s="5816"/>
      <c r="BE98" s="5810"/>
      <c r="BF98" s="5760"/>
      <c r="BG98" s="5813" t="e">
        <f t="shared" si="117"/>
        <v>#REF!</v>
      </c>
      <c r="BH98" s="26"/>
      <c r="BI98" s="26"/>
    </row>
    <row r="99" spans="1:61" ht="15.75" hidden="1" customHeight="1" thickBot="1" x14ac:dyDescent="0.3">
      <c r="C99" s="5760"/>
      <c r="D99" s="5760"/>
      <c r="E99" s="5812"/>
      <c r="F99" s="5760"/>
      <c r="G99" s="5769" t="e">
        <f>+G96-G97-G98</f>
        <v>#REF!</v>
      </c>
      <c r="H99" s="5760"/>
      <c r="I99" s="5769" t="e">
        <f>+I96-I97-I98</f>
        <v>#REF!</v>
      </c>
      <c r="J99" s="5769">
        <f t="shared" ref="J99:S99" si="118">+J96-J97-J98</f>
        <v>0</v>
      </c>
      <c r="K99" s="5813" t="e">
        <f t="shared" si="118"/>
        <v>#REF!</v>
      </c>
      <c r="L99" s="5769">
        <f t="shared" si="118"/>
        <v>0</v>
      </c>
      <c r="M99" s="5769" t="e">
        <f>+M96-M97-M98</f>
        <v>#REF!</v>
      </c>
      <c r="N99" s="5769">
        <f t="shared" si="118"/>
        <v>0</v>
      </c>
      <c r="O99" s="5814" t="e">
        <f t="shared" si="118"/>
        <v>#REF!</v>
      </c>
      <c r="P99" s="5769">
        <f t="shared" si="118"/>
        <v>0</v>
      </c>
      <c r="Q99" s="5769" t="e">
        <f t="shared" si="118"/>
        <v>#REF!</v>
      </c>
      <c r="R99" s="5769">
        <f t="shared" si="118"/>
        <v>0</v>
      </c>
      <c r="S99" s="5813" t="e">
        <f t="shared" si="118"/>
        <v>#REF!</v>
      </c>
      <c r="T99" s="5769">
        <f t="shared" ref="T99" si="119">+T96-T97-T98</f>
        <v>0</v>
      </c>
      <c r="U99" s="5769" t="e">
        <f t="shared" ref="U99:AA99" si="120">+U96-U97-U98</f>
        <v>#REF!</v>
      </c>
      <c r="V99" s="5769">
        <f t="shared" si="120"/>
        <v>0</v>
      </c>
      <c r="W99" s="5813" t="e">
        <f t="shared" si="120"/>
        <v>#REF!</v>
      </c>
      <c r="X99" s="5815"/>
      <c r="Y99" s="5769" t="e">
        <f t="shared" ref="Y99" si="121">+Y96-Y97-Y98</f>
        <v>#REF!</v>
      </c>
      <c r="Z99" s="5769">
        <f t="shared" si="120"/>
        <v>0</v>
      </c>
      <c r="AA99" s="5814" t="e">
        <f t="shared" si="120"/>
        <v>#REF!</v>
      </c>
      <c r="AB99" s="5816"/>
      <c r="AC99" s="5810"/>
      <c r="AD99" s="5769">
        <f t="shared" ref="AD99:AG99" si="122">+AD96-AD97-AD98</f>
        <v>0</v>
      </c>
      <c r="AE99" s="5769" t="e">
        <f t="shared" si="122"/>
        <v>#REF!</v>
      </c>
      <c r="AF99" s="5769">
        <f t="shared" si="122"/>
        <v>0</v>
      </c>
      <c r="AG99" s="5813" t="e">
        <f t="shared" si="122"/>
        <v>#REF!</v>
      </c>
      <c r="AH99" s="5769">
        <f t="shared" ref="AH99:AK99" si="123">+AH96-AH97-AH98</f>
        <v>0</v>
      </c>
      <c r="AI99" s="5769" t="e">
        <f t="shared" si="123"/>
        <v>#REF!</v>
      </c>
      <c r="AJ99" s="5769">
        <f t="shared" si="123"/>
        <v>0</v>
      </c>
      <c r="AK99" s="5813" t="e">
        <f t="shared" si="123"/>
        <v>#REF!</v>
      </c>
      <c r="AL99" s="5769">
        <f t="shared" ref="AL99:AQ99" si="124">+AL96-AL97-AL98</f>
        <v>0</v>
      </c>
      <c r="AM99" s="5769" t="e">
        <f t="shared" si="124"/>
        <v>#REF!</v>
      </c>
      <c r="AN99" s="5769"/>
      <c r="AO99" s="5769"/>
      <c r="AP99" s="5769">
        <f t="shared" si="124"/>
        <v>0</v>
      </c>
      <c r="AQ99" s="5813" t="e">
        <f t="shared" si="124"/>
        <v>#REF!</v>
      </c>
      <c r="AR99" s="5769">
        <f t="shared" ref="AR99:AU99" si="125">+AR96-AR97-AR98</f>
        <v>0</v>
      </c>
      <c r="AS99" s="5769" t="e">
        <f t="shared" si="125"/>
        <v>#REF!</v>
      </c>
      <c r="AT99" s="5769">
        <f t="shared" si="125"/>
        <v>0</v>
      </c>
      <c r="AU99" s="5813" t="e">
        <f t="shared" si="125"/>
        <v>#REF!</v>
      </c>
      <c r="AV99" s="5769">
        <f t="shared" ref="AV99:AY99" si="126">+AV96-AV97-AV98</f>
        <v>0</v>
      </c>
      <c r="AW99" s="5769" t="e">
        <f t="shared" si="126"/>
        <v>#REF!</v>
      </c>
      <c r="AX99" s="5769">
        <f t="shared" si="126"/>
        <v>0</v>
      </c>
      <c r="AY99" s="5813" t="e">
        <f t="shared" si="126"/>
        <v>#REF!</v>
      </c>
      <c r="AZ99" s="5769">
        <f t="shared" ref="AZ99:BG99" si="127">+AZ96-AZ97-AZ98</f>
        <v>0</v>
      </c>
      <c r="BA99" s="5769" t="e">
        <f t="shared" si="127"/>
        <v>#REF!</v>
      </c>
      <c r="BB99" s="5769"/>
      <c r="BC99" s="5769"/>
      <c r="BD99" s="5816"/>
      <c r="BE99" s="5810"/>
      <c r="BF99" s="5769">
        <f t="shared" si="127"/>
        <v>0</v>
      </c>
      <c r="BG99" s="5813" t="e">
        <f t="shared" si="127"/>
        <v>#REF!</v>
      </c>
      <c r="BH99" s="26"/>
      <c r="BI99" s="26"/>
    </row>
    <row r="100" spans="1:61" ht="15.75" hidden="1" customHeight="1" thickBot="1" x14ac:dyDescent="0.3">
      <c r="C100" s="5760"/>
      <c r="D100" s="5760"/>
      <c r="E100" s="5812"/>
      <c r="F100" s="5760"/>
      <c r="G100" s="5769" t="e">
        <f>+G99-G77</f>
        <v>#REF!</v>
      </c>
      <c r="H100" s="5760"/>
      <c r="I100" s="5769" t="e">
        <f>+I99-I77</f>
        <v>#REF!</v>
      </c>
      <c r="J100" s="5769">
        <f t="shared" ref="J100:AA100" si="128">+J99-J77</f>
        <v>0</v>
      </c>
      <c r="K100" s="5813" t="e">
        <f t="shared" si="128"/>
        <v>#REF!</v>
      </c>
      <c r="L100" s="5769">
        <f t="shared" si="128"/>
        <v>0</v>
      </c>
      <c r="M100" s="5769" t="e">
        <f>+M99-M77</f>
        <v>#REF!</v>
      </c>
      <c r="N100" s="5769">
        <f t="shared" si="128"/>
        <v>0</v>
      </c>
      <c r="O100" s="5814" t="e">
        <f t="shared" si="128"/>
        <v>#REF!</v>
      </c>
      <c r="P100" s="5769">
        <f t="shared" si="128"/>
        <v>0</v>
      </c>
      <c r="Q100" s="5769" t="e">
        <f t="shared" si="128"/>
        <v>#REF!</v>
      </c>
      <c r="R100" s="5769">
        <f t="shared" si="128"/>
        <v>0</v>
      </c>
      <c r="S100" s="5813" t="e">
        <f t="shared" si="128"/>
        <v>#REF!</v>
      </c>
      <c r="T100" s="5769">
        <f t="shared" si="128"/>
        <v>0</v>
      </c>
      <c r="U100" s="5769" t="e">
        <f t="shared" si="128"/>
        <v>#REF!</v>
      </c>
      <c r="V100" s="5769">
        <f t="shared" si="128"/>
        <v>0</v>
      </c>
      <c r="W100" s="5813" t="e">
        <f t="shared" si="128"/>
        <v>#REF!</v>
      </c>
      <c r="X100" s="5815"/>
      <c r="Y100" s="5769" t="e">
        <f t="shared" ref="Y100" si="129">+Y99-Y77</f>
        <v>#REF!</v>
      </c>
      <c r="Z100" s="5769">
        <f t="shared" si="128"/>
        <v>0</v>
      </c>
      <c r="AA100" s="5814" t="e">
        <f t="shared" si="128"/>
        <v>#REF!</v>
      </c>
      <c r="AB100" s="5816"/>
      <c r="AC100" s="5810"/>
      <c r="AD100" s="5769">
        <f t="shared" ref="AD100:AJ100" si="130">+AD99-AD77</f>
        <v>0</v>
      </c>
      <c r="AE100" s="5769" t="e">
        <f t="shared" si="130"/>
        <v>#REF!</v>
      </c>
      <c r="AF100" s="5769">
        <f t="shared" si="130"/>
        <v>0</v>
      </c>
      <c r="AG100" s="5813" t="e">
        <f t="shared" si="130"/>
        <v>#REF!</v>
      </c>
      <c r="AH100" s="5769">
        <f t="shared" si="130"/>
        <v>0</v>
      </c>
      <c r="AI100" s="5769" t="e">
        <f t="shared" ref="AI100" si="131">+AI99-AI77</f>
        <v>#REF!</v>
      </c>
      <c r="AJ100" s="5769">
        <f t="shared" si="130"/>
        <v>0</v>
      </c>
      <c r="AK100" s="5813" t="e">
        <f t="shared" ref="AK100:AP100" si="132">+AK99-AK77</f>
        <v>#REF!</v>
      </c>
      <c r="AL100" s="5769">
        <f t="shared" si="132"/>
        <v>0</v>
      </c>
      <c r="AM100" s="5769" t="e">
        <f t="shared" si="132"/>
        <v>#REF!</v>
      </c>
      <c r="AN100" s="5769"/>
      <c r="AO100" s="5769"/>
      <c r="AP100" s="5769">
        <f t="shared" si="132"/>
        <v>0</v>
      </c>
      <c r="AQ100" s="5813" t="e">
        <f t="shared" ref="AQ100:AU100" si="133">+AQ99-AQ77</f>
        <v>#REF!</v>
      </c>
      <c r="AR100" s="5769">
        <f t="shared" si="133"/>
        <v>0</v>
      </c>
      <c r="AS100" s="5769" t="e">
        <f t="shared" si="133"/>
        <v>#REF!</v>
      </c>
      <c r="AT100" s="5769">
        <f t="shared" si="133"/>
        <v>0</v>
      </c>
      <c r="AU100" s="5813" t="e">
        <f t="shared" si="133"/>
        <v>#REF!</v>
      </c>
      <c r="AV100" s="5769">
        <f t="shared" ref="AV100:AY100" si="134">+AV99-AV77</f>
        <v>0</v>
      </c>
      <c r="AW100" s="5769" t="e">
        <f t="shared" si="134"/>
        <v>#REF!</v>
      </c>
      <c r="AX100" s="5769">
        <f t="shared" si="134"/>
        <v>0</v>
      </c>
      <c r="AY100" s="5813" t="e">
        <f t="shared" si="134"/>
        <v>#REF!</v>
      </c>
      <c r="AZ100" s="5769">
        <f t="shared" ref="AZ100:BG100" si="135">+AZ99-AZ77</f>
        <v>0</v>
      </c>
      <c r="BA100" s="5769" t="e">
        <f t="shared" si="135"/>
        <v>#REF!</v>
      </c>
      <c r="BB100" s="5769"/>
      <c r="BC100" s="5769"/>
      <c r="BD100" s="5816"/>
      <c r="BE100" s="5810"/>
      <c r="BF100" s="5769">
        <f t="shared" si="135"/>
        <v>0</v>
      </c>
      <c r="BG100" s="5813" t="e">
        <f t="shared" si="135"/>
        <v>#REF!</v>
      </c>
      <c r="BH100" s="26"/>
      <c r="BI100" s="26"/>
    </row>
    <row r="101" spans="1:61" ht="15.75" hidden="1" customHeight="1" thickBot="1" x14ac:dyDescent="0.3">
      <c r="C101" s="5760"/>
      <c r="D101" s="5760"/>
      <c r="E101" s="5812"/>
      <c r="F101" s="5760"/>
      <c r="G101" s="5760"/>
      <c r="H101" s="5760"/>
      <c r="I101" s="5760"/>
      <c r="J101" s="5760"/>
      <c r="K101" s="5808"/>
      <c r="L101" s="5760"/>
      <c r="M101" s="5760"/>
      <c r="N101" s="5760"/>
      <c r="O101" s="5809"/>
      <c r="P101" s="5760"/>
      <c r="Q101" s="5760"/>
      <c r="R101" s="5760"/>
      <c r="S101" s="5813"/>
      <c r="T101" s="5760"/>
      <c r="U101" s="5760"/>
      <c r="V101" s="5760"/>
      <c r="W101" s="5813"/>
      <c r="X101" s="5815"/>
      <c r="Y101" s="5760"/>
      <c r="Z101" s="5760"/>
      <c r="AA101" s="5809"/>
      <c r="AB101" s="5810"/>
      <c r="AC101" s="5810"/>
      <c r="AD101" s="5760"/>
      <c r="AE101" s="5760"/>
      <c r="AF101" s="5760"/>
      <c r="AG101" s="5813"/>
      <c r="AH101" s="5760"/>
      <c r="AI101" s="5760"/>
      <c r="AJ101" s="5760"/>
      <c r="AK101" s="5813"/>
      <c r="AL101" s="5760"/>
      <c r="AM101" s="5760"/>
      <c r="AN101" s="5760"/>
      <c r="AO101" s="5760"/>
      <c r="AP101" s="5760"/>
      <c r="AQ101" s="5813"/>
      <c r="AR101" s="5760"/>
      <c r="AS101" s="5760"/>
      <c r="AT101" s="5760"/>
      <c r="AU101" s="5813"/>
      <c r="AV101" s="5760"/>
      <c r="AW101" s="5760"/>
      <c r="AX101" s="5760"/>
      <c r="AY101" s="5813"/>
      <c r="AZ101" s="5760"/>
      <c r="BA101" s="5760"/>
      <c r="BB101" s="5760"/>
      <c r="BC101" s="5760"/>
      <c r="BD101" s="5810"/>
      <c r="BE101" s="5810"/>
      <c r="BF101" s="5760"/>
      <c r="BG101" s="5813"/>
      <c r="BH101" s="26"/>
      <c r="BI101" s="26"/>
    </row>
    <row r="102" spans="1:61" ht="15.75" hidden="1" customHeight="1" thickBot="1" x14ac:dyDescent="0.3">
      <c r="C102" s="5760"/>
      <c r="D102" s="5760"/>
      <c r="E102" s="5812"/>
      <c r="F102" s="5760"/>
      <c r="G102" s="5760"/>
      <c r="H102" s="5760"/>
      <c r="I102" s="5760"/>
      <c r="J102" s="5760"/>
      <c r="K102" s="5808"/>
      <c r="L102" s="5760"/>
      <c r="M102" s="5760"/>
      <c r="N102" s="5760"/>
      <c r="O102" s="5809"/>
      <c r="P102" s="5760"/>
      <c r="Q102" s="5760"/>
      <c r="R102" s="5760"/>
      <c r="S102" s="5813"/>
      <c r="T102" s="5760"/>
      <c r="U102" s="5760"/>
      <c r="V102" s="5760"/>
      <c r="W102" s="5813"/>
      <c r="X102" s="5815"/>
      <c r="Y102" s="5760"/>
      <c r="Z102" s="5760"/>
      <c r="AA102" s="5809"/>
      <c r="AB102" s="5810"/>
      <c r="AC102" s="5810"/>
      <c r="AD102" s="5760"/>
      <c r="AE102" s="5760"/>
      <c r="AF102" s="5760"/>
      <c r="AG102" s="5813"/>
      <c r="AH102" s="5760"/>
      <c r="AI102" s="5760"/>
      <c r="AJ102" s="5760"/>
      <c r="AK102" s="5813"/>
      <c r="AL102" s="5760"/>
      <c r="AM102" s="5760"/>
      <c r="AN102" s="5760"/>
      <c r="AO102" s="5760"/>
      <c r="AP102" s="5760"/>
      <c r="AQ102" s="5813"/>
      <c r="AR102" s="5760"/>
      <c r="AS102" s="5760"/>
      <c r="AT102" s="5760"/>
      <c r="AU102" s="5813"/>
      <c r="AV102" s="5760"/>
      <c r="AW102" s="5760"/>
      <c r="AX102" s="5760"/>
      <c r="AY102" s="5813"/>
      <c r="AZ102" s="5760"/>
      <c r="BA102" s="5760"/>
      <c r="BB102" s="5760"/>
      <c r="BC102" s="5760"/>
      <c r="BD102" s="5810"/>
      <c r="BE102" s="5810"/>
      <c r="BF102" s="5760"/>
      <c r="BG102" s="5813"/>
      <c r="BH102" s="26"/>
      <c r="BI102" s="26"/>
    </row>
    <row r="103" spans="1:61" ht="18.75" customHeight="1" thickBot="1" x14ac:dyDescent="0.3">
      <c r="C103" s="7768" t="s">
        <v>16</v>
      </c>
      <c r="D103" s="5834" t="s">
        <v>1525</v>
      </c>
      <c r="E103" s="5834"/>
      <c r="F103" s="5817"/>
      <c r="G103" s="5835">
        <f>+WRM!F151</f>
        <v>36744.180000000008</v>
      </c>
      <c r="H103" s="5835"/>
      <c r="I103" s="5835">
        <f>+WRM!H151</f>
        <v>39374.35</v>
      </c>
      <c r="J103" s="5835"/>
      <c r="K103" s="5840">
        <f t="shared" ref="K103:K104" si="136">+G103+I103</f>
        <v>76118.53</v>
      </c>
      <c r="L103" s="5835"/>
      <c r="M103" s="5835">
        <f>+WRM!L151</f>
        <v>38310.400000000001</v>
      </c>
      <c r="N103" s="5835"/>
      <c r="O103" s="5841">
        <f t="shared" ref="O103:O104" si="137">+G103+I103+M103</f>
        <v>114428.93</v>
      </c>
      <c r="P103" s="5835"/>
      <c r="Q103" s="5835">
        <f>+WRM!P151</f>
        <v>42041.400000000016</v>
      </c>
      <c r="R103" s="5835"/>
      <c r="S103" s="5840">
        <f t="shared" ref="S103:S104" si="138">O103+Q103</f>
        <v>156470.33000000002</v>
      </c>
      <c r="T103" s="5835"/>
      <c r="U103" s="5835">
        <f>+WRM!T151</f>
        <v>41559.65</v>
      </c>
      <c r="V103" s="5835"/>
      <c r="W103" s="5840">
        <f t="shared" ref="W103:W104" si="139">S103+U103</f>
        <v>198029.98</v>
      </c>
      <c r="X103" s="5835"/>
      <c r="Y103" s="5835">
        <f>+WRM!X151</f>
        <v>42947.5</v>
      </c>
      <c r="Z103" s="5835"/>
      <c r="AA103" s="5841">
        <f t="shared" ref="AA103:AA104" si="140">Q103+U103+Y103</f>
        <v>126548.55000000002</v>
      </c>
      <c r="AB103" s="5835"/>
      <c r="AC103" s="5842">
        <f t="shared" ref="AC103:AC104" si="141">O103+AA103</f>
        <v>240977.48</v>
      </c>
      <c r="AD103" s="5835"/>
      <c r="AE103" s="5835">
        <f>+WRM!AD151</f>
        <v>42384.76</v>
      </c>
      <c r="AF103" s="5835"/>
      <c r="AG103" s="5840">
        <f t="shared" ref="AG103:AG104" si="142">+AC103+AE103</f>
        <v>283362.24</v>
      </c>
      <c r="AH103" s="5835"/>
      <c r="AI103" s="5835">
        <f>+WRM!AH151</f>
        <v>19981.350000000006</v>
      </c>
      <c r="AJ103" s="5835"/>
      <c r="AK103" s="5843">
        <f t="shared" ref="AK103:AK104" si="143">+AG103+AI103</f>
        <v>303343.58999999997</v>
      </c>
      <c r="AL103" s="5835"/>
      <c r="AM103" s="5835">
        <f>+WRM!AL151</f>
        <v>39200.100000000013</v>
      </c>
      <c r="AN103" s="5835"/>
      <c r="AO103" s="5841">
        <f t="shared" ref="AO103:AO104" si="144">AE103+AI103+AM103</f>
        <v>101566.21000000002</v>
      </c>
      <c r="AP103" s="5835"/>
      <c r="AQ103" s="5843">
        <f>+AK103+AM103</f>
        <v>342543.69</v>
      </c>
      <c r="AR103" s="5835"/>
      <c r="AS103" s="5835">
        <f>+WRM!AR151</f>
        <v>40296.849999999991</v>
      </c>
      <c r="AT103" s="5835"/>
      <c r="AU103" s="5843">
        <f t="shared" ref="AU103:AU104" si="145">+AQ103+AS103</f>
        <v>382840.54</v>
      </c>
      <c r="AV103" s="5835"/>
      <c r="AW103" s="5835">
        <f>+WRM!AV151</f>
        <v>34335.35</v>
      </c>
      <c r="AX103" s="5835"/>
      <c r="AY103" s="5843">
        <f t="shared" ref="AY103:AY104" si="146">+AU103+AW103</f>
        <v>417175.88999999996</v>
      </c>
      <c r="AZ103" s="5835"/>
      <c r="BA103" s="5835">
        <f>+WRM!AZ151</f>
        <v>43072.55000000001</v>
      </c>
      <c r="BB103" s="5835"/>
      <c r="BC103" s="5841">
        <f t="shared" ref="BC103:BC104" si="147">AS103+AW103+BA103</f>
        <v>117704.75</v>
      </c>
      <c r="BD103" s="5835"/>
      <c r="BE103" s="5842">
        <f>AO103+BC103</f>
        <v>219270.96000000002</v>
      </c>
      <c r="BF103" s="5835"/>
      <c r="BG103" s="5843">
        <f t="shared" ref="BG103:BG104" si="148">+AY103+BA103</f>
        <v>460248.43999999994</v>
      </c>
      <c r="BH103" s="26"/>
      <c r="BI103" s="26"/>
    </row>
    <row r="104" spans="1:61" ht="18.75" customHeight="1" x14ac:dyDescent="0.25">
      <c r="C104" s="7769"/>
      <c r="D104" s="5844" t="s">
        <v>1564</v>
      </c>
      <c r="E104" s="5844"/>
      <c r="F104" s="5845"/>
      <c r="G104" s="5846">
        <f>+G38</f>
        <v>35403.480000000003</v>
      </c>
      <c r="H104" s="5846"/>
      <c r="I104" s="5846">
        <f>+I38</f>
        <v>36549.449999999997</v>
      </c>
      <c r="J104" s="5846"/>
      <c r="K104" s="5847">
        <f t="shared" si="136"/>
        <v>71952.929999999993</v>
      </c>
      <c r="L104" s="5846"/>
      <c r="M104" s="5846">
        <f>+M38</f>
        <v>36891.800000000003</v>
      </c>
      <c r="N104" s="5846"/>
      <c r="O104" s="5848">
        <f t="shared" si="137"/>
        <v>108844.73</v>
      </c>
      <c r="P104" s="5846"/>
      <c r="Q104" s="5846">
        <f>+Q38</f>
        <v>35795.05000000001</v>
      </c>
      <c r="R104" s="5846"/>
      <c r="S104" s="5847">
        <f t="shared" si="138"/>
        <v>144639.78</v>
      </c>
      <c r="T104" s="5846"/>
      <c r="U104" s="5846">
        <f>+U38</f>
        <v>40928.25</v>
      </c>
      <c r="V104" s="5846"/>
      <c r="W104" s="5847">
        <f t="shared" si="139"/>
        <v>185568.03</v>
      </c>
      <c r="X104" s="5846"/>
      <c r="Y104" s="5846">
        <f>+Y38</f>
        <v>40813.449999999997</v>
      </c>
      <c r="Z104" s="5846"/>
      <c r="AA104" s="5848">
        <f t="shared" si="140"/>
        <v>117536.75000000001</v>
      </c>
      <c r="AB104" s="5846"/>
      <c r="AC104" s="5849">
        <f t="shared" si="141"/>
        <v>226381.48</v>
      </c>
      <c r="AD104" s="5846"/>
      <c r="AE104" s="5846">
        <f>+AE38</f>
        <v>40696.590000000004</v>
      </c>
      <c r="AF104" s="5846"/>
      <c r="AG104" s="5847">
        <f t="shared" si="142"/>
        <v>267078.07</v>
      </c>
      <c r="AH104" s="5846"/>
      <c r="AI104" s="5846">
        <f>+AI38</f>
        <v>19950.600000000002</v>
      </c>
      <c r="AJ104" s="5846"/>
      <c r="AK104" s="5850">
        <f t="shared" si="143"/>
        <v>287028.67</v>
      </c>
      <c r="AL104" s="5846"/>
      <c r="AM104" s="5846">
        <f>+AM38</f>
        <v>38943.850000000006</v>
      </c>
      <c r="AN104" s="5980"/>
      <c r="AO104" s="5848">
        <f t="shared" si="144"/>
        <v>99591.040000000008</v>
      </c>
      <c r="AP104" s="5846"/>
      <c r="AQ104" s="5850">
        <f>+AK104+AM104</f>
        <v>325972.52</v>
      </c>
      <c r="AR104" s="5846"/>
      <c r="AS104" s="5846">
        <f>+AS38</f>
        <v>38226.35</v>
      </c>
      <c r="AT104" s="5846"/>
      <c r="AU104" s="5850">
        <f t="shared" si="145"/>
        <v>364198.87</v>
      </c>
      <c r="AV104" s="5846"/>
      <c r="AW104" s="5846">
        <f>+AW38</f>
        <v>33443.600000000006</v>
      </c>
      <c r="AX104" s="5846"/>
      <c r="AY104" s="5850">
        <f t="shared" si="146"/>
        <v>397642.47</v>
      </c>
      <c r="AZ104" s="5846"/>
      <c r="BA104" s="5846">
        <f>+BA38</f>
        <v>41645.750000000022</v>
      </c>
      <c r="BB104" s="5980"/>
      <c r="BC104" s="5848">
        <f t="shared" si="147"/>
        <v>113315.70000000004</v>
      </c>
      <c r="BD104" s="5846"/>
      <c r="BE104" s="5842">
        <f>AO104+BC104</f>
        <v>212906.74000000005</v>
      </c>
      <c r="BF104" s="5846"/>
      <c r="BG104" s="5850">
        <f t="shared" si="148"/>
        <v>439288.22</v>
      </c>
      <c r="BH104" s="26"/>
      <c r="BI104" s="26"/>
    </row>
    <row r="105" spans="1:61" ht="18.75" customHeight="1" thickBot="1" x14ac:dyDescent="0.3">
      <c r="C105" s="7769"/>
      <c r="D105" s="5844" t="s">
        <v>1526</v>
      </c>
      <c r="E105" s="5844"/>
      <c r="F105" s="5845"/>
      <c r="G105" s="5851">
        <f>+G104/G103</f>
        <v>0.96351258893245129</v>
      </c>
      <c r="H105" s="5851"/>
      <c r="I105" s="5851">
        <f>+I104/I103</f>
        <v>0.92825532357994478</v>
      </c>
      <c r="J105" s="5851"/>
      <c r="K105" s="5852">
        <f t="shared" ref="K105:AG105" si="149">+K104/K103</f>
        <v>0.94527482335772894</v>
      </c>
      <c r="L105" s="5851"/>
      <c r="M105" s="5851">
        <f>+M104/M103</f>
        <v>0.96297089041095896</v>
      </c>
      <c r="N105" s="5851"/>
      <c r="O105" s="5853">
        <f t="shared" si="149"/>
        <v>0.95119940385704915</v>
      </c>
      <c r="P105" s="5851"/>
      <c r="Q105" s="5851">
        <f t="shared" si="149"/>
        <v>0.85142383460113114</v>
      </c>
      <c r="R105" s="5851"/>
      <c r="S105" s="5852">
        <f t="shared" si="149"/>
        <v>0.92439109702139688</v>
      </c>
      <c r="T105" s="5851"/>
      <c r="U105" s="5851">
        <f t="shared" si="149"/>
        <v>0.9848073792729245</v>
      </c>
      <c r="V105" s="5851"/>
      <c r="W105" s="5852">
        <f t="shared" si="149"/>
        <v>0.93707038701917755</v>
      </c>
      <c r="X105" s="5851"/>
      <c r="Y105" s="5851">
        <f t="shared" ref="Y105" si="150">+Y104/Y103</f>
        <v>0.95031026252983286</v>
      </c>
      <c r="Z105" s="5851"/>
      <c r="AA105" s="5853">
        <f t="shared" si="149"/>
        <v>0.92878780515462245</v>
      </c>
      <c r="AB105" s="5851"/>
      <c r="AC105" s="5854">
        <f t="shared" si="149"/>
        <v>0.93943002474754078</v>
      </c>
      <c r="AD105" s="5851"/>
      <c r="AE105" s="5851">
        <f t="shared" si="149"/>
        <v>0.96017035368372972</v>
      </c>
      <c r="AF105" s="5851"/>
      <c r="AG105" s="5852">
        <f t="shared" si="149"/>
        <v>0.94253232187887848</v>
      </c>
      <c r="AH105" s="5851"/>
      <c r="AI105" s="5851">
        <f t="shared" ref="AI105" si="151">+AI104/AI103</f>
        <v>0.9984610649430592</v>
      </c>
      <c r="AJ105" s="5851"/>
      <c r="AK105" s="5855">
        <f t="shared" ref="AK105" si="152">+AK104/AK103</f>
        <v>0.94621636804654419</v>
      </c>
      <c r="AL105" s="5851"/>
      <c r="AM105" s="5851">
        <f t="shared" ref="AM105" si="153">+AM104/AM103</f>
        <v>0.9934630268800333</v>
      </c>
      <c r="AN105" s="5981"/>
      <c r="AO105" s="5853">
        <f t="shared" ref="AO105" si="154">+AO104/AO103</f>
        <v>0.980552882695928</v>
      </c>
      <c r="AP105" s="5851"/>
      <c r="AQ105" s="5855">
        <f t="shared" ref="AQ105" si="155">+AQ104/AQ103</f>
        <v>0.95162319294219089</v>
      </c>
      <c r="AR105" s="5851"/>
      <c r="AS105" s="5851">
        <f t="shared" ref="AS105" si="156">+AS104/AS103</f>
        <v>0.94861881263671988</v>
      </c>
      <c r="AT105" s="5851"/>
      <c r="AU105" s="5855">
        <f t="shared" ref="AU105" si="157">+AU104/AU103</f>
        <v>0.95130695928910769</v>
      </c>
      <c r="AV105" s="5851"/>
      <c r="AW105" s="5851">
        <f t="shared" ref="AW105" si="158">+AW104/AW103</f>
        <v>0.97402822455574234</v>
      </c>
      <c r="AX105" s="5851"/>
      <c r="AY105" s="5855">
        <f t="shared" ref="AY105" si="159">+AY104/AY103</f>
        <v>0.95317701605430749</v>
      </c>
      <c r="AZ105" s="5851"/>
      <c r="BA105" s="5851">
        <f t="shared" ref="BA105" si="160">+BA104/BA103</f>
        <v>0.96687449431250327</v>
      </c>
      <c r="BB105" s="5981"/>
      <c r="BC105" s="5853">
        <f t="shared" ref="BC105" si="161">+BC104/BC103</f>
        <v>0.96271136041663607</v>
      </c>
      <c r="BD105" s="5851"/>
      <c r="BE105" s="5854">
        <f t="shared" ref="BE105" si="162">+BE104/BE103</f>
        <v>0.97097554550771348</v>
      </c>
      <c r="BF105" s="5851"/>
      <c r="BG105" s="5855">
        <f t="shared" ref="BG105" si="163">+BG104/BG103</f>
        <v>0.95445890050165083</v>
      </c>
      <c r="BH105" s="26"/>
      <c r="BI105" s="26"/>
    </row>
    <row r="106" spans="1:61" ht="18.75" customHeight="1" thickBot="1" x14ac:dyDescent="0.3">
      <c r="C106" s="7769"/>
      <c r="D106" s="5844" t="s">
        <v>1524</v>
      </c>
      <c r="E106" s="5844"/>
      <c r="F106" s="5845"/>
      <c r="G106" s="5846">
        <f>+G103-G104</f>
        <v>1340.7000000000044</v>
      </c>
      <c r="H106" s="5846"/>
      <c r="I106" s="5846">
        <f>+I103-I104</f>
        <v>2824.9000000000015</v>
      </c>
      <c r="J106" s="5846"/>
      <c r="K106" s="5847">
        <f t="shared" ref="K106:K110" si="164">+G106+I106</f>
        <v>4165.6000000000058</v>
      </c>
      <c r="L106" s="5846"/>
      <c r="M106" s="5846">
        <f>+M103-M104</f>
        <v>1418.5999999999985</v>
      </c>
      <c r="N106" s="5846"/>
      <c r="O106" s="5848">
        <f t="shared" ref="O106:O110" si="165">+G106+I106+M106</f>
        <v>5584.2000000000044</v>
      </c>
      <c r="P106" s="5846"/>
      <c r="Q106" s="5846">
        <f t="shared" ref="Q106:AE106" si="166">+Q103-Q104</f>
        <v>6246.3500000000058</v>
      </c>
      <c r="R106" s="5846"/>
      <c r="S106" s="5847">
        <f t="shared" ref="S106:S110" si="167">O106+Q106</f>
        <v>11830.55000000001</v>
      </c>
      <c r="T106" s="5846"/>
      <c r="U106" s="5846">
        <f t="shared" si="166"/>
        <v>631.40000000000146</v>
      </c>
      <c r="V106" s="5846"/>
      <c r="W106" s="5847">
        <f t="shared" ref="W106:W110" si="168">S106+U106</f>
        <v>12461.950000000012</v>
      </c>
      <c r="X106" s="5846"/>
      <c r="Y106" s="5846">
        <f t="shared" ref="Y106" si="169">+Y103-Y104</f>
        <v>2134.0500000000029</v>
      </c>
      <c r="Z106" s="5846"/>
      <c r="AA106" s="5848">
        <f t="shared" ref="AA106:AA110" si="170">Q106+U106+Y106</f>
        <v>9011.8000000000102</v>
      </c>
      <c r="AB106" s="5846"/>
      <c r="AC106" s="5849">
        <f t="shared" ref="AC106:AC110" si="171">O106+AA106</f>
        <v>14596.000000000015</v>
      </c>
      <c r="AD106" s="5846"/>
      <c r="AE106" s="5846">
        <f t="shared" si="166"/>
        <v>1688.1699999999983</v>
      </c>
      <c r="AF106" s="5846"/>
      <c r="AG106" s="5847">
        <f t="shared" ref="AG106:AG110" si="172">+AC106+AE106</f>
        <v>16284.170000000013</v>
      </c>
      <c r="AH106" s="5846"/>
      <c r="AI106" s="5846">
        <f t="shared" ref="AI106" si="173">+AI103-AI104</f>
        <v>30.750000000003638</v>
      </c>
      <c r="AJ106" s="5846"/>
      <c r="AK106" s="5850">
        <f t="shared" ref="AK106:AK110" si="174">+AG106+AI106</f>
        <v>16314.920000000016</v>
      </c>
      <c r="AL106" s="5846"/>
      <c r="AM106" s="5846">
        <f t="shared" ref="AM106" si="175">+AM103-AM104</f>
        <v>256.25000000000728</v>
      </c>
      <c r="AN106" s="5980"/>
      <c r="AO106" s="5848">
        <f t="shared" ref="AO106:AO110" si="176">AE106+AI106+AM106</f>
        <v>1975.1700000000092</v>
      </c>
      <c r="AP106" s="5846"/>
      <c r="AQ106" s="5850">
        <f>+AK106+AM106</f>
        <v>16571.170000000024</v>
      </c>
      <c r="AR106" s="5846"/>
      <c r="AS106" s="5846">
        <f t="shared" ref="AS106" si="177">+AS103-AS104</f>
        <v>2070.4999999999927</v>
      </c>
      <c r="AT106" s="5846"/>
      <c r="AU106" s="5850">
        <f t="shared" ref="AU106:AU110" si="178">+AQ106+AS106</f>
        <v>18641.670000000016</v>
      </c>
      <c r="AV106" s="5846"/>
      <c r="AW106" s="5846">
        <f t="shared" ref="AW106" si="179">+AW103-AW104</f>
        <v>891.74999999999272</v>
      </c>
      <c r="AX106" s="5846"/>
      <c r="AY106" s="5850">
        <f t="shared" ref="AY106:AY110" si="180">+AU106+AW106</f>
        <v>19533.420000000009</v>
      </c>
      <c r="AZ106" s="5846"/>
      <c r="BA106" s="5846">
        <f t="shared" ref="BA106" si="181">+BA103-BA104</f>
        <v>1426.7999999999884</v>
      </c>
      <c r="BB106" s="5980"/>
      <c r="BC106" s="5848">
        <f t="shared" ref="BC106:BC110" si="182">AS106+AW106+BA106</f>
        <v>4389.0499999999738</v>
      </c>
      <c r="BD106" s="5846"/>
      <c r="BE106" s="5842">
        <f t="shared" ref="BE106:BE110" si="183">AO106+BC106</f>
        <v>6364.219999999983</v>
      </c>
      <c r="BF106" s="5846"/>
      <c r="BG106" s="5850">
        <f t="shared" ref="BG106:BG110" si="184">+AY106+BA106</f>
        <v>20960.219999999998</v>
      </c>
      <c r="BH106" s="26"/>
      <c r="BI106" s="26"/>
    </row>
    <row r="107" spans="1:61" ht="15" customHeight="1" thickBot="1" x14ac:dyDescent="0.3">
      <c r="A107" s="1277"/>
      <c r="B107" s="1277"/>
      <c r="C107" s="7769"/>
      <c r="D107" s="5856" t="s">
        <v>978</v>
      </c>
      <c r="E107" s="5856"/>
      <c r="F107" s="5857"/>
      <c r="G107" s="5858">
        <f>+SUMIF(WRM!$C$7:$C$133,$D107,WRM!F$7:F$133)</f>
        <v>729.8</v>
      </c>
      <c r="H107" s="5858">
        <f>+SUMIF(WRM!$C$7:$C$133,$D107,WRM!G$7:G$133)</f>
        <v>0</v>
      </c>
      <c r="I107" s="5858">
        <f>+SUMIF(WRM!$C$7:$C$133,$D107,WRM!H$7:H$133)</f>
        <v>1344.8000000000002</v>
      </c>
      <c r="J107" s="5858">
        <f>+SUMIF(WRM!$C$7:$C$133,$D107,WRM!I$7:I$133)</f>
        <v>0</v>
      </c>
      <c r="K107" s="5847">
        <f t="shared" si="164"/>
        <v>2074.6000000000004</v>
      </c>
      <c r="L107" s="5858">
        <f>+SUMIF(WRM!$C$7:$C$133,$D107,WRM!K$7:K$133)</f>
        <v>0</v>
      </c>
      <c r="M107" s="5858">
        <f>+SUMIF(WRM!$C$7:$C$133,$D107,WRM!L$7:L$133)</f>
        <v>861</v>
      </c>
      <c r="N107" s="5858"/>
      <c r="O107" s="5848">
        <f t="shared" si="165"/>
        <v>2935.6000000000004</v>
      </c>
      <c r="P107" s="5858"/>
      <c r="Q107" s="5858">
        <f>+SUMIF(WRM!$C$7:$C$133,$D107,WRM!P$7:P$133)</f>
        <v>4817.5</v>
      </c>
      <c r="R107" s="5858">
        <f>+SUMIF(WRM!$C$7:$C$133,$D107,WRM!Q$7:Q$133)</f>
        <v>0</v>
      </c>
      <c r="S107" s="5847">
        <f t="shared" si="167"/>
        <v>7753.1</v>
      </c>
      <c r="T107" s="5858">
        <f>+SUMIF(WRM!$C$7:$C$133,$D107,WRM!S$7:S$133)</f>
        <v>0</v>
      </c>
      <c r="U107" s="5858">
        <f>+SUMIF(WRM!$C$7:$C$133,$D107,WRM!T$7:T$133)</f>
        <v>200.89999999999998</v>
      </c>
      <c r="V107" s="5858">
        <f>+SUMIF(WRM!$C$7:$C$133,$D107,WRM!U$7:U$133)</f>
        <v>0</v>
      </c>
      <c r="W107" s="5847">
        <f t="shared" si="168"/>
        <v>7954</v>
      </c>
      <c r="X107" s="5858">
        <f>+SUMIF(WRM!$C$7:$C$133,$D107,WRM!W$7:W$133)</f>
        <v>0</v>
      </c>
      <c r="Y107" s="5858">
        <f>+SUMIF(WRM!$C$7:$C$133,$D107,WRM!X$7:X$133)</f>
        <v>1471.9</v>
      </c>
      <c r="Z107" s="5858"/>
      <c r="AA107" s="5848">
        <f t="shared" si="170"/>
        <v>6490.2999999999993</v>
      </c>
      <c r="AB107" s="5858"/>
      <c r="AC107" s="5849">
        <f t="shared" si="171"/>
        <v>9425.9</v>
      </c>
      <c r="AD107" s="5858"/>
      <c r="AE107" s="5858">
        <f>+SUMIF(WRM!$C$7:$C$133,$D107,WRM!AD$7:AD$133)</f>
        <v>1318.15</v>
      </c>
      <c r="AF107" s="5858">
        <f>+SUMIF(WRM!$C$7:$C$133,$D107,WRM!AE$7:AE$133)</f>
        <v>0</v>
      </c>
      <c r="AG107" s="5847">
        <f t="shared" si="172"/>
        <v>10744.05</v>
      </c>
      <c r="AH107" s="5858">
        <f>+SUMIF(WRM!$C$7:$C$133,$D107,WRM!AG$7:AG$133)</f>
        <v>0</v>
      </c>
      <c r="AI107" s="5858">
        <f>+SUMIF(WRM!$C$7:$C$133,$D107,WRM!AH$7:AH$133)</f>
        <v>0</v>
      </c>
      <c r="AJ107" s="5858"/>
      <c r="AK107" s="5850">
        <f t="shared" si="174"/>
        <v>10744.05</v>
      </c>
      <c r="AL107" s="5858">
        <f>+SUMIF(WRM!$C$7:$C$133,$D107,WRM!AK$7:AK$133)</f>
        <v>0</v>
      </c>
      <c r="AM107" s="5858">
        <f>+SUMIF(WRM!$C$7:$C$133,$D107,WRM!AL$7:AL$133)</f>
        <v>84.05</v>
      </c>
      <c r="AN107" s="5982"/>
      <c r="AO107" s="5848">
        <f t="shared" si="176"/>
        <v>1402.2</v>
      </c>
      <c r="AP107" s="5858"/>
      <c r="AQ107" s="5850">
        <f>+AK107+AM107</f>
        <v>10828.099999999999</v>
      </c>
      <c r="AR107" s="5858">
        <f>+SUMIF(WRM!$C$7:$C$133,$D107,WRM!AQ$7:AQ$133)</f>
        <v>0</v>
      </c>
      <c r="AS107" s="5858">
        <f>+SUMIF(WRM!$C$7:$C$133,$D107,WRM!AR$7:AR$133)</f>
        <v>1326.3500000000001</v>
      </c>
      <c r="AT107" s="5858"/>
      <c r="AU107" s="5850">
        <f t="shared" si="178"/>
        <v>12154.449999999999</v>
      </c>
      <c r="AV107" s="5858">
        <f>+SUMIF(WRM!$C$7:$C$133,$D107,WRM!AU$7:AU$133)</f>
        <v>0</v>
      </c>
      <c r="AW107" s="5858">
        <f>+SUMIF(WRM!$C$7:$C$133,$D107,WRM!AV$7:AV$133)</f>
        <v>506.35</v>
      </c>
      <c r="AX107" s="5858"/>
      <c r="AY107" s="5850">
        <f t="shared" si="180"/>
        <v>12660.8</v>
      </c>
      <c r="AZ107" s="5858">
        <f>+SUMIF(WRM!$C$7:$C$133,$D107,WRM!AY$7:AY$133)</f>
        <v>0</v>
      </c>
      <c r="BA107" s="5858">
        <f>+SUMIF(WRM!$C$7:$C$133,$D107,WRM!AZ$7:AZ$133)</f>
        <v>680.6</v>
      </c>
      <c r="BB107" s="5982"/>
      <c r="BC107" s="5848">
        <f t="shared" si="182"/>
        <v>2513.3000000000002</v>
      </c>
      <c r="BD107" s="5858"/>
      <c r="BE107" s="5842">
        <f t="shared" si="183"/>
        <v>3915.5</v>
      </c>
      <c r="BF107" s="5858"/>
      <c r="BG107" s="5850">
        <f t="shared" si="184"/>
        <v>13341.4</v>
      </c>
      <c r="BH107" s="26"/>
      <c r="BI107" s="26"/>
    </row>
    <row r="108" spans="1:61" ht="15" customHeight="1" thickBot="1" x14ac:dyDescent="0.3">
      <c r="A108" s="1277"/>
      <c r="B108" s="1277"/>
      <c r="C108" s="7769"/>
      <c r="D108" s="5856" t="s">
        <v>1139</v>
      </c>
      <c r="E108" s="5856"/>
      <c r="F108" s="5857"/>
      <c r="G108" s="5858">
        <f>+SUMIF(WRM!$C$7:$C$133,$D108,WRM!F$7:F$133)</f>
        <v>391.55</v>
      </c>
      <c r="H108" s="5858"/>
      <c r="I108" s="5858">
        <f>+SUMIF(WRM!$C$7:$C$133,$D108,WRM!H$7:H$133)</f>
        <v>1125.45</v>
      </c>
      <c r="J108" s="5858">
        <f>+SUMIF(WRM!$C$7:$C$133,$D108,WRM!I$7:I$133)</f>
        <v>0</v>
      </c>
      <c r="K108" s="5847">
        <f t="shared" si="164"/>
        <v>1517</v>
      </c>
      <c r="L108" s="5858">
        <f>+SUMIF(WRM!$C$7:$C$133,$D108,WRM!K$7:K$133)</f>
        <v>0</v>
      </c>
      <c r="M108" s="5858">
        <f>+SUMIF(WRM!$C$7:$C$133,$D108,WRM!L$7:L$133)</f>
        <v>547.34999999999991</v>
      </c>
      <c r="N108" s="5858"/>
      <c r="O108" s="5848">
        <f t="shared" si="165"/>
        <v>2064.35</v>
      </c>
      <c r="P108" s="5858"/>
      <c r="Q108" s="5858">
        <f>+SUMIF(WRM!$C$7:$C$133,$D108,WRM!P$7:P$133)</f>
        <v>1428.85</v>
      </c>
      <c r="R108" s="5858">
        <f>+SUMIF(WRM!$C$7:$C$133,$D108,WRM!Q$7:Q$133)</f>
        <v>0</v>
      </c>
      <c r="S108" s="5847">
        <f t="shared" si="167"/>
        <v>3493.2</v>
      </c>
      <c r="T108" s="5858">
        <f>+SUMIF(WRM!$C$7:$C$133,$D108,WRM!S$7:S$133)</f>
        <v>0</v>
      </c>
      <c r="U108" s="5858">
        <f>+SUMIF(WRM!$C$7:$C$133,$D108,WRM!T$7:T$133)</f>
        <v>412.05</v>
      </c>
      <c r="V108" s="5858">
        <f>+SUMIF(WRM!$C$7:$C$133,$D108,WRM!U$7:U$133)</f>
        <v>0</v>
      </c>
      <c r="W108" s="5847">
        <f t="shared" si="168"/>
        <v>3905.25</v>
      </c>
      <c r="X108" s="5858">
        <f>+SUMIF(WRM!$C$7:$C$133,$D108,WRM!W$7:W$133)</f>
        <v>0</v>
      </c>
      <c r="Y108" s="5858">
        <f>+SUMIF(WRM!$C$7:$C$133,$D108,WRM!X$7:X$133)</f>
        <v>555.54999999999995</v>
      </c>
      <c r="Z108" s="5858"/>
      <c r="AA108" s="5848">
        <f t="shared" si="170"/>
        <v>2396.4499999999998</v>
      </c>
      <c r="AB108" s="5858"/>
      <c r="AC108" s="5849">
        <f t="shared" si="171"/>
        <v>4460.7999999999993</v>
      </c>
      <c r="AD108" s="5858"/>
      <c r="AE108" s="5858">
        <f>+SUMIF(WRM!$C$7:$C$133,$D108,WRM!AD$7:AD$133)</f>
        <v>306.46999999999997</v>
      </c>
      <c r="AF108" s="5858">
        <f>+SUMIF(WRM!$C$7:$C$133,$D108,WRM!AE$7:AE$133)</f>
        <v>0</v>
      </c>
      <c r="AG108" s="5847">
        <f t="shared" si="172"/>
        <v>4767.2699999999995</v>
      </c>
      <c r="AH108" s="5858">
        <f>+SUMIF(WRM!$C$7:$C$133,$D108,WRM!AG$7:AG$133)</f>
        <v>0</v>
      </c>
      <c r="AI108" s="5858">
        <f>+SUMIF(WRM!$C$7:$C$133,$D108,WRM!AH$7:AH$133)</f>
        <v>0</v>
      </c>
      <c r="AJ108" s="5858"/>
      <c r="AK108" s="5850">
        <f t="shared" si="174"/>
        <v>4767.2699999999995</v>
      </c>
      <c r="AL108" s="5858">
        <f>+SUMIF(WRM!$C$7:$C$133,$D108,WRM!AK$7:AK$133)</f>
        <v>0</v>
      </c>
      <c r="AM108" s="5858">
        <f>+SUMIF(WRM!$C$7:$C$133,$D108,WRM!AL$7:AL$133)</f>
        <v>0</v>
      </c>
      <c r="AN108" s="5982"/>
      <c r="AO108" s="5848">
        <f t="shared" si="176"/>
        <v>306.46999999999997</v>
      </c>
      <c r="AP108" s="5858"/>
      <c r="AQ108" s="5850">
        <f>+AK108+AM108</f>
        <v>4767.2699999999995</v>
      </c>
      <c r="AR108" s="5858">
        <f>+SUMIF(WRM!$C$7:$C$133,$D108,WRM!AQ$7:AQ$133)</f>
        <v>0</v>
      </c>
      <c r="AS108" s="5858">
        <f>+SUMIF(WRM!$C$7:$C$133,$D108,WRM!AR$7:AR$133)</f>
        <v>662.15</v>
      </c>
      <c r="AT108" s="5858"/>
      <c r="AU108" s="5850">
        <f t="shared" si="178"/>
        <v>5429.4199999999992</v>
      </c>
      <c r="AV108" s="5858">
        <f>+SUMIF(WRM!$C$7:$C$133,$D108,WRM!AU$7:AU$133)</f>
        <v>0</v>
      </c>
      <c r="AW108" s="5858">
        <f>+SUMIF(WRM!$C$7:$C$133,$D108,WRM!AV$7:AV$133)</f>
        <v>305.45000000000005</v>
      </c>
      <c r="AX108" s="5858"/>
      <c r="AY108" s="5850">
        <f t="shared" si="180"/>
        <v>5734.869999999999</v>
      </c>
      <c r="AZ108" s="5858">
        <f>+SUMIF(WRM!$C$7:$C$133,$D108,WRM!AY$7:AY$133)</f>
        <v>0</v>
      </c>
      <c r="BA108" s="5858">
        <f>+SUMIF(WRM!$C$7:$C$133,$D108,WRM!AZ$7:AZ$133)</f>
        <v>746.19999999999982</v>
      </c>
      <c r="BB108" s="5982"/>
      <c r="BC108" s="5848">
        <f t="shared" si="182"/>
        <v>1713.7999999999997</v>
      </c>
      <c r="BD108" s="5858"/>
      <c r="BE108" s="5842">
        <f t="shared" si="183"/>
        <v>2020.2699999999998</v>
      </c>
      <c r="BF108" s="5858"/>
      <c r="BG108" s="5850">
        <f t="shared" si="184"/>
        <v>6481.0699999999988</v>
      </c>
      <c r="BH108" s="26"/>
      <c r="BI108" s="26"/>
    </row>
    <row r="109" spans="1:61" ht="15" customHeight="1" thickBot="1" x14ac:dyDescent="0.3">
      <c r="A109" s="1277"/>
      <c r="B109" s="1277"/>
      <c r="C109" s="7769"/>
      <c r="D109" s="5856" t="s">
        <v>1073</v>
      </c>
      <c r="E109" s="5856"/>
      <c r="F109" s="5857"/>
      <c r="G109" s="5858">
        <f>+SUMIF(WRM!$C$7:$C$133,$D109,WRM!F$7:F$133)</f>
        <v>219.35000000000002</v>
      </c>
      <c r="H109" s="5858"/>
      <c r="I109" s="5858">
        <f>+SUMIF(WRM!$C$7:$C$133,$D109,WRM!H$7:H$133)</f>
        <v>354.65000000000003</v>
      </c>
      <c r="J109" s="5858">
        <f>+SUMIF(WRM!$C$7:$C$133,$D109,WRM!I$7:I$133)</f>
        <v>0</v>
      </c>
      <c r="K109" s="5847">
        <f t="shared" si="164"/>
        <v>574</v>
      </c>
      <c r="L109" s="5858">
        <f>+SUMIF(WRM!$C$7:$C$133,$D109,WRM!K$7:K$133)</f>
        <v>0</v>
      </c>
      <c r="M109" s="5858">
        <f>+SUMIF(WRM!$C$7:$C$133,$D109,WRM!L$7:L$133)</f>
        <v>10.25</v>
      </c>
      <c r="N109" s="5858"/>
      <c r="O109" s="5848">
        <f t="shared" si="165"/>
        <v>584.25</v>
      </c>
      <c r="P109" s="5858"/>
      <c r="Q109" s="5858">
        <f>+SUMIF(WRM!$C$7:$C$133,$D109,WRM!P$7:P$133)</f>
        <v>0</v>
      </c>
      <c r="R109" s="5858">
        <f>+SUMIF(WRM!$C$7:$C$133,$D109,WRM!Q$7:Q$133)</f>
        <v>0</v>
      </c>
      <c r="S109" s="5847">
        <f t="shared" si="167"/>
        <v>584.25</v>
      </c>
      <c r="T109" s="5858">
        <f>+SUMIF(WRM!$C$7:$C$133,$D109,WRM!S$7:S$133)</f>
        <v>0</v>
      </c>
      <c r="U109" s="5858">
        <f>+SUMIF(WRM!$C$7:$C$133,$D109,WRM!T$7:T$133)</f>
        <v>18.45</v>
      </c>
      <c r="V109" s="5858">
        <f>+SUMIF(WRM!$C$7:$C$133,$D109,WRM!U$7:U$133)</f>
        <v>0</v>
      </c>
      <c r="W109" s="5847">
        <f t="shared" si="168"/>
        <v>602.70000000000005</v>
      </c>
      <c r="X109" s="5858">
        <f>+SUMIF(WRM!$C$7:$C$133,$D109,WRM!W$7:W$133)</f>
        <v>0</v>
      </c>
      <c r="Y109" s="5858">
        <f>+SUMIF(WRM!$C$7:$C$133,$D109,WRM!X$7:X$133)</f>
        <v>106.60000000000001</v>
      </c>
      <c r="Z109" s="5858"/>
      <c r="AA109" s="5848">
        <f t="shared" si="170"/>
        <v>125.05000000000001</v>
      </c>
      <c r="AB109" s="5858"/>
      <c r="AC109" s="5849">
        <f t="shared" si="171"/>
        <v>709.3</v>
      </c>
      <c r="AD109" s="5858"/>
      <c r="AE109" s="5858">
        <f>+SUMIF(WRM!$C$7:$C$133,$D109,WRM!AD$7:AD$133)</f>
        <v>63.55</v>
      </c>
      <c r="AF109" s="5858">
        <f>+SUMIF(WRM!$C$7:$C$133,$D109,WRM!AE$7:AE$133)</f>
        <v>0</v>
      </c>
      <c r="AG109" s="5847">
        <f t="shared" si="172"/>
        <v>772.84999999999991</v>
      </c>
      <c r="AH109" s="5858">
        <f>+SUMIF(WRM!$C$7:$C$133,$D109,WRM!AG$7:AG$133)</f>
        <v>0</v>
      </c>
      <c r="AI109" s="5858">
        <f>+SUMIF(WRM!$C$7:$C$133,$D109,WRM!AH$7:AH$133)</f>
        <v>30.75</v>
      </c>
      <c r="AJ109" s="5858"/>
      <c r="AK109" s="5850">
        <f t="shared" si="174"/>
        <v>803.59999999999991</v>
      </c>
      <c r="AL109" s="5858">
        <f>+SUMIF(WRM!$C$7:$C$133,$D109,WRM!AK$7:AK$133)</f>
        <v>0</v>
      </c>
      <c r="AM109" s="5858">
        <f>+SUMIF(WRM!$C$7:$C$133,$D109,WRM!AL$7:AL$133)</f>
        <v>172.2</v>
      </c>
      <c r="AN109" s="5982"/>
      <c r="AO109" s="5848">
        <f t="shared" si="176"/>
        <v>266.5</v>
      </c>
      <c r="AP109" s="5858"/>
      <c r="AQ109" s="5850">
        <f>+AK109+AM109</f>
        <v>975.8</v>
      </c>
      <c r="AR109" s="5858">
        <f>+SUMIF(WRM!$C$7:$C$133,$D109,WRM!AQ$7:AQ$133)</f>
        <v>0</v>
      </c>
      <c r="AS109" s="5858">
        <f>+SUMIF(WRM!$C$7:$C$133,$D109,WRM!AR$7:AR$133)</f>
        <v>81.999999999999986</v>
      </c>
      <c r="AT109" s="5858"/>
      <c r="AU109" s="5850">
        <f t="shared" si="178"/>
        <v>1057.8</v>
      </c>
      <c r="AV109" s="5858">
        <f>+SUMIF(WRM!$C$7:$C$133,$D109,WRM!AU$7:AU$133)</f>
        <v>0</v>
      </c>
      <c r="AW109" s="5858">
        <f>+SUMIF(WRM!$C$7:$C$133,$D109,WRM!AV$7:AV$133)</f>
        <v>79.95</v>
      </c>
      <c r="AX109" s="5858"/>
      <c r="AY109" s="5850">
        <f t="shared" si="180"/>
        <v>1137.75</v>
      </c>
      <c r="AZ109" s="5858">
        <f>+SUMIF(WRM!$C$7:$C$133,$D109,WRM!AY$7:AY$133)</f>
        <v>0</v>
      </c>
      <c r="BA109" s="5858">
        <f>+SUMIF(WRM!$C$7:$C$133,$D109,WRM!AZ$7:AZ$133)</f>
        <v>0</v>
      </c>
      <c r="BB109" s="5982"/>
      <c r="BC109" s="5848">
        <f t="shared" si="182"/>
        <v>161.94999999999999</v>
      </c>
      <c r="BD109" s="5858"/>
      <c r="BE109" s="5842">
        <f t="shared" si="183"/>
        <v>428.45</v>
      </c>
      <c r="BF109" s="5858"/>
      <c r="BG109" s="5850">
        <f t="shared" si="184"/>
        <v>1137.75</v>
      </c>
      <c r="BH109" s="26"/>
      <c r="BI109" s="26"/>
    </row>
    <row r="110" spans="1:61" ht="15.75" customHeight="1" thickBot="1" x14ac:dyDescent="0.3">
      <c r="C110" s="7770"/>
      <c r="D110" s="5824" t="s">
        <v>2</v>
      </c>
      <c r="E110" s="5824"/>
      <c r="F110" s="5819"/>
      <c r="G110" s="5825">
        <f>SUM(G107:G109)</f>
        <v>1340.6999999999998</v>
      </c>
      <c r="H110" s="5825"/>
      <c r="I110" s="5825">
        <f>SUM(I107:I109)</f>
        <v>2824.9</v>
      </c>
      <c r="J110" s="5825"/>
      <c r="K110" s="5860">
        <f t="shared" si="164"/>
        <v>4165.6000000000004</v>
      </c>
      <c r="L110" s="5825"/>
      <c r="M110" s="5825">
        <f>SUM(M107:M109)</f>
        <v>1418.6</v>
      </c>
      <c r="N110" s="5825"/>
      <c r="O110" s="5861">
        <f t="shared" si="165"/>
        <v>5584.2000000000007</v>
      </c>
      <c r="P110" s="5825"/>
      <c r="Q110" s="5825">
        <f t="shared" ref="Q110:AE110" si="185">SUM(Q107:Q109)</f>
        <v>6246.35</v>
      </c>
      <c r="R110" s="5825"/>
      <c r="S110" s="5860">
        <f t="shared" si="167"/>
        <v>11830.550000000001</v>
      </c>
      <c r="T110" s="5825"/>
      <c r="U110" s="5825">
        <f t="shared" si="185"/>
        <v>631.40000000000009</v>
      </c>
      <c r="V110" s="5825"/>
      <c r="W110" s="5860">
        <f t="shared" si="168"/>
        <v>12461.95</v>
      </c>
      <c r="X110" s="5825"/>
      <c r="Y110" s="5825">
        <f t="shared" ref="Y110" si="186">SUM(Y107:Y109)</f>
        <v>2134.0500000000002</v>
      </c>
      <c r="Z110" s="5825"/>
      <c r="AA110" s="5861">
        <f t="shared" si="170"/>
        <v>9011.7999999999993</v>
      </c>
      <c r="AB110" s="5825"/>
      <c r="AC110" s="5862">
        <f t="shared" si="171"/>
        <v>14596</v>
      </c>
      <c r="AD110" s="5825"/>
      <c r="AE110" s="5825">
        <f t="shared" si="185"/>
        <v>1688.17</v>
      </c>
      <c r="AF110" s="5825"/>
      <c r="AG110" s="5860">
        <f t="shared" si="172"/>
        <v>16284.17</v>
      </c>
      <c r="AH110" s="5825"/>
      <c r="AI110" s="5825">
        <f t="shared" ref="AI110" si="187">SUM(AI107:AI109)</f>
        <v>30.75</v>
      </c>
      <c r="AJ110" s="5825"/>
      <c r="AK110" s="5863">
        <f t="shared" si="174"/>
        <v>16314.92</v>
      </c>
      <c r="AL110" s="5825"/>
      <c r="AM110" s="5825">
        <f t="shared" ref="AM110" si="188">SUM(AM107:AM109)</f>
        <v>256.25</v>
      </c>
      <c r="AN110" s="5825"/>
      <c r="AO110" s="5861">
        <f t="shared" si="176"/>
        <v>1975.17</v>
      </c>
      <c r="AP110" s="5825"/>
      <c r="AQ110" s="5863">
        <f>+AK110+AM110</f>
        <v>16571.169999999998</v>
      </c>
      <c r="AR110" s="5825"/>
      <c r="AS110" s="5825">
        <f t="shared" ref="AS110" si="189">SUM(AS107:AS109)</f>
        <v>2070.5</v>
      </c>
      <c r="AT110" s="5825"/>
      <c r="AU110" s="5863">
        <f t="shared" si="178"/>
        <v>18641.669999999998</v>
      </c>
      <c r="AV110" s="5825"/>
      <c r="AW110" s="5825">
        <f t="shared" ref="AW110" si="190">SUM(AW107:AW109)</f>
        <v>891.75000000000011</v>
      </c>
      <c r="AX110" s="5825"/>
      <c r="AY110" s="5863">
        <f t="shared" si="180"/>
        <v>19533.419999999998</v>
      </c>
      <c r="AZ110" s="5825"/>
      <c r="BA110" s="5825">
        <f t="shared" ref="BA110" si="191">SUM(BA107:BA109)</f>
        <v>1426.7999999999997</v>
      </c>
      <c r="BB110" s="5825"/>
      <c r="BC110" s="5861">
        <f t="shared" si="182"/>
        <v>4389.0499999999993</v>
      </c>
      <c r="BD110" s="5825"/>
      <c r="BE110" s="5842">
        <f t="shared" si="183"/>
        <v>6364.2199999999993</v>
      </c>
      <c r="BF110" s="5825"/>
      <c r="BG110" s="5863">
        <f t="shared" si="184"/>
        <v>20960.219999999998</v>
      </c>
      <c r="BH110" s="26"/>
      <c r="BI110" s="26"/>
    </row>
    <row r="111" spans="1:61" s="5172" customFormat="1" ht="21.75" customHeight="1" thickBot="1" x14ac:dyDescent="0.3">
      <c r="C111" s="5888"/>
      <c r="D111" s="5889" t="s">
        <v>1519</v>
      </c>
      <c r="E111" s="5890"/>
      <c r="F111" s="5890"/>
      <c r="G111" s="5871">
        <f>+G106-G110</f>
        <v>4.5474735088646412E-12</v>
      </c>
      <c r="H111" s="5871">
        <f t="shared" ref="H111:AK111" si="192">+H106-H110</f>
        <v>0</v>
      </c>
      <c r="I111" s="5871">
        <f t="shared" si="192"/>
        <v>0</v>
      </c>
      <c r="J111" s="5871">
        <f t="shared" si="192"/>
        <v>0</v>
      </c>
      <c r="K111" s="5871">
        <f t="shared" si="192"/>
        <v>0</v>
      </c>
      <c r="L111" s="5871">
        <f t="shared" si="192"/>
        <v>0</v>
      </c>
      <c r="M111" s="5871">
        <f t="shared" si="192"/>
        <v>0</v>
      </c>
      <c r="N111" s="5871">
        <f t="shared" si="192"/>
        <v>0</v>
      </c>
      <c r="O111" s="5871">
        <f t="shared" si="192"/>
        <v>0</v>
      </c>
      <c r="P111" s="5871">
        <f t="shared" si="192"/>
        <v>0</v>
      </c>
      <c r="Q111" s="5871">
        <f t="shared" si="192"/>
        <v>0</v>
      </c>
      <c r="R111" s="5871">
        <f t="shared" si="192"/>
        <v>0</v>
      </c>
      <c r="S111" s="5871">
        <f t="shared" si="192"/>
        <v>0</v>
      </c>
      <c r="T111" s="5871">
        <f t="shared" si="192"/>
        <v>0</v>
      </c>
      <c r="U111" s="5871">
        <f t="shared" si="192"/>
        <v>1.3642420526593924E-12</v>
      </c>
      <c r="V111" s="5871">
        <f t="shared" si="192"/>
        <v>0</v>
      </c>
      <c r="W111" s="5871">
        <f t="shared" si="192"/>
        <v>0</v>
      </c>
      <c r="X111" s="5871">
        <f t="shared" si="192"/>
        <v>0</v>
      </c>
      <c r="Y111" s="5871">
        <f t="shared" si="192"/>
        <v>0</v>
      </c>
      <c r="Z111" s="5871">
        <f t="shared" si="192"/>
        <v>0</v>
      </c>
      <c r="AA111" s="5871">
        <f t="shared" si="192"/>
        <v>0</v>
      </c>
      <c r="AB111" s="5871">
        <f t="shared" si="192"/>
        <v>0</v>
      </c>
      <c r="AC111" s="5871">
        <f t="shared" si="192"/>
        <v>1.4551915228366852E-11</v>
      </c>
      <c r="AD111" s="5871">
        <f t="shared" si="192"/>
        <v>0</v>
      </c>
      <c r="AE111" s="5871">
        <f t="shared" si="192"/>
        <v>-1.8189894035458565E-12</v>
      </c>
      <c r="AF111" s="5871">
        <f t="shared" si="192"/>
        <v>0</v>
      </c>
      <c r="AG111" s="5871">
        <f t="shared" si="192"/>
        <v>0</v>
      </c>
      <c r="AH111" s="5871">
        <f t="shared" si="192"/>
        <v>0</v>
      </c>
      <c r="AI111" s="5871">
        <f t="shared" si="192"/>
        <v>3.637978807091713E-12</v>
      </c>
      <c r="AJ111" s="5871">
        <f t="shared" si="192"/>
        <v>0</v>
      </c>
      <c r="AK111" s="5871">
        <f t="shared" si="192"/>
        <v>1.6370904631912708E-11</v>
      </c>
      <c r="AL111" s="5871">
        <f t="shared" ref="AL111:AQ111" si="193">+AL106-AL110</f>
        <v>0</v>
      </c>
      <c r="AM111" s="5871">
        <f t="shared" si="193"/>
        <v>7.2759576141834259E-12</v>
      </c>
      <c r="AN111" s="5983"/>
      <c r="AO111" s="5871">
        <f t="shared" ref="AO111" si="194">+AO106-AO110</f>
        <v>9.0949470177292824E-12</v>
      </c>
      <c r="AP111" s="5871">
        <f t="shared" si="193"/>
        <v>0</v>
      </c>
      <c r="AQ111" s="5871">
        <f t="shared" si="193"/>
        <v>0</v>
      </c>
      <c r="AR111" s="5871">
        <f t="shared" ref="AR111:AU111" si="195">+AR106-AR110</f>
        <v>0</v>
      </c>
      <c r="AS111" s="5871">
        <f t="shared" si="195"/>
        <v>-7.2759576141834259E-12</v>
      </c>
      <c r="AT111" s="5871">
        <f t="shared" si="195"/>
        <v>0</v>
      </c>
      <c r="AU111" s="5871">
        <f t="shared" si="195"/>
        <v>0</v>
      </c>
      <c r="AV111" s="5871">
        <f t="shared" ref="AV111:AY111" si="196">+AV106-AV110</f>
        <v>0</v>
      </c>
      <c r="AW111" s="5871">
        <f t="shared" si="196"/>
        <v>-7.3896444519050419E-12</v>
      </c>
      <c r="AX111" s="5871">
        <f t="shared" si="196"/>
        <v>0</v>
      </c>
      <c r="AY111" s="5871">
        <f t="shared" si="196"/>
        <v>0</v>
      </c>
      <c r="AZ111" s="5871">
        <f t="shared" ref="AZ111:BG111" si="197">+AZ106-AZ110</f>
        <v>0</v>
      </c>
      <c r="BA111" s="5871">
        <f t="shared" si="197"/>
        <v>-1.1368683772161603E-11</v>
      </c>
      <c r="BB111" s="5983"/>
      <c r="BC111" s="5871">
        <f t="shared" ref="BC111:BE111" si="198">+BC106-BC110</f>
        <v>-2.5465851649641991E-11</v>
      </c>
      <c r="BD111" s="5871">
        <f t="shared" si="198"/>
        <v>0</v>
      </c>
      <c r="BE111" s="5871">
        <f t="shared" si="198"/>
        <v>-1.6370904631912708E-11</v>
      </c>
      <c r="BF111" s="5871">
        <f t="shared" si="197"/>
        <v>0</v>
      </c>
      <c r="BG111" s="5871">
        <f t="shared" si="197"/>
        <v>0</v>
      </c>
      <c r="BH111" s="26"/>
      <c r="BI111" s="26"/>
    </row>
    <row r="112" spans="1:61" s="5172" customFormat="1" ht="21.75" customHeight="1" thickBot="1" x14ac:dyDescent="0.3">
      <c r="BH112" s="26"/>
      <c r="BI112" s="26"/>
    </row>
    <row r="113" spans="1:61" ht="18.75" customHeight="1" thickBot="1" x14ac:dyDescent="0.3">
      <c r="C113" s="7764" t="s">
        <v>91</v>
      </c>
      <c r="D113" s="5834" t="s">
        <v>1525</v>
      </c>
      <c r="E113" s="5834"/>
      <c r="F113" s="5817"/>
      <c r="G113" s="5835">
        <f>+BM!F53</f>
        <v>66895.455000000031</v>
      </c>
      <c r="H113" s="5835"/>
      <c r="I113" s="5835">
        <f>+BM!H53</f>
        <v>76175.635000000068</v>
      </c>
      <c r="J113" s="5835"/>
      <c r="K113" s="5840">
        <f t="shared" ref="K113:K114" si="199">+G113+I113</f>
        <v>143071.09000000008</v>
      </c>
      <c r="L113" s="5835"/>
      <c r="M113" s="5835">
        <f>+BM!L53</f>
        <v>49675.968000000059</v>
      </c>
      <c r="N113" s="5835"/>
      <c r="O113" s="5841">
        <f t="shared" ref="O113:O114" si="200">+G113+I113+M113</f>
        <v>192747.05800000014</v>
      </c>
      <c r="P113" s="5835"/>
      <c r="Q113" s="5835">
        <f>+BM!P53</f>
        <v>70097.135000000082</v>
      </c>
      <c r="R113" s="5835"/>
      <c r="S113" s="5840">
        <f t="shared" ref="S113:S114" si="201">O113+Q113</f>
        <v>262844.1930000002</v>
      </c>
      <c r="T113" s="5835"/>
      <c r="U113" s="5835">
        <f>+BM!T53</f>
        <v>71164.143000000069</v>
      </c>
      <c r="V113" s="5835"/>
      <c r="W113" s="5840">
        <f t="shared" ref="W113:W114" si="202">S113+U113</f>
        <v>334008.33600000024</v>
      </c>
      <c r="X113" s="5835"/>
      <c r="Y113" s="5835">
        <f>+BM!X53</f>
        <v>70484.61000000003</v>
      </c>
      <c r="Z113" s="5835"/>
      <c r="AA113" s="5841">
        <f t="shared" ref="AA113:AA114" si="203">Q113+U113+Y113</f>
        <v>211745.88800000021</v>
      </c>
      <c r="AB113" s="5835"/>
      <c r="AC113" s="5842">
        <f t="shared" ref="AC113:AC114" si="204">O113+AA113</f>
        <v>404492.94600000035</v>
      </c>
      <c r="AD113" s="5835"/>
      <c r="AE113" s="5835">
        <f>+BM!AD53</f>
        <v>66747.800000000017</v>
      </c>
      <c r="AF113" s="5835"/>
      <c r="AG113" s="5840">
        <f t="shared" ref="AG113:AG114" si="205">+AC113+AE113</f>
        <v>471240.74600000039</v>
      </c>
      <c r="AH113" s="5835"/>
      <c r="AI113" s="5835">
        <f>+BM!AH53</f>
        <v>3169.7200000000003</v>
      </c>
      <c r="AJ113" s="5835"/>
      <c r="AK113" s="5843">
        <f t="shared" ref="AK113:AK114" si="206">+AG113+AI113</f>
        <v>474410.46600000036</v>
      </c>
      <c r="AL113" s="5835"/>
      <c r="AM113" s="5835">
        <f>+BM!AL53</f>
        <v>70630.630000000063</v>
      </c>
      <c r="AN113" s="5835"/>
      <c r="AO113" s="5841">
        <f t="shared" ref="AO113:AO114" si="207">AE113+AI113+AM113</f>
        <v>140548.15000000008</v>
      </c>
      <c r="AP113" s="5835"/>
      <c r="AQ113" s="5843">
        <f>+AK113+AM113</f>
        <v>545041.09600000037</v>
      </c>
      <c r="AR113" s="5835"/>
      <c r="AS113" s="5835">
        <f>+BM!AR53</f>
        <v>70085.115000000107</v>
      </c>
      <c r="AT113" s="5835"/>
      <c r="AU113" s="5843">
        <f t="shared" ref="AU113:AU114" si="208">+AQ113+AS113</f>
        <v>615126.21100000048</v>
      </c>
      <c r="AV113" s="5835"/>
      <c r="AW113" s="5835">
        <f>+BM!AV53</f>
        <v>65990.000000000058</v>
      </c>
      <c r="AX113" s="5835"/>
      <c r="AY113" s="5843">
        <f t="shared" ref="AY113:AY114" si="209">+AU113+AW113</f>
        <v>681116.21100000059</v>
      </c>
      <c r="AZ113" s="5835"/>
      <c r="BA113" s="5835">
        <f>+BM!AZ53</f>
        <v>78010.610000000073</v>
      </c>
      <c r="BB113" s="5835"/>
      <c r="BC113" s="5841">
        <f t="shared" ref="BC113:BC114" si="210">AS113+AW113+BA113</f>
        <v>214085.72500000024</v>
      </c>
      <c r="BD113" s="5835"/>
      <c r="BE113" s="5842">
        <f t="shared" ref="BE113:BE114" si="211">AO113+BC113</f>
        <v>354633.87500000035</v>
      </c>
      <c r="BF113" s="5835"/>
      <c r="BG113" s="5843">
        <f t="shared" ref="BG113:BG114" si="212">+AY113+BA113</f>
        <v>759126.82100000069</v>
      </c>
      <c r="BH113" s="26"/>
      <c r="BI113" s="26"/>
    </row>
    <row r="114" spans="1:61" ht="18.75" customHeight="1" x14ac:dyDescent="0.25">
      <c r="C114" s="7765"/>
      <c r="D114" s="5844" t="s">
        <v>1564</v>
      </c>
      <c r="E114" s="5844"/>
      <c r="F114" s="5818"/>
      <c r="G114" s="5830">
        <f>+G46</f>
        <v>66895.455000000031</v>
      </c>
      <c r="H114" s="5830"/>
      <c r="I114" s="5830">
        <f>+I46</f>
        <v>76175.635000000053</v>
      </c>
      <c r="J114" s="5830"/>
      <c r="K114" s="5847">
        <f t="shared" si="199"/>
        <v>143071.09000000008</v>
      </c>
      <c r="L114" s="5830"/>
      <c r="M114" s="5830">
        <f>+M46</f>
        <v>49675.968000000052</v>
      </c>
      <c r="N114" s="5830"/>
      <c r="O114" s="5848">
        <f t="shared" si="200"/>
        <v>192747.05800000014</v>
      </c>
      <c r="P114" s="5830"/>
      <c r="Q114" s="5830">
        <f>+Q46</f>
        <v>70097.135000000068</v>
      </c>
      <c r="R114" s="5830"/>
      <c r="S114" s="5847">
        <f t="shared" si="201"/>
        <v>262844.1930000002</v>
      </c>
      <c r="T114" s="5830"/>
      <c r="U114" s="5830">
        <f>+U46</f>
        <v>71164.14300000004</v>
      </c>
      <c r="V114" s="5830"/>
      <c r="W114" s="5847">
        <f t="shared" si="202"/>
        <v>334008.33600000024</v>
      </c>
      <c r="X114" s="5830"/>
      <c r="Y114" s="5830">
        <f>+Y46</f>
        <v>70484.610000000044</v>
      </c>
      <c r="Z114" s="5830"/>
      <c r="AA114" s="5848">
        <f t="shared" si="203"/>
        <v>211745.88800000015</v>
      </c>
      <c r="AB114" s="5830"/>
      <c r="AC114" s="5849">
        <f t="shared" si="204"/>
        <v>404492.94600000029</v>
      </c>
      <c r="AD114" s="5830"/>
      <c r="AE114" s="5830">
        <f>+AE46</f>
        <v>66747.8</v>
      </c>
      <c r="AF114" s="5830"/>
      <c r="AG114" s="5847">
        <f t="shared" si="205"/>
        <v>471240.74600000028</v>
      </c>
      <c r="AH114" s="5830"/>
      <c r="AI114" s="5830">
        <f>+AI46</f>
        <v>3169.7200000000003</v>
      </c>
      <c r="AJ114" s="5830"/>
      <c r="AK114" s="5850">
        <f t="shared" si="206"/>
        <v>474410.46600000025</v>
      </c>
      <c r="AL114" s="5830"/>
      <c r="AM114" s="5830">
        <f>+AM46</f>
        <v>70630.630000000063</v>
      </c>
      <c r="AN114" s="5830"/>
      <c r="AO114" s="5848">
        <f t="shared" si="207"/>
        <v>140548.15000000008</v>
      </c>
      <c r="AP114" s="5830"/>
      <c r="AQ114" s="5850">
        <f>+AK114+AM114</f>
        <v>545041.09600000037</v>
      </c>
      <c r="AR114" s="5830"/>
      <c r="AS114" s="5830">
        <f>+AS46</f>
        <v>70085.115000000093</v>
      </c>
      <c r="AT114" s="5830"/>
      <c r="AU114" s="5850">
        <f t="shared" si="208"/>
        <v>615126.21100000048</v>
      </c>
      <c r="AV114" s="5830"/>
      <c r="AW114" s="5830">
        <f>+AW46</f>
        <v>65990.000000000044</v>
      </c>
      <c r="AX114" s="5830"/>
      <c r="AY114" s="5850">
        <f t="shared" si="209"/>
        <v>681116.21100000048</v>
      </c>
      <c r="AZ114" s="5830"/>
      <c r="BA114" s="5830">
        <f>+BA46</f>
        <v>78010.610000000059</v>
      </c>
      <c r="BB114" s="5830"/>
      <c r="BC114" s="5848">
        <f t="shared" si="210"/>
        <v>214085.72500000021</v>
      </c>
      <c r="BD114" s="5830"/>
      <c r="BE114" s="5842">
        <f t="shared" si="211"/>
        <v>354633.87500000029</v>
      </c>
      <c r="BF114" s="5830"/>
      <c r="BG114" s="5850">
        <f t="shared" si="212"/>
        <v>759126.82100000058</v>
      </c>
      <c r="BH114" s="26"/>
      <c r="BI114" s="26"/>
    </row>
    <row r="115" spans="1:61" ht="19.5" customHeight="1" thickBot="1" x14ac:dyDescent="0.3">
      <c r="C115" s="7766"/>
      <c r="D115" s="5837" t="s">
        <v>1526</v>
      </c>
      <c r="E115" s="5837"/>
      <c r="F115" s="5819"/>
      <c r="G115" s="5838">
        <f>+G114/G113</f>
        <v>1</v>
      </c>
      <c r="H115" s="5838"/>
      <c r="I115" s="5838">
        <f>+I114/I113</f>
        <v>0.99999999999999978</v>
      </c>
      <c r="J115" s="5838"/>
      <c r="K115" s="5826">
        <f t="shared" ref="K115:AG115" si="213">+K114/K113</f>
        <v>1</v>
      </c>
      <c r="L115" s="5838"/>
      <c r="M115" s="5838">
        <f>+M114/M113</f>
        <v>0.99999999999999989</v>
      </c>
      <c r="N115" s="5838"/>
      <c r="O115" s="5827">
        <f t="shared" si="213"/>
        <v>1</v>
      </c>
      <c r="P115" s="5838"/>
      <c r="Q115" s="5838">
        <f t="shared" si="213"/>
        <v>0.99999999999999978</v>
      </c>
      <c r="R115" s="5838"/>
      <c r="S115" s="5826">
        <f t="shared" si="213"/>
        <v>1</v>
      </c>
      <c r="T115" s="5838"/>
      <c r="U115" s="5838">
        <f t="shared" si="213"/>
        <v>0.99999999999999956</v>
      </c>
      <c r="V115" s="5838"/>
      <c r="W115" s="5826">
        <f t="shared" si="213"/>
        <v>1</v>
      </c>
      <c r="X115" s="5838"/>
      <c r="Y115" s="5838">
        <f t="shared" ref="Y115" si="214">+Y114/Y113</f>
        <v>1.0000000000000002</v>
      </c>
      <c r="Z115" s="5838"/>
      <c r="AA115" s="5827">
        <f t="shared" si="213"/>
        <v>0.99999999999999978</v>
      </c>
      <c r="AB115" s="5838"/>
      <c r="AC115" s="5828">
        <f t="shared" si="213"/>
        <v>0.99999999999999989</v>
      </c>
      <c r="AD115" s="5838"/>
      <c r="AE115" s="5838">
        <f t="shared" si="213"/>
        <v>0.99999999999999978</v>
      </c>
      <c r="AF115" s="5838"/>
      <c r="AG115" s="5826">
        <f t="shared" si="213"/>
        <v>0.99999999999999978</v>
      </c>
      <c r="AH115" s="5838"/>
      <c r="AI115" s="5838">
        <f t="shared" ref="AI115" si="215">+AI114/AI113</f>
        <v>1</v>
      </c>
      <c r="AJ115" s="5838"/>
      <c r="AK115" s="5867">
        <f t="shared" ref="AK115" si="216">+AK114/AK113</f>
        <v>0.99999999999999978</v>
      </c>
      <c r="AL115" s="5838"/>
      <c r="AM115" s="5838">
        <f t="shared" ref="AM115" si="217">+AM114/AM113</f>
        <v>1</v>
      </c>
      <c r="AN115" s="5838"/>
      <c r="AO115" s="5827">
        <f t="shared" ref="AO115" si="218">+AO114/AO113</f>
        <v>1</v>
      </c>
      <c r="AP115" s="5838"/>
      <c r="AQ115" s="5867">
        <f t="shared" ref="AQ115" si="219">+AQ114/AQ113</f>
        <v>1</v>
      </c>
      <c r="AR115" s="5838"/>
      <c r="AS115" s="5838">
        <f t="shared" ref="AS115" si="220">+AS114/AS113</f>
        <v>0.99999999999999978</v>
      </c>
      <c r="AT115" s="5838"/>
      <c r="AU115" s="5867">
        <f t="shared" ref="AU115" si="221">+AU114/AU113</f>
        <v>1</v>
      </c>
      <c r="AV115" s="5838"/>
      <c r="AW115" s="5838">
        <f t="shared" ref="AW115" si="222">+AW114/AW113</f>
        <v>0.99999999999999978</v>
      </c>
      <c r="AX115" s="5838"/>
      <c r="AY115" s="5867">
        <f t="shared" ref="AY115" si="223">+AY114/AY113</f>
        <v>0.99999999999999978</v>
      </c>
      <c r="AZ115" s="5838"/>
      <c r="BA115" s="5838">
        <f t="shared" ref="BA115" si="224">+BA114/BA113</f>
        <v>0.99999999999999978</v>
      </c>
      <c r="BB115" s="5838"/>
      <c r="BC115" s="5827">
        <f t="shared" ref="BC115" si="225">+BC114/BC113</f>
        <v>0.99999999999999989</v>
      </c>
      <c r="BD115" s="5838"/>
      <c r="BE115" s="5828">
        <f t="shared" ref="BE115" si="226">+BE114/BE113</f>
        <v>0.99999999999999989</v>
      </c>
      <c r="BF115" s="5838"/>
      <c r="BG115" s="5867">
        <f t="shared" ref="BG115" si="227">+BG114/BG113</f>
        <v>0.99999999999999989</v>
      </c>
      <c r="BH115" s="26"/>
      <c r="BI115" s="26"/>
    </row>
    <row r="116" spans="1:61" s="5172" customFormat="1" ht="15.75" thickBot="1" x14ac:dyDescent="0.3">
      <c r="BH116" s="26"/>
      <c r="BI116" s="26"/>
    </row>
    <row r="117" spans="1:61" ht="18.75" customHeight="1" thickBot="1" x14ac:dyDescent="0.3">
      <c r="C117" s="7764" t="s">
        <v>109</v>
      </c>
      <c r="D117" s="5834" t="s">
        <v>1525</v>
      </c>
      <c r="E117" s="5834"/>
      <c r="F117" s="5817"/>
      <c r="G117" s="5835">
        <f>+USM!G89</f>
        <v>49543.777000000002</v>
      </c>
      <c r="H117" s="5835"/>
      <c r="I117" s="5835">
        <f>+USM!I89</f>
        <v>57219.144</v>
      </c>
      <c r="J117" s="5835"/>
      <c r="K117" s="5840">
        <f t="shared" ref="K117:K118" si="228">+G117+I117</f>
        <v>106762.921</v>
      </c>
      <c r="L117" s="5835"/>
      <c r="M117" s="5835">
        <f>+USM!M89</f>
        <v>27879.333000000002</v>
      </c>
      <c r="N117" s="5836"/>
      <c r="O117" s="5841">
        <f t="shared" ref="O117:O118" si="229">+G117+I117+M117</f>
        <v>134642.25400000002</v>
      </c>
      <c r="P117" s="5836"/>
      <c r="Q117" s="5836">
        <f>+USM!Q89</f>
        <v>44707.992999999995</v>
      </c>
      <c r="R117" s="5836"/>
      <c r="S117" s="5840">
        <f t="shared" ref="S117:S118" si="230">O117+Q117</f>
        <v>179350.247</v>
      </c>
      <c r="T117" s="5836"/>
      <c r="U117" s="5835">
        <f>+USM!U89</f>
        <v>34390.132000000005</v>
      </c>
      <c r="V117" s="5835"/>
      <c r="W117" s="5840">
        <f t="shared" ref="W117:W118" si="231">S117+U117</f>
        <v>213740.37900000002</v>
      </c>
      <c r="X117" s="5835"/>
      <c r="Y117" s="5835">
        <f>+USM!Y89</f>
        <v>43670.794999999998</v>
      </c>
      <c r="Z117" s="5836"/>
      <c r="AA117" s="5841">
        <f t="shared" ref="AA117:AA118" si="232">Q117+U117+Y117</f>
        <v>122768.92</v>
      </c>
      <c r="AB117" s="5836"/>
      <c r="AC117" s="5842">
        <f t="shared" ref="AC117:AC118" si="233">O117+AA117</f>
        <v>257411.174</v>
      </c>
      <c r="AD117" s="5836"/>
      <c r="AE117" s="5835">
        <f>+USM!AE89</f>
        <v>44900.301000000007</v>
      </c>
      <c r="AF117" s="5836"/>
      <c r="AG117" s="5840">
        <f t="shared" ref="AG117:AG118" si="234">+AC117+AE117</f>
        <v>302311.47499999998</v>
      </c>
      <c r="AH117" s="5836"/>
      <c r="AI117" s="5835">
        <f>+USM!AI89</f>
        <v>8584.9840000000004</v>
      </c>
      <c r="AJ117" s="5836"/>
      <c r="AK117" s="5843">
        <f t="shared" ref="AK117:AK118" si="235">+AG117+AI117</f>
        <v>310896.45899999997</v>
      </c>
      <c r="AL117" s="5836"/>
      <c r="AM117" s="5835">
        <f>+USM!AM89</f>
        <v>40066.768000000004</v>
      </c>
      <c r="AN117" s="5835"/>
      <c r="AO117" s="5841">
        <f t="shared" ref="AO117:AO118" si="236">AE117+AI117+AM117</f>
        <v>93552.053000000014</v>
      </c>
      <c r="AP117" s="5836"/>
      <c r="AQ117" s="5843">
        <f>+AK117+AM117</f>
        <v>350963.22699999996</v>
      </c>
      <c r="AR117" s="5836"/>
      <c r="AS117" s="5835">
        <f>+USM!AS89</f>
        <v>51039.178999999996</v>
      </c>
      <c r="AT117" s="5836"/>
      <c r="AU117" s="5843">
        <f t="shared" ref="AU117:AU118" si="237">+AQ117+AS117</f>
        <v>402002.40599999996</v>
      </c>
      <c r="AV117" s="5836"/>
      <c r="AW117" s="5835">
        <f>+USM!AW89</f>
        <v>51009.48</v>
      </c>
      <c r="AX117" s="5836"/>
      <c r="AY117" s="5843">
        <f t="shared" ref="AY117:AY118" si="238">+AU117+AW117</f>
        <v>453011.88599999994</v>
      </c>
      <c r="AZ117" s="5836"/>
      <c r="BA117" s="5835">
        <f>+USM!BA89</f>
        <v>62071.890000000007</v>
      </c>
      <c r="BB117" s="5835"/>
      <c r="BC117" s="5841">
        <f t="shared" ref="BC117:BC118" si="239">AS117+AW117+BA117</f>
        <v>164120.549</v>
      </c>
      <c r="BD117" s="5836"/>
      <c r="BE117" s="5842">
        <f t="shared" ref="BE117:BE118" si="240">AO117+BC117</f>
        <v>257672.60200000001</v>
      </c>
      <c r="BF117" s="5836"/>
      <c r="BG117" s="5843">
        <f t="shared" ref="BG117:BG118" si="241">+AY117+BA117</f>
        <v>515083.77599999995</v>
      </c>
      <c r="BH117" s="26"/>
      <c r="BI117" s="26"/>
    </row>
    <row r="118" spans="1:61" ht="18.75" customHeight="1" x14ac:dyDescent="0.25">
      <c r="C118" s="7765"/>
      <c r="D118" s="5844" t="s">
        <v>1529</v>
      </c>
      <c r="E118" s="5844"/>
      <c r="F118" s="5818"/>
      <c r="G118" s="5830">
        <f>+G53</f>
        <v>49543.777000000002</v>
      </c>
      <c r="H118" s="5830"/>
      <c r="I118" s="5830">
        <f>+I53</f>
        <v>57219.144</v>
      </c>
      <c r="J118" s="5830"/>
      <c r="K118" s="5847">
        <f t="shared" si="228"/>
        <v>106762.921</v>
      </c>
      <c r="L118" s="5830"/>
      <c r="M118" s="5830">
        <f>+M53</f>
        <v>27879.332999999999</v>
      </c>
      <c r="N118" s="5830"/>
      <c r="O118" s="5848">
        <f t="shared" si="229"/>
        <v>134642.25400000002</v>
      </c>
      <c r="P118" s="5830"/>
      <c r="Q118" s="5830">
        <f>+Q53</f>
        <v>44707.993000000002</v>
      </c>
      <c r="R118" s="5830"/>
      <c r="S118" s="5847">
        <f t="shared" si="230"/>
        <v>179350.24700000003</v>
      </c>
      <c r="T118" s="5830"/>
      <c r="U118" s="5830">
        <f>+U53</f>
        <v>34390.131999999998</v>
      </c>
      <c r="V118" s="5830"/>
      <c r="W118" s="5847">
        <f t="shared" si="231"/>
        <v>213740.37900000002</v>
      </c>
      <c r="X118" s="5830"/>
      <c r="Y118" s="5830">
        <f>+Y53</f>
        <v>43670.794999999998</v>
      </c>
      <c r="Z118" s="5830"/>
      <c r="AA118" s="5848">
        <f t="shared" si="232"/>
        <v>122768.92</v>
      </c>
      <c r="AB118" s="5830"/>
      <c r="AC118" s="5849">
        <f t="shared" si="233"/>
        <v>257411.174</v>
      </c>
      <c r="AD118" s="5830"/>
      <c r="AE118" s="5830">
        <f>+AE53</f>
        <v>44900.301000000007</v>
      </c>
      <c r="AF118" s="5830"/>
      <c r="AG118" s="5847">
        <f t="shared" si="234"/>
        <v>302311.47499999998</v>
      </c>
      <c r="AH118" s="5830"/>
      <c r="AI118" s="5830">
        <f>+AI53</f>
        <v>8584.9840000000004</v>
      </c>
      <c r="AJ118" s="5830"/>
      <c r="AK118" s="5850">
        <f t="shared" si="235"/>
        <v>310896.45899999997</v>
      </c>
      <c r="AL118" s="5830"/>
      <c r="AM118" s="5830">
        <f>+AM53</f>
        <v>40066.767999999996</v>
      </c>
      <c r="AN118" s="5830"/>
      <c r="AO118" s="5848">
        <f t="shared" si="236"/>
        <v>93552.053</v>
      </c>
      <c r="AP118" s="5830"/>
      <c r="AQ118" s="5850">
        <f>+AK118+AM118</f>
        <v>350963.22699999996</v>
      </c>
      <c r="AR118" s="5830"/>
      <c r="AS118" s="5830">
        <f>+AS53</f>
        <v>51039.178999999996</v>
      </c>
      <c r="AT118" s="5830"/>
      <c r="AU118" s="5850">
        <f t="shared" si="237"/>
        <v>402002.40599999996</v>
      </c>
      <c r="AV118" s="5830"/>
      <c r="AW118" s="5830">
        <f>+AW53</f>
        <v>51009.48</v>
      </c>
      <c r="AX118" s="5830"/>
      <c r="AY118" s="5850">
        <f t="shared" si="238"/>
        <v>453011.88599999994</v>
      </c>
      <c r="AZ118" s="5830"/>
      <c r="BA118" s="5830">
        <f>+BA53</f>
        <v>62071.89</v>
      </c>
      <c r="BB118" s="5830"/>
      <c r="BC118" s="5848">
        <f t="shared" si="239"/>
        <v>164120.549</v>
      </c>
      <c r="BD118" s="5830"/>
      <c r="BE118" s="5842">
        <f t="shared" si="240"/>
        <v>257672.60200000001</v>
      </c>
      <c r="BF118" s="5830"/>
      <c r="BG118" s="5850">
        <f t="shared" si="241"/>
        <v>515083.77599999995</v>
      </c>
      <c r="BH118" s="26"/>
      <c r="BI118" s="26"/>
    </row>
    <row r="119" spans="1:61" ht="19.5" customHeight="1" thickBot="1" x14ac:dyDescent="0.3">
      <c r="C119" s="7766"/>
      <c r="D119" s="5837" t="s">
        <v>1526</v>
      </c>
      <c r="E119" s="5837"/>
      <c r="F119" s="5819"/>
      <c r="G119" s="5838">
        <f>+G118/G117</f>
        <v>1</v>
      </c>
      <c r="H119" s="5838"/>
      <c r="I119" s="5838">
        <f>+I118/I117</f>
        <v>1</v>
      </c>
      <c r="J119" s="5838"/>
      <c r="K119" s="5826">
        <f t="shared" ref="K119:AG119" si="242">+K118/K117</f>
        <v>1</v>
      </c>
      <c r="L119" s="5838"/>
      <c r="M119" s="5838">
        <f>+M118/M117</f>
        <v>0.99999999999999989</v>
      </c>
      <c r="N119" s="5838"/>
      <c r="O119" s="5827">
        <f t="shared" si="242"/>
        <v>1</v>
      </c>
      <c r="P119" s="5838"/>
      <c r="Q119" s="5838">
        <f t="shared" si="242"/>
        <v>1.0000000000000002</v>
      </c>
      <c r="R119" s="5838"/>
      <c r="S119" s="5826">
        <f t="shared" si="242"/>
        <v>1.0000000000000002</v>
      </c>
      <c r="T119" s="5838"/>
      <c r="U119" s="5838">
        <f t="shared" si="242"/>
        <v>0.99999999999999978</v>
      </c>
      <c r="V119" s="5838"/>
      <c r="W119" s="5826">
        <f t="shared" si="242"/>
        <v>1</v>
      </c>
      <c r="X119" s="5838"/>
      <c r="Y119" s="5838">
        <f t="shared" ref="Y119" si="243">+Y118/Y117</f>
        <v>1</v>
      </c>
      <c r="Z119" s="5838"/>
      <c r="AA119" s="5827">
        <f t="shared" si="242"/>
        <v>1</v>
      </c>
      <c r="AB119" s="5838"/>
      <c r="AC119" s="5828">
        <f t="shared" si="242"/>
        <v>1</v>
      </c>
      <c r="AD119" s="5838"/>
      <c r="AE119" s="5838">
        <f t="shared" si="242"/>
        <v>1</v>
      </c>
      <c r="AF119" s="5838"/>
      <c r="AG119" s="5826">
        <f t="shared" si="242"/>
        <v>1</v>
      </c>
      <c r="AH119" s="5838"/>
      <c r="AI119" s="5838">
        <f t="shared" ref="AI119" si="244">+AI118/AI117</f>
        <v>1</v>
      </c>
      <c r="AJ119" s="5838"/>
      <c r="AK119" s="5867">
        <f t="shared" ref="AK119" si="245">+AK118/AK117</f>
        <v>1</v>
      </c>
      <c r="AL119" s="5838"/>
      <c r="AM119" s="5838">
        <f t="shared" ref="AM119" si="246">+AM118/AM117</f>
        <v>0.99999999999999978</v>
      </c>
      <c r="AN119" s="5838"/>
      <c r="AO119" s="5827">
        <f t="shared" ref="AO119" si="247">+AO118/AO117</f>
        <v>0.99999999999999989</v>
      </c>
      <c r="AP119" s="5838"/>
      <c r="AQ119" s="5867">
        <f t="shared" ref="AQ119" si="248">+AQ118/AQ117</f>
        <v>1</v>
      </c>
      <c r="AR119" s="5838"/>
      <c r="AS119" s="5838">
        <f t="shared" ref="AS119" si="249">+AS118/AS117</f>
        <v>1</v>
      </c>
      <c r="AT119" s="5838"/>
      <c r="AU119" s="5867">
        <f t="shared" ref="AU119" si="250">+AU118/AU117</f>
        <v>1</v>
      </c>
      <c r="AV119" s="5838"/>
      <c r="AW119" s="5838">
        <f t="shared" ref="AW119" si="251">+AW118/AW117</f>
        <v>1</v>
      </c>
      <c r="AX119" s="5838"/>
      <c r="AY119" s="5867">
        <f t="shared" ref="AY119" si="252">+AY118/AY117</f>
        <v>1</v>
      </c>
      <c r="AZ119" s="5838"/>
      <c r="BA119" s="5838">
        <f t="shared" ref="BA119" si="253">+BA118/BA117</f>
        <v>0.99999999999999989</v>
      </c>
      <c r="BB119" s="5838"/>
      <c r="BC119" s="5827">
        <f t="shared" ref="BC119" si="254">+BC118/BC117</f>
        <v>1</v>
      </c>
      <c r="BD119" s="5838"/>
      <c r="BE119" s="5828">
        <f t="shared" ref="BE119" si="255">+BE118/BE117</f>
        <v>1</v>
      </c>
      <c r="BF119" s="5838"/>
      <c r="BG119" s="5867">
        <f t="shared" ref="BG119" si="256">+BG118/BG117</f>
        <v>1</v>
      </c>
      <c r="BH119" s="26"/>
      <c r="BI119" s="26"/>
    </row>
    <row r="120" spans="1:61" s="5172" customFormat="1" ht="15.75" thickBot="1" x14ac:dyDescent="0.3">
      <c r="BH120" s="26"/>
      <c r="BI120" s="26"/>
    </row>
    <row r="121" spans="1:61" ht="18.75" customHeight="1" thickBot="1" x14ac:dyDescent="0.3">
      <c r="C121" s="7764" t="s">
        <v>1528</v>
      </c>
      <c r="D121" s="5834" t="s">
        <v>1525</v>
      </c>
      <c r="E121" s="5834"/>
      <c r="F121" s="5817"/>
      <c r="G121" s="5835">
        <f>+'Maj Production Summ'!F34</f>
        <v>45616.58799999996</v>
      </c>
      <c r="H121" s="5836"/>
      <c r="I121" s="5836">
        <f>+'Maj Production Summ'!H34</f>
        <v>52556</v>
      </c>
      <c r="J121" s="5836"/>
      <c r="K121" s="5840">
        <f t="shared" ref="K121:K122" si="257">+G121+I121</f>
        <v>98172.58799999996</v>
      </c>
      <c r="L121" s="5836"/>
      <c r="M121" s="5836">
        <f>+'Maj Production Summ'!L34</f>
        <v>25895</v>
      </c>
      <c r="N121" s="5836"/>
      <c r="O121" s="5841">
        <f t="shared" ref="O121:O122" si="258">+G121+I121+M121</f>
        <v>124067.58799999996</v>
      </c>
      <c r="P121" s="5836"/>
      <c r="Q121" s="5836">
        <f>+'Maj Production Summ'!P34</f>
        <v>58992</v>
      </c>
      <c r="R121" s="5836"/>
      <c r="S121" s="5840">
        <f t="shared" ref="S121:S122" si="259">O121+Q121</f>
        <v>183059.58799999996</v>
      </c>
      <c r="T121" s="5836"/>
      <c r="U121" s="5836">
        <f>+'Maj Production Summ'!T34</f>
        <v>55648</v>
      </c>
      <c r="V121" s="5836"/>
      <c r="W121" s="5840">
        <f t="shared" ref="W121:W122" si="260">S121+U121</f>
        <v>238707.58799999996</v>
      </c>
      <c r="X121" s="5836"/>
      <c r="Y121" s="5836">
        <f>+'Maj Production Summ'!X34</f>
        <v>52843</v>
      </c>
      <c r="Z121" s="5836"/>
      <c r="AA121" s="5841">
        <f t="shared" ref="AA121:AA140" si="261">Q121+U121+Y121</f>
        <v>167483</v>
      </c>
      <c r="AB121" s="5836"/>
      <c r="AC121" s="5842">
        <f t="shared" ref="AC121:AC122" si="262">O121+AA121</f>
        <v>291550.58799999999</v>
      </c>
      <c r="AD121" s="5836"/>
      <c r="AE121" s="5836">
        <f>+'Maj Production Summ'!AD34</f>
        <v>25418</v>
      </c>
      <c r="AF121" s="5836"/>
      <c r="AG121" s="5840">
        <f t="shared" ref="AG121:AG122" si="263">+AC121+AE121</f>
        <v>316968.58799999999</v>
      </c>
      <c r="AH121" s="5836"/>
      <c r="AI121" s="5836">
        <f>+'Maj Production Summ'!AH34</f>
        <v>7935</v>
      </c>
      <c r="AJ121" s="5836"/>
      <c r="AK121" s="5843">
        <f t="shared" ref="AK121:AK122" si="264">+AG121+AI121</f>
        <v>324903.58799999999</v>
      </c>
      <c r="AL121" s="5836"/>
      <c r="AM121" s="5836">
        <f>+'Maj Production Summ'!AL34</f>
        <v>64493</v>
      </c>
      <c r="AN121" s="5836"/>
      <c r="AO121" s="5841">
        <f t="shared" ref="AO121:AO140" si="265">AE121+AI121+AM121</f>
        <v>97846</v>
      </c>
      <c r="AP121" s="5836"/>
      <c r="AQ121" s="5843">
        <f>+AK121+AM121</f>
        <v>389396.58799999999</v>
      </c>
      <c r="AR121" s="5836"/>
      <c r="AS121" s="5836">
        <f>+'Maj Production Summ'!AR34</f>
        <v>63074.18</v>
      </c>
      <c r="AT121" s="5836"/>
      <c r="AU121" s="5843">
        <f t="shared" ref="AU121:AU122" si="266">+AQ121+AS121</f>
        <v>452470.76799999998</v>
      </c>
      <c r="AV121" s="5836"/>
      <c r="AW121" s="5836">
        <f>+'Maj Production Summ'!AV34</f>
        <v>57481.269999999931</v>
      </c>
      <c r="AX121" s="5836"/>
      <c r="AY121" s="5843">
        <f t="shared" ref="AY121:AY122" si="267">+AU121+AW121</f>
        <v>509952.03799999994</v>
      </c>
      <c r="AZ121" s="5836"/>
      <c r="BA121" s="5836">
        <f>+'Maj Production Summ'!AZ34</f>
        <v>57620</v>
      </c>
      <c r="BB121" s="5836"/>
      <c r="BC121" s="5841">
        <f t="shared" ref="BC121:BC122" si="268">AS121+AW121+BA121</f>
        <v>178175.44999999992</v>
      </c>
      <c r="BD121" s="5836"/>
      <c r="BE121" s="5842">
        <f t="shared" ref="BE121:BE122" si="269">AO121+BC121</f>
        <v>276021.44999999995</v>
      </c>
      <c r="BF121" s="5836"/>
      <c r="BG121" s="5843">
        <f t="shared" ref="BG121:BG122" si="270">+AY121+BA121</f>
        <v>567572.03799999994</v>
      </c>
      <c r="BH121" s="26"/>
      <c r="BI121" s="26"/>
    </row>
    <row r="122" spans="1:61" ht="18.75" customHeight="1" x14ac:dyDescent="0.25">
      <c r="C122" s="7765"/>
      <c r="D122" s="5844" t="s">
        <v>1564</v>
      </c>
      <c r="E122" s="5844"/>
      <c r="F122" s="5820"/>
      <c r="G122" s="5839">
        <f>+G77</f>
        <v>40768.58799999996</v>
      </c>
      <c r="H122" s="5839"/>
      <c r="I122" s="5839">
        <f>+I77</f>
        <v>45640.4</v>
      </c>
      <c r="J122" s="5839"/>
      <c r="K122" s="5847">
        <f t="shared" si="257"/>
        <v>86408.987999999954</v>
      </c>
      <c r="L122" s="5839"/>
      <c r="M122" s="5839">
        <f>+M77</f>
        <v>21047</v>
      </c>
      <c r="N122" s="5839"/>
      <c r="O122" s="5848">
        <f t="shared" si="258"/>
        <v>107455.98799999995</v>
      </c>
      <c r="P122" s="5839"/>
      <c r="Q122" s="5839">
        <f>+Q77</f>
        <v>54376</v>
      </c>
      <c r="R122" s="5839"/>
      <c r="S122" s="5847">
        <f t="shared" si="259"/>
        <v>161831.98799999995</v>
      </c>
      <c r="T122" s="5839"/>
      <c r="U122" s="5839">
        <f>+U77</f>
        <v>51659</v>
      </c>
      <c r="V122" s="5839"/>
      <c r="W122" s="5847">
        <f t="shared" si="260"/>
        <v>213490.98799999995</v>
      </c>
      <c r="X122" s="5839"/>
      <c r="Y122" s="5839">
        <f>+Y77</f>
        <v>47608.267999999996</v>
      </c>
      <c r="Z122" s="5839"/>
      <c r="AA122" s="5848">
        <f t="shared" si="261"/>
        <v>153643.26799999998</v>
      </c>
      <c r="AB122" s="5839"/>
      <c r="AC122" s="5849">
        <f t="shared" si="262"/>
        <v>261099.25599999994</v>
      </c>
      <c r="AD122" s="5839"/>
      <c r="AE122" s="5839">
        <f>+AE77</f>
        <v>21170.198</v>
      </c>
      <c r="AF122" s="5839"/>
      <c r="AG122" s="5847">
        <f t="shared" si="263"/>
        <v>282269.45399999991</v>
      </c>
      <c r="AH122" s="5839"/>
      <c r="AI122" s="5839">
        <f>+AI77</f>
        <v>7769</v>
      </c>
      <c r="AJ122" s="5839"/>
      <c r="AK122" s="5850">
        <f t="shared" si="264"/>
        <v>290038.45399999991</v>
      </c>
      <c r="AL122" s="5839"/>
      <c r="AM122" s="5839">
        <f>+AM77</f>
        <v>58920.466</v>
      </c>
      <c r="AN122" s="5839"/>
      <c r="AO122" s="5848">
        <f t="shared" si="265"/>
        <v>87859.664000000004</v>
      </c>
      <c r="AP122" s="5839"/>
      <c r="AQ122" s="5850">
        <f>+AK122+AM122</f>
        <v>348958.91999999993</v>
      </c>
      <c r="AR122" s="5839"/>
      <c r="AS122" s="5839">
        <f>+AS77</f>
        <v>57980.115999999995</v>
      </c>
      <c r="AT122" s="5839"/>
      <c r="AU122" s="5850">
        <f t="shared" si="266"/>
        <v>406939.03599999991</v>
      </c>
      <c r="AV122" s="5839"/>
      <c r="AW122" s="5839">
        <f>+AW77</f>
        <v>52513.69199999993</v>
      </c>
      <c r="AX122" s="5839"/>
      <c r="AY122" s="5850">
        <f t="shared" si="267"/>
        <v>459452.72799999983</v>
      </c>
      <c r="AZ122" s="5839"/>
      <c r="BA122" s="5839">
        <f>+BA77</f>
        <v>52904</v>
      </c>
      <c r="BB122" s="5839"/>
      <c r="BC122" s="5848">
        <f t="shared" si="268"/>
        <v>163397.80799999993</v>
      </c>
      <c r="BD122" s="5839"/>
      <c r="BE122" s="5842">
        <f t="shared" si="269"/>
        <v>251257.47199999995</v>
      </c>
      <c r="BF122" s="5839"/>
      <c r="BG122" s="5850">
        <f t="shared" si="270"/>
        <v>512356.72799999983</v>
      </c>
      <c r="BH122" s="26"/>
      <c r="BI122" s="26"/>
    </row>
    <row r="123" spans="1:61" ht="18.75" customHeight="1" thickBot="1" x14ac:dyDescent="0.3">
      <c r="C123" s="7765"/>
      <c r="D123" s="5844" t="s">
        <v>1526</v>
      </c>
      <c r="E123" s="5844"/>
      <c r="F123" s="5845"/>
      <c r="G123" s="5851">
        <f>+G122/G121</f>
        <v>0.8937228711625691</v>
      </c>
      <c r="H123" s="5851"/>
      <c r="I123" s="5851">
        <f>+I122/I121</f>
        <v>0.8684146434279626</v>
      </c>
      <c r="J123" s="5851"/>
      <c r="K123" s="5852">
        <f t="shared" ref="K123:AG123" si="271">+K122/K121</f>
        <v>0.88017429060747576</v>
      </c>
      <c r="L123" s="5851"/>
      <c r="M123" s="5851">
        <f>+M122/M121</f>
        <v>0.8127823904228616</v>
      </c>
      <c r="N123" s="5851"/>
      <c r="O123" s="5853">
        <f t="shared" si="271"/>
        <v>0.86610846339658021</v>
      </c>
      <c r="P123" s="5851"/>
      <c r="Q123" s="5851">
        <f t="shared" si="271"/>
        <v>0.92175210197992952</v>
      </c>
      <c r="R123" s="5851"/>
      <c r="S123" s="5852">
        <f t="shared" si="271"/>
        <v>0.88403994441416522</v>
      </c>
      <c r="T123" s="5851"/>
      <c r="U123" s="5851">
        <f t="shared" si="271"/>
        <v>0.92831728004600345</v>
      </c>
      <c r="V123" s="5851"/>
      <c r="W123" s="5852">
        <f t="shared" si="271"/>
        <v>0.89436196724504624</v>
      </c>
      <c r="X123" s="5851"/>
      <c r="Y123" s="5851">
        <f t="shared" ref="Y123" si="272">+Y122/Y121</f>
        <v>0.90093802395776157</v>
      </c>
      <c r="Z123" s="5851"/>
      <c r="AA123" s="5853">
        <f t="shared" si="271"/>
        <v>0.91736634762931157</v>
      </c>
      <c r="AB123" s="5851"/>
      <c r="AC123" s="5854">
        <f t="shared" si="271"/>
        <v>0.89555386525236558</v>
      </c>
      <c r="AD123" s="5851"/>
      <c r="AE123" s="5851">
        <f t="shared" si="271"/>
        <v>0.83288213077346762</v>
      </c>
      <c r="AF123" s="5851"/>
      <c r="AG123" s="5852">
        <f t="shared" si="271"/>
        <v>0.89052816173696026</v>
      </c>
      <c r="AH123" s="5851"/>
      <c r="AI123" s="5851">
        <f t="shared" ref="AI123" si="273">+AI122/AI121</f>
        <v>0.97908002520478887</v>
      </c>
      <c r="AJ123" s="5851"/>
      <c r="AK123" s="5855">
        <f t="shared" ref="AK123" si="274">+AK122/AK121</f>
        <v>0.89269083110279446</v>
      </c>
      <c r="AL123" s="5851"/>
      <c r="AM123" s="5851">
        <f t="shared" ref="AM123" si="275">+AM122/AM121</f>
        <v>0.91359474671669794</v>
      </c>
      <c r="AN123" s="5981"/>
      <c r="AO123" s="5853">
        <f t="shared" ref="AO123" si="276">+AO122/AO121</f>
        <v>0.89793822946262503</v>
      </c>
      <c r="AP123" s="5851"/>
      <c r="AQ123" s="5855">
        <f t="shared" ref="AQ123" si="277">+AQ122/AQ121</f>
        <v>0.89615299864928433</v>
      </c>
      <c r="AR123" s="5851"/>
      <c r="AS123" s="5851">
        <f t="shared" ref="AS123" si="278">+AS122/AS121</f>
        <v>0.919236936572144</v>
      </c>
      <c r="AT123" s="5851"/>
      <c r="AU123" s="5855">
        <f t="shared" ref="AU123" si="279">+AU122/AU121</f>
        <v>0.8993708870934175</v>
      </c>
      <c r="AV123" s="5851"/>
      <c r="AW123" s="5851">
        <f t="shared" ref="AW123" si="280">+AW122/AW121</f>
        <v>0.91357918849044206</v>
      </c>
      <c r="AX123" s="5851"/>
      <c r="AY123" s="5855">
        <f t="shared" ref="AY123" si="281">+AY122/AY121</f>
        <v>0.90097243223489165</v>
      </c>
      <c r="AZ123" s="5851"/>
      <c r="BA123" s="5851">
        <f t="shared" ref="BA123" si="282">+BA122/BA121</f>
        <v>0.91815341895175284</v>
      </c>
      <c r="BB123" s="5981"/>
      <c r="BC123" s="5853">
        <f t="shared" ref="BC123" si="283">+BC122/BC121</f>
        <v>0.91706128986905888</v>
      </c>
      <c r="BD123" s="5851"/>
      <c r="BE123" s="5854">
        <f t="shared" ref="BE123" si="284">+BE122/BE121</f>
        <v>0.91028241464567339</v>
      </c>
      <c r="BF123" s="5851"/>
      <c r="BG123" s="5855">
        <f t="shared" ref="BG123" si="285">+BG122/BG121</f>
        <v>0.90271664863095291</v>
      </c>
      <c r="BH123" s="26"/>
      <c r="BI123" s="26"/>
    </row>
    <row r="124" spans="1:61" ht="18.75" customHeight="1" thickBot="1" x14ac:dyDescent="0.3">
      <c r="C124" s="7765"/>
      <c r="D124" s="5844" t="s">
        <v>1524</v>
      </c>
      <c r="E124" s="5844"/>
      <c r="F124" s="5845"/>
      <c r="G124" s="5846">
        <f>+G121-G122</f>
        <v>4848</v>
      </c>
      <c r="H124" s="5846"/>
      <c r="I124" s="5846">
        <f>+I121-I122</f>
        <v>6915.5999999999985</v>
      </c>
      <c r="J124" s="5846"/>
      <c r="K124" s="5847">
        <f t="shared" ref="K124:K128" si="286">+G124+I124</f>
        <v>11763.599999999999</v>
      </c>
      <c r="L124" s="5846"/>
      <c r="M124" s="5846">
        <f>+M121-M122</f>
        <v>4848</v>
      </c>
      <c r="N124" s="5846"/>
      <c r="O124" s="5848">
        <f t="shared" ref="O124:O128" si="287">+G124+I124+M124</f>
        <v>16611.599999999999</v>
      </c>
      <c r="P124" s="5846"/>
      <c r="Q124" s="5846">
        <f t="shared" ref="Q124:AE124" si="288">+Q121-Q122</f>
        <v>4616</v>
      </c>
      <c r="R124" s="5846"/>
      <c r="S124" s="5847">
        <f t="shared" ref="S124:S128" si="289">O124+Q124</f>
        <v>21227.599999999999</v>
      </c>
      <c r="T124" s="5846"/>
      <c r="U124" s="5846">
        <f t="shared" si="288"/>
        <v>3989</v>
      </c>
      <c r="V124" s="5846"/>
      <c r="W124" s="5847">
        <f t="shared" ref="W124:W128" si="290">S124+U124</f>
        <v>25216.6</v>
      </c>
      <c r="X124" s="5846"/>
      <c r="Y124" s="5846">
        <f t="shared" ref="Y124" si="291">+Y121-Y122</f>
        <v>5234.7320000000036</v>
      </c>
      <c r="Z124" s="5846"/>
      <c r="AA124" s="5848">
        <f t="shared" si="261"/>
        <v>13839.732000000004</v>
      </c>
      <c r="AB124" s="5846"/>
      <c r="AC124" s="5849">
        <f t="shared" ref="AC124:AC128" si="292">O124+AA124</f>
        <v>30451.332000000002</v>
      </c>
      <c r="AD124" s="5846"/>
      <c r="AE124" s="5846">
        <f t="shared" si="288"/>
        <v>4247.8019999999997</v>
      </c>
      <c r="AF124" s="5846"/>
      <c r="AG124" s="5847">
        <f t="shared" ref="AG124:AG128" si="293">+AC124+AE124</f>
        <v>34699.134000000005</v>
      </c>
      <c r="AH124" s="5846"/>
      <c r="AI124" s="5846">
        <f t="shared" ref="AI124" si="294">+AI121-AI122</f>
        <v>166</v>
      </c>
      <c r="AJ124" s="5846"/>
      <c r="AK124" s="5850">
        <f t="shared" ref="AK124:AK128" si="295">+AG124+AI124</f>
        <v>34865.134000000005</v>
      </c>
      <c r="AL124" s="5846"/>
      <c r="AM124" s="5846">
        <f t="shared" ref="AM124" si="296">+AM121-AM122</f>
        <v>5572.5339999999997</v>
      </c>
      <c r="AN124" s="5980"/>
      <c r="AO124" s="5848">
        <f t="shared" si="265"/>
        <v>9986.3359999999993</v>
      </c>
      <c r="AP124" s="5846"/>
      <c r="AQ124" s="5850">
        <f t="shared" ref="AQ124:AQ128" si="297">+AK124+AM124</f>
        <v>40437.668000000005</v>
      </c>
      <c r="AR124" s="5846"/>
      <c r="AS124" s="5846">
        <f t="shared" ref="AS124" si="298">+AS121-AS122</f>
        <v>5094.0640000000058</v>
      </c>
      <c r="AT124" s="5846"/>
      <c r="AU124" s="5850">
        <f t="shared" ref="AU124:AU128" si="299">+AQ124+AS124</f>
        <v>45531.732000000011</v>
      </c>
      <c r="AV124" s="5846"/>
      <c r="AW124" s="5846">
        <f t="shared" ref="AW124" si="300">+AW121-AW122</f>
        <v>4967.5780000000013</v>
      </c>
      <c r="AX124" s="5846"/>
      <c r="AY124" s="5850">
        <f t="shared" ref="AY124:AY128" si="301">+AU124+AW124</f>
        <v>50499.310000000012</v>
      </c>
      <c r="AZ124" s="5846"/>
      <c r="BA124" s="5846">
        <f t="shared" ref="BA124" si="302">+BA121-BA122</f>
        <v>4716</v>
      </c>
      <c r="BB124" s="5980"/>
      <c r="BC124" s="5848">
        <f t="shared" ref="BC124:BC128" si="303">AS124+AW124+BA124</f>
        <v>14777.642000000007</v>
      </c>
      <c r="BD124" s="5846"/>
      <c r="BE124" s="5842">
        <f t="shared" ref="BE124:BE128" si="304">AO124+BC124</f>
        <v>24763.978000000006</v>
      </c>
      <c r="BF124" s="5846"/>
      <c r="BG124" s="5850">
        <f t="shared" ref="BG124:BG128" si="305">+AY124+BA124</f>
        <v>55215.310000000012</v>
      </c>
      <c r="BH124" s="26"/>
      <c r="BI124" s="26"/>
    </row>
    <row r="125" spans="1:61" ht="15" customHeight="1" thickBot="1" x14ac:dyDescent="0.3">
      <c r="A125" s="1277"/>
      <c r="B125" s="3197"/>
      <c r="C125" s="7765"/>
      <c r="D125" s="5856" t="str">
        <f>+'GRD SUMM RCL 150X150 '!E48</f>
        <v>BLOOM CB C25 HMN 150*150</v>
      </c>
      <c r="E125" s="5856"/>
      <c r="F125" s="5857"/>
      <c r="G125" s="5858">
        <f>+SUMIF('GRD SUMM RCL 150X150 '!$E$6:$E$49,$D125,'GRD SUMM RCL 150X150 '!AU$6:AU$49)</f>
        <v>1670</v>
      </c>
      <c r="H125" s="5858">
        <f>+SUMIF('GRD SUMM RCL 150X150 '!$E$6:$E$49,$D125,'GRD SUMM RCL 150X150 '!AV$6:AV$49)</f>
        <v>0</v>
      </c>
      <c r="I125" s="5858">
        <f>+SUMIF('GRD SUMM RCL 150X150 '!$E$6:$E$49,$D125,'GRD SUMM RCL 150X150 '!AW$6:AW$49)</f>
        <v>3414</v>
      </c>
      <c r="J125" s="5858">
        <f>+SUMIF('GRD SUMM RCL 150X150 '!$E$6:$E$49,$D125,'GRD SUMM RCL 150X150 '!AX$6:AX$49)</f>
        <v>0</v>
      </c>
      <c r="K125" s="5847">
        <f t="shared" si="286"/>
        <v>5084</v>
      </c>
      <c r="L125" s="5858">
        <f>+SUMIF('GRD SUMM RCL 150X150 '!$E$6:$E$49,$D125,'GRD SUMM RCL 150X150 '!AZ$6:AZ$49)</f>
        <v>0</v>
      </c>
      <c r="M125" s="5858">
        <f>+SUMIF('GRD SUMM RCL 150X150 '!$E$6:$E$49,$D125,'GRD SUMM RCL 150X150 '!BA$6:BA$49)</f>
        <v>0</v>
      </c>
      <c r="N125" s="5858"/>
      <c r="O125" s="5848">
        <f t="shared" si="287"/>
        <v>5084</v>
      </c>
      <c r="P125" s="5858"/>
      <c r="Q125" s="5858">
        <f>+SUMIF('GRD SUMM RCL 150X150 '!$E$6:$E$49,$D125,'GRD SUMM RCL 150X150 '!BE$6:BE$49)</f>
        <v>0</v>
      </c>
      <c r="R125" s="5858">
        <f>+SUMIF('GRD SUMM RCL 150X150 '!$E$6:$E$49,$D125,'GRD SUMM RCL 150X150 '!BF$6:BF$49)</f>
        <v>0</v>
      </c>
      <c r="S125" s="5847">
        <f t="shared" si="289"/>
        <v>5084</v>
      </c>
      <c r="T125" s="5858">
        <f>+SUMIF('GRD SUMM RCL 150X150 '!$E$6:$E$49,$D125,'GRD SUMM RCL 150X150 '!BH$6:BH$49)</f>
        <v>0</v>
      </c>
      <c r="U125" s="5858">
        <f>+SUMIF('GRD SUMM RCL 150X150 '!$E$6:$E$49,$D125,'GRD SUMM RCL 150X150 '!BI$6:BI$49)</f>
        <v>0</v>
      </c>
      <c r="V125" s="5858">
        <f>+SUMIF('GRD SUMM RCL 150X150 '!$E$6:$E$49,$D125,'GRD SUMM RCL 150X150 '!BJ$6:BJ$49)</f>
        <v>0</v>
      </c>
      <c r="W125" s="5847">
        <f t="shared" si="290"/>
        <v>5084</v>
      </c>
      <c r="X125" s="5858">
        <f>+SUMIF('GRD SUMM RCL 150X150 '!$E$6:$E$49,$D125,'GRD SUMM RCL 150X150 '!BL$6:BL$49)</f>
        <v>0</v>
      </c>
      <c r="Y125" s="5858">
        <f>+SUMIF('GRD SUMM RCL 150X150 '!$E$6:$E$49,$D125,'GRD SUMM RCL 150X150 '!BM$6:BM$49)</f>
        <v>0</v>
      </c>
      <c r="Z125" s="5858"/>
      <c r="AA125" s="5848">
        <f t="shared" si="261"/>
        <v>0</v>
      </c>
      <c r="AB125" s="5858"/>
      <c r="AC125" s="5849">
        <f t="shared" si="292"/>
        <v>5084</v>
      </c>
      <c r="AD125" s="5858"/>
      <c r="AE125" s="5858">
        <f>+SUMIF('GRD SUMM RCL 150X150 '!$E$6:$E$49,$D125,'GRD SUMM RCL 150X150 '!BS$6:BS$49)</f>
        <v>0</v>
      </c>
      <c r="AF125" s="5858">
        <f>+SUMIF('GRD SUMM RCL 150X150 '!$E$6:$E$49,$D125,'GRD SUMM RCL 150X150 '!BT$6:BT$49)</f>
        <v>0</v>
      </c>
      <c r="AG125" s="5847">
        <f t="shared" si="293"/>
        <v>5084</v>
      </c>
      <c r="AH125" s="5858">
        <f>+SUMIF('GRD SUMM RCL 150X150 '!$E$6:$E$49,$D125,'GRD SUMM RCL 150X150 '!BV$6:BV$49)</f>
        <v>0</v>
      </c>
      <c r="AI125" s="5858">
        <f>+SUMIF('GRD SUMM RCL 150X150 '!$E$6:$E$49,$D125,'GRD SUMM RCL 150X150 '!BW$6:BW$49)</f>
        <v>0</v>
      </c>
      <c r="AJ125" s="5858"/>
      <c r="AK125" s="5850">
        <f t="shared" si="295"/>
        <v>5084</v>
      </c>
      <c r="AL125" s="5858">
        <f>+SUMIF('GRD SUMM RCL 150X150 '!$E$6:$E$49,$D125,'GRD SUMM RCL 150X150 '!BZ$6:BZ$49)</f>
        <v>0</v>
      </c>
      <c r="AM125" s="5858">
        <f>+SUMIF('GRD SUMM RCL 150X150 '!$E$6:$E$49,$D125,'GRD SUMM RCL 150X150 '!CA$6:CA$49)</f>
        <v>0</v>
      </c>
      <c r="AN125" s="5982"/>
      <c r="AO125" s="5848">
        <f t="shared" si="265"/>
        <v>0</v>
      </c>
      <c r="AP125" s="5858"/>
      <c r="AQ125" s="5850">
        <f t="shared" si="297"/>
        <v>5084</v>
      </c>
      <c r="AR125" s="5858">
        <f>+SUMIF('GRD SUMM RCL 150X150 '!$E$6:$E$49,$D125,'GRD SUMM RCL 150X150 '!CF$6:CF$49)</f>
        <v>0</v>
      </c>
      <c r="AS125" s="5858">
        <f>+SUMIF('GRD SUMM RCL 150X150 '!$E$6:$E$49,$D125,'GRD SUMM RCL 150X150 '!CG$6:CG$49)</f>
        <v>0</v>
      </c>
      <c r="AT125" s="5858"/>
      <c r="AU125" s="5850">
        <f t="shared" si="299"/>
        <v>5084</v>
      </c>
      <c r="AV125" s="5858">
        <f>+SUMIF('GRD SUMM RCL 150X150 '!$E$6:$E$49,$D125,'GRD SUMM RCL 150X150 '!CJ$6:CJ$49)</f>
        <v>0</v>
      </c>
      <c r="AW125" s="5858">
        <f>+SUMIF('GRD SUMM RCL 150X150 '!$E$6:$E$49,$D125,'GRD SUMM RCL 150X150 '!CK$6:CK$49)</f>
        <v>0</v>
      </c>
      <c r="AX125" s="5858"/>
      <c r="AY125" s="5850">
        <f t="shared" si="301"/>
        <v>5084</v>
      </c>
      <c r="AZ125" s="5858">
        <f>+SUMIF('GRD SUMM RCL 150X150 '!$E$6:$E$49,$D125,'GRD SUMM RCL 150X150 '!CN$6:CN$49)</f>
        <v>0</v>
      </c>
      <c r="BA125" s="5858">
        <f>+SUMIF('GRD SUMM RCL 150X150 '!$E$6:$E$49,$D125,'GRD SUMM RCL 150X150 '!CO$6:CO$49)</f>
        <v>0</v>
      </c>
      <c r="BB125" s="5982"/>
      <c r="BC125" s="5848">
        <f t="shared" si="303"/>
        <v>0</v>
      </c>
      <c r="BD125" s="5858"/>
      <c r="BE125" s="5842">
        <f t="shared" si="304"/>
        <v>0</v>
      </c>
      <c r="BF125" s="5858"/>
      <c r="BG125" s="5850">
        <f t="shared" si="305"/>
        <v>5084</v>
      </c>
      <c r="BH125" s="26"/>
      <c r="BI125" s="26"/>
    </row>
    <row r="126" spans="1:61" ht="15" customHeight="1" thickBot="1" x14ac:dyDescent="0.3">
      <c r="A126" s="1277"/>
      <c r="B126" s="1277"/>
      <c r="C126" s="7765"/>
      <c r="D126" s="5856" t="str">
        <f>+'GRD SUMM RCL 150X150 '!E49</f>
        <v>ASSORTED BILLET (CCP)150*150</v>
      </c>
      <c r="E126" s="5856"/>
      <c r="F126" s="5857"/>
      <c r="G126" s="5858">
        <f>+SUMIF('GRD SUMM RCL 150X150 '!$E$6:$E$49,$D126,'GRD SUMM RCL 150X150 '!AU$6:AU$49)</f>
        <v>3034</v>
      </c>
      <c r="H126" s="5858">
        <f>+SUMIF('GRD SUMM RCL 150X150 '!$E$6:$E$49,$D126,'GRD SUMM RCL 150X150 '!AV$6:AV$49)</f>
        <v>0</v>
      </c>
      <c r="I126" s="5858">
        <f>+SUMIF('GRD SUMM RCL 150X150 '!$E$6:$E$49,$D126,'GRD SUMM RCL 150X150 '!AW$6:AW$49)</f>
        <v>3348</v>
      </c>
      <c r="J126" s="5858">
        <f>+SUMIF('GRD SUMM RCL 150X150 '!$E$6:$E$49,$D126,'GRD SUMM RCL 150X150 '!AX$6:AX$49)</f>
        <v>0</v>
      </c>
      <c r="K126" s="5847">
        <f t="shared" si="286"/>
        <v>6382</v>
      </c>
      <c r="L126" s="5858">
        <f>+SUMIF('GRD SUMM RCL 150X150 '!$E$6:$E$49,$D126,'GRD SUMM RCL 150X150 '!AZ$6:AZ$49)</f>
        <v>0</v>
      </c>
      <c r="M126" s="5858">
        <f>+SUMIF('GRD SUMM RCL 150X150 '!$E$6:$E$49,$D126,'GRD SUMM RCL 150X150 '!BA$6:BA$49)</f>
        <v>0</v>
      </c>
      <c r="N126" s="5858"/>
      <c r="O126" s="5848">
        <f t="shared" si="287"/>
        <v>6382</v>
      </c>
      <c r="P126" s="5858"/>
      <c r="Q126" s="5858">
        <f>+SUMIF('GRD SUMM RCL 150X150 '!$E$6:$E$49,$D126,'GRD SUMM RCL 150X150 '!BE$6:BE$49)</f>
        <v>0</v>
      </c>
      <c r="R126" s="5858">
        <f>+SUMIF('GRD SUMM RCL 150X150 '!$E$6:$E$49,$D126,'GRD SUMM RCL 150X150 '!BF$6:BF$49)</f>
        <v>0</v>
      </c>
      <c r="S126" s="5847">
        <f t="shared" si="289"/>
        <v>6382</v>
      </c>
      <c r="T126" s="5858">
        <f>+SUMIF('GRD SUMM RCL 150X150 '!$E$6:$E$49,$D126,'GRD SUMM RCL 150X150 '!BH$6:BH$49)</f>
        <v>0</v>
      </c>
      <c r="U126" s="5858">
        <f>+SUMIF('GRD SUMM RCL 150X150 '!$E$6:$E$49,$D126,'GRD SUMM RCL 150X150 '!BI$6:BI$49)</f>
        <v>0</v>
      </c>
      <c r="V126" s="5858">
        <f>+SUMIF('GRD SUMM RCL 150X150 '!$E$6:$E$49,$D126,'GRD SUMM RCL 150X150 '!BJ$6:BJ$49)</f>
        <v>0</v>
      </c>
      <c r="W126" s="5847">
        <f t="shared" si="290"/>
        <v>6382</v>
      </c>
      <c r="X126" s="5858">
        <f>+SUMIF('GRD SUMM RCL 150X150 '!$E$6:$E$49,$D126,'GRD SUMM RCL 150X150 '!BL$6:BL$49)</f>
        <v>0</v>
      </c>
      <c r="Y126" s="5858">
        <f>+SUMIF('GRD SUMM RCL 150X150 '!$E$6:$E$49,$D126,'GRD SUMM RCL 150X150 '!BM$6:BM$49)</f>
        <v>0</v>
      </c>
      <c r="Z126" s="5858"/>
      <c r="AA126" s="5848">
        <f t="shared" si="261"/>
        <v>0</v>
      </c>
      <c r="AB126" s="5858"/>
      <c r="AC126" s="5849">
        <f t="shared" si="292"/>
        <v>6382</v>
      </c>
      <c r="AD126" s="5858"/>
      <c r="AE126" s="5858">
        <f>+SUMIF('GRD SUMM RCL 150X150 '!$E$6:$E$49,$D126,'GRD SUMM RCL 150X150 '!BS$6:BS$49)</f>
        <v>0</v>
      </c>
      <c r="AF126" s="5858">
        <f>+SUMIF('GRD SUMM RCL 150X150 '!$E$6:$E$49,$D126,'GRD SUMM RCL 150X150 '!BT$6:BT$49)</f>
        <v>0</v>
      </c>
      <c r="AG126" s="5847">
        <f t="shared" si="293"/>
        <v>6382</v>
      </c>
      <c r="AH126" s="5858">
        <f>+SUMIF('GRD SUMM RCL 150X150 '!$E$6:$E$49,$D126,'GRD SUMM RCL 150X150 '!BV$6:BV$49)</f>
        <v>0</v>
      </c>
      <c r="AI126" s="5858">
        <f>+SUMIF('GRD SUMM RCL 150X150 '!$E$6:$E$49,$D126,'GRD SUMM RCL 150X150 '!BW$6:BW$49)</f>
        <v>0</v>
      </c>
      <c r="AJ126" s="5858"/>
      <c r="AK126" s="5850">
        <f t="shared" si="295"/>
        <v>6382</v>
      </c>
      <c r="AL126" s="5858">
        <f>+SUMIF('GRD SUMM RCL 150X150 '!$E$6:$E$49,$D126,'GRD SUMM RCL 150X150 '!BZ$6:BZ$49)</f>
        <v>0</v>
      </c>
      <c r="AM126" s="5858">
        <f>+SUMIF('GRD SUMM RCL 150X150 '!$E$6:$E$49,$D126,'GRD SUMM RCL 150X150 '!CA$6:CA$49)</f>
        <v>0</v>
      </c>
      <c r="AN126" s="5982"/>
      <c r="AO126" s="5848">
        <f t="shared" si="265"/>
        <v>0</v>
      </c>
      <c r="AP126" s="5858"/>
      <c r="AQ126" s="5850">
        <f t="shared" si="297"/>
        <v>6382</v>
      </c>
      <c r="AR126" s="5858">
        <f>+SUMIF('GRD SUMM RCL 150X150 '!$E$6:$E$49,$D126,'GRD SUMM RCL 150X150 '!CF$6:CF$49)</f>
        <v>0</v>
      </c>
      <c r="AS126" s="5858">
        <f>+SUMIF('GRD SUMM RCL 150X150 '!$E$6:$E$49,$D126,'GRD SUMM RCL 150X150 '!CG$6:CG$49)</f>
        <v>0</v>
      </c>
      <c r="AT126" s="5858"/>
      <c r="AU126" s="5850">
        <f t="shared" si="299"/>
        <v>6382</v>
      </c>
      <c r="AV126" s="5858">
        <f>+SUMIF('GRD SUMM RCL 150X150 '!$E$6:$E$49,$D126,'GRD SUMM RCL 150X150 '!CJ$6:CJ$49)</f>
        <v>0</v>
      </c>
      <c r="AW126" s="5858">
        <f>+SUMIF('GRD SUMM RCL 150X150 '!$E$6:$E$49,$D126,'GRD SUMM RCL 150X150 '!CK$6:CK$49)</f>
        <v>0</v>
      </c>
      <c r="AX126" s="5858"/>
      <c r="AY126" s="5850">
        <f t="shared" si="301"/>
        <v>6382</v>
      </c>
      <c r="AZ126" s="5858">
        <f>+SUMIF('GRD SUMM RCL 150X150 '!$E$6:$E$49,$D126,'GRD SUMM RCL 150X150 '!CN$6:CN$49)</f>
        <v>0</v>
      </c>
      <c r="BA126" s="5858">
        <f>+SUMIF('GRD SUMM RCL 150X150 '!$E$6:$E$49,$D126,'GRD SUMM RCL 150X150 '!CO$6:CO$49)</f>
        <v>0</v>
      </c>
      <c r="BB126" s="5982"/>
      <c r="BC126" s="5848">
        <f t="shared" si="303"/>
        <v>0</v>
      </c>
      <c r="BD126" s="5858"/>
      <c r="BE126" s="5842">
        <f t="shared" si="304"/>
        <v>0</v>
      </c>
      <c r="BF126" s="5858"/>
      <c r="BG126" s="5850">
        <f t="shared" si="305"/>
        <v>6382</v>
      </c>
      <c r="BH126" s="26"/>
      <c r="BI126" s="26"/>
    </row>
    <row r="127" spans="1:61" ht="15" customHeight="1" thickBot="1" x14ac:dyDescent="0.3">
      <c r="C127" s="7765"/>
      <c r="D127" s="5859" t="s">
        <v>1527</v>
      </c>
      <c r="E127" s="5859"/>
      <c r="F127" s="5845"/>
      <c r="G127" s="5858">
        <f>+SMS!F36</f>
        <v>144</v>
      </c>
      <c r="H127" s="5858">
        <f>+SUMIF('GRD SUMM RCL 150X150 '!$E$6:$E$49,$D127,'GRD SUMM RCL 150X150 '!AV$6:AV$49)</f>
        <v>0</v>
      </c>
      <c r="I127" s="5858">
        <f>+SMS!H36</f>
        <v>154</v>
      </c>
      <c r="J127" s="5858">
        <f>+SUMIF('GRD SUMM RCL 150X150 '!$E$6:$E$49,$D127,'GRD SUMM RCL 150X150 '!AX$6:AX$49)</f>
        <v>0</v>
      </c>
      <c r="K127" s="5847">
        <f t="shared" si="286"/>
        <v>298</v>
      </c>
      <c r="L127" s="5858">
        <f>+SUMIF('GRD SUMM RCL 150X150 '!$E$6:$E$49,$D127,'GRD SUMM RCL 150X150 '!AZ$6:AZ$49)</f>
        <v>0</v>
      </c>
      <c r="M127" s="5858">
        <f>+SMS!L36</f>
        <v>389</v>
      </c>
      <c r="N127" s="5846"/>
      <c r="O127" s="5848">
        <f t="shared" si="287"/>
        <v>687</v>
      </c>
      <c r="P127" s="5846"/>
      <c r="Q127" s="5858">
        <f>+SMS!P36</f>
        <v>113</v>
      </c>
      <c r="R127" s="5858">
        <f>+SUMIF('GRD SUMM RCL 150X150 '!$E$6:$E$49,$D127,'GRD SUMM RCL 150X150 '!BF$6:BF$49)</f>
        <v>0</v>
      </c>
      <c r="S127" s="5847">
        <f t="shared" si="289"/>
        <v>800</v>
      </c>
      <c r="T127" s="5858">
        <f>+SUMIF('GRD SUMM RCL 150X150 '!$E$6:$E$49,$D127,'GRD SUMM RCL 150X150 '!BH$6:BH$49)</f>
        <v>0</v>
      </c>
      <c r="U127" s="5858">
        <f>+SMS!T36</f>
        <v>118</v>
      </c>
      <c r="V127" s="5858">
        <f>+SUMIF('GRD SUMM RCL 150X150 '!$E$6:$E$49,$D127,'GRD SUMM RCL 150X150 '!BJ$6:BJ$49)</f>
        <v>0</v>
      </c>
      <c r="W127" s="5847">
        <f t="shared" si="290"/>
        <v>918</v>
      </c>
      <c r="X127" s="5858">
        <f>+SUMIF('GRD SUMM RCL 150X150 '!$E$6:$E$49,$D127,'GRD SUMM RCL 150X150 '!BL$6:BL$49)</f>
        <v>0</v>
      </c>
      <c r="Y127" s="5858">
        <f>+SMS!X36</f>
        <v>113</v>
      </c>
      <c r="Z127" s="5846"/>
      <c r="AA127" s="5848">
        <f t="shared" si="261"/>
        <v>344</v>
      </c>
      <c r="AB127" s="5846"/>
      <c r="AC127" s="5849">
        <f t="shared" si="292"/>
        <v>1031</v>
      </c>
      <c r="AD127" s="5846"/>
      <c r="AE127" s="5858">
        <f>+SMS!AD36</f>
        <v>246</v>
      </c>
      <c r="AF127" s="5858">
        <f>+SUMIF('GRD SUMM RCL 150X150 '!$E$6:$E$49,$D127,'GRD SUMM RCL 150X150 '!BT$6:BT$49)</f>
        <v>0</v>
      </c>
      <c r="AG127" s="5847">
        <f t="shared" si="293"/>
        <v>1277</v>
      </c>
      <c r="AH127" s="5858">
        <f>+SUMIF('GRD SUMM RCL 150X150 '!$E$6:$E$49,$D127,'GRD SUMM RCL 150X150 '!BV$6:BV$49)</f>
        <v>0</v>
      </c>
      <c r="AI127" s="5858">
        <f>+SMS!AH36</f>
        <v>18</v>
      </c>
      <c r="AJ127" s="5846"/>
      <c r="AK127" s="5850">
        <f t="shared" si="295"/>
        <v>1295</v>
      </c>
      <c r="AL127" s="5858">
        <f>+SUMIF('GRD SUMM RCL 150X150 '!$E$6:$E$49,$D127,'GRD SUMM RCL 150X150 '!BZ$6:BZ$49)</f>
        <v>0</v>
      </c>
      <c r="AM127" s="5858">
        <f>+SMS!AL36</f>
        <v>455</v>
      </c>
      <c r="AN127" s="5982"/>
      <c r="AO127" s="5848">
        <f t="shared" si="265"/>
        <v>719</v>
      </c>
      <c r="AP127" s="5846"/>
      <c r="AQ127" s="5850">
        <f t="shared" si="297"/>
        <v>1750</v>
      </c>
      <c r="AR127" s="5858">
        <f>+SUMIF('GRD SUMM RCL 150X150 '!$E$6:$E$49,$D127,'GRD SUMM RCL 150X150 '!CF$6:CF$49)</f>
        <v>0</v>
      </c>
      <c r="AS127" s="5858">
        <f>+SMS!AR36</f>
        <v>494</v>
      </c>
      <c r="AT127" s="5846"/>
      <c r="AU127" s="5850">
        <f t="shared" si="299"/>
        <v>2244</v>
      </c>
      <c r="AV127" s="5858">
        <f>+SUMIF('GRD SUMM RCL 150X150 '!$E$6:$E$49,$D127,'GRD SUMM RCL 150X150 '!CJ$6:CJ$49)</f>
        <v>0</v>
      </c>
      <c r="AW127" s="5858">
        <f>+SMS!AV36</f>
        <v>154</v>
      </c>
      <c r="AX127" s="5846"/>
      <c r="AY127" s="5850">
        <f t="shared" si="301"/>
        <v>2398</v>
      </c>
      <c r="AZ127" s="5858">
        <f>+SUMIF('GRD SUMM RCL 150X150 '!$E$6:$E$49,$D127,'GRD SUMM RCL 150X150 '!CN$6:CN$49)</f>
        <v>0</v>
      </c>
      <c r="BA127" s="5858">
        <f>+SMS!AZ36</f>
        <v>0</v>
      </c>
      <c r="BB127" s="5982"/>
      <c r="BC127" s="5848">
        <f t="shared" si="303"/>
        <v>648</v>
      </c>
      <c r="BD127" s="5846"/>
      <c r="BE127" s="5842">
        <f t="shared" si="304"/>
        <v>1367</v>
      </c>
      <c r="BF127" s="5846"/>
      <c r="BG127" s="5850">
        <f t="shared" si="305"/>
        <v>2398</v>
      </c>
      <c r="BH127" s="26"/>
      <c r="BI127" s="26"/>
    </row>
    <row r="128" spans="1:61" ht="15.75" customHeight="1" thickBot="1" x14ac:dyDescent="0.3">
      <c r="C128" s="7766"/>
      <c r="D128" s="5824" t="s">
        <v>21</v>
      </c>
      <c r="E128" s="5824"/>
      <c r="F128" s="5819"/>
      <c r="G128" s="5825">
        <f>SUM(G125:G127)</f>
        <v>4848</v>
      </c>
      <c r="H128" s="5825"/>
      <c r="I128" s="5825">
        <f>SUM(I125:I127)</f>
        <v>6916</v>
      </c>
      <c r="J128" s="5825"/>
      <c r="K128" s="5860">
        <f t="shared" si="286"/>
        <v>11764</v>
      </c>
      <c r="L128" s="5825"/>
      <c r="M128" s="5825">
        <f>SUM(M125:M127)</f>
        <v>389</v>
      </c>
      <c r="N128" s="5825"/>
      <c r="O128" s="5861">
        <f t="shared" si="287"/>
        <v>12153</v>
      </c>
      <c r="P128" s="5825"/>
      <c r="Q128" s="5825">
        <f>SUM(Q125:Q127)</f>
        <v>113</v>
      </c>
      <c r="R128" s="5825"/>
      <c r="S128" s="5860">
        <f t="shared" si="289"/>
        <v>12266</v>
      </c>
      <c r="T128" s="5825"/>
      <c r="U128" s="5825">
        <f>SUM(U125:U127)</f>
        <v>118</v>
      </c>
      <c r="V128" s="5825"/>
      <c r="W128" s="5860">
        <f t="shared" si="290"/>
        <v>12384</v>
      </c>
      <c r="X128" s="5825"/>
      <c r="Y128" s="5825">
        <f>SUM(Y125:Y127)</f>
        <v>113</v>
      </c>
      <c r="Z128" s="5825"/>
      <c r="AA128" s="5861">
        <f t="shared" si="261"/>
        <v>344</v>
      </c>
      <c r="AB128" s="5825"/>
      <c r="AC128" s="5862">
        <f t="shared" si="292"/>
        <v>12497</v>
      </c>
      <c r="AD128" s="5825"/>
      <c r="AE128" s="5825">
        <f>SUM(AE125:AE127)</f>
        <v>246</v>
      </c>
      <c r="AF128" s="5825"/>
      <c r="AG128" s="5860">
        <f t="shared" si="293"/>
        <v>12743</v>
      </c>
      <c r="AH128" s="5825"/>
      <c r="AI128" s="5825">
        <f>SUM(AI125:AI127)</f>
        <v>18</v>
      </c>
      <c r="AJ128" s="5825"/>
      <c r="AK128" s="5863">
        <f t="shared" si="295"/>
        <v>12761</v>
      </c>
      <c r="AL128" s="5825"/>
      <c r="AM128" s="5825">
        <f>SUM(AM125:AM127)</f>
        <v>455</v>
      </c>
      <c r="AN128" s="5825"/>
      <c r="AO128" s="5861">
        <f t="shared" si="265"/>
        <v>719</v>
      </c>
      <c r="AP128" s="5825"/>
      <c r="AQ128" s="5863">
        <f t="shared" si="297"/>
        <v>13216</v>
      </c>
      <c r="AR128" s="5825"/>
      <c r="AS128" s="5825">
        <f>SUM(AS125:AS127)</f>
        <v>494</v>
      </c>
      <c r="AT128" s="5825"/>
      <c r="AU128" s="5863">
        <f t="shared" si="299"/>
        <v>13710</v>
      </c>
      <c r="AV128" s="5825"/>
      <c r="AW128" s="5825">
        <f>SUM(AW125:AW127)</f>
        <v>154</v>
      </c>
      <c r="AX128" s="5825"/>
      <c r="AY128" s="5863">
        <f t="shared" si="301"/>
        <v>13864</v>
      </c>
      <c r="AZ128" s="5825"/>
      <c r="BA128" s="5825">
        <f>SUM(BA125:BA127)</f>
        <v>0</v>
      </c>
      <c r="BB128" s="5825"/>
      <c r="BC128" s="5861">
        <f t="shared" si="303"/>
        <v>648</v>
      </c>
      <c r="BD128" s="5825"/>
      <c r="BE128" s="5842">
        <f t="shared" si="304"/>
        <v>1367</v>
      </c>
      <c r="BF128" s="5825"/>
      <c r="BG128" s="5863">
        <f t="shared" si="305"/>
        <v>13864</v>
      </c>
      <c r="BH128" s="26"/>
      <c r="BI128" s="26"/>
    </row>
    <row r="129" spans="1:61" s="5172" customFormat="1" ht="15.75" customHeight="1" thickBot="1" x14ac:dyDescent="0.3">
      <c r="C129" s="5868"/>
      <c r="D129" s="5869" t="s">
        <v>1519</v>
      </c>
      <c r="E129" s="5870"/>
      <c r="F129" s="5870"/>
      <c r="G129" s="5871">
        <f t="shared" ref="G129:AM129" si="306">+G124-G128</f>
        <v>0</v>
      </c>
      <c r="H129" s="5871">
        <f t="shared" si="306"/>
        <v>0</v>
      </c>
      <c r="I129" s="5871">
        <f t="shared" si="306"/>
        <v>-0.40000000000145519</v>
      </c>
      <c r="J129" s="5871">
        <f t="shared" si="306"/>
        <v>0</v>
      </c>
      <c r="K129" s="5871">
        <f t="shared" si="306"/>
        <v>-0.40000000000145519</v>
      </c>
      <c r="L129" s="5871">
        <f t="shared" si="306"/>
        <v>0</v>
      </c>
      <c r="M129" s="5871">
        <f t="shared" si="306"/>
        <v>4459</v>
      </c>
      <c r="N129" s="5871">
        <f t="shared" si="306"/>
        <v>0</v>
      </c>
      <c r="O129" s="5871">
        <f t="shared" si="306"/>
        <v>4458.5999999999985</v>
      </c>
      <c r="P129" s="5871">
        <f t="shared" si="306"/>
        <v>0</v>
      </c>
      <c r="Q129" s="5871">
        <f t="shared" si="306"/>
        <v>4503</v>
      </c>
      <c r="R129" s="5871">
        <f t="shared" si="306"/>
        <v>0</v>
      </c>
      <c r="S129" s="5871">
        <f t="shared" si="306"/>
        <v>8961.5999999999985</v>
      </c>
      <c r="T129" s="5871">
        <f t="shared" si="306"/>
        <v>0</v>
      </c>
      <c r="U129" s="5871">
        <f t="shared" si="306"/>
        <v>3871</v>
      </c>
      <c r="V129" s="5871">
        <f t="shared" si="306"/>
        <v>0</v>
      </c>
      <c r="W129" s="5871">
        <f t="shared" si="306"/>
        <v>12832.599999999999</v>
      </c>
      <c r="X129" s="5871">
        <f t="shared" si="306"/>
        <v>0</v>
      </c>
      <c r="Y129" s="5871">
        <f t="shared" si="306"/>
        <v>5121.7320000000036</v>
      </c>
      <c r="Z129" s="5871">
        <f t="shared" si="306"/>
        <v>0</v>
      </c>
      <c r="AA129" s="5871">
        <f t="shared" si="306"/>
        <v>13495.732000000004</v>
      </c>
      <c r="AB129" s="5871">
        <f t="shared" si="306"/>
        <v>0</v>
      </c>
      <c r="AC129" s="5871">
        <f t="shared" si="306"/>
        <v>17954.332000000002</v>
      </c>
      <c r="AD129" s="5871">
        <f t="shared" si="306"/>
        <v>0</v>
      </c>
      <c r="AE129" s="5871">
        <f t="shared" si="306"/>
        <v>4001.8019999999997</v>
      </c>
      <c r="AF129" s="5871">
        <f t="shared" si="306"/>
        <v>0</v>
      </c>
      <c r="AG129" s="5871">
        <f t="shared" si="306"/>
        <v>21956.134000000005</v>
      </c>
      <c r="AH129" s="5871">
        <f t="shared" si="306"/>
        <v>0</v>
      </c>
      <c r="AI129" s="5871">
        <f t="shared" si="306"/>
        <v>148</v>
      </c>
      <c r="AJ129" s="5871">
        <f t="shared" si="306"/>
        <v>0</v>
      </c>
      <c r="AK129" s="5871">
        <f t="shared" si="306"/>
        <v>22104.134000000005</v>
      </c>
      <c r="AL129" s="5871">
        <f t="shared" si="306"/>
        <v>0</v>
      </c>
      <c r="AM129" s="5871">
        <f t="shared" si="306"/>
        <v>5117.5339999999997</v>
      </c>
      <c r="AN129" s="5983"/>
      <c r="AO129" s="5871">
        <f t="shared" ref="AO129:BA129" si="307">+AO124-AO128</f>
        <v>9267.3359999999993</v>
      </c>
      <c r="AP129" s="5871">
        <f t="shared" si="307"/>
        <v>0</v>
      </c>
      <c r="AQ129" s="5871">
        <f t="shared" si="307"/>
        <v>27221.668000000005</v>
      </c>
      <c r="AR129" s="5871">
        <f t="shared" si="307"/>
        <v>0</v>
      </c>
      <c r="AS129" s="5871">
        <f t="shared" si="307"/>
        <v>4600.0640000000058</v>
      </c>
      <c r="AT129" s="5871">
        <f t="shared" si="307"/>
        <v>0</v>
      </c>
      <c r="AU129" s="5871">
        <f t="shared" si="307"/>
        <v>31821.732000000011</v>
      </c>
      <c r="AV129" s="5871">
        <f t="shared" si="307"/>
        <v>0</v>
      </c>
      <c r="AW129" s="5871">
        <f t="shared" si="307"/>
        <v>4813.5780000000013</v>
      </c>
      <c r="AX129" s="5871">
        <f t="shared" si="307"/>
        <v>0</v>
      </c>
      <c r="AY129" s="5871">
        <f t="shared" si="307"/>
        <v>36635.310000000012</v>
      </c>
      <c r="AZ129" s="5871">
        <f t="shared" si="307"/>
        <v>0</v>
      </c>
      <c r="BA129" s="5871">
        <f t="shared" si="307"/>
        <v>4716</v>
      </c>
      <c r="BB129" s="5983"/>
      <c r="BC129" s="5871">
        <f>+BC124-BC128</f>
        <v>14129.642000000007</v>
      </c>
      <c r="BD129" s="5871">
        <f>+BD124-BD128</f>
        <v>0</v>
      </c>
      <c r="BE129" s="5871">
        <f>+BE124-BE128</f>
        <v>23396.978000000006</v>
      </c>
      <c r="BF129" s="5871">
        <f>+BF124-BF128</f>
        <v>0</v>
      </c>
      <c r="BG129" s="5871">
        <f>+BG124-BG128</f>
        <v>41351.310000000012</v>
      </c>
      <c r="BH129" s="26"/>
      <c r="BI129" s="26"/>
    </row>
    <row r="130" spans="1:61" ht="30" customHeight="1" thickBot="1" x14ac:dyDescent="0.3">
      <c r="C130" s="5821"/>
      <c r="D130" s="5829"/>
      <c r="E130" s="5829"/>
      <c r="F130" s="5818"/>
      <c r="G130" s="5830"/>
      <c r="H130" s="5830"/>
      <c r="I130" s="5830"/>
      <c r="J130" s="5830"/>
      <c r="K130" s="5831"/>
      <c r="L130" s="5830"/>
      <c r="M130" s="5830"/>
      <c r="N130" s="5830"/>
      <c r="O130" s="5832"/>
      <c r="P130" s="5830"/>
      <c r="Q130" s="5830"/>
      <c r="R130" s="5830"/>
      <c r="S130" s="5831"/>
      <c r="T130" s="5830"/>
      <c r="U130" s="5830"/>
      <c r="V130" s="5830"/>
      <c r="W130" s="5831"/>
      <c r="X130" s="5830"/>
      <c r="Y130" s="5830"/>
      <c r="Z130" s="5830"/>
      <c r="AA130" s="5832"/>
      <c r="AB130" s="5830"/>
      <c r="AC130" s="5833"/>
      <c r="AD130" s="5830"/>
      <c r="AE130" s="5830"/>
      <c r="AF130" s="5830"/>
      <c r="AG130" s="5831"/>
      <c r="AH130" s="5830"/>
      <c r="AI130" s="5830"/>
      <c r="AJ130" s="5830"/>
      <c r="AK130" s="5831"/>
      <c r="AL130" s="5830"/>
      <c r="AM130" s="5830"/>
      <c r="AN130" s="5830"/>
      <c r="AO130" s="5832"/>
      <c r="AP130" s="5830"/>
      <c r="AQ130" s="5831"/>
      <c r="AR130" s="5830"/>
      <c r="AS130" s="5830"/>
      <c r="AT130" s="5830"/>
      <c r="AU130" s="5831"/>
      <c r="AV130" s="5830"/>
      <c r="AW130" s="5830"/>
      <c r="AX130" s="5830"/>
      <c r="AY130" s="5831"/>
      <c r="AZ130" s="5830"/>
      <c r="BA130" s="5830"/>
      <c r="BB130" s="5830"/>
      <c r="BC130" s="5832"/>
      <c r="BD130" s="5830"/>
      <c r="BE130" s="5833"/>
      <c r="BF130" s="5830"/>
      <c r="BG130" s="5831"/>
      <c r="BH130" s="26"/>
      <c r="BI130" s="26"/>
    </row>
    <row r="131" spans="1:61" ht="18.75" customHeight="1" thickBot="1" x14ac:dyDescent="0.3">
      <c r="C131" s="7764" t="s">
        <v>1530</v>
      </c>
      <c r="D131" s="5834" t="s">
        <v>1525</v>
      </c>
      <c r="E131" s="5834"/>
      <c r="F131" s="5817"/>
      <c r="G131" s="5835">
        <f>+'Maj Production Summ'!F35</f>
        <v>0</v>
      </c>
      <c r="H131" s="5835"/>
      <c r="I131" s="5835">
        <f>+'Maj Production Summ'!H35</f>
        <v>3000</v>
      </c>
      <c r="J131" s="5835"/>
      <c r="K131" s="5840">
        <f t="shared" ref="K131:K132" si="308">+G131+I131</f>
        <v>3000</v>
      </c>
      <c r="L131" s="5835"/>
      <c r="M131" s="5835">
        <f>+'Maj Production Summ'!L35</f>
        <v>5866</v>
      </c>
      <c r="N131" s="5835"/>
      <c r="O131" s="5841">
        <f t="shared" ref="O131:O132" si="309">+G131+I131+M131</f>
        <v>8866</v>
      </c>
      <c r="P131" s="5835"/>
      <c r="Q131" s="5835">
        <f>+'Maj Production Summ'!P35</f>
        <v>5431.48</v>
      </c>
      <c r="R131" s="5835"/>
      <c r="S131" s="5840">
        <f t="shared" ref="S131:S132" si="310">O131+Q131</f>
        <v>14297.48</v>
      </c>
      <c r="T131" s="5835"/>
      <c r="U131" s="5835">
        <f>+'Maj Production Summ'!T35</f>
        <v>8492</v>
      </c>
      <c r="V131" s="5835"/>
      <c r="W131" s="5840">
        <f t="shared" ref="W131:W132" si="311">S131+U131</f>
        <v>22789.48</v>
      </c>
      <c r="X131" s="5835"/>
      <c r="Y131" s="5835">
        <f>+'Maj Production Summ'!X35</f>
        <v>6231</v>
      </c>
      <c r="Z131" s="5835"/>
      <c r="AA131" s="5841">
        <f t="shared" si="261"/>
        <v>20154.48</v>
      </c>
      <c r="AB131" s="5835"/>
      <c r="AC131" s="5842">
        <f t="shared" ref="AC131:AC132" si="312">O131+AA131</f>
        <v>29020.48</v>
      </c>
      <c r="AD131" s="5835"/>
      <c r="AE131" s="5835">
        <f>+'Maj Production Summ'!AD35</f>
        <v>7379.5262000000002</v>
      </c>
      <c r="AF131" s="5835"/>
      <c r="AG131" s="5840">
        <f t="shared" ref="AG131:AG132" si="313">+AC131+AE131</f>
        <v>36400.006200000003</v>
      </c>
      <c r="AH131" s="5835"/>
      <c r="AI131" s="5835">
        <f>+'Maj Production Summ'!AH35</f>
        <v>637</v>
      </c>
      <c r="AJ131" s="5835"/>
      <c r="AK131" s="5843">
        <f t="shared" ref="AK131:AK132" si="314">+AG131+AI131</f>
        <v>37037.006200000003</v>
      </c>
      <c r="AL131" s="5835"/>
      <c r="AM131" s="5835">
        <f>+'Maj Production Summ'!AL35</f>
        <v>12910</v>
      </c>
      <c r="AN131" s="5835"/>
      <c r="AO131" s="5841">
        <f t="shared" si="265"/>
        <v>20926.5262</v>
      </c>
      <c r="AP131" s="5835"/>
      <c r="AQ131" s="5843">
        <f>+AK131+AM131</f>
        <v>49947.006200000003</v>
      </c>
      <c r="AR131" s="5835"/>
      <c r="AS131" s="5835">
        <f>+'Maj Production Summ'!AR35</f>
        <v>10907.843000000001</v>
      </c>
      <c r="AT131" s="5835"/>
      <c r="AU131" s="5843">
        <f t="shared" ref="AU131:AU132" si="315">+AQ131+AS131</f>
        <v>60854.849200000004</v>
      </c>
      <c r="AV131" s="5835"/>
      <c r="AW131" s="5835">
        <f>+'Maj Production Summ'!AV35</f>
        <v>0</v>
      </c>
      <c r="AX131" s="5835"/>
      <c r="AY131" s="5843">
        <f t="shared" ref="AY131:AY132" si="316">+AU131+AW131</f>
        <v>60854.849200000004</v>
      </c>
      <c r="AZ131" s="5835"/>
      <c r="BA131" s="5835">
        <f>+'Maj Production Summ'!AZ35</f>
        <v>0</v>
      </c>
      <c r="BB131" s="5835"/>
      <c r="BC131" s="5841">
        <f t="shared" ref="BC131:BC132" si="317">AS131+AW131+BA131</f>
        <v>10907.843000000001</v>
      </c>
      <c r="BD131" s="5835"/>
      <c r="BE131" s="5842">
        <f t="shared" ref="BE131:BE132" si="318">AO131+BC131</f>
        <v>31834.369200000001</v>
      </c>
      <c r="BF131" s="5835"/>
      <c r="BG131" s="5843">
        <f t="shared" ref="BG131:BG132" si="319">+AY131+BA131</f>
        <v>60854.849200000004</v>
      </c>
      <c r="BH131" s="26"/>
      <c r="BI131" s="26"/>
    </row>
    <row r="132" spans="1:61" ht="18.75" customHeight="1" x14ac:dyDescent="0.25">
      <c r="C132" s="7765"/>
      <c r="D132" s="5844" t="s">
        <v>1564</v>
      </c>
      <c r="E132" s="5844"/>
      <c r="F132" s="5845"/>
      <c r="G132" s="5846">
        <f>+G89</f>
        <v>0</v>
      </c>
      <c r="H132" s="5846"/>
      <c r="I132" s="5846">
        <f>+I89</f>
        <v>2283</v>
      </c>
      <c r="J132" s="5846"/>
      <c r="K132" s="5847">
        <f t="shared" si="308"/>
        <v>2283</v>
      </c>
      <c r="L132" s="5846"/>
      <c r="M132" s="5846">
        <f>+M89</f>
        <v>4343.62</v>
      </c>
      <c r="N132" s="5846"/>
      <c r="O132" s="5848">
        <f t="shared" si="309"/>
        <v>6626.62</v>
      </c>
      <c r="P132" s="5846"/>
      <c r="Q132" s="5846">
        <f>+Q89</f>
        <v>5296</v>
      </c>
      <c r="R132" s="5846"/>
      <c r="S132" s="5847">
        <f t="shared" si="310"/>
        <v>11922.619999999999</v>
      </c>
      <c r="T132" s="5846"/>
      <c r="U132" s="5846">
        <f>+U89</f>
        <v>7531.24</v>
      </c>
      <c r="V132" s="5846"/>
      <c r="W132" s="5847">
        <f t="shared" si="311"/>
        <v>19453.86</v>
      </c>
      <c r="X132" s="5846"/>
      <c r="Y132" s="5846">
        <f>+Y89</f>
        <v>5266.4629999999997</v>
      </c>
      <c r="Z132" s="5846"/>
      <c r="AA132" s="5848">
        <f t="shared" si="261"/>
        <v>18093.703000000001</v>
      </c>
      <c r="AB132" s="5846"/>
      <c r="AC132" s="5849">
        <f t="shared" si="312"/>
        <v>24720.323</v>
      </c>
      <c r="AD132" s="5846"/>
      <c r="AE132" s="5846">
        <f>+AE89</f>
        <v>6618.6041999999998</v>
      </c>
      <c r="AF132" s="5846"/>
      <c r="AG132" s="5847">
        <f t="shared" si="313"/>
        <v>31338.927199999998</v>
      </c>
      <c r="AH132" s="5846"/>
      <c r="AI132" s="5846">
        <f>+AI89</f>
        <v>0</v>
      </c>
      <c r="AJ132" s="5846"/>
      <c r="AK132" s="5850">
        <f t="shared" si="314"/>
        <v>31338.927199999998</v>
      </c>
      <c r="AL132" s="5846"/>
      <c r="AM132" s="5846">
        <f>+AM89</f>
        <v>11971.576000000001</v>
      </c>
      <c r="AN132" s="5980"/>
      <c r="AO132" s="5848">
        <f t="shared" si="265"/>
        <v>18590.180200000003</v>
      </c>
      <c r="AP132" s="5846"/>
      <c r="AQ132" s="5850">
        <f>+AK132+AM132</f>
        <v>43310.503199999999</v>
      </c>
      <c r="AR132" s="5846"/>
      <c r="AS132" s="5846">
        <f>+AS89</f>
        <v>10494.065000000001</v>
      </c>
      <c r="AT132" s="5846"/>
      <c r="AU132" s="5850">
        <f t="shared" si="315"/>
        <v>53804.568200000002</v>
      </c>
      <c r="AV132" s="5846"/>
      <c r="AW132" s="5846">
        <f>+AW89</f>
        <v>0</v>
      </c>
      <c r="AX132" s="5846"/>
      <c r="AY132" s="5850">
        <f t="shared" si="316"/>
        <v>53804.568200000002</v>
      </c>
      <c r="AZ132" s="5846"/>
      <c r="BA132" s="5846">
        <f>+BA89</f>
        <v>0</v>
      </c>
      <c r="BB132" s="5980"/>
      <c r="BC132" s="5848">
        <f t="shared" si="317"/>
        <v>10494.065000000001</v>
      </c>
      <c r="BD132" s="5846"/>
      <c r="BE132" s="5842">
        <f t="shared" si="318"/>
        <v>29084.245200000005</v>
      </c>
      <c r="BF132" s="5846"/>
      <c r="BG132" s="5850">
        <f t="shared" si="319"/>
        <v>53804.568200000002</v>
      </c>
      <c r="BH132" s="26"/>
      <c r="BI132" s="26"/>
    </row>
    <row r="133" spans="1:61" ht="18.75" customHeight="1" thickBot="1" x14ac:dyDescent="0.3">
      <c r="C133" s="7765"/>
      <c r="D133" s="5844" t="s">
        <v>1526</v>
      </c>
      <c r="E133" s="5844"/>
      <c r="F133" s="5845"/>
      <c r="G133" s="5851" t="e">
        <f>+G132/G131</f>
        <v>#DIV/0!</v>
      </c>
      <c r="H133" s="5851"/>
      <c r="I133" s="5851">
        <f>+I132/I131</f>
        <v>0.76100000000000001</v>
      </c>
      <c r="J133" s="5851"/>
      <c r="K133" s="5852">
        <f t="shared" ref="K133:AG133" si="320">+K132/K131</f>
        <v>0.76100000000000001</v>
      </c>
      <c r="L133" s="5851"/>
      <c r="M133" s="5851">
        <f>+M132/M131</f>
        <v>0.74047391749062397</v>
      </c>
      <c r="N133" s="5851"/>
      <c r="O133" s="5853">
        <f t="shared" si="320"/>
        <v>0.74741935483870969</v>
      </c>
      <c r="P133" s="5851"/>
      <c r="Q133" s="5851">
        <f t="shared" si="320"/>
        <v>0.97505652234750018</v>
      </c>
      <c r="R133" s="5851"/>
      <c r="S133" s="5852">
        <f t="shared" si="320"/>
        <v>0.83389660275796851</v>
      </c>
      <c r="T133" s="5851"/>
      <c r="U133" s="5851">
        <f t="shared" si="320"/>
        <v>0.88686292981629766</v>
      </c>
      <c r="V133" s="5851"/>
      <c r="W133" s="5852">
        <f t="shared" si="320"/>
        <v>0.85363334310392347</v>
      </c>
      <c r="X133" s="5851"/>
      <c r="Y133" s="5851">
        <f t="shared" ref="Y133" si="321">+Y132/Y131</f>
        <v>0.84520349863585298</v>
      </c>
      <c r="Z133" s="5851"/>
      <c r="AA133" s="5853">
        <f t="shared" si="320"/>
        <v>0.89775092187940353</v>
      </c>
      <c r="AB133" s="5851"/>
      <c r="AC133" s="5854">
        <f t="shared" si="320"/>
        <v>0.85182336749771204</v>
      </c>
      <c r="AD133" s="5851"/>
      <c r="AE133" s="5851">
        <f t="shared" si="320"/>
        <v>0.896887418056731</v>
      </c>
      <c r="AF133" s="5851"/>
      <c r="AG133" s="5852">
        <f t="shared" si="320"/>
        <v>0.86095939181460901</v>
      </c>
      <c r="AH133" s="5851"/>
      <c r="AI133" s="5851">
        <f t="shared" ref="AI133" si="322">+AI132/AI131</f>
        <v>0</v>
      </c>
      <c r="AJ133" s="5851"/>
      <c r="AK133" s="5855">
        <f t="shared" ref="AK133" si="323">+AK132/AK131</f>
        <v>0.84615173890593764</v>
      </c>
      <c r="AL133" s="5851"/>
      <c r="AM133" s="5851">
        <f t="shared" ref="AM133" si="324">+AM132/AM131</f>
        <v>0.92731030209140208</v>
      </c>
      <c r="AN133" s="5981"/>
      <c r="AO133" s="5853">
        <f t="shared" ref="AO133" si="325">+AO132/AO131</f>
        <v>0.88835480969603076</v>
      </c>
      <c r="AP133" s="5851"/>
      <c r="AQ133" s="5855">
        <f t="shared" ref="AQ133" si="326">+AQ132/AQ131</f>
        <v>0.86712911333612619</v>
      </c>
      <c r="AR133" s="5851"/>
      <c r="AS133" s="5851">
        <f t="shared" ref="AS133" si="327">+AS132/AS131</f>
        <v>0.96206601066773689</v>
      </c>
      <c r="AT133" s="5851"/>
      <c r="AU133" s="5855">
        <f t="shared" ref="AU133" si="328">+AU132/AU131</f>
        <v>0.88414594575973404</v>
      </c>
      <c r="AV133" s="5851"/>
      <c r="AW133" s="5851" t="e">
        <f t="shared" ref="AW133" si="329">+AW132/AW131</f>
        <v>#DIV/0!</v>
      </c>
      <c r="AX133" s="5851"/>
      <c r="AY133" s="5855">
        <f t="shared" ref="AY133" si="330">+AY132/AY131</f>
        <v>0.88414594575973404</v>
      </c>
      <c r="AZ133" s="5851"/>
      <c r="BA133" s="5851" t="e">
        <f t="shared" ref="BA133" si="331">+BA132/BA131</f>
        <v>#DIV/0!</v>
      </c>
      <c r="BB133" s="5981"/>
      <c r="BC133" s="5853">
        <f t="shared" ref="BC133" si="332">+BC132/BC131</f>
        <v>0.96206601066773689</v>
      </c>
      <c r="BD133" s="5851"/>
      <c r="BE133" s="5854">
        <f t="shared" ref="BE133" si="333">+BE132/BE131</f>
        <v>0.91361148126660552</v>
      </c>
      <c r="BF133" s="5851"/>
      <c r="BG133" s="5855">
        <f t="shared" ref="BG133" si="334">+BG132/BG131</f>
        <v>0.88414594575973404</v>
      </c>
      <c r="BH133" s="26"/>
      <c r="BI133" s="26"/>
    </row>
    <row r="134" spans="1:61" ht="18.75" customHeight="1" thickBot="1" x14ac:dyDescent="0.3">
      <c r="C134" s="7765"/>
      <c r="D134" s="5844" t="s">
        <v>1524</v>
      </c>
      <c r="E134" s="5844"/>
      <c r="F134" s="5845"/>
      <c r="G134" s="5846">
        <f>+G131-G132</f>
        <v>0</v>
      </c>
      <c r="H134" s="5846"/>
      <c r="I134" s="5846">
        <f>+I131-I132</f>
        <v>717</v>
      </c>
      <c r="J134" s="5846"/>
      <c r="K134" s="5847">
        <f t="shared" ref="K134:K140" si="335">+G134+I134</f>
        <v>717</v>
      </c>
      <c r="L134" s="5846"/>
      <c r="M134" s="5846">
        <f>+M131-M132</f>
        <v>1522.38</v>
      </c>
      <c r="N134" s="5846"/>
      <c r="O134" s="5848">
        <f t="shared" ref="O134:O140" si="336">+G134+I134+M134</f>
        <v>2239.38</v>
      </c>
      <c r="P134" s="5846"/>
      <c r="Q134" s="5846">
        <f t="shared" ref="Q134:AE134" si="337">+Q131-Q132</f>
        <v>135.47999999999956</v>
      </c>
      <c r="R134" s="5846"/>
      <c r="S134" s="5847">
        <f t="shared" ref="S134:S140" si="338">O134+Q134</f>
        <v>2374.8599999999997</v>
      </c>
      <c r="T134" s="5846"/>
      <c r="U134" s="5846">
        <f t="shared" si="337"/>
        <v>960.76000000000022</v>
      </c>
      <c r="V134" s="5846"/>
      <c r="W134" s="5847">
        <f t="shared" ref="W134:W140" si="339">S134+U134</f>
        <v>3335.62</v>
      </c>
      <c r="X134" s="5846"/>
      <c r="Y134" s="5846">
        <f t="shared" ref="Y134" si="340">+Y131-Y132</f>
        <v>964.53700000000026</v>
      </c>
      <c r="Z134" s="5846"/>
      <c r="AA134" s="5848">
        <f t="shared" si="261"/>
        <v>2060.777</v>
      </c>
      <c r="AB134" s="5846"/>
      <c r="AC134" s="5849">
        <f t="shared" ref="AC134:AC140" si="341">O134+AA134</f>
        <v>4300.1570000000002</v>
      </c>
      <c r="AD134" s="5846"/>
      <c r="AE134" s="5846">
        <f t="shared" si="337"/>
        <v>760.92200000000048</v>
      </c>
      <c r="AF134" s="5846"/>
      <c r="AG134" s="5847">
        <f t="shared" ref="AG134:AG140" si="342">+AC134+AE134</f>
        <v>5061.0790000000006</v>
      </c>
      <c r="AH134" s="5846"/>
      <c r="AI134" s="5846">
        <f t="shared" ref="AI134" si="343">+AI131-AI132</f>
        <v>637</v>
      </c>
      <c r="AJ134" s="5846"/>
      <c r="AK134" s="5850">
        <f t="shared" ref="AK134:AK140" si="344">+AG134+AI134</f>
        <v>5698.0790000000006</v>
      </c>
      <c r="AL134" s="5846"/>
      <c r="AM134" s="5846">
        <f t="shared" ref="AM134" si="345">+AM131-AM132</f>
        <v>938.42399999999907</v>
      </c>
      <c r="AN134" s="5980"/>
      <c r="AO134" s="5848">
        <f t="shared" si="265"/>
        <v>2336.3459999999995</v>
      </c>
      <c r="AP134" s="5846"/>
      <c r="AQ134" s="5850">
        <f t="shared" ref="AQ134:AQ140" si="346">+AK134+AM134</f>
        <v>6636.5029999999997</v>
      </c>
      <c r="AR134" s="5846"/>
      <c r="AS134" s="5846">
        <f t="shared" ref="AS134" si="347">+AS131-AS132</f>
        <v>413.77800000000025</v>
      </c>
      <c r="AT134" s="5846"/>
      <c r="AU134" s="5850">
        <f t="shared" ref="AU134:AU140" si="348">+AQ134+AS134</f>
        <v>7050.2809999999999</v>
      </c>
      <c r="AV134" s="5846"/>
      <c r="AW134" s="5846">
        <f t="shared" ref="AW134" si="349">+AW131-AW132</f>
        <v>0</v>
      </c>
      <c r="AX134" s="5846"/>
      <c r="AY134" s="5850">
        <f t="shared" ref="AY134:AY140" si="350">+AU134+AW134</f>
        <v>7050.2809999999999</v>
      </c>
      <c r="AZ134" s="5846"/>
      <c r="BA134" s="5846">
        <f t="shared" ref="BA134" si="351">+BA131-BA132</f>
        <v>0</v>
      </c>
      <c r="BB134" s="5980"/>
      <c r="BC134" s="5848">
        <f t="shared" ref="BC134:BC140" si="352">AS134+AW134+BA134</f>
        <v>413.77800000000025</v>
      </c>
      <c r="BD134" s="5846"/>
      <c r="BE134" s="5842">
        <f t="shared" ref="BE134:BE139" si="353">AO134+BC134</f>
        <v>2750.1239999999998</v>
      </c>
      <c r="BF134" s="5846"/>
      <c r="BG134" s="5850">
        <f t="shared" ref="BG134:BG140" si="354">+AY134+BA134</f>
        <v>7050.2809999999999</v>
      </c>
      <c r="BH134" s="26"/>
      <c r="BI134" s="26"/>
    </row>
    <row r="135" spans="1:61" ht="15" customHeight="1" thickBot="1" x14ac:dyDescent="0.3">
      <c r="A135" s="1277"/>
      <c r="B135" s="1277"/>
      <c r="C135" s="7765"/>
      <c r="D135" s="5856" t="s">
        <v>1350</v>
      </c>
      <c r="E135" s="5856"/>
      <c r="F135" s="5857"/>
      <c r="G135" s="5858">
        <f>+SUMIF('GRD SUMM RCL CASTER 3'!$A$7:$A$13,$D135,'GRD SUMM RCL CASTER 3'!C$7:C$13)</f>
        <v>0</v>
      </c>
      <c r="H135" s="5858"/>
      <c r="I135" s="5858">
        <f>+SUMIF('GRD SUMM RCL CASTER 3'!$A$7:$A$13,$D135,'GRD SUMM RCL CASTER 3'!E$7:E$13)</f>
        <v>69</v>
      </c>
      <c r="J135" s="5858"/>
      <c r="K135" s="5847">
        <f t="shared" si="335"/>
        <v>69</v>
      </c>
      <c r="L135" s="5858"/>
      <c r="M135" s="5858">
        <f>+SUMIF('GRD SUMM RCL CASTER 3'!$A$7:$A$13,$D135,'GRD SUMM RCL CASTER 3'!I$7:I$13)</f>
        <v>4</v>
      </c>
      <c r="N135" s="5858"/>
      <c r="O135" s="5848">
        <f t="shared" si="336"/>
        <v>73</v>
      </c>
      <c r="P135" s="5858"/>
      <c r="Q135" s="5858">
        <f>+SUMIF('GRD SUMM RCL CASTER 3'!$A$7:$A$13,$D135,'GRD SUMM RCL CASTER 3'!M$7:M$13)</f>
        <v>59</v>
      </c>
      <c r="R135" s="5858"/>
      <c r="S135" s="5847">
        <f t="shared" si="338"/>
        <v>132</v>
      </c>
      <c r="T135" s="5858"/>
      <c r="U135" s="5858">
        <f>+SUMIF('GRD SUMM RCL CASTER 3'!$A$7:$A$13,$D135,'GRD SUMM RCL CASTER 3'!Q$7:Q$13)</f>
        <v>24</v>
      </c>
      <c r="V135" s="5858"/>
      <c r="W135" s="5847">
        <f t="shared" si="339"/>
        <v>156</v>
      </c>
      <c r="X135" s="5858"/>
      <c r="Y135" s="5858">
        <f>+SUMIF('GRD SUMM RCL CASTER 3'!$A$7:$A$13,$D135,'GRD SUMM RCL CASTER 3'!U$7:U$13)</f>
        <v>46.875</v>
      </c>
      <c r="Z135" s="5858"/>
      <c r="AA135" s="5848">
        <f t="shared" si="261"/>
        <v>129.875</v>
      </c>
      <c r="AB135" s="5858"/>
      <c r="AC135" s="5849">
        <f t="shared" si="341"/>
        <v>202.875</v>
      </c>
      <c r="AD135" s="5858"/>
      <c r="AE135" s="5858">
        <f>+SUMIF('GRD SUMM RCL CASTER 3'!$A$7:$A$13,$D135,'GRD SUMM RCL CASTER 3'!AA$7:AA$13)</f>
        <v>71.603999999999999</v>
      </c>
      <c r="AF135" s="5858"/>
      <c r="AG135" s="5847">
        <f t="shared" si="342"/>
        <v>274.47899999999998</v>
      </c>
      <c r="AH135" s="5858"/>
      <c r="AI135" s="5858">
        <f>+SUMIF('GRD SUMM RCL CASTER 3'!$A$7:$A$13,$D135,'GRD SUMM RCL CASTER 3'!AE$7:AE$13)</f>
        <v>0</v>
      </c>
      <c r="AJ135" s="5858"/>
      <c r="AK135" s="5850">
        <f t="shared" si="344"/>
        <v>274.47899999999998</v>
      </c>
      <c r="AL135" s="5858"/>
      <c r="AM135" s="5858">
        <f>+SUMIF('GRD SUMM RCL CASTER 3'!$A$7:$A$13,$D135,'GRD SUMM RCL CASTER 3'!AI$7:AI$13)</f>
        <v>72</v>
      </c>
      <c r="AN135" s="5982"/>
      <c r="AO135" s="5848">
        <f t="shared" si="265"/>
        <v>143.60399999999998</v>
      </c>
      <c r="AP135" s="5858"/>
      <c r="AQ135" s="5850">
        <f t="shared" si="346"/>
        <v>346.47899999999998</v>
      </c>
      <c r="AR135" s="5858"/>
      <c r="AS135" s="5858">
        <f>+SUMIF('GRD SUMM RCL CASTER 3'!$A$7:$A$13,$D135,'GRD SUMM RCL CASTER 3'!AO$7:AO$13)</f>
        <v>103.428</v>
      </c>
      <c r="AT135" s="5858"/>
      <c r="AU135" s="5850">
        <f t="shared" si="348"/>
        <v>449.90699999999998</v>
      </c>
      <c r="AV135" s="5858"/>
      <c r="AW135" s="5858">
        <f>+SUMIF('GRD SUMM RCL CASTER 3'!$A$7:$A$13,$D135,'GRD SUMM RCL CASTER 3'!AS$7:AS$13)</f>
        <v>0</v>
      </c>
      <c r="AX135" s="5858"/>
      <c r="AY135" s="5850">
        <f t="shared" si="350"/>
        <v>449.90699999999998</v>
      </c>
      <c r="AZ135" s="5858"/>
      <c r="BA135" s="5858">
        <f>+SUMIF('GRD SUMM RCL CASTER 3'!$A$7:$A$13,$D135,'GRD SUMM RCL CASTER 3'!AW$7:AW$13)</f>
        <v>0</v>
      </c>
      <c r="BB135" s="5982"/>
      <c r="BC135" s="5848">
        <f t="shared" si="352"/>
        <v>103.428</v>
      </c>
      <c r="BD135" s="5858"/>
      <c r="BE135" s="5842">
        <f t="shared" si="353"/>
        <v>247.03199999999998</v>
      </c>
      <c r="BF135" s="5858"/>
      <c r="BG135" s="5850">
        <f t="shared" si="354"/>
        <v>449.90699999999998</v>
      </c>
      <c r="BH135" s="26"/>
      <c r="BI135" s="26"/>
    </row>
    <row r="136" spans="1:61" ht="15" customHeight="1" thickBot="1" x14ac:dyDescent="0.3">
      <c r="A136" s="1277"/>
      <c r="B136" s="1277"/>
      <c r="C136" s="7765"/>
      <c r="D136" s="5856" t="s">
        <v>2209</v>
      </c>
      <c r="E136" s="5856"/>
      <c r="F136" s="5857"/>
      <c r="G136" s="5858">
        <f>+SUMIF('GRD SUMM RCL CASTER 3'!$A$7:$A$13,$D136,'GRD SUMM RCL CASTER 3'!C$7:C$13)</f>
        <v>0</v>
      </c>
      <c r="H136" s="5858"/>
      <c r="I136" s="5858">
        <f>+SUMIF('GRD SUMM RCL CASTER 3'!$A$7:$A$13,$D136,'GRD SUMM RCL CASTER 3'!E$7:E$13)</f>
        <v>8</v>
      </c>
      <c r="J136" s="5858"/>
      <c r="K136" s="5847">
        <f t="shared" si="335"/>
        <v>8</v>
      </c>
      <c r="L136" s="5858"/>
      <c r="M136" s="5858">
        <f>+SUMIF('GRD SUMM RCL CASTER 3'!$A$7:$A$13,$D136,'GRD SUMM RCL CASTER 3'!I$7:I$13)</f>
        <v>40</v>
      </c>
      <c r="N136" s="5858"/>
      <c r="O136" s="5848">
        <f t="shared" si="336"/>
        <v>48</v>
      </c>
      <c r="P136" s="5858"/>
      <c r="Q136" s="5858">
        <f>+SUMIF('GRD SUMM RCL CASTER 3'!$A$7:$A$13,$D136,'GRD SUMM RCL CASTER 3'!M$7:M$13)</f>
        <v>63</v>
      </c>
      <c r="R136" s="5858"/>
      <c r="S136" s="5847">
        <f t="shared" si="338"/>
        <v>111</v>
      </c>
      <c r="T136" s="5858"/>
      <c r="U136" s="5858">
        <f>+SUMIF('GRD SUMM RCL CASTER 3'!$A$7:$A$13,$D136,'GRD SUMM RCL CASTER 3'!Q$7:Q$13)</f>
        <v>88</v>
      </c>
      <c r="V136" s="5858"/>
      <c r="W136" s="5847">
        <f t="shared" si="339"/>
        <v>199</v>
      </c>
      <c r="X136" s="5858"/>
      <c r="Y136" s="5858">
        <f>+SUMIF('GRD SUMM RCL CASTER 3'!$A$7:$A$13,$D136,'GRD SUMM RCL CASTER 3'!U$7:U$13)</f>
        <v>115.36199999999999</v>
      </c>
      <c r="Z136" s="5858"/>
      <c r="AA136" s="5848">
        <f t="shared" si="261"/>
        <v>266.36199999999997</v>
      </c>
      <c r="AB136" s="5858"/>
      <c r="AC136" s="5849">
        <f t="shared" si="341"/>
        <v>314.36199999999997</v>
      </c>
      <c r="AD136" s="5858"/>
      <c r="AE136" s="5858">
        <f>+SUMIF('GRD SUMM RCL CASTER 3'!$A$7:$A$13,$D136,'GRD SUMM RCL CASTER 3'!AA$7:AA$13)</f>
        <v>43.758000000000003</v>
      </c>
      <c r="AF136" s="5858"/>
      <c r="AG136" s="5847">
        <f t="shared" si="342"/>
        <v>358.11999999999995</v>
      </c>
      <c r="AH136" s="5858"/>
      <c r="AI136" s="5858">
        <f>+SUMIF('GRD SUMM RCL CASTER 3'!$A$7:$A$13,$D136,'GRD SUMM RCL CASTER 3'!AE$7:AE$13)</f>
        <v>0</v>
      </c>
      <c r="AJ136" s="5858"/>
      <c r="AK136" s="5850">
        <f t="shared" si="344"/>
        <v>358.11999999999995</v>
      </c>
      <c r="AL136" s="5858"/>
      <c r="AM136" s="5858">
        <f>+SUMIF('GRD SUMM RCL CASTER 3'!$A$7:$A$13,$D136,'GRD SUMM RCL CASTER 3'!AI$7:AI$13)</f>
        <v>477</v>
      </c>
      <c r="AN136" s="5982"/>
      <c r="AO136" s="5848">
        <f t="shared" si="265"/>
        <v>520.75800000000004</v>
      </c>
      <c r="AP136" s="5858"/>
      <c r="AQ136" s="5850">
        <f t="shared" si="346"/>
        <v>835.11999999999989</v>
      </c>
      <c r="AR136" s="5858"/>
      <c r="AS136" s="5858">
        <f>+SUMIF('GRD SUMM RCL CASTER 3'!$A$7:$A$13,$D136,'GRD SUMM RCL CASTER 3'!AO$7:AO$13)</f>
        <v>298.35000000000002</v>
      </c>
      <c r="AT136" s="5858"/>
      <c r="AU136" s="5850">
        <f t="shared" si="348"/>
        <v>1133.4699999999998</v>
      </c>
      <c r="AV136" s="5858"/>
      <c r="AW136" s="5858">
        <f>+SUMIF('GRD SUMM RCL CASTER 3'!$A$7:$A$13,$D136,'GRD SUMM RCL CASTER 3'!AS$7:AS$13)</f>
        <v>0</v>
      </c>
      <c r="AX136" s="5858"/>
      <c r="AY136" s="5850">
        <f t="shared" si="350"/>
        <v>1133.4699999999998</v>
      </c>
      <c r="AZ136" s="5858"/>
      <c r="BA136" s="5858">
        <f>+SUMIF('GRD SUMM RCL CASTER 3'!$A$7:$A$13,$D136,'GRD SUMM RCL CASTER 3'!AW$7:AW$13)</f>
        <v>0</v>
      </c>
      <c r="BB136" s="5982"/>
      <c r="BC136" s="5848">
        <f t="shared" si="352"/>
        <v>298.35000000000002</v>
      </c>
      <c r="BD136" s="5858"/>
      <c r="BE136" s="5842">
        <f t="shared" si="353"/>
        <v>819.10800000000006</v>
      </c>
      <c r="BF136" s="5858"/>
      <c r="BG136" s="5850">
        <f t="shared" si="354"/>
        <v>1133.4699999999998</v>
      </c>
      <c r="BH136" s="26"/>
      <c r="BI136" s="26"/>
    </row>
    <row r="137" spans="1:61" ht="15" customHeight="1" thickBot="1" x14ac:dyDescent="0.3">
      <c r="C137" s="7765"/>
      <c r="D137" s="5859" t="s">
        <v>1532</v>
      </c>
      <c r="E137" s="5859"/>
      <c r="F137" s="5845"/>
      <c r="G137" s="5846">
        <f>+'Direct sales IPT details'!E14</f>
        <v>0</v>
      </c>
      <c r="H137" s="5846"/>
      <c r="I137" s="5846">
        <f>+'Direct sales IPT details'!G14</f>
        <v>640.46</v>
      </c>
      <c r="J137" s="5846"/>
      <c r="K137" s="5847">
        <f t="shared" si="335"/>
        <v>640.46</v>
      </c>
      <c r="L137" s="5846"/>
      <c r="M137" s="5846">
        <f>+'Direct sales IPT details'!K14</f>
        <v>1468.38</v>
      </c>
      <c r="N137" s="5846"/>
      <c r="O137" s="5848">
        <f t="shared" si="336"/>
        <v>2108.84</v>
      </c>
      <c r="P137" s="5846"/>
      <c r="Q137" s="5846">
        <f>+'Direct sales IPT details'!O14</f>
        <v>0</v>
      </c>
      <c r="R137" s="5846"/>
      <c r="S137" s="5847">
        <f t="shared" si="338"/>
        <v>2108.84</v>
      </c>
      <c r="T137" s="5846"/>
      <c r="U137" s="5846">
        <f>+'Direct sales IPT details'!S14</f>
        <v>848.76</v>
      </c>
      <c r="V137" s="5846"/>
      <c r="W137" s="5847">
        <f t="shared" si="339"/>
        <v>2957.6000000000004</v>
      </c>
      <c r="X137" s="5846"/>
      <c r="Y137" s="5846">
        <f>+'Direct sales IPT details'!W14</f>
        <v>793.3</v>
      </c>
      <c r="Z137" s="5846"/>
      <c r="AA137" s="5848">
        <f t="shared" si="261"/>
        <v>1642.06</v>
      </c>
      <c r="AB137" s="5846"/>
      <c r="AC137" s="5849">
        <f t="shared" si="341"/>
        <v>3750.9</v>
      </c>
      <c r="AD137" s="5846"/>
      <c r="AE137" s="5846">
        <f>+'Direct sales IPT details'!AC14</f>
        <v>632.55999999999995</v>
      </c>
      <c r="AF137" s="5846"/>
      <c r="AG137" s="5847">
        <f t="shared" si="342"/>
        <v>4383.46</v>
      </c>
      <c r="AH137" s="5846"/>
      <c r="AI137" s="5846">
        <f>+'Direct sales IPT details'!AG14</f>
        <v>636.88</v>
      </c>
      <c r="AJ137" s="5846"/>
      <c r="AK137" s="5850">
        <f t="shared" si="344"/>
        <v>5020.34</v>
      </c>
      <c r="AL137" s="5846"/>
      <c r="AM137" s="5846">
        <f>+'Direct sales IPT details'!AK14</f>
        <v>367.46</v>
      </c>
      <c r="AN137" s="5980"/>
      <c r="AO137" s="5848">
        <f t="shared" si="265"/>
        <v>1636.9</v>
      </c>
      <c r="AP137" s="5846"/>
      <c r="AQ137" s="5850">
        <f t="shared" si="346"/>
        <v>5387.8</v>
      </c>
      <c r="AR137" s="5846"/>
      <c r="AS137" s="5846">
        <f>+'Direct sales IPT details'!AQ14</f>
        <v>0</v>
      </c>
      <c r="AT137" s="5846"/>
      <c r="AU137" s="5850">
        <f t="shared" si="348"/>
        <v>5387.8</v>
      </c>
      <c r="AV137" s="5846"/>
      <c r="AW137" s="5846">
        <f>+'Direct sales IPT details'!AU14</f>
        <v>0</v>
      </c>
      <c r="AX137" s="5846"/>
      <c r="AY137" s="5850">
        <f t="shared" si="350"/>
        <v>5387.8</v>
      </c>
      <c r="AZ137" s="5846"/>
      <c r="BA137" s="5846">
        <f>+'Direct sales IPT details'!AY14</f>
        <v>0</v>
      </c>
      <c r="BB137" s="5980"/>
      <c r="BC137" s="5848">
        <f t="shared" si="352"/>
        <v>0</v>
      </c>
      <c r="BD137" s="5846"/>
      <c r="BE137" s="5842">
        <f t="shared" si="353"/>
        <v>1636.9</v>
      </c>
      <c r="BF137" s="5846"/>
      <c r="BG137" s="5850">
        <f t="shared" si="354"/>
        <v>5387.8</v>
      </c>
      <c r="BH137" s="26"/>
      <c r="BI137" s="26"/>
    </row>
    <row r="138" spans="1:61" ht="15" customHeight="1" thickBot="1" x14ac:dyDescent="0.3">
      <c r="C138" s="7765"/>
      <c r="D138" s="5859" t="s">
        <v>1531</v>
      </c>
      <c r="E138" s="5859"/>
      <c r="F138" s="5845"/>
      <c r="G138" s="5846">
        <f>+SMS!F42</f>
        <v>0</v>
      </c>
      <c r="H138" s="5846"/>
      <c r="I138" s="5846">
        <f>+SMS!H42</f>
        <v>0</v>
      </c>
      <c r="J138" s="5846"/>
      <c r="K138" s="5847">
        <f t="shared" si="335"/>
        <v>0</v>
      </c>
      <c r="L138" s="5846"/>
      <c r="M138" s="5846">
        <f>+SMS!L42</f>
        <v>10</v>
      </c>
      <c r="N138" s="5846"/>
      <c r="O138" s="5848">
        <f t="shared" si="336"/>
        <v>10</v>
      </c>
      <c r="P138" s="5846"/>
      <c r="Q138" s="5846">
        <f>+SMS!P42</f>
        <v>13</v>
      </c>
      <c r="R138" s="5846"/>
      <c r="S138" s="5847">
        <f t="shared" si="338"/>
        <v>23</v>
      </c>
      <c r="T138" s="5846"/>
      <c r="U138" s="5846">
        <f>+SMS!T42</f>
        <v>0</v>
      </c>
      <c r="V138" s="5846"/>
      <c r="W138" s="5847">
        <f t="shared" si="339"/>
        <v>23</v>
      </c>
      <c r="X138" s="5846"/>
      <c r="Y138" s="5846">
        <f>+SMS!X42</f>
        <v>9</v>
      </c>
      <c r="Z138" s="5846"/>
      <c r="AA138" s="5848">
        <f t="shared" si="261"/>
        <v>22</v>
      </c>
      <c r="AB138" s="5846"/>
      <c r="AC138" s="5849">
        <f t="shared" si="341"/>
        <v>32</v>
      </c>
      <c r="AD138" s="5846"/>
      <c r="AE138" s="5846">
        <f>+SMS!AD42</f>
        <v>13</v>
      </c>
      <c r="AF138" s="5846"/>
      <c r="AG138" s="5847">
        <f t="shared" si="342"/>
        <v>45</v>
      </c>
      <c r="AH138" s="5846"/>
      <c r="AI138" s="5846">
        <f>+SMS!AH42</f>
        <v>0</v>
      </c>
      <c r="AJ138" s="5846"/>
      <c r="AK138" s="5850">
        <f t="shared" si="344"/>
        <v>45</v>
      </c>
      <c r="AL138" s="5846"/>
      <c r="AM138" s="5846">
        <f>+SMS!AL42</f>
        <v>22</v>
      </c>
      <c r="AN138" s="5980"/>
      <c r="AO138" s="5848">
        <f t="shared" si="265"/>
        <v>35</v>
      </c>
      <c r="AP138" s="5846"/>
      <c r="AQ138" s="5850">
        <f t="shared" si="346"/>
        <v>67</v>
      </c>
      <c r="AR138" s="5846"/>
      <c r="AS138" s="5846">
        <f>+SMS!AR42</f>
        <v>12</v>
      </c>
      <c r="AT138" s="5846"/>
      <c r="AU138" s="5850">
        <f t="shared" si="348"/>
        <v>79</v>
      </c>
      <c r="AV138" s="5846"/>
      <c r="AW138" s="5846">
        <f>+SMS!AV42</f>
        <v>0</v>
      </c>
      <c r="AX138" s="5846"/>
      <c r="AY138" s="5850">
        <f t="shared" si="350"/>
        <v>79</v>
      </c>
      <c r="AZ138" s="5846"/>
      <c r="BA138" s="5846">
        <f>+SMS!AZ42</f>
        <v>0</v>
      </c>
      <c r="BB138" s="5980"/>
      <c r="BC138" s="5848">
        <f t="shared" si="352"/>
        <v>12</v>
      </c>
      <c r="BD138" s="5846"/>
      <c r="BE138" s="5842">
        <f t="shared" si="353"/>
        <v>47</v>
      </c>
      <c r="BF138" s="5846"/>
      <c r="BG138" s="5850">
        <f t="shared" si="354"/>
        <v>79</v>
      </c>
      <c r="BH138" s="26"/>
      <c r="BI138" s="26"/>
    </row>
    <row r="139" spans="1:61" ht="15.75" customHeight="1" thickBot="1" x14ac:dyDescent="0.3">
      <c r="C139" s="7766"/>
      <c r="D139" s="5824" t="s">
        <v>21</v>
      </c>
      <c r="E139" s="5824"/>
      <c r="F139" s="5819"/>
      <c r="G139" s="5825">
        <f t="shared" ref="G139" si="355">SUM(G135:G138)</f>
        <v>0</v>
      </c>
      <c r="H139" s="5825"/>
      <c r="I139" s="5825">
        <f t="shared" ref="I139" si="356">SUM(I135:I138)</f>
        <v>717.46</v>
      </c>
      <c r="J139" s="5825"/>
      <c r="K139" s="5860">
        <f t="shared" si="335"/>
        <v>717.46</v>
      </c>
      <c r="L139" s="5825"/>
      <c r="M139" s="5825">
        <f t="shared" ref="M139" si="357">SUM(M135:M138)</f>
        <v>1522.38</v>
      </c>
      <c r="N139" s="5825"/>
      <c r="O139" s="5861">
        <f t="shared" si="336"/>
        <v>2239.84</v>
      </c>
      <c r="P139" s="5825"/>
      <c r="Q139" s="5825">
        <f t="shared" ref="Q139:AE139" si="358">SUM(Q135:Q138)</f>
        <v>135</v>
      </c>
      <c r="R139" s="5825"/>
      <c r="S139" s="5860">
        <f t="shared" si="338"/>
        <v>2374.84</v>
      </c>
      <c r="T139" s="5825"/>
      <c r="U139" s="5825">
        <f t="shared" si="358"/>
        <v>960.76</v>
      </c>
      <c r="V139" s="5825"/>
      <c r="W139" s="5860">
        <f t="shared" si="339"/>
        <v>3335.6000000000004</v>
      </c>
      <c r="X139" s="5825"/>
      <c r="Y139" s="5825">
        <f t="shared" ref="Y139" si="359">SUM(Y135:Y138)</f>
        <v>964.53699999999992</v>
      </c>
      <c r="Z139" s="5825"/>
      <c r="AA139" s="5861">
        <f t="shared" si="261"/>
        <v>2060.297</v>
      </c>
      <c r="AB139" s="5825"/>
      <c r="AC139" s="5862">
        <f t="shared" si="341"/>
        <v>4300.1370000000006</v>
      </c>
      <c r="AD139" s="5825"/>
      <c r="AE139" s="5825">
        <f t="shared" si="358"/>
        <v>760.92199999999991</v>
      </c>
      <c r="AF139" s="5825"/>
      <c r="AG139" s="5860">
        <f t="shared" si="342"/>
        <v>5061.0590000000002</v>
      </c>
      <c r="AH139" s="5825"/>
      <c r="AI139" s="5825">
        <f t="shared" ref="AI139" si="360">SUM(AI135:AI138)</f>
        <v>636.88</v>
      </c>
      <c r="AJ139" s="5825"/>
      <c r="AK139" s="5863">
        <f t="shared" si="344"/>
        <v>5697.9390000000003</v>
      </c>
      <c r="AL139" s="5825"/>
      <c r="AM139" s="5825">
        <f t="shared" ref="AM139" si="361">SUM(AM135:AM138)</f>
        <v>938.46</v>
      </c>
      <c r="AN139" s="5825"/>
      <c r="AO139" s="5861">
        <f t="shared" si="265"/>
        <v>2336.2619999999997</v>
      </c>
      <c r="AP139" s="5825"/>
      <c r="AQ139" s="5863">
        <f t="shared" si="346"/>
        <v>6636.3990000000003</v>
      </c>
      <c r="AR139" s="5825"/>
      <c r="AS139" s="5825">
        <f t="shared" ref="AS139" si="362">SUM(AS135:AS138)</f>
        <v>413.77800000000002</v>
      </c>
      <c r="AT139" s="5825"/>
      <c r="AU139" s="5863">
        <f t="shared" si="348"/>
        <v>7050.1770000000006</v>
      </c>
      <c r="AV139" s="5825"/>
      <c r="AW139" s="5825">
        <f t="shared" ref="AW139" si="363">SUM(AW135:AW138)</f>
        <v>0</v>
      </c>
      <c r="AX139" s="5825"/>
      <c r="AY139" s="5863">
        <f t="shared" si="350"/>
        <v>7050.1770000000006</v>
      </c>
      <c r="AZ139" s="5825"/>
      <c r="BA139" s="5825">
        <f t="shared" ref="BA139" si="364">SUM(BA135:BA138)</f>
        <v>0</v>
      </c>
      <c r="BB139" s="5825"/>
      <c r="BC139" s="5861">
        <f t="shared" si="352"/>
        <v>413.77800000000002</v>
      </c>
      <c r="BD139" s="5825"/>
      <c r="BE139" s="5842">
        <f t="shared" si="353"/>
        <v>2750.04</v>
      </c>
      <c r="BF139" s="5825"/>
      <c r="BG139" s="5863">
        <f t="shared" si="354"/>
        <v>7050.1770000000006</v>
      </c>
      <c r="BH139" s="26"/>
      <c r="BI139" s="26"/>
    </row>
    <row r="140" spans="1:61" s="233" customFormat="1" ht="17.25" thickBot="1" x14ac:dyDescent="0.3">
      <c r="C140" s="5872"/>
      <c r="D140" s="5869" t="s">
        <v>1519</v>
      </c>
      <c r="E140" s="5869"/>
      <c r="F140" s="5873"/>
      <c r="G140" s="5874">
        <f>+G134-G139</f>
        <v>0</v>
      </c>
      <c r="H140" s="5874"/>
      <c r="I140" s="5874">
        <f>+I134-I139</f>
        <v>-0.46000000000003638</v>
      </c>
      <c r="J140" s="5874"/>
      <c r="K140" s="5875">
        <f t="shared" si="335"/>
        <v>-0.46000000000003638</v>
      </c>
      <c r="L140" s="5874"/>
      <c r="M140" s="5874">
        <f>+M134-M139</f>
        <v>0</v>
      </c>
      <c r="N140" s="5874"/>
      <c r="O140" s="5876">
        <f t="shared" si="336"/>
        <v>-0.46000000000003638</v>
      </c>
      <c r="P140" s="5874"/>
      <c r="Q140" s="5874">
        <f t="shared" ref="Q140:AE140" si="365">+Q134-Q139</f>
        <v>0.47999999999956344</v>
      </c>
      <c r="R140" s="5874"/>
      <c r="S140" s="5875">
        <f t="shared" si="338"/>
        <v>1.9999999999527063E-2</v>
      </c>
      <c r="T140" s="5874"/>
      <c r="U140" s="5874">
        <f t="shared" si="365"/>
        <v>0</v>
      </c>
      <c r="V140" s="5874"/>
      <c r="W140" s="5875">
        <f t="shared" si="339"/>
        <v>1.9999999999527063E-2</v>
      </c>
      <c r="X140" s="5874"/>
      <c r="Y140" s="5874">
        <f t="shared" ref="Y140" si="366">+Y134-Y139</f>
        <v>0</v>
      </c>
      <c r="Z140" s="5874"/>
      <c r="AA140" s="5876">
        <f t="shared" si="261"/>
        <v>0.47999999999956344</v>
      </c>
      <c r="AB140" s="5874"/>
      <c r="AC140" s="5877">
        <f t="shared" si="341"/>
        <v>1.9999999999527063E-2</v>
      </c>
      <c r="AD140" s="5874"/>
      <c r="AE140" s="5874">
        <f t="shared" si="365"/>
        <v>0</v>
      </c>
      <c r="AF140" s="5874"/>
      <c r="AG140" s="5875">
        <f t="shared" si="342"/>
        <v>1.9999999999527063E-2</v>
      </c>
      <c r="AH140" s="5874"/>
      <c r="AI140" s="5874">
        <f t="shared" ref="AI140" si="367">+AI134-AI139</f>
        <v>0.12000000000000455</v>
      </c>
      <c r="AJ140" s="5874"/>
      <c r="AK140" s="5878">
        <f t="shared" si="344"/>
        <v>0.13999999999953161</v>
      </c>
      <c r="AL140" s="5874"/>
      <c r="AM140" s="5874">
        <f t="shared" ref="AM140" si="368">+AM134-AM139</f>
        <v>-3.6000000000967702E-2</v>
      </c>
      <c r="AN140" s="5874"/>
      <c r="AO140" s="5876">
        <f t="shared" si="265"/>
        <v>8.3999999999036845E-2</v>
      </c>
      <c r="AP140" s="5874"/>
      <c r="AQ140" s="5878">
        <f t="shared" si="346"/>
        <v>0.10399999999856391</v>
      </c>
      <c r="AR140" s="5874"/>
      <c r="AS140" s="5874">
        <f t="shared" ref="AS140" si="369">+AS134-AS139</f>
        <v>0</v>
      </c>
      <c r="AT140" s="5874"/>
      <c r="AU140" s="5878">
        <f t="shared" si="348"/>
        <v>0.10399999999856391</v>
      </c>
      <c r="AV140" s="5874"/>
      <c r="AW140" s="5874">
        <f t="shared" ref="AW140" si="370">+AW134-AW139</f>
        <v>0</v>
      </c>
      <c r="AX140" s="5874"/>
      <c r="AY140" s="5878">
        <f t="shared" si="350"/>
        <v>0.10399999999856391</v>
      </c>
      <c r="AZ140" s="5874"/>
      <c r="BA140" s="5874">
        <f t="shared" ref="BA140" si="371">+BA134-BA139</f>
        <v>0</v>
      </c>
      <c r="BB140" s="5874"/>
      <c r="BC140" s="5876">
        <f t="shared" si="352"/>
        <v>0</v>
      </c>
      <c r="BD140" s="5874"/>
      <c r="BE140" s="5877">
        <f t="shared" ref="BE140" si="372">AQ140+BC140</f>
        <v>0.10399999999856391</v>
      </c>
      <c r="BF140" s="5874"/>
      <c r="BG140" s="5878">
        <f t="shared" si="354"/>
        <v>0.10399999999856391</v>
      </c>
      <c r="BH140" s="26"/>
      <c r="BI140" s="26"/>
    </row>
    <row r="141" spans="1:61" s="5172" customFormat="1" x14ac:dyDescent="0.25">
      <c r="AV141" s="233"/>
    </row>
    <row r="142" spans="1:61" s="5172" customFormat="1" x14ac:dyDescent="0.25"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61" s="5172" customFormat="1" x14ac:dyDescent="0.25"/>
    <row r="144" spans="1:61" s="5172" customFormat="1" x14ac:dyDescent="0.25"/>
    <row r="145" s="5172" customFormat="1" x14ac:dyDescent="0.25"/>
    <row r="146" s="5172" customFormat="1" x14ac:dyDescent="0.25"/>
    <row r="147" s="5172" customFormat="1" x14ac:dyDescent="0.25"/>
    <row r="148" s="5172" customFormat="1" x14ac:dyDescent="0.25"/>
    <row r="149" s="5172" customFormat="1" x14ac:dyDescent="0.25"/>
    <row r="150" s="5172" customFormat="1" x14ac:dyDescent="0.25"/>
    <row r="151" s="5172" customFormat="1" x14ac:dyDescent="0.25"/>
    <row r="152" s="5172" customFormat="1" x14ac:dyDescent="0.25"/>
    <row r="153" s="5172" customFormat="1" x14ac:dyDescent="0.25"/>
    <row r="154" s="5172" customFormat="1" x14ac:dyDescent="0.25"/>
    <row r="155" s="5172" customFormat="1" x14ac:dyDescent="0.25"/>
    <row r="156" s="5172" customFormat="1" x14ac:dyDescent="0.25"/>
    <row r="157" s="5172" customFormat="1" x14ac:dyDescent="0.25"/>
    <row r="158" s="5172" customFormat="1" x14ac:dyDescent="0.25"/>
    <row r="159" s="5172" customFormat="1" x14ac:dyDescent="0.25"/>
    <row r="160" s="5172" customFormat="1" x14ac:dyDescent="0.25"/>
    <row r="161" s="5172" customFormat="1" x14ac:dyDescent="0.25"/>
    <row r="162" s="5172" customFormat="1" x14ac:dyDescent="0.25"/>
    <row r="163" s="5172" customFormat="1" x14ac:dyDescent="0.25"/>
    <row r="164" s="5172" customFormat="1" x14ac:dyDescent="0.25"/>
    <row r="165" s="5172" customFormat="1" x14ac:dyDescent="0.25"/>
    <row r="166" s="5172" customFormat="1" x14ac:dyDescent="0.25"/>
    <row r="167" s="5172" customFormat="1" x14ac:dyDescent="0.25"/>
    <row r="168" s="5172" customFormat="1" x14ac:dyDescent="0.25"/>
    <row r="169" s="5172" customFormat="1" x14ac:dyDescent="0.25"/>
    <row r="170" s="5172" customFormat="1" x14ac:dyDescent="0.25"/>
    <row r="171" s="5172" customFormat="1" x14ac:dyDescent="0.25"/>
    <row r="172" s="5172" customFormat="1" x14ac:dyDescent="0.25"/>
    <row r="173" s="5172" customFormat="1" x14ac:dyDescent="0.25"/>
    <row r="174" s="5172" customFormat="1" x14ac:dyDescent="0.25"/>
    <row r="175" s="5172" customFormat="1" x14ac:dyDescent="0.25"/>
    <row r="176" s="5172" customFormat="1" x14ac:dyDescent="0.25"/>
    <row r="177" spans="5:48" s="5172" customFormat="1" x14ac:dyDescent="0.25"/>
    <row r="178" spans="5:48" s="5172" customFormat="1" x14ac:dyDescent="0.25"/>
    <row r="179" spans="5:48" s="5172" customFormat="1" x14ac:dyDescent="0.25"/>
    <row r="180" spans="5:48" x14ac:dyDescent="0.25">
      <c r="E180" s="1734"/>
      <c r="F180" s="1734"/>
      <c r="G180" s="1734"/>
      <c r="H180" s="1734"/>
      <c r="I180" s="1734"/>
      <c r="J180" s="1734"/>
      <c r="L180" s="1734"/>
      <c r="M180" s="1734"/>
      <c r="N180" s="1734"/>
      <c r="P180" s="1734"/>
      <c r="Q180" s="1734"/>
      <c r="R180" s="1734"/>
      <c r="AV180" s="5172"/>
    </row>
    <row r="181" spans="5:48" x14ac:dyDescent="0.25">
      <c r="E181" s="1734"/>
      <c r="F181" s="1734"/>
      <c r="G181" s="1734"/>
      <c r="H181" s="1734"/>
      <c r="I181" s="1734"/>
      <c r="J181" s="1734"/>
      <c r="L181" s="1734"/>
      <c r="M181" s="1734"/>
      <c r="N181" s="1734"/>
      <c r="P181" s="1734"/>
      <c r="Q181" s="1734"/>
      <c r="R181" s="1734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3:D93"/>
    <mergeCell ref="N3:O3"/>
    <mergeCell ref="C91:D91"/>
    <mergeCell ref="C38:D38"/>
    <mergeCell ref="C46:D46"/>
    <mergeCell ref="C53:D53"/>
    <mergeCell ref="C77:D77"/>
    <mergeCell ref="C89:D89"/>
    <mergeCell ref="C90:D90"/>
    <mergeCell ref="F3:G3"/>
    <mergeCell ref="H3:I3"/>
    <mergeCell ref="E4:E90"/>
    <mergeCell ref="C1:AQ1"/>
    <mergeCell ref="C131:C139"/>
    <mergeCell ref="V3:W3"/>
    <mergeCell ref="C103:C110"/>
    <mergeCell ref="C113:C115"/>
    <mergeCell ref="C117:C119"/>
    <mergeCell ref="C121:C128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5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topLeftCell="A4" zoomScale="110" zoomScaleNormal="110" zoomScaleSheetLayoutView="98" workbookViewId="0">
      <pane xSplit="8" topLeftCell="I1" activePane="topRight" state="frozen"/>
      <selection activeCell="BG78" sqref="BG78"/>
      <selection pane="topRight" activeCell="BK45" sqref="BK45"/>
    </sheetView>
  </sheetViews>
  <sheetFormatPr defaultColWidth="9.140625" defaultRowHeight="15" x14ac:dyDescent="0.25"/>
  <cols>
    <col min="1" max="1" width="16.85546875" style="279" hidden="1" customWidth="1"/>
    <col min="2" max="2" width="56.7109375" hidden="1" customWidth="1"/>
    <col min="3" max="3" width="6.140625" style="280" hidden="1" customWidth="1"/>
    <col min="4" max="4" width="11.140625" style="283" hidden="1" customWidth="1"/>
    <col min="5" max="5" width="8.140625" hidden="1" customWidth="1"/>
    <col min="6" max="6" width="13.28515625" customWidth="1"/>
    <col min="7" max="7" width="8.42578125" style="261" bestFit="1" customWidth="1"/>
    <col min="8" max="8" width="55" bestFit="1" customWidth="1"/>
    <col min="9" max="10" width="11.7109375" bestFit="1" customWidth="1"/>
    <col min="11" max="11" width="11.7109375" customWidth="1"/>
    <col min="12" max="13" width="14.28515625" customWidth="1"/>
    <col min="14" max="14" width="14.140625" customWidth="1"/>
    <col min="15" max="15" width="17.140625" style="149" hidden="1" customWidth="1"/>
    <col min="16" max="16" width="11.7109375" hidden="1" customWidth="1"/>
    <col min="17" max="18" width="12.28515625" hidden="1" customWidth="1"/>
    <col min="19" max="19" width="11.7109375" style="149" hidden="1" customWidth="1"/>
    <col min="20" max="21" width="11.7109375" hidden="1" customWidth="1"/>
    <col min="22" max="22" width="14.140625" hidden="1" customWidth="1"/>
    <col min="23" max="23" width="11.7109375" style="149" hidden="1" customWidth="1"/>
    <col min="24" max="25" width="11.7109375" style="4712" hidden="1" customWidth="1"/>
    <col min="26" max="26" width="14.140625" style="4712" hidden="1" customWidth="1"/>
    <col min="27" max="27" width="12.28515625" hidden="1" customWidth="1"/>
    <col min="28" max="28" width="11.7109375" hidden="1" customWidth="1"/>
    <col min="29" max="29" width="12.28515625" hidden="1" customWidth="1"/>
    <col min="30" max="30" width="11.7109375" hidden="1" customWidth="1"/>
    <col min="31" max="31" width="17.140625" hidden="1" customWidth="1"/>
    <col min="32" max="33" width="11.7109375" hidden="1" customWidth="1"/>
    <col min="34" max="34" width="11.7109375" style="279" hidden="1" customWidth="1"/>
    <col min="35" max="35" width="12.85546875" style="279" hidden="1" customWidth="1"/>
    <col min="36" max="36" width="14.140625" hidden="1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style="2749" hidden="1" customWidth="1"/>
    <col min="44" max="44" width="11.7109375" style="2749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3038" hidden="1" customWidth="1"/>
    <col min="59" max="59" width="12.85546875" style="3038" hidden="1" customWidth="1"/>
    <col min="60" max="60" width="11.7109375" style="3038" hidden="1" customWidth="1"/>
    <col min="61" max="62" width="12.85546875" hidden="1" customWidth="1"/>
    <col min="63" max="63" width="11.28515625" style="3427" bestFit="1" customWidth="1"/>
    <col min="64" max="64" width="11.28515625" bestFit="1" customWidth="1"/>
    <col min="65" max="66" width="11.42578125" bestFit="1" customWidth="1"/>
  </cols>
  <sheetData>
    <row r="1" spans="1:66" ht="22.5" x14ac:dyDescent="0.3">
      <c r="B1" s="17" t="s">
        <v>498</v>
      </c>
      <c r="C1" s="282"/>
      <c r="G1" s="910"/>
      <c r="H1" s="389" t="s">
        <v>498</v>
      </c>
      <c r="I1" s="5746"/>
      <c r="J1" s="5746"/>
      <c r="K1" s="5746"/>
      <c r="L1" s="5746"/>
      <c r="M1" s="5746"/>
      <c r="N1" s="5746"/>
      <c r="O1" s="5746"/>
      <c r="P1" s="5746"/>
      <c r="Q1" s="5746"/>
      <c r="R1" s="5746"/>
      <c r="S1" s="5746"/>
      <c r="T1" s="5746"/>
      <c r="U1" s="5746"/>
      <c r="V1" s="5746"/>
      <c r="W1" s="5746"/>
      <c r="X1" s="5746"/>
      <c r="Y1" s="5746"/>
      <c r="Z1" s="5746"/>
      <c r="AA1" s="5746"/>
      <c r="AB1" s="5746"/>
      <c r="AC1" s="5746"/>
      <c r="AD1" s="5746"/>
      <c r="AE1" s="5746"/>
      <c r="AF1" s="5746"/>
      <c r="AG1" s="5746"/>
      <c r="AH1" s="5746"/>
      <c r="AI1" s="5746"/>
      <c r="AJ1" s="5989"/>
      <c r="AK1" s="5989"/>
      <c r="AL1" s="5989"/>
      <c r="AM1" s="5746"/>
      <c r="AN1" s="5746"/>
    </row>
    <row r="2" spans="1:66" x14ac:dyDescent="0.25">
      <c r="B2" s="4"/>
      <c r="C2" s="282"/>
      <c r="G2" s="910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663"/>
      <c r="AC2" s="93"/>
      <c r="AD2" s="93"/>
      <c r="AE2" s="93"/>
      <c r="AF2" s="93"/>
      <c r="AH2" s="5663"/>
      <c r="AI2" s="93"/>
      <c r="AK2" s="1222"/>
    </row>
    <row r="3" spans="1:66" ht="15.75" thickBot="1" x14ac:dyDescent="0.3">
      <c r="B3" s="24"/>
      <c r="C3" s="25"/>
      <c r="D3" s="284">
        <v>30</v>
      </c>
      <c r="E3" s="284">
        <v>31</v>
      </c>
      <c r="G3" s="910"/>
      <c r="H3" s="45"/>
      <c r="I3" s="202">
        <v>30</v>
      </c>
      <c r="J3" s="347">
        <v>30</v>
      </c>
      <c r="K3" s="347">
        <v>31</v>
      </c>
      <c r="L3" s="347">
        <v>31</v>
      </c>
      <c r="M3" s="911">
        <f>+I3+K3</f>
        <v>61</v>
      </c>
      <c r="N3" s="911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11">
        <f>+Q3+S3</f>
        <v>122</v>
      </c>
      <c r="V3" s="911">
        <f>+R3+T3</f>
        <v>122</v>
      </c>
      <c r="W3" s="579">
        <v>31</v>
      </c>
      <c r="X3" s="347">
        <v>31</v>
      </c>
      <c r="Y3" s="4949">
        <f>+U3+W3</f>
        <v>153</v>
      </c>
      <c r="Z3" s="4949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11">
        <f>+Y3+AA3</f>
        <v>183</v>
      </c>
      <c r="AF3" s="911">
        <f>+Z3+AB3</f>
        <v>183</v>
      </c>
      <c r="AG3" s="347">
        <v>31</v>
      </c>
      <c r="AH3" s="347">
        <v>31</v>
      </c>
      <c r="AI3" s="2633">
        <f>+AE3+AG3</f>
        <v>214</v>
      </c>
      <c r="AJ3" s="2633">
        <f>+AF3+AH3</f>
        <v>214</v>
      </c>
      <c r="AK3" s="347">
        <v>30</v>
      </c>
      <c r="AL3" s="347">
        <v>30</v>
      </c>
      <c r="AM3" s="2676">
        <f>+AI3+AK3</f>
        <v>244</v>
      </c>
      <c r="AN3" s="2676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2751">
        <f>+AM3+AO3</f>
        <v>275</v>
      </c>
      <c r="AT3" s="2751">
        <f>+AN3+AP3</f>
        <v>275</v>
      </c>
      <c r="AU3" s="347">
        <v>31</v>
      </c>
      <c r="AV3" s="347">
        <v>31</v>
      </c>
      <c r="AW3" s="2805">
        <f>+AS3+AU3</f>
        <v>306</v>
      </c>
      <c r="AX3" s="2805">
        <f>+AT3+AV3</f>
        <v>306</v>
      </c>
      <c r="AY3" s="347">
        <v>28</v>
      </c>
      <c r="AZ3" s="347">
        <v>28</v>
      </c>
      <c r="BA3" s="2847">
        <f>+AW3+AY3</f>
        <v>334</v>
      </c>
      <c r="BB3" s="2847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3039">
        <f>AQ3+BE3</f>
        <v>182</v>
      </c>
      <c r="BH3" s="3039">
        <f>AR3+BF3</f>
        <v>182</v>
      </c>
      <c r="BI3" s="3039">
        <f>+BA3+BC3</f>
        <v>365</v>
      </c>
      <c r="BJ3" s="3039">
        <f>+BB3+BD3</f>
        <v>365</v>
      </c>
    </row>
    <row r="4" spans="1:66" ht="22.5" x14ac:dyDescent="0.25">
      <c r="B4" s="285" t="s">
        <v>135</v>
      </c>
      <c r="C4" s="7792" t="s">
        <v>172</v>
      </c>
      <c r="D4" s="286" t="s">
        <v>677</v>
      </c>
      <c r="E4" s="287" t="s">
        <v>678</v>
      </c>
      <c r="G4" s="912"/>
      <c r="H4" s="1422" t="s">
        <v>135</v>
      </c>
      <c r="I4" s="7796" t="s">
        <v>2254</v>
      </c>
      <c r="J4" s="7317"/>
      <c r="K4" s="7714" t="s">
        <v>2306</v>
      </c>
      <c r="L4" s="7797"/>
      <c r="M4" s="7799" t="s">
        <v>14</v>
      </c>
      <c r="N4" s="7800"/>
      <c r="O4" s="7798" t="s">
        <v>1903</v>
      </c>
      <c r="P4" s="7317"/>
      <c r="Q4" s="7788" t="s">
        <v>799</v>
      </c>
      <c r="R4" s="7789"/>
      <c r="S4" s="7714" t="s">
        <v>1937</v>
      </c>
      <c r="T4" s="7797"/>
      <c r="U4" s="7799" t="s">
        <v>17</v>
      </c>
      <c r="V4" s="7800"/>
      <c r="W4" s="7714" t="s">
        <v>1961</v>
      </c>
      <c r="X4" s="7797"/>
      <c r="Y4" s="7799" t="s">
        <v>18</v>
      </c>
      <c r="Z4" s="7800"/>
      <c r="AA4" s="7714" t="s">
        <v>1983</v>
      </c>
      <c r="AB4" s="7797"/>
      <c r="AC4" s="7788" t="s">
        <v>839</v>
      </c>
      <c r="AD4" s="7789"/>
      <c r="AE4" s="7805" t="s">
        <v>657</v>
      </c>
      <c r="AF4" s="7806"/>
      <c r="AG4" s="7714" t="s">
        <v>2002</v>
      </c>
      <c r="AH4" s="7797"/>
      <c r="AI4" s="7799" t="s">
        <v>24</v>
      </c>
      <c r="AJ4" s="7800"/>
      <c r="AK4" s="7714" t="s">
        <v>2018</v>
      </c>
      <c r="AL4" s="7797"/>
      <c r="AM4" s="7799" t="s">
        <v>27</v>
      </c>
      <c r="AN4" s="7800"/>
      <c r="AO4" s="7714" t="s">
        <v>2033</v>
      </c>
      <c r="AP4" s="7797"/>
      <c r="AQ4" s="7788" t="s">
        <v>1682</v>
      </c>
      <c r="AR4" s="7789"/>
      <c r="AS4" s="7799" t="s">
        <v>1683</v>
      </c>
      <c r="AT4" s="7800"/>
      <c r="AU4" s="7714" t="s">
        <v>2137</v>
      </c>
      <c r="AV4" s="7797"/>
      <c r="AW4" s="7799" t="s">
        <v>28</v>
      </c>
      <c r="AX4" s="7800"/>
      <c r="AY4" s="7714" t="s">
        <v>2151</v>
      </c>
      <c r="AZ4" s="7797"/>
      <c r="BA4" s="7799" t="s">
        <v>30</v>
      </c>
      <c r="BB4" s="7800"/>
      <c r="BC4" s="7714" t="s">
        <v>2163</v>
      </c>
      <c r="BD4" s="7797"/>
      <c r="BE4" s="7788" t="s">
        <v>1727</v>
      </c>
      <c r="BF4" s="7789"/>
      <c r="BG4" s="7805" t="s">
        <v>671</v>
      </c>
      <c r="BH4" s="7806"/>
      <c r="BI4" s="7799" t="s">
        <v>1765</v>
      </c>
      <c r="BJ4" s="7800"/>
    </row>
    <row r="5" spans="1:66" ht="15.75" thickBot="1" x14ac:dyDescent="0.3">
      <c r="A5" s="274" t="s">
        <v>745</v>
      </c>
      <c r="B5" s="288" t="s">
        <v>414</v>
      </c>
      <c r="C5" s="7793"/>
      <c r="D5" s="286" t="s">
        <v>174</v>
      </c>
      <c r="E5" s="287" t="s">
        <v>174</v>
      </c>
      <c r="G5" s="914"/>
      <c r="H5" s="895"/>
      <c r="I5" s="1313" t="s">
        <v>173</v>
      </c>
      <c r="J5" s="707" t="s">
        <v>174</v>
      </c>
      <c r="K5" s="707" t="s">
        <v>173</v>
      </c>
      <c r="L5" s="785" t="s">
        <v>174</v>
      </c>
      <c r="M5" s="708" t="s">
        <v>173</v>
      </c>
      <c r="N5" s="915" t="s">
        <v>174</v>
      </c>
      <c r="O5" s="1559" t="s">
        <v>173</v>
      </c>
      <c r="P5" s="707" t="s">
        <v>174</v>
      </c>
      <c r="Q5" s="709" t="s">
        <v>173</v>
      </c>
      <c r="R5" s="916" t="s">
        <v>174</v>
      </c>
      <c r="S5" s="814" t="s">
        <v>173</v>
      </c>
      <c r="T5" s="785" t="s">
        <v>174</v>
      </c>
      <c r="U5" s="708" t="s">
        <v>173</v>
      </c>
      <c r="V5" s="915" t="s">
        <v>174</v>
      </c>
      <c r="W5" s="814" t="s">
        <v>173</v>
      </c>
      <c r="X5" s="785" t="s">
        <v>174</v>
      </c>
      <c r="Y5" s="4947" t="s">
        <v>173</v>
      </c>
      <c r="Z5" s="915" t="s">
        <v>174</v>
      </c>
      <c r="AA5" s="814" t="s">
        <v>173</v>
      </c>
      <c r="AB5" s="785" t="s">
        <v>174</v>
      </c>
      <c r="AC5" s="709" t="s">
        <v>173</v>
      </c>
      <c r="AD5" s="916" t="s">
        <v>174</v>
      </c>
      <c r="AE5" s="801" t="s">
        <v>173</v>
      </c>
      <c r="AF5" s="803" t="s">
        <v>174</v>
      </c>
      <c r="AG5" s="814" t="s">
        <v>173</v>
      </c>
      <c r="AH5" s="785" t="s">
        <v>174</v>
      </c>
      <c r="AI5" s="2634" t="s">
        <v>173</v>
      </c>
      <c r="AJ5" s="915" t="s">
        <v>174</v>
      </c>
      <c r="AK5" s="814" t="s">
        <v>173</v>
      </c>
      <c r="AL5" s="785" t="s">
        <v>174</v>
      </c>
      <c r="AM5" s="2678" t="s">
        <v>173</v>
      </c>
      <c r="AN5" s="915" t="s">
        <v>174</v>
      </c>
      <c r="AO5" s="814" t="s">
        <v>173</v>
      </c>
      <c r="AP5" s="785" t="s">
        <v>174</v>
      </c>
      <c r="AQ5" s="2752" t="s">
        <v>173</v>
      </c>
      <c r="AR5" s="916" t="s">
        <v>174</v>
      </c>
      <c r="AS5" s="2753" t="s">
        <v>173</v>
      </c>
      <c r="AT5" s="915" t="s">
        <v>174</v>
      </c>
      <c r="AU5" s="814" t="s">
        <v>173</v>
      </c>
      <c r="AV5" s="785" t="s">
        <v>174</v>
      </c>
      <c r="AW5" s="2806" t="s">
        <v>173</v>
      </c>
      <c r="AX5" s="915" t="s">
        <v>174</v>
      </c>
      <c r="AY5" s="814" t="s">
        <v>173</v>
      </c>
      <c r="AZ5" s="785" t="s">
        <v>174</v>
      </c>
      <c r="BA5" s="2849" t="s">
        <v>173</v>
      </c>
      <c r="BB5" s="915" t="s">
        <v>174</v>
      </c>
      <c r="BC5" s="814" t="s">
        <v>173</v>
      </c>
      <c r="BD5" s="785" t="s">
        <v>174</v>
      </c>
      <c r="BE5" s="3040" t="s">
        <v>173</v>
      </c>
      <c r="BF5" s="916" t="s">
        <v>174</v>
      </c>
      <c r="BG5" s="3042" t="s">
        <v>173</v>
      </c>
      <c r="BH5" s="803" t="s">
        <v>174</v>
      </c>
      <c r="BI5" s="3041" t="s">
        <v>173</v>
      </c>
      <c r="BJ5" s="915" t="s">
        <v>174</v>
      </c>
    </row>
    <row r="6" spans="1:66" ht="15.75" x14ac:dyDescent="0.25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7">
        <v>1</v>
      </c>
      <c r="H6" s="1423" t="s">
        <v>746</v>
      </c>
      <c r="I6" s="1428">
        <f>SUM(I7:I12)</f>
        <v>117492740.92272873</v>
      </c>
      <c r="J6" s="320">
        <f>SUM(J7:J12)</f>
        <v>105928267.36799993</v>
      </c>
      <c r="K6" s="1428">
        <f>SUM(K7:K12)</f>
        <v>121454935.41389656</v>
      </c>
      <c r="L6" s="323">
        <f>SUM(L7:L12)</f>
        <v>114960272.7</v>
      </c>
      <c r="M6" s="919">
        <f>+I6+K6</f>
        <v>238947676.33662528</v>
      </c>
      <c r="N6" s="919">
        <f>+J6+L6</f>
        <v>220888540.06799993</v>
      </c>
      <c r="O6" s="1428">
        <f>SUM(O7:O12)</f>
        <v>96405206.16177915</v>
      </c>
      <c r="P6" s="320">
        <f>SUM(P7:P12)</f>
        <v>99306169.999999821</v>
      </c>
      <c r="Q6" s="1506">
        <f>+I6+K6+O6</f>
        <v>335352882.49840444</v>
      </c>
      <c r="R6" s="360">
        <f>+J6+L6+P6</f>
        <v>320194710.06799972</v>
      </c>
      <c r="S6" s="1428">
        <f>SUM(S7:S12)</f>
        <v>82567052.97797209</v>
      </c>
      <c r="T6" s="320">
        <f>SUM(T7:T12)</f>
        <v>115619737</v>
      </c>
      <c r="U6" s="919">
        <f>+Q6+S6</f>
        <v>417919935.47637653</v>
      </c>
      <c r="V6" s="918">
        <f>+R6+T6</f>
        <v>435814447.06799972</v>
      </c>
      <c r="W6" s="1428">
        <f>SUM(W7:W12)</f>
        <v>117486169.03513563</v>
      </c>
      <c r="X6" s="320">
        <f>SUM(X7:X12)</f>
        <v>115557036.99999994</v>
      </c>
      <c r="Y6" s="919">
        <f>+U6+W6</f>
        <v>535406104.51151216</v>
      </c>
      <c r="Z6" s="919">
        <f>+V6+X6</f>
        <v>551371484.0679996</v>
      </c>
      <c r="AA6" s="1428">
        <f>SUM(AA7:AA12)</f>
        <v>113588927.30380899</v>
      </c>
      <c r="AB6" s="320">
        <f>SUM(AB7:AB12)</f>
        <v>111468482</v>
      </c>
      <c r="AC6" s="1506">
        <f>S6+W6+AA6</f>
        <v>313642149.3169167</v>
      </c>
      <c r="AD6" s="360">
        <f>T6+X6+AB6</f>
        <v>342645255.99999994</v>
      </c>
      <c r="AE6" s="920">
        <f>Q6+AC6</f>
        <v>648995031.81532121</v>
      </c>
      <c r="AF6" s="920">
        <f>R6+AD6</f>
        <v>662839966.0679996</v>
      </c>
      <c r="AG6" s="1428">
        <f>SUM(AG7:AG12)</f>
        <v>119654488.74522722</v>
      </c>
      <c r="AH6" s="320">
        <f>SUM(AH7:AH12)</f>
        <v>112905730.99999997</v>
      </c>
      <c r="AI6" s="919">
        <f>+AE6+AG6</f>
        <v>768649520.56054842</v>
      </c>
      <c r="AJ6" s="919">
        <f>+AF6+AH6</f>
        <v>775745697.0679996</v>
      </c>
      <c r="AK6" s="1428">
        <f>SUM(AK7:AK12)</f>
        <v>115853245.48355758</v>
      </c>
      <c r="AL6" s="320">
        <f>SUM(AL7:AL12)</f>
        <v>49694294.32</v>
      </c>
      <c r="AM6" s="919">
        <f>+AI6+AK6</f>
        <v>884502766.04410601</v>
      </c>
      <c r="AN6" s="919">
        <f>+AJ6+AL6</f>
        <v>825439991.38799965</v>
      </c>
      <c r="AO6" s="1428">
        <f>SUM(AO7:AO12)</f>
        <v>119654488.74522725</v>
      </c>
      <c r="AP6" s="320">
        <f>SUM(AP7:AP12)</f>
        <v>109930729</v>
      </c>
      <c r="AQ6" s="1506">
        <f>AG6+AK6+AO6</f>
        <v>355162222.97401202</v>
      </c>
      <c r="AR6" s="360">
        <f>AH6+AL6+AP6</f>
        <v>272530754.31999993</v>
      </c>
      <c r="AS6" s="919">
        <f>+AM6+AO6</f>
        <v>1004157254.7893332</v>
      </c>
      <c r="AT6" s="918">
        <f>+AN6+AP6</f>
        <v>935370720.38799965</v>
      </c>
      <c r="AU6" s="1428">
        <f>SUM(AU7:AU12)</f>
        <v>119654488.74522725</v>
      </c>
      <c r="AV6" s="323">
        <f>SUM(AV7:AV12)</f>
        <v>110785005.104</v>
      </c>
      <c r="AW6" s="919">
        <f>+AS6+AU6</f>
        <v>1123811743.5345604</v>
      </c>
      <c r="AX6" s="918">
        <f>+AT6+AV6</f>
        <v>1046155725.4919996</v>
      </c>
      <c r="AY6" s="1428">
        <f>SUM(AY7:AY12)</f>
        <v>107860937.62938064</v>
      </c>
      <c r="AZ6" s="323">
        <f>SUM(AZ7:AZ12)</f>
        <v>101744654</v>
      </c>
      <c r="BA6" s="919">
        <f>+AW6+AY6</f>
        <v>1231672681.1639411</v>
      </c>
      <c r="BB6" s="918">
        <f>+AX6+AZ6</f>
        <v>1147900379.4919996</v>
      </c>
      <c r="BC6" s="1428">
        <f>SUM(BC7:BC12)</f>
        <v>120188377.92728528</v>
      </c>
      <c r="BD6" s="323">
        <f>SUM(BD7:BD12)</f>
        <v>113782918</v>
      </c>
      <c r="BE6" s="1506">
        <f>AU6+AY6+BC6</f>
        <v>347703804.30189317</v>
      </c>
      <c r="BF6" s="360">
        <f>AV6+AZ6+BD6</f>
        <v>326312577.10399997</v>
      </c>
      <c r="BG6" s="920">
        <f>AQ6+BE6</f>
        <v>702866027.27590513</v>
      </c>
      <c r="BH6" s="920">
        <f>AR6+BF6</f>
        <v>598843331.42399991</v>
      </c>
      <c r="BI6" s="919">
        <f t="shared" ref="BI6:BJ12" si="0">+BA6+BC6</f>
        <v>1351861059.0912263</v>
      </c>
      <c r="BJ6" s="918">
        <f t="shared" si="0"/>
        <v>1261683297.4919996</v>
      </c>
      <c r="BK6" s="26"/>
      <c r="BL6" s="26"/>
      <c r="BM6" s="1222"/>
      <c r="BN6" s="1222"/>
    </row>
    <row r="7" spans="1:66" x14ac:dyDescent="0.25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4">
        <v>1.1000000000000001</v>
      </c>
      <c r="H7" s="895" t="s">
        <v>482</v>
      </c>
      <c r="I7" s="1429">
        <f t="shared" ref="I7:I12" si="1">+I56*I$3*24*1000</f>
        <v>0</v>
      </c>
      <c r="J7" s="321">
        <v>0</v>
      </c>
      <c r="K7" s="1429">
        <f t="shared" ref="K7" si="2">+K56*K$3*24*1000</f>
        <v>0</v>
      </c>
      <c r="L7" s="321"/>
      <c r="M7" s="921">
        <f t="shared" ref="M7:N47" si="3">+I7+K7</f>
        <v>0</v>
      </c>
      <c r="N7" s="921">
        <f t="shared" si="3"/>
        <v>0</v>
      </c>
      <c r="O7" s="1429">
        <f t="shared" ref="O7:O12" si="4">+O56*O$3*24*1000</f>
        <v>0</v>
      </c>
      <c r="P7" s="321"/>
      <c r="Q7" s="1507">
        <f t="shared" ref="Q7:Q47" si="5">+I7+K7+O7</f>
        <v>0</v>
      </c>
      <c r="R7" s="358">
        <f t="shared" ref="R7:R47" si="6">+J7+L7+P7</f>
        <v>0</v>
      </c>
      <c r="S7" s="1429">
        <f t="shared" ref="S7:S12" si="7">+S56*S$3*24*1000</f>
        <v>0</v>
      </c>
      <c r="T7" s="321"/>
      <c r="U7" s="921">
        <f t="shared" ref="U7:U33" si="8">+Q7+S7</f>
        <v>0</v>
      </c>
      <c r="V7" s="921">
        <f t="shared" ref="V7:V33" si="9">+R7+T7</f>
        <v>0</v>
      </c>
      <c r="W7" s="1429">
        <f t="shared" ref="W7:W12" si="10">+W56*W$3*24*1000</f>
        <v>0</v>
      </c>
      <c r="X7" s="321">
        <v>0</v>
      </c>
      <c r="Y7" s="921">
        <f t="shared" ref="Y7:Y33" si="11">+U7+W7</f>
        <v>0</v>
      </c>
      <c r="Z7" s="921">
        <f t="shared" ref="Z7:Z33" si="12">+V7+X7</f>
        <v>0</v>
      </c>
      <c r="AA7" s="1429">
        <f t="shared" ref="AA7:AA12" si="13">+AA56*AA$3*24*1000</f>
        <v>0</v>
      </c>
      <c r="AB7" s="321">
        <v>0</v>
      </c>
      <c r="AC7" s="1507">
        <f>S7+W7+AA7</f>
        <v>0</v>
      </c>
      <c r="AD7" s="1507">
        <f>T7+X7+AB7</f>
        <v>0</v>
      </c>
      <c r="AE7" s="923">
        <f>Q7+AC7</f>
        <v>0</v>
      </c>
      <c r="AF7" s="923">
        <f>R7+AD7</f>
        <v>0</v>
      </c>
      <c r="AG7" s="1429">
        <f t="shared" ref="AG7:AG12" si="14">+AG56*AG$3*24*1000</f>
        <v>0</v>
      </c>
      <c r="AH7" s="321">
        <v>0</v>
      </c>
      <c r="AI7" s="921">
        <f t="shared" ref="AI7:AI33" si="15">+AE7+AG7</f>
        <v>0</v>
      </c>
      <c r="AJ7" s="921">
        <f t="shared" ref="AJ7:AJ33" si="16">+AF7+AH7</f>
        <v>0</v>
      </c>
      <c r="AK7" s="1429">
        <f t="shared" ref="AK7:AK12" si="17">+AK56*AK$3*24*1000</f>
        <v>0</v>
      </c>
      <c r="AL7" s="321">
        <v>0</v>
      </c>
      <c r="AM7" s="921">
        <f t="shared" ref="AM7:AM33" si="18">+AI7+AK7</f>
        <v>0</v>
      </c>
      <c r="AN7" s="921">
        <f t="shared" ref="AN7:AN33" si="19">+AJ7+AL7</f>
        <v>0</v>
      </c>
      <c r="AO7" s="1429">
        <f t="shared" ref="AO7:AO12" si="20">+AO56*AO$3*24*1000</f>
        <v>0</v>
      </c>
      <c r="AP7" s="321">
        <v>0</v>
      </c>
      <c r="AQ7" s="1507">
        <f>AG7+AK7+AO7</f>
        <v>0</v>
      </c>
      <c r="AR7" s="1507">
        <f>AH7+AL7+AP7</f>
        <v>0</v>
      </c>
      <c r="AS7" s="921">
        <f t="shared" ref="AS7:AS33" si="21">+AM7+AO7</f>
        <v>0</v>
      </c>
      <c r="AT7" s="921">
        <f t="shared" ref="AT7:AT33" si="22">+AN7+AP7</f>
        <v>0</v>
      </c>
      <c r="AU7" s="1429">
        <f t="shared" ref="AU7:AU12" si="23">+AU56*AU$3*24*1000</f>
        <v>0</v>
      </c>
      <c r="AV7" s="321">
        <v>0</v>
      </c>
      <c r="AW7" s="921">
        <f t="shared" ref="AW7:AW33" si="24">+AS7+AU7</f>
        <v>0</v>
      </c>
      <c r="AX7" s="921">
        <f t="shared" ref="AX7:AX33" si="25">+AT7+AV7</f>
        <v>0</v>
      </c>
      <c r="AY7" s="1429">
        <f t="shared" ref="AY7:AY12" si="26">+AY56*AY$3*24*1000</f>
        <v>0</v>
      </c>
      <c r="AZ7" s="321">
        <v>0</v>
      </c>
      <c r="BA7" s="921">
        <f t="shared" ref="BA7:BA33" si="27">+AW7+AY7</f>
        <v>0</v>
      </c>
      <c r="BB7" s="921">
        <f t="shared" ref="BB7:BB33" si="28">+AX7+AZ7</f>
        <v>0</v>
      </c>
      <c r="BC7" s="1429">
        <f t="shared" ref="BC7:BC12" si="29">+BC56*BC$3*24*1000</f>
        <v>0</v>
      </c>
      <c r="BD7" s="321">
        <v>0</v>
      </c>
      <c r="BE7" s="1507">
        <f>AU7+AY7+BC7</f>
        <v>0</v>
      </c>
      <c r="BF7" s="1507">
        <f>AV7+AZ7+BD7</f>
        <v>0</v>
      </c>
      <c r="BG7" s="923">
        <f>AQ7+BE7</f>
        <v>0</v>
      </c>
      <c r="BH7" s="923">
        <f>AR7+BF7</f>
        <v>0</v>
      </c>
      <c r="BI7" s="921">
        <f t="shared" si="0"/>
        <v>0</v>
      </c>
      <c r="BJ7" s="921">
        <f t="shared" si="0"/>
        <v>0</v>
      </c>
      <c r="BK7" s="26"/>
      <c r="BL7" s="26"/>
      <c r="BM7" s="1222"/>
      <c r="BN7" s="1222"/>
    </row>
    <row r="8" spans="1:66" x14ac:dyDescent="0.25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4">
        <v>1.2</v>
      </c>
      <c r="H8" s="895" t="s">
        <v>587</v>
      </c>
      <c r="I8" s="1430">
        <f t="shared" si="1"/>
        <v>36091463.252194539</v>
      </c>
      <c r="J8" s="322">
        <v>28419199.999999925</v>
      </c>
      <c r="K8" s="1430">
        <f t="shared" ref="K8" si="30">+K57*K$3*24*1000</f>
        <v>39844723.250093497</v>
      </c>
      <c r="L8" s="322">
        <v>34689200</v>
      </c>
      <c r="M8" s="922">
        <f t="shared" si="3"/>
        <v>75936186.502288043</v>
      </c>
      <c r="N8" s="922">
        <f t="shared" si="3"/>
        <v>63108399.999999925</v>
      </c>
      <c r="O8" s="1430">
        <f t="shared" si="4"/>
        <v>33343222.375330269</v>
      </c>
      <c r="P8" s="322">
        <v>27524799.999999814</v>
      </c>
      <c r="Q8" s="1508">
        <f t="shared" ref="Q8:Q11" si="31">+I8+K8+O8</f>
        <v>109279408.87761831</v>
      </c>
      <c r="R8" s="359">
        <f t="shared" ref="R8:R11" si="32">+J8+L8+P8</f>
        <v>90633199.999999732</v>
      </c>
      <c r="S8" s="1430">
        <f t="shared" si="7"/>
        <v>24364998.638822272</v>
      </c>
      <c r="T8" s="322">
        <v>33474800.000000004</v>
      </c>
      <c r="U8" s="922">
        <f t="shared" si="8"/>
        <v>133644407.51644059</v>
      </c>
      <c r="V8" s="922">
        <f t="shared" si="9"/>
        <v>124107999.99999973</v>
      </c>
      <c r="W8" s="1430">
        <f t="shared" si="10"/>
        <v>38430902.980707645</v>
      </c>
      <c r="X8" s="322">
        <v>32746599.999999948</v>
      </c>
      <c r="Y8" s="922">
        <f t="shared" si="11"/>
        <v>172075310.49714822</v>
      </c>
      <c r="Z8" s="922">
        <f t="shared" si="12"/>
        <v>156854599.99999967</v>
      </c>
      <c r="AA8" s="1430">
        <f t="shared" si="13"/>
        <v>36635786.373029053</v>
      </c>
      <c r="AB8" s="322">
        <v>29863700</v>
      </c>
      <c r="AC8" s="1507">
        <f t="shared" ref="AC8:AC12" si="33">S8+W8+AA8</f>
        <v>99431687.992558971</v>
      </c>
      <c r="AD8" s="1507">
        <f t="shared" ref="AD8:AD12" si="34">T8+X8+AB8</f>
        <v>96085099.999999955</v>
      </c>
      <c r="AE8" s="923">
        <f t="shared" ref="AE8:AE12" si="35">Q8+AC8</f>
        <v>208711096.87017727</v>
      </c>
      <c r="AF8" s="923">
        <f t="shared" ref="AF8:AF12" si="36">R8+AD8</f>
        <v>186718299.9999997</v>
      </c>
      <c r="AG8" s="1430">
        <f t="shared" si="14"/>
        <v>39591106.959484957</v>
      </c>
      <c r="AH8" s="322">
        <v>30478299.999999974</v>
      </c>
      <c r="AI8" s="922">
        <f t="shared" si="15"/>
        <v>248302203.82966223</v>
      </c>
      <c r="AJ8" s="922">
        <f t="shared" si="16"/>
        <v>217196599.99999967</v>
      </c>
      <c r="AK8" s="1430">
        <f t="shared" si="17"/>
        <v>38489478.129143625</v>
      </c>
      <c r="AL8" s="322">
        <v>11127700</v>
      </c>
      <c r="AM8" s="922">
        <f t="shared" si="18"/>
        <v>286791681.95880586</v>
      </c>
      <c r="AN8" s="922">
        <f t="shared" si="19"/>
        <v>228324299.99999967</v>
      </c>
      <c r="AO8" s="1430">
        <f t="shared" si="20"/>
        <v>39955819.877610274</v>
      </c>
      <c r="AP8" s="322">
        <v>35845400</v>
      </c>
      <c r="AQ8" s="1507">
        <f t="shared" ref="AQ8:AQ12" si="37">AG8+AK8+AO8</f>
        <v>118036404.96623886</v>
      </c>
      <c r="AR8" s="1507">
        <f t="shared" ref="AR8:AR12" si="38">AH8+AL8+AP8</f>
        <v>77451399.99999997</v>
      </c>
      <c r="AS8" s="922">
        <f t="shared" si="21"/>
        <v>326747501.83641613</v>
      </c>
      <c r="AT8" s="922">
        <f t="shared" si="22"/>
        <v>264169699.99999967</v>
      </c>
      <c r="AU8" s="1430">
        <f t="shared" si="23"/>
        <v>39973484.439013772</v>
      </c>
      <c r="AV8" s="322">
        <v>35081600.000000007</v>
      </c>
      <c r="AW8" s="922">
        <f t="shared" si="24"/>
        <v>366720986.2754299</v>
      </c>
      <c r="AX8" s="922">
        <f t="shared" si="25"/>
        <v>299251299.9999997</v>
      </c>
      <c r="AY8" s="1430">
        <f t="shared" si="26"/>
        <v>36291780.355194263</v>
      </c>
      <c r="AZ8" s="322">
        <v>31225199.999999996</v>
      </c>
      <c r="BA8" s="922">
        <f t="shared" si="27"/>
        <v>403012766.63062418</v>
      </c>
      <c r="BB8" s="922">
        <f t="shared" si="28"/>
        <v>330476499.9999997</v>
      </c>
      <c r="BC8" s="1430">
        <f t="shared" si="29"/>
        <v>39826390.96131663</v>
      </c>
      <c r="BD8" s="322">
        <v>33457399.999999993</v>
      </c>
      <c r="BE8" s="1507">
        <f t="shared" ref="BE8:BE13" si="39">AU8+AY8+BC8</f>
        <v>116091655.75552467</v>
      </c>
      <c r="BF8" s="1507">
        <f t="shared" ref="BF8:BF12" si="40">AV8+AZ8+BD8</f>
        <v>99764200</v>
      </c>
      <c r="BG8" s="923">
        <f t="shared" ref="BG8:BH12" si="41">AQ8+BE8</f>
        <v>234128060.72176352</v>
      </c>
      <c r="BH8" s="923">
        <f t="shared" si="41"/>
        <v>177215599.99999997</v>
      </c>
      <c r="BI8" s="922">
        <f t="shared" si="0"/>
        <v>442839157.59194082</v>
      </c>
      <c r="BJ8" s="922">
        <f t="shared" si="0"/>
        <v>363933899.9999997</v>
      </c>
      <c r="BK8" s="26"/>
      <c r="BL8" s="26"/>
      <c r="BM8" s="1222"/>
      <c r="BN8" s="1222"/>
    </row>
    <row r="9" spans="1:66" x14ac:dyDescent="0.25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4">
        <v>1.3</v>
      </c>
      <c r="H9" s="895" t="s">
        <v>483</v>
      </c>
      <c r="I9" s="1430">
        <f t="shared" si="1"/>
        <v>3600000</v>
      </c>
      <c r="J9" s="322">
        <v>2652602.3679999998</v>
      </c>
      <c r="K9" s="1430">
        <f t="shared" ref="K9" si="42">+K58*K$3*24*1000</f>
        <v>3720000</v>
      </c>
      <c r="L9" s="322">
        <v>3582801</v>
      </c>
      <c r="M9" s="922">
        <f t="shared" si="3"/>
        <v>7320000</v>
      </c>
      <c r="N9" s="922">
        <f t="shared" si="3"/>
        <v>6235403.3679999998</v>
      </c>
      <c r="O9" s="1430">
        <f t="shared" si="4"/>
        <v>3600000</v>
      </c>
      <c r="P9" s="322">
        <v>3158400</v>
      </c>
      <c r="Q9" s="1508">
        <f t="shared" si="31"/>
        <v>10920000</v>
      </c>
      <c r="R9" s="359">
        <f t="shared" si="32"/>
        <v>9393803.3680000007</v>
      </c>
      <c r="S9" s="1430">
        <f t="shared" si="7"/>
        <v>3720000</v>
      </c>
      <c r="T9" s="322">
        <v>3845200</v>
      </c>
      <c r="U9" s="922">
        <f t="shared" si="8"/>
        <v>14640000</v>
      </c>
      <c r="V9" s="922">
        <f t="shared" si="9"/>
        <v>13239003.368000001</v>
      </c>
      <c r="W9" s="1430">
        <f t="shared" si="10"/>
        <v>3720000</v>
      </c>
      <c r="X9" s="322">
        <v>3731907</v>
      </c>
      <c r="Y9" s="922">
        <f t="shared" si="11"/>
        <v>18360000</v>
      </c>
      <c r="Z9" s="922">
        <f t="shared" si="12"/>
        <v>16970910.368000001</v>
      </c>
      <c r="AA9" s="1430">
        <f t="shared" si="13"/>
        <v>3600000</v>
      </c>
      <c r="AB9" s="322">
        <v>3443901</v>
      </c>
      <c r="AC9" s="1507">
        <f t="shared" si="33"/>
        <v>11040000</v>
      </c>
      <c r="AD9" s="1507">
        <f t="shared" si="34"/>
        <v>11021008</v>
      </c>
      <c r="AE9" s="923">
        <f t="shared" si="35"/>
        <v>21960000</v>
      </c>
      <c r="AF9" s="923">
        <f t="shared" si="36"/>
        <v>20414811.368000001</v>
      </c>
      <c r="AG9" s="1430">
        <f t="shared" si="14"/>
        <v>3720000</v>
      </c>
      <c r="AH9" s="322">
        <v>3311700</v>
      </c>
      <c r="AI9" s="922">
        <f t="shared" si="15"/>
        <v>25680000</v>
      </c>
      <c r="AJ9" s="922">
        <f t="shared" si="16"/>
        <v>23726511.368000001</v>
      </c>
      <c r="AK9" s="1430">
        <f t="shared" si="17"/>
        <v>3600000</v>
      </c>
      <c r="AL9" s="322">
        <v>2611000.3199999998</v>
      </c>
      <c r="AM9" s="922">
        <f t="shared" si="18"/>
        <v>29280000</v>
      </c>
      <c r="AN9" s="922">
        <f t="shared" si="19"/>
        <v>26337511.688000001</v>
      </c>
      <c r="AO9" s="1430">
        <f t="shared" si="20"/>
        <v>3720000</v>
      </c>
      <c r="AP9" s="322">
        <v>2794102</v>
      </c>
      <c r="AQ9" s="1507">
        <f t="shared" si="37"/>
        <v>11040000</v>
      </c>
      <c r="AR9" s="1507">
        <f t="shared" si="38"/>
        <v>8716802.3200000003</v>
      </c>
      <c r="AS9" s="922">
        <f t="shared" si="21"/>
        <v>33000000</v>
      </c>
      <c r="AT9" s="922">
        <f t="shared" si="22"/>
        <v>29131613.688000001</v>
      </c>
      <c r="AU9" s="1430">
        <f t="shared" si="23"/>
        <v>3720000</v>
      </c>
      <c r="AV9" s="322">
        <v>2852299</v>
      </c>
      <c r="AW9" s="922">
        <f t="shared" si="24"/>
        <v>36720000</v>
      </c>
      <c r="AX9" s="922">
        <f t="shared" si="25"/>
        <v>31983912.688000001</v>
      </c>
      <c r="AY9" s="1430">
        <f t="shared" si="26"/>
        <v>3360000</v>
      </c>
      <c r="AZ9" s="322">
        <v>2358998</v>
      </c>
      <c r="BA9" s="922">
        <f t="shared" si="27"/>
        <v>40080000</v>
      </c>
      <c r="BB9" s="922">
        <f t="shared" si="28"/>
        <v>34342910.688000001</v>
      </c>
      <c r="BC9" s="1430">
        <f t="shared" si="29"/>
        <v>3720000</v>
      </c>
      <c r="BD9" s="322">
        <v>2285997</v>
      </c>
      <c r="BE9" s="1507">
        <f t="shared" si="39"/>
        <v>10800000</v>
      </c>
      <c r="BF9" s="1507">
        <f t="shared" si="40"/>
        <v>7497294</v>
      </c>
      <c r="BG9" s="923">
        <f t="shared" si="41"/>
        <v>21840000</v>
      </c>
      <c r="BH9" s="923">
        <f t="shared" si="41"/>
        <v>16214096.32</v>
      </c>
      <c r="BI9" s="922">
        <f t="shared" si="0"/>
        <v>43800000</v>
      </c>
      <c r="BJ9" s="922">
        <f t="shared" si="0"/>
        <v>36628907.688000001</v>
      </c>
      <c r="BK9" s="26"/>
      <c r="BL9" s="26"/>
      <c r="BM9" s="1222"/>
      <c r="BN9" s="1222"/>
    </row>
    <row r="10" spans="1:66" ht="15.75" thickBot="1" x14ac:dyDescent="0.3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4">
        <v>1.4</v>
      </c>
      <c r="H10" s="895" t="s">
        <v>484</v>
      </c>
      <c r="I10" s="1430">
        <f t="shared" si="1"/>
        <v>76541277.670534194</v>
      </c>
      <c r="J10" s="322">
        <v>73610003</v>
      </c>
      <c r="K10" s="1430">
        <f t="shared" ref="K10" si="43">+K59*K$3*24*1000</f>
        <v>76588212.163803056</v>
      </c>
      <c r="L10" s="322">
        <v>75383046</v>
      </c>
      <c r="M10" s="922">
        <f t="shared" si="3"/>
        <v>153129489.83433723</v>
      </c>
      <c r="N10" s="922">
        <f t="shared" si="3"/>
        <v>148993049</v>
      </c>
      <c r="O10" s="1430">
        <f t="shared" si="4"/>
        <v>58201983.786448881</v>
      </c>
      <c r="P10" s="322">
        <v>67395000</v>
      </c>
      <c r="Q10" s="1508">
        <f t="shared" si="31"/>
        <v>211331473.62078613</v>
      </c>
      <c r="R10" s="359">
        <f t="shared" si="32"/>
        <v>216388049</v>
      </c>
      <c r="S10" s="1430">
        <f t="shared" si="7"/>
        <v>53180054.33914981</v>
      </c>
      <c r="T10" s="322">
        <v>77201981</v>
      </c>
      <c r="U10" s="922">
        <f t="shared" si="8"/>
        <v>264511527.95993593</v>
      </c>
      <c r="V10" s="922">
        <f t="shared" si="9"/>
        <v>293590030</v>
      </c>
      <c r="W10" s="1430">
        <f t="shared" si="10"/>
        <v>74033266.054427981</v>
      </c>
      <c r="X10" s="322">
        <v>78025000</v>
      </c>
      <c r="Y10" s="922">
        <f t="shared" si="11"/>
        <v>338544794.01436388</v>
      </c>
      <c r="Z10" s="922">
        <f t="shared" si="12"/>
        <v>371615030</v>
      </c>
      <c r="AA10" s="1430">
        <f t="shared" si="13"/>
        <v>72093140.930779934</v>
      </c>
      <c r="AB10" s="322">
        <v>77134987</v>
      </c>
      <c r="AC10" s="1507">
        <f t="shared" si="33"/>
        <v>199306461.32435772</v>
      </c>
      <c r="AD10" s="1507">
        <f t="shared" si="34"/>
        <v>232361968</v>
      </c>
      <c r="AE10" s="923">
        <f t="shared" si="35"/>
        <v>410637934.94514382</v>
      </c>
      <c r="AF10" s="923">
        <f t="shared" si="36"/>
        <v>448750017</v>
      </c>
      <c r="AG10" s="1430">
        <f t="shared" si="14"/>
        <v>75041381.785742268</v>
      </c>
      <c r="AH10" s="322">
        <v>78135985</v>
      </c>
      <c r="AI10" s="922">
        <f t="shared" si="15"/>
        <v>485679316.7308861</v>
      </c>
      <c r="AJ10" s="922">
        <f t="shared" si="16"/>
        <v>526886002</v>
      </c>
      <c r="AK10" s="1430">
        <f t="shared" si="17"/>
        <v>72503767.354413956</v>
      </c>
      <c r="AL10" s="322">
        <v>35151020</v>
      </c>
      <c r="AM10" s="922">
        <f t="shared" si="18"/>
        <v>558183084.08530009</v>
      </c>
      <c r="AN10" s="922">
        <f t="shared" si="19"/>
        <v>562037022</v>
      </c>
      <c r="AO10" s="1430">
        <f t="shared" si="20"/>
        <v>74676668.867616966</v>
      </c>
      <c r="AP10" s="322">
        <v>70365971</v>
      </c>
      <c r="AQ10" s="1507">
        <f t="shared" si="37"/>
        <v>222221818.00777316</v>
      </c>
      <c r="AR10" s="1507">
        <f t="shared" si="38"/>
        <v>183652976</v>
      </c>
      <c r="AS10" s="922">
        <f t="shared" si="21"/>
        <v>632859752.9529171</v>
      </c>
      <c r="AT10" s="922">
        <f t="shared" si="22"/>
        <v>632402993</v>
      </c>
      <c r="AU10" s="1430">
        <f t="shared" si="23"/>
        <v>74659004.306213468</v>
      </c>
      <c r="AV10" s="322">
        <v>71879983.104000002</v>
      </c>
      <c r="AW10" s="922">
        <f t="shared" si="24"/>
        <v>707518757.2591306</v>
      </c>
      <c r="AX10" s="922">
        <f t="shared" si="25"/>
        <v>704282976.10399997</v>
      </c>
      <c r="AY10" s="1430">
        <f t="shared" si="26"/>
        <v>67033157.27418638</v>
      </c>
      <c r="AZ10" s="322">
        <v>67150021</v>
      </c>
      <c r="BA10" s="922">
        <f t="shared" si="27"/>
        <v>774551914.53331697</v>
      </c>
      <c r="BB10" s="922">
        <f t="shared" si="28"/>
        <v>771432997.10399997</v>
      </c>
      <c r="BC10" s="1430">
        <f t="shared" si="29"/>
        <v>75339986.965968654</v>
      </c>
      <c r="BD10" s="322">
        <v>76826968</v>
      </c>
      <c r="BE10" s="1507">
        <f t="shared" si="39"/>
        <v>217032148.54636848</v>
      </c>
      <c r="BF10" s="1507">
        <f t="shared" si="40"/>
        <v>215856972.104</v>
      </c>
      <c r="BG10" s="923">
        <f t="shared" si="41"/>
        <v>439253966.55414164</v>
      </c>
      <c r="BH10" s="923">
        <f t="shared" si="41"/>
        <v>399509948.10399997</v>
      </c>
      <c r="BI10" s="922">
        <f t="shared" si="0"/>
        <v>849891901.49928558</v>
      </c>
      <c r="BJ10" s="922">
        <f t="shared" si="0"/>
        <v>848259965.10399997</v>
      </c>
      <c r="BK10" s="26"/>
      <c r="BL10" s="26"/>
      <c r="BM10" s="1222"/>
      <c r="BN10" s="1222"/>
    </row>
    <row r="11" spans="1:66" ht="16.5" thickBot="1" x14ac:dyDescent="0.3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4">
        <v>1.5</v>
      </c>
      <c r="H11" s="895" t="s">
        <v>485</v>
      </c>
      <c r="I11" s="1429">
        <f t="shared" si="1"/>
        <v>540000</v>
      </c>
      <c r="J11" s="322">
        <v>483099.99999999627</v>
      </c>
      <c r="K11" s="1429">
        <f t="shared" ref="K11" si="44">+K60*K$3*24*1000</f>
        <v>558000</v>
      </c>
      <c r="L11" s="322">
        <v>491550.00000000105</v>
      </c>
      <c r="M11" s="922">
        <f t="shared" si="3"/>
        <v>1098000</v>
      </c>
      <c r="N11" s="922">
        <f t="shared" si="3"/>
        <v>974649.99999999732</v>
      </c>
      <c r="O11" s="1429">
        <f t="shared" si="4"/>
        <v>540000</v>
      </c>
      <c r="P11" s="322">
        <v>482350.00000000012</v>
      </c>
      <c r="Q11" s="1507">
        <f t="shared" si="31"/>
        <v>1638000</v>
      </c>
      <c r="R11" s="358">
        <f t="shared" si="32"/>
        <v>1456999.9999999974</v>
      </c>
      <c r="S11" s="1429">
        <f t="shared" si="7"/>
        <v>558000</v>
      </c>
      <c r="T11" s="322">
        <v>504089.99999999965</v>
      </c>
      <c r="U11" s="922">
        <f t="shared" si="8"/>
        <v>2196000</v>
      </c>
      <c r="V11" s="922">
        <f t="shared" si="9"/>
        <v>1961089.9999999972</v>
      </c>
      <c r="W11" s="1429">
        <f t="shared" si="10"/>
        <v>558000</v>
      </c>
      <c r="X11" s="322">
        <v>481710.00000000093</v>
      </c>
      <c r="Y11" s="922">
        <f t="shared" si="11"/>
        <v>2754000</v>
      </c>
      <c r="Z11" s="922">
        <f t="shared" si="12"/>
        <v>2442799.9999999981</v>
      </c>
      <c r="AA11" s="1429">
        <f t="shared" si="13"/>
        <v>540000</v>
      </c>
      <c r="AB11" s="322">
        <v>459420</v>
      </c>
      <c r="AC11" s="1507">
        <f t="shared" si="33"/>
        <v>1656000</v>
      </c>
      <c r="AD11" s="1507">
        <f t="shared" si="34"/>
        <v>1445220.0000000005</v>
      </c>
      <c r="AE11" s="923">
        <f t="shared" si="35"/>
        <v>3294000</v>
      </c>
      <c r="AF11" s="923">
        <f t="shared" si="36"/>
        <v>2902219.9999999981</v>
      </c>
      <c r="AG11" s="1429">
        <f t="shared" si="14"/>
        <v>558000</v>
      </c>
      <c r="AH11" s="322">
        <v>440850.00000000309</v>
      </c>
      <c r="AI11" s="922">
        <f t="shared" si="15"/>
        <v>3852000</v>
      </c>
      <c r="AJ11" s="922">
        <f t="shared" si="16"/>
        <v>3343070.0000000014</v>
      </c>
      <c r="AK11" s="1429">
        <f t="shared" si="17"/>
        <v>540000</v>
      </c>
      <c r="AL11" s="322">
        <v>349829.99999999988</v>
      </c>
      <c r="AM11" s="922">
        <f t="shared" si="18"/>
        <v>4392000</v>
      </c>
      <c r="AN11" s="922">
        <f t="shared" si="19"/>
        <v>3692900.0000000014</v>
      </c>
      <c r="AO11" s="1429">
        <f t="shared" si="20"/>
        <v>558000</v>
      </c>
      <c r="AP11" s="322">
        <v>506160.00000000029</v>
      </c>
      <c r="AQ11" s="1507">
        <f t="shared" si="37"/>
        <v>1656000</v>
      </c>
      <c r="AR11" s="1507">
        <f t="shared" si="38"/>
        <v>1296840.0000000033</v>
      </c>
      <c r="AS11" s="922">
        <f t="shared" si="21"/>
        <v>4950000</v>
      </c>
      <c r="AT11" s="922">
        <f t="shared" si="22"/>
        <v>4199060.0000000019</v>
      </c>
      <c r="AU11" s="1429">
        <f t="shared" si="23"/>
        <v>558000</v>
      </c>
      <c r="AV11" s="322">
        <v>489979.99999999953</v>
      </c>
      <c r="AW11" s="922">
        <f t="shared" si="24"/>
        <v>5508000</v>
      </c>
      <c r="AX11" s="922">
        <f t="shared" si="25"/>
        <v>4689040.0000000019</v>
      </c>
      <c r="AY11" s="1429">
        <f t="shared" si="26"/>
        <v>504000</v>
      </c>
      <c r="AZ11" s="322">
        <v>472670.00000000076</v>
      </c>
      <c r="BA11" s="922">
        <f t="shared" si="27"/>
        <v>6012000</v>
      </c>
      <c r="BB11" s="922">
        <f t="shared" si="28"/>
        <v>5161710.0000000028</v>
      </c>
      <c r="BC11" s="1429">
        <f t="shared" si="29"/>
        <v>558000</v>
      </c>
      <c r="BD11" s="322">
        <v>495270</v>
      </c>
      <c r="BE11" s="1507">
        <f t="shared" si="39"/>
        <v>1620000</v>
      </c>
      <c r="BF11" s="1507">
        <f t="shared" si="40"/>
        <v>1457920.0000000002</v>
      </c>
      <c r="BG11" s="923">
        <f t="shared" si="41"/>
        <v>3276000</v>
      </c>
      <c r="BH11" s="923">
        <f t="shared" si="41"/>
        <v>2754760.0000000037</v>
      </c>
      <c r="BI11" s="922">
        <f t="shared" si="0"/>
        <v>6570000</v>
      </c>
      <c r="BJ11" s="922">
        <f t="shared" si="0"/>
        <v>5656980.0000000028</v>
      </c>
      <c r="BK11" s="26"/>
      <c r="BL11" s="26"/>
      <c r="BM11" s="1222"/>
      <c r="BN11" s="1222"/>
    </row>
    <row r="12" spans="1:66" s="2858" customFormat="1" ht="15.75" x14ac:dyDescent="0.25">
      <c r="A12" s="2874"/>
      <c r="B12" s="2875"/>
      <c r="C12" s="2876"/>
      <c r="D12" s="2877"/>
      <c r="E12" s="299"/>
      <c r="G12" s="914">
        <v>1.6</v>
      </c>
      <c r="H12" s="895" t="s">
        <v>1720</v>
      </c>
      <c r="I12" s="1429">
        <f t="shared" si="1"/>
        <v>720000</v>
      </c>
      <c r="J12" s="322">
        <v>763362</v>
      </c>
      <c r="K12" s="1429">
        <f t="shared" ref="K12" si="45">+K61*K$3*24*1000</f>
        <v>744000</v>
      </c>
      <c r="L12" s="322">
        <v>813675.69999999972</v>
      </c>
      <c r="M12" s="922">
        <f t="shared" ref="M12" si="46">+I12+K12</f>
        <v>1464000</v>
      </c>
      <c r="N12" s="922">
        <f t="shared" ref="N12" si="47">+J12+L12</f>
        <v>1577037.6999999997</v>
      </c>
      <c r="O12" s="1429">
        <f t="shared" si="4"/>
        <v>720000</v>
      </c>
      <c r="P12" s="322">
        <v>745620</v>
      </c>
      <c r="Q12" s="1507">
        <f t="shared" ref="Q12" si="48">+I12+K12+O12</f>
        <v>2184000</v>
      </c>
      <c r="R12" s="358">
        <f t="shared" ref="R12" si="49">+J12+L12+P12</f>
        <v>2322657.6999999997</v>
      </c>
      <c r="S12" s="1429">
        <f t="shared" si="7"/>
        <v>744000</v>
      </c>
      <c r="T12" s="322">
        <v>593666</v>
      </c>
      <c r="U12" s="922">
        <f t="shared" ref="U12" si="50">+Q12+S12</f>
        <v>2928000</v>
      </c>
      <c r="V12" s="922">
        <f t="shared" ref="V12" si="51">+R12+T12</f>
        <v>2916323.6999999997</v>
      </c>
      <c r="W12" s="1429">
        <f t="shared" si="10"/>
        <v>744000</v>
      </c>
      <c r="X12" s="322">
        <v>571820</v>
      </c>
      <c r="Y12" s="922">
        <f t="shared" si="11"/>
        <v>3672000</v>
      </c>
      <c r="Z12" s="922">
        <f t="shared" si="12"/>
        <v>3488143.6999999997</v>
      </c>
      <c r="AA12" s="1429">
        <f t="shared" si="13"/>
        <v>720000</v>
      </c>
      <c r="AB12" s="322">
        <v>566474</v>
      </c>
      <c r="AC12" s="1507">
        <f t="shared" si="33"/>
        <v>2208000</v>
      </c>
      <c r="AD12" s="1507">
        <f t="shared" si="34"/>
        <v>1731960</v>
      </c>
      <c r="AE12" s="923">
        <f t="shared" si="35"/>
        <v>4392000</v>
      </c>
      <c r="AF12" s="923">
        <f t="shared" si="36"/>
        <v>4054617.6999999997</v>
      </c>
      <c r="AG12" s="1429">
        <f t="shared" si="14"/>
        <v>744000</v>
      </c>
      <c r="AH12" s="322">
        <v>538896.00000000047</v>
      </c>
      <c r="AI12" s="922">
        <f t="shared" si="15"/>
        <v>5136000</v>
      </c>
      <c r="AJ12" s="922">
        <f t="shared" si="16"/>
        <v>4593513.7</v>
      </c>
      <c r="AK12" s="1429">
        <f t="shared" si="17"/>
        <v>720000</v>
      </c>
      <c r="AL12" s="322">
        <v>454743.9999999993</v>
      </c>
      <c r="AM12" s="922">
        <f t="shared" si="18"/>
        <v>5856000</v>
      </c>
      <c r="AN12" s="922">
        <f t="shared" si="19"/>
        <v>5048257.6999999993</v>
      </c>
      <c r="AO12" s="1429">
        <f t="shared" si="20"/>
        <v>744000</v>
      </c>
      <c r="AP12" s="322">
        <v>419096.00000000047</v>
      </c>
      <c r="AQ12" s="1507">
        <f t="shared" si="37"/>
        <v>2208000</v>
      </c>
      <c r="AR12" s="1507">
        <f t="shared" si="38"/>
        <v>1412736.0000000002</v>
      </c>
      <c r="AS12" s="922">
        <f t="shared" si="21"/>
        <v>6600000</v>
      </c>
      <c r="AT12" s="922">
        <f t="shared" si="22"/>
        <v>5467353.6999999993</v>
      </c>
      <c r="AU12" s="1429">
        <f t="shared" si="23"/>
        <v>744000</v>
      </c>
      <c r="AV12" s="322">
        <v>481142.99999999983</v>
      </c>
      <c r="AW12" s="922">
        <f t="shared" si="24"/>
        <v>7344000</v>
      </c>
      <c r="AX12" s="922">
        <f t="shared" si="25"/>
        <v>5948496.6999999993</v>
      </c>
      <c r="AY12" s="1429">
        <f t="shared" si="26"/>
        <v>672000</v>
      </c>
      <c r="AZ12" s="322">
        <v>537765.00000000047</v>
      </c>
      <c r="BA12" s="922">
        <f t="shared" si="27"/>
        <v>8016000</v>
      </c>
      <c r="BB12" s="922">
        <f t="shared" si="28"/>
        <v>6486261.6999999993</v>
      </c>
      <c r="BC12" s="1429">
        <f t="shared" si="29"/>
        <v>744000</v>
      </c>
      <c r="BD12" s="322">
        <v>717283</v>
      </c>
      <c r="BE12" s="1507">
        <f t="shared" si="39"/>
        <v>2160000</v>
      </c>
      <c r="BF12" s="1507">
        <f t="shared" si="40"/>
        <v>1736191.0000000002</v>
      </c>
      <c r="BG12" s="923">
        <f t="shared" si="41"/>
        <v>4368000</v>
      </c>
      <c r="BH12" s="923">
        <f t="shared" ref="BH12" si="52">AR12+BF12</f>
        <v>3148927.0000000005</v>
      </c>
      <c r="BI12" s="922">
        <f t="shared" si="0"/>
        <v>8760000</v>
      </c>
      <c r="BJ12" s="922">
        <f t="shared" ref="BJ12:BJ33" si="53">+BB12+BD12</f>
        <v>7203544.6999999993</v>
      </c>
      <c r="BK12" s="26"/>
      <c r="BL12" s="26"/>
      <c r="BM12" s="1222"/>
      <c r="BN12" s="1222"/>
    </row>
    <row r="13" spans="1:66" ht="15.75" x14ac:dyDescent="0.25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7">
        <v>2</v>
      </c>
      <c r="H13" s="1423" t="s">
        <v>747</v>
      </c>
      <c r="I13" s="1428">
        <f>SUM(I14:I15)</f>
        <v>2160000</v>
      </c>
      <c r="J13" s="323">
        <f>SUM(J14:J15)</f>
        <v>1204138.3357999967</v>
      </c>
      <c r="K13" s="1428">
        <f>SUM(K14:K15)</f>
        <v>2232000</v>
      </c>
      <c r="L13" s="323">
        <f>SUM(L14:L15)</f>
        <v>1304206.8549000211</v>
      </c>
      <c r="M13" s="919">
        <f t="shared" si="3"/>
        <v>4392000</v>
      </c>
      <c r="N13" s="919">
        <f t="shared" si="3"/>
        <v>2508345.1907000178</v>
      </c>
      <c r="O13" s="1428">
        <f>SUM(O14:O15)</f>
        <v>2160000</v>
      </c>
      <c r="P13" s="323">
        <f>SUM(P14:P15)</f>
        <v>1181806.5229997952</v>
      </c>
      <c r="Q13" s="1506">
        <f t="shared" si="5"/>
        <v>6552000</v>
      </c>
      <c r="R13" s="360">
        <f t="shared" si="6"/>
        <v>3690151.713699813</v>
      </c>
      <c r="S13" s="1428">
        <f>SUM(S14:S15)</f>
        <v>2232000</v>
      </c>
      <c r="T13" s="323">
        <f>SUM(T14:T15)</f>
        <v>1377135.8890000489</v>
      </c>
      <c r="U13" s="919">
        <f t="shared" si="8"/>
        <v>8784000</v>
      </c>
      <c r="V13" s="919">
        <f t="shared" si="9"/>
        <v>5067287.6026998619</v>
      </c>
      <c r="W13" s="1428">
        <f>SUM(W14:W15)</f>
        <v>2232000</v>
      </c>
      <c r="X13" s="323">
        <f>SUM(X14:X15)</f>
        <v>1582626.1399998665</v>
      </c>
      <c r="Y13" s="919">
        <f t="shared" si="11"/>
        <v>11016000</v>
      </c>
      <c r="Z13" s="919">
        <f t="shared" si="12"/>
        <v>6649913.7426997283</v>
      </c>
      <c r="AA13" s="1428">
        <f>SUM(AA14:AA15)</f>
        <v>2160000</v>
      </c>
      <c r="AB13" s="323">
        <f>SUM(AB14:AB15)</f>
        <v>1571662</v>
      </c>
      <c r="AC13" s="1506">
        <f>S13+W13+AA13</f>
        <v>6624000</v>
      </c>
      <c r="AD13" s="1506">
        <f>T13+X13+AB13</f>
        <v>4531424.0289999153</v>
      </c>
      <c r="AE13" s="920">
        <f>Q13+AC13</f>
        <v>13176000</v>
      </c>
      <c r="AF13" s="920">
        <f>R13+AD13</f>
        <v>8221575.7426997283</v>
      </c>
      <c r="AG13" s="1428">
        <f>SUM(AG14:AG15)</f>
        <v>2232000</v>
      </c>
      <c r="AH13" s="323">
        <f>SUM(AH14:AH15)</f>
        <v>1174309.543000143</v>
      </c>
      <c r="AI13" s="919">
        <f t="shared" si="15"/>
        <v>15408000</v>
      </c>
      <c r="AJ13" s="919">
        <f t="shared" si="16"/>
        <v>9395885.2856998704</v>
      </c>
      <c r="AK13" s="1428">
        <f>SUM(AK14:AK15)</f>
        <v>2160000</v>
      </c>
      <c r="AL13" s="323">
        <f>SUM(AL14:AL15)</f>
        <v>972802.51999975555</v>
      </c>
      <c r="AM13" s="919">
        <f t="shared" si="18"/>
        <v>17568000</v>
      </c>
      <c r="AN13" s="919">
        <f t="shared" si="19"/>
        <v>10368687.805699626</v>
      </c>
      <c r="AO13" s="1428">
        <f>SUM(AO14:AO15)</f>
        <v>2232000</v>
      </c>
      <c r="AP13" s="323">
        <f>SUM(AP14:AP15)</f>
        <v>1076458.4450002834</v>
      </c>
      <c r="AQ13" s="1506">
        <f>AG13+AK13+AO13</f>
        <v>6624000</v>
      </c>
      <c r="AR13" s="1506">
        <f>AH13+AL13+AP13</f>
        <v>3223570.508000182</v>
      </c>
      <c r="AS13" s="919">
        <f t="shared" si="21"/>
        <v>19800000</v>
      </c>
      <c r="AT13" s="919">
        <f t="shared" si="22"/>
        <v>11445146.250699909</v>
      </c>
      <c r="AU13" s="1428">
        <f>SUM(AU14:AU15)</f>
        <v>2232000</v>
      </c>
      <c r="AV13" s="323">
        <f>SUM(AV14:AV15)</f>
        <v>1128816.2539997473</v>
      </c>
      <c r="AW13" s="919">
        <f t="shared" si="24"/>
        <v>22032000</v>
      </c>
      <c r="AX13" s="919">
        <f t="shared" si="25"/>
        <v>12573962.504699657</v>
      </c>
      <c r="AY13" s="1428">
        <f>SUM(AY14:AY15)</f>
        <v>2015999.9999999998</v>
      </c>
      <c r="AZ13" s="323">
        <f>SUM(AZ14:AZ15)</f>
        <v>691263.83075002115</v>
      </c>
      <c r="BA13" s="919">
        <f t="shared" si="27"/>
        <v>24048000</v>
      </c>
      <c r="BB13" s="919">
        <f t="shared" si="28"/>
        <v>13265226.335449677</v>
      </c>
      <c r="BC13" s="1428">
        <f>SUM(BC14:BC15)</f>
        <v>2232000</v>
      </c>
      <c r="BD13" s="323">
        <f>SUM(BD14:BD15)</f>
        <v>677327.3128498625</v>
      </c>
      <c r="BE13" s="1507">
        <f t="shared" si="39"/>
        <v>6480000</v>
      </c>
      <c r="BF13" s="1506">
        <f>AV13+AZ13+BD13</f>
        <v>2497407.397599631</v>
      </c>
      <c r="BG13" s="920">
        <f>AQ13+BE13</f>
        <v>13104000</v>
      </c>
      <c r="BH13" s="920">
        <f>AR13+BF13</f>
        <v>5720977.905599813</v>
      </c>
      <c r="BI13" s="919">
        <f t="shared" ref="BI13:BI33" si="54">+BA13+BC13</f>
        <v>26280000</v>
      </c>
      <c r="BJ13" s="919">
        <f t="shared" si="53"/>
        <v>13942553.648299539</v>
      </c>
      <c r="BK13" s="26"/>
      <c r="BL13" s="26"/>
      <c r="BM13" s="1222"/>
      <c r="BN13" s="1222"/>
    </row>
    <row r="14" spans="1:66" ht="15.75" thickBot="1" x14ac:dyDescent="0.3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4">
        <v>2.1</v>
      </c>
      <c r="H14" s="895" t="s">
        <v>492</v>
      </c>
      <c r="I14" s="1429">
        <f>+I63*I$3*24*1000</f>
        <v>288000</v>
      </c>
      <c r="J14" s="322">
        <v>287215.91779999901</v>
      </c>
      <c r="K14" s="1429">
        <f>+K63*K$3*24*1000</f>
        <v>297600</v>
      </c>
      <c r="L14" s="322">
        <v>225405.70490000024</v>
      </c>
      <c r="M14" s="922">
        <f t="shared" si="3"/>
        <v>585600</v>
      </c>
      <c r="N14" s="922">
        <f t="shared" si="3"/>
        <v>512621.62269999925</v>
      </c>
      <c r="O14" s="1429">
        <f>+O63*O$3*24*1000</f>
        <v>288000</v>
      </c>
      <c r="P14" s="322">
        <v>321289.32300000079</v>
      </c>
      <c r="Q14" s="1507">
        <f t="shared" si="5"/>
        <v>873600</v>
      </c>
      <c r="R14" s="359">
        <f t="shared" si="6"/>
        <v>833910.94570000004</v>
      </c>
      <c r="S14" s="1429">
        <f>+S63*S$3*24*1000</f>
        <v>297600</v>
      </c>
      <c r="T14" s="322">
        <v>324704.56899999641</v>
      </c>
      <c r="U14" s="922">
        <f t="shared" si="8"/>
        <v>1171200</v>
      </c>
      <c r="V14" s="922">
        <f t="shared" si="9"/>
        <v>1158615.5146999964</v>
      </c>
      <c r="W14" s="1429">
        <f>+W63*W$3*24*1000</f>
        <v>297600</v>
      </c>
      <c r="X14" s="322">
        <v>316953.21999999881</v>
      </c>
      <c r="Y14" s="922">
        <f t="shared" si="11"/>
        <v>1468800</v>
      </c>
      <c r="Z14" s="922">
        <f t="shared" si="12"/>
        <v>1475568.7346999953</v>
      </c>
      <c r="AA14" s="1429">
        <f>+AA63*AA$3*24*1000</f>
        <v>288000</v>
      </c>
      <c r="AB14" s="322">
        <v>323862</v>
      </c>
      <c r="AC14" s="1508">
        <f t="shared" ref="AC14:AC15" si="55">S14+W14+AA14</f>
        <v>883200</v>
      </c>
      <c r="AD14" s="1508">
        <f t="shared" ref="AD14:AD15" si="56">T14+X14+AB14</f>
        <v>965519.78899999522</v>
      </c>
      <c r="AE14" s="923">
        <f t="shared" ref="AE14:AE33" si="57">Q14+AC14</f>
        <v>1756800</v>
      </c>
      <c r="AF14" s="923">
        <f t="shared" ref="AF14:AF33" si="58">R14+AD14</f>
        <v>1799430.7346999953</v>
      </c>
      <c r="AG14" s="1429">
        <f>+AG63*AG$3*24*1000</f>
        <v>297600</v>
      </c>
      <c r="AH14" s="322">
        <v>94844.94299999997</v>
      </c>
      <c r="AI14" s="922">
        <f t="shared" si="15"/>
        <v>2054400</v>
      </c>
      <c r="AJ14" s="922">
        <f t="shared" si="16"/>
        <v>1894275.6776999952</v>
      </c>
      <c r="AK14" s="1429">
        <f>+AK63*AK$3*24*1000</f>
        <v>288000</v>
      </c>
      <c r="AL14" s="322">
        <v>79389.079999996349</v>
      </c>
      <c r="AM14" s="922">
        <f t="shared" si="18"/>
        <v>2342400</v>
      </c>
      <c r="AN14" s="922">
        <f t="shared" si="19"/>
        <v>1973664.7576999916</v>
      </c>
      <c r="AO14" s="1429">
        <f>+AO63*AO$3*24*1000</f>
        <v>297600</v>
      </c>
      <c r="AP14" s="322">
        <v>281936.4450000003</v>
      </c>
      <c r="AQ14" s="1508">
        <f t="shared" ref="AQ14:AQ33" si="59">AG14+AK14+AO14</f>
        <v>883200</v>
      </c>
      <c r="AR14" s="1508">
        <f t="shared" ref="AR14:AR33" si="60">AH14+AL14+AP14</f>
        <v>456170.46799999662</v>
      </c>
      <c r="AS14" s="922">
        <f t="shared" si="21"/>
        <v>2640000</v>
      </c>
      <c r="AT14" s="922">
        <f t="shared" si="22"/>
        <v>2255601.2026999919</v>
      </c>
      <c r="AU14" s="1429">
        <f>+AU63*AU$3*24*1000</f>
        <v>297600</v>
      </c>
      <c r="AV14" s="322">
        <v>190606.90200000256</v>
      </c>
      <c r="AW14" s="922">
        <f t="shared" si="24"/>
        <v>2937600</v>
      </c>
      <c r="AX14" s="922">
        <f t="shared" si="25"/>
        <v>2446208.1046999944</v>
      </c>
      <c r="AY14" s="1429">
        <f>+AY63*AY$3*24*1000</f>
        <v>268800</v>
      </c>
      <c r="AZ14" s="322">
        <v>81370.420749994926</v>
      </c>
      <c r="BA14" s="922">
        <f t="shared" si="27"/>
        <v>3206400</v>
      </c>
      <c r="BB14" s="922">
        <f t="shared" si="28"/>
        <v>2527578.5254499894</v>
      </c>
      <c r="BC14" s="1429">
        <f>+BC63*BC$3*24*1000</f>
        <v>297600</v>
      </c>
      <c r="BD14" s="322">
        <v>144290.80285000615</v>
      </c>
      <c r="BE14" s="1508">
        <f t="shared" ref="BE14:BE33" si="61">AU14+AY14+BC14</f>
        <v>864000</v>
      </c>
      <c r="BF14" s="1508">
        <f t="shared" ref="BF14:BF33" si="62">AV14+AZ14+BD14</f>
        <v>416268.12560000364</v>
      </c>
      <c r="BG14" s="923">
        <f t="shared" ref="BG14:BH15" si="63">AQ14+BE14</f>
        <v>1747200</v>
      </c>
      <c r="BH14" s="923">
        <f t="shared" si="63"/>
        <v>872438.59360000025</v>
      </c>
      <c r="BI14" s="922">
        <f t="shared" si="54"/>
        <v>3504000</v>
      </c>
      <c r="BJ14" s="922">
        <f t="shared" si="53"/>
        <v>2671869.3282999955</v>
      </c>
      <c r="BK14" s="26"/>
      <c r="BL14" s="26"/>
      <c r="BM14" s="1222"/>
      <c r="BN14" s="1222"/>
    </row>
    <row r="15" spans="1:66" ht="16.5" thickBot="1" x14ac:dyDescent="0.3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4">
        <v>2.2000000000000002</v>
      </c>
      <c r="H15" s="895" t="s">
        <v>493</v>
      </c>
      <c r="I15" s="1429">
        <f>+I64*I$3*24*1000</f>
        <v>1872000</v>
      </c>
      <c r="J15" s="322">
        <v>916922.41799999774</v>
      </c>
      <c r="K15" s="1429">
        <f>+K64*K$3*24*1000</f>
        <v>1934400</v>
      </c>
      <c r="L15" s="322">
        <v>1078801.1500000209</v>
      </c>
      <c r="M15" s="922">
        <f t="shared" si="3"/>
        <v>3806400</v>
      </c>
      <c r="N15" s="922">
        <f t="shared" si="3"/>
        <v>1995723.5680000186</v>
      </c>
      <c r="O15" s="1429">
        <f>+O64*O$3*24*1000</f>
        <v>1872000</v>
      </c>
      <c r="P15" s="322">
        <v>860517.19999979436</v>
      </c>
      <c r="Q15" s="1507">
        <f t="shared" ref="Q15" si="64">+I15+K15+O15</f>
        <v>5678400</v>
      </c>
      <c r="R15" s="359">
        <f t="shared" ref="R15" si="65">+J15+L15+P15</f>
        <v>2856240.767999813</v>
      </c>
      <c r="S15" s="1429">
        <f>+S64*S$3*24*1000</f>
        <v>1934400</v>
      </c>
      <c r="T15" s="322">
        <v>1052431.3200000525</v>
      </c>
      <c r="U15" s="922">
        <f t="shared" si="8"/>
        <v>7612800</v>
      </c>
      <c r="V15" s="922">
        <f t="shared" si="9"/>
        <v>3908672.0879998654</v>
      </c>
      <c r="W15" s="1429">
        <f>+W64*W$3*24*1000</f>
        <v>1934400</v>
      </c>
      <c r="X15" s="322">
        <v>1265672.9199998677</v>
      </c>
      <c r="Y15" s="922">
        <f t="shared" si="11"/>
        <v>9547200</v>
      </c>
      <c r="Z15" s="922">
        <f t="shared" si="12"/>
        <v>5174345.0079997331</v>
      </c>
      <c r="AA15" s="1429">
        <f>+AA64*AA$3*24*1000</f>
        <v>1872000</v>
      </c>
      <c r="AB15" s="322">
        <v>1247800</v>
      </c>
      <c r="AC15" s="1508">
        <f t="shared" si="55"/>
        <v>5740800</v>
      </c>
      <c r="AD15" s="1508">
        <f t="shared" si="56"/>
        <v>3565904.2399999201</v>
      </c>
      <c r="AE15" s="923">
        <f t="shared" si="57"/>
        <v>11419200</v>
      </c>
      <c r="AF15" s="923">
        <f t="shared" si="58"/>
        <v>6422145.0079997331</v>
      </c>
      <c r="AG15" s="1429">
        <f>+AG64*AG$3*24*1000</f>
        <v>1934400</v>
      </c>
      <c r="AH15" s="322">
        <v>1079464.6000001431</v>
      </c>
      <c r="AI15" s="922">
        <f t="shared" si="15"/>
        <v>13353600</v>
      </c>
      <c r="AJ15" s="922">
        <f t="shared" si="16"/>
        <v>7501609.6079998761</v>
      </c>
      <c r="AK15" s="1429">
        <f>+AK64*AK$3*24*1000</f>
        <v>1872000</v>
      </c>
      <c r="AL15" s="322">
        <v>893413.4399997592</v>
      </c>
      <c r="AM15" s="922">
        <f t="shared" si="18"/>
        <v>15225600</v>
      </c>
      <c r="AN15" s="922">
        <f t="shared" si="19"/>
        <v>8395023.0479996353</v>
      </c>
      <c r="AO15" s="1429">
        <f>+AO64*AO$3*24*1000</f>
        <v>1934400</v>
      </c>
      <c r="AP15" s="322">
        <v>794522.00000028312</v>
      </c>
      <c r="AQ15" s="1508">
        <f t="shared" si="59"/>
        <v>5740800</v>
      </c>
      <c r="AR15" s="1508">
        <f t="shared" si="60"/>
        <v>2767400.0400001854</v>
      </c>
      <c r="AS15" s="922">
        <f t="shared" si="21"/>
        <v>17160000</v>
      </c>
      <c r="AT15" s="922">
        <f t="shared" si="22"/>
        <v>9189545.0479999185</v>
      </c>
      <c r="AU15" s="1429">
        <f>+AU64*AU$3*24*1000</f>
        <v>1934400</v>
      </c>
      <c r="AV15" s="322">
        <v>938209.35199974477</v>
      </c>
      <c r="AW15" s="922">
        <f t="shared" si="24"/>
        <v>19094400</v>
      </c>
      <c r="AX15" s="922">
        <f t="shared" si="25"/>
        <v>10127754.399999663</v>
      </c>
      <c r="AY15" s="1429">
        <f>+AY64*AY$3*24*1000</f>
        <v>1747199.9999999998</v>
      </c>
      <c r="AZ15" s="322">
        <v>609893.41000002623</v>
      </c>
      <c r="BA15" s="922">
        <f t="shared" si="27"/>
        <v>20841600</v>
      </c>
      <c r="BB15" s="922">
        <f t="shared" si="28"/>
        <v>10737647.809999689</v>
      </c>
      <c r="BC15" s="1429">
        <f>+BC64*BC$3*24*1000</f>
        <v>1934400</v>
      </c>
      <c r="BD15" s="322">
        <v>533036.50999985635</v>
      </c>
      <c r="BE15" s="1508">
        <f t="shared" si="61"/>
        <v>5616000</v>
      </c>
      <c r="BF15" s="1508">
        <f t="shared" si="62"/>
        <v>2081139.2719996274</v>
      </c>
      <c r="BG15" s="923">
        <f t="shared" si="63"/>
        <v>11356800</v>
      </c>
      <c r="BH15" s="923">
        <f t="shared" si="63"/>
        <v>4848539.3119998127</v>
      </c>
      <c r="BI15" s="922">
        <f t="shared" si="54"/>
        <v>22776000</v>
      </c>
      <c r="BJ15" s="922">
        <f t="shared" si="53"/>
        <v>11270684.319999546</v>
      </c>
      <c r="BK15" s="26"/>
      <c r="BL15" s="26"/>
      <c r="BM15" s="1222"/>
      <c r="BN15" s="1222"/>
    </row>
    <row r="16" spans="1:66" ht="16.5" thickBot="1" x14ac:dyDescent="0.3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7">
        <v>3</v>
      </c>
      <c r="H16" s="1423" t="s">
        <v>748</v>
      </c>
      <c r="I16" s="1428">
        <f>I6-I13</f>
        <v>115332740.92272873</v>
      </c>
      <c r="J16" s="363">
        <f>J6-J13</f>
        <v>104724129.03219993</v>
      </c>
      <c r="K16" s="1428">
        <f>K6-K13</f>
        <v>119222935.41389656</v>
      </c>
      <c r="L16" s="363">
        <f>L6-L13</f>
        <v>113656065.84509999</v>
      </c>
      <c r="M16" s="919">
        <f t="shared" si="3"/>
        <v>234555676.33662528</v>
      </c>
      <c r="N16" s="919">
        <f t="shared" si="3"/>
        <v>218380194.8772999</v>
      </c>
      <c r="O16" s="1428">
        <f>O6-O13</f>
        <v>94245206.16177915</v>
      </c>
      <c r="P16" s="363">
        <f>P6-P13</f>
        <v>98124363.477000028</v>
      </c>
      <c r="Q16" s="1506">
        <f t="shared" si="5"/>
        <v>328800882.49840444</v>
      </c>
      <c r="R16" s="360">
        <f t="shared" si="6"/>
        <v>316504558.3542999</v>
      </c>
      <c r="S16" s="1428">
        <f>S6-S13</f>
        <v>80335052.97797209</v>
      </c>
      <c r="T16" s="363">
        <f>T6-T13</f>
        <v>114242601.11099996</v>
      </c>
      <c r="U16" s="919">
        <f t="shared" si="8"/>
        <v>409135935.47637653</v>
      </c>
      <c r="V16" s="919">
        <f t="shared" si="9"/>
        <v>430747159.46529984</v>
      </c>
      <c r="W16" s="1428">
        <f>W6-W13</f>
        <v>115254169.03513563</v>
      </c>
      <c r="X16" s="363">
        <f>X6-X13</f>
        <v>113974410.86000007</v>
      </c>
      <c r="Y16" s="919">
        <f t="shared" si="11"/>
        <v>524390104.51151216</v>
      </c>
      <c r="Z16" s="919">
        <f t="shared" si="12"/>
        <v>544721570.32529998</v>
      </c>
      <c r="AA16" s="1428">
        <f>AA6-AA13</f>
        <v>111428927.30380899</v>
      </c>
      <c r="AB16" s="363">
        <f>AB6-AB13</f>
        <v>109896820</v>
      </c>
      <c r="AC16" s="1506">
        <f t="shared" ref="AC16:AD18" si="66">S16+W16+AA16</f>
        <v>307018149.3169167</v>
      </c>
      <c r="AD16" s="1506">
        <f t="shared" si="66"/>
        <v>338113831.97100002</v>
      </c>
      <c r="AE16" s="920">
        <f t="shared" si="57"/>
        <v>635819031.81532121</v>
      </c>
      <c r="AF16" s="920">
        <f t="shared" si="58"/>
        <v>654618390.32529998</v>
      </c>
      <c r="AG16" s="1428">
        <f>AG6-AG13</f>
        <v>117422488.74522722</v>
      </c>
      <c r="AH16" s="363">
        <f>AH6-AH13</f>
        <v>111731421.45699982</v>
      </c>
      <c r="AI16" s="919">
        <f t="shared" si="15"/>
        <v>753241520.56054842</v>
      </c>
      <c r="AJ16" s="919">
        <f t="shared" si="16"/>
        <v>766349811.78229976</v>
      </c>
      <c r="AK16" s="1428">
        <f>AK6-AK13</f>
        <v>113693245.48355758</v>
      </c>
      <c r="AL16" s="363">
        <f>AL6-AL13</f>
        <v>48721491.800000243</v>
      </c>
      <c r="AM16" s="919">
        <f t="shared" si="18"/>
        <v>866934766.04410601</v>
      </c>
      <c r="AN16" s="919">
        <f t="shared" si="19"/>
        <v>815071303.58229995</v>
      </c>
      <c r="AO16" s="1428">
        <f>AO6-AO13</f>
        <v>117422488.74522725</v>
      </c>
      <c r="AP16" s="363">
        <f>AP6-AP13</f>
        <v>108854270.55499971</v>
      </c>
      <c r="AQ16" s="1506">
        <f t="shared" si="59"/>
        <v>348538222.97401202</v>
      </c>
      <c r="AR16" s="1506">
        <f t="shared" si="60"/>
        <v>269307183.8119998</v>
      </c>
      <c r="AS16" s="919">
        <f t="shared" si="21"/>
        <v>984357254.78933322</v>
      </c>
      <c r="AT16" s="919">
        <f t="shared" si="22"/>
        <v>923925574.13729966</v>
      </c>
      <c r="AU16" s="1428">
        <f>AU6-AU13</f>
        <v>117422488.74522725</v>
      </c>
      <c r="AV16" s="363">
        <f>AV6-AV13</f>
        <v>109656188.85000026</v>
      </c>
      <c r="AW16" s="919">
        <f t="shared" si="24"/>
        <v>1101779743.5345604</v>
      </c>
      <c r="AX16" s="919">
        <f t="shared" si="25"/>
        <v>1033581762.9872999</v>
      </c>
      <c r="AY16" s="1428">
        <f>AY6-AY13</f>
        <v>105844937.62938064</v>
      </c>
      <c r="AZ16" s="363">
        <f>AZ6-AZ13</f>
        <v>101053390.16924998</v>
      </c>
      <c r="BA16" s="919">
        <f t="shared" si="27"/>
        <v>1207624681.1639411</v>
      </c>
      <c r="BB16" s="919">
        <f t="shared" si="28"/>
        <v>1134635153.1565499</v>
      </c>
      <c r="BC16" s="1428">
        <f>BC6-BC13</f>
        <v>117956377.92728528</v>
      </c>
      <c r="BD16" s="363">
        <f>BD6-BD13</f>
        <v>113105590.68715014</v>
      </c>
      <c r="BE16" s="1506">
        <f t="shared" si="61"/>
        <v>341223804.30189317</v>
      </c>
      <c r="BF16" s="1506">
        <f t="shared" si="62"/>
        <v>323815169.70640039</v>
      </c>
      <c r="BG16" s="920">
        <f t="shared" ref="BG16:BH17" si="67">AQ16+BE16</f>
        <v>689762027.27590513</v>
      </c>
      <c r="BH16" s="920">
        <f t="shared" si="67"/>
        <v>593122353.51840019</v>
      </c>
      <c r="BI16" s="919">
        <f t="shared" si="54"/>
        <v>1325581059.0912263</v>
      </c>
      <c r="BJ16" s="919">
        <f t="shared" si="53"/>
        <v>1247740743.8437002</v>
      </c>
      <c r="BK16" s="26"/>
      <c r="BL16" s="26"/>
      <c r="BM16" s="1222"/>
      <c r="BN16" s="1222"/>
    </row>
    <row r="17" spans="1:66" ht="15.75" x14ac:dyDescent="0.25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7">
        <v>4</v>
      </c>
      <c r="H17" s="1423" t="s">
        <v>749</v>
      </c>
      <c r="I17" s="1428">
        <f>I18+I40</f>
        <v>115332740.92272873</v>
      </c>
      <c r="J17" s="363">
        <f>J18+J40</f>
        <v>104724129.03219995</v>
      </c>
      <c r="K17" s="1428">
        <f>K18+K40</f>
        <v>119222935.41389655</v>
      </c>
      <c r="L17" s="363">
        <f>L18+L40</f>
        <v>113656065.84509999</v>
      </c>
      <c r="M17" s="919">
        <f t="shared" si="3"/>
        <v>234555676.33662528</v>
      </c>
      <c r="N17" s="919">
        <f t="shared" si="3"/>
        <v>218380194.87729993</v>
      </c>
      <c r="O17" s="1428">
        <f>O18+O40</f>
        <v>94245206.161779165</v>
      </c>
      <c r="P17" s="363">
        <f>P18+P40</f>
        <v>98124363.477000043</v>
      </c>
      <c r="Q17" s="1506">
        <f t="shared" si="5"/>
        <v>328800882.49840444</v>
      </c>
      <c r="R17" s="360">
        <f t="shared" si="6"/>
        <v>316504558.35429996</v>
      </c>
      <c r="S17" s="1428">
        <f>S18+S40</f>
        <v>80335052.977972105</v>
      </c>
      <c r="T17" s="363">
        <f>T18+T40</f>
        <v>114242601.11099994</v>
      </c>
      <c r="U17" s="919">
        <f t="shared" si="8"/>
        <v>409135935.47637653</v>
      </c>
      <c r="V17" s="919">
        <f t="shared" si="9"/>
        <v>430747159.4652999</v>
      </c>
      <c r="W17" s="1428">
        <f>W18+W40</f>
        <v>115254169.03513561</v>
      </c>
      <c r="X17" s="363">
        <f>X18+X40</f>
        <v>113974410.86000003</v>
      </c>
      <c r="Y17" s="919">
        <f t="shared" si="11"/>
        <v>524390104.51151216</v>
      </c>
      <c r="Z17" s="919">
        <f t="shared" si="12"/>
        <v>544721570.32529998</v>
      </c>
      <c r="AA17" s="1428">
        <f>AA18+AA40</f>
        <v>111428927.30380897</v>
      </c>
      <c r="AB17" s="363">
        <f>AB18+AB40</f>
        <v>109896820</v>
      </c>
      <c r="AC17" s="1506">
        <f t="shared" si="66"/>
        <v>307018149.3169167</v>
      </c>
      <c r="AD17" s="1506">
        <f t="shared" si="66"/>
        <v>338113831.97099996</v>
      </c>
      <c r="AE17" s="920">
        <f t="shared" si="57"/>
        <v>635819031.81532121</v>
      </c>
      <c r="AF17" s="920">
        <f t="shared" si="58"/>
        <v>654618390.32529998</v>
      </c>
      <c r="AG17" s="1428">
        <f>AG18+AG40</f>
        <v>117422488.7452272</v>
      </c>
      <c r="AH17" s="363">
        <f>AH18+AH40</f>
        <v>111731421.45699981</v>
      </c>
      <c r="AI17" s="919">
        <f t="shared" si="15"/>
        <v>753241520.56054842</v>
      </c>
      <c r="AJ17" s="919">
        <f t="shared" si="16"/>
        <v>766349811.78229976</v>
      </c>
      <c r="AK17" s="1428">
        <f>AK18+AK40</f>
        <v>113693245.48355755</v>
      </c>
      <c r="AL17" s="363">
        <f>AL18+AL40</f>
        <v>48721491.80000025</v>
      </c>
      <c r="AM17" s="919">
        <f t="shared" si="18"/>
        <v>866934766.04410601</v>
      </c>
      <c r="AN17" s="919">
        <f t="shared" si="19"/>
        <v>815071303.58229995</v>
      </c>
      <c r="AO17" s="1428">
        <f>AO18+AO40</f>
        <v>117422488.7452272</v>
      </c>
      <c r="AP17" s="363">
        <f>AP18+AP40</f>
        <v>108854270.55499971</v>
      </c>
      <c r="AQ17" s="1506">
        <f t="shared" si="59"/>
        <v>348538222.97401196</v>
      </c>
      <c r="AR17" s="1506">
        <f t="shared" si="60"/>
        <v>269307183.8119998</v>
      </c>
      <c r="AS17" s="919">
        <f t="shared" si="21"/>
        <v>984357254.78933322</v>
      </c>
      <c r="AT17" s="919">
        <f t="shared" si="22"/>
        <v>923925574.13729966</v>
      </c>
      <c r="AU17" s="1428">
        <f>AU18+AU40</f>
        <v>117422488.7452272</v>
      </c>
      <c r="AV17" s="363">
        <f>AV18+AV40</f>
        <v>109656188.85000023</v>
      </c>
      <c r="AW17" s="919">
        <f t="shared" si="24"/>
        <v>1101779743.5345604</v>
      </c>
      <c r="AX17" s="919">
        <f t="shared" si="25"/>
        <v>1033581762.9872999</v>
      </c>
      <c r="AY17" s="1428">
        <f>AY18+AY40</f>
        <v>105844937.62938061</v>
      </c>
      <c r="AZ17" s="363">
        <f>AZ18+AZ40</f>
        <v>101053390.16924997</v>
      </c>
      <c r="BA17" s="919">
        <f t="shared" si="27"/>
        <v>1207624681.1639411</v>
      </c>
      <c r="BB17" s="919">
        <f t="shared" si="28"/>
        <v>1134635153.1565499</v>
      </c>
      <c r="BC17" s="1428">
        <f>BC18+BC40</f>
        <v>117956377.92728525</v>
      </c>
      <c r="BD17" s="363">
        <f>BD18+BD40</f>
        <v>113105590.68715012</v>
      </c>
      <c r="BE17" s="1506">
        <f t="shared" si="61"/>
        <v>341223804.30189306</v>
      </c>
      <c r="BF17" s="1506">
        <f t="shared" si="62"/>
        <v>323815169.70640033</v>
      </c>
      <c r="BG17" s="920">
        <f t="shared" si="67"/>
        <v>689762027.27590501</v>
      </c>
      <c r="BH17" s="920">
        <f t="shared" si="67"/>
        <v>593122353.51840019</v>
      </c>
      <c r="BI17" s="919">
        <f t="shared" si="54"/>
        <v>1325581059.0912263</v>
      </c>
      <c r="BJ17" s="919">
        <f t="shared" si="53"/>
        <v>1247740743.8436999</v>
      </c>
      <c r="BK17" s="26"/>
      <c r="BL17" s="26"/>
      <c r="BM17" s="1222"/>
      <c r="BN17" s="1222"/>
    </row>
    <row r="18" spans="1:66" ht="15.75" x14ac:dyDescent="0.25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4">
        <v>4.0999999999999996</v>
      </c>
      <c r="H18" s="1424" t="s">
        <v>743</v>
      </c>
      <c r="I18" s="1431">
        <f>I19+I35</f>
        <v>105738740.92272873</v>
      </c>
      <c r="J18" s="324">
        <f>J19+J35</f>
        <v>95947870.963533282</v>
      </c>
      <c r="K18" s="1431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31">
        <f>O19+O35</f>
        <v>84651206.161779165</v>
      </c>
      <c r="P18" s="324">
        <f>P19+P35</f>
        <v>88748726.806000039</v>
      </c>
      <c r="Q18" s="1509">
        <f t="shared" si="5"/>
        <v>299699082.49840444</v>
      </c>
      <c r="R18" s="1510">
        <f t="shared" si="6"/>
        <v>288707432.96696663</v>
      </c>
      <c r="S18" s="1431">
        <f>S19+S35</f>
        <v>70421252.977972105</v>
      </c>
      <c r="T18" s="324">
        <f>T19+T35</f>
        <v>104602380.79966661</v>
      </c>
      <c r="U18" s="1597">
        <f t="shared" si="8"/>
        <v>370120335.47637653</v>
      </c>
      <c r="V18" s="1597">
        <f t="shared" si="9"/>
        <v>393309813.76663327</v>
      </c>
      <c r="W18" s="1431">
        <f>W19+W35</f>
        <v>105340369.03513561</v>
      </c>
      <c r="X18" s="324">
        <f>X19+X35</f>
        <v>104470857.97066669</v>
      </c>
      <c r="Y18" s="1597">
        <f t="shared" si="11"/>
        <v>475460704.51151216</v>
      </c>
      <c r="Z18" s="1597">
        <f t="shared" si="12"/>
        <v>497780671.73729998</v>
      </c>
      <c r="AA18" s="1431">
        <f>AA19+AA35</f>
        <v>101834927.30380897</v>
      </c>
      <c r="AB18" s="324">
        <f>AB19+AB35</f>
        <v>100884559</v>
      </c>
      <c r="AC18" s="1509">
        <f t="shared" si="66"/>
        <v>277596549.3169167</v>
      </c>
      <c r="AD18" s="1510">
        <f t="shared" si="66"/>
        <v>309957797.77033329</v>
      </c>
      <c r="AE18" s="1671">
        <f t="shared" si="57"/>
        <v>577295631.81532121</v>
      </c>
      <c r="AF18" s="1671">
        <f t="shared" si="58"/>
        <v>598665230.73729992</v>
      </c>
      <c r="AG18" s="1431">
        <f>AG19+AG35</f>
        <v>107508688.7452272</v>
      </c>
      <c r="AH18" s="324">
        <f>AH19+AH35</f>
        <v>102558923.48766647</v>
      </c>
      <c r="AI18" s="1597">
        <f t="shared" si="15"/>
        <v>684804320.56054842</v>
      </c>
      <c r="AJ18" s="1597">
        <f t="shared" si="16"/>
        <v>701224154.22496641</v>
      </c>
      <c r="AK18" s="1431">
        <f>AK19+AK35</f>
        <v>104099245.48355755</v>
      </c>
      <c r="AL18" s="324">
        <f>AL19+AL35</f>
        <v>43366394.480000243</v>
      </c>
      <c r="AM18" s="1597">
        <f t="shared" si="18"/>
        <v>788903566.04410601</v>
      </c>
      <c r="AN18" s="1597">
        <f t="shared" si="19"/>
        <v>744590548.70496666</v>
      </c>
      <c r="AO18" s="1431">
        <f>AO19+AO35</f>
        <v>107508688.7452272</v>
      </c>
      <c r="AP18" s="324">
        <f>AP19+AP35</f>
        <v>100645525.21999972</v>
      </c>
      <c r="AQ18" s="1509">
        <f t="shared" si="59"/>
        <v>319116622.97401196</v>
      </c>
      <c r="AR18" s="1510">
        <f t="shared" si="60"/>
        <v>246570843.18766642</v>
      </c>
      <c r="AS18" s="1597">
        <f t="shared" si="21"/>
        <v>896412254.78933322</v>
      </c>
      <c r="AT18" s="1597">
        <f t="shared" si="22"/>
        <v>845236073.92496634</v>
      </c>
      <c r="AU18" s="1431">
        <f>AU19+AU35</f>
        <v>107508688.7452272</v>
      </c>
      <c r="AV18" s="324">
        <f>AV19+AV35</f>
        <v>101146953.33333357</v>
      </c>
      <c r="AW18" s="1597">
        <f t="shared" si="24"/>
        <v>1003920943.5345604</v>
      </c>
      <c r="AX18" s="1597">
        <f t="shared" si="25"/>
        <v>946383027.25829995</v>
      </c>
      <c r="AY18" s="1431">
        <f>AY19+AY35</f>
        <v>96890537.629380614</v>
      </c>
      <c r="AZ18" s="324">
        <f>AZ19+AZ35</f>
        <v>93550650.0195833</v>
      </c>
      <c r="BA18" s="1597">
        <f t="shared" si="27"/>
        <v>1100811481.1639411</v>
      </c>
      <c r="BB18" s="1597">
        <f t="shared" si="28"/>
        <v>1039933677.2778833</v>
      </c>
      <c r="BC18" s="1431">
        <f>BC19+BC35</f>
        <v>108042577.92728525</v>
      </c>
      <c r="BD18" s="324">
        <f>BD19+BD35</f>
        <v>104737331.79415013</v>
      </c>
      <c r="BE18" s="1509">
        <f t="shared" si="61"/>
        <v>312441804.30189306</v>
      </c>
      <c r="BF18" s="1510">
        <f t="shared" si="62"/>
        <v>299434935.14706701</v>
      </c>
      <c r="BG18" s="1671">
        <f>AQ18+BE18</f>
        <v>631558427.27590501</v>
      </c>
      <c r="BH18" s="1671">
        <f>AR18+BF18</f>
        <v>546005778.33473349</v>
      </c>
      <c r="BI18" s="1597">
        <f t="shared" si="54"/>
        <v>1208854059.0912263</v>
      </c>
      <c r="BJ18" s="1597">
        <f t="shared" si="53"/>
        <v>1144671009.0720334</v>
      </c>
      <c r="BK18" s="26"/>
      <c r="BL18" s="26"/>
      <c r="BM18" s="1222"/>
      <c r="BN18" s="1222"/>
    </row>
    <row r="19" spans="1:66" ht="15.75" x14ac:dyDescent="0.25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5" t="s">
        <v>750</v>
      </c>
      <c r="H19" s="1425" t="s">
        <v>722</v>
      </c>
      <c r="I19" s="1432">
        <f>SUM(I20:I33)</f>
        <v>103923222.52272873</v>
      </c>
      <c r="J19" s="325">
        <f>SUM(J20:J33)</f>
        <v>94489832.949999943</v>
      </c>
      <c r="K19" s="1432">
        <f>SUM(K20:K33)</f>
        <v>107433099.73389654</v>
      </c>
      <c r="L19" s="325">
        <f>SUM(L20:L33)</f>
        <v>102322747.63999999</v>
      </c>
      <c r="M19" s="926">
        <f t="shared" si="3"/>
        <v>211356322.25662526</v>
      </c>
      <c r="N19" s="926">
        <f t="shared" si="3"/>
        <v>196812580.58999991</v>
      </c>
      <c r="O19" s="1432">
        <f>SUM(O20:O33)</f>
        <v>82333341.558379158</v>
      </c>
      <c r="P19" s="325">
        <f>SUM(P20:P33)</f>
        <v>87156891.300000042</v>
      </c>
      <c r="Q19" s="1511">
        <f t="shared" si="5"/>
        <v>293689663.81500441</v>
      </c>
      <c r="R19" s="1512">
        <f t="shared" si="6"/>
        <v>283969471.88999999</v>
      </c>
      <c r="S19" s="1432">
        <f>SUM(S20:S33)</f>
        <v>68041607.665972099</v>
      </c>
      <c r="T19" s="325">
        <f>SUM(T20:T33)</f>
        <v>102942501.67999995</v>
      </c>
      <c r="U19" s="926">
        <f t="shared" si="8"/>
        <v>361731271.48097652</v>
      </c>
      <c r="V19" s="926">
        <f t="shared" si="9"/>
        <v>386911973.56999993</v>
      </c>
      <c r="W19" s="1432">
        <f>SUM(W20:W33)</f>
        <v>102960723.72313561</v>
      </c>
      <c r="X19" s="325">
        <f>SUM(X20:X33)</f>
        <v>102774268.68000002</v>
      </c>
      <c r="Y19" s="926">
        <f t="shared" si="11"/>
        <v>464691995.20411211</v>
      </c>
      <c r="Z19" s="926">
        <f t="shared" si="12"/>
        <v>489686242.24999994</v>
      </c>
      <c r="AA19" s="1432">
        <f>SUM(AA20:AA33)</f>
        <v>99532044.74380897</v>
      </c>
      <c r="AB19" s="325">
        <f>SUM(AB20:AB33)</f>
        <v>99199221</v>
      </c>
      <c r="AC19" s="1511">
        <f t="shared" ref="AC19:AC33" si="68">S19+W19+AA19</f>
        <v>270534376.13291669</v>
      </c>
      <c r="AD19" s="1512">
        <f t="shared" ref="AD19:AD33" si="69">T19+X19+AB19</f>
        <v>304915991.35999995</v>
      </c>
      <c r="AE19" s="927">
        <f t="shared" si="57"/>
        <v>564224039.94792104</v>
      </c>
      <c r="AF19" s="927">
        <f t="shared" si="58"/>
        <v>588885463.25</v>
      </c>
      <c r="AG19" s="1432">
        <f>SUM(AG20:AG33)</f>
        <v>105129043.4332272</v>
      </c>
      <c r="AH19" s="325">
        <f>SUM(AH20:AH33)</f>
        <v>100886312.7999998</v>
      </c>
      <c r="AI19" s="926">
        <f t="shared" si="15"/>
        <v>669353083.38114822</v>
      </c>
      <c r="AJ19" s="926">
        <f t="shared" si="16"/>
        <v>689771776.04999983</v>
      </c>
      <c r="AK19" s="1432">
        <f>SUM(AK20:AK33)</f>
        <v>101796362.92355755</v>
      </c>
      <c r="AL19" s="325">
        <f>SUM(AL20:AL33)</f>
        <v>41838914.560000241</v>
      </c>
      <c r="AM19" s="926">
        <f t="shared" si="18"/>
        <v>771149446.30470574</v>
      </c>
      <c r="AN19" s="926">
        <f t="shared" si="19"/>
        <v>731610690.61000013</v>
      </c>
      <c r="AO19" s="1432">
        <f>SUM(AO20:AO33)</f>
        <v>105129043.4332272</v>
      </c>
      <c r="AP19" s="325">
        <f>SUM(AP20:AP33)</f>
        <v>99174289.999999717</v>
      </c>
      <c r="AQ19" s="1511">
        <f t="shared" si="59"/>
        <v>312054449.79001194</v>
      </c>
      <c r="AR19" s="1512">
        <f t="shared" si="60"/>
        <v>241899517.35999978</v>
      </c>
      <c r="AS19" s="926">
        <f t="shared" si="21"/>
        <v>876278489.73793292</v>
      </c>
      <c r="AT19" s="926">
        <f t="shared" si="22"/>
        <v>830784980.6099999</v>
      </c>
      <c r="AU19" s="1432">
        <f>SUM(AU20:AU33)</f>
        <v>105129043.4332272</v>
      </c>
      <c r="AV19" s="325">
        <f>SUM(AV20:AV33)</f>
        <v>99690067.000000238</v>
      </c>
      <c r="AW19" s="926">
        <f t="shared" si="24"/>
        <v>981407533.1711601</v>
      </c>
      <c r="AX19" s="926">
        <f t="shared" si="25"/>
        <v>930475047.61000013</v>
      </c>
      <c r="AY19" s="1432">
        <f>SUM(AY20:AY33)</f>
        <v>94741180.573380619</v>
      </c>
      <c r="AZ19" s="325">
        <f>SUM(AZ20:AZ33)</f>
        <v>92175466.589999959</v>
      </c>
      <c r="BA19" s="926">
        <f t="shared" si="27"/>
        <v>1076148713.7445407</v>
      </c>
      <c r="BB19" s="926">
        <f t="shared" si="28"/>
        <v>1022650514.2</v>
      </c>
      <c r="BC19" s="1432">
        <f>SUM(BC20:BC33)</f>
        <v>105662932.61528525</v>
      </c>
      <c r="BD19" s="325">
        <f>SUM(BD20:BD33)</f>
        <v>103193797.19000013</v>
      </c>
      <c r="BE19" s="1511">
        <f t="shared" si="61"/>
        <v>305533156.62189305</v>
      </c>
      <c r="BF19" s="1512">
        <f t="shared" si="62"/>
        <v>295059330.78000033</v>
      </c>
      <c r="BG19" s="920">
        <f>AQ19+BE19</f>
        <v>617587606.41190505</v>
      </c>
      <c r="BH19" s="920">
        <f>AR19+BF19</f>
        <v>536958848.1400001</v>
      </c>
      <c r="BI19" s="926">
        <f t="shared" si="54"/>
        <v>1181811646.3598258</v>
      </c>
      <c r="BJ19" s="926">
        <f t="shared" si="53"/>
        <v>1125844311.3900001</v>
      </c>
      <c r="BK19" s="26"/>
      <c r="BL19" s="26"/>
      <c r="BM19" s="1222"/>
      <c r="BN19" s="1222"/>
    </row>
    <row r="20" spans="1:66" x14ac:dyDescent="0.25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4" t="s">
        <v>751</v>
      </c>
      <c r="H20" s="895" t="s">
        <v>723</v>
      </c>
      <c r="I20" s="1430">
        <f t="shared" ref="I20:I33" si="70">+I69*I$3*24*1000</f>
        <v>5267670.03</v>
      </c>
      <c r="J20" s="322">
        <v>5114575.7499999991</v>
      </c>
      <c r="K20" s="1430">
        <f t="shared" ref="K20" si="71">+K69*K$3*24*1000</f>
        <v>5443259.0310000004</v>
      </c>
      <c r="L20" s="322">
        <v>5230424.8400000054</v>
      </c>
      <c r="M20" s="922">
        <f t="shared" si="3"/>
        <v>10710929.061000001</v>
      </c>
      <c r="N20" s="922">
        <f t="shared" si="3"/>
        <v>10345000.590000004</v>
      </c>
      <c r="O20" s="1430">
        <f t="shared" ref="O20:O33" si="72">+O69*O$3*24*1000</f>
        <v>4673460.043300001</v>
      </c>
      <c r="P20" s="322">
        <v>4886850.0000000112</v>
      </c>
      <c r="Q20" s="1508">
        <f t="shared" si="5"/>
        <v>15384389.104300002</v>
      </c>
      <c r="R20" s="359">
        <f t="shared" si="6"/>
        <v>15231850.590000015</v>
      </c>
      <c r="S20" s="1430">
        <f t="shared" ref="S20:S33" si="73">+S69*S$3*24*1000</f>
        <v>4731549.7139999997</v>
      </c>
      <c r="T20" s="322">
        <v>5206299.9999999953</v>
      </c>
      <c r="U20" s="922">
        <f t="shared" si="8"/>
        <v>20115938.818300001</v>
      </c>
      <c r="V20" s="922">
        <f t="shared" si="9"/>
        <v>20438150.590000011</v>
      </c>
      <c r="W20" s="1430">
        <f t="shared" ref="W20:W33" si="74">+W69*W$3*24*1000</f>
        <v>4979810.0384999998</v>
      </c>
      <c r="X20" s="322">
        <v>5130280.0000000075</v>
      </c>
      <c r="Y20" s="922">
        <f t="shared" si="11"/>
        <v>25095748.856800001</v>
      </c>
      <c r="Z20" s="922">
        <f t="shared" si="12"/>
        <v>25568430.590000018</v>
      </c>
      <c r="AA20" s="1430">
        <f t="shared" ref="AA20:AA33" si="75">+AA69*AA$3*24*1000</f>
        <v>4819171.0049999999</v>
      </c>
      <c r="AB20" s="322">
        <v>4762840</v>
      </c>
      <c r="AC20" s="1508">
        <f t="shared" si="68"/>
        <v>14530530.7575</v>
      </c>
      <c r="AD20" s="359">
        <f t="shared" si="69"/>
        <v>15099420.000000004</v>
      </c>
      <c r="AE20" s="923">
        <f t="shared" si="57"/>
        <v>29914919.8618</v>
      </c>
      <c r="AF20" s="923">
        <f t="shared" si="58"/>
        <v>30331270.590000018</v>
      </c>
      <c r="AG20" s="1430">
        <f t="shared" ref="AG20:AG33" si="76">+AG69*AG$3*24*1000</f>
        <v>4979810.0384999998</v>
      </c>
      <c r="AH20" s="322">
        <v>5000839.9999999776</v>
      </c>
      <c r="AI20" s="922">
        <f t="shared" si="15"/>
        <v>34894729.900299996</v>
      </c>
      <c r="AJ20" s="922">
        <f t="shared" si="16"/>
        <v>35332110.589999996</v>
      </c>
      <c r="AK20" s="1430">
        <f t="shared" ref="AK20:AK33" si="77">+AK69*AK$3*24*1000</f>
        <v>4819171.0049999999</v>
      </c>
      <c r="AL20" s="322">
        <v>4483330.0000000158</v>
      </c>
      <c r="AM20" s="922">
        <f t="shared" si="18"/>
        <v>39713900.905299999</v>
      </c>
      <c r="AN20" s="922">
        <f t="shared" si="19"/>
        <v>39815440.590000011</v>
      </c>
      <c r="AO20" s="1430">
        <f t="shared" ref="AO20:AO33" si="78">+AO69*AO$3*24*1000</f>
        <v>4979810.0384999998</v>
      </c>
      <c r="AP20" s="5990">
        <v>4868829.9999999832</v>
      </c>
      <c r="AQ20" s="1508">
        <f t="shared" si="59"/>
        <v>14778791.081999999</v>
      </c>
      <c r="AR20" s="359">
        <f t="shared" si="60"/>
        <v>14352999.999999976</v>
      </c>
      <c r="AS20" s="922">
        <f t="shared" si="21"/>
        <v>44693710.943800002</v>
      </c>
      <c r="AT20" s="922">
        <f t="shared" si="22"/>
        <v>44684270.589999996</v>
      </c>
      <c r="AU20" s="1430">
        <f t="shared" ref="AU20:AU33" si="79">+AU69*AU$3*24*1000</f>
        <v>4979810.0384999998</v>
      </c>
      <c r="AV20" s="322">
        <v>5053670.000000013</v>
      </c>
      <c r="AW20" s="922">
        <f t="shared" si="24"/>
        <v>49673520.982299998</v>
      </c>
      <c r="AX20" s="922">
        <f t="shared" si="25"/>
        <v>49737940.590000011</v>
      </c>
      <c r="AY20" s="1430">
        <f t="shared" ref="AY20:AY33" si="80">+AY69*AY$3*24*1000</f>
        <v>4497892.9380000001</v>
      </c>
      <c r="AZ20" s="322">
        <v>4831609.3899999885</v>
      </c>
      <c r="BA20" s="922">
        <f t="shared" si="27"/>
        <v>54171413.920299999</v>
      </c>
      <c r="BB20" s="922">
        <f t="shared" si="28"/>
        <v>54569549.979999997</v>
      </c>
      <c r="BC20" s="1430">
        <f t="shared" ref="BC20:BC33" si="81">+BC69*BC$3*24*1000</f>
        <v>4979810.0384999998</v>
      </c>
      <c r="BD20" s="322">
        <v>5262355.5900000036</v>
      </c>
      <c r="BE20" s="1508">
        <f t="shared" si="61"/>
        <v>14457513.015000001</v>
      </c>
      <c r="BF20" s="359">
        <f t="shared" si="62"/>
        <v>15147634.980000004</v>
      </c>
      <c r="BG20" s="923">
        <f t="shared" ref="BG20:BH33" si="82">AQ20+BE20</f>
        <v>29236304.096999999</v>
      </c>
      <c r="BH20" s="923">
        <f t="shared" si="82"/>
        <v>29500634.979999982</v>
      </c>
      <c r="BI20" s="922">
        <f t="shared" si="54"/>
        <v>59151223.958800003</v>
      </c>
      <c r="BJ20" s="922">
        <f t="shared" si="53"/>
        <v>59831905.57</v>
      </c>
      <c r="BK20" s="26"/>
      <c r="BL20" s="26"/>
      <c r="BM20" s="1222"/>
      <c r="BN20" s="1222"/>
    </row>
    <row r="21" spans="1:66" s="2674" customFormat="1" x14ac:dyDescent="0.25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4" t="s">
        <v>752</v>
      </c>
      <c r="H21" s="895" t="s">
        <v>634</v>
      </c>
      <c r="I21" s="1430">
        <f t="shared" si="70"/>
        <v>2088000</v>
      </c>
      <c r="J21" s="322">
        <v>1933940.0000000061</v>
      </c>
      <c r="K21" s="1430">
        <f t="shared" ref="K21" si="83">+K70*K$3*24*1000</f>
        <v>2157600</v>
      </c>
      <c r="L21" s="322">
        <v>2055209.999999996</v>
      </c>
      <c r="M21" s="922">
        <f t="shared" si="3"/>
        <v>4245600</v>
      </c>
      <c r="N21" s="922">
        <f t="shared" si="3"/>
        <v>3989150.0000000019</v>
      </c>
      <c r="O21" s="1430">
        <f t="shared" si="72"/>
        <v>2088000</v>
      </c>
      <c r="P21" s="322">
        <v>1569790.0000000012</v>
      </c>
      <c r="Q21" s="1508">
        <f t="shared" ref="Q21:Q33" si="84">+I21+K21+O21</f>
        <v>6333600</v>
      </c>
      <c r="R21" s="359">
        <f t="shared" ref="R21:R33" si="85">+J21+L21+P21</f>
        <v>5558940.0000000028</v>
      </c>
      <c r="S21" s="1430">
        <f t="shared" si="73"/>
        <v>2157600</v>
      </c>
      <c r="T21" s="322">
        <v>2131029.9999999972</v>
      </c>
      <c r="U21" s="922">
        <f t="shared" si="8"/>
        <v>8491200</v>
      </c>
      <c r="V21" s="922">
        <f t="shared" si="9"/>
        <v>7689970</v>
      </c>
      <c r="W21" s="1430">
        <f t="shared" si="74"/>
        <v>2157600</v>
      </c>
      <c r="X21" s="322">
        <v>2183271.0000000009</v>
      </c>
      <c r="Y21" s="922">
        <f t="shared" si="11"/>
        <v>10648800</v>
      </c>
      <c r="Z21" s="922">
        <f t="shared" si="12"/>
        <v>9873241</v>
      </c>
      <c r="AA21" s="1430">
        <f t="shared" si="75"/>
        <v>2088000</v>
      </c>
      <c r="AB21" s="322">
        <v>2150670</v>
      </c>
      <c r="AC21" s="1508">
        <f t="shared" si="68"/>
        <v>6403200</v>
      </c>
      <c r="AD21" s="359">
        <f t="shared" si="69"/>
        <v>6464970.9999999981</v>
      </c>
      <c r="AE21" s="923">
        <f t="shared" si="57"/>
        <v>12736800</v>
      </c>
      <c r="AF21" s="923">
        <f t="shared" si="58"/>
        <v>12023911</v>
      </c>
      <c r="AG21" s="1430">
        <f t="shared" si="76"/>
        <v>2157600</v>
      </c>
      <c r="AH21" s="322">
        <v>2211669.9999999972</v>
      </c>
      <c r="AI21" s="922">
        <f t="shared" si="15"/>
        <v>14894400</v>
      </c>
      <c r="AJ21" s="922">
        <f t="shared" si="16"/>
        <v>14235580.999999996</v>
      </c>
      <c r="AK21" s="1430">
        <f t="shared" si="77"/>
        <v>2088000</v>
      </c>
      <c r="AL21" s="322">
        <v>733510.0000000007</v>
      </c>
      <c r="AM21" s="922">
        <f t="shared" si="18"/>
        <v>16982400</v>
      </c>
      <c r="AN21" s="922">
        <f t="shared" si="19"/>
        <v>14969090.999999996</v>
      </c>
      <c r="AO21" s="1430">
        <f t="shared" si="78"/>
        <v>2157600</v>
      </c>
      <c r="AP21" s="5990">
        <v>2024890.0000000002</v>
      </c>
      <c r="AQ21" s="1508">
        <f t="shared" si="59"/>
        <v>6403200</v>
      </c>
      <c r="AR21" s="359">
        <f t="shared" si="60"/>
        <v>4970069.9999999981</v>
      </c>
      <c r="AS21" s="922">
        <f t="shared" si="21"/>
        <v>19140000</v>
      </c>
      <c r="AT21" s="922">
        <f t="shared" si="22"/>
        <v>16993980.999999996</v>
      </c>
      <c r="AU21" s="1430">
        <f t="shared" si="79"/>
        <v>2157600</v>
      </c>
      <c r="AV21" s="322">
        <v>2091120.0000000033</v>
      </c>
      <c r="AW21" s="922">
        <f t="shared" si="24"/>
        <v>21297600</v>
      </c>
      <c r="AX21" s="922">
        <f t="shared" si="25"/>
        <v>19085101</v>
      </c>
      <c r="AY21" s="1430">
        <f t="shared" si="80"/>
        <v>1948800.0000000002</v>
      </c>
      <c r="AZ21" s="322">
        <v>1774529.9999999972</v>
      </c>
      <c r="BA21" s="922">
        <f t="shared" si="27"/>
        <v>23246400</v>
      </c>
      <c r="BB21" s="922">
        <f t="shared" si="28"/>
        <v>20859630.999999996</v>
      </c>
      <c r="BC21" s="1430">
        <f t="shared" si="81"/>
        <v>2157600</v>
      </c>
      <c r="BD21" s="322">
        <v>2161249.9999999977</v>
      </c>
      <c r="BE21" s="1508">
        <f t="shared" si="61"/>
        <v>6264000</v>
      </c>
      <c r="BF21" s="359">
        <f t="shared" si="62"/>
        <v>6026899.9999999981</v>
      </c>
      <c r="BG21" s="923">
        <f>AQ21+BE21</f>
        <v>12667200</v>
      </c>
      <c r="BH21" s="923">
        <f t="shared" si="82"/>
        <v>10996969.999999996</v>
      </c>
      <c r="BI21" s="922">
        <f t="shared" si="54"/>
        <v>25404000</v>
      </c>
      <c r="BJ21" s="922">
        <f t="shared" si="53"/>
        <v>23020880.999999993</v>
      </c>
      <c r="BK21" s="26"/>
      <c r="BL21" s="26"/>
      <c r="BM21" s="1222"/>
      <c r="BN21" s="1222"/>
    </row>
    <row r="22" spans="1:66" x14ac:dyDescent="0.25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4" t="s">
        <v>753</v>
      </c>
      <c r="H22" s="895" t="s">
        <v>487</v>
      </c>
      <c r="I22" s="1430">
        <f t="shared" si="70"/>
        <v>11514717.277581625</v>
      </c>
      <c r="J22" s="322">
        <v>9683949.9999999814</v>
      </c>
      <c r="K22" s="1430">
        <f t="shared" ref="K22" si="86">+K71*K$3*24*1000</f>
        <v>11860620.924496397</v>
      </c>
      <c r="L22" s="322">
        <v>11134429.999999991</v>
      </c>
      <c r="M22" s="922">
        <f t="shared" si="3"/>
        <v>23375338.202078022</v>
      </c>
      <c r="N22" s="922">
        <f t="shared" si="3"/>
        <v>20818379.99999997</v>
      </c>
      <c r="O22" s="1430">
        <f t="shared" si="72"/>
        <v>8862102.3867917489</v>
      </c>
      <c r="P22" s="322">
        <v>9149889.999999987</v>
      </c>
      <c r="Q22" s="1508">
        <f t="shared" si="84"/>
        <v>32237440.588869773</v>
      </c>
      <c r="R22" s="359">
        <f t="shared" si="85"/>
        <v>29968269.999999955</v>
      </c>
      <c r="S22" s="1430">
        <f t="shared" si="73"/>
        <v>5331592.3263261029</v>
      </c>
      <c r="T22" s="322">
        <v>12388850.000000015</v>
      </c>
      <c r="U22" s="922">
        <f t="shared" si="8"/>
        <v>37569032.915195875</v>
      </c>
      <c r="V22" s="922">
        <f t="shared" si="9"/>
        <v>42357119.99999997</v>
      </c>
      <c r="W22" s="1430">
        <f t="shared" si="74"/>
        <v>12062216.193490066</v>
      </c>
      <c r="X22" s="322">
        <v>11670870</v>
      </c>
      <c r="Y22" s="922">
        <f t="shared" si="11"/>
        <v>49631249.108685941</v>
      </c>
      <c r="Z22" s="922">
        <f t="shared" si="12"/>
        <v>54027989.99999997</v>
      </c>
      <c r="AA22" s="1430">
        <f t="shared" si="75"/>
        <v>11549154.320373729</v>
      </c>
      <c r="AB22" s="322">
        <v>11386173</v>
      </c>
      <c r="AC22" s="1508">
        <f t="shared" si="68"/>
        <v>28942962.840189897</v>
      </c>
      <c r="AD22" s="359">
        <f t="shared" si="69"/>
        <v>35445893.000000015</v>
      </c>
      <c r="AE22" s="923">
        <f t="shared" si="57"/>
        <v>61180403.429059669</v>
      </c>
      <c r="AF22" s="923">
        <f t="shared" si="58"/>
        <v>65414162.99999997</v>
      </c>
      <c r="AG22" s="1430">
        <f t="shared" si="76"/>
        <v>12426073.534885483</v>
      </c>
      <c r="AH22" s="322">
        <v>11532626.999999965</v>
      </c>
      <c r="AI22" s="922">
        <f t="shared" si="15"/>
        <v>73606476.96394515</v>
      </c>
      <c r="AJ22" s="922">
        <f t="shared" si="16"/>
        <v>76946789.99999994</v>
      </c>
      <c r="AK22" s="1430">
        <f t="shared" si="77"/>
        <v>12097991.661769148</v>
      </c>
      <c r="AL22" s="322">
        <v>1573730.0000000368</v>
      </c>
      <c r="AM22" s="922">
        <f t="shared" si="18"/>
        <v>85704468.625714302</v>
      </c>
      <c r="AN22" s="922">
        <f t="shared" si="19"/>
        <v>78520519.99999997</v>
      </c>
      <c r="AO22" s="1430">
        <f t="shared" si="78"/>
        <v>12426073.534885483</v>
      </c>
      <c r="AP22" s="5990">
        <v>11462629.999999959</v>
      </c>
      <c r="AQ22" s="1508">
        <f t="shared" si="59"/>
        <v>36950138.731540114</v>
      </c>
      <c r="AR22" s="359">
        <f t="shared" si="60"/>
        <v>24568986.999999963</v>
      </c>
      <c r="AS22" s="922">
        <f t="shared" si="21"/>
        <v>98130542.160599783</v>
      </c>
      <c r="AT22" s="922">
        <f t="shared" si="22"/>
        <v>89983149.999999925</v>
      </c>
      <c r="AU22" s="1430">
        <f t="shared" si="79"/>
        <v>12426073.534885483</v>
      </c>
      <c r="AV22" s="322">
        <v>11305090.000000039</v>
      </c>
      <c r="AW22" s="922">
        <f t="shared" si="24"/>
        <v>110556615.69548526</v>
      </c>
      <c r="AX22" s="922">
        <f t="shared" si="25"/>
        <v>101288239.99999997</v>
      </c>
      <c r="AY22" s="1430">
        <f t="shared" si="80"/>
        <v>11269790.181396937</v>
      </c>
      <c r="AZ22" s="322">
        <v>10543509.99999997</v>
      </c>
      <c r="BA22" s="922">
        <f t="shared" si="27"/>
        <v>121826405.8768822</v>
      </c>
      <c r="BB22" s="922">
        <f t="shared" si="28"/>
        <v>111831749.99999994</v>
      </c>
      <c r="BC22" s="1430">
        <f t="shared" si="81"/>
        <v>12426073.534885483</v>
      </c>
      <c r="BD22" s="322">
        <v>11992050.000000013</v>
      </c>
      <c r="BE22" s="1508">
        <f t="shared" si="61"/>
        <v>36121937.251167901</v>
      </c>
      <c r="BF22" s="359">
        <f t="shared" si="62"/>
        <v>33840650.000000022</v>
      </c>
      <c r="BG22" s="923">
        <f t="shared" si="82"/>
        <v>73072075.982708007</v>
      </c>
      <c r="BH22" s="923">
        <f t="shared" si="82"/>
        <v>58409636.999999985</v>
      </c>
      <c r="BI22" s="922">
        <f t="shared" si="54"/>
        <v>134252479.41176769</v>
      </c>
      <c r="BJ22" s="922">
        <f t="shared" si="53"/>
        <v>123823799.99999996</v>
      </c>
      <c r="BK22" s="26"/>
      <c r="BL22" s="26"/>
      <c r="BM22" s="1222"/>
      <c r="BN22" s="1222"/>
    </row>
    <row r="23" spans="1:66" x14ac:dyDescent="0.25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4" t="s">
        <v>754</v>
      </c>
      <c r="H23" s="895" t="s">
        <v>724</v>
      </c>
      <c r="I23" s="1430">
        <f t="shared" si="70"/>
        <v>11845370.205535013</v>
      </c>
      <c r="J23" s="322">
        <v>10229684.000000009</v>
      </c>
      <c r="K23" s="1430">
        <f t="shared" ref="K23" si="87">+K72*K$3*24*1000</f>
        <v>12221413.704123424</v>
      </c>
      <c r="L23" s="322">
        <v>12162087.999999993</v>
      </c>
      <c r="M23" s="922">
        <f t="shared" si="3"/>
        <v>24066783.909658439</v>
      </c>
      <c r="N23" s="922">
        <f t="shared" si="3"/>
        <v>22391772</v>
      </c>
      <c r="O23" s="1430">
        <f t="shared" si="72"/>
        <v>8427619.9999999981</v>
      </c>
      <c r="P23" s="322">
        <v>10436364.000000011</v>
      </c>
      <c r="Q23" s="1508">
        <f t="shared" si="84"/>
        <v>32494403.909658439</v>
      </c>
      <c r="R23" s="359">
        <f t="shared" si="85"/>
        <v>32828136.000000011</v>
      </c>
      <c r="S23" s="1430">
        <f t="shared" si="73"/>
        <v>5961320</v>
      </c>
      <c r="T23" s="322">
        <v>11167696.999999996</v>
      </c>
      <c r="U23" s="922">
        <f t="shared" si="8"/>
        <v>38455723.909658439</v>
      </c>
      <c r="V23" s="922">
        <f t="shared" si="9"/>
        <v>43995833.000000007</v>
      </c>
      <c r="W23" s="1430">
        <f t="shared" si="74"/>
        <v>11371200</v>
      </c>
      <c r="X23" s="322">
        <v>12183166.999999994</v>
      </c>
      <c r="Y23" s="922">
        <f t="shared" si="11"/>
        <v>49826923.909658439</v>
      </c>
      <c r="Z23" s="922">
        <f t="shared" si="12"/>
        <v>56179000</v>
      </c>
      <c r="AA23" s="1430">
        <f t="shared" si="75"/>
        <v>10992160</v>
      </c>
      <c r="AB23" s="322">
        <v>11775126</v>
      </c>
      <c r="AC23" s="1508">
        <f t="shared" si="68"/>
        <v>28324680</v>
      </c>
      <c r="AD23" s="359">
        <f t="shared" si="69"/>
        <v>35125989.999999993</v>
      </c>
      <c r="AE23" s="923">
        <f t="shared" si="57"/>
        <v>60819083.909658439</v>
      </c>
      <c r="AF23" s="923">
        <f t="shared" si="58"/>
        <v>67954126</v>
      </c>
      <c r="AG23" s="1430">
        <f t="shared" si="76"/>
        <v>11845000</v>
      </c>
      <c r="AH23" s="322">
        <v>11330722.00000002</v>
      </c>
      <c r="AI23" s="922">
        <f t="shared" si="15"/>
        <v>72664083.909658432</v>
      </c>
      <c r="AJ23" s="922">
        <f t="shared" si="16"/>
        <v>79284848.000000015</v>
      </c>
      <c r="AK23" s="1430">
        <f t="shared" si="77"/>
        <v>11465960</v>
      </c>
      <c r="AL23" s="322">
        <v>3019420.0000000009</v>
      </c>
      <c r="AM23" s="922">
        <f t="shared" si="18"/>
        <v>84130043.909658432</v>
      </c>
      <c r="AN23" s="922">
        <f t="shared" si="19"/>
        <v>82304268.000000015</v>
      </c>
      <c r="AO23" s="1430">
        <f t="shared" si="78"/>
        <v>11845000</v>
      </c>
      <c r="AP23" s="5990">
        <v>11944031.999999981</v>
      </c>
      <c r="AQ23" s="1508">
        <f t="shared" si="59"/>
        <v>35155960</v>
      </c>
      <c r="AR23" s="359">
        <f t="shared" si="60"/>
        <v>26294174.000000004</v>
      </c>
      <c r="AS23" s="922">
        <f t="shared" si="21"/>
        <v>95975043.909658432</v>
      </c>
      <c r="AT23" s="922">
        <f t="shared" si="22"/>
        <v>94248300</v>
      </c>
      <c r="AU23" s="1430">
        <f t="shared" si="79"/>
        <v>11845000</v>
      </c>
      <c r="AV23" s="322">
        <v>11102732.000000043</v>
      </c>
      <c r="AW23" s="922">
        <f t="shared" si="24"/>
        <v>107820043.90965843</v>
      </c>
      <c r="AX23" s="922">
        <f t="shared" si="25"/>
        <v>105351032.00000004</v>
      </c>
      <c r="AY23" s="1430">
        <f t="shared" si="80"/>
        <v>10660500</v>
      </c>
      <c r="AZ23" s="322">
        <v>11384975.999999972</v>
      </c>
      <c r="BA23" s="922">
        <f t="shared" si="27"/>
        <v>118480543.90965843</v>
      </c>
      <c r="BB23" s="922">
        <f t="shared" si="28"/>
        <v>116736008.00000001</v>
      </c>
      <c r="BC23" s="1430">
        <f t="shared" si="81"/>
        <v>11845000</v>
      </c>
      <c r="BD23" s="322">
        <v>12297594.000000011</v>
      </c>
      <c r="BE23" s="1508">
        <f t="shared" si="61"/>
        <v>34350500</v>
      </c>
      <c r="BF23" s="359">
        <f t="shared" si="62"/>
        <v>34785302.00000003</v>
      </c>
      <c r="BG23" s="923">
        <f t="shared" si="82"/>
        <v>69506460</v>
      </c>
      <c r="BH23" s="923">
        <f t="shared" si="82"/>
        <v>61079476.00000003</v>
      </c>
      <c r="BI23" s="922">
        <f t="shared" si="54"/>
        <v>130325543.90965843</v>
      </c>
      <c r="BJ23" s="922">
        <f t="shared" si="53"/>
        <v>129033602.00000003</v>
      </c>
      <c r="BK23" s="26"/>
      <c r="BL23" s="26"/>
      <c r="BM23" s="1222"/>
      <c r="BN23" s="1222"/>
    </row>
    <row r="24" spans="1:66" x14ac:dyDescent="0.25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4" t="s">
        <v>755</v>
      </c>
      <c r="H24" s="895" t="s">
        <v>725</v>
      </c>
      <c r="I24" s="1430">
        <f t="shared" si="70"/>
        <v>21577053.824362602</v>
      </c>
      <c r="J24" s="322">
        <v>19132360.000000007</v>
      </c>
      <c r="K24" s="1430">
        <f t="shared" ref="K24" si="88">+K73*K$3*24*1000</f>
        <v>22264494.80642115</v>
      </c>
      <c r="L24" s="322">
        <v>20855320.000000004</v>
      </c>
      <c r="M24" s="922">
        <f t="shared" si="3"/>
        <v>43841548.630783752</v>
      </c>
      <c r="N24" s="922">
        <f t="shared" si="3"/>
        <v>39987680.000000015</v>
      </c>
      <c r="O24" s="1430">
        <f t="shared" si="72"/>
        <v>13846884.905660378</v>
      </c>
      <c r="P24" s="322">
        <v>15510830.000000024</v>
      </c>
      <c r="Q24" s="1508">
        <f t="shared" si="84"/>
        <v>57688433.536444128</v>
      </c>
      <c r="R24" s="359">
        <f t="shared" si="85"/>
        <v>55498510.000000037</v>
      </c>
      <c r="S24" s="1430">
        <f t="shared" si="73"/>
        <v>7690044.3396226401</v>
      </c>
      <c r="T24" s="322">
        <v>21091579.999999993</v>
      </c>
      <c r="U24" s="922">
        <f t="shared" si="8"/>
        <v>65378477.876066767</v>
      </c>
      <c r="V24" s="922">
        <f t="shared" si="9"/>
        <v>76590090.00000003</v>
      </c>
      <c r="W24" s="1430">
        <f t="shared" si="74"/>
        <v>21224454.528301887</v>
      </c>
      <c r="X24" s="322">
        <v>20600529.999999989</v>
      </c>
      <c r="Y24" s="922">
        <f t="shared" si="11"/>
        <v>86602932.404368654</v>
      </c>
      <c r="Z24" s="922">
        <f t="shared" si="12"/>
        <v>97190620.000000015</v>
      </c>
      <c r="AA24" s="1430">
        <f t="shared" si="75"/>
        <v>20515850.754716981</v>
      </c>
      <c r="AB24" s="322">
        <v>20179420</v>
      </c>
      <c r="AC24" s="1508">
        <f t="shared" si="68"/>
        <v>49430349.622641504</v>
      </c>
      <c r="AD24" s="359">
        <f t="shared" si="69"/>
        <v>61871529.999999985</v>
      </c>
      <c r="AE24" s="923">
        <f t="shared" si="57"/>
        <v>107118783.15908563</v>
      </c>
      <c r="AF24" s="923">
        <f t="shared" si="58"/>
        <v>117370040.00000003</v>
      </c>
      <c r="AG24" s="1430">
        <f t="shared" si="76"/>
        <v>22110209.245283019</v>
      </c>
      <c r="AH24" s="322">
        <v>20599819.999999993</v>
      </c>
      <c r="AI24" s="922">
        <f t="shared" si="15"/>
        <v>129228992.40436865</v>
      </c>
      <c r="AJ24" s="922">
        <f t="shared" si="16"/>
        <v>137969860.00000003</v>
      </c>
      <c r="AK24" s="1430">
        <f t="shared" si="77"/>
        <v>21401605.471698113</v>
      </c>
      <c r="AL24" s="322">
        <v>2763370.0000000028</v>
      </c>
      <c r="AM24" s="922">
        <f t="shared" si="18"/>
        <v>150630597.87606677</v>
      </c>
      <c r="AN24" s="922">
        <f t="shared" si="19"/>
        <v>140733230.00000003</v>
      </c>
      <c r="AO24" s="1430">
        <f t="shared" si="78"/>
        <v>22110209.245283019</v>
      </c>
      <c r="AP24" s="5990">
        <v>19993462.999999993</v>
      </c>
      <c r="AQ24" s="1508">
        <f t="shared" si="59"/>
        <v>65622023.96226415</v>
      </c>
      <c r="AR24" s="359">
        <f t="shared" si="60"/>
        <v>43356652.999999985</v>
      </c>
      <c r="AS24" s="922">
        <f t="shared" si="21"/>
        <v>172740807.12134978</v>
      </c>
      <c r="AT24" s="922">
        <f t="shared" si="22"/>
        <v>160726693.00000003</v>
      </c>
      <c r="AU24" s="1430">
        <f t="shared" si="79"/>
        <v>22110209.245283019</v>
      </c>
      <c r="AV24" s="322">
        <v>20402077</v>
      </c>
      <c r="AW24" s="922">
        <f t="shared" si="24"/>
        <v>194851016.36663279</v>
      </c>
      <c r="AX24" s="922">
        <f t="shared" si="25"/>
        <v>181128770.00000003</v>
      </c>
      <c r="AY24" s="1430">
        <f t="shared" si="80"/>
        <v>19895822.452830188</v>
      </c>
      <c r="AZ24" s="322">
        <v>18292260.000000015</v>
      </c>
      <c r="BA24" s="922">
        <f t="shared" si="27"/>
        <v>214746838.81946298</v>
      </c>
      <c r="BB24" s="922">
        <f t="shared" si="28"/>
        <v>199421030.00000006</v>
      </c>
      <c r="BC24" s="1430">
        <f t="shared" si="81"/>
        <v>22110209.245283019</v>
      </c>
      <c r="BD24" s="322">
        <v>19940999.999999989</v>
      </c>
      <c r="BE24" s="1508">
        <f t="shared" si="61"/>
        <v>64116240.943396226</v>
      </c>
      <c r="BF24" s="359">
        <f t="shared" si="62"/>
        <v>58635337</v>
      </c>
      <c r="BG24" s="923">
        <f t="shared" si="82"/>
        <v>129738264.90566038</v>
      </c>
      <c r="BH24" s="923">
        <f t="shared" si="82"/>
        <v>101991989.99999999</v>
      </c>
      <c r="BI24" s="922">
        <f t="shared" si="54"/>
        <v>236857048.06474599</v>
      </c>
      <c r="BJ24" s="922">
        <f t="shared" si="53"/>
        <v>219362030.00000006</v>
      </c>
      <c r="BK24" s="26"/>
      <c r="BL24" s="26"/>
      <c r="BM24" s="1222"/>
      <c r="BN24" s="1222"/>
    </row>
    <row r="25" spans="1:66" x14ac:dyDescent="0.25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4" t="s">
        <v>756</v>
      </c>
      <c r="H25" s="895" t="s">
        <v>82</v>
      </c>
      <c r="I25" s="1430">
        <f t="shared" si="70"/>
        <v>1440000</v>
      </c>
      <c r="J25" s="322">
        <v>1149949.9999999991</v>
      </c>
      <c r="K25" s="1430">
        <f t="shared" ref="K25" si="89">+K74*K$3*24*1000</f>
        <v>1488000</v>
      </c>
      <c r="L25" s="322">
        <v>1284639.9999999995</v>
      </c>
      <c r="M25" s="922">
        <f t="shared" si="3"/>
        <v>2928000</v>
      </c>
      <c r="N25" s="922">
        <f t="shared" si="3"/>
        <v>2434589.9999999986</v>
      </c>
      <c r="O25" s="1430">
        <f t="shared" si="72"/>
        <v>1368000</v>
      </c>
      <c r="P25" s="322">
        <v>967869.99999999977</v>
      </c>
      <c r="Q25" s="1508">
        <f t="shared" si="84"/>
        <v>4296000</v>
      </c>
      <c r="R25" s="359">
        <f t="shared" si="85"/>
        <v>3402459.9999999981</v>
      </c>
      <c r="S25" s="1430">
        <f t="shared" si="73"/>
        <v>1413600</v>
      </c>
      <c r="T25" s="322">
        <v>1437780.0000000049</v>
      </c>
      <c r="U25" s="922">
        <f t="shared" si="8"/>
        <v>5709600</v>
      </c>
      <c r="V25" s="922">
        <f t="shared" si="9"/>
        <v>4840240.0000000028</v>
      </c>
      <c r="W25" s="1430">
        <f t="shared" si="74"/>
        <v>1413600</v>
      </c>
      <c r="X25" s="322">
        <v>1335679.9999999958</v>
      </c>
      <c r="Y25" s="922">
        <f t="shared" si="11"/>
        <v>7123200</v>
      </c>
      <c r="Z25" s="922">
        <f t="shared" si="12"/>
        <v>6175919.9999999981</v>
      </c>
      <c r="AA25" s="1430">
        <f t="shared" si="75"/>
        <v>1368000</v>
      </c>
      <c r="AB25" s="322">
        <v>1382990</v>
      </c>
      <c r="AC25" s="1508">
        <f t="shared" si="68"/>
        <v>4195200</v>
      </c>
      <c r="AD25" s="359">
        <f t="shared" si="69"/>
        <v>4156450.0000000009</v>
      </c>
      <c r="AE25" s="923">
        <f t="shared" si="57"/>
        <v>8491200</v>
      </c>
      <c r="AF25" s="923">
        <f t="shared" si="58"/>
        <v>7558909.9999999991</v>
      </c>
      <c r="AG25" s="1430">
        <f t="shared" si="76"/>
        <v>1413600</v>
      </c>
      <c r="AH25" s="322">
        <v>1343040.0000000005</v>
      </c>
      <c r="AI25" s="922">
        <f t="shared" si="15"/>
        <v>9904800</v>
      </c>
      <c r="AJ25" s="922">
        <f t="shared" si="16"/>
        <v>8901950</v>
      </c>
      <c r="AK25" s="1430">
        <f t="shared" si="77"/>
        <v>1368000</v>
      </c>
      <c r="AL25" s="322">
        <v>196789.99999999825</v>
      </c>
      <c r="AM25" s="922">
        <f t="shared" si="18"/>
        <v>11272800</v>
      </c>
      <c r="AN25" s="922">
        <f t="shared" si="19"/>
        <v>9098739.9999999981</v>
      </c>
      <c r="AO25" s="1430">
        <f t="shared" si="78"/>
        <v>1413600</v>
      </c>
      <c r="AP25" s="5990">
        <v>1055000.000000004</v>
      </c>
      <c r="AQ25" s="1508">
        <f t="shared" si="59"/>
        <v>4195200</v>
      </c>
      <c r="AR25" s="359">
        <f t="shared" si="60"/>
        <v>2594830.0000000028</v>
      </c>
      <c r="AS25" s="922">
        <f t="shared" si="21"/>
        <v>12686400</v>
      </c>
      <c r="AT25" s="922">
        <f t="shared" si="22"/>
        <v>10153740.000000002</v>
      </c>
      <c r="AU25" s="1430">
        <f t="shared" si="79"/>
        <v>1413600</v>
      </c>
      <c r="AV25" s="322">
        <v>1108629.9999999977</v>
      </c>
      <c r="AW25" s="922">
        <f t="shared" si="24"/>
        <v>14100000</v>
      </c>
      <c r="AX25" s="922">
        <f t="shared" si="25"/>
        <v>11262370</v>
      </c>
      <c r="AY25" s="1430">
        <f t="shared" si="80"/>
        <v>1276800</v>
      </c>
      <c r="AZ25" s="322">
        <v>966620.00000000268</v>
      </c>
      <c r="BA25" s="922">
        <f t="shared" si="27"/>
        <v>15376800</v>
      </c>
      <c r="BB25" s="922">
        <f t="shared" si="28"/>
        <v>12228990.000000002</v>
      </c>
      <c r="BC25" s="1430">
        <f t="shared" si="81"/>
        <v>1413600</v>
      </c>
      <c r="BD25" s="322">
        <v>1359639.9999999993</v>
      </c>
      <c r="BE25" s="1508">
        <f t="shared" si="61"/>
        <v>4104000</v>
      </c>
      <c r="BF25" s="359">
        <f t="shared" si="62"/>
        <v>3434890</v>
      </c>
      <c r="BG25" s="923">
        <f t="shared" si="82"/>
        <v>8299200</v>
      </c>
      <c r="BH25" s="923">
        <f t="shared" si="82"/>
        <v>6029720.0000000028</v>
      </c>
      <c r="BI25" s="922">
        <f t="shared" si="54"/>
        <v>16790400</v>
      </c>
      <c r="BJ25" s="922">
        <f t="shared" si="53"/>
        <v>13588630.000000002</v>
      </c>
      <c r="BK25" s="26"/>
      <c r="BL25" s="26"/>
      <c r="BM25" s="1222"/>
      <c r="BN25" s="1222"/>
    </row>
    <row r="26" spans="1:66" x14ac:dyDescent="0.25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4" t="s">
        <v>757</v>
      </c>
      <c r="H26" s="895" t="s">
        <v>488</v>
      </c>
      <c r="I26" s="1430">
        <f t="shared" si="70"/>
        <v>7362131.9332452696</v>
      </c>
      <c r="J26" s="322">
        <v>6448268.6666666623</v>
      </c>
      <c r="K26" s="1430">
        <f t="shared" ref="K26" si="90">+K75*K$3*24*1000</f>
        <v>7621971.8838303965</v>
      </c>
      <c r="L26" s="322">
        <v>6901113.0000000075</v>
      </c>
      <c r="M26" s="922">
        <f t="shared" si="3"/>
        <v>14984103.817075666</v>
      </c>
      <c r="N26" s="922">
        <f t="shared" si="3"/>
        <v>13349381.66666667</v>
      </c>
      <c r="O26" s="1430">
        <f t="shared" si="72"/>
        <v>5197687.5000000009</v>
      </c>
      <c r="P26" s="322">
        <v>6678198.3333333302</v>
      </c>
      <c r="Q26" s="1508">
        <f t="shared" si="84"/>
        <v>20181791.317075666</v>
      </c>
      <c r="R26" s="359">
        <f t="shared" si="85"/>
        <v>20027580</v>
      </c>
      <c r="S26" s="1430">
        <f t="shared" si="73"/>
        <v>4240206.2500000009</v>
      </c>
      <c r="T26" s="322">
        <v>6986601.6666666707</v>
      </c>
      <c r="U26" s="922">
        <f t="shared" si="8"/>
        <v>24421997.567075666</v>
      </c>
      <c r="V26" s="922">
        <f t="shared" si="9"/>
        <v>27014181.666666672</v>
      </c>
      <c r="W26" s="1430">
        <f t="shared" si="74"/>
        <v>7446359.3750000009</v>
      </c>
      <c r="X26" s="322">
        <v>7920856.666666666</v>
      </c>
      <c r="Y26" s="922">
        <f t="shared" si="11"/>
        <v>31868356.942075666</v>
      </c>
      <c r="Z26" s="922">
        <f t="shared" si="12"/>
        <v>34935038.333333336</v>
      </c>
      <c r="AA26" s="1430">
        <f t="shared" si="75"/>
        <v>7200875.0000000009</v>
      </c>
      <c r="AB26" s="322">
        <v>7163542</v>
      </c>
      <c r="AC26" s="1508">
        <f t="shared" si="68"/>
        <v>18887440.625000004</v>
      </c>
      <c r="AD26" s="359">
        <f t="shared" si="69"/>
        <v>22071000.333333336</v>
      </c>
      <c r="AE26" s="923">
        <f t="shared" si="57"/>
        <v>39069231.94207567</v>
      </c>
      <c r="AF26" s="923">
        <f t="shared" si="58"/>
        <v>42098580.333333336</v>
      </c>
      <c r="AG26" s="1430">
        <f t="shared" si="76"/>
        <v>7446359.3750000009</v>
      </c>
      <c r="AH26" s="322">
        <v>7646136.6666666782</v>
      </c>
      <c r="AI26" s="922">
        <f t="shared" si="15"/>
        <v>46515591.31707567</v>
      </c>
      <c r="AJ26" s="922">
        <f t="shared" si="16"/>
        <v>49744717.000000015</v>
      </c>
      <c r="AK26" s="1430">
        <f t="shared" si="77"/>
        <v>7200875.0000000009</v>
      </c>
      <c r="AL26" s="322">
        <v>3903411.3333333209</v>
      </c>
      <c r="AM26" s="922">
        <f t="shared" si="18"/>
        <v>53716466.31707567</v>
      </c>
      <c r="AN26" s="922">
        <f t="shared" si="19"/>
        <v>53648128.333333336</v>
      </c>
      <c r="AO26" s="1430">
        <f t="shared" si="78"/>
        <v>7446359.3750000009</v>
      </c>
      <c r="AP26" s="5990">
        <v>6955442.6666666605</v>
      </c>
      <c r="AQ26" s="1508">
        <f t="shared" si="59"/>
        <v>22093593.750000004</v>
      </c>
      <c r="AR26" s="359">
        <f t="shared" si="60"/>
        <v>18504990.66666666</v>
      </c>
      <c r="AS26" s="922">
        <f t="shared" si="21"/>
        <v>61162825.69207567</v>
      </c>
      <c r="AT26" s="922">
        <f t="shared" si="22"/>
        <v>60603571</v>
      </c>
      <c r="AU26" s="1430">
        <f t="shared" si="79"/>
        <v>7446359.3750000009</v>
      </c>
      <c r="AV26" s="322">
        <v>7131146.0000000056</v>
      </c>
      <c r="AW26" s="922">
        <f t="shared" si="24"/>
        <v>68609185.06707567</v>
      </c>
      <c r="AX26" s="922">
        <f t="shared" si="25"/>
        <v>67734717</v>
      </c>
      <c r="AY26" s="1430">
        <f t="shared" si="80"/>
        <v>6628078.1250000019</v>
      </c>
      <c r="AZ26" s="322">
        <v>6484069.0000000009</v>
      </c>
      <c r="BA26" s="922">
        <f t="shared" si="27"/>
        <v>75237263.19207567</v>
      </c>
      <c r="BB26" s="922">
        <f t="shared" si="28"/>
        <v>74218786</v>
      </c>
      <c r="BC26" s="1430">
        <f t="shared" si="81"/>
        <v>7446359.3750000009</v>
      </c>
      <c r="BD26" s="322">
        <v>7313674.9999999972</v>
      </c>
      <c r="BE26" s="1508">
        <f t="shared" si="61"/>
        <v>21520796.875000004</v>
      </c>
      <c r="BF26" s="359">
        <f t="shared" si="62"/>
        <v>20928890.000000004</v>
      </c>
      <c r="BG26" s="923">
        <f t="shared" si="82"/>
        <v>43614390.625000007</v>
      </c>
      <c r="BH26" s="923">
        <f t="shared" si="82"/>
        <v>39433880.666666664</v>
      </c>
      <c r="BI26" s="922">
        <f t="shared" si="54"/>
        <v>82683622.56707567</v>
      </c>
      <c r="BJ26" s="922">
        <f t="shared" si="53"/>
        <v>81532461</v>
      </c>
      <c r="BK26" s="26"/>
      <c r="BL26" s="26"/>
      <c r="BM26" s="1222"/>
      <c r="BN26" s="1222"/>
    </row>
    <row r="27" spans="1:66" x14ac:dyDescent="0.25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4" t="s">
        <v>759</v>
      </c>
      <c r="H27" s="895" t="s">
        <v>489</v>
      </c>
      <c r="I27" s="1430">
        <f t="shared" si="70"/>
        <v>6233283.9851005385</v>
      </c>
      <c r="J27" s="322">
        <v>5507826.6666666735</v>
      </c>
      <c r="K27" s="1430">
        <f t="shared" ref="K27" si="91">+K76*K$3*24*1000</f>
        <v>6479334.6687229276</v>
      </c>
      <c r="L27" s="322">
        <v>6109584.9999999991</v>
      </c>
      <c r="M27" s="922">
        <f t="shared" si="3"/>
        <v>12712618.653823465</v>
      </c>
      <c r="N27" s="922">
        <f t="shared" si="3"/>
        <v>11617411.666666672</v>
      </c>
      <c r="O27" s="1430">
        <f t="shared" si="72"/>
        <v>4011233.1606217609</v>
      </c>
      <c r="P27" s="322">
        <v>4746618.3333333274</v>
      </c>
      <c r="Q27" s="1508">
        <f t="shared" si="84"/>
        <v>16723851.814445226</v>
      </c>
      <c r="R27" s="359">
        <f t="shared" si="85"/>
        <v>16364030</v>
      </c>
      <c r="S27" s="1430">
        <f t="shared" si="73"/>
        <v>3188225.9067357518</v>
      </c>
      <c r="T27" s="322">
        <v>6111471.6666666679</v>
      </c>
      <c r="U27" s="922">
        <f t="shared" si="8"/>
        <v>19912077.721180975</v>
      </c>
      <c r="V27" s="922">
        <f t="shared" si="9"/>
        <v>22475501.666666668</v>
      </c>
      <c r="W27" s="1430">
        <f t="shared" si="74"/>
        <v>6325388.6010362692</v>
      </c>
      <c r="X27" s="322">
        <v>6034416.6666666726</v>
      </c>
      <c r="Y27" s="922">
        <f t="shared" si="11"/>
        <v>26237466.322217245</v>
      </c>
      <c r="Z27" s="922">
        <f t="shared" si="12"/>
        <v>28509918.33333334</v>
      </c>
      <c r="AA27" s="1430">
        <f t="shared" si="75"/>
        <v>6127720.2072538845</v>
      </c>
      <c r="AB27" s="322">
        <v>5988282</v>
      </c>
      <c r="AC27" s="1508">
        <f t="shared" si="68"/>
        <v>15641334.715025906</v>
      </c>
      <c r="AD27" s="359">
        <f t="shared" si="69"/>
        <v>18134170.33333334</v>
      </c>
      <c r="AE27" s="923">
        <f t="shared" si="57"/>
        <v>32365186.529471129</v>
      </c>
      <c r="AF27" s="923">
        <f t="shared" si="58"/>
        <v>34498200.333333343</v>
      </c>
      <c r="AG27" s="1430">
        <f t="shared" si="76"/>
        <v>6325388.6010362692</v>
      </c>
      <c r="AH27" s="322">
        <v>5771476.6666666688</v>
      </c>
      <c r="AI27" s="922">
        <f t="shared" si="15"/>
        <v>38690575.130507395</v>
      </c>
      <c r="AJ27" s="922">
        <f t="shared" si="16"/>
        <v>40269677.000000015</v>
      </c>
      <c r="AK27" s="1430">
        <f t="shared" si="77"/>
        <v>6127720.2072538845</v>
      </c>
      <c r="AL27" s="322">
        <v>1297988.3333333321</v>
      </c>
      <c r="AM27" s="922">
        <f t="shared" si="18"/>
        <v>44818295.337761283</v>
      </c>
      <c r="AN27" s="922">
        <f t="shared" si="19"/>
        <v>41567665.333333343</v>
      </c>
      <c r="AO27" s="1430">
        <f t="shared" si="78"/>
        <v>6325388.6010362692</v>
      </c>
      <c r="AP27" s="5990">
        <v>5964551.6666666651</v>
      </c>
      <c r="AQ27" s="1508">
        <f t="shared" si="59"/>
        <v>18778497.409326423</v>
      </c>
      <c r="AR27" s="359">
        <f t="shared" si="60"/>
        <v>13034016.666666666</v>
      </c>
      <c r="AS27" s="922">
        <f t="shared" si="21"/>
        <v>51143683.938797548</v>
      </c>
      <c r="AT27" s="922">
        <f t="shared" si="22"/>
        <v>47532217.000000007</v>
      </c>
      <c r="AU27" s="1430">
        <f t="shared" si="79"/>
        <v>6325388.6010362692</v>
      </c>
      <c r="AV27" s="322">
        <v>5982429.999999987</v>
      </c>
      <c r="AW27" s="922">
        <f t="shared" si="24"/>
        <v>57469072.539833814</v>
      </c>
      <c r="AX27" s="922">
        <f t="shared" si="25"/>
        <v>53514646.999999993</v>
      </c>
      <c r="AY27" s="1430">
        <f t="shared" si="80"/>
        <v>5732383.4196891198</v>
      </c>
      <c r="AZ27" s="322">
        <v>5421545.0000000056</v>
      </c>
      <c r="BA27" s="922">
        <f t="shared" si="27"/>
        <v>63201455.959522933</v>
      </c>
      <c r="BB27" s="922">
        <f t="shared" si="28"/>
        <v>58936192</v>
      </c>
      <c r="BC27" s="1430">
        <f t="shared" si="81"/>
        <v>6325388.6010362692</v>
      </c>
      <c r="BD27" s="322">
        <v>6017245.0000000037</v>
      </c>
      <c r="BE27" s="1508">
        <f t="shared" si="61"/>
        <v>18383160.621761657</v>
      </c>
      <c r="BF27" s="359">
        <f t="shared" si="62"/>
        <v>17421219.999999996</v>
      </c>
      <c r="BG27" s="923">
        <f t="shared" si="82"/>
        <v>37161658.031088084</v>
      </c>
      <c r="BH27" s="923">
        <f t="shared" si="82"/>
        <v>30455236.666666664</v>
      </c>
      <c r="BI27" s="922">
        <f t="shared" si="54"/>
        <v>69526844.560559198</v>
      </c>
      <c r="BJ27" s="922">
        <f t="shared" si="53"/>
        <v>64953437</v>
      </c>
      <c r="BK27" s="26"/>
      <c r="BL27" s="26"/>
      <c r="BM27" s="1222"/>
      <c r="BN27" s="1222"/>
    </row>
    <row r="28" spans="1:66" x14ac:dyDescent="0.25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4" t="s">
        <v>761</v>
      </c>
      <c r="H28" s="895" t="s">
        <v>490</v>
      </c>
      <c r="I28" s="1430">
        <f t="shared" si="70"/>
        <v>5418995.2669036752</v>
      </c>
      <c r="J28" s="322">
        <v>3834116.8666666714</v>
      </c>
      <c r="K28" s="1430">
        <f t="shared" ref="K28" si="92">+K77*K$3*24*1000</f>
        <v>5681204.7153022392</v>
      </c>
      <c r="L28" s="322">
        <v>4383551.9999999981</v>
      </c>
      <c r="M28" s="922">
        <f t="shared" si="3"/>
        <v>11100199.982205914</v>
      </c>
      <c r="N28" s="922">
        <f t="shared" si="3"/>
        <v>8217668.866666669</v>
      </c>
      <c r="O28" s="1430">
        <f t="shared" si="72"/>
        <v>3258353.5620052773</v>
      </c>
      <c r="P28" s="322">
        <v>2927596.3333333358</v>
      </c>
      <c r="Q28" s="1508">
        <f t="shared" si="84"/>
        <v>14358553.544211192</v>
      </c>
      <c r="R28" s="359">
        <f t="shared" si="85"/>
        <v>11145265.200000005</v>
      </c>
      <c r="S28" s="1430">
        <f t="shared" si="73"/>
        <v>1707469.1292875991</v>
      </c>
      <c r="T28" s="322">
        <v>3775251.6666666595</v>
      </c>
      <c r="U28" s="922">
        <f t="shared" si="8"/>
        <v>16066022.673498791</v>
      </c>
      <c r="V28" s="922">
        <f t="shared" si="9"/>
        <v>14920516.866666663</v>
      </c>
      <c r="W28" s="1430">
        <f t="shared" si="74"/>
        <v>4360094.9868073873</v>
      </c>
      <c r="X28" s="322">
        <v>3462635.666666673</v>
      </c>
      <c r="Y28" s="922">
        <f t="shared" si="11"/>
        <v>20426117.660306178</v>
      </c>
      <c r="Z28" s="922">
        <f t="shared" si="12"/>
        <v>18383152.533333335</v>
      </c>
      <c r="AA28" s="1430">
        <f t="shared" si="75"/>
        <v>4271113.45646438</v>
      </c>
      <c r="AB28" s="322">
        <v>3713155</v>
      </c>
      <c r="AC28" s="1508">
        <f t="shared" si="68"/>
        <v>10338677.572559366</v>
      </c>
      <c r="AD28" s="359">
        <f t="shared" si="69"/>
        <v>10951042.333333332</v>
      </c>
      <c r="AE28" s="923">
        <f t="shared" si="57"/>
        <v>24697231.116770558</v>
      </c>
      <c r="AF28" s="923">
        <f t="shared" si="58"/>
        <v>22096307.533333339</v>
      </c>
      <c r="AG28" s="1430">
        <f t="shared" si="76"/>
        <v>4805002.6385224275</v>
      </c>
      <c r="AH28" s="322">
        <v>3672275.666666673</v>
      </c>
      <c r="AI28" s="922">
        <f t="shared" si="15"/>
        <v>29502233.755292986</v>
      </c>
      <c r="AJ28" s="922">
        <f t="shared" si="16"/>
        <v>25768583.20000001</v>
      </c>
      <c r="AK28" s="1430">
        <f t="shared" si="77"/>
        <v>4627039.577836412</v>
      </c>
      <c r="AL28" s="322">
        <v>1392973.3333333288</v>
      </c>
      <c r="AM28" s="922">
        <f t="shared" si="18"/>
        <v>34129273.333129399</v>
      </c>
      <c r="AN28" s="922">
        <f t="shared" si="19"/>
        <v>27161556.533333339</v>
      </c>
      <c r="AO28" s="1430">
        <f t="shared" si="78"/>
        <v>4805002.6385224275</v>
      </c>
      <c r="AP28" s="5990">
        <v>3336478.6666666651</v>
      </c>
      <c r="AQ28" s="1508">
        <f t="shared" si="59"/>
        <v>14237044.854881268</v>
      </c>
      <c r="AR28" s="359">
        <f t="shared" si="60"/>
        <v>8401727.6666666679</v>
      </c>
      <c r="AS28" s="922">
        <f t="shared" si="21"/>
        <v>38934275.971651822</v>
      </c>
      <c r="AT28" s="922">
        <f t="shared" si="22"/>
        <v>30498035.200000003</v>
      </c>
      <c r="AU28" s="1430">
        <f t="shared" si="79"/>
        <v>4805002.6385224275</v>
      </c>
      <c r="AV28" s="322">
        <v>3911467.0000000065</v>
      </c>
      <c r="AW28" s="922">
        <f t="shared" si="24"/>
        <v>43739278.610174254</v>
      </c>
      <c r="AX28" s="922">
        <f t="shared" si="25"/>
        <v>34409502.20000001</v>
      </c>
      <c r="AY28" s="1430">
        <f t="shared" si="80"/>
        <v>4271113.45646438</v>
      </c>
      <c r="AZ28" s="322">
        <v>3661286.9999999991</v>
      </c>
      <c r="BA28" s="922">
        <f t="shared" si="27"/>
        <v>48010392.066638634</v>
      </c>
      <c r="BB28" s="922">
        <f t="shared" si="28"/>
        <v>38070789.20000001</v>
      </c>
      <c r="BC28" s="1430">
        <f t="shared" si="81"/>
        <v>5338891.820580475</v>
      </c>
      <c r="BD28" s="322">
        <v>4370091.8</v>
      </c>
      <c r="BE28" s="1508">
        <f t="shared" si="61"/>
        <v>14415007.915567283</v>
      </c>
      <c r="BF28" s="359">
        <f t="shared" si="62"/>
        <v>11942845.800000004</v>
      </c>
      <c r="BG28" s="923">
        <f t="shared" si="82"/>
        <v>28652052.770448551</v>
      </c>
      <c r="BH28" s="923">
        <f t="shared" si="82"/>
        <v>20344573.466666672</v>
      </c>
      <c r="BI28" s="922">
        <f t="shared" si="54"/>
        <v>53349283.887219109</v>
      </c>
      <c r="BJ28" s="922">
        <f t="shared" si="53"/>
        <v>42440881.000000007</v>
      </c>
      <c r="BK28" s="26"/>
      <c r="BL28" s="26"/>
      <c r="BM28" s="1222"/>
      <c r="BN28" s="1222"/>
    </row>
    <row r="29" spans="1:66" x14ac:dyDescent="0.25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4" t="s">
        <v>762</v>
      </c>
      <c r="H29" s="895" t="s">
        <v>726</v>
      </c>
      <c r="I29" s="1430">
        <f t="shared" si="70"/>
        <v>24768000</v>
      </c>
      <c r="J29" s="322">
        <v>25267294.999999914</v>
      </c>
      <c r="K29" s="1430">
        <f t="shared" ref="K29" si="93">+K78*K$3*24*1000</f>
        <v>25593600</v>
      </c>
      <c r="L29" s="322">
        <v>25992975</v>
      </c>
      <c r="M29" s="922">
        <f t="shared" si="3"/>
        <v>50361600</v>
      </c>
      <c r="N29" s="922">
        <f t="shared" si="3"/>
        <v>51260269.999999911</v>
      </c>
      <c r="O29" s="1430">
        <f t="shared" si="72"/>
        <v>24768000</v>
      </c>
      <c r="P29" s="322">
        <v>24141036.999999993</v>
      </c>
      <c r="Q29" s="1508">
        <f t="shared" si="84"/>
        <v>75129600</v>
      </c>
      <c r="R29" s="359">
        <f t="shared" si="85"/>
        <v>75401306.999999911</v>
      </c>
      <c r="S29" s="1430">
        <f t="shared" si="73"/>
        <v>25593600</v>
      </c>
      <c r="T29" s="322">
        <v>25979753.999999955</v>
      </c>
      <c r="U29" s="922">
        <f t="shared" si="8"/>
        <v>100723200</v>
      </c>
      <c r="V29" s="922">
        <f t="shared" si="9"/>
        <v>101381060.99999987</v>
      </c>
      <c r="W29" s="1430">
        <f t="shared" si="74"/>
        <v>25593600</v>
      </c>
      <c r="X29" s="322">
        <v>25790699.000000026</v>
      </c>
      <c r="Y29" s="922">
        <f t="shared" si="11"/>
        <v>126316800</v>
      </c>
      <c r="Z29" s="922">
        <f t="shared" si="12"/>
        <v>127171759.9999999</v>
      </c>
      <c r="AA29" s="1430">
        <f t="shared" si="75"/>
        <v>24768000</v>
      </c>
      <c r="AB29" s="322">
        <v>24392104</v>
      </c>
      <c r="AC29" s="1508">
        <f t="shared" si="68"/>
        <v>75955200</v>
      </c>
      <c r="AD29" s="359">
        <f t="shared" si="69"/>
        <v>76162556.999999985</v>
      </c>
      <c r="AE29" s="923">
        <f t="shared" si="57"/>
        <v>151084800</v>
      </c>
      <c r="AF29" s="923">
        <f t="shared" si="58"/>
        <v>151563863.99999988</v>
      </c>
      <c r="AG29" s="1430">
        <f t="shared" si="76"/>
        <v>25593600</v>
      </c>
      <c r="AH29" s="322">
        <v>25305315.999999806</v>
      </c>
      <c r="AI29" s="922">
        <f t="shared" si="15"/>
        <v>176678400</v>
      </c>
      <c r="AJ29" s="922">
        <f t="shared" si="16"/>
        <v>176869179.9999997</v>
      </c>
      <c r="AK29" s="1430">
        <f t="shared" si="77"/>
        <v>24768000</v>
      </c>
      <c r="AL29" s="322">
        <v>18681516.00000019</v>
      </c>
      <c r="AM29" s="922">
        <f t="shared" si="18"/>
        <v>201446400</v>
      </c>
      <c r="AN29" s="922">
        <f t="shared" si="19"/>
        <v>195550695.99999988</v>
      </c>
      <c r="AO29" s="1430">
        <f t="shared" si="78"/>
        <v>25593600</v>
      </c>
      <c r="AP29" s="5990">
        <v>25544595.999999806</v>
      </c>
      <c r="AQ29" s="1508">
        <f t="shared" si="59"/>
        <v>75955200</v>
      </c>
      <c r="AR29" s="359">
        <f t="shared" si="60"/>
        <v>69531427.999999806</v>
      </c>
      <c r="AS29" s="922">
        <f t="shared" si="21"/>
        <v>227040000</v>
      </c>
      <c r="AT29" s="922">
        <f t="shared" si="22"/>
        <v>221095291.9999997</v>
      </c>
      <c r="AU29" s="1430">
        <f t="shared" si="79"/>
        <v>25593600</v>
      </c>
      <c r="AV29" s="322">
        <v>25439655.000000186</v>
      </c>
      <c r="AW29" s="922">
        <f t="shared" si="24"/>
        <v>252633600</v>
      </c>
      <c r="AX29" s="922">
        <f t="shared" si="25"/>
        <v>246534946.99999988</v>
      </c>
      <c r="AY29" s="1430">
        <f t="shared" si="80"/>
        <v>23116800</v>
      </c>
      <c r="AZ29" s="322">
        <v>23250913</v>
      </c>
      <c r="BA29" s="922">
        <f t="shared" si="27"/>
        <v>275750400</v>
      </c>
      <c r="BB29" s="922">
        <f t="shared" si="28"/>
        <v>269785859.99999988</v>
      </c>
      <c r="BC29" s="1430">
        <f t="shared" si="81"/>
        <v>25593600</v>
      </c>
      <c r="BD29" s="322">
        <v>26000494.000000097</v>
      </c>
      <c r="BE29" s="1508">
        <f t="shared" si="61"/>
        <v>74304000</v>
      </c>
      <c r="BF29" s="359">
        <f t="shared" si="62"/>
        <v>74691062.000000283</v>
      </c>
      <c r="BG29" s="923">
        <f t="shared" si="82"/>
        <v>150259200</v>
      </c>
      <c r="BH29" s="923">
        <f t="shared" si="82"/>
        <v>144222490.00000009</v>
      </c>
      <c r="BI29" s="922">
        <f t="shared" si="54"/>
        <v>301344000</v>
      </c>
      <c r="BJ29" s="922">
        <f t="shared" si="53"/>
        <v>295786354</v>
      </c>
      <c r="BK29" s="26"/>
      <c r="BL29" s="26"/>
      <c r="BM29" s="1222"/>
      <c r="BN29" s="1222"/>
    </row>
    <row r="30" spans="1:66" x14ac:dyDescent="0.25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4" t="s">
        <v>763</v>
      </c>
      <c r="H30" s="895" t="s">
        <v>491</v>
      </c>
      <c r="I30" s="1430">
        <f t="shared" si="70"/>
        <v>3888000</v>
      </c>
      <c r="J30" s="322">
        <v>3836600.000000013</v>
      </c>
      <c r="K30" s="1430">
        <f t="shared" ref="K30" si="94">+K79*K$3*24*1000</f>
        <v>4017600.0000000005</v>
      </c>
      <c r="L30" s="322">
        <v>4056899.9999999944</v>
      </c>
      <c r="M30" s="922">
        <f t="shared" si="3"/>
        <v>7905600</v>
      </c>
      <c r="N30" s="922">
        <f t="shared" si="3"/>
        <v>7893500.0000000075</v>
      </c>
      <c r="O30" s="1430">
        <f t="shared" si="72"/>
        <v>3456000</v>
      </c>
      <c r="P30" s="322">
        <v>3570900.0000000158</v>
      </c>
      <c r="Q30" s="1508">
        <f t="shared" si="84"/>
        <v>11361600</v>
      </c>
      <c r="R30" s="359">
        <f t="shared" si="85"/>
        <v>11464400.000000022</v>
      </c>
      <c r="S30" s="1430">
        <f t="shared" si="73"/>
        <v>3571200</v>
      </c>
      <c r="T30" s="322">
        <v>3989499.9999999786</v>
      </c>
      <c r="U30" s="922">
        <f t="shared" si="8"/>
        <v>14932800</v>
      </c>
      <c r="V30" s="922">
        <f t="shared" si="9"/>
        <v>15453900</v>
      </c>
      <c r="W30" s="1430">
        <f t="shared" si="74"/>
        <v>3571200</v>
      </c>
      <c r="X30" s="322">
        <v>4030900.0000000084</v>
      </c>
      <c r="Y30" s="922">
        <f t="shared" si="11"/>
        <v>18504000</v>
      </c>
      <c r="Z30" s="922">
        <f t="shared" si="12"/>
        <v>19484800.000000007</v>
      </c>
      <c r="AA30" s="1430">
        <f t="shared" si="75"/>
        <v>3456000</v>
      </c>
      <c r="AB30" s="322">
        <v>3955100</v>
      </c>
      <c r="AC30" s="1508">
        <f t="shared" si="68"/>
        <v>10598400</v>
      </c>
      <c r="AD30" s="359">
        <f t="shared" si="69"/>
        <v>11975499.999999987</v>
      </c>
      <c r="AE30" s="923">
        <f t="shared" si="57"/>
        <v>21960000</v>
      </c>
      <c r="AF30" s="923">
        <f t="shared" si="58"/>
        <v>23439900.000000007</v>
      </c>
      <c r="AG30" s="1430">
        <f t="shared" si="76"/>
        <v>3571200</v>
      </c>
      <c r="AH30" s="322">
        <v>4039500.0000000149</v>
      </c>
      <c r="AI30" s="922">
        <f t="shared" si="15"/>
        <v>25531200</v>
      </c>
      <c r="AJ30" s="922">
        <f t="shared" si="16"/>
        <v>27479400.000000022</v>
      </c>
      <c r="AK30" s="1430">
        <f t="shared" si="77"/>
        <v>3456000</v>
      </c>
      <c r="AL30" s="322">
        <v>2224100.0000000056</v>
      </c>
      <c r="AM30" s="922">
        <f t="shared" si="18"/>
        <v>28987200</v>
      </c>
      <c r="AN30" s="922">
        <f t="shared" si="19"/>
        <v>29703500.00000003</v>
      </c>
      <c r="AO30" s="1430">
        <f t="shared" si="78"/>
        <v>3571200</v>
      </c>
      <c r="AP30" s="5990">
        <v>3898199.9999999972</v>
      </c>
      <c r="AQ30" s="1508">
        <f t="shared" si="59"/>
        <v>10598400</v>
      </c>
      <c r="AR30" s="359">
        <f t="shared" si="60"/>
        <v>10161800.000000019</v>
      </c>
      <c r="AS30" s="922">
        <f t="shared" si="21"/>
        <v>32558400</v>
      </c>
      <c r="AT30" s="922">
        <f t="shared" si="22"/>
        <v>33601700.00000003</v>
      </c>
      <c r="AU30" s="1430">
        <f t="shared" si="79"/>
        <v>3571200</v>
      </c>
      <c r="AV30" s="322">
        <v>4044799.9999999739</v>
      </c>
      <c r="AW30" s="922">
        <f t="shared" si="24"/>
        <v>36129600</v>
      </c>
      <c r="AX30" s="922">
        <f t="shared" si="25"/>
        <v>37646500</v>
      </c>
      <c r="AY30" s="1430">
        <f t="shared" si="80"/>
        <v>3225600.0000000005</v>
      </c>
      <c r="AZ30" s="322">
        <v>3658599.9999999986</v>
      </c>
      <c r="BA30" s="922">
        <f t="shared" si="27"/>
        <v>39355200</v>
      </c>
      <c r="BB30" s="922">
        <f t="shared" si="28"/>
        <v>41305100</v>
      </c>
      <c r="BC30" s="1430">
        <f t="shared" si="81"/>
        <v>3571200</v>
      </c>
      <c r="BD30" s="322">
        <v>4146400.0000000233</v>
      </c>
      <c r="BE30" s="1508">
        <f t="shared" si="61"/>
        <v>10368000</v>
      </c>
      <c r="BF30" s="359">
        <f t="shared" si="62"/>
        <v>11849799.999999996</v>
      </c>
      <c r="BG30" s="923">
        <f t="shared" si="82"/>
        <v>20966400</v>
      </c>
      <c r="BH30" s="923">
        <f t="shared" si="82"/>
        <v>22011600.000000015</v>
      </c>
      <c r="BI30" s="922">
        <f t="shared" si="54"/>
        <v>42926400</v>
      </c>
      <c r="BJ30" s="922">
        <f t="shared" si="53"/>
        <v>45451500.000000022</v>
      </c>
      <c r="BK30" s="26"/>
      <c r="BL30" s="26"/>
      <c r="BM30" s="1222"/>
      <c r="BN30" s="1222"/>
    </row>
    <row r="31" spans="1:66" x14ac:dyDescent="0.25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4" t="s">
        <v>765</v>
      </c>
      <c r="H31" s="895" t="s">
        <v>727</v>
      </c>
      <c r="I31" s="1429">
        <f t="shared" si="70"/>
        <v>648000</v>
      </c>
      <c r="J31" s="322">
        <v>612779.99999999721</v>
      </c>
      <c r="K31" s="1429">
        <f t="shared" ref="K31" si="95">+K80*K$3*24*1000</f>
        <v>669600</v>
      </c>
      <c r="L31" s="322">
        <v>634170.00000000163</v>
      </c>
      <c r="M31" s="922">
        <f t="shared" si="3"/>
        <v>1317600</v>
      </c>
      <c r="N31" s="922">
        <f t="shared" si="3"/>
        <v>1246949.9999999988</v>
      </c>
      <c r="O31" s="1429">
        <f t="shared" si="72"/>
        <v>648000</v>
      </c>
      <c r="P31" s="322">
        <v>614570.0000000007</v>
      </c>
      <c r="Q31" s="1508">
        <f t="shared" si="84"/>
        <v>1965600</v>
      </c>
      <c r="R31" s="359">
        <f t="shared" si="85"/>
        <v>1861519.9999999995</v>
      </c>
      <c r="S31" s="1429">
        <f t="shared" si="73"/>
        <v>669600</v>
      </c>
      <c r="T31" s="322">
        <v>637630.00000000081</v>
      </c>
      <c r="U31" s="922">
        <f t="shared" si="8"/>
        <v>2635200</v>
      </c>
      <c r="V31" s="922">
        <f t="shared" si="9"/>
        <v>2499150.0000000005</v>
      </c>
      <c r="W31" s="1429">
        <f t="shared" si="74"/>
        <v>669600</v>
      </c>
      <c r="X31" s="322">
        <v>614409.9999999993</v>
      </c>
      <c r="Y31" s="922">
        <f t="shared" si="11"/>
        <v>3304800</v>
      </c>
      <c r="Z31" s="922">
        <f t="shared" si="12"/>
        <v>3113560</v>
      </c>
      <c r="AA31" s="1429">
        <f t="shared" si="75"/>
        <v>648000</v>
      </c>
      <c r="AB31" s="322">
        <v>578243</v>
      </c>
      <c r="AC31" s="1507">
        <f t="shared" si="68"/>
        <v>1987200</v>
      </c>
      <c r="AD31" s="359">
        <f t="shared" si="69"/>
        <v>1830283</v>
      </c>
      <c r="AE31" s="923">
        <f t="shared" si="57"/>
        <v>3952800</v>
      </c>
      <c r="AF31" s="923">
        <f t="shared" si="58"/>
        <v>3691802.9999999995</v>
      </c>
      <c r="AG31" s="1429">
        <f t="shared" si="76"/>
        <v>669600</v>
      </c>
      <c r="AH31" s="322">
        <v>595327.0000000007</v>
      </c>
      <c r="AI31" s="922">
        <f t="shared" si="15"/>
        <v>4622400</v>
      </c>
      <c r="AJ31" s="922">
        <f t="shared" si="16"/>
        <v>4287130</v>
      </c>
      <c r="AK31" s="1429">
        <f t="shared" si="77"/>
        <v>648000</v>
      </c>
      <c r="AL31" s="322">
        <v>388419.99999999825</v>
      </c>
      <c r="AM31" s="922">
        <f t="shared" si="18"/>
        <v>5270400</v>
      </c>
      <c r="AN31" s="922">
        <f t="shared" si="19"/>
        <v>4675549.9999999981</v>
      </c>
      <c r="AO31" s="1429">
        <f t="shared" si="78"/>
        <v>669600</v>
      </c>
      <c r="AP31" s="5990">
        <v>537360.00000000093</v>
      </c>
      <c r="AQ31" s="1507">
        <f t="shared" si="59"/>
        <v>1987200</v>
      </c>
      <c r="AR31" s="359">
        <f t="shared" si="60"/>
        <v>1521107</v>
      </c>
      <c r="AS31" s="922">
        <f t="shared" si="21"/>
        <v>5940000</v>
      </c>
      <c r="AT31" s="922">
        <f t="shared" si="22"/>
        <v>5212909.9999999991</v>
      </c>
      <c r="AU31" s="1429">
        <f t="shared" si="79"/>
        <v>669600</v>
      </c>
      <c r="AV31" s="322">
        <v>543779.99999999977</v>
      </c>
      <c r="AW31" s="922">
        <f t="shared" si="24"/>
        <v>6609600</v>
      </c>
      <c r="AX31" s="922">
        <f t="shared" si="25"/>
        <v>5756689.9999999991</v>
      </c>
      <c r="AY31" s="1429">
        <f t="shared" si="80"/>
        <v>604800</v>
      </c>
      <c r="AZ31" s="322">
        <v>490580.00000000029</v>
      </c>
      <c r="BA31" s="922">
        <f t="shared" si="27"/>
        <v>7214400</v>
      </c>
      <c r="BB31" s="922">
        <f t="shared" si="28"/>
        <v>6247269.9999999991</v>
      </c>
      <c r="BC31" s="1429">
        <f t="shared" si="81"/>
        <v>669600</v>
      </c>
      <c r="BD31" s="322">
        <v>603500</v>
      </c>
      <c r="BE31" s="1507">
        <f t="shared" si="61"/>
        <v>1944000</v>
      </c>
      <c r="BF31" s="359">
        <f t="shared" si="62"/>
        <v>1637860</v>
      </c>
      <c r="BG31" s="923">
        <f t="shared" si="82"/>
        <v>3931200</v>
      </c>
      <c r="BH31" s="923">
        <f t="shared" si="82"/>
        <v>3158967</v>
      </c>
      <c r="BI31" s="922">
        <f t="shared" si="54"/>
        <v>7884000</v>
      </c>
      <c r="BJ31" s="922">
        <f t="shared" si="53"/>
        <v>6850769.9999999991</v>
      </c>
      <c r="BK31" s="26"/>
      <c r="BL31" s="26"/>
      <c r="BM31" s="1222"/>
      <c r="BN31" s="1222"/>
    </row>
    <row r="32" spans="1:66" x14ac:dyDescent="0.25">
      <c r="A32" s="274"/>
      <c r="B32" s="292"/>
      <c r="C32" s="13"/>
      <c r="D32" s="293"/>
      <c r="E32" s="294"/>
      <c r="G32" s="914" t="s">
        <v>766</v>
      </c>
      <c r="H32" s="895" t="s">
        <v>728</v>
      </c>
      <c r="I32" s="1429">
        <f t="shared" si="70"/>
        <v>1008000</v>
      </c>
      <c r="J32" s="322">
        <v>940860.00000000047</v>
      </c>
      <c r="K32" s="1429">
        <f t="shared" ref="K32" si="96">+K81*K$3*24*1000</f>
        <v>1041599.9999999999</v>
      </c>
      <c r="L32" s="322">
        <v>631860.00000000675</v>
      </c>
      <c r="M32" s="922">
        <f t="shared" si="3"/>
        <v>2049600</v>
      </c>
      <c r="N32" s="922">
        <f t="shared" si="3"/>
        <v>1572720.0000000072</v>
      </c>
      <c r="O32" s="1429">
        <f t="shared" si="72"/>
        <v>720000</v>
      </c>
      <c r="P32" s="322">
        <v>1049799.9999999993</v>
      </c>
      <c r="Q32" s="1508">
        <f t="shared" si="84"/>
        <v>2769600</v>
      </c>
      <c r="R32" s="359">
        <f t="shared" si="85"/>
        <v>2622520.0000000065</v>
      </c>
      <c r="S32" s="1429">
        <f t="shared" si="73"/>
        <v>744000</v>
      </c>
      <c r="T32" s="322">
        <v>1156500.0000000037</v>
      </c>
      <c r="U32" s="922">
        <f t="shared" si="8"/>
        <v>3513600</v>
      </c>
      <c r="V32" s="922">
        <f t="shared" si="9"/>
        <v>3779020.0000000102</v>
      </c>
      <c r="W32" s="1429">
        <f t="shared" si="74"/>
        <v>744000</v>
      </c>
      <c r="X32" s="322">
        <v>858699.99999999709</v>
      </c>
      <c r="Y32" s="922">
        <f t="shared" si="11"/>
        <v>4257600</v>
      </c>
      <c r="Z32" s="922">
        <f t="shared" si="12"/>
        <v>4637720.0000000075</v>
      </c>
      <c r="AA32" s="1429">
        <f t="shared" si="75"/>
        <v>720000</v>
      </c>
      <c r="AB32" s="322">
        <v>925400</v>
      </c>
      <c r="AC32" s="1507">
        <f t="shared" si="68"/>
        <v>2208000</v>
      </c>
      <c r="AD32" s="359">
        <f t="shared" si="69"/>
        <v>2940600.0000000009</v>
      </c>
      <c r="AE32" s="923">
        <f t="shared" si="57"/>
        <v>4977600</v>
      </c>
      <c r="AF32" s="923">
        <f t="shared" si="58"/>
        <v>5563120.0000000075</v>
      </c>
      <c r="AG32" s="1429">
        <f t="shared" si="76"/>
        <v>744000</v>
      </c>
      <c r="AH32" s="322">
        <v>993270.00000000279</v>
      </c>
      <c r="AI32" s="922">
        <f t="shared" si="15"/>
        <v>5721600</v>
      </c>
      <c r="AJ32" s="922">
        <f t="shared" si="16"/>
        <v>6556390.0000000102</v>
      </c>
      <c r="AK32" s="1429">
        <f t="shared" si="77"/>
        <v>720000</v>
      </c>
      <c r="AL32" s="322">
        <v>602260.00000000442</v>
      </c>
      <c r="AM32" s="922">
        <f t="shared" si="18"/>
        <v>6441600</v>
      </c>
      <c r="AN32" s="922">
        <f t="shared" si="19"/>
        <v>7158650.0000000149</v>
      </c>
      <c r="AO32" s="1429">
        <f t="shared" si="78"/>
        <v>744000</v>
      </c>
      <c r="AP32" s="5990">
        <v>840779.9999999986</v>
      </c>
      <c r="AQ32" s="1507">
        <f t="shared" si="59"/>
        <v>2208000</v>
      </c>
      <c r="AR32" s="359">
        <f t="shared" si="60"/>
        <v>2436310.0000000056</v>
      </c>
      <c r="AS32" s="922">
        <f t="shared" si="21"/>
        <v>7185600</v>
      </c>
      <c r="AT32" s="922">
        <f t="shared" si="22"/>
        <v>7999430.000000013</v>
      </c>
      <c r="AU32" s="1429">
        <f t="shared" si="79"/>
        <v>744000</v>
      </c>
      <c r="AV32" s="322">
        <v>796810</v>
      </c>
      <c r="AW32" s="922">
        <f t="shared" si="24"/>
        <v>7929600</v>
      </c>
      <c r="AX32" s="922">
        <f t="shared" si="25"/>
        <v>8796240.000000013</v>
      </c>
      <c r="AY32" s="1429">
        <f t="shared" si="80"/>
        <v>672000</v>
      </c>
      <c r="AZ32" s="322">
        <v>700050</v>
      </c>
      <c r="BA32" s="922">
        <f t="shared" si="27"/>
        <v>8601600</v>
      </c>
      <c r="BB32" s="922">
        <f t="shared" si="28"/>
        <v>9496290.000000013</v>
      </c>
      <c r="BC32" s="1429">
        <f t="shared" si="81"/>
        <v>744000</v>
      </c>
      <c r="BD32" s="322">
        <v>910999.9999999986</v>
      </c>
      <c r="BE32" s="1507">
        <f t="shared" si="61"/>
        <v>2160000</v>
      </c>
      <c r="BF32" s="359">
        <f t="shared" si="62"/>
        <v>2407859.9999999986</v>
      </c>
      <c r="BG32" s="923">
        <f t="shared" si="82"/>
        <v>4368000</v>
      </c>
      <c r="BH32" s="923">
        <f t="shared" si="82"/>
        <v>4844170.0000000037</v>
      </c>
      <c r="BI32" s="922">
        <f t="shared" si="54"/>
        <v>9345600</v>
      </c>
      <c r="BJ32" s="922">
        <f t="shared" si="53"/>
        <v>10407290.000000011</v>
      </c>
      <c r="BK32" s="26"/>
      <c r="BL32" s="26"/>
      <c r="BM32" s="1222"/>
      <c r="BN32" s="1222"/>
    </row>
    <row r="33" spans="1:66" x14ac:dyDescent="0.25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4" t="s">
        <v>768</v>
      </c>
      <c r="H33" s="895" t="s">
        <v>729</v>
      </c>
      <c r="I33" s="1429">
        <f t="shared" si="70"/>
        <v>864000</v>
      </c>
      <c r="J33" s="322">
        <v>797626.0000000014</v>
      </c>
      <c r="K33" s="1429">
        <f t="shared" ref="K33" si="97">+K82*K$3*24*1000</f>
        <v>892800</v>
      </c>
      <c r="L33" s="322">
        <v>890479.79999999888</v>
      </c>
      <c r="M33" s="922">
        <f t="shared" si="3"/>
        <v>1756800</v>
      </c>
      <c r="N33" s="922">
        <f t="shared" si="3"/>
        <v>1688105.8000000003</v>
      </c>
      <c r="O33" s="1429">
        <f t="shared" si="72"/>
        <v>1008000</v>
      </c>
      <c r="P33" s="322">
        <v>906577.3</v>
      </c>
      <c r="Q33" s="1508">
        <f t="shared" si="84"/>
        <v>2764800</v>
      </c>
      <c r="R33" s="359">
        <f t="shared" si="85"/>
        <v>2594683.1000000006</v>
      </c>
      <c r="S33" s="1429">
        <f t="shared" si="73"/>
        <v>1041599.9999999999</v>
      </c>
      <c r="T33" s="322">
        <v>882555.6799999997</v>
      </c>
      <c r="U33" s="922">
        <f t="shared" si="8"/>
        <v>3806400</v>
      </c>
      <c r="V33" s="922">
        <f t="shared" si="9"/>
        <v>3477238.7800000003</v>
      </c>
      <c r="W33" s="1429">
        <f t="shared" si="74"/>
        <v>1041599.9999999999</v>
      </c>
      <c r="X33" s="322">
        <v>957852.67999999877</v>
      </c>
      <c r="Y33" s="922">
        <f t="shared" si="11"/>
        <v>4848000</v>
      </c>
      <c r="Z33" s="922">
        <f t="shared" si="12"/>
        <v>4435091.459999999</v>
      </c>
      <c r="AA33" s="1429">
        <f t="shared" si="75"/>
        <v>1008000</v>
      </c>
      <c r="AB33" s="322">
        <v>846176</v>
      </c>
      <c r="AC33" s="1507">
        <f t="shared" si="68"/>
        <v>3091200</v>
      </c>
      <c r="AD33" s="359">
        <f t="shared" si="69"/>
        <v>2686584.3599999985</v>
      </c>
      <c r="AE33" s="923">
        <f t="shared" si="57"/>
        <v>5856000</v>
      </c>
      <c r="AF33" s="923">
        <f t="shared" si="58"/>
        <v>5281267.459999999</v>
      </c>
      <c r="AG33" s="1429">
        <f t="shared" si="76"/>
        <v>1041599.9999999999</v>
      </c>
      <c r="AH33" s="322">
        <v>844291.80000000133</v>
      </c>
      <c r="AI33" s="922">
        <f t="shared" si="15"/>
        <v>6897600</v>
      </c>
      <c r="AJ33" s="922">
        <f t="shared" si="16"/>
        <v>6125559.2600000007</v>
      </c>
      <c r="AK33" s="1429">
        <f t="shared" si="77"/>
        <v>1008000</v>
      </c>
      <c r="AL33" s="322">
        <v>578095.55999999936</v>
      </c>
      <c r="AM33" s="922">
        <f t="shared" si="18"/>
        <v>7905600</v>
      </c>
      <c r="AN33" s="922">
        <f t="shared" si="19"/>
        <v>6703654.8200000003</v>
      </c>
      <c r="AO33" s="1429">
        <f t="shared" si="78"/>
        <v>1041599.9999999999</v>
      </c>
      <c r="AP33" s="5990">
        <v>748036.00000000012</v>
      </c>
      <c r="AQ33" s="1507">
        <f t="shared" si="59"/>
        <v>3091200</v>
      </c>
      <c r="AR33" s="359">
        <f t="shared" si="60"/>
        <v>2170423.3600000008</v>
      </c>
      <c r="AS33" s="922">
        <f t="shared" si="21"/>
        <v>8947200</v>
      </c>
      <c r="AT33" s="922">
        <f t="shared" si="22"/>
        <v>7451690.8200000003</v>
      </c>
      <c r="AU33" s="1429">
        <f t="shared" si="79"/>
        <v>1041599.9999999999</v>
      </c>
      <c r="AV33" s="322">
        <v>776660.00000000047</v>
      </c>
      <c r="AW33" s="922">
        <f t="shared" si="24"/>
        <v>9988800</v>
      </c>
      <c r="AX33" s="922">
        <f t="shared" si="25"/>
        <v>8228350.8200000003</v>
      </c>
      <c r="AY33" s="1429">
        <f t="shared" si="80"/>
        <v>940800</v>
      </c>
      <c r="AZ33" s="322">
        <v>714917.19999999949</v>
      </c>
      <c r="BA33" s="922">
        <f t="shared" si="27"/>
        <v>10929600</v>
      </c>
      <c r="BB33" s="922">
        <f t="shared" si="28"/>
        <v>8943268.0199999996</v>
      </c>
      <c r="BC33" s="1429">
        <f t="shared" si="81"/>
        <v>1041599.9999999999</v>
      </c>
      <c r="BD33" s="322">
        <v>817501.79999999912</v>
      </c>
      <c r="BE33" s="1507">
        <f t="shared" si="61"/>
        <v>3024000</v>
      </c>
      <c r="BF33" s="359">
        <f t="shared" si="62"/>
        <v>2309078.9999999991</v>
      </c>
      <c r="BG33" s="923">
        <f t="shared" si="82"/>
        <v>6115200</v>
      </c>
      <c r="BH33" s="923">
        <f t="shared" si="82"/>
        <v>4479502.3599999994</v>
      </c>
      <c r="BI33" s="922">
        <f t="shared" si="54"/>
        <v>11971200</v>
      </c>
      <c r="BJ33" s="922">
        <f t="shared" si="53"/>
        <v>9760769.8199999984</v>
      </c>
      <c r="BK33" s="26"/>
      <c r="BL33" s="26"/>
      <c r="BM33" s="1222"/>
      <c r="BN33" s="1222"/>
    </row>
    <row r="34" spans="1:66" s="149" customFormat="1" x14ac:dyDescent="0.25">
      <c r="G34" s="154"/>
      <c r="H34" s="154"/>
      <c r="I34" s="1433"/>
      <c r="K34" s="1433"/>
      <c r="M34" s="154"/>
      <c r="N34" s="1331"/>
      <c r="O34" s="1433"/>
      <c r="S34" s="1433"/>
      <c r="U34" s="154"/>
      <c r="V34" s="154"/>
      <c r="W34" s="1433"/>
      <c r="Y34" s="154"/>
      <c r="Z34" s="154"/>
      <c r="AA34" s="1433"/>
      <c r="AE34" s="154"/>
      <c r="AF34" s="154"/>
      <c r="AG34" s="1433"/>
      <c r="AI34" s="154"/>
      <c r="AJ34" s="154"/>
      <c r="AK34" s="1433"/>
      <c r="AM34" s="154"/>
      <c r="AN34" s="154"/>
      <c r="AO34" s="1433"/>
      <c r="AS34" s="154"/>
      <c r="AT34" s="154"/>
      <c r="AU34" s="1433"/>
      <c r="AW34" s="154"/>
      <c r="AX34" s="154"/>
      <c r="AY34" s="1433"/>
      <c r="BA34" s="154"/>
      <c r="BB34" s="154"/>
      <c r="BC34" s="1433"/>
      <c r="BG34" s="154"/>
      <c r="BH34" s="154"/>
      <c r="BI34" s="154"/>
      <c r="BJ34" s="154"/>
      <c r="BK34" s="26"/>
      <c r="BL34" s="26"/>
      <c r="BM34" s="1222"/>
      <c r="BN34" s="1222"/>
    </row>
    <row r="35" spans="1:66" ht="15.75" x14ac:dyDescent="0.25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5" t="s">
        <v>769</v>
      </c>
      <c r="H35" s="1425" t="s">
        <v>730</v>
      </c>
      <c r="I35" s="1432">
        <f>SUM(I36:I39)</f>
        <v>1815518.4000000001</v>
      </c>
      <c r="J35" s="325">
        <f>SUM(J36:J39)</f>
        <v>1458038.0135333324</v>
      </c>
      <c r="K35" s="1432">
        <f>SUM(K36:K39)</f>
        <v>1876035.68</v>
      </c>
      <c r="L35" s="325">
        <f>SUM(L36:L39)</f>
        <v>1688087.5574333344</v>
      </c>
      <c r="M35" s="926">
        <f t="shared" si="3"/>
        <v>3691554.08</v>
      </c>
      <c r="N35" s="926">
        <f t="shared" si="3"/>
        <v>3146125.5709666666</v>
      </c>
      <c r="O35" s="1432">
        <f>SUM(O36:O39)</f>
        <v>2317864.6033999999</v>
      </c>
      <c r="P35" s="325">
        <f>SUM(P36:P39)</f>
        <v>1591835.5060000014</v>
      </c>
      <c r="Q35" s="1511">
        <f t="shared" si="5"/>
        <v>6009418.6833999995</v>
      </c>
      <c r="R35" s="1512">
        <f t="shared" si="6"/>
        <v>4737961.0769666675</v>
      </c>
      <c r="S35" s="1432">
        <f>SUM(S36:S39)</f>
        <v>2379645.3119999999</v>
      </c>
      <c r="T35" s="325">
        <f>SUM(T36:T39)</f>
        <v>1659879.1196666665</v>
      </c>
      <c r="U35" s="926">
        <f t="shared" ref="U35:U47" si="98">+Q35+S35</f>
        <v>8389063.9954000004</v>
      </c>
      <c r="V35" s="926">
        <f t="shared" ref="V35:V47" si="99">+R35+T35</f>
        <v>6397840.1966333343</v>
      </c>
      <c r="W35" s="1432">
        <f>SUM(W36:W39)</f>
        <v>2379645.3119999999</v>
      </c>
      <c r="X35" s="325">
        <f>SUM(X36:X39)</f>
        <v>1696589.290666667</v>
      </c>
      <c r="Y35" s="926">
        <f t="shared" ref="Y35:Y47" si="100">+U35+W35</f>
        <v>10768709.307399999</v>
      </c>
      <c r="Z35" s="926">
        <f t="shared" ref="Z35:Z47" si="101">+V35+X35</f>
        <v>8094429.4873000011</v>
      </c>
      <c r="AA35" s="1432">
        <f>SUM(AA36:AA39)</f>
        <v>2302882.56</v>
      </c>
      <c r="AB35" s="325">
        <f>SUM(AB36:AB39)</f>
        <v>1685338</v>
      </c>
      <c r="AC35" s="1511">
        <f>S35+W35+AA35</f>
        <v>7062173.1840000004</v>
      </c>
      <c r="AD35" s="1512">
        <f>T35+X35+AB35</f>
        <v>5041806.4103333335</v>
      </c>
      <c r="AE35" s="927">
        <f t="shared" ref="AE35:AE47" si="102">Q35+AC35</f>
        <v>13071591.8674</v>
      </c>
      <c r="AF35" s="927">
        <f t="shared" ref="AF35:AF47" si="103">R35+AD35</f>
        <v>9779767.4873000011</v>
      </c>
      <c r="AG35" s="1432">
        <f>SUM(AG36:AG39)</f>
        <v>2379645.3119999999</v>
      </c>
      <c r="AH35" s="325">
        <f>SUM(AH36:AH39)</f>
        <v>1672610.6876666669</v>
      </c>
      <c r="AI35" s="926">
        <f t="shared" ref="AI35:AI47" si="104">+AE35+AG35</f>
        <v>15451237.179400001</v>
      </c>
      <c r="AJ35" s="926">
        <f t="shared" ref="AJ35:AJ47" si="105">+AF35+AH35</f>
        <v>11452378.174966669</v>
      </c>
      <c r="AK35" s="1432">
        <f>SUM(AK36:AK39)</f>
        <v>2302882.56</v>
      </c>
      <c r="AL35" s="325">
        <f>SUM(AL36:AL39)</f>
        <v>1527479.9199999995</v>
      </c>
      <c r="AM35" s="926">
        <f t="shared" ref="AM35:AM47" si="106">+AI35+AK35</f>
        <v>17754119.739399999</v>
      </c>
      <c r="AN35" s="926">
        <f t="shared" ref="AN35:AN47" si="107">+AJ35+AL35</f>
        <v>12979858.094966669</v>
      </c>
      <c r="AO35" s="1432">
        <f>SUM(AO36:AO39)</f>
        <v>2379645.3119999999</v>
      </c>
      <c r="AP35" s="325">
        <f>SUM(AP36:AP39)</f>
        <v>1471235.2200000002</v>
      </c>
      <c r="AQ35" s="1511">
        <f>AG35+AK35+AO35</f>
        <v>7062173.1839999994</v>
      </c>
      <c r="AR35" s="1512">
        <f>AH35+AL35+AP35</f>
        <v>4671325.8276666664</v>
      </c>
      <c r="AS35" s="926">
        <f t="shared" ref="AS35:AS47" si="108">+AM35+AO35</f>
        <v>20133765.051399998</v>
      </c>
      <c r="AT35" s="926">
        <f t="shared" ref="AT35:AT47" si="109">+AN35+AP35</f>
        <v>14451093.314966669</v>
      </c>
      <c r="AU35" s="1432">
        <f>SUM(AU36:AU39)</f>
        <v>2379645.3119999999</v>
      </c>
      <c r="AV35" s="325">
        <f>SUM(AV36:AV39)</f>
        <v>1456886.333333334</v>
      </c>
      <c r="AW35" s="926">
        <f t="shared" ref="AW35:AW47" si="110">+AS35+AU35</f>
        <v>22513410.363399997</v>
      </c>
      <c r="AX35" s="926">
        <f t="shared" ref="AX35:AX47" si="111">+AT35+AV35</f>
        <v>15907979.648300003</v>
      </c>
      <c r="AY35" s="1432">
        <f>SUM(AY36:AY39)</f>
        <v>2149357.0560000003</v>
      </c>
      <c r="AZ35" s="325">
        <f>SUM(AZ36:AZ39)</f>
        <v>1375183.4295833339</v>
      </c>
      <c r="BA35" s="926">
        <f t="shared" ref="BA35:BA47" si="112">+AW35+AY35</f>
        <v>24662767.419399999</v>
      </c>
      <c r="BB35" s="926">
        <f t="shared" ref="BB35:BB47" si="113">+AX35+AZ35</f>
        <v>17283163.077883337</v>
      </c>
      <c r="BC35" s="1432">
        <f>SUM(BC36:BC39)</f>
        <v>2379645.3119999999</v>
      </c>
      <c r="BD35" s="325">
        <f>SUM(BD36:BD39)</f>
        <v>1543534.6041499984</v>
      </c>
      <c r="BE35" s="1511">
        <f>AU35+AY35+BC35</f>
        <v>6908647.6800000006</v>
      </c>
      <c r="BF35" s="1512">
        <f>AV35+AZ35+BD35</f>
        <v>4375604.3670666665</v>
      </c>
      <c r="BG35" s="920">
        <f>AQ35+BE35</f>
        <v>13970820.864</v>
      </c>
      <c r="BH35" s="920">
        <f>AR35+BF35</f>
        <v>9046930.1947333328</v>
      </c>
      <c r="BI35" s="926">
        <f t="shared" ref="BI35:BI47" si="114">+BA35+BC35</f>
        <v>27042412.731399998</v>
      </c>
      <c r="BJ35" s="926">
        <f t="shared" ref="BJ35:BJ47" si="115">+BB35+BD35</f>
        <v>18826697.682033334</v>
      </c>
      <c r="BK35" s="26"/>
      <c r="BL35" s="26"/>
      <c r="BM35" s="1222"/>
      <c r="BN35" s="1222"/>
    </row>
    <row r="36" spans="1:66" x14ac:dyDescent="0.25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4" t="s">
        <v>770</v>
      </c>
      <c r="H36" s="895" t="s">
        <v>731</v>
      </c>
      <c r="I36" s="1430">
        <f>+I85*I$3*24*1000</f>
        <v>1203518.4000000001</v>
      </c>
      <c r="J36" s="322">
        <v>1090632.9999999993</v>
      </c>
      <c r="K36" s="1430">
        <f>+K85*K$3*24*1000</f>
        <v>1243635.68</v>
      </c>
      <c r="L36" s="322">
        <v>1231879.1000000001</v>
      </c>
      <c r="M36" s="922">
        <f t="shared" si="3"/>
        <v>2447154.08</v>
      </c>
      <c r="N36" s="922">
        <f t="shared" si="3"/>
        <v>2322512.0999999996</v>
      </c>
      <c r="O36" s="1430">
        <f>+O85*O$3*24*1000</f>
        <v>1204891.8543999998</v>
      </c>
      <c r="P36" s="322">
        <v>1191765.0000000007</v>
      </c>
      <c r="Q36" s="1508">
        <f t="shared" si="5"/>
        <v>3652045.9343999997</v>
      </c>
      <c r="R36" s="359">
        <f t="shared" si="6"/>
        <v>3514277.1000000006</v>
      </c>
      <c r="S36" s="1430">
        <f>+S85*S$3*24*1000</f>
        <v>1226445.3120000002</v>
      </c>
      <c r="T36" s="322">
        <v>1234727.9999999998</v>
      </c>
      <c r="U36" s="922">
        <f t="shared" si="98"/>
        <v>4878491.2463999996</v>
      </c>
      <c r="V36" s="922">
        <f t="shared" si="99"/>
        <v>4749005.1000000006</v>
      </c>
      <c r="W36" s="1430">
        <f>+W85*W$3*24*1000</f>
        <v>1226445.3120000002</v>
      </c>
      <c r="X36" s="322">
        <v>1250789</v>
      </c>
      <c r="Y36" s="922">
        <f t="shared" si="100"/>
        <v>6104936.5583999995</v>
      </c>
      <c r="Z36" s="922">
        <f t="shared" si="101"/>
        <v>5999794.1000000006</v>
      </c>
      <c r="AA36" s="1430">
        <f>+AA85*AA$3*24*1000</f>
        <v>1186882.5600000001</v>
      </c>
      <c r="AB36" s="322">
        <v>1260254</v>
      </c>
      <c r="AC36" s="1508">
        <f t="shared" ref="AC36:AC47" si="116">S36+W36+AA36</f>
        <v>3639773.1840000004</v>
      </c>
      <c r="AD36" s="359">
        <f t="shared" ref="AD36:AD47" si="117">T36+X36+AB36</f>
        <v>3745771</v>
      </c>
      <c r="AE36" s="923">
        <f t="shared" si="102"/>
        <v>7291819.1184</v>
      </c>
      <c r="AF36" s="923">
        <f t="shared" si="103"/>
        <v>7260048.1000000006</v>
      </c>
      <c r="AG36" s="1430">
        <f>+AG85*AG$3*24*1000</f>
        <v>1226445.3120000002</v>
      </c>
      <c r="AH36" s="322">
        <v>1233627</v>
      </c>
      <c r="AI36" s="922">
        <f t="shared" si="104"/>
        <v>8518264.4304000009</v>
      </c>
      <c r="AJ36" s="922">
        <f t="shared" si="105"/>
        <v>8493675.1000000015</v>
      </c>
      <c r="AK36" s="1430">
        <f>+AK85*AK$3*24*1000</f>
        <v>1186882.5600000001</v>
      </c>
      <c r="AL36" s="322">
        <v>1139976.9999999995</v>
      </c>
      <c r="AM36" s="922">
        <f t="shared" si="106"/>
        <v>9705146.9904000014</v>
      </c>
      <c r="AN36" s="922">
        <f t="shared" si="107"/>
        <v>9633652.1000000015</v>
      </c>
      <c r="AO36" s="1430">
        <f>+AO85*AO$3*24*1000</f>
        <v>1226445.3120000002</v>
      </c>
      <c r="AP36" s="322">
        <v>1124007</v>
      </c>
      <c r="AQ36" s="1508">
        <f t="shared" ref="AQ36:AQ42" si="118">AG36+AK36+AO36</f>
        <v>3639773.1840000004</v>
      </c>
      <c r="AR36" s="359">
        <f t="shared" ref="AR36:AR42" si="119">AH36+AL36+AP36</f>
        <v>3497610.9999999995</v>
      </c>
      <c r="AS36" s="922">
        <f t="shared" si="108"/>
        <v>10931592.302400002</v>
      </c>
      <c r="AT36" s="922">
        <f t="shared" si="109"/>
        <v>10757659.100000001</v>
      </c>
      <c r="AU36" s="1430">
        <f>+AU85*AU$3*24*1000</f>
        <v>1226445.3120000002</v>
      </c>
      <c r="AV36" s="322">
        <v>1063826.0000000007</v>
      </c>
      <c r="AW36" s="922">
        <f t="shared" si="110"/>
        <v>12158037.614400003</v>
      </c>
      <c r="AX36" s="922">
        <f t="shared" si="111"/>
        <v>11821485.100000001</v>
      </c>
      <c r="AY36" s="1430">
        <f>+AY85*AY$3*24*1000</f>
        <v>1107757.0560000001</v>
      </c>
      <c r="AZ36" s="322">
        <v>1031726.9999999995</v>
      </c>
      <c r="BA36" s="922">
        <f t="shared" si="112"/>
        <v>13265794.670400003</v>
      </c>
      <c r="BB36" s="922">
        <f t="shared" si="113"/>
        <v>12853212.100000001</v>
      </c>
      <c r="BC36" s="1430">
        <f>+BC85*BC$3*24*1000</f>
        <v>1226445.3120000002</v>
      </c>
      <c r="BD36" s="322">
        <v>1164705.0000000002</v>
      </c>
      <c r="BE36" s="1508">
        <f t="shared" ref="BE36:BE42" si="120">AU36+AY36+BC36</f>
        <v>3560647.6800000006</v>
      </c>
      <c r="BF36" s="359">
        <f t="shared" ref="BF36:BF42" si="121">AV36+AZ36+BD36</f>
        <v>3260258.0000000005</v>
      </c>
      <c r="BG36" s="923">
        <f t="shared" ref="BG36:BG39" si="122">AQ36+BE36</f>
        <v>7200420.864000001</v>
      </c>
      <c r="BH36" s="923">
        <f t="shared" ref="BH36:BH39" si="123">AR36+BF36</f>
        <v>6757869</v>
      </c>
      <c r="BI36" s="922">
        <f t="shared" si="114"/>
        <v>14492239.982400004</v>
      </c>
      <c r="BJ36" s="922">
        <f t="shared" si="115"/>
        <v>14017917.100000001</v>
      </c>
      <c r="BK36" s="26"/>
      <c r="BL36" s="26"/>
      <c r="BM36" s="1222"/>
      <c r="BN36" s="1222"/>
    </row>
    <row r="37" spans="1:66" x14ac:dyDescent="0.25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4" t="s">
        <v>771</v>
      </c>
      <c r="H37" s="895" t="s">
        <v>732</v>
      </c>
      <c r="I37" s="1430">
        <f>+I86*I$3*24*1000</f>
        <v>360000</v>
      </c>
      <c r="J37" s="322">
        <v>221224.33333333366</v>
      </c>
      <c r="K37" s="1430">
        <f>+K86*K$3*24*1000</f>
        <v>372000</v>
      </c>
      <c r="L37" s="322">
        <v>219653.33333333343</v>
      </c>
      <c r="M37" s="922">
        <f t="shared" si="3"/>
        <v>732000</v>
      </c>
      <c r="N37" s="922">
        <f t="shared" si="3"/>
        <v>440877.66666666709</v>
      </c>
      <c r="O37" s="1430">
        <f>+O86*O$3*24*1000</f>
        <v>644972.74899999995</v>
      </c>
      <c r="P37" s="322">
        <v>221404.00000000012</v>
      </c>
      <c r="Q37" s="1508">
        <f t="shared" si="5"/>
        <v>1376972.7489999998</v>
      </c>
      <c r="R37" s="359">
        <f t="shared" si="6"/>
        <v>662281.66666666721</v>
      </c>
      <c r="S37" s="1430">
        <f>+S86*S$3*24*1000</f>
        <v>669600</v>
      </c>
      <c r="T37" s="322">
        <v>240039.66666666666</v>
      </c>
      <c r="U37" s="922">
        <f t="shared" si="98"/>
        <v>2046572.7489999998</v>
      </c>
      <c r="V37" s="922">
        <f t="shared" si="99"/>
        <v>902321.33333333384</v>
      </c>
      <c r="W37" s="1430">
        <f>+W86*W$3*24*1000</f>
        <v>669600</v>
      </c>
      <c r="X37" s="322">
        <v>249942.66666666648</v>
      </c>
      <c r="Y37" s="922">
        <f t="shared" si="100"/>
        <v>2716172.7489999998</v>
      </c>
      <c r="Z37" s="922">
        <f t="shared" si="101"/>
        <v>1152264.0000000002</v>
      </c>
      <c r="AA37" s="1430">
        <f>+AA86*AA$3*24*1000</f>
        <v>648000</v>
      </c>
      <c r="AB37" s="322">
        <v>262927</v>
      </c>
      <c r="AC37" s="1508">
        <f t="shared" si="116"/>
        <v>1987200</v>
      </c>
      <c r="AD37" s="359">
        <f t="shared" si="117"/>
        <v>752909.33333333314</v>
      </c>
      <c r="AE37" s="923">
        <f t="shared" si="102"/>
        <v>3364172.7489999998</v>
      </c>
      <c r="AF37" s="923">
        <f t="shared" si="103"/>
        <v>1415191.0000000005</v>
      </c>
      <c r="AG37" s="1430">
        <f>+AG86*AG$3*24*1000</f>
        <v>669600</v>
      </c>
      <c r="AH37" s="322">
        <v>245212.66666666674</v>
      </c>
      <c r="AI37" s="922">
        <f t="shared" si="104"/>
        <v>4033772.7489999998</v>
      </c>
      <c r="AJ37" s="922">
        <f t="shared" si="105"/>
        <v>1660403.6666666672</v>
      </c>
      <c r="AK37" s="1430">
        <f>+AK86*AK$3*24*1000</f>
        <v>648000</v>
      </c>
      <c r="AL37" s="322">
        <v>230996.00000000012</v>
      </c>
      <c r="AM37" s="922">
        <f t="shared" si="106"/>
        <v>4681772.7489999998</v>
      </c>
      <c r="AN37" s="922">
        <f t="shared" si="107"/>
        <v>1891399.6666666674</v>
      </c>
      <c r="AO37" s="1430">
        <f>+AO86*AO$3*24*1000</f>
        <v>669600</v>
      </c>
      <c r="AP37" s="322">
        <v>213346.99999999988</v>
      </c>
      <c r="AQ37" s="1508">
        <f t="shared" si="118"/>
        <v>1987200</v>
      </c>
      <c r="AR37" s="359">
        <f t="shared" si="119"/>
        <v>689555.66666666674</v>
      </c>
      <c r="AS37" s="922">
        <f t="shared" si="108"/>
        <v>5351372.7489999998</v>
      </c>
      <c r="AT37" s="922">
        <f t="shared" si="109"/>
        <v>2104746.6666666674</v>
      </c>
      <c r="AU37" s="1430">
        <f>+AU86*AU$3*24*1000</f>
        <v>669600</v>
      </c>
      <c r="AV37" s="322">
        <v>233849.33333333343</v>
      </c>
      <c r="AW37" s="922">
        <f t="shared" si="110"/>
        <v>6020972.7489999998</v>
      </c>
      <c r="AX37" s="922">
        <f t="shared" si="111"/>
        <v>2338596.0000000009</v>
      </c>
      <c r="AY37" s="1430">
        <f>+AY86*AY$3*24*1000</f>
        <v>604800</v>
      </c>
      <c r="AZ37" s="322">
        <v>203079.33333333343</v>
      </c>
      <c r="BA37" s="922">
        <f t="shared" si="112"/>
        <v>6625772.7489999998</v>
      </c>
      <c r="BB37" s="922">
        <f t="shared" si="113"/>
        <v>2541675.3333333344</v>
      </c>
      <c r="BC37" s="1430">
        <f>+BC86*BC$3*24*1000</f>
        <v>669600</v>
      </c>
      <c r="BD37" s="322">
        <v>228079.99999999884</v>
      </c>
      <c r="BE37" s="1508">
        <f t="shared" si="120"/>
        <v>1944000</v>
      </c>
      <c r="BF37" s="359">
        <f t="shared" si="121"/>
        <v>665008.6666666657</v>
      </c>
      <c r="BG37" s="923">
        <f t="shared" si="122"/>
        <v>3931200</v>
      </c>
      <c r="BH37" s="923">
        <f t="shared" si="123"/>
        <v>1354564.3333333326</v>
      </c>
      <c r="BI37" s="922">
        <f t="shared" si="114"/>
        <v>7295372.7489999998</v>
      </c>
      <c r="BJ37" s="922">
        <f t="shared" si="115"/>
        <v>2769755.333333333</v>
      </c>
      <c r="BK37" s="26"/>
      <c r="BL37" s="26"/>
      <c r="BM37" s="1222"/>
      <c r="BN37" s="1222"/>
    </row>
    <row r="38" spans="1:66" x14ac:dyDescent="0.25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4" t="s">
        <v>772</v>
      </c>
      <c r="H38" s="895" t="s">
        <v>733</v>
      </c>
      <c r="I38" s="1429">
        <f>+I87*I$3*24*1000</f>
        <v>144000</v>
      </c>
      <c r="J38" s="322">
        <v>80866.880199999956</v>
      </c>
      <c r="K38" s="1429">
        <f>+K87*K$3*24*1000</f>
        <v>148800</v>
      </c>
      <c r="L38" s="322">
        <v>99623.124100000045</v>
      </c>
      <c r="M38" s="922">
        <f t="shared" si="3"/>
        <v>292800</v>
      </c>
      <c r="N38" s="922">
        <f t="shared" si="3"/>
        <v>180490.0043</v>
      </c>
      <c r="O38" s="1429">
        <f>+O87*O$3*24*1000</f>
        <v>360000</v>
      </c>
      <c r="P38" s="322">
        <v>111642.10600000012</v>
      </c>
      <c r="Q38" s="1507">
        <f t="shared" si="5"/>
        <v>652800</v>
      </c>
      <c r="R38" s="359">
        <f t="shared" si="6"/>
        <v>292132.11030000012</v>
      </c>
      <c r="S38" s="1429">
        <f>+S87*S$3*24*1000</f>
        <v>372000</v>
      </c>
      <c r="T38" s="322">
        <v>116572.45299999979</v>
      </c>
      <c r="U38" s="922">
        <f t="shared" si="98"/>
        <v>1024800</v>
      </c>
      <c r="V38" s="922">
        <f t="shared" si="99"/>
        <v>408704.56329999992</v>
      </c>
      <c r="W38" s="1429">
        <f>+W87*W$3*24*1000</f>
        <v>372000</v>
      </c>
      <c r="X38" s="322">
        <v>110599.02399999996</v>
      </c>
      <c r="Y38" s="922">
        <f t="shared" si="100"/>
        <v>1396800</v>
      </c>
      <c r="Z38" s="922">
        <f t="shared" si="101"/>
        <v>519303.5872999999</v>
      </c>
      <c r="AA38" s="1429">
        <f>+AA87*AA$3*24*1000</f>
        <v>360000</v>
      </c>
      <c r="AB38" s="322">
        <v>98769</v>
      </c>
      <c r="AC38" s="1507">
        <f t="shared" si="116"/>
        <v>1104000</v>
      </c>
      <c r="AD38" s="359">
        <f t="shared" si="117"/>
        <v>325940.47699999972</v>
      </c>
      <c r="AE38" s="923">
        <f t="shared" si="102"/>
        <v>1756800</v>
      </c>
      <c r="AF38" s="923">
        <f t="shared" si="103"/>
        <v>618072.58729999978</v>
      </c>
      <c r="AG38" s="1429">
        <f>+AG87*AG$3*24*1000</f>
        <v>372000</v>
      </c>
      <c r="AH38" s="322">
        <v>111641.62100000019</v>
      </c>
      <c r="AI38" s="922">
        <f t="shared" si="104"/>
        <v>2128800</v>
      </c>
      <c r="AJ38" s="922">
        <f t="shared" si="105"/>
        <v>729714.20829999994</v>
      </c>
      <c r="AK38" s="1429">
        <f>+AK87*AK$3*24*1000</f>
        <v>360000</v>
      </c>
      <c r="AL38" s="322">
        <v>89896.91999999994</v>
      </c>
      <c r="AM38" s="922">
        <f t="shared" si="106"/>
        <v>2488800</v>
      </c>
      <c r="AN38" s="922">
        <f t="shared" si="107"/>
        <v>819611.12829999987</v>
      </c>
      <c r="AO38" s="1429">
        <f>+AO87*AO$3*24*1000</f>
        <v>372000</v>
      </c>
      <c r="AP38" s="322">
        <v>86850.420000000115</v>
      </c>
      <c r="AQ38" s="1507">
        <f t="shared" si="118"/>
        <v>1104000</v>
      </c>
      <c r="AR38" s="359">
        <f t="shared" si="119"/>
        <v>288388.96100000024</v>
      </c>
      <c r="AS38" s="922">
        <f t="shared" si="108"/>
        <v>2860800</v>
      </c>
      <c r="AT38" s="922">
        <f t="shared" si="109"/>
        <v>906461.54830000002</v>
      </c>
      <c r="AU38" s="1429">
        <f>+AU87*AU$3*24*1000</f>
        <v>372000</v>
      </c>
      <c r="AV38" s="322">
        <v>93472.199999999677</v>
      </c>
      <c r="AW38" s="922">
        <f t="shared" si="110"/>
        <v>3232800</v>
      </c>
      <c r="AX38" s="922">
        <f t="shared" si="111"/>
        <v>999933.74829999974</v>
      </c>
      <c r="AY38" s="1429">
        <f>+AY87*AY$3*24*1000</f>
        <v>336000</v>
      </c>
      <c r="AZ38" s="322">
        <v>75728.09625000025</v>
      </c>
      <c r="BA38" s="922">
        <f t="shared" si="112"/>
        <v>3568800</v>
      </c>
      <c r="BB38" s="922">
        <f t="shared" si="113"/>
        <v>1075661.84455</v>
      </c>
      <c r="BC38" s="1429">
        <f>+BC87*BC$3*24*1000</f>
        <v>372000</v>
      </c>
      <c r="BD38" s="322">
        <v>70990.004149999993</v>
      </c>
      <c r="BE38" s="1507">
        <f t="shared" si="120"/>
        <v>1080000</v>
      </c>
      <c r="BF38" s="359">
        <f t="shared" si="121"/>
        <v>240190.30039999992</v>
      </c>
      <c r="BG38" s="923">
        <f t="shared" si="122"/>
        <v>2184000</v>
      </c>
      <c r="BH38" s="923">
        <f t="shared" si="123"/>
        <v>528579.26140000019</v>
      </c>
      <c r="BI38" s="922">
        <f t="shared" si="114"/>
        <v>3940800</v>
      </c>
      <c r="BJ38" s="922">
        <f t="shared" si="115"/>
        <v>1146651.8487</v>
      </c>
      <c r="BK38" s="26"/>
      <c r="BL38" s="26"/>
      <c r="BM38" s="1222"/>
      <c r="BN38" s="1222"/>
    </row>
    <row r="39" spans="1:66" x14ac:dyDescent="0.25">
      <c r="A39" s="274"/>
      <c r="B39" s="304"/>
      <c r="C39" s="14"/>
      <c r="D39" s="293"/>
      <c r="E39" s="294"/>
      <c r="G39" s="914" t="s">
        <v>772</v>
      </c>
      <c r="H39" s="895" t="s">
        <v>734</v>
      </c>
      <c r="I39" s="1429">
        <f>+I88*I$3*24*1000</f>
        <v>108000</v>
      </c>
      <c r="J39" s="322">
        <v>65313.799999999421</v>
      </c>
      <c r="K39" s="1429">
        <f>+K88*K$3*24*1000</f>
        <v>111600</v>
      </c>
      <c r="L39" s="322">
        <v>136932.00000000061</v>
      </c>
      <c r="M39" s="922">
        <f t="shared" si="3"/>
        <v>219600</v>
      </c>
      <c r="N39" s="922">
        <f t="shared" si="3"/>
        <v>202245.80000000005</v>
      </c>
      <c r="O39" s="1429">
        <f>+O88*O$3*24*1000</f>
        <v>108000</v>
      </c>
      <c r="P39" s="322">
        <v>67024.400000000285</v>
      </c>
      <c r="Q39" s="1507">
        <f t="shared" si="5"/>
        <v>327600</v>
      </c>
      <c r="R39" s="359">
        <f t="shared" si="6"/>
        <v>269270.2000000003</v>
      </c>
      <c r="S39" s="1429">
        <f>+S88*S$3*24*1000</f>
        <v>111600</v>
      </c>
      <c r="T39" s="322">
        <v>68539.000000000276</v>
      </c>
      <c r="U39" s="922">
        <f t="shared" si="98"/>
        <v>439200</v>
      </c>
      <c r="V39" s="922">
        <f t="shared" si="99"/>
        <v>337809.20000000059</v>
      </c>
      <c r="W39" s="1429">
        <f>+W88*W$3*24*1000</f>
        <v>111600</v>
      </c>
      <c r="X39" s="322">
        <v>85258.600000000588</v>
      </c>
      <c r="Y39" s="922">
        <f t="shared" si="100"/>
        <v>550800</v>
      </c>
      <c r="Z39" s="922">
        <f t="shared" si="101"/>
        <v>423067.80000000121</v>
      </c>
      <c r="AA39" s="1429">
        <f>+AA88*AA$3*24*1000</f>
        <v>108000</v>
      </c>
      <c r="AB39" s="322">
        <v>63388</v>
      </c>
      <c r="AC39" s="1507">
        <f t="shared" si="116"/>
        <v>331200</v>
      </c>
      <c r="AD39" s="359">
        <f t="shared" si="117"/>
        <v>217185.60000000085</v>
      </c>
      <c r="AE39" s="923">
        <f t="shared" si="102"/>
        <v>658800</v>
      </c>
      <c r="AF39" s="923">
        <f t="shared" si="103"/>
        <v>486455.80000000115</v>
      </c>
      <c r="AG39" s="1429">
        <f>+AG88*AG$3*24*1000</f>
        <v>111600</v>
      </c>
      <c r="AH39" s="322">
        <v>82129.400000000009</v>
      </c>
      <c r="AI39" s="922">
        <f t="shared" si="104"/>
        <v>770400</v>
      </c>
      <c r="AJ39" s="922">
        <f t="shared" si="105"/>
        <v>568585.20000000112</v>
      </c>
      <c r="AK39" s="1429">
        <f>+AK88*AK$3*24*1000</f>
        <v>108000</v>
      </c>
      <c r="AL39" s="322">
        <v>66610</v>
      </c>
      <c r="AM39" s="922">
        <f t="shared" si="106"/>
        <v>878400</v>
      </c>
      <c r="AN39" s="922">
        <f t="shared" si="107"/>
        <v>635195.20000000112</v>
      </c>
      <c r="AO39" s="1429">
        <f>+AO88*AO$3*24*1000</f>
        <v>111600</v>
      </c>
      <c r="AP39" s="322">
        <v>47030.80000000001</v>
      </c>
      <c r="AQ39" s="1507">
        <f t="shared" si="118"/>
        <v>331200</v>
      </c>
      <c r="AR39" s="359">
        <f t="shared" si="119"/>
        <v>195770.20000000004</v>
      </c>
      <c r="AS39" s="922">
        <f t="shared" si="108"/>
        <v>990000</v>
      </c>
      <c r="AT39" s="922">
        <f t="shared" si="109"/>
        <v>682226.00000000116</v>
      </c>
      <c r="AU39" s="1429">
        <f>+AU88*AU$3*24*1000</f>
        <v>111600</v>
      </c>
      <c r="AV39" s="322">
        <v>65738.799999999974</v>
      </c>
      <c r="AW39" s="922">
        <f t="shared" si="110"/>
        <v>1101600</v>
      </c>
      <c r="AX39" s="922">
        <f t="shared" si="111"/>
        <v>747964.80000000109</v>
      </c>
      <c r="AY39" s="1429">
        <f>+AY88*AY$3*24*1000</f>
        <v>100800.00000000001</v>
      </c>
      <c r="AZ39" s="322">
        <v>64649.000000000597</v>
      </c>
      <c r="BA39" s="922">
        <f t="shared" si="112"/>
        <v>1202400</v>
      </c>
      <c r="BB39" s="922">
        <f t="shared" si="113"/>
        <v>812613.80000000168</v>
      </c>
      <c r="BC39" s="1429">
        <f>+BC88*BC$3*24*1000</f>
        <v>111600</v>
      </c>
      <c r="BD39" s="322">
        <v>79759.599999999424</v>
      </c>
      <c r="BE39" s="1507">
        <f t="shared" si="120"/>
        <v>324000</v>
      </c>
      <c r="BF39" s="359">
        <f t="shared" si="121"/>
        <v>210147.4</v>
      </c>
      <c r="BG39" s="923">
        <f t="shared" si="122"/>
        <v>655200</v>
      </c>
      <c r="BH39" s="923">
        <f t="shared" si="123"/>
        <v>405917.60000000003</v>
      </c>
      <c r="BI39" s="922">
        <f t="shared" si="114"/>
        <v>1314000</v>
      </c>
      <c r="BJ39" s="922">
        <f t="shared" si="115"/>
        <v>892373.40000000107</v>
      </c>
      <c r="BK39" s="26"/>
      <c r="BL39" s="26"/>
      <c r="BM39" s="1222"/>
      <c r="BN39" s="1222"/>
    </row>
    <row r="40" spans="1:66" ht="16.5" thickBot="1" x14ac:dyDescent="0.3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5">
        <v>4.2</v>
      </c>
      <c r="H40" s="1425" t="s">
        <v>735</v>
      </c>
      <c r="I40" s="1432">
        <f>I41+I43</f>
        <v>9594000</v>
      </c>
      <c r="J40" s="325">
        <f>J41+J43</f>
        <v>8776258.0686666686</v>
      </c>
      <c r="K40" s="1432">
        <f>K41+K43</f>
        <v>9913800</v>
      </c>
      <c r="L40" s="325">
        <f>L41+L43</f>
        <v>9645230.6476666667</v>
      </c>
      <c r="M40" s="926">
        <f t="shared" si="3"/>
        <v>19507800</v>
      </c>
      <c r="N40" s="926">
        <f t="shared" si="3"/>
        <v>18421488.716333337</v>
      </c>
      <c r="O40" s="1432">
        <f>O41+O43</f>
        <v>9594000</v>
      </c>
      <c r="P40" s="325">
        <f>P41+P43</f>
        <v>9375636.6710000001</v>
      </c>
      <c r="Q40" s="1511">
        <f t="shared" si="5"/>
        <v>29101800</v>
      </c>
      <c r="R40" s="1512">
        <f t="shared" si="6"/>
        <v>27797125.387333337</v>
      </c>
      <c r="S40" s="1432">
        <f>S41+S43</f>
        <v>9913800</v>
      </c>
      <c r="T40" s="325">
        <f>T41+T43</f>
        <v>9640220.3113333359</v>
      </c>
      <c r="U40" s="926">
        <f t="shared" si="98"/>
        <v>39015600</v>
      </c>
      <c r="V40" s="926">
        <f t="shared" si="99"/>
        <v>37437345.698666677</v>
      </c>
      <c r="W40" s="1432">
        <f>W41+W43</f>
        <v>9913800</v>
      </c>
      <c r="X40" s="325">
        <f>X41+X43</f>
        <v>9503552.8893333338</v>
      </c>
      <c r="Y40" s="926">
        <f t="shared" si="100"/>
        <v>48929400</v>
      </c>
      <c r="Z40" s="926">
        <f t="shared" si="101"/>
        <v>46940898.588000014</v>
      </c>
      <c r="AA40" s="1432">
        <f>AA41+AA43</f>
        <v>9594000</v>
      </c>
      <c r="AB40" s="325">
        <f>AB41+AB43</f>
        <v>9012261</v>
      </c>
      <c r="AC40" s="1511">
        <f t="shared" si="116"/>
        <v>29421600</v>
      </c>
      <c r="AD40" s="1512">
        <f t="shared" si="117"/>
        <v>28156034.20066667</v>
      </c>
      <c r="AE40" s="927">
        <f t="shared" si="102"/>
        <v>58523400</v>
      </c>
      <c r="AF40" s="927">
        <f t="shared" si="103"/>
        <v>55953159.588000007</v>
      </c>
      <c r="AG40" s="1432">
        <f>AG41+AG43</f>
        <v>9913800</v>
      </c>
      <c r="AH40" s="325">
        <f>AH41+AH43</f>
        <v>9172497.9693333302</v>
      </c>
      <c r="AI40" s="926">
        <f t="shared" si="104"/>
        <v>68437200</v>
      </c>
      <c r="AJ40" s="926">
        <f t="shared" si="105"/>
        <v>65125657.557333335</v>
      </c>
      <c r="AK40" s="1432">
        <f>AK41+AK43</f>
        <v>9594000</v>
      </c>
      <c r="AL40" s="325">
        <f>AL41+AL43</f>
        <v>5355097.320000004</v>
      </c>
      <c r="AM40" s="926">
        <f t="shared" si="106"/>
        <v>78031200</v>
      </c>
      <c r="AN40" s="926">
        <f t="shared" si="107"/>
        <v>70480754.877333343</v>
      </c>
      <c r="AO40" s="1432">
        <f>AO41+AO43</f>
        <v>9913800</v>
      </c>
      <c r="AP40" s="325">
        <f>AP41+AP43</f>
        <v>8208745.335</v>
      </c>
      <c r="AQ40" s="1511">
        <f t="shared" si="118"/>
        <v>29421600</v>
      </c>
      <c r="AR40" s="1512">
        <f t="shared" si="119"/>
        <v>22736340.624333333</v>
      </c>
      <c r="AS40" s="926">
        <f t="shared" si="108"/>
        <v>87945000</v>
      </c>
      <c r="AT40" s="926">
        <f t="shared" si="109"/>
        <v>78689500.212333336</v>
      </c>
      <c r="AU40" s="1432">
        <f>AU41+AU43</f>
        <v>9913800</v>
      </c>
      <c r="AV40" s="325">
        <f>AV41+AV43</f>
        <v>8509235.5166666619</v>
      </c>
      <c r="AW40" s="926">
        <f t="shared" si="110"/>
        <v>97858800</v>
      </c>
      <c r="AX40" s="926">
        <f t="shared" si="111"/>
        <v>87198735.729000002</v>
      </c>
      <c r="AY40" s="1432">
        <f>AY41+AY43</f>
        <v>8954400</v>
      </c>
      <c r="AZ40" s="325">
        <f>AZ41+AZ43</f>
        <v>7502740.1496666707</v>
      </c>
      <c r="BA40" s="926">
        <f t="shared" si="112"/>
        <v>106813200</v>
      </c>
      <c r="BB40" s="926">
        <f t="shared" si="113"/>
        <v>94701475.878666669</v>
      </c>
      <c r="BC40" s="1432">
        <f>BC41+BC43</f>
        <v>9913800</v>
      </c>
      <c r="BD40" s="325">
        <f>BD41+BD43</f>
        <v>8368258.8929999899</v>
      </c>
      <c r="BE40" s="1511">
        <f t="shared" si="120"/>
        <v>28782000</v>
      </c>
      <c r="BF40" s="1512">
        <f t="shared" si="121"/>
        <v>24380234.559333324</v>
      </c>
      <c r="BG40" s="920">
        <f>AQ40+BE40</f>
        <v>58203600</v>
      </c>
      <c r="BH40" s="920">
        <f>AR40+BF40</f>
        <v>47116575.183666661</v>
      </c>
      <c r="BI40" s="926">
        <f t="shared" si="114"/>
        <v>116727000</v>
      </c>
      <c r="BJ40" s="926">
        <f t="shared" si="115"/>
        <v>103069734.77166666</v>
      </c>
      <c r="BK40" s="26"/>
      <c r="BL40" s="26"/>
      <c r="BM40" s="1222"/>
      <c r="BN40" s="1222"/>
    </row>
    <row r="41" spans="1:66" ht="16.5" thickBot="1" x14ac:dyDescent="0.3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5" t="s">
        <v>774</v>
      </c>
      <c r="H41" s="1425" t="s">
        <v>736</v>
      </c>
      <c r="I41" s="1432">
        <f>I42</f>
        <v>5616000</v>
      </c>
      <c r="J41" s="325">
        <f>J42</f>
        <v>5306260</v>
      </c>
      <c r="K41" s="1432">
        <f>K42</f>
        <v>5803200</v>
      </c>
      <c r="L41" s="325">
        <f>L42</f>
        <v>5673200</v>
      </c>
      <c r="M41" s="926">
        <f t="shared" si="3"/>
        <v>11419200</v>
      </c>
      <c r="N41" s="926">
        <f t="shared" si="3"/>
        <v>10979460</v>
      </c>
      <c r="O41" s="1432">
        <f>O42</f>
        <v>5616000</v>
      </c>
      <c r="P41" s="325">
        <f>P42</f>
        <v>5283362.5000000009</v>
      </c>
      <c r="Q41" s="1511">
        <f t="shared" si="5"/>
        <v>17035200</v>
      </c>
      <c r="R41" s="1512">
        <f t="shared" si="6"/>
        <v>16262822.5</v>
      </c>
      <c r="S41" s="1432">
        <f>S42</f>
        <v>5803200</v>
      </c>
      <c r="T41" s="325">
        <f>T42</f>
        <v>5698570</v>
      </c>
      <c r="U41" s="926">
        <f t="shared" si="98"/>
        <v>22838400</v>
      </c>
      <c r="V41" s="926">
        <f t="shared" si="99"/>
        <v>21961392.5</v>
      </c>
      <c r="W41" s="1432">
        <f>W42</f>
        <v>5803200</v>
      </c>
      <c r="X41" s="325">
        <f>X42</f>
        <v>5708374.4000000004</v>
      </c>
      <c r="Y41" s="926">
        <f t="shared" si="100"/>
        <v>28641600</v>
      </c>
      <c r="Z41" s="926">
        <f t="shared" si="101"/>
        <v>27669766.899999999</v>
      </c>
      <c r="AA41" s="1432">
        <f>AA42</f>
        <v>5616000</v>
      </c>
      <c r="AB41" s="325">
        <f>AB42</f>
        <v>5413291</v>
      </c>
      <c r="AC41" s="1511">
        <f t="shared" si="116"/>
        <v>17222400</v>
      </c>
      <c r="AD41" s="1512">
        <f t="shared" si="117"/>
        <v>16820235.399999999</v>
      </c>
      <c r="AE41" s="927">
        <f t="shared" si="102"/>
        <v>34257600</v>
      </c>
      <c r="AF41" s="927">
        <f t="shared" si="103"/>
        <v>33083057.899999999</v>
      </c>
      <c r="AG41" s="1432">
        <f>AG42</f>
        <v>5803200</v>
      </c>
      <c r="AH41" s="325">
        <f>AH42</f>
        <v>5615695.5999999968</v>
      </c>
      <c r="AI41" s="926">
        <f t="shared" si="104"/>
        <v>40060800</v>
      </c>
      <c r="AJ41" s="926">
        <f t="shared" si="105"/>
        <v>38698753.499999993</v>
      </c>
      <c r="AK41" s="1432">
        <f>AK42</f>
        <v>5616000</v>
      </c>
      <c r="AL41" s="325">
        <f>AL42</f>
        <v>2590470</v>
      </c>
      <c r="AM41" s="926">
        <f t="shared" si="106"/>
        <v>45676800</v>
      </c>
      <c r="AN41" s="926">
        <f t="shared" si="107"/>
        <v>41289223.499999993</v>
      </c>
      <c r="AO41" s="1432">
        <f>AO42</f>
        <v>5803200</v>
      </c>
      <c r="AP41" s="325">
        <f>AP42</f>
        <v>5327990</v>
      </c>
      <c r="AQ41" s="1511">
        <f t="shared" si="118"/>
        <v>17222400</v>
      </c>
      <c r="AR41" s="1512">
        <f t="shared" si="119"/>
        <v>13534155.599999998</v>
      </c>
      <c r="AS41" s="926">
        <f t="shared" si="108"/>
        <v>51480000</v>
      </c>
      <c r="AT41" s="926">
        <f t="shared" si="109"/>
        <v>46617213.499999993</v>
      </c>
      <c r="AU41" s="1432">
        <f>AU42</f>
        <v>5803200</v>
      </c>
      <c r="AV41" s="325">
        <f>AV42</f>
        <v>5469900</v>
      </c>
      <c r="AW41" s="926">
        <f t="shared" si="110"/>
        <v>57283200</v>
      </c>
      <c r="AX41" s="926">
        <f t="shared" si="111"/>
        <v>52087113.499999993</v>
      </c>
      <c r="AY41" s="1432">
        <f>AY42</f>
        <v>5241600</v>
      </c>
      <c r="AZ41" s="325">
        <f>AZ42</f>
        <v>4909400</v>
      </c>
      <c r="BA41" s="926">
        <f t="shared" si="112"/>
        <v>62524800</v>
      </c>
      <c r="BB41" s="926">
        <f t="shared" si="113"/>
        <v>56996513.499999993</v>
      </c>
      <c r="BC41" s="1432">
        <f>BC42</f>
        <v>5803200</v>
      </c>
      <c r="BD41" s="325">
        <f>BD42</f>
        <v>5384537.2999999952</v>
      </c>
      <c r="BE41" s="1511">
        <f t="shared" si="120"/>
        <v>16848000</v>
      </c>
      <c r="BF41" s="1512">
        <f t="shared" si="121"/>
        <v>15763837.299999995</v>
      </c>
      <c r="BG41" s="920">
        <f>AQ41+BE41</f>
        <v>34070400</v>
      </c>
      <c r="BH41" s="920">
        <f>AR41+BF41</f>
        <v>29297992.899999991</v>
      </c>
      <c r="BI41" s="926">
        <f t="shared" si="114"/>
        <v>68328000</v>
      </c>
      <c r="BJ41" s="926">
        <f t="shared" si="115"/>
        <v>62381050.79999999</v>
      </c>
      <c r="BK41" s="26"/>
      <c r="BL41" s="26"/>
      <c r="BM41" s="1222"/>
      <c r="BN41" s="1222"/>
    </row>
    <row r="42" spans="1:66" ht="15.75" thickBot="1" x14ac:dyDescent="0.3">
      <c r="E42" s="283"/>
      <c r="G42" s="914" t="s">
        <v>775</v>
      </c>
      <c r="H42" s="895" t="s">
        <v>737</v>
      </c>
      <c r="I42" s="1429">
        <f>+I91*I$3*24*1000</f>
        <v>5616000</v>
      </c>
      <c r="J42" s="322">
        <v>5306260</v>
      </c>
      <c r="K42" s="1429">
        <f>+K91*K$3*24*1000</f>
        <v>5803200</v>
      </c>
      <c r="L42" s="322">
        <v>5673200</v>
      </c>
      <c r="M42" s="922">
        <f t="shared" si="3"/>
        <v>11419200</v>
      </c>
      <c r="N42" s="922">
        <f t="shared" si="3"/>
        <v>10979460</v>
      </c>
      <c r="O42" s="1429">
        <f>+O91*O$3*24*1000</f>
        <v>5616000</v>
      </c>
      <c r="P42" s="322">
        <v>5283362.5000000009</v>
      </c>
      <c r="Q42" s="1507">
        <f t="shared" si="5"/>
        <v>17035200</v>
      </c>
      <c r="R42" s="359">
        <f t="shared" si="6"/>
        <v>16262822.5</v>
      </c>
      <c r="S42" s="1429">
        <f>+S91*S$3*24*1000</f>
        <v>5803200</v>
      </c>
      <c r="T42" s="322">
        <v>5698570</v>
      </c>
      <c r="U42" s="922">
        <f t="shared" si="98"/>
        <v>22838400</v>
      </c>
      <c r="V42" s="922">
        <f t="shared" si="99"/>
        <v>21961392.5</v>
      </c>
      <c r="W42" s="1429">
        <f>+W91*W$3*24*1000</f>
        <v>5803200</v>
      </c>
      <c r="X42" s="322">
        <v>5708374.4000000004</v>
      </c>
      <c r="Y42" s="922">
        <f t="shared" si="100"/>
        <v>28641600</v>
      </c>
      <c r="Z42" s="922">
        <f t="shared" si="101"/>
        <v>27669766.899999999</v>
      </c>
      <c r="AA42" s="1429">
        <f>+AA91*AA$3*24*1000</f>
        <v>5616000</v>
      </c>
      <c r="AB42" s="322">
        <v>5413291</v>
      </c>
      <c r="AC42" s="1507">
        <f t="shared" si="116"/>
        <v>17222400</v>
      </c>
      <c r="AD42" s="359">
        <f t="shared" si="117"/>
        <v>16820235.399999999</v>
      </c>
      <c r="AE42" s="923">
        <f t="shared" si="102"/>
        <v>34257600</v>
      </c>
      <c r="AF42" s="923">
        <f t="shared" si="103"/>
        <v>33083057.899999999</v>
      </c>
      <c r="AG42" s="1429">
        <f>+AG91*AG$3*24*1000</f>
        <v>5803200</v>
      </c>
      <c r="AH42" s="322">
        <v>5615695.5999999968</v>
      </c>
      <c r="AI42" s="922">
        <f t="shared" si="104"/>
        <v>40060800</v>
      </c>
      <c r="AJ42" s="922">
        <f t="shared" si="105"/>
        <v>38698753.499999993</v>
      </c>
      <c r="AK42" s="1429">
        <f>+AK91*AK$3*24*1000</f>
        <v>5616000</v>
      </c>
      <c r="AL42" s="322">
        <v>2590470</v>
      </c>
      <c r="AM42" s="922">
        <f t="shared" si="106"/>
        <v>45676800</v>
      </c>
      <c r="AN42" s="922">
        <f t="shared" si="107"/>
        <v>41289223.499999993</v>
      </c>
      <c r="AO42" s="1429">
        <f>+AO91*AO$3*24*1000</f>
        <v>5803200</v>
      </c>
      <c r="AP42" s="322">
        <v>5327990</v>
      </c>
      <c r="AQ42" s="1507">
        <f t="shared" si="118"/>
        <v>17222400</v>
      </c>
      <c r="AR42" s="359">
        <f t="shared" si="119"/>
        <v>13534155.599999998</v>
      </c>
      <c r="AS42" s="922">
        <f t="shared" si="108"/>
        <v>51480000</v>
      </c>
      <c r="AT42" s="922">
        <f t="shared" si="109"/>
        <v>46617213.499999993</v>
      </c>
      <c r="AU42" s="1429">
        <f>+AU91*AU$3*24*1000</f>
        <v>5803200</v>
      </c>
      <c r="AV42" s="322">
        <v>5469900</v>
      </c>
      <c r="AW42" s="922">
        <f t="shared" si="110"/>
        <v>57283200</v>
      </c>
      <c r="AX42" s="922">
        <f t="shared" si="111"/>
        <v>52087113.499999993</v>
      </c>
      <c r="AY42" s="1429">
        <f>+AY91*AY$3*24*1000</f>
        <v>5241600</v>
      </c>
      <c r="AZ42" s="322">
        <v>4909400</v>
      </c>
      <c r="BA42" s="922">
        <f t="shared" si="112"/>
        <v>62524800</v>
      </c>
      <c r="BB42" s="922">
        <f t="shared" si="113"/>
        <v>56996513.499999993</v>
      </c>
      <c r="BC42" s="1429">
        <f>+BC91*BC$3*24*1000</f>
        <v>5803200</v>
      </c>
      <c r="BD42" s="322">
        <v>5384537.2999999952</v>
      </c>
      <c r="BE42" s="1507">
        <f t="shared" si="120"/>
        <v>16848000</v>
      </c>
      <c r="BF42" s="359">
        <f t="shared" si="121"/>
        <v>15763837.299999995</v>
      </c>
      <c r="BG42" s="923">
        <f t="shared" ref="BG42" si="124">AQ42+BE42</f>
        <v>34070400</v>
      </c>
      <c r="BH42" s="923">
        <f t="shared" ref="BH42" si="125">AR42+BF42</f>
        <v>29297992.899999991</v>
      </c>
      <c r="BI42" s="922">
        <f t="shared" si="114"/>
        <v>68328000</v>
      </c>
      <c r="BJ42" s="922">
        <f t="shared" si="115"/>
        <v>62381050.79999999</v>
      </c>
      <c r="BK42" s="26"/>
      <c r="BL42" s="26"/>
      <c r="BM42" s="1222"/>
      <c r="BN42" s="1222"/>
    </row>
    <row r="43" spans="1:66" ht="21" thickBot="1" x14ac:dyDescent="0.3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5" t="s">
        <v>776</v>
      </c>
      <c r="H43" s="1425" t="s">
        <v>738</v>
      </c>
      <c r="I43" s="1432">
        <f>SUM(I44:I47)</f>
        <v>3978000</v>
      </c>
      <c r="J43" s="325">
        <f>SUM(J44:J47)</f>
        <v>3469998.0686666686</v>
      </c>
      <c r="K43" s="1432">
        <f>SUM(K44:K47)</f>
        <v>4110600</v>
      </c>
      <c r="L43" s="325">
        <f>SUM(L44:L47)</f>
        <v>3972030.6476666657</v>
      </c>
      <c r="M43" s="926">
        <f t="shared" si="3"/>
        <v>8088600</v>
      </c>
      <c r="N43" s="926">
        <f t="shared" si="3"/>
        <v>7442028.7163333343</v>
      </c>
      <c r="O43" s="1432">
        <f>SUM(O44:O47)</f>
        <v>3978000</v>
      </c>
      <c r="P43" s="325">
        <f>SUM(P44:P47)</f>
        <v>4092274.1709999982</v>
      </c>
      <c r="Q43" s="1511">
        <f t="shared" si="5"/>
        <v>12066600</v>
      </c>
      <c r="R43" s="1512">
        <f t="shared" si="6"/>
        <v>11534302.887333333</v>
      </c>
      <c r="S43" s="1432">
        <f>SUM(S44:S47)</f>
        <v>4110600</v>
      </c>
      <c r="T43" s="325">
        <f>SUM(T44:T47)</f>
        <v>3941650.3113333364</v>
      </c>
      <c r="U43" s="926">
        <f t="shared" si="98"/>
        <v>16177200</v>
      </c>
      <c r="V43" s="926">
        <f t="shared" si="99"/>
        <v>15475953.198666669</v>
      </c>
      <c r="W43" s="1432">
        <f>SUM(W44:W47)</f>
        <v>4110600</v>
      </c>
      <c r="X43" s="325">
        <f>SUM(X44:X47)</f>
        <v>3795178.4893333334</v>
      </c>
      <c r="Y43" s="926">
        <f t="shared" si="100"/>
        <v>20287800</v>
      </c>
      <c r="Z43" s="926">
        <f t="shared" si="101"/>
        <v>19271131.688000001</v>
      </c>
      <c r="AA43" s="1432">
        <f>SUM(AA44:AA47)</f>
        <v>3978000</v>
      </c>
      <c r="AB43" s="325">
        <f>SUM(AB44:AB47)</f>
        <v>3598970</v>
      </c>
      <c r="AC43" s="1511">
        <f>S43+W43+AA43</f>
        <v>12199200</v>
      </c>
      <c r="AD43" s="1512">
        <f>T43+X43+AB43</f>
        <v>11335798.800666669</v>
      </c>
      <c r="AE43" s="927">
        <f t="shared" si="102"/>
        <v>24265800</v>
      </c>
      <c r="AF43" s="927">
        <f t="shared" si="103"/>
        <v>22870101.688000001</v>
      </c>
      <c r="AG43" s="1432">
        <f>SUM(AG44:AG47)</f>
        <v>4110600</v>
      </c>
      <c r="AH43" s="325">
        <f>SUM(AH44:AH47)</f>
        <v>3556802.3693333338</v>
      </c>
      <c r="AI43" s="926">
        <f t="shared" si="104"/>
        <v>28376400</v>
      </c>
      <c r="AJ43" s="926">
        <f t="shared" si="105"/>
        <v>26426904.057333335</v>
      </c>
      <c r="AK43" s="1432">
        <f>SUM(AK44:AK47)</f>
        <v>3978000</v>
      </c>
      <c r="AL43" s="325">
        <f>SUM(AL44:AL47)</f>
        <v>2764627.320000004</v>
      </c>
      <c r="AM43" s="926">
        <f t="shared" si="106"/>
        <v>32354400</v>
      </c>
      <c r="AN43" s="926">
        <f t="shared" si="107"/>
        <v>29191531.377333339</v>
      </c>
      <c r="AO43" s="1432">
        <f>SUM(AO44:AO47)</f>
        <v>4110600</v>
      </c>
      <c r="AP43" s="325">
        <f>SUM(AP44:AP47)</f>
        <v>2880755.335</v>
      </c>
      <c r="AQ43" s="1511">
        <f>AG43+AK43+AO43</f>
        <v>12199200</v>
      </c>
      <c r="AR43" s="1512">
        <f>AH43+AL43+AP43</f>
        <v>9202185.0243333392</v>
      </c>
      <c r="AS43" s="926">
        <f t="shared" si="108"/>
        <v>36465000</v>
      </c>
      <c r="AT43" s="926">
        <f t="shared" si="109"/>
        <v>32072286.71233334</v>
      </c>
      <c r="AU43" s="1432">
        <f>SUM(AU44:AU47)</f>
        <v>4110600</v>
      </c>
      <c r="AV43" s="325">
        <f>SUM(AV44:AV47)</f>
        <v>3039335.5166666629</v>
      </c>
      <c r="AW43" s="926">
        <f t="shared" si="110"/>
        <v>40575600</v>
      </c>
      <c r="AX43" s="926">
        <f t="shared" si="111"/>
        <v>35111622.229000002</v>
      </c>
      <c r="AY43" s="1432">
        <f>SUM(AY44:AY47)</f>
        <v>3712800</v>
      </c>
      <c r="AZ43" s="325">
        <f>SUM(AZ44:AZ47)</f>
        <v>2593340.1496666712</v>
      </c>
      <c r="BA43" s="926">
        <f t="shared" si="112"/>
        <v>44288400</v>
      </c>
      <c r="BB43" s="926">
        <f t="shared" si="113"/>
        <v>37704962.378666677</v>
      </c>
      <c r="BC43" s="1432">
        <f>SUM(BC44:BC47)</f>
        <v>4110600</v>
      </c>
      <c r="BD43" s="325">
        <f>SUM(BD44:BD47)</f>
        <v>2983721.5929999952</v>
      </c>
      <c r="BE43" s="1511">
        <f>AU43+AY43+BC43</f>
        <v>11934000</v>
      </c>
      <c r="BF43" s="1512">
        <f>AV43+AZ43+BD43</f>
        <v>8616397.2593333293</v>
      </c>
      <c r="BG43" s="920">
        <f>AQ43+BE43</f>
        <v>24133200</v>
      </c>
      <c r="BH43" s="920">
        <f>AR43+BF43</f>
        <v>17818582.28366667</v>
      </c>
      <c r="BI43" s="926">
        <f t="shared" si="114"/>
        <v>48399000</v>
      </c>
      <c r="BJ43" s="926">
        <f t="shared" si="115"/>
        <v>40688683.971666671</v>
      </c>
      <c r="BK43" s="26"/>
      <c r="BL43" s="26"/>
      <c r="BM43" s="1222"/>
      <c r="BN43" s="1222"/>
    </row>
    <row r="44" spans="1:66" ht="15.75" x14ac:dyDescent="0.25">
      <c r="A44" s="310"/>
      <c r="B44" s="311"/>
      <c r="C44" s="312"/>
      <c r="D44" s="313"/>
      <c r="E44" s="313"/>
      <c r="G44" s="914" t="s">
        <v>777</v>
      </c>
      <c r="H44" s="895" t="s">
        <v>739</v>
      </c>
      <c r="I44" s="1429">
        <f>+I93*I$3*24*1000</f>
        <v>378000</v>
      </c>
      <c r="J44" s="322">
        <v>404383.69366666616</v>
      </c>
      <c r="K44" s="1429">
        <f>+K93*K$3*24*1000</f>
        <v>390600</v>
      </c>
      <c r="L44" s="322">
        <v>404082.82566666568</v>
      </c>
      <c r="M44" s="922">
        <f t="shared" si="3"/>
        <v>768600</v>
      </c>
      <c r="N44" s="922">
        <f t="shared" si="3"/>
        <v>808466.51933333185</v>
      </c>
      <c r="O44" s="1429">
        <f>+O93*O$3*24*1000</f>
        <v>378000</v>
      </c>
      <c r="P44" s="322">
        <v>489459.8099999986</v>
      </c>
      <c r="Q44" s="1507">
        <f t="shared" si="5"/>
        <v>1146600</v>
      </c>
      <c r="R44" s="359">
        <f t="shared" si="6"/>
        <v>1297926.3293333305</v>
      </c>
      <c r="S44" s="1429">
        <f>+S93*S$3*24*1000</f>
        <v>390600</v>
      </c>
      <c r="T44" s="322">
        <v>458183.3113333325</v>
      </c>
      <c r="U44" s="922">
        <f t="shared" si="98"/>
        <v>1537200</v>
      </c>
      <c r="V44" s="922">
        <f t="shared" si="99"/>
        <v>1756109.6406666629</v>
      </c>
      <c r="W44" s="1429">
        <f>+W93*W$3*24*1000</f>
        <v>390600</v>
      </c>
      <c r="X44" s="322">
        <v>448110.5393333328</v>
      </c>
      <c r="Y44" s="922">
        <f t="shared" si="100"/>
        <v>1927800</v>
      </c>
      <c r="Z44" s="922">
        <f t="shared" si="101"/>
        <v>2204220.179999996</v>
      </c>
      <c r="AA44" s="1429">
        <f>+AA93*AA$3*24*1000</f>
        <v>378000</v>
      </c>
      <c r="AB44" s="322">
        <v>410653</v>
      </c>
      <c r="AC44" s="1507">
        <f t="shared" si="116"/>
        <v>1159200</v>
      </c>
      <c r="AD44" s="359">
        <f t="shared" si="117"/>
        <v>1316946.8506666652</v>
      </c>
      <c r="AE44" s="923">
        <f t="shared" si="102"/>
        <v>2305800</v>
      </c>
      <c r="AF44" s="923">
        <f t="shared" si="103"/>
        <v>2614873.179999996</v>
      </c>
      <c r="AG44" s="1429">
        <f>+AG93*AG$3*24*1000</f>
        <v>390600</v>
      </c>
      <c r="AH44" s="322">
        <v>385244.60333333397</v>
      </c>
      <c r="AI44" s="922">
        <f t="shared" si="104"/>
        <v>2696400</v>
      </c>
      <c r="AJ44" s="922">
        <f t="shared" si="105"/>
        <v>3000117.7833333299</v>
      </c>
      <c r="AK44" s="1429">
        <f>+AK93*AK$3*24*1000</f>
        <v>378000</v>
      </c>
      <c r="AL44" s="322">
        <v>289926.28599999903</v>
      </c>
      <c r="AM44" s="922">
        <f t="shared" si="106"/>
        <v>3074400</v>
      </c>
      <c r="AN44" s="922">
        <f t="shared" si="107"/>
        <v>3290044.0693333289</v>
      </c>
      <c r="AO44" s="1429">
        <f>+AO93*AO$3*24*1000</f>
        <v>390600</v>
      </c>
      <c r="AP44" s="322">
        <v>282349.88300000079</v>
      </c>
      <c r="AQ44" s="1507">
        <f t="shared" ref="AQ44:AQ47" si="126">AG44+AK44+AO44</f>
        <v>1159200</v>
      </c>
      <c r="AR44" s="359">
        <f t="shared" ref="AR44:AR47" si="127">AH44+AL44+AP44</f>
        <v>957520.77233333373</v>
      </c>
      <c r="AS44" s="922">
        <f t="shared" si="108"/>
        <v>3465000</v>
      </c>
      <c r="AT44" s="922">
        <f t="shared" si="109"/>
        <v>3572393.9523333297</v>
      </c>
      <c r="AU44" s="1429">
        <f>+AU93*AU$3*24*1000</f>
        <v>390600</v>
      </c>
      <c r="AV44" s="322">
        <v>280396.27366666647</v>
      </c>
      <c r="AW44" s="922">
        <f t="shared" si="110"/>
        <v>3855600</v>
      </c>
      <c r="AX44" s="922">
        <f t="shared" si="111"/>
        <v>3852790.2259999961</v>
      </c>
      <c r="AY44" s="1429">
        <f>+AY93*AY$3*24*1000</f>
        <v>352800</v>
      </c>
      <c r="AZ44" s="322">
        <v>266982.69666666561</v>
      </c>
      <c r="BA44" s="922">
        <f t="shared" si="112"/>
        <v>4208400</v>
      </c>
      <c r="BB44" s="922">
        <f t="shared" si="113"/>
        <v>4119772.9226666614</v>
      </c>
      <c r="BC44" s="1429">
        <f>+BC93*BC$3*24*1000</f>
        <v>390600</v>
      </c>
      <c r="BD44" s="322">
        <v>341322.72500000091</v>
      </c>
      <c r="BE44" s="1507">
        <f t="shared" ref="BE44:BE47" si="128">AU44+AY44+BC44</f>
        <v>1134000</v>
      </c>
      <c r="BF44" s="359">
        <f t="shared" ref="BF44:BF47" si="129">AV44+AZ44+BD44</f>
        <v>888701.69533333299</v>
      </c>
      <c r="BG44" s="923">
        <f t="shared" ref="BG44:BG47" si="130">AQ44+BE44</f>
        <v>2293200</v>
      </c>
      <c r="BH44" s="923">
        <f t="shared" ref="BH44:BH47" si="131">AR44+BF44</f>
        <v>1846222.4676666667</v>
      </c>
      <c r="BI44" s="922">
        <f t="shared" si="114"/>
        <v>4599000</v>
      </c>
      <c r="BJ44" s="922">
        <f t="shared" si="115"/>
        <v>4461095.647666662</v>
      </c>
      <c r="BK44" s="26"/>
      <c r="BL44" s="26"/>
      <c r="BM44" s="1222"/>
      <c r="BN44" s="1222"/>
    </row>
    <row r="45" spans="1:66" ht="15.75" x14ac:dyDescent="0.25">
      <c r="A45" s="310"/>
      <c r="B45" s="311"/>
      <c r="C45" s="312"/>
      <c r="D45" s="313"/>
      <c r="E45" s="313"/>
      <c r="G45" s="914" t="s">
        <v>778</v>
      </c>
      <c r="H45" s="895" t="s">
        <v>740</v>
      </c>
      <c r="I45" s="1429">
        <f>+I94*I$3*24*1000</f>
        <v>2520000</v>
      </c>
      <c r="J45" s="322">
        <v>2351553.1750000045</v>
      </c>
      <c r="K45" s="1429">
        <f>+K94*K$3*24*1000</f>
        <v>2604000</v>
      </c>
      <c r="L45" s="322">
        <v>2617396.8219999978</v>
      </c>
      <c r="M45" s="922">
        <f t="shared" si="3"/>
        <v>5124000</v>
      </c>
      <c r="N45" s="922">
        <f t="shared" si="3"/>
        <v>4968949.9970000023</v>
      </c>
      <c r="O45" s="1429">
        <f>+O94*O$3*24*1000</f>
        <v>2520000</v>
      </c>
      <c r="P45" s="322">
        <v>2977156.7609999981</v>
      </c>
      <c r="Q45" s="1507">
        <f t="shared" si="5"/>
        <v>7644000</v>
      </c>
      <c r="R45" s="359">
        <f t="shared" si="6"/>
        <v>7946106.7580000004</v>
      </c>
      <c r="S45" s="1429">
        <f>+S94*S$3*24*1000</f>
        <v>2604000</v>
      </c>
      <c r="T45" s="322">
        <v>2841364.0000000028</v>
      </c>
      <c r="U45" s="922">
        <f t="shared" si="98"/>
        <v>10248000</v>
      </c>
      <c r="V45" s="922">
        <f t="shared" si="99"/>
        <v>10787470.758000003</v>
      </c>
      <c r="W45" s="1429">
        <f>+W94*W$3*24*1000</f>
        <v>2604000</v>
      </c>
      <c r="X45" s="322">
        <v>2659588.5499999984</v>
      </c>
      <c r="Y45" s="922">
        <f t="shared" si="100"/>
        <v>12852000</v>
      </c>
      <c r="Z45" s="922">
        <f t="shared" si="101"/>
        <v>13447059.308000002</v>
      </c>
      <c r="AA45" s="1429">
        <f>+AA94*AA$3*24*1000</f>
        <v>2520000</v>
      </c>
      <c r="AB45" s="322">
        <v>2595711</v>
      </c>
      <c r="AC45" s="1507">
        <f t="shared" si="116"/>
        <v>7728000</v>
      </c>
      <c r="AD45" s="359">
        <f t="shared" si="117"/>
        <v>8096663.5500000007</v>
      </c>
      <c r="AE45" s="923">
        <f t="shared" si="102"/>
        <v>15372000</v>
      </c>
      <c r="AF45" s="923">
        <f t="shared" si="103"/>
        <v>16042770.308000002</v>
      </c>
      <c r="AG45" s="1429">
        <f>+AG94*AG$3*24*1000</f>
        <v>2604000</v>
      </c>
      <c r="AH45" s="322">
        <v>2444192.1659999997</v>
      </c>
      <c r="AI45" s="922">
        <f t="shared" si="104"/>
        <v>17976000</v>
      </c>
      <c r="AJ45" s="922">
        <f t="shared" si="105"/>
        <v>18486962.474000003</v>
      </c>
      <c r="AK45" s="1429">
        <f>+AK94*AK$3*24*1000</f>
        <v>2520000</v>
      </c>
      <c r="AL45" s="322">
        <v>1779318.0340000051</v>
      </c>
      <c r="AM45" s="922">
        <f t="shared" si="106"/>
        <v>20496000</v>
      </c>
      <c r="AN45" s="922">
        <f t="shared" si="107"/>
        <v>20266280.508000009</v>
      </c>
      <c r="AO45" s="1429">
        <f>+AO94*AO$3*24*1000</f>
        <v>2604000</v>
      </c>
      <c r="AP45" s="322">
        <v>1953406.2519999989</v>
      </c>
      <c r="AQ45" s="1507">
        <f t="shared" si="126"/>
        <v>7728000</v>
      </c>
      <c r="AR45" s="359">
        <f t="shared" si="127"/>
        <v>6176916.4520000033</v>
      </c>
      <c r="AS45" s="922">
        <f t="shared" si="108"/>
        <v>23100000</v>
      </c>
      <c r="AT45" s="922">
        <f t="shared" si="109"/>
        <v>22219686.760000009</v>
      </c>
      <c r="AU45" s="1429">
        <f>+AU94*AU$3*24*1000</f>
        <v>2604000</v>
      </c>
      <c r="AV45" s="322">
        <v>2067091.0429999973</v>
      </c>
      <c r="AW45" s="922">
        <f t="shared" si="110"/>
        <v>25704000</v>
      </c>
      <c r="AX45" s="922">
        <f t="shared" si="111"/>
        <v>24286777.803000007</v>
      </c>
      <c r="AY45" s="1429">
        <f>+AY94*AY$3*24*1000</f>
        <v>2352000</v>
      </c>
      <c r="AZ45" s="322">
        <v>1588087.4530000032</v>
      </c>
      <c r="BA45" s="922">
        <f t="shared" si="112"/>
        <v>28056000</v>
      </c>
      <c r="BB45" s="922">
        <f t="shared" si="113"/>
        <v>25874865.256000008</v>
      </c>
      <c r="BC45" s="1429">
        <f>+BC94*BC$3*24*1000</f>
        <v>2604000</v>
      </c>
      <c r="BD45" s="322">
        <v>1901224.4679999964</v>
      </c>
      <c r="BE45" s="1507">
        <f t="shared" si="128"/>
        <v>7560000</v>
      </c>
      <c r="BF45" s="359">
        <f t="shared" si="129"/>
        <v>5556402.9639999969</v>
      </c>
      <c r="BG45" s="923">
        <f t="shared" si="130"/>
        <v>15288000</v>
      </c>
      <c r="BH45" s="923">
        <f t="shared" si="131"/>
        <v>11733319.416000001</v>
      </c>
      <c r="BI45" s="922">
        <f t="shared" si="114"/>
        <v>30660000</v>
      </c>
      <c r="BJ45" s="922">
        <f t="shared" si="115"/>
        <v>27776089.724000003</v>
      </c>
      <c r="BK45" s="26"/>
      <c r="BL45" s="26"/>
      <c r="BM45" s="1222"/>
      <c r="BN45" s="1222"/>
    </row>
    <row r="46" spans="1:66" ht="22.5" x14ac:dyDescent="0.3">
      <c r="A46" s="310"/>
      <c r="B46" s="17" t="s">
        <v>499</v>
      </c>
      <c r="C46" s="314"/>
      <c r="D46" s="313"/>
      <c r="E46" s="313"/>
      <c r="G46" s="914" t="s">
        <v>779</v>
      </c>
      <c r="H46" s="895" t="s">
        <v>741</v>
      </c>
      <c r="I46" s="1429">
        <f>+I95*I$3*24*1000</f>
        <v>432000</v>
      </c>
      <c r="J46" s="322">
        <v>261255.19999999768</v>
      </c>
      <c r="K46" s="1429">
        <f>+K95*K$3*24*1000</f>
        <v>446400</v>
      </c>
      <c r="L46" s="322">
        <v>547728.00000000244</v>
      </c>
      <c r="M46" s="922">
        <f t="shared" si="3"/>
        <v>878400</v>
      </c>
      <c r="N46" s="922">
        <f t="shared" si="3"/>
        <v>808983.20000000019</v>
      </c>
      <c r="O46" s="1429">
        <f>+O95*O$3*24*1000</f>
        <v>432000</v>
      </c>
      <c r="P46" s="322">
        <v>268097.60000000114</v>
      </c>
      <c r="Q46" s="1507">
        <f t="shared" si="5"/>
        <v>1310400</v>
      </c>
      <c r="R46" s="359">
        <f t="shared" si="6"/>
        <v>1077080.8000000012</v>
      </c>
      <c r="S46" s="1429">
        <f>+S95*S$3*24*1000</f>
        <v>446400</v>
      </c>
      <c r="T46" s="322">
        <v>274156.00000000111</v>
      </c>
      <c r="U46" s="922">
        <f t="shared" si="98"/>
        <v>1756800</v>
      </c>
      <c r="V46" s="922">
        <f t="shared" si="99"/>
        <v>1351236.8000000024</v>
      </c>
      <c r="W46" s="1429">
        <f>+W95*W$3*24*1000</f>
        <v>446400</v>
      </c>
      <c r="X46" s="322">
        <v>341034.40000000235</v>
      </c>
      <c r="Y46" s="922">
        <f t="shared" si="100"/>
        <v>2203200</v>
      </c>
      <c r="Z46" s="922">
        <f t="shared" si="101"/>
        <v>1692271.2000000048</v>
      </c>
      <c r="AA46" s="1429">
        <f>+AA95*AA$3*24*1000</f>
        <v>432000</v>
      </c>
      <c r="AB46" s="322">
        <v>253551</v>
      </c>
      <c r="AC46" s="1507">
        <f t="shared" si="116"/>
        <v>1324800</v>
      </c>
      <c r="AD46" s="359">
        <f t="shared" si="117"/>
        <v>868741.4000000034</v>
      </c>
      <c r="AE46" s="923">
        <f t="shared" si="102"/>
        <v>2635200</v>
      </c>
      <c r="AF46" s="923">
        <f t="shared" si="103"/>
        <v>1945822.2000000046</v>
      </c>
      <c r="AG46" s="1429">
        <f>+AG95*AG$3*24*1000</f>
        <v>446400</v>
      </c>
      <c r="AH46" s="322">
        <v>328517.60000000003</v>
      </c>
      <c r="AI46" s="922">
        <f t="shared" si="104"/>
        <v>3081600</v>
      </c>
      <c r="AJ46" s="922">
        <f t="shared" si="105"/>
        <v>2274339.8000000045</v>
      </c>
      <c r="AK46" s="1429">
        <f>+AK95*AK$3*24*1000</f>
        <v>432000</v>
      </c>
      <c r="AL46" s="322">
        <v>266440</v>
      </c>
      <c r="AM46" s="922">
        <f t="shared" si="106"/>
        <v>3513600</v>
      </c>
      <c r="AN46" s="922">
        <f t="shared" si="107"/>
        <v>2540779.8000000045</v>
      </c>
      <c r="AO46" s="1429">
        <f>+AO95*AO$3*24*1000</f>
        <v>446400</v>
      </c>
      <c r="AP46" s="322">
        <v>188123.20000000004</v>
      </c>
      <c r="AQ46" s="1507">
        <f t="shared" si="126"/>
        <v>1324800</v>
      </c>
      <c r="AR46" s="359">
        <f t="shared" si="127"/>
        <v>783080.80000000016</v>
      </c>
      <c r="AS46" s="922">
        <f t="shared" si="108"/>
        <v>3960000</v>
      </c>
      <c r="AT46" s="922">
        <f t="shared" si="109"/>
        <v>2728903.0000000047</v>
      </c>
      <c r="AU46" s="1429">
        <f>+AU95*AU$3*24*1000</f>
        <v>446400</v>
      </c>
      <c r="AV46" s="322">
        <v>262955.1999999999</v>
      </c>
      <c r="AW46" s="922">
        <f t="shared" si="110"/>
        <v>4406400</v>
      </c>
      <c r="AX46" s="922">
        <f t="shared" si="111"/>
        <v>2991858.2000000044</v>
      </c>
      <c r="AY46" s="1429">
        <f>+AY95*AY$3*24*1000</f>
        <v>403200.00000000006</v>
      </c>
      <c r="AZ46" s="322">
        <v>258596.00000000239</v>
      </c>
      <c r="BA46" s="922">
        <f t="shared" si="112"/>
        <v>4809600</v>
      </c>
      <c r="BB46" s="922">
        <f t="shared" si="113"/>
        <v>3250454.2000000067</v>
      </c>
      <c r="BC46" s="1429">
        <f>+BC95*BC$3*24*1000</f>
        <v>446400</v>
      </c>
      <c r="BD46" s="322">
        <v>319038.39999999769</v>
      </c>
      <c r="BE46" s="1507">
        <f t="shared" si="128"/>
        <v>1296000</v>
      </c>
      <c r="BF46" s="359">
        <f t="shared" si="129"/>
        <v>840589.6</v>
      </c>
      <c r="BG46" s="923">
        <f t="shared" si="130"/>
        <v>2620800</v>
      </c>
      <c r="BH46" s="923">
        <f t="shared" si="131"/>
        <v>1623670.4000000001</v>
      </c>
      <c r="BI46" s="922">
        <f t="shared" si="114"/>
        <v>5256000</v>
      </c>
      <c r="BJ46" s="922">
        <f t="shared" si="115"/>
        <v>3569492.6000000043</v>
      </c>
      <c r="BK46" s="26"/>
      <c r="BL46" s="26"/>
      <c r="BM46" s="1222"/>
      <c r="BN46" s="1222"/>
    </row>
    <row r="47" spans="1:66" ht="15.75" thickBot="1" x14ac:dyDescent="0.3">
      <c r="B47" s="4"/>
      <c r="C47" s="282"/>
      <c r="E47" s="283"/>
      <c r="G47" s="928" t="s">
        <v>780</v>
      </c>
      <c r="H47" s="1426" t="s">
        <v>742</v>
      </c>
      <c r="I47" s="1434">
        <f>+I96*I$3*24*1000</f>
        <v>648000</v>
      </c>
      <c r="J47" s="326">
        <v>452806</v>
      </c>
      <c r="K47" s="1434">
        <f>+K96*K$3*24*1000</f>
        <v>669600</v>
      </c>
      <c r="L47" s="326">
        <v>402823</v>
      </c>
      <c r="M47" s="930">
        <f t="shared" si="3"/>
        <v>1317600</v>
      </c>
      <c r="N47" s="930">
        <f t="shared" si="3"/>
        <v>855629</v>
      </c>
      <c r="O47" s="1434">
        <f>+O96*O$3*24*1000</f>
        <v>648000</v>
      </c>
      <c r="P47" s="326">
        <v>357560.00000000023</v>
      </c>
      <c r="Q47" s="1513">
        <f t="shared" si="5"/>
        <v>1965600</v>
      </c>
      <c r="R47" s="1514">
        <f t="shared" si="6"/>
        <v>1213189.0000000002</v>
      </c>
      <c r="S47" s="1434">
        <f>+S96*S$3*24*1000</f>
        <v>669600</v>
      </c>
      <c r="T47" s="326">
        <v>367946.99999999994</v>
      </c>
      <c r="U47" s="930">
        <f t="shared" si="98"/>
        <v>2635200</v>
      </c>
      <c r="V47" s="930">
        <f t="shared" si="99"/>
        <v>1581136.0000000002</v>
      </c>
      <c r="W47" s="1434">
        <f>+W96*W$3*24*1000</f>
        <v>669600</v>
      </c>
      <c r="X47" s="326">
        <v>346445.00000000006</v>
      </c>
      <c r="Y47" s="930">
        <f t="shared" si="100"/>
        <v>3304800</v>
      </c>
      <c r="Z47" s="930">
        <f t="shared" si="101"/>
        <v>1927581.0000000002</v>
      </c>
      <c r="AA47" s="1434">
        <f>+AA96*AA$3*24*1000</f>
        <v>648000</v>
      </c>
      <c r="AB47" s="326">
        <v>339055</v>
      </c>
      <c r="AC47" s="1513">
        <f t="shared" si="116"/>
        <v>1987200</v>
      </c>
      <c r="AD47" s="1514">
        <f t="shared" si="117"/>
        <v>1053447</v>
      </c>
      <c r="AE47" s="931">
        <f t="shared" si="102"/>
        <v>3952800</v>
      </c>
      <c r="AF47" s="931">
        <f t="shared" si="103"/>
        <v>2266636</v>
      </c>
      <c r="AG47" s="1434">
        <f>+AG96*AG$3*24*1000</f>
        <v>669600</v>
      </c>
      <c r="AH47" s="326">
        <v>398848</v>
      </c>
      <c r="AI47" s="930">
        <f t="shared" si="104"/>
        <v>4622400</v>
      </c>
      <c r="AJ47" s="930">
        <f t="shared" si="105"/>
        <v>2665484</v>
      </c>
      <c r="AK47" s="1434">
        <f>+AK96*AK$3*24*1000</f>
        <v>648000</v>
      </c>
      <c r="AL47" s="326">
        <v>428942.99999999977</v>
      </c>
      <c r="AM47" s="930">
        <f t="shared" si="106"/>
        <v>5270400</v>
      </c>
      <c r="AN47" s="930">
        <f t="shared" si="107"/>
        <v>3094427</v>
      </c>
      <c r="AO47" s="1434">
        <f>+AO96*AO$3*24*1000</f>
        <v>669600</v>
      </c>
      <c r="AP47" s="326">
        <v>456876.00000000023</v>
      </c>
      <c r="AQ47" s="1513">
        <f t="shared" si="126"/>
        <v>1987200</v>
      </c>
      <c r="AR47" s="1514">
        <f t="shared" si="127"/>
        <v>1284667</v>
      </c>
      <c r="AS47" s="930">
        <f t="shared" si="108"/>
        <v>5940000</v>
      </c>
      <c r="AT47" s="930">
        <f t="shared" si="109"/>
        <v>3551303</v>
      </c>
      <c r="AU47" s="1434">
        <f>+AU96*AU$3*24*1000</f>
        <v>669600</v>
      </c>
      <c r="AV47" s="326">
        <v>428892.99999999959</v>
      </c>
      <c r="AW47" s="930">
        <f t="shared" si="110"/>
        <v>6609600</v>
      </c>
      <c r="AX47" s="930">
        <f t="shared" si="111"/>
        <v>3980195.9999999995</v>
      </c>
      <c r="AY47" s="1434">
        <f>+AY96*AY$3*24*1000</f>
        <v>604800</v>
      </c>
      <c r="AZ47" s="326">
        <v>479674.00000000012</v>
      </c>
      <c r="BA47" s="930">
        <f t="shared" si="112"/>
        <v>7214400</v>
      </c>
      <c r="BB47" s="930">
        <f t="shared" si="113"/>
        <v>4459870</v>
      </c>
      <c r="BC47" s="1434">
        <f>+BC96*BC$3*24*1000</f>
        <v>669600</v>
      </c>
      <c r="BD47" s="326">
        <v>422136.00000000058</v>
      </c>
      <c r="BE47" s="1513">
        <f t="shared" si="128"/>
        <v>1944000</v>
      </c>
      <c r="BF47" s="1514">
        <f t="shared" si="129"/>
        <v>1330703.0000000005</v>
      </c>
      <c r="BG47" s="923">
        <f t="shared" si="130"/>
        <v>3931200</v>
      </c>
      <c r="BH47" s="923">
        <f t="shared" si="131"/>
        <v>2615370.0000000005</v>
      </c>
      <c r="BI47" s="930">
        <f t="shared" si="114"/>
        <v>7884000</v>
      </c>
      <c r="BJ47" s="930">
        <f t="shared" si="115"/>
        <v>4882006.0000000009</v>
      </c>
      <c r="BK47" s="26"/>
      <c r="BL47" s="26"/>
      <c r="BM47" s="1222"/>
      <c r="BN47" s="1222"/>
    </row>
    <row r="48" spans="1:66" s="5172" customFormat="1" ht="15.75" thickBot="1" x14ac:dyDescent="0.3">
      <c r="A48" s="279"/>
      <c r="B48" s="4"/>
      <c r="C48" s="282"/>
      <c r="D48" s="283"/>
      <c r="E48" s="283"/>
      <c r="G48" s="6647"/>
      <c r="H48" s="6648"/>
      <c r="I48" s="6649"/>
      <c r="J48" s="6650"/>
      <c r="K48" s="6649"/>
      <c r="L48" s="6650"/>
      <c r="M48" s="7264"/>
      <c r="N48" s="7264"/>
      <c r="O48" s="6649"/>
      <c r="P48" s="6650"/>
      <c r="Q48" s="6652"/>
      <c r="R48" s="6653"/>
      <c r="S48" s="6649"/>
      <c r="T48" s="6650"/>
      <c r="U48" s="6651"/>
      <c r="V48" s="6651"/>
      <c r="W48" s="6649"/>
      <c r="X48" s="6650"/>
      <c r="Y48" s="6651"/>
      <c r="Z48" s="6651"/>
      <c r="AA48" s="6649"/>
      <c r="AB48" s="6650"/>
      <c r="AC48" s="6652"/>
      <c r="AD48" s="6653"/>
      <c r="AE48" s="6654"/>
      <c r="AF48" s="6654"/>
      <c r="AG48" s="6649"/>
      <c r="AH48" s="6650"/>
      <c r="AI48" s="6651"/>
      <c r="AJ48" s="6651"/>
      <c r="AK48" s="6649"/>
      <c r="AL48" s="6650"/>
      <c r="AM48" s="6651"/>
      <c r="AN48" s="6651"/>
      <c r="AO48" s="6649"/>
      <c r="AP48" s="6650"/>
      <c r="AQ48" s="6652"/>
      <c r="AR48" s="6653"/>
      <c r="AS48" s="6651"/>
      <c r="AT48" s="6651"/>
      <c r="AU48" s="6649"/>
      <c r="AV48" s="6650"/>
      <c r="AW48" s="6651"/>
      <c r="AX48" s="6651"/>
      <c r="AY48" s="6649"/>
      <c r="AZ48" s="6650"/>
      <c r="BA48" s="6651"/>
      <c r="BB48" s="6651"/>
      <c r="BC48" s="6649"/>
      <c r="BD48" s="6650"/>
      <c r="BE48" s="6652"/>
      <c r="BF48" s="6653"/>
      <c r="BG48" s="6654"/>
      <c r="BH48" s="6654"/>
      <c r="BI48" s="6651"/>
      <c r="BJ48" s="6651"/>
      <c r="BK48" s="26"/>
      <c r="BL48" s="4713"/>
      <c r="BM48" s="1222"/>
      <c r="BN48" s="1222"/>
    </row>
    <row r="49" spans="1:66" s="149" customFormat="1" ht="22.5" x14ac:dyDescent="0.25">
      <c r="A49" s="338"/>
      <c r="B49" s="339" t="s">
        <v>135</v>
      </c>
      <c r="C49" s="7794" t="s">
        <v>172</v>
      </c>
      <c r="D49" s="340"/>
      <c r="E49" s="340"/>
      <c r="G49" s="932"/>
      <c r="H49" s="154"/>
      <c r="I49" s="6580">
        <f t="shared" ref="I49:AN49" si="132">+I16-I17</f>
        <v>0</v>
      </c>
      <c r="J49" s="6580">
        <f t="shared" si="132"/>
        <v>0</v>
      </c>
      <c r="K49" s="6580">
        <f t="shared" ref="K49:L49" si="133">+K16-K17</f>
        <v>0</v>
      </c>
      <c r="L49" s="6580">
        <f t="shared" si="133"/>
        <v>0</v>
      </c>
      <c r="M49" s="6580">
        <f t="shared" si="132"/>
        <v>0</v>
      </c>
      <c r="N49" s="6580">
        <f t="shared" si="132"/>
        <v>0</v>
      </c>
      <c r="O49" s="6580">
        <f t="shared" si="132"/>
        <v>0</v>
      </c>
      <c r="P49" s="6580">
        <f t="shared" si="132"/>
        <v>0</v>
      </c>
      <c r="Q49" s="6580">
        <f t="shared" si="132"/>
        <v>0</v>
      </c>
      <c r="R49" s="6580">
        <f t="shared" si="132"/>
        <v>0</v>
      </c>
      <c r="S49" s="6580">
        <f t="shared" si="132"/>
        <v>0</v>
      </c>
      <c r="T49" s="6580">
        <f t="shared" si="132"/>
        <v>0</v>
      </c>
      <c r="U49" s="6580">
        <f t="shared" si="132"/>
        <v>0</v>
      </c>
      <c r="V49" s="6580">
        <f t="shared" si="132"/>
        <v>0</v>
      </c>
      <c r="W49" s="6580">
        <f t="shared" si="132"/>
        <v>0</v>
      </c>
      <c r="X49" s="6580">
        <f t="shared" si="132"/>
        <v>0</v>
      </c>
      <c r="Y49" s="6580">
        <f t="shared" si="132"/>
        <v>0</v>
      </c>
      <c r="Z49" s="6580">
        <f t="shared" si="132"/>
        <v>0</v>
      </c>
      <c r="AA49" s="6580">
        <f t="shared" si="132"/>
        <v>0</v>
      </c>
      <c r="AB49" s="6580">
        <f t="shared" si="132"/>
        <v>0</v>
      </c>
      <c r="AC49" s="6580">
        <f t="shared" si="132"/>
        <v>0</v>
      </c>
      <c r="AD49" s="6580">
        <f t="shared" si="132"/>
        <v>0</v>
      </c>
      <c r="AE49" s="6580">
        <f t="shared" si="132"/>
        <v>0</v>
      </c>
      <c r="AF49" s="6580">
        <f t="shared" si="132"/>
        <v>0</v>
      </c>
      <c r="AG49" s="6580">
        <f t="shared" si="132"/>
        <v>0</v>
      </c>
      <c r="AH49" s="6580">
        <f t="shared" si="132"/>
        <v>0</v>
      </c>
      <c r="AI49" s="6580">
        <f t="shared" si="132"/>
        <v>0</v>
      </c>
      <c r="AJ49" s="6580">
        <f t="shared" si="132"/>
        <v>0</v>
      </c>
      <c r="AK49" s="6580">
        <f t="shared" si="132"/>
        <v>0</v>
      </c>
      <c r="AL49" s="6580">
        <f t="shared" si="132"/>
        <v>0</v>
      </c>
      <c r="AM49" s="6580">
        <f t="shared" si="132"/>
        <v>0</v>
      </c>
      <c r="AN49" s="6580">
        <f t="shared" si="132"/>
        <v>0</v>
      </c>
      <c r="AO49" s="6580">
        <f t="shared" ref="AO49:BJ49" si="134">+AO16-AO17</f>
        <v>0</v>
      </c>
      <c r="AP49" s="6580">
        <f t="shared" si="134"/>
        <v>0</v>
      </c>
      <c r="AQ49" s="6580">
        <f t="shared" si="134"/>
        <v>0</v>
      </c>
      <c r="AR49" s="6580">
        <f t="shared" si="134"/>
        <v>0</v>
      </c>
      <c r="AS49" s="6580">
        <f t="shared" si="134"/>
        <v>0</v>
      </c>
      <c r="AT49" s="6580">
        <f t="shared" si="134"/>
        <v>0</v>
      </c>
      <c r="AU49" s="6580">
        <f t="shared" si="134"/>
        <v>0</v>
      </c>
      <c r="AV49" s="6580">
        <f t="shared" si="134"/>
        <v>0</v>
      </c>
      <c r="AW49" s="6580">
        <f t="shared" si="134"/>
        <v>0</v>
      </c>
      <c r="AX49" s="6580">
        <f t="shared" si="134"/>
        <v>0</v>
      </c>
      <c r="AY49" s="6580">
        <f t="shared" si="134"/>
        <v>0</v>
      </c>
      <c r="AZ49" s="6580">
        <f t="shared" si="134"/>
        <v>0</v>
      </c>
      <c r="BA49" s="6580">
        <f t="shared" si="134"/>
        <v>0</v>
      </c>
      <c r="BB49" s="6580">
        <f t="shared" si="134"/>
        <v>0</v>
      </c>
      <c r="BC49" s="6580">
        <f t="shared" si="134"/>
        <v>0</v>
      </c>
      <c r="BD49" s="6580">
        <f t="shared" si="134"/>
        <v>0</v>
      </c>
      <c r="BE49" s="6580">
        <f t="shared" si="134"/>
        <v>0</v>
      </c>
      <c r="BF49" s="6580">
        <f t="shared" si="134"/>
        <v>0</v>
      </c>
      <c r="BG49" s="6580">
        <f t="shared" si="134"/>
        <v>0</v>
      </c>
      <c r="BH49" s="6580">
        <f t="shared" si="134"/>
        <v>0</v>
      </c>
      <c r="BI49" s="6580">
        <f t="shared" si="134"/>
        <v>0</v>
      </c>
      <c r="BJ49" s="6580">
        <f t="shared" si="134"/>
        <v>0</v>
      </c>
      <c r="BK49" s="1222"/>
      <c r="BL49" s="4713"/>
      <c r="BM49" s="1222"/>
      <c r="BN49" s="1222"/>
    </row>
    <row r="50" spans="1:66" s="149" customFormat="1" ht="23.25" thickBot="1" x14ac:dyDescent="0.35">
      <c r="A50" s="338"/>
      <c r="B50" s="341" t="s">
        <v>414</v>
      </c>
      <c r="C50" s="7795"/>
      <c r="D50" s="342" t="s">
        <v>174</v>
      </c>
      <c r="E50" s="342" t="s">
        <v>174</v>
      </c>
      <c r="G50" s="932"/>
      <c r="H50" s="794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B50" s="5988"/>
      <c r="AC50" s="154"/>
      <c r="AD50" s="154"/>
      <c r="AE50" s="154"/>
      <c r="AF50" s="154"/>
      <c r="AG50" s="5988"/>
      <c r="AH50" s="5988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22"/>
      <c r="BL50" s="1222"/>
      <c r="BM50" s="1222"/>
      <c r="BN50" s="1222"/>
    </row>
    <row r="51" spans="1:66" s="149" customFormat="1" x14ac:dyDescent="0.25">
      <c r="A51" s="343"/>
      <c r="B51" s="344" t="s">
        <v>482</v>
      </c>
      <c r="C51" s="260" t="s">
        <v>381</v>
      </c>
      <c r="D51" s="345">
        <f t="shared" ref="D51:E56" si="135">+((D6/1000)/D$3)/24</f>
        <v>0</v>
      </c>
      <c r="E51" s="345">
        <f t="shared" si="135"/>
        <v>0</v>
      </c>
      <c r="G51" s="932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22"/>
      <c r="BL51" s="1222"/>
      <c r="BM51" s="1222"/>
      <c r="BN51" s="1222"/>
    </row>
    <row r="52" spans="1:66" s="149" customFormat="1" ht="15.75" thickBot="1" x14ac:dyDescent="0.3">
      <c r="A52" s="346"/>
      <c r="B52" s="183" t="s">
        <v>587</v>
      </c>
      <c r="C52" s="230" t="s">
        <v>381</v>
      </c>
      <c r="D52" s="345">
        <f t="shared" si="135"/>
        <v>40.681249999999956</v>
      </c>
      <c r="E52" s="345">
        <f t="shared" si="135"/>
        <v>38.99260752688172</v>
      </c>
      <c r="G52" s="932"/>
      <c r="H52" s="527"/>
      <c r="I52" s="361">
        <f t="shared" ref="I52:AN52" si="136">+I3</f>
        <v>30</v>
      </c>
      <c r="J52" s="361">
        <f t="shared" si="136"/>
        <v>30</v>
      </c>
      <c r="K52" s="361">
        <f t="shared" ref="K52:L52" si="137">+K3</f>
        <v>31</v>
      </c>
      <c r="L52" s="361">
        <f t="shared" si="137"/>
        <v>31</v>
      </c>
      <c r="M52" s="361">
        <f t="shared" si="136"/>
        <v>61</v>
      </c>
      <c r="N52" s="361">
        <f t="shared" si="136"/>
        <v>61</v>
      </c>
      <c r="O52" s="361">
        <f t="shared" si="136"/>
        <v>30</v>
      </c>
      <c r="P52" s="361">
        <f t="shared" si="136"/>
        <v>30</v>
      </c>
      <c r="Q52" s="361">
        <f t="shared" si="136"/>
        <v>91</v>
      </c>
      <c r="R52" s="361">
        <f t="shared" si="136"/>
        <v>91</v>
      </c>
      <c r="S52" s="361">
        <f t="shared" si="136"/>
        <v>31</v>
      </c>
      <c r="T52" s="361">
        <f t="shared" si="136"/>
        <v>31</v>
      </c>
      <c r="U52" s="361">
        <f t="shared" si="136"/>
        <v>122</v>
      </c>
      <c r="V52" s="361">
        <f t="shared" si="136"/>
        <v>122</v>
      </c>
      <c r="W52" s="361">
        <f t="shared" si="136"/>
        <v>31</v>
      </c>
      <c r="X52" s="361">
        <f t="shared" si="136"/>
        <v>31</v>
      </c>
      <c r="Y52" s="361">
        <f t="shared" si="136"/>
        <v>153</v>
      </c>
      <c r="Z52" s="361">
        <f t="shared" si="136"/>
        <v>153</v>
      </c>
      <c r="AA52" s="361">
        <f t="shared" si="136"/>
        <v>30</v>
      </c>
      <c r="AB52" s="361">
        <f t="shared" si="136"/>
        <v>30</v>
      </c>
      <c r="AC52" s="361">
        <f t="shared" si="136"/>
        <v>92</v>
      </c>
      <c r="AD52" s="361">
        <f t="shared" si="136"/>
        <v>92</v>
      </c>
      <c r="AE52" s="361">
        <f t="shared" si="136"/>
        <v>183</v>
      </c>
      <c r="AF52" s="361">
        <f t="shared" si="136"/>
        <v>183</v>
      </c>
      <c r="AG52" s="361">
        <f t="shared" si="136"/>
        <v>31</v>
      </c>
      <c r="AH52" s="361">
        <f t="shared" si="136"/>
        <v>31</v>
      </c>
      <c r="AI52" s="361">
        <f t="shared" si="136"/>
        <v>214</v>
      </c>
      <c r="AJ52" s="361">
        <f t="shared" si="136"/>
        <v>214</v>
      </c>
      <c r="AK52" s="361">
        <f t="shared" si="136"/>
        <v>30</v>
      </c>
      <c r="AL52" s="361">
        <f t="shared" si="136"/>
        <v>30</v>
      </c>
      <c r="AM52" s="361">
        <f t="shared" si="136"/>
        <v>244</v>
      </c>
      <c r="AN52" s="361">
        <f t="shared" si="136"/>
        <v>244</v>
      </c>
      <c r="AO52" s="361">
        <f t="shared" ref="AO52:BJ52" si="138">+AO3</f>
        <v>31</v>
      </c>
      <c r="AP52" s="361">
        <f t="shared" si="138"/>
        <v>31</v>
      </c>
      <c r="AQ52" s="361">
        <f t="shared" si="138"/>
        <v>92</v>
      </c>
      <c r="AR52" s="361">
        <f t="shared" si="138"/>
        <v>92</v>
      </c>
      <c r="AS52" s="361">
        <f t="shared" si="138"/>
        <v>275</v>
      </c>
      <c r="AT52" s="361">
        <f t="shared" si="138"/>
        <v>275</v>
      </c>
      <c r="AU52" s="361">
        <f t="shared" si="138"/>
        <v>31</v>
      </c>
      <c r="AV52" s="361">
        <f t="shared" si="138"/>
        <v>31</v>
      </c>
      <c r="AW52" s="361">
        <f t="shared" si="138"/>
        <v>306</v>
      </c>
      <c r="AX52" s="361">
        <f t="shared" si="138"/>
        <v>306</v>
      </c>
      <c r="AY52" s="361">
        <f t="shared" si="138"/>
        <v>28</v>
      </c>
      <c r="AZ52" s="361">
        <f t="shared" si="138"/>
        <v>28</v>
      </c>
      <c r="BA52" s="361">
        <f t="shared" si="138"/>
        <v>334</v>
      </c>
      <c r="BB52" s="361">
        <f t="shared" si="138"/>
        <v>334</v>
      </c>
      <c r="BC52" s="361">
        <f t="shared" si="138"/>
        <v>31</v>
      </c>
      <c r="BD52" s="361">
        <f t="shared" si="138"/>
        <v>31</v>
      </c>
      <c r="BE52" s="361">
        <f t="shared" si="138"/>
        <v>90</v>
      </c>
      <c r="BF52" s="361">
        <f t="shared" si="138"/>
        <v>90</v>
      </c>
      <c r="BG52" s="361">
        <f t="shared" si="138"/>
        <v>182</v>
      </c>
      <c r="BH52" s="361">
        <f t="shared" si="138"/>
        <v>182</v>
      </c>
      <c r="BI52" s="361">
        <f t="shared" si="138"/>
        <v>365</v>
      </c>
      <c r="BJ52" s="361">
        <f t="shared" si="138"/>
        <v>365</v>
      </c>
      <c r="BK52" s="1222"/>
      <c r="BL52" s="1222"/>
      <c r="BM52" s="1222"/>
      <c r="BN52" s="1222"/>
    </row>
    <row r="53" spans="1:66" ht="22.5" x14ac:dyDescent="0.25">
      <c r="A53" s="65"/>
      <c r="B53" s="183" t="s">
        <v>483</v>
      </c>
      <c r="C53" s="13" t="s">
        <v>381</v>
      </c>
      <c r="D53" s="315">
        <f t="shared" si="135"/>
        <v>4.3569444444444443</v>
      </c>
      <c r="E53" s="315">
        <f t="shared" si="135"/>
        <v>1.0295698924731183</v>
      </c>
      <c r="G53" s="912"/>
      <c r="H53" s="913" t="s">
        <v>135</v>
      </c>
      <c r="I53" s="7801" t="str">
        <f>+I4</f>
        <v>Apr'25</v>
      </c>
      <c r="J53" s="7802"/>
      <c r="K53" s="7801" t="str">
        <f>+K4</f>
        <v>May'25</v>
      </c>
      <c r="L53" s="7802"/>
      <c r="M53" s="7803" t="s">
        <v>14</v>
      </c>
      <c r="N53" s="7804"/>
      <c r="O53" s="7801" t="str">
        <f>+O4</f>
        <v>Jun'24</v>
      </c>
      <c r="P53" s="7802"/>
      <c r="Q53" s="7790" t="str">
        <f>+Q4</f>
        <v>QTR 1</v>
      </c>
      <c r="R53" s="7791"/>
      <c r="S53" s="7801" t="str">
        <f>+S4</f>
        <v>Jul'24</v>
      </c>
      <c r="T53" s="7802"/>
      <c r="U53" s="7803" t="s">
        <v>17</v>
      </c>
      <c r="V53" s="7804"/>
      <c r="W53" s="7801" t="str">
        <f>+W4</f>
        <v>Aug'24</v>
      </c>
      <c r="X53" s="7802"/>
      <c r="Y53" s="7803" t="s">
        <v>17</v>
      </c>
      <c r="Z53" s="7804"/>
      <c r="AA53" s="7801" t="str">
        <f>+AA4</f>
        <v>Sep'24</v>
      </c>
      <c r="AB53" s="7802"/>
      <c r="AC53" s="7790" t="str">
        <f>+AC4</f>
        <v>QTR 2</v>
      </c>
      <c r="AD53" s="7791"/>
      <c r="AE53" s="7807" t="s">
        <v>657</v>
      </c>
      <c r="AF53" s="7808"/>
      <c r="AG53" s="7801" t="str">
        <f>+AG4</f>
        <v>Oct'24</v>
      </c>
      <c r="AH53" s="7802"/>
      <c r="AI53" s="7803" t="s">
        <v>24</v>
      </c>
      <c r="AJ53" s="7804"/>
      <c r="AK53" s="7801" t="str">
        <f>+AK4</f>
        <v>Nov'24</v>
      </c>
      <c r="AL53" s="7802"/>
      <c r="AM53" s="7803" t="str">
        <f>+AM4</f>
        <v>8M</v>
      </c>
      <c r="AN53" s="7804"/>
      <c r="AO53" s="7801" t="str">
        <f>+AO4</f>
        <v>Dec'24</v>
      </c>
      <c r="AP53" s="7802"/>
      <c r="AQ53" s="7790" t="str">
        <f>+AQ4</f>
        <v>QTR 3</v>
      </c>
      <c r="AR53" s="7791"/>
      <c r="AS53" s="7803" t="s">
        <v>27</v>
      </c>
      <c r="AT53" s="7804"/>
      <c r="AU53" s="7801" t="str">
        <f>+AU4</f>
        <v>Jan'25</v>
      </c>
      <c r="AV53" s="7802"/>
      <c r="AW53" s="7803" t="s">
        <v>27</v>
      </c>
      <c r="AX53" s="7804"/>
      <c r="AY53" s="7801" t="str">
        <f>+AY4</f>
        <v>Feb'25</v>
      </c>
      <c r="AZ53" s="7802"/>
      <c r="BA53" s="7803" t="s">
        <v>27</v>
      </c>
      <c r="BB53" s="7804"/>
      <c r="BC53" s="7801" t="str">
        <f>+BC4</f>
        <v>Mar'25</v>
      </c>
      <c r="BD53" s="7802"/>
      <c r="BE53" s="7790" t="str">
        <f>+BE4</f>
        <v>QTR 4</v>
      </c>
      <c r="BF53" s="7791"/>
      <c r="BG53" s="7807" t="s">
        <v>657</v>
      </c>
      <c r="BH53" s="7808"/>
      <c r="BI53" s="7803" t="str">
        <f>+BI4</f>
        <v>2024-25</v>
      </c>
      <c r="BJ53" s="7804"/>
      <c r="BK53" s="1222"/>
      <c r="BL53" s="1222"/>
      <c r="BM53" s="1222"/>
      <c r="BN53" s="1222"/>
    </row>
    <row r="54" spans="1:66" x14ac:dyDescent="0.25">
      <c r="A54" s="281"/>
      <c r="B54" s="183" t="s">
        <v>484</v>
      </c>
      <c r="C54" s="13" t="s">
        <v>381</v>
      </c>
      <c r="D54" s="315">
        <f t="shared" si="135"/>
        <v>78.336111111111109</v>
      </c>
      <c r="E54" s="315">
        <f t="shared" si="135"/>
        <v>87.782258064516142</v>
      </c>
      <c r="G54" s="914"/>
      <c r="H54" s="271"/>
      <c r="I54" s="548" t="s">
        <v>173</v>
      </c>
      <c r="J54" s="5" t="s">
        <v>174</v>
      </c>
      <c r="K54" s="7229" t="s">
        <v>173</v>
      </c>
      <c r="L54" s="5" t="s">
        <v>174</v>
      </c>
      <c r="M54" s="708" t="s">
        <v>173</v>
      </c>
      <c r="N54" s="915" t="s">
        <v>174</v>
      </c>
      <c r="O54" s="4613" t="s">
        <v>173</v>
      </c>
      <c r="P54" s="5" t="s">
        <v>174</v>
      </c>
      <c r="Q54" s="709" t="s">
        <v>173</v>
      </c>
      <c r="R54" s="916" t="s">
        <v>174</v>
      </c>
      <c r="S54" s="4786" t="s">
        <v>173</v>
      </c>
      <c r="T54" s="5" t="s">
        <v>174</v>
      </c>
      <c r="U54" s="708" t="s">
        <v>173</v>
      </c>
      <c r="V54" s="915" t="s">
        <v>174</v>
      </c>
      <c r="W54" s="4948" t="s">
        <v>173</v>
      </c>
      <c r="X54" s="5" t="s">
        <v>174</v>
      </c>
      <c r="Y54" s="4947" t="s">
        <v>173</v>
      </c>
      <c r="Z54" s="915" t="s">
        <v>174</v>
      </c>
      <c r="AA54" s="5078" t="s">
        <v>173</v>
      </c>
      <c r="AB54" s="5" t="s">
        <v>174</v>
      </c>
      <c r="AC54" s="2251" t="s">
        <v>173</v>
      </c>
      <c r="AD54" s="916" t="s">
        <v>174</v>
      </c>
      <c r="AE54" s="801" t="s">
        <v>173</v>
      </c>
      <c r="AF54" s="803" t="s">
        <v>174</v>
      </c>
      <c r="AG54" s="5388" t="s">
        <v>173</v>
      </c>
      <c r="AH54" s="5" t="s">
        <v>174</v>
      </c>
      <c r="AI54" s="2634" t="s">
        <v>173</v>
      </c>
      <c r="AJ54" s="915" t="s">
        <v>174</v>
      </c>
      <c r="AK54" s="5547" t="s">
        <v>173</v>
      </c>
      <c r="AL54" s="5" t="s">
        <v>174</v>
      </c>
      <c r="AM54" s="5541" t="s">
        <v>173</v>
      </c>
      <c r="AN54" s="915" t="s">
        <v>174</v>
      </c>
      <c r="AO54" s="5965" t="s">
        <v>173</v>
      </c>
      <c r="AP54" s="5" t="s">
        <v>174</v>
      </c>
      <c r="AQ54" s="2752" t="s">
        <v>173</v>
      </c>
      <c r="AR54" s="916" t="s">
        <v>174</v>
      </c>
      <c r="AS54" s="2753" t="s">
        <v>173</v>
      </c>
      <c r="AT54" s="915" t="s">
        <v>174</v>
      </c>
      <c r="AU54" s="1555" t="s">
        <v>173</v>
      </c>
      <c r="AV54" s="5" t="s">
        <v>174</v>
      </c>
      <c r="AW54" s="2806" t="s">
        <v>173</v>
      </c>
      <c r="AX54" s="915" t="s">
        <v>174</v>
      </c>
      <c r="AY54" s="1555" t="s">
        <v>173</v>
      </c>
      <c r="AZ54" s="5" t="s">
        <v>174</v>
      </c>
      <c r="BA54" s="6274" t="s">
        <v>173</v>
      </c>
      <c r="BB54" s="915" t="s">
        <v>174</v>
      </c>
      <c r="BC54" s="1555" t="s">
        <v>173</v>
      </c>
      <c r="BD54" s="5" t="s">
        <v>174</v>
      </c>
      <c r="BE54" s="3040" t="s">
        <v>173</v>
      </c>
      <c r="BF54" s="916" t="s">
        <v>174</v>
      </c>
      <c r="BG54" s="3042" t="s">
        <v>173</v>
      </c>
      <c r="BH54" s="803" t="s">
        <v>174</v>
      </c>
      <c r="BI54" s="3041" t="s">
        <v>173</v>
      </c>
      <c r="BJ54" s="915" t="s">
        <v>174</v>
      </c>
      <c r="BK54" s="1222"/>
      <c r="BL54" s="1222"/>
      <c r="BM54" s="1222"/>
      <c r="BN54" s="1222"/>
    </row>
    <row r="55" spans="1:66" ht="16.5" thickBot="1" x14ac:dyDescent="0.3">
      <c r="A55" s="281"/>
      <c r="B55" s="23" t="s">
        <v>485</v>
      </c>
      <c r="C55" s="14" t="s">
        <v>381</v>
      </c>
      <c r="D55" s="315">
        <f t="shared" si="135"/>
        <v>0.71443055555555557</v>
      </c>
      <c r="E55" s="315">
        <f t="shared" si="135"/>
        <v>0.69551075268817242</v>
      </c>
      <c r="G55" s="917">
        <v>1</v>
      </c>
      <c r="H55" s="811" t="s">
        <v>746</v>
      </c>
      <c r="I55" s="327">
        <f>+SUM(I56:I61)</f>
        <v>163.18436239267879</v>
      </c>
      <c r="J55" s="328">
        <f t="shared" ref="J55:J82" si="139">J6/1000/24/J$3</f>
        <v>147.12259356666658</v>
      </c>
      <c r="K55" s="327">
        <f>+SUM(K56:K61)</f>
        <v>163.24588093265663</v>
      </c>
      <c r="L55" s="328">
        <f t="shared" ref="L55" si="140">L6/1000/24/L$3</f>
        <v>154.51649556451613</v>
      </c>
      <c r="M55" s="933">
        <f t="shared" ref="M55:N82" si="141">M6/1000/24/M$3</f>
        <v>163.21562591299539</v>
      </c>
      <c r="N55" s="933">
        <f t="shared" si="141"/>
        <v>150.88015031967205</v>
      </c>
      <c r="O55" s="327">
        <f>+SUM(O56:O61)</f>
        <v>133.8961196691377</v>
      </c>
      <c r="P55" s="328">
        <f t="shared" ref="P55:R82" si="142">P6/1000/24/P$3</f>
        <v>137.92523611111085</v>
      </c>
      <c r="Q55" s="934">
        <f t="shared" si="142"/>
        <v>153.54985462381154</v>
      </c>
      <c r="R55" s="934">
        <f t="shared" si="142"/>
        <v>146.60929948168487</v>
      </c>
      <c r="S55" s="327">
        <f>+SUM(S56:S61)</f>
        <v>110.97722174458613</v>
      </c>
      <c r="T55" s="328">
        <f t="shared" ref="T55:V82" si="143">T6/1000/24/T$3</f>
        <v>155.40287231182796</v>
      </c>
      <c r="U55" s="933">
        <f t="shared" si="143"/>
        <v>142.73221840040182</v>
      </c>
      <c r="V55" s="933">
        <f t="shared" si="143"/>
        <v>148.84373192213104</v>
      </c>
      <c r="W55" s="327">
        <f>+SUM(W56:W61)</f>
        <v>157.91151752034358</v>
      </c>
      <c r="X55" s="328">
        <f t="shared" ref="X55:Z82" si="144">X6/1000/24/X$3</f>
        <v>155.31859811827948</v>
      </c>
      <c r="Y55" s="933">
        <f t="shared" si="144"/>
        <v>145.80776266653382</v>
      </c>
      <c r="Z55" s="933">
        <f t="shared" si="144"/>
        <v>150.1556329161219</v>
      </c>
      <c r="AA55" s="327">
        <f>+SUM(AA56:AA61)</f>
        <v>157.76239903306805</v>
      </c>
      <c r="AB55" s="328">
        <f t="shared" ref="AB55:AF64" si="145">AB6/1000/24/AB$3</f>
        <v>154.81733611111113</v>
      </c>
      <c r="AC55" s="934">
        <f t="shared" si="145"/>
        <v>142.04807487179198</v>
      </c>
      <c r="AD55" s="934">
        <f t="shared" si="145"/>
        <v>155.18353985507244</v>
      </c>
      <c r="AE55" s="935">
        <f t="shared" si="145"/>
        <v>147.76753912006401</v>
      </c>
      <c r="AF55" s="935">
        <f t="shared" si="145"/>
        <v>150.91984655464472</v>
      </c>
      <c r="AG55" s="327">
        <f>+SUM(AG56:AG61)</f>
        <v>160.8259257328323</v>
      </c>
      <c r="AH55" s="328">
        <f t="shared" ref="AH55:AJ82" si="146">AH6/1000/24/AH$3</f>
        <v>151.75501478494618</v>
      </c>
      <c r="AI55" s="933">
        <f t="shared" si="146"/>
        <v>149.65917456396971</v>
      </c>
      <c r="AJ55" s="933">
        <f t="shared" si="146"/>
        <v>151.04082886837998</v>
      </c>
      <c r="AK55" s="327">
        <f>+SUM(AK56:AK61)</f>
        <v>160.90728539382997</v>
      </c>
      <c r="AL55" s="328">
        <f t="shared" ref="AL55:AN82" si="147">AL6/1000/24/AL$3</f>
        <v>69.019853222222224</v>
      </c>
      <c r="AM55" s="933">
        <f t="shared" si="147"/>
        <v>151.04213901026398</v>
      </c>
      <c r="AN55" s="933">
        <f t="shared" si="147"/>
        <v>140.95628268237698</v>
      </c>
      <c r="AO55" s="327">
        <f>+SUM(AO56:AO61)</f>
        <v>160.8259257328323</v>
      </c>
      <c r="AP55" s="328">
        <f t="shared" ref="AP55:AT64" si="148">AP6/1000/24/AP$3</f>
        <v>147.75635618279571</v>
      </c>
      <c r="AQ55" s="934">
        <f t="shared" si="148"/>
        <v>160.85245605707067</v>
      </c>
      <c r="AR55" s="934">
        <f t="shared" si="148"/>
        <v>123.42878365942028</v>
      </c>
      <c r="AS55" s="933">
        <f t="shared" si="148"/>
        <v>152.14503860444441</v>
      </c>
      <c r="AT55" s="933">
        <f t="shared" si="148"/>
        <v>141.72283642242419</v>
      </c>
      <c r="AU55" s="327">
        <f>+SUM(AU56:AU61)</f>
        <v>160.8259257328323</v>
      </c>
      <c r="AV55" s="328">
        <f t="shared" ref="AV55:AX82" si="149">AV6/1000/24/AV$3</f>
        <v>148.90457675268814</v>
      </c>
      <c r="AW55" s="933">
        <f t="shared" si="149"/>
        <v>153.02447488215694</v>
      </c>
      <c r="AX55" s="933">
        <f t="shared" si="149"/>
        <v>142.45039835130714</v>
      </c>
      <c r="AY55" s="327">
        <f>+SUM(AY56:AY61)</f>
        <v>160.50734766276881</v>
      </c>
      <c r="AZ55" s="328">
        <f t="shared" ref="AZ55:BB82" si="150">AZ6/1000/24/AZ$3</f>
        <v>151.40573511904762</v>
      </c>
      <c r="BA55" s="933">
        <f t="shared" si="150"/>
        <v>153.65178158232797</v>
      </c>
      <c r="BB55" s="933">
        <f t="shared" si="150"/>
        <v>143.20114514620752</v>
      </c>
      <c r="BC55" s="327">
        <f>+SUM(BC56:BC61)</f>
        <v>161.54351871946946</v>
      </c>
      <c r="BD55" s="328">
        <f t="shared" ref="BD55:BJ64" si="151">BD6/1000/24/BD$3</f>
        <v>152.93402956989246</v>
      </c>
      <c r="BE55" s="934">
        <f t="shared" si="151"/>
        <v>160.97398347309868</v>
      </c>
      <c r="BF55" s="934">
        <f t="shared" si="151"/>
        <v>151.07063754814814</v>
      </c>
      <c r="BG55" s="935">
        <f t="shared" si="151"/>
        <v>160.91255203202957</v>
      </c>
      <c r="BH55" s="935">
        <f t="shared" si="151"/>
        <v>137.09783228571425</v>
      </c>
      <c r="BI55" s="933">
        <f t="shared" si="151"/>
        <v>154.32203870904411</v>
      </c>
      <c r="BJ55" s="933">
        <f t="shared" si="151"/>
        <v>144.02777368630132</v>
      </c>
      <c r="BK55" s="1222"/>
      <c r="BL55" s="1222"/>
      <c r="BM55" s="1222"/>
      <c r="BN55" s="1222"/>
    </row>
    <row r="56" spans="1:66" ht="16.5" thickBot="1" x14ac:dyDescent="0.3">
      <c r="A56" s="66"/>
      <c r="B56" s="10" t="s">
        <v>486</v>
      </c>
      <c r="C56" s="15" t="s">
        <v>381</v>
      </c>
      <c r="D56" s="316">
        <f t="shared" si="135"/>
        <v>124.08873611111107</v>
      </c>
      <c r="E56" s="316">
        <f t="shared" si="135"/>
        <v>128.49994623655914</v>
      </c>
      <c r="G56" s="914">
        <v>1.1000000000000001</v>
      </c>
      <c r="H56" s="271" t="s">
        <v>482</v>
      </c>
      <c r="I56" s="384">
        <v>0</v>
      </c>
      <c r="J56" s="330">
        <f t="shared" si="139"/>
        <v>0</v>
      </c>
      <c r="K56" s="384">
        <v>0</v>
      </c>
      <c r="L56" s="330">
        <f t="shared" ref="L56" si="152">L7/1000/24/L$3</f>
        <v>0</v>
      </c>
      <c r="M56" s="936">
        <f t="shared" si="141"/>
        <v>0</v>
      </c>
      <c r="N56" s="936">
        <f t="shared" si="141"/>
        <v>0</v>
      </c>
      <c r="O56" s="384">
        <v>0</v>
      </c>
      <c r="P56" s="330">
        <f t="shared" si="142"/>
        <v>0</v>
      </c>
      <c r="Q56" s="937">
        <f t="shared" si="142"/>
        <v>0</v>
      </c>
      <c r="R56" s="937">
        <f t="shared" si="142"/>
        <v>0</v>
      </c>
      <c r="S56" s="384">
        <v>0</v>
      </c>
      <c r="T56" s="330">
        <f t="shared" si="143"/>
        <v>0</v>
      </c>
      <c r="U56" s="936">
        <f t="shared" si="143"/>
        <v>0</v>
      </c>
      <c r="V56" s="936">
        <f t="shared" si="143"/>
        <v>0</v>
      </c>
      <c r="W56" s="384">
        <v>0</v>
      </c>
      <c r="X56" s="330">
        <f t="shared" si="144"/>
        <v>0</v>
      </c>
      <c r="Y56" s="936">
        <f t="shared" si="144"/>
        <v>0</v>
      </c>
      <c r="Z56" s="936">
        <f t="shared" si="144"/>
        <v>0</v>
      </c>
      <c r="AA56" s="384">
        <v>0</v>
      </c>
      <c r="AB56" s="330">
        <f t="shared" si="145"/>
        <v>0</v>
      </c>
      <c r="AC56" s="937">
        <f t="shared" si="145"/>
        <v>0</v>
      </c>
      <c r="AD56" s="937">
        <f t="shared" si="145"/>
        <v>0</v>
      </c>
      <c r="AE56" s="938">
        <f t="shared" si="145"/>
        <v>0</v>
      </c>
      <c r="AF56" s="938">
        <f t="shared" si="145"/>
        <v>0</v>
      </c>
      <c r="AG56" s="384">
        <v>0</v>
      </c>
      <c r="AH56" s="330">
        <f t="shared" si="146"/>
        <v>0</v>
      </c>
      <c r="AI56" s="936">
        <f t="shared" si="146"/>
        <v>0</v>
      </c>
      <c r="AJ56" s="936">
        <f t="shared" si="146"/>
        <v>0</v>
      </c>
      <c r="AK56" s="384">
        <v>0</v>
      </c>
      <c r="AL56" s="330">
        <f t="shared" si="147"/>
        <v>0</v>
      </c>
      <c r="AM56" s="936">
        <f t="shared" si="147"/>
        <v>0</v>
      </c>
      <c r="AN56" s="936">
        <f t="shared" si="147"/>
        <v>0</v>
      </c>
      <c r="AO56" s="384">
        <v>0</v>
      </c>
      <c r="AP56" s="330">
        <f t="shared" si="148"/>
        <v>0</v>
      </c>
      <c r="AQ56" s="937">
        <f t="shared" si="148"/>
        <v>0</v>
      </c>
      <c r="AR56" s="937">
        <f t="shared" si="148"/>
        <v>0</v>
      </c>
      <c r="AS56" s="936">
        <f t="shared" si="148"/>
        <v>0</v>
      </c>
      <c r="AT56" s="936">
        <f t="shared" si="148"/>
        <v>0</v>
      </c>
      <c r="AU56" s="384">
        <v>0</v>
      </c>
      <c r="AV56" s="330">
        <f t="shared" si="149"/>
        <v>0</v>
      </c>
      <c r="AW56" s="936">
        <f t="shared" si="149"/>
        <v>0</v>
      </c>
      <c r="AX56" s="936">
        <f t="shared" si="149"/>
        <v>0</v>
      </c>
      <c r="AY56" s="384">
        <v>0</v>
      </c>
      <c r="AZ56" s="330">
        <f t="shared" si="150"/>
        <v>0</v>
      </c>
      <c r="BA56" s="936">
        <f t="shared" si="150"/>
        <v>0</v>
      </c>
      <c r="BB56" s="936">
        <f t="shared" si="150"/>
        <v>0</v>
      </c>
      <c r="BC56" s="384">
        <v>0</v>
      </c>
      <c r="BD56" s="330">
        <f t="shared" si="151"/>
        <v>0</v>
      </c>
      <c r="BE56" s="937">
        <f t="shared" si="151"/>
        <v>0</v>
      </c>
      <c r="BF56" s="937">
        <f t="shared" si="151"/>
        <v>0</v>
      </c>
      <c r="BG56" s="938">
        <f t="shared" si="151"/>
        <v>0</v>
      </c>
      <c r="BH56" s="938">
        <f t="shared" si="151"/>
        <v>0</v>
      </c>
      <c r="BI56" s="936">
        <f t="shared" si="151"/>
        <v>0</v>
      </c>
      <c r="BJ56" s="936">
        <f t="shared" si="151"/>
        <v>0</v>
      </c>
      <c r="BK56" s="1222"/>
      <c r="BL56" s="1222"/>
      <c r="BM56" s="1222"/>
      <c r="BN56" s="1222"/>
    </row>
    <row r="57" spans="1:66" x14ac:dyDescent="0.25">
      <c r="A57" s="281"/>
      <c r="B57" s="58" t="s">
        <v>492</v>
      </c>
      <c r="C57" s="16" t="s">
        <v>381</v>
      </c>
      <c r="D57" s="315">
        <f t="shared" ref="D57:E59" si="153">+((D13/1000)/D$3)/24</f>
        <v>0.36386362222222091</v>
      </c>
      <c r="E57" s="315">
        <f t="shared" si="153"/>
        <v>0.42739066801075221</v>
      </c>
      <c r="G57" s="914">
        <v>1.2</v>
      </c>
      <c r="H57" s="271" t="s">
        <v>587</v>
      </c>
      <c r="I57" s="384">
        <v>50.127032294714631</v>
      </c>
      <c r="J57" s="330">
        <f t="shared" si="139"/>
        <v>39.471111111111007</v>
      </c>
      <c r="K57" s="384">
        <v>53.554735551200942</v>
      </c>
      <c r="L57" s="330">
        <f t="shared" ref="L57" si="154">L8/1000/24/L$3</f>
        <v>46.625268817204294</v>
      </c>
      <c r="M57" s="936">
        <f t="shared" si="141"/>
        <v>51.868979851289645</v>
      </c>
      <c r="N57" s="936">
        <f t="shared" si="141"/>
        <v>43.106830601092845</v>
      </c>
      <c r="O57" s="384">
        <v>46.310031076847594</v>
      </c>
      <c r="P57" s="330">
        <f t="shared" si="142"/>
        <v>38.228888888888626</v>
      </c>
      <c r="Q57" s="937">
        <f t="shared" si="142"/>
        <v>50.03635937619886</v>
      </c>
      <c r="R57" s="937">
        <f t="shared" si="142"/>
        <v>41.498717948717825</v>
      </c>
      <c r="S57" s="384">
        <v>32.748654084438535</v>
      </c>
      <c r="T57" s="330">
        <f t="shared" si="143"/>
        <v>44.993010752688178</v>
      </c>
      <c r="U57" s="936">
        <f t="shared" si="143"/>
        <v>45.643581802063039</v>
      </c>
      <c r="V57" s="936">
        <f t="shared" si="143"/>
        <v>42.386612021857836</v>
      </c>
      <c r="W57" s="384">
        <v>51.654439490198442</v>
      </c>
      <c r="X57" s="330">
        <f t="shared" si="144"/>
        <v>44.014247311827887</v>
      </c>
      <c r="Y57" s="936">
        <f t="shared" si="144"/>
        <v>46.861468000312698</v>
      </c>
      <c r="Z57" s="936">
        <f t="shared" si="144"/>
        <v>42.716394335511893</v>
      </c>
      <c r="AA57" s="384">
        <v>50.883036629207027</v>
      </c>
      <c r="AB57" s="330">
        <f t="shared" si="145"/>
        <v>41.477361111111115</v>
      </c>
      <c r="AC57" s="937">
        <f t="shared" si="145"/>
        <v>45.032467387934318</v>
      </c>
      <c r="AD57" s="937">
        <f t="shared" si="145"/>
        <v>43.516802536231864</v>
      </c>
      <c r="AE57" s="938">
        <f t="shared" si="145"/>
        <v>47.520741546033079</v>
      </c>
      <c r="AF57" s="938">
        <f t="shared" si="145"/>
        <v>42.513274134790457</v>
      </c>
      <c r="AG57" s="384">
        <v>53.213853440167952</v>
      </c>
      <c r="AH57" s="330">
        <f t="shared" si="146"/>
        <v>40.965456989247279</v>
      </c>
      <c r="AI57" s="936">
        <f t="shared" si="146"/>
        <v>48.345444670884397</v>
      </c>
      <c r="AJ57" s="936">
        <f t="shared" si="146"/>
        <v>42.289057632398695</v>
      </c>
      <c r="AK57" s="384">
        <v>53.457608512699473</v>
      </c>
      <c r="AL57" s="330">
        <f t="shared" si="147"/>
        <v>15.455138888888889</v>
      </c>
      <c r="AM57" s="936">
        <f t="shared" si="147"/>
        <v>48.973989405533793</v>
      </c>
      <c r="AN57" s="936">
        <f t="shared" si="147"/>
        <v>38.989805327868794</v>
      </c>
      <c r="AO57" s="384">
        <v>53.704058975282621</v>
      </c>
      <c r="AP57" s="330">
        <f t="shared" si="148"/>
        <v>48.179301075268818</v>
      </c>
      <c r="AQ57" s="937">
        <f t="shared" si="148"/>
        <v>53.458516741956011</v>
      </c>
      <c r="AR57" s="937">
        <f t="shared" si="148"/>
        <v>35.077626811594186</v>
      </c>
      <c r="AS57" s="936">
        <f t="shared" si="148"/>
        <v>49.507197247941839</v>
      </c>
      <c r="AT57" s="936">
        <f t="shared" si="148"/>
        <v>40.025712121212067</v>
      </c>
      <c r="AU57" s="384">
        <v>53.72780166534109</v>
      </c>
      <c r="AV57" s="330">
        <f t="shared" si="149"/>
        <v>47.152688172043021</v>
      </c>
      <c r="AW57" s="936">
        <f t="shared" si="149"/>
        <v>49.934774819639152</v>
      </c>
      <c r="AX57" s="936">
        <f t="shared" si="149"/>
        <v>40.747726034858346</v>
      </c>
      <c r="AY57" s="384">
        <v>54.005625528562888</v>
      </c>
      <c r="AZ57" s="330">
        <f t="shared" si="150"/>
        <v>46.466071428571425</v>
      </c>
      <c r="BA57" s="936">
        <f t="shared" si="150"/>
        <v>50.276043741345333</v>
      </c>
      <c r="BB57" s="936">
        <f t="shared" si="150"/>
        <v>41.227108283433097</v>
      </c>
      <c r="BC57" s="384">
        <v>53.530095378113757</v>
      </c>
      <c r="BD57" s="330">
        <f t="shared" si="151"/>
        <v>44.969623655913971</v>
      </c>
      <c r="BE57" s="937">
        <f t="shared" si="151"/>
        <v>53.74613692385401</v>
      </c>
      <c r="BF57" s="937">
        <f t="shared" si="151"/>
        <v>46.187129629629624</v>
      </c>
      <c r="BG57" s="938">
        <f t="shared" si="151"/>
        <v>53.600746502235239</v>
      </c>
      <c r="BH57" s="938">
        <f t="shared" si="151"/>
        <v>40.571336996336996</v>
      </c>
      <c r="BI57" s="936">
        <f t="shared" si="151"/>
        <v>50.55241525022155</v>
      </c>
      <c r="BJ57" s="936">
        <f t="shared" si="151"/>
        <v>41.54496575342462</v>
      </c>
      <c r="BK57" s="1222"/>
      <c r="BL57" s="1222"/>
      <c r="BM57" s="1222"/>
      <c r="BN57" s="1222"/>
    </row>
    <row r="58" spans="1:66" ht="15.75" thickBot="1" x14ac:dyDescent="0.3">
      <c r="A58" s="281"/>
      <c r="B58" s="59" t="s">
        <v>493</v>
      </c>
      <c r="C58" s="14" t="s">
        <v>381</v>
      </c>
      <c r="D58" s="315">
        <f t="shared" si="153"/>
        <v>1.416936111111049</v>
      </c>
      <c r="E58" s="315">
        <f t="shared" si="153"/>
        <v>2.3863646505376503</v>
      </c>
      <c r="G58" s="914">
        <v>1.3</v>
      </c>
      <c r="H58" s="271" t="s">
        <v>483</v>
      </c>
      <c r="I58" s="384">
        <v>5</v>
      </c>
      <c r="J58" s="330">
        <f t="shared" si="139"/>
        <v>3.6841699555555554</v>
      </c>
      <c r="K58" s="384">
        <v>5</v>
      </c>
      <c r="L58" s="330">
        <f t="shared" ref="L58" si="155">L9/1000/24/L$3</f>
        <v>4.8155927419354843</v>
      </c>
      <c r="M58" s="936">
        <f t="shared" si="141"/>
        <v>5</v>
      </c>
      <c r="N58" s="936">
        <f t="shared" si="141"/>
        <v>4.2591553060109284</v>
      </c>
      <c r="O58" s="384">
        <v>5</v>
      </c>
      <c r="P58" s="330">
        <f t="shared" si="142"/>
        <v>4.3866666666666667</v>
      </c>
      <c r="Q58" s="937">
        <f t="shared" si="142"/>
        <v>5</v>
      </c>
      <c r="R58" s="937">
        <f t="shared" si="142"/>
        <v>4.3011920183150183</v>
      </c>
      <c r="S58" s="384">
        <v>5</v>
      </c>
      <c r="T58" s="330">
        <f t="shared" si="143"/>
        <v>5.1682795698924728</v>
      </c>
      <c r="U58" s="936">
        <f t="shared" si="143"/>
        <v>5</v>
      </c>
      <c r="V58" s="936">
        <f t="shared" si="143"/>
        <v>4.5215175437158477</v>
      </c>
      <c r="W58" s="384">
        <v>5</v>
      </c>
      <c r="X58" s="330">
        <f t="shared" si="144"/>
        <v>5.0160040322580643</v>
      </c>
      <c r="Y58" s="936">
        <f t="shared" si="144"/>
        <v>5</v>
      </c>
      <c r="Z58" s="936">
        <f t="shared" si="144"/>
        <v>4.6217076165577344</v>
      </c>
      <c r="AA58" s="384">
        <v>5</v>
      </c>
      <c r="AB58" s="330">
        <f t="shared" si="145"/>
        <v>4.7831958333333331</v>
      </c>
      <c r="AC58" s="937">
        <f t="shared" si="145"/>
        <v>5</v>
      </c>
      <c r="AD58" s="937">
        <f t="shared" si="145"/>
        <v>4.9913985507246377</v>
      </c>
      <c r="AE58" s="938">
        <f t="shared" si="145"/>
        <v>5</v>
      </c>
      <c r="AF58" s="938">
        <f t="shared" si="145"/>
        <v>4.6481810947176685</v>
      </c>
      <c r="AG58" s="384">
        <v>5</v>
      </c>
      <c r="AH58" s="330">
        <f t="shared" si="146"/>
        <v>4.4512096774193539</v>
      </c>
      <c r="AI58" s="936">
        <f t="shared" si="146"/>
        <v>5</v>
      </c>
      <c r="AJ58" s="936">
        <f t="shared" si="146"/>
        <v>4.6196478520249222</v>
      </c>
      <c r="AK58" s="384">
        <v>5</v>
      </c>
      <c r="AL58" s="330">
        <f t="shared" si="147"/>
        <v>3.626389333333333</v>
      </c>
      <c r="AM58" s="936">
        <f t="shared" si="147"/>
        <v>5</v>
      </c>
      <c r="AN58" s="936">
        <f t="shared" si="147"/>
        <v>4.4975259030054655</v>
      </c>
      <c r="AO58" s="384">
        <v>5</v>
      </c>
      <c r="AP58" s="330">
        <f t="shared" si="148"/>
        <v>3.7555134408602147</v>
      </c>
      <c r="AQ58" s="937">
        <f t="shared" si="148"/>
        <v>5</v>
      </c>
      <c r="AR58" s="937">
        <f t="shared" si="148"/>
        <v>3.9478271376811596</v>
      </c>
      <c r="AS58" s="936">
        <f t="shared" si="148"/>
        <v>5</v>
      </c>
      <c r="AT58" s="936">
        <f t="shared" si="148"/>
        <v>4.413880861818182</v>
      </c>
      <c r="AU58" s="384">
        <v>5</v>
      </c>
      <c r="AV58" s="330">
        <f t="shared" si="149"/>
        <v>3.8337352150537636</v>
      </c>
      <c r="AW58" s="936">
        <f t="shared" si="149"/>
        <v>5</v>
      </c>
      <c r="AX58" s="936">
        <f t="shared" si="149"/>
        <v>4.3551079368191719</v>
      </c>
      <c r="AY58" s="384">
        <v>5</v>
      </c>
      <c r="AZ58" s="330">
        <f t="shared" si="150"/>
        <v>3.5104136904761907</v>
      </c>
      <c r="BA58" s="936">
        <f t="shared" si="150"/>
        <v>5</v>
      </c>
      <c r="BB58" s="936">
        <f t="shared" si="150"/>
        <v>4.2842952455089831</v>
      </c>
      <c r="BC58" s="384">
        <v>5</v>
      </c>
      <c r="BD58" s="330">
        <f t="shared" si="151"/>
        <v>3.0725766129032253</v>
      </c>
      <c r="BE58" s="937">
        <f t="shared" si="151"/>
        <v>5</v>
      </c>
      <c r="BF58" s="937">
        <f t="shared" si="151"/>
        <v>3.4709694444444446</v>
      </c>
      <c r="BG58" s="938">
        <f t="shared" si="151"/>
        <v>5</v>
      </c>
      <c r="BH58" s="938">
        <f t="shared" si="151"/>
        <v>3.7120183882783886</v>
      </c>
      <c r="BI58" s="936">
        <f t="shared" si="151"/>
        <v>5</v>
      </c>
      <c r="BJ58" s="936">
        <f t="shared" si="151"/>
        <v>4.1813821561643838</v>
      </c>
      <c r="BK58" s="1222"/>
      <c r="BL58" s="1222"/>
      <c r="BM58" s="1222"/>
      <c r="BN58" s="1222"/>
    </row>
    <row r="59" spans="1:66" ht="16.5" thickBot="1" x14ac:dyDescent="0.3">
      <c r="A59" s="66"/>
      <c r="B59" s="317" t="s">
        <v>494</v>
      </c>
      <c r="C59" s="318" t="s">
        <v>381</v>
      </c>
      <c r="D59" s="316">
        <f t="shared" si="153"/>
        <v>1.7807997333332697</v>
      </c>
      <c r="E59" s="316">
        <f t="shared" si="153"/>
        <v>2.8137553185484028</v>
      </c>
      <c r="G59" s="914">
        <v>1.4</v>
      </c>
      <c r="H59" s="271" t="s">
        <v>484</v>
      </c>
      <c r="I59" s="384">
        <v>106.30733009796415</v>
      </c>
      <c r="J59" s="330">
        <f t="shared" si="139"/>
        <v>102.23611527777777</v>
      </c>
      <c r="K59" s="384">
        <v>102.9411453814557</v>
      </c>
      <c r="L59" s="330">
        <f t="shared" ref="L59" si="156">L10/1000/24/L$3</f>
        <v>101.32129838709677</v>
      </c>
      <c r="M59" s="936">
        <f t="shared" si="141"/>
        <v>104.59664606170577</v>
      </c>
      <c r="N59" s="936">
        <f t="shared" si="141"/>
        <v>101.77120833333333</v>
      </c>
      <c r="O59" s="384">
        <v>80.83608859229011</v>
      </c>
      <c r="P59" s="330">
        <f t="shared" si="142"/>
        <v>93.604166666666671</v>
      </c>
      <c r="Q59" s="937">
        <f t="shared" si="142"/>
        <v>96.763495247612695</v>
      </c>
      <c r="R59" s="937">
        <f t="shared" si="142"/>
        <v>99.078777014652005</v>
      </c>
      <c r="S59" s="384">
        <v>71.478567660147604</v>
      </c>
      <c r="T59" s="330">
        <f t="shared" si="143"/>
        <v>103.76610349462365</v>
      </c>
      <c r="U59" s="936">
        <f t="shared" si="143"/>
        <v>90.33863659833878</v>
      </c>
      <c r="V59" s="936">
        <f t="shared" si="143"/>
        <v>100.26981898907104</v>
      </c>
      <c r="W59" s="384">
        <v>99.507078030145138</v>
      </c>
      <c r="X59" s="330">
        <f t="shared" si="144"/>
        <v>104.87231182795698</v>
      </c>
      <c r="Y59" s="936">
        <f t="shared" si="144"/>
        <v>92.196294666221107</v>
      </c>
      <c r="Z59" s="936">
        <f t="shared" si="144"/>
        <v>101.20235021786493</v>
      </c>
      <c r="AA59" s="384">
        <v>100.12936240386102</v>
      </c>
      <c r="AB59" s="330">
        <f t="shared" si="145"/>
        <v>107.13192638888887</v>
      </c>
      <c r="AC59" s="937">
        <f t="shared" si="145"/>
        <v>90.265607483857664</v>
      </c>
      <c r="AD59" s="937">
        <f t="shared" si="145"/>
        <v>105.23639855072463</v>
      </c>
      <c r="AE59" s="938">
        <f t="shared" si="145"/>
        <v>93.496797574030921</v>
      </c>
      <c r="AF59" s="938">
        <f t="shared" si="145"/>
        <v>102.1744118852459</v>
      </c>
      <c r="AG59" s="384">
        <v>100.86207229266435</v>
      </c>
      <c r="AH59" s="330">
        <f t="shared" si="146"/>
        <v>105.02148521505377</v>
      </c>
      <c r="AI59" s="936">
        <f t="shared" si="146"/>
        <v>94.563729893085295</v>
      </c>
      <c r="AJ59" s="936">
        <f t="shared" si="146"/>
        <v>102.58683839563862</v>
      </c>
      <c r="AK59" s="384">
        <v>100.6996768811305</v>
      </c>
      <c r="AL59" s="330">
        <f t="shared" si="147"/>
        <v>48.820861111111107</v>
      </c>
      <c r="AM59" s="936">
        <f t="shared" si="147"/>
        <v>95.318149604730209</v>
      </c>
      <c r="AN59" s="936">
        <f t="shared" si="147"/>
        <v>95.976267418032791</v>
      </c>
      <c r="AO59" s="384">
        <v>100.37186675754968</v>
      </c>
      <c r="AP59" s="330">
        <f t="shared" si="148"/>
        <v>94.577918010752697</v>
      </c>
      <c r="AQ59" s="937">
        <f t="shared" si="148"/>
        <v>100.64393931511465</v>
      </c>
      <c r="AR59" s="937">
        <f t="shared" si="148"/>
        <v>83.17616666666666</v>
      </c>
      <c r="AS59" s="936">
        <f t="shared" si="148"/>
        <v>95.887841356502605</v>
      </c>
      <c r="AT59" s="936">
        <f t="shared" si="148"/>
        <v>95.818635303030305</v>
      </c>
      <c r="AU59" s="384">
        <v>100.34812406749121</v>
      </c>
      <c r="AV59" s="330">
        <f t="shared" si="149"/>
        <v>96.612880516129024</v>
      </c>
      <c r="AW59" s="936">
        <f t="shared" si="149"/>
        <v>96.339700062517778</v>
      </c>
      <c r="AX59" s="936">
        <f t="shared" si="149"/>
        <v>95.899098053376918</v>
      </c>
      <c r="AY59" s="384">
        <v>99.75172213420592</v>
      </c>
      <c r="AZ59" s="330">
        <f t="shared" si="150"/>
        <v>99.925626488095219</v>
      </c>
      <c r="BA59" s="936">
        <f t="shared" si="150"/>
        <v>96.625737840982652</v>
      </c>
      <c r="BB59" s="936">
        <f t="shared" si="150"/>
        <v>96.236651335329327</v>
      </c>
      <c r="BC59" s="384">
        <v>101.2634233413557</v>
      </c>
      <c r="BD59" s="330">
        <f t="shared" si="151"/>
        <v>103.26205376344085</v>
      </c>
      <c r="BE59" s="937">
        <f t="shared" si="151"/>
        <v>100.47784654924466</v>
      </c>
      <c r="BF59" s="937">
        <f t="shared" si="151"/>
        <v>99.93378338148149</v>
      </c>
      <c r="BG59" s="938">
        <f t="shared" si="151"/>
        <v>100.56180552979434</v>
      </c>
      <c r="BH59" s="938">
        <f t="shared" si="151"/>
        <v>91.462900206959702</v>
      </c>
      <c r="BI59" s="936">
        <f t="shared" si="151"/>
        <v>97.019623458822565</v>
      </c>
      <c r="BJ59" s="936">
        <f t="shared" si="151"/>
        <v>96.833329349771688</v>
      </c>
      <c r="BK59" s="1222"/>
      <c r="BL59" s="1222"/>
      <c r="BM59" s="1222"/>
      <c r="BN59" s="1222"/>
    </row>
    <row r="60" spans="1:66" s="3038" customFormat="1" ht="16.5" thickBot="1" x14ac:dyDescent="0.3">
      <c r="A60" s="66"/>
      <c r="B60" s="317"/>
      <c r="C60" s="318"/>
      <c r="D60" s="316"/>
      <c r="E60" s="316"/>
      <c r="G60" s="914"/>
      <c r="H60" s="3045" t="s">
        <v>485</v>
      </c>
      <c r="I60" s="384">
        <v>0.75</v>
      </c>
      <c r="J60" s="330">
        <f t="shared" si="139"/>
        <v>0.67097222222221697</v>
      </c>
      <c r="K60" s="384">
        <v>0.75</v>
      </c>
      <c r="L60" s="330">
        <f t="shared" ref="L60" si="157">L11/1000/24/L$3</f>
        <v>0.66068548387096915</v>
      </c>
      <c r="M60" s="936">
        <f t="shared" si="141"/>
        <v>0.75</v>
      </c>
      <c r="N60" s="936">
        <f t="shared" si="141"/>
        <v>0.66574453551912394</v>
      </c>
      <c r="O60" s="384">
        <v>0.75</v>
      </c>
      <c r="P60" s="330">
        <f t="shared" si="142"/>
        <v>0.66993055555555581</v>
      </c>
      <c r="Q60" s="937">
        <f t="shared" si="142"/>
        <v>0.75</v>
      </c>
      <c r="R60" s="937">
        <f t="shared" si="142"/>
        <v>0.66712454212454098</v>
      </c>
      <c r="S60" s="384">
        <v>0.75</v>
      </c>
      <c r="T60" s="330">
        <f t="shared" si="143"/>
        <v>0.67754032258064467</v>
      </c>
      <c r="U60" s="936">
        <f t="shared" si="143"/>
        <v>0.75</v>
      </c>
      <c r="V60" s="936">
        <f t="shared" si="143"/>
        <v>0.669771174863387</v>
      </c>
      <c r="W60" s="384">
        <v>0.75</v>
      </c>
      <c r="X60" s="330">
        <f t="shared" si="144"/>
        <v>0.64745967741935606</v>
      </c>
      <c r="Y60" s="936">
        <f t="shared" si="144"/>
        <v>0.75</v>
      </c>
      <c r="Z60" s="936">
        <f t="shared" si="144"/>
        <v>0.66525054466230893</v>
      </c>
      <c r="AA60" s="384">
        <v>0.75</v>
      </c>
      <c r="AB60" s="330">
        <f t="shared" si="145"/>
        <v>0.63808333333333345</v>
      </c>
      <c r="AC60" s="937">
        <f t="shared" si="145"/>
        <v>0.75</v>
      </c>
      <c r="AD60" s="937">
        <f t="shared" si="145"/>
        <v>0.65453804347826117</v>
      </c>
      <c r="AE60" s="938">
        <f t="shared" si="145"/>
        <v>0.75</v>
      </c>
      <c r="AF60" s="938">
        <f t="shared" si="145"/>
        <v>0.66079690346083741</v>
      </c>
      <c r="AG60" s="384">
        <v>0.75</v>
      </c>
      <c r="AH60" s="330">
        <f t="shared" si="146"/>
        <v>0.59254032258064937</v>
      </c>
      <c r="AI60" s="936">
        <f t="shared" si="146"/>
        <v>0.75</v>
      </c>
      <c r="AJ60" s="936">
        <f t="shared" si="146"/>
        <v>0.65090926791277293</v>
      </c>
      <c r="AK60" s="384">
        <v>0.75</v>
      </c>
      <c r="AL60" s="330">
        <f t="shared" si="147"/>
        <v>0.48587499999999983</v>
      </c>
      <c r="AM60" s="936">
        <f t="shared" si="147"/>
        <v>0.75</v>
      </c>
      <c r="AN60" s="936">
        <f t="shared" si="147"/>
        <v>0.63061816939890736</v>
      </c>
      <c r="AO60" s="384">
        <v>0.75</v>
      </c>
      <c r="AP60" s="330">
        <f t="shared" si="148"/>
        <v>0.68032258064516171</v>
      </c>
      <c r="AQ60" s="937">
        <f t="shared" si="148"/>
        <v>0.75</v>
      </c>
      <c r="AR60" s="937">
        <f t="shared" si="148"/>
        <v>0.58733695652174067</v>
      </c>
      <c r="AS60" s="936">
        <f t="shared" si="148"/>
        <v>0.75</v>
      </c>
      <c r="AT60" s="936">
        <f t="shared" si="148"/>
        <v>0.63622121212121241</v>
      </c>
      <c r="AU60" s="384">
        <v>0.75</v>
      </c>
      <c r="AV60" s="330">
        <f t="shared" si="149"/>
        <v>0.65857526881720363</v>
      </c>
      <c r="AW60" s="936">
        <f t="shared" si="149"/>
        <v>0.75</v>
      </c>
      <c r="AX60" s="936">
        <f t="shared" si="149"/>
        <v>0.63848583877995668</v>
      </c>
      <c r="AY60" s="384">
        <v>0.75</v>
      </c>
      <c r="AZ60" s="330">
        <f t="shared" si="150"/>
        <v>0.70337797619047737</v>
      </c>
      <c r="BA60" s="936">
        <f t="shared" si="150"/>
        <v>0.75</v>
      </c>
      <c r="BB60" s="936">
        <f t="shared" si="150"/>
        <v>0.64392589820359314</v>
      </c>
      <c r="BC60" s="384">
        <v>0.75</v>
      </c>
      <c r="BD60" s="330">
        <f t="shared" si="151"/>
        <v>0.66568548387096771</v>
      </c>
      <c r="BE60" s="937">
        <f t="shared" si="151"/>
        <v>0.75</v>
      </c>
      <c r="BF60" s="937">
        <f t="shared" si="151"/>
        <v>0.6749629629629631</v>
      </c>
      <c r="BG60" s="938">
        <f t="shared" si="151"/>
        <v>0.75</v>
      </c>
      <c r="BH60" s="938">
        <f t="shared" si="151"/>
        <v>0.63066849816849901</v>
      </c>
      <c r="BI60" s="936">
        <f t="shared" si="151"/>
        <v>0.75</v>
      </c>
      <c r="BJ60" s="936">
        <f t="shared" si="151"/>
        <v>0.64577397260274005</v>
      </c>
      <c r="BK60" s="1222"/>
      <c r="BL60" s="1222"/>
      <c r="BM60" s="1222"/>
      <c r="BN60" s="1222"/>
    </row>
    <row r="61" spans="1:66" ht="15.75" x14ac:dyDescent="0.25">
      <c r="A61" s="66"/>
      <c r="B61" s="319" t="s">
        <v>125</v>
      </c>
      <c r="C61" s="37" t="s">
        <v>381</v>
      </c>
      <c r="D61" s="316">
        <f t="shared" ref="D61:E76" si="158">+((D16/1000)/D$3)/24</f>
        <v>122.30793637777781</v>
      </c>
      <c r="E61" s="316">
        <f t="shared" si="158"/>
        <v>125.68619091801072</v>
      </c>
      <c r="G61" s="914">
        <v>1.5</v>
      </c>
      <c r="H61" s="271" t="s">
        <v>1720</v>
      </c>
      <c r="I61" s="384">
        <v>1</v>
      </c>
      <c r="J61" s="330">
        <f t="shared" si="139"/>
        <v>1.060225</v>
      </c>
      <c r="K61" s="384">
        <v>1</v>
      </c>
      <c r="L61" s="330">
        <f t="shared" ref="L61" si="159">L12/1000/24/L$3</f>
        <v>1.0936501344086016</v>
      </c>
      <c r="M61" s="936">
        <f t="shared" si="141"/>
        <v>1</v>
      </c>
      <c r="N61" s="936">
        <f t="shared" si="141"/>
        <v>1.0772115437158467</v>
      </c>
      <c r="O61" s="384">
        <v>1</v>
      </c>
      <c r="P61" s="330">
        <f t="shared" si="142"/>
        <v>1.0355833333333333</v>
      </c>
      <c r="Q61" s="937">
        <f t="shared" si="142"/>
        <v>1</v>
      </c>
      <c r="R61" s="937">
        <f t="shared" si="142"/>
        <v>1.0634879578754577</v>
      </c>
      <c r="S61" s="384">
        <v>1</v>
      </c>
      <c r="T61" s="330">
        <f t="shared" si="143"/>
        <v>0.79793817204301087</v>
      </c>
      <c r="U61" s="936">
        <f t="shared" si="143"/>
        <v>1</v>
      </c>
      <c r="V61" s="936">
        <f t="shared" si="143"/>
        <v>0.99601219262295082</v>
      </c>
      <c r="W61" s="384">
        <v>1</v>
      </c>
      <c r="X61" s="330">
        <f t="shared" si="144"/>
        <v>0.76857526881720439</v>
      </c>
      <c r="Y61" s="936">
        <f t="shared" si="144"/>
        <v>1</v>
      </c>
      <c r="Z61" s="936">
        <f t="shared" si="144"/>
        <v>0.94993020152505436</v>
      </c>
      <c r="AA61" s="384">
        <v>1</v>
      </c>
      <c r="AB61" s="330">
        <f t="shared" si="145"/>
        <v>0.78676944444444452</v>
      </c>
      <c r="AC61" s="937">
        <f t="shared" si="145"/>
        <v>1</v>
      </c>
      <c r="AD61" s="937">
        <f t="shared" si="145"/>
        <v>0.78440217391304357</v>
      </c>
      <c r="AE61" s="938">
        <f t="shared" si="145"/>
        <v>1</v>
      </c>
      <c r="AF61" s="938">
        <f t="shared" si="145"/>
        <v>0.92318253642987236</v>
      </c>
      <c r="AG61" s="384">
        <v>1</v>
      </c>
      <c r="AH61" s="330">
        <f t="shared" si="146"/>
        <v>0.72432258064516186</v>
      </c>
      <c r="AI61" s="936">
        <f t="shared" si="146"/>
        <v>1</v>
      </c>
      <c r="AJ61" s="936">
        <f t="shared" si="146"/>
        <v>0.89437572040498448</v>
      </c>
      <c r="AK61" s="384">
        <v>1</v>
      </c>
      <c r="AL61" s="330">
        <f t="shared" si="147"/>
        <v>0.63158888888888798</v>
      </c>
      <c r="AM61" s="936">
        <f t="shared" si="147"/>
        <v>1</v>
      </c>
      <c r="AN61" s="936">
        <f t="shared" si="147"/>
        <v>0.86206586407103802</v>
      </c>
      <c r="AO61" s="384">
        <v>1</v>
      </c>
      <c r="AP61" s="330">
        <f t="shared" si="148"/>
        <v>0.56330107526881779</v>
      </c>
      <c r="AQ61" s="937">
        <f t="shared" si="148"/>
        <v>1</v>
      </c>
      <c r="AR61" s="937">
        <f t="shared" si="148"/>
        <v>0.63982608695652188</v>
      </c>
      <c r="AS61" s="936">
        <f t="shared" si="148"/>
        <v>1</v>
      </c>
      <c r="AT61" s="936">
        <f t="shared" si="148"/>
        <v>0.82838692424242422</v>
      </c>
      <c r="AU61" s="384">
        <v>1</v>
      </c>
      <c r="AV61" s="330">
        <f t="shared" si="149"/>
        <v>0.64669758064516103</v>
      </c>
      <c r="AW61" s="936">
        <f t="shared" si="149"/>
        <v>1</v>
      </c>
      <c r="AX61" s="936">
        <f t="shared" si="149"/>
        <v>0.80998048747276685</v>
      </c>
      <c r="AY61" s="384">
        <v>1</v>
      </c>
      <c r="AZ61" s="330">
        <f t="shared" si="150"/>
        <v>0.80024553571428636</v>
      </c>
      <c r="BA61" s="936">
        <f t="shared" si="150"/>
        <v>1</v>
      </c>
      <c r="BB61" s="936">
        <f t="shared" si="150"/>
        <v>0.80916438373253485</v>
      </c>
      <c r="BC61" s="384">
        <v>1</v>
      </c>
      <c r="BD61" s="330">
        <f t="shared" si="151"/>
        <v>0.96409005376344092</v>
      </c>
      <c r="BE61" s="937">
        <f t="shared" si="151"/>
        <v>1</v>
      </c>
      <c r="BF61" s="937">
        <f t="shared" si="151"/>
        <v>0.80379212962962976</v>
      </c>
      <c r="BG61" s="938">
        <f t="shared" si="151"/>
        <v>1</v>
      </c>
      <c r="BH61" s="938">
        <f t="shared" si="151"/>
        <v>0.72090819597069611</v>
      </c>
      <c r="BI61" s="936">
        <f t="shared" si="151"/>
        <v>1</v>
      </c>
      <c r="BJ61" s="936">
        <f t="shared" si="151"/>
        <v>0.82232245433789952</v>
      </c>
      <c r="BK61" s="1222"/>
      <c r="BL61" s="1222"/>
      <c r="BM61" s="1222"/>
      <c r="BN61" s="1222"/>
    </row>
    <row r="62" spans="1:66" ht="15.75" x14ac:dyDescent="0.25">
      <c r="A62" s="281"/>
      <c r="B62" s="22" t="s">
        <v>731</v>
      </c>
      <c r="C62" s="13" t="s">
        <v>381</v>
      </c>
      <c r="D62" s="315">
        <f t="shared" si="158"/>
        <v>1.5184583333333332</v>
      </c>
      <c r="E62" s="315">
        <f t="shared" si="158"/>
        <v>1.5746408602150537</v>
      </c>
      <c r="G62" s="917">
        <v>2</v>
      </c>
      <c r="H62" s="811" t="s">
        <v>747</v>
      </c>
      <c r="I62" s="386">
        <f>+I63+I64</f>
        <v>3</v>
      </c>
      <c r="J62" s="328">
        <f t="shared" si="139"/>
        <v>1.672414355277773</v>
      </c>
      <c r="K62" s="386">
        <f>+K63+K64</f>
        <v>3</v>
      </c>
      <c r="L62" s="328">
        <f t="shared" ref="L62" si="160">L13/1000/24/L$3</f>
        <v>1.752966202822609</v>
      </c>
      <c r="M62" s="933">
        <f t="shared" si="141"/>
        <v>3</v>
      </c>
      <c r="N62" s="933">
        <f t="shared" si="141"/>
        <v>1.7133505400956408</v>
      </c>
      <c r="O62" s="386">
        <f>+O63+O64</f>
        <v>3</v>
      </c>
      <c r="P62" s="328">
        <f t="shared" si="142"/>
        <v>1.6413979486108266</v>
      </c>
      <c r="Q62" s="934">
        <f t="shared" si="142"/>
        <v>3</v>
      </c>
      <c r="R62" s="934">
        <f t="shared" si="142"/>
        <v>1.6896299055402075</v>
      </c>
      <c r="S62" s="386">
        <f>+S63+S64</f>
        <v>3</v>
      </c>
      <c r="T62" s="328">
        <f t="shared" si="143"/>
        <v>1.8509890981183452</v>
      </c>
      <c r="U62" s="933">
        <f t="shared" si="143"/>
        <v>3</v>
      </c>
      <c r="V62" s="933">
        <f t="shared" si="143"/>
        <v>1.7306310118510457</v>
      </c>
      <c r="W62" s="386">
        <f>+W63+W64</f>
        <v>3</v>
      </c>
      <c r="X62" s="328">
        <f t="shared" si="144"/>
        <v>2.127185672042831</v>
      </c>
      <c r="Y62" s="933">
        <f t="shared" si="144"/>
        <v>3</v>
      </c>
      <c r="Z62" s="933">
        <f t="shared" si="144"/>
        <v>1.8109786880990548</v>
      </c>
      <c r="AA62" s="386">
        <f>+AA63+AA64</f>
        <v>3</v>
      </c>
      <c r="AB62" s="328">
        <f t="shared" si="145"/>
        <v>2.1828638888888889</v>
      </c>
      <c r="AC62" s="934">
        <f t="shared" si="145"/>
        <v>3</v>
      </c>
      <c r="AD62" s="934">
        <f t="shared" si="145"/>
        <v>2.0522753754528602</v>
      </c>
      <c r="AE62" s="935">
        <f t="shared" si="145"/>
        <v>3</v>
      </c>
      <c r="AF62" s="935">
        <f t="shared" si="145"/>
        <v>1.8719434751137816</v>
      </c>
      <c r="AG62" s="386">
        <f>+AG63+AG64</f>
        <v>3</v>
      </c>
      <c r="AH62" s="328">
        <f t="shared" si="146"/>
        <v>1.5783730416668589</v>
      </c>
      <c r="AI62" s="933">
        <f t="shared" si="146"/>
        <v>3</v>
      </c>
      <c r="AJ62" s="933">
        <f t="shared" si="146"/>
        <v>1.8294169169976384</v>
      </c>
      <c r="AK62" s="386">
        <f>+AK63+AK64</f>
        <v>3</v>
      </c>
      <c r="AL62" s="328">
        <f t="shared" si="147"/>
        <v>1.3511146111107715</v>
      </c>
      <c r="AM62" s="933">
        <f t="shared" si="147"/>
        <v>3</v>
      </c>
      <c r="AN62" s="933">
        <f t="shared" si="147"/>
        <v>1.7706092564377778</v>
      </c>
      <c r="AO62" s="386">
        <f>+AO63+AO64</f>
        <v>3</v>
      </c>
      <c r="AP62" s="328">
        <f t="shared" si="148"/>
        <v>1.4468527486562952</v>
      </c>
      <c r="AQ62" s="934">
        <f t="shared" si="148"/>
        <v>3</v>
      </c>
      <c r="AR62" s="934">
        <f t="shared" si="148"/>
        <v>1.4599504112319666</v>
      </c>
      <c r="AS62" s="933">
        <f t="shared" si="148"/>
        <v>3</v>
      </c>
      <c r="AT62" s="933">
        <f t="shared" si="148"/>
        <v>1.7341130682878649</v>
      </c>
      <c r="AU62" s="386">
        <f>+AU63+AU64</f>
        <v>3</v>
      </c>
      <c r="AV62" s="328">
        <f t="shared" si="149"/>
        <v>1.5172261478491227</v>
      </c>
      <c r="AW62" s="933">
        <f t="shared" si="149"/>
        <v>3</v>
      </c>
      <c r="AX62" s="933">
        <f t="shared" si="149"/>
        <v>1.712140863929692</v>
      </c>
      <c r="AY62" s="386">
        <f>+AY63+AY64</f>
        <v>3</v>
      </c>
      <c r="AZ62" s="328">
        <f t="shared" si="150"/>
        <v>1.0286664148065792</v>
      </c>
      <c r="BA62" s="933">
        <f t="shared" si="150"/>
        <v>3</v>
      </c>
      <c r="BB62" s="933">
        <f t="shared" si="150"/>
        <v>1.6548436047217663</v>
      </c>
      <c r="BC62" s="386">
        <f>+BC63+BC64</f>
        <v>3</v>
      </c>
      <c r="BD62" s="328">
        <f t="shared" si="151"/>
        <v>0.91038617318529913</v>
      </c>
      <c r="BE62" s="934">
        <f t="shared" si="151"/>
        <v>3</v>
      </c>
      <c r="BF62" s="934">
        <f t="shared" si="151"/>
        <v>1.1562071285183477</v>
      </c>
      <c r="BG62" s="935">
        <f t="shared" si="151"/>
        <v>3</v>
      </c>
      <c r="BH62" s="935">
        <f t="shared" si="151"/>
        <v>1.3097476890109463</v>
      </c>
      <c r="BI62" s="933">
        <f t="shared" si="151"/>
        <v>3</v>
      </c>
      <c r="BJ62" s="933">
        <f t="shared" si="151"/>
        <v>1.5916157132762032</v>
      </c>
      <c r="BK62" s="1222"/>
      <c r="BL62" s="1222"/>
      <c r="BM62" s="1222"/>
      <c r="BN62" s="1222"/>
    </row>
    <row r="63" spans="1:66" x14ac:dyDescent="0.25">
      <c r="A63" s="281"/>
      <c r="B63" s="22" t="s">
        <v>723</v>
      </c>
      <c r="C63" s="13" t="s">
        <v>381</v>
      </c>
      <c r="D63" s="315">
        <f t="shared" si="158"/>
        <v>7.0703194444444506</v>
      </c>
      <c r="E63" s="315">
        <f t="shared" si="158"/>
        <v>6.5758870967741947</v>
      </c>
      <c r="G63" s="914">
        <v>2.1</v>
      </c>
      <c r="H63" s="271" t="s">
        <v>492</v>
      </c>
      <c r="I63" s="384">
        <v>0.4</v>
      </c>
      <c r="J63" s="330">
        <f t="shared" si="139"/>
        <v>0.3989109969444431</v>
      </c>
      <c r="K63" s="384">
        <v>0.4</v>
      </c>
      <c r="L63" s="330">
        <f t="shared" ref="L63" si="161">L14/1000/24/L$3</f>
        <v>0.30296465712365622</v>
      </c>
      <c r="M63" s="936">
        <f t="shared" si="141"/>
        <v>0.4</v>
      </c>
      <c r="N63" s="936">
        <f t="shared" si="141"/>
        <v>0.3501513816256826</v>
      </c>
      <c r="O63" s="384">
        <v>0.4</v>
      </c>
      <c r="P63" s="330">
        <f t="shared" si="142"/>
        <v>0.44623517083333442</v>
      </c>
      <c r="Q63" s="937">
        <f t="shared" si="142"/>
        <v>0.39999999999999997</v>
      </c>
      <c r="R63" s="937">
        <f t="shared" si="142"/>
        <v>0.38182735608974361</v>
      </c>
      <c r="S63" s="384">
        <v>0.4</v>
      </c>
      <c r="T63" s="330">
        <f t="shared" si="143"/>
        <v>0.43643087231182309</v>
      </c>
      <c r="U63" s="936">
        <f t="shared" si="143"/>
        <v>0.4</v>
      </c>
      <c r="V63" s="936">
        <f t="shared" si="143"/>
        <v>0.39570202004781302</v>
      </c>
      <c r="W63" s="384">
        <v>0.4</v>
      </c>
      <c r="X63" s="330">
        <f t="shared" si="144"/>
        <v>0.42601239247311667</v>
      </c>
      <c r="Y63" s="936">
        <f t="shared" si="144"/>
        <v>0.39999999999999997</v>
      </c>
      <c r="Z63" s="936">
        <f t="shared" si="144"/>
        <v>0.40184333733660005</v>
      </c>
      <c r="AA63" s="384">
        <v>0.4</v>
      </c>
      <c r="AB63" s="330">
        <f t="shared" si="145"/>
        <v>0.44980833333333337</v>
      </c>
      <c r="AC63" s="937">
        <f t="shared" si="145"/>
        <v>0.4</v>
      </c>
      <c r="AD63" s="937">
        <f t="shared" si="145"/>
        <v>0.43728251313405581</v>
      </c>
      <c r="AE63" s="938">
        <f t="shared" si="145"/>
        <v>0.4</v>
      </c>
      <c r="AF63" s="938">
        <f t="shared" si="145"/>
        <v>0.40970645143442519</v>
      </c>
      <c r="AG63" s="384">
        <v>0.4</v>
      </c>
      <c r="AH63" s="330">
        <f t="shared" si="146"/>
        <v>0.12747976209677414</v>
      </c>
      <c r="AI63" s="936">
        <f t="shared" si="146"/>
        <v>0.4</v>
      </c>
      <c r="AJ63" s="936">
        <f t="shared" si="146"/>
        <v>0.36882314596962523</v>
      </c>
      <c r="AK63" s="384">
        <v>0.4</v>
      </c>
      <c r="AL63" s="330">
        <f t="shared" si="147"/>
        <v>0.11026261111110605</v>
      </c>
      <c r="AM63" s="936">
        <f t="shared" si="147"/>
        <v>0.4</v>
      </c>
      <c r="AN63" s="936">
        <f t="shared" si="147"/>
        <v>0.33703291627390564</v>
      </c>
      <c r="AO63" s="384">
        <v>0.4</v>
      </c>
      <c r="AP63" s="330">
        <f t="shared" si="148"/>
        <v>0.37894683467741974</v>
      </c>
      <c r="AQ63" s="937">
        <f t="shared" si="148"/>
        <v>0.4</v>
      </c>
      <c r="AR63" s="937">
        <f t="shared" si="148"/>
        <v>0.20659894384057817</v>
      </c>
      <c r="AS63" s="936">
        <f t="shared" si="148"/>
        <v>0.4</v>
      </c>
      <c r="AT63" s="936">
        <f t="shared" si="148"/>
        <v>0.34175775798484725</v>
      </c>
      <c r="AU63" s="384">
        <v>0.4</v>
      </c>
      <c r="AV63" s="330">
        <f t="shared" si="149"/>
        <v>0.25619207258064858</v>
      </c>
      <c r="AW63" s="936">
        <f t="shared" si="149"/>
        <v>0.39999999999999997</v>
      </c>
      <c r="AX63" s="936">
        <f t="shared" si="149"/>
        <v>0.33308933887527153</v>
      </c>
      <c r="AY63" s="384">
        <v>0.4</v>
      </c>
      <c r="AZ63" s="330">
        <f t="shared" si="150"/>
        <v>0.1210869356398734</v>
      </c>
      <c r="BA63" s="936">
        <f t="shared" si="150"/>
        <v>0.39999999999999997</v>
      </c>
      <c r="BB63" s="936">
        <f t="shared" si="150"/>
        <v>0.31531668231661542</v>
      </c>
      <c r="BC63" s="384">
        <v>0.4</v>
      </c>
      <c r="BD63" s="330">
        <f t="shared" si="151"/>
        <v>0.19393925114248137</v>
      </c>
      <c r="BE63" s="937">
        <f t="shared" si="151"/>
        <v>0.4</v>
      </c>
      <c r="BF63" s="937">
        <f t="shared" si="151"/>
        <v>0.1927167248148165</v>
      </c>
      <c r="BG63" s="938">
        <f t="shared" si="151"/>
        <v>0.39999999999999997</v>
      </c>
      <c r="BH63" s="938">
        <f t="shared" si="151"/>
        <v>0.19973411025641033</v>
      </c>
      <c r="BI63" s="936">
        <f t="shared" si="151"/>
        <v>0.4</v>
      </c>
      <c r="BJ63" s="936">
        <f t="shared" si="151"/>
        <v>0.30500791418949724</v>
      </c>
      <c r="BK63" s="1222"/>
      <c r="BL63" s="1222"/>
      <c r="BM63" s="1222"/>
      <c r="BN63" s="1222"/>
    </row>
    <row r="64" spans="1:66" x14ac:dyDescent="0.25">
      <c r="A64" s="281"/>
      <c r="B64" s="22" t="s">
        <v>634</v>
      </c>
      <c r="C64" s="13" t="s">
        <v>381</v>
      </c>
      <c r="D64" s="315">
        <f t="shared" si="158"/>
        <v>2.1610277777777771</v>
      </c>
      <c r="E64" s="315">
        <f t="shared" si="158"/>
        <v>2.0229032258064517</v>
      </c>
      <c r="G64" s="914">
        <v>2.2000000000000002</v>
      </c>
      <c r="H64" s="271" t="s">
        <v>493</v>
      </c>
      <c r="I64" s="384">
        <v>2.6</v>
      </c>
      <c r="J64" s="330">
        <f t="shared" si="139"/>
        <v>1.2735033583333302</v>
      </c>
      <c r="K64" s="384">
        <v>2.6</v>
      </c>
      <c r="L64" s="330">
        <f t="shared" ref="L64" si="162">L15/1000/24/L$3</f>
        <v>1.4500015456989528</v>
      </c>
      <c r="M64" s="936">
        <f t="shared" si="141"/>
        <v>2.6</v>
      </c>
      <c r="N64" s="936">
        <f t="shared" si="141"/>
        <v>1.3631991584699581</v>
      </c>
      <c r="O64" s="384">
        <v>2.6</v>
      </c>
      <c r="P64" s="330">
        <f t="shared" si="142"/>
        <v>1.1951627777774922</v>
      </c>
      <c r="Q64" s="937">
        <f t="shared" si="142"/>
        <v>2.6</v>
      </c>
      <c r="R64" s="937">
        <f t="shared" si="142"/>
        <v>1.3078025494504637</v>
      </c>
      <c r="S64" s="384">
        <v>2.6</v>
      </c>
      <c r="T64" s="330">
        <f t="shared" si="143"/>
        <v>1.4145582258065221</v>
      </c>
      <c r="U64" s="936">
        <f t="shared" si="143"/>
        <v>2.6</v>
      </c>
      <c r="V64" s="936">
        <f t="shared" si="143"/>
        <v>1.3349289918032328</v>
      </c>
      <c r="W64" s="384">
        <v>2.6</v>
      </c>
      <c r="X64" s="330">
        <f t="shared" si="144"/>
        <v>1.7011732795697145</v>
      </c>
      <c r="Y64" s="936">
        <f t="shared" si="144"/>
        <v>2.6</v>
      </c>
      <c r="Z64" s="936">
        <f t="shared" si="144"/>
        <v>1.4091353507624544</v>
      </c>
      <c r="AA64" s="384">
        <v>2.6</v>
      </c>
      <c r="AB64" s="330">
        <f t="shared" si="145"/>
        <v>1.7330555555555556</v>
      </c>
      <c r="AC64" s="937">
        <f t="shared" si="145"/>
        <v>2.6</v>
      </c>
      <c r="AD64" s="937">
        <f t="shared" si="145"/>
        <v>1.6149928623188043</v>
      </c>
      <c r="AE64" s="938">
        <f t="shared" si="145"/>
        <v>2.6</v>
      </c>
      <c r="AF64" s="938">
        <f t="shared" si="145"/>
        <v>1.4622370236793563</v>
      </c>
      <c r="AG64" s="384">
        <v>2.6</v>
      </c>
      <c r="AH64" s="330">
        <f t="shared" si="146"/>
        <v>1.4508932795700846</v>
      </c>
      <c r="AI64" s="936">
        <f t="shared" si="146"/>
        <v>2.6</v>
      </c>
      <c r="AJ64" s="936">
        <f t="shared" si="146"/>
        <v>1.4605937710280132</v>
      </c>
      <c r="AK64" s="384">
        <v>2.6</v>
      </c>
      <c r="AL64" s="330">
        <f t="shared" si="147"/>
        <v>1.2408519999996657</v>
      </c>
      <c r="AM64" s="936">
        <f t="shared" si="147"/>
        <v>2.6</v>
      </c>
      <c r="AN64" s="936">
        <f t="shared" si="147"/>
        <v>1.4335763401638721</v>
      </c>
      <c r="AO64" s="384">
        <v>2.6</v>
      </c>
      <c r="AP64" s="330">
        <f t="shared" si="148"/>
        <v>1.0679059139788751</v>
      </c>
      <c r="AQ64" s="937">
        <f t="shared" si="148"/>
        <v>2.6</v>
      </c>
      <c r="AR64" s="937">
        <f t="shared" si="148"/>
        <v>1.2533514673913884</v>
      </c>
      <c r="AS64" s="936">
        <f t="shared" si="148"/>
        <v>2.6</v>
      </c>
      <c r="AT64" s="936">
        <f t="shared" si="148"/>
        <v>1.392355310303018</v>
      </c>
      <c r="AU64" s="384">
        <v>2.6</v>
      </c>
      <c r="AV64" s="330">
        <f t="shared" si="149"/>
        <v>1.2610340752684741</v>
      </c>
      <c r="AW64" s="936">
        <f t="shared" si="149"/>
        <v>2.6</v>
      </c>
      <c r="AX64" s="936">
        <f t="shared" si="149"/>
        <v>1.3790515250544204</v>
      </c>
      <c r="AY64" s="384">
        <v>2.6</v>
      </c>
      <c r="AZ64" s="330">
        <f t="shared" si="150"/>
        <v>0.90757947916670578</v>
      </c>
      <c r="BA64" s="936">
        <f t="shared" si="150"/>
        <v>2.6</v>
      </c>
      <c r="BB64" s="936">
        <f t="shared" si="150"/>
        <v>1.3395269224051509</v>
      </c>
      <c r="BC64" s="384">
        <v>2.6</v>
      </c>
      <c r="BD64" s="330">
        <f t="shared" si="151"/>
        <v>0.71644692204281757</v>
      </c>
      <c r="BE64" s="937">
        <f t="shared" si="151"/>
        <v>2.6</v>
      </c>
      <c r="BF64" s="937">
        <f t="shared" si="151"/>
        <v>0.96349040370353123</v>
      </c>
      <c r="BG64" s="938">
        <f t="shared" si="151"/>
        <v>2.6</v>
      </c>
      <c r="BH64" s="938">
        <f t="shared" si="151"/>
        <v>1.1100135787545358</v>
      </c>
      <c r="BI64" s="936">
        <f t="shared" si="151"/>
        <v>2.6</v>
      </c>
      <c r="BJ64" s="936">
        <f t="shared" si="151"/>
        <v>1.2866077990867062</v>
      </c>
      <c r="BK64" s="1222"/>
      <c r="BL64" s="1222"/>
      <c r="BM64" s="1222"/>
      <c r="BN64" s="1222"/>
    </row>
    <row r="65" spans="1:66" ht="15.75" x14ac:dyDescent="0.25">
      <c r="A65" s="281"/>
      <c r="B65" s="22" t="s">
        <v>487</v>
      </c>
      <c r="C65" s="13" t="s">
        <v>381</v>
      </c>
      <c r="D65" s="315">
        <f t="shared" si="158"/>
        <v>11.048583333333307</v>
      </c>
      <c r="E65" s="315">
        <f t="shared" si="158"/>
        <v>10.777446236559159</v>
      </c>
      <c r="G65" s="917">
        <v>3</v>
      </c>
      <c r="H65" s="811" t="s">
        <v>748</v>
      </c>
      <c r="I65" s="327">
        <f>+I55-I62</f>
        <v>160.18436239267879</v>
      </c>
      <c r="J65" s="328">
        <f t="shared" si="139"/>
        <v>145.45017921138881</v>
      </c>
      <c r="K65" s="327">
        <f>+K55-K62</f>
        <v>160.24588093265663</v>
      </c>
      <c r="L65" s="328">
        <f t="shared" ref="L65" si="163">L16/1000/24/L$3</f>
        <v>152.76352936169351</v>
      </c>
      <c r="M65" s="933">
        <f t="shared" si="141"/>
        <v>160.21562591299539</v>
      </c>
      <c r="N65" s="933">
        <f t="shared" si="141"/>
        <v>149.16679977957645</v>
      </c>
      <c r="O65" s="327">
        <f>+O55-O62</f>
        <v>130.8961196691377</v>
      </c>
      <c r="P65" s="328">
        <f t="shared" si="142"/>
        <v>136.28383816250002</v>
      </c>
      <c r="Q65" s="934">
        <f t="shared" si="142"/>
        <v>150.54985462381154</v>
      </c>
      <c r="R65" s="934">
        <f t="shared" si="142"/>
        <v>144.91966957614466</v>
      </c>
      <c r="S65" s="327">
        <f>+S55-S62</f>
        <v>107.97722174458613</v>
      </c>
      <c r="T65" s="328">
        <f t="shared" si="143"/>
        <v>153.5518832137096</v>
      </c>
      <c r="U65" s="933">
        <f t="shared" si="143"/>
        <v>139.73221840040182</v>
      </c>
      <c r="V65" s="933">
        <f t="shared" si="143"/>
        <v>147.11310091028</v>
      </c>
      <c r="W65" s="327">
        <f>+W55-W62</f>
        <v>154.91151752034358</v>
      </c>
      <c r="X65" s="328">
        <f t="shared" si="144"/>
        <v>153.19141244623665</v>
      </c>
      <c r="Y65" s="933">
        <f t="shared" si="144"/>
        <v>142.80776266653382</v>
      </c>
      <c r="Z65" s="933">
        <f t="shared" si="144"/>
        <v>148.34465422802288</v>
      </c>
      <c r="AA65" s="327">
        <f>+AA55-AA62</f>
        <v>154.76239903306805</v>
      </c>
      <c r="AB65" s="328">
        <f t="shared" ref="AB65:AF74" si="164">AB16/1000/24/AB$3</f>
        <v>152.63447222222223</v>
      </c>
      <c r="AC65" s="934">
        <f t="shared" si="164"/>
        <v>139.04807487179198</v>
      </c>
      <c r="AD65" s="934">
        <f t="shared" si="164"/>
        <v>153.13126447961957</v>
      </c>
      <c r="AE65" s="935">
        <f t="shared" si="164"/>
        <v>144.76753912006401</v>
      </c>
      <c r="AF65" s="935">
        <f t="shared" si="164"/>
        <v>149.04790307953095</v>
      </c>
      <c r="AG65" s="327">
        <f>+AG55-AG62</f>
        <v>157.8259257328323</v>
      </c>
      <c r="AH65" s="328">
        <f t="shared" si="146"/>
        <v>150.17664174327933</v>
      </c>
      <c r="AI65" s="933">
        <f t="shared" si="146"/>
        <v>146.65917456396971</v>
      </c>
      <c r="AJ65" s="933">
        <f t="shared" si="146"/>
        <v>149.21141195138236</v>
      </c>
      <c r="AK65" s="327">
        <f>+AK55-AK62</f>
        <v>157.90728539382997</v>
      </c>
      <c r="AL65" s="328">
        <f t="shared" si="147"/>
        <v>67.668738611111451</v>
      </c>
      <c r="AM65" s="933">
        <f t="shared" si="147"/>
        <v>148.04213901026398</v>
      </c>
      <c r="AN65" s="933">
        <f t="shared" si="147"/>
        <v>139.1856734259392</v>
      </c>
      <c r="AO65" s="327">
        <f>+AO55-AO62</f>
        <v>157.8259257328323</v>
      </c>
      <c r="AP65" s="328">
        <f t="shared" ref="AP65:AT74" si="165">AP16/1000/24/AP$3</f>
        <v>146.3095034341394</v>
      </c>
      <c r="AQ65" s="934">
        <f t="shared" si="165"/>
        <v>157.85245605707067</v>
      </c>
      <c r="AR65" s="934">
        <f t="shared" si="165"/>
        <v>121.96883324818832</v>
      </c>
      <c r="AS65" s="933">
        <f t="shared" si="165"/>
        <v>149.14503860444441</v>
      </c>
      <c r="AT65" s="933">
        <f t="shared" si="165"/>
        <v>139.98872335413631</v>
      </c>
      <c r="AU65" s="327">
        <f>+AU55-AU62</f>
        <v>157.8259257328323</v>
      </c>
      <c r="AV65" s="328">
        <f t="shared" si="149"/>
        <v>147.38735060483907</v>
      </c>
      <c r="AW65" s="933">
        <f t="shared" si="149"/>
        <v>150.02447488215694</v>
      </c>
      <c r="AX65" s="933">
        <f t="shared" si="149"/>
        <v>140.73825748737744</v>
      </c>
      <c r="AY65" s="327">
        <f>+AY55-AY62</f>
        <v>157.50734766276881</v>
      </c>
      <c r="AZ65" s="328">
        <f t="shared" si="150"/>
        <v>150.37706870424105</v>
      </c>
      <c r="BA65" s="933">
        <f t="shared" si="150"/>
        <v>150.65178158232797</v>
      </c>
      <c r="BB65" s="933">
        <f t="shared" si="150"/>
        <v>141.54630154148575</v>
      </c>
      <c r="BC65" s="327">
        <f>+BC55-BC62</f>
        <v>158.54351871946946</v>
      </c>
      <c r="BD65" s="328">
        <f t="shared" ref="BD65:BJ74" si="166">BD16/1000/24/BD$3</f>
        <v>152.02364339670717</v>
      </c>
      <c r="BE65" s="934">
        <f t="shared" si="166"/>
        <v>157.97398347309868</v>
      </c>
      <c r="BF65" s="934">
        <f t="shared" si="166"/>
        <v>149.91443041962978</v>
      </c>
      <c r="BG65" s="935">
        <f t="shared" si="166"/>
        <v>157.91255203202957</v>
      </c>
      <c r="BH65" s="935">
        <f t="shared" si="166"/>
        <v>135.78808459670333</v>
      </c>
      <c r="BI65" s="933">
        <f t="shared" si="166"/>
        <v>151.32203870904411</v>
      </c>
      <c r="BJ65" s="933">
        <f t="shared" si="166"/>
        <v>142.43615797302513</v>
      </c>
      <c r="BK65" s="1222"/>
      <c r="BL65" s="1222"/>
      <c r="BM65" s="1222"/>
      <c r="BN65" s="1222"/>
    </row>
    <row r="66" spans="1:66" ht="15.75" x14ac:dyDescent="0.25">
      <c r="A66" s="281"/>
      <c r="B66" s="22" t="s">
        <v>724</v>
      </c>
      <c r="C66" s="13" t="s">
        <v>381</v>
      </c>
      <c r="D66" s="315">
        <f t="shared" si="158"/>
        <v>13.06251944444444</v>
      </c>
      <c r="E66" s="315">
        <f t="shared" si="158"/>
        <v>13.210962365591397</v>
      </c>
      <c r="G66" s="917">
        <v>4</v>
      </c>
      <c r="H66" s="811" t="s">
        <v>749</v>
      </c>
      <c r="I66" s="327">
        <f>+I67+I89</f>
        <v>160.18436239267879</v>
      </c>
      <c r="J66" s="328">
        <f t="shared" si="139"/>
        <v>145.45017921138881</v>
      </c>
      <c r="K66" s="327">
        <f>+K67+K89</f>
        <v>160.24588093265663</v>
      </c>
      <c r="L66" s="328">
        <f t="shared" ref="L66" si="167">L17/1000/24/L$3</f>
        <v>152.76352936169351</v>
      </c>
      <c r="M66" s="933">
        <f t="shared" si="141"/>
        <v>160.21562591299539</v>
      </c>
      <c r="N66" s="933">
        <f t="shared" si="141"/>
        <v>149.16679977957645</v>
      </c>
      <c r="O66" s="327">
        <f>+O67+O89</f>
        <v>130.8961196691377</v>
      </c>
      <c r="P66" s="328">
        <f t="shared" si="142"/>
        <v>136.28383816250007</v>
      </c>
      <c r="Q66" s="934">
        <f t="shared" si="142"/>
        <v>150.54985462381154</v>
      </c>
      <c r="R66" s="934">
        <f t="shared" si="142"/>
        <v>144.91966957614468</v>
      </c>
      <c r="S66" s="327">
        <f>+S67+S89</f>
        <v>107.97722174458615</v>
      </c>
      <c r="T66" s="328">
        <f t="shared" si="143"/>
        <v>153.5518832137096</v>
      </c>
      <c r="U66" s="933">
        <f t="shared" si="143"/>
        <v>139.73221840040182</v>
      </c>
      <c r="V66" s="933">
        <f t="shared" si="143"/>
        <v>147.11310091028002</v>
      </c>
      <c r="W66" s="327">
        <f>+W67+W89</f>
        <v>154.91151752034358</v>
      </c>
      <c r="X66" s="328">
        <f t="shared" si="144"/>
        <v>153.1914124462366</v>
      </c>
      <c r="Y66" s="933">
        <f t="shared" si="144"/>
        <v>142.80776266653382</v>
      </c>
      <c r="Z66" s="933">
        <f t="shared" si="144"/>
        <v>148.34465422802288</v>
      </c>
      <c r="AA66" s="327">
        <f>+AA67+AA89</f>
        <v>154.76239903306805</v>
      </c>
      <c r="AB66" s="328">
        <f t="shared" si="164"/>
        <v>152.63447222222223</v>
      </c>
      <c r="AC66" s="934">
        <f t="shared" si="164"/>
        <v>139.04807487179198</v>
      </c>
      <c r="AD66" s="934">
        <f t="shared" si="164"/>
        <v>153.13126447961955</v>
      </c>
      <c r="AE66" s="935">
        <f t="shared" si="164"/>
        <v>144.76753912006401</v>
      </c>
      <c r="AF66" s="935">
        <f t="shared" si="164"/>
        <v>149.04790307953095</v>
      </c>
      <c r="AG66" s="327">
        <f>+AG67+AG89</f>
        <v>157.8259257328323</v>
      </c>
      <c r="AH66" s="328">
        <f t="shared" si="146"/>
        <v>150.1766417432793</v>
      </c>
      <c r="AI66" s="933">
        <f t="shared" si="146"/>
        <v>146.65917456396971</v>
      </c>
      <c r="AJ66" s="933">
        <f t="shared" si="146"/>
        <v>149.21141195138236</v>
      </c>
      <c r="AK66" s="327">
        <f>+AK67+AK89</f>
        <v>157.90728539382997</v>
      </c>
      <c r="AL66" s="328">
        <f t="shared" si="147"/>
        <v>67.668738611111465</v>
      </c>
      <c r="AM66" s="933">
        <f t="shared" si="147"/>
        <v>148.04213901026398</v>
      </c>
      <c r="AN66" s="933">
        <f t="shared" si="147"/>
        <v>139.1856734259392</v>
      </c>
      <c r="AO66" s="327">
        <f>+AO67+AO89</f>
        <v>157.8259257328323</v>
      </c>
      <c r="AP66" s="328">
        <f t="shared" si="165"/>
        <v>146.3095034341394</v>
      </c>
      <c r="AQ66" s="934">
        <f t="shared" si="165"/>
        <v>157.85245605707064</v>
      </c>
      <c r="AR66" s="934">
        <f t="shared" si="165"/>
        <v>121.96883324818832</v>
      </c>
      <c r="AS66" s="933">
        <f t="shared" si="165"/>
        <v>149.14503860444441</v>
      </c>
      <c r="AT66" s="933">
        <f t="shared" si="165"/>
        <v>139.98872335413631</v>
      </c>
      <c r="AU66" s="327">
        <f>+AU67+AU89</f>
        <v>157.8259257328323</v>
      </c>
      <c r="AV66" s="328">
        <f t="shared" si="149"/>
        <v>147.38735060483904</v>
      </c>
      <c r="AW66" s="933">
        <f t="shared" si="149"/>
        <v>150.02447488215694</v>
      </c>
      <c r="AX66" s="933">
        <f t="shared" si="149"/>
        <v>140.73825748737744</v>
      </c>
      <c r="AY66" s="327">
        <f>+AY67+AY89</f>
        <v>157.50734766276881</v>
      </c>
      <c r="AZ66" s="328">
        <f t="shared" si="150"/>
        <v>150.37706870424103</v>
      </c>
      <c r="BA66" s="933">
        <f t="shared" si="150"/>
        <v>150.65178158232797</v>
      </c>
      <c r="BB66" s="933">
        <f t="shared" si="150"/>
        <v>141.54630154148575</v>
      </c>
      <c r="BC66" s="327">
        <f>+BC67+BC89</f>
        <v>158.54351871946946</v>
      </c>
      <c r="BD66" s="328">
        <f t="shared" si="166"/>
        <v>152.02364339670717</v>
      </c>
      <c r="BE66" s="934">
        <f t="shared" si="166"/>
        <v>157.97398347309863</v>
      </c>
      <c r="BF66" s="934">
        <f t="shared" si="166"/>
        <v>149.91443041962978</v>
      </c>
      <c r="BG66" s="935">
        <f t="shared" si="166"/>
        <v>157.91255203202954</v>
      </c>
      <c r="BH66" s="935">
        <f t="shared" si="166"/>
        <v>135.78808459670333</v>
      </c>
      <c r="BI66" s="933">
        <f t="shared" si="166"/>
        <v>151.32203870904411</v>
      </c>
      <c r="BJ66" s="933">
        <f t="shared" si="166"/>
        <v>142.43615797302513</v>
      </c>
      <c r="BK66" s="1222"/>
      <c r="BL66" s="1222"/>
      <c r="BM66" s="1222"/>
      <c r="BN66" s="1222"/>
    </row>
    <row r="67" spans="1:66" ht="15.75" x14ac:dyDescent="0.25">
      <c r="A67" s="281"/>
      <c r="B67" s="22" t="s">
        <v>725</v>
      </c>
      <c r="C67" s="13" t="s">
        <v>381</v>
      </c>
      <c r="D67" s="315">
        <f t="shared" si="158"/>
        <v>22.231472222222227</v>
      </c>
      <c r="E67" s="315">
        <f t="shared" si="158"/>
        <v>22.708427419354837</v>
      </c>
      <c r="G67" s="924">
        <v>4.0999999999999996</v>
      </c>
      <c r="H67" s="812" t="s">
        <v>743</v>
      </c>
      <c r="I67" s="331">
        <f>I68+I84</f>
        <v>146.8593623926788</v>
      </c>
      <c r="J67" s="332">
        <f t="shared" si="139"/>
        <v>133.26093189379623</v>
      </c>
      <c r="K67" s="331">
        <f>K68+K84</f>
        <v>146.92088093265664</v>
      </c>
      <c r="L67" s="332">
        <f t="shared" ref="L67" si="168">L18/1000/24/L$3</f>
        <v>139.79950967396951</v>
      </c>
      <c r="M67" s="939">
        <f t="shared" si="141"/>
        <v>146.89062591299543</v>
      </c>
      <c r="N67" s="939">
        <f t="shared" si="141"/>
        <v>136.58381568372036</v>
      </c>
      <c r="O67" s="331">
        <f>O68+O84</f>
        <v>117.57111966913772</v>
      </c>
      <c r="P67" s="332">
        <f t="shared" si="142"/>
        <v>123.26212056388893</v>
      </c>
      <c r="Q67" s="1670">
        <f t="shared" si="142"/>
        <v>137.22485462381155</v>
      </c>
      <c r="R67" s="1670">
        <f t="shared" si="142"/>
        <v>132.19204806179792</v>
      </c>
      <c r="S67" s="331">
        <f>S68+S84</f>
        <v>94.652221744586143</v>
      </c>
      <c r="T67" s="332">
        <f t="shared" si="143"/>
        <v>140.59459784901426</v>
      </c>
      <c r="U67" s="939">
        <f t="shared" si="143"/>
        <v>126.40721840040182</v>
      </c>
      <c r="V67" s="939">
        <f t="shared" si="143"/>
        <v>134.32712218805781</v>
      </c>
      <c r="W67" s="331">
        <f>W68+W84</f>
        <v>141.58651752034359</v>
      </c>
      <c r="X67" s="332">
        <f t="shared" si="144"/>
        <v>140.41781985304661</v>
      </c>
      <c r="Y67" s="939">
        <f t="shared" si="144"/>
        <v>129.48276266653383</v>
      </c>
      <c r="Z67" s="939">
        <f t="shared" si="144"/>
        <v>135.5611851136438</v>
      </c>
      <c r="AA67" s="331">
        <f>AA68+AA84</f>
        <v>141.43739903306806</v>
      </c>
      <c r="AB67" s="332">
        <f t="shared" si="164"/>
        <v>140.11744305555555</v>
      </c>
      <c r="AC67" s="1670">
        <f t="shared" si="164"/>
        <v>125.72307487179199</v>
      </c>
      <c r="AD67" s="1670">
        <f t="shared" si="164"/>
        <v>140.37943739598427</v>
      </c>
      <c r="AE67" s="1669">
        <f t="shared" si="164"/>
        <v>131.44253912006403</v>
      </c>
      <c r="AF67" s="1669">
        <f t="shared" si="164"/>
        <v>136.3081126451047</v>
      </c>
      <c r="AG67" s="331">
        <f>AG68+AG84</f>
        <v>144.50092573283231</v>
      </c>
      <c r="AH67" s="332">
        <f t="shared" si="146"/>
        <v>137.8480154404119</v>
      </c>
      <c r="AI67" s="939">
        <f t="shared" si="146"/>
        <v>133.33417456396973</v>
      </c>
      <c r="AJ67" s="939">
        <f t="shared" si="146"/>
        <v>136.53118267620061</v>
      </c>
      <c r="AK67" s="331">
        <f>AK68+AK84</f>
        <v>144.58228539382998</v>
      </c>
      <c r="AL67" s="332">
        <f t="shared" si="147"/>
        <v>60.231103444444784</v>
      </c>
      <c r="AM67" s="939">
        <f t="shared" si="147"/>
        <v>134.71713901026402</v>
      </c>
      <c r="AN67" s="939">
        <f t="shared" si="147"/>
        <v>127.15002539360769</v>
      </c>
      <c r="AO67" s="331">
        <f>AO68+AO84</f>
        <v>144.50092573283231</v>
      </c>
      <c r="AP67" s="332">
        <f t="shared" si="165"/>
        <v>135.27624357526844</v>
      </c>
      <c r="AQ67" s="1670">
        <f t="shared" si="165"/>
        <v>144.52745605707062</v>
      </c>
      <c r="AR67" s="1670">
        <f t="shared" si="165"/>
        <v>111.67157753064602</v>
      </c>
      <c r="AS67" s="3046">
        <f t="shared" si="165"/>
        <v>135.82003860444442</v>
      </c>
      <c r="AT67" s="3046">
        <f t="shared" si="165"/>
        <v>128.06607180681308</v>
      </c>
      <c r="AU67" s="331">
        <f>AU68+AU84</f>
        <v>144.50092573283231</v>
      </c>
      <c r="AV67" s="332">
        <f t="shared" si="149"/>
        <v>135.95020609319027</v>
      </c>
      <c r="AW67" s="3046">
        <f t="shared" si="149"/>
        <v>136.69947488215692</v>
      </c>
      <c r="AX67" s="3046">
        <f t="shared" si="149"/>
        <v>128.86479129334148</v>
      </c>
      <c r="AY67" s="331">
        <f>AY68+AY84</f>
        <v>144.18234766276882</v>
      </c>
      <c r="AZ67" s="332">
        <f t="shared" si="150"/>
        <v>139.21227681485612</v>
      </c>
      <c r="BA67" s="3046">
        <f t="shared" si="150"/>
        <v>137.32678158232798</v>
      </c>
      <c r="BB67" s="3046">
        <f t="shared" si="150"/>
        <v>129.73224516939663</v>
      </c>
      <c r="BC67" s="331">
        <f>BC68+BC84</f>
        <v>145.21851871946947</v>
      </c>
      <c r="BD67" s="332">
        <f t="shared" si="166"/>
        <v>140.77598359428782</v>
      </c>
      <c r="BE67" s="1670">
        <f t="shared" si="166"/>
        <v>144.64898347309864</v>
      </c>
      <c r="BF67" s="1670">
        <f t="shared" si="166"/>
        <v>138.62728479030881</v>
      </c>
      <c r="BG67" s="1669">
        <f t="shared" si="166"/>
        <v>144.58755203202952</v>
      </c>
      <c r="BH67" s="1669">
        <f t="shared" si="166"/>
        <v>125.0013228788309</v>
      </c>
      <c r="BI67" s="3046">
        <f t="shared" si="166"/>
        <v>137.99703870904412</v>
      </c>
      <c r="BJ67" s="3046">
        <f t="shared" si="166"/>
        <v>130.67020651507232</v>
      </c>
      <c r="BK67" s="1222"/>
      <c r="BL67" s="1222"/>
      <c r="BM67" s="1222"/>
      <c r="BN67" s="1222"/>
    </row>
    <row r="68" spans="1:66" x14ac:dyDescent="0.25">
      <c r="A68" s="281"/>
      <c r="B68" s="22" t="s">
        <v>82</v>
      </c>
      <c r="C68" s="13" t="s">
        <v>381</v>
      </c>
      <c r="D68" s="315">
        <f t="shared" si="158"/>
        <v>1.3352222222222243</v>
      </c>
      <c r="E68" s="315">
        <f t="shared" si="158"/>
        <v>1.3534677419354828</v>
      </c>
      <c r="G68" s="925" t="s">
        <v>750</v>
      </c>
      <c r="H68" s="839" t="s">
        <v>722</v>
      </c>
      <c r="I68" s="333">
        <f>+SUM(I69:I82)</f>
        <v>144.33780905934546</v>
      </c>
      <c r="J68" s="334">
        <f t="shared" si="139"/>
        <v>131.23587909722215</v>
      </c>
      <c r="K68" s="333">
        <f>+SUM(K69:K82)</f>
        <v>144.3993275993233</v>
      </c>
      <c r="L68" s="334">
        <f t="shared" ref="L68" si="169">L19/1000/24/L$3</f>
        <v>137.53057478494623</v>
      </c>
      <c r="M68" s="940">
        <f t="shared" si="141"/>
        <v>144.36907257966206</v>
      </c>
      <c r="N68" s="940">
        <f t="shared" si="141"/>
        <v>134.434822807377</v>
      </c>
      <c r="O68" s="333">
        <f>+SUM(O69:O82)</f>
        <v>114.35186327552661</v>
      </c>
      <c r="P68" s="334">
        <f t="shared" si="142"/>
        <v>121.05123791666672</v>
      </c>
      <c r="Q68" s="941">
        <f t="shared" si="142"/>
        <v>134.47328929258444</v>
      </c>
      <c r="R68" s="941">
        <f t="shared" si="142"/>
        <v>130.02265196428573</v>
      </c>
      <c r="S68" s="333">
        <f>+SUM(S69:S82)</f>
        <v>91.453773744586144</v>
      </c>
      <c r="T68" s="334">
        <f t="shared" si="143"/>
        <v>138.36357752688164</v>
      </c>
      <c r="U68" s="940">
        <f t="shared" si="143"/>
        <v>123.54210091563407</v>
      </c>
      <c r="V68" s="940">
        <f t="shared" si="143"/>
        <v>132.14206747609288</v>
      </c>
      <c r="W68" s="333">
        <f>+SUM(W69:W82)</f>
        <v>138.38806952034358</v>
      </c>
      <c r="X68" s="334">
        <f t="shared" si="144"/>
        <v>138.13745790322585</v>
      </c>
      <c r="Y68" s="940">
        <f t="shared" si="144"/>
        <v>126.55010762639218</v>
      </c>
      <c r="Z68" s="940">
        <f t="shared" si="144"/>
        <v>133.35681978485837</v>
      </c>
      <c r="AA68" s="333">
        <f>+SUM(AA69:AA82)</f>
        <v>138.23895103306805</v>
      </c>
      <c r="AB68" s="334">
        <f t="shared" si="164"/>
        <v>137.77669583333332</v>
      </c>
      <c r="AC68" s="941">
        <f t="shared" si="164"/>
        <v>122.52462687179199</v>
      </c>
      <c r="AD68" s="941">
        <f t="shared" si="164"/>
        <v>138.09601057971011</v>
      </c>
      <c r="AE68" s="942">
        <f t="shared" si="164"/>
        <v>128.46631146355216</v>
      </c>
      <c r="AF68" s="942">
        <f t="shared" si="164"/>
        <v>134.08138962887068</v>
      </c>
      <c r="AG68" s="333">
        <f>+SUM(AG69:AG82)</f>
        <v>141.3024777328323</v>
      </c>
      <c r="AH68" s="334">
        <f t="shared" si="146"/>
        <v>135.59988279569865</v>
      </c>
      <c r="AI68" s="940">
        <f t="shared" si="146"/>
        <v>130.32575611003662</v>
      </c>
      <c r="AJ68" s="940">
        <f t="shared" si="146"/>
        <v>134.30135826518688</v>
      </c>
      <c r="AK68" s="333">
        <f>+SUM(AK69:AK82)</f>
        <v>141.38383739382996</v>
      </c>
      <c r="AL68" s="334">
        <f t="shared" si="147"/>
        <v>58.109603555555886</v>
      </c>
      <c r="AM68" s="940">
        <f t="shared" si="147"/>
        <v>131.68535626788005</v>
      </c>
      <c r="AN68" s="940">
        <f t="shared" si="147"/>
        <v>124.93351957137982</v>
      </c>
      <c r="AO68" s="333">
        <f>+SUM(AO69:AO82)</f>
        <v>141.3024777328323</v>
      </c>
      <c r="AP68" s="334">
        <f t="shared" si="165"/>
        <v>133.29877688172004</v>
      </c>
      <c r="AQ68" s="941">
        <f t="shared" si="165"/>
        <v>141.32900805707061</v>
      </c>
      <c r="AR68" s="941">
        <f t="shared" si="165"/>
        <v>109.55594083333324</v>
      </c>
      <c r="AS68" s="940">
        <f t="shared" si="165"/>
        <v>132.76946814211104</v>
      </c>
      <c r="AT68" s="940">
        <f t="shared" si="165"/>
        <v>125.87651221363633</v>
      </c>
      <c r="AU68" s="333">
        <f>+SUM(AU69:AU82)</f>
        <v>141.3024777328323</v>
      </c>
      <c r="AV68" s="334">
        <f t="shared" si="149"/>
        <v>133.99202553763473</v>
      </c>
      <c r="AW68" s="940">
        <f t="shared" si="149"/>
        <v>133.63392336208608</v>
      </c>
      <c r="AX68" s="940">
        <f t="shared" si="149"/>
        <v>126.6986720601852</v>
      </c>
      <c r="AY68" s="333">
        <f>+SUM(AY69:AY82)</f>
        <v>140.98389966276881</v>
      </c>
      <c r="AZ68" s="334">
        <f t="shared" si="150"/>
        <v>137.16587290178566</v>
      </c>
      <c r="BA68" s="940">
        <f t="shared" si="150"/>
        <v>134.25008903998761</v>
      </c>
      <c r="BB68" s="940">
        <f t="shared" si="150"/>
        <v>127.57616195109782</v>
      </c>
      <c r="BC68" s="333">
        <f>+SUM(BC69:BC82)</f>
        <v>142.02007071946946</v>
      </c>
      <c r="BD68" s="334">
        <f t="shared" si="166"/>
        <v>138.70134030913994</v>
      </c>
      <c r="BE68" s="941">
        <f t="shared" si="166"/>
        <v>141.45053547309863</v>
      </c>
      <c r="BF68" s="941">
        <f t="shared" si="166"/>
        <v>136.60154202777792</v>
      </c>
      <c r="BG68" s="942">
        <f t="shared" si="166"/>
        <v>141.38910403202954</v>
      </c>
      <c r="BH68" s="942">
        <f t="shared" si="166"/>
        <v>122.93013922619051</v>
      </c>
      <c r="BI68" s="940">
        <f t="shared" si="166"/>
        <v>134.91000529221756</v>
      </c>
      <c r="BJ68" s="940">
        <f t="shared" si="166"/>
        <v>128.5210401130137</v>
      </c>
      <c r="BK68" s="1222"/>
      <c r="BL68" s="1222"/>
      <c r="BM68" s="1222"/>
      <c r="BN68" s="1222"/>
    </row>
    <row r="69" spans="1:66" x14ac:dyDescent="0.25">
      <c r="A69" s="281"/>
      <c r="B69" s="22" t="s">
        <v>488</v>
      </c>
      <c r="C69" s="13" t="s">
        <v>381</v>
      </c>
      <c r="D69" s="315">
        <f t="shared" si="158"/>
        <v>5.1045138888889019</v>
      </c>
      <c r="E69" s="315">
        <f t="shared" si="158"/>
        <v>5.8832526881720257</v>
      </c>
      <c r="G69" s="914" t="s">
        <v>751</v>
      </c>
      <c r="H69" s="271" t="s">
        <v>723</v>
      </c>
      <c r="I69" s="329">
        <v>7.3162083750000004</v>
      </c>
      <c r="J69" s="330">
        <f t="shared" si="139"/>
        <v>7.1035774305555544</v>
      </c>
      <c r="K69" s="329">
        <v>7.3162083750000004</v>
      </c>
      <c r="L69" s="330">
        <f t="shared" ref="L69" si="170">L20/1000/24/L$3</f>
        <v>7.0301409139785012</v>
      </c>
      <c r="M69" s="936">
        <f t="shared" si="141"/>
        <v>7.3162083750000004</v>
      </c>
      <c r="N69" s="936">
        <f t="shared" si="141"/>
        <v>7.0662572336065601</v>
      </c>
      <c r="O69" s="329">
        <v>6.4909167268055556</v>
      </c>
      <c r="P69" s="330">
        <f t="shared" si="142"/>
        <v>6.7872916666666816</v>
      </c>
      <c r="Q69" s="937">
        <f t="shared" si="142"/>
        <v>7.0441342052655687</v>
      </c>
      <c r="R69" s="937">
        <f t="shared" si="142"/>
        <v>6.9742905631868206</v>
      </c>
      <c r="S69" s="329">
        <v>6.3596098306451605</v>
      </c>
      <c r="T69" s="330">
        <f t="shared" si="143"/>
        <v>6.9977150537634349</v>
      </c>
      <c r="U69" s="936">
        <f t="shared" si="143"/>
        <v>6.8701976838456291</v>
      </c>
      <c r="V69" s="936">
        <f t="shared" si="143"/>
        <v>6.9802426878415345</v>
      </c>
      <c r="W69" s="329">
        <v>6.6932930624999996</v>
      </c>
      <c r="X69" s="330">
        <f t="shared" si="144"/>
        <v>6.8955376344086119</v>
      </c>
      <c r="Y69" s="936">
        <f t="shared" si="144"/>
        <v>6.834354263834423</v>
      </c>
      <c r="Z69" s="936">
        <f t="shared" si="144"/>
        <v>6.9630802260348634</v>
      </c>
      <c r="AA69" s="329">
        <v>6.6932930625000004</v>
      </c>
      <c r="AB69" s="330">
        <f t="shared" si="164"/>
        <v>6.6150555555555561</v>
      </c>
      <c r="AC69" s="937">
        <f t="shared" si="164"/>
        <v>6.5808563213315221</v>
      </c>
      <c r="AD69" s="937">
        <f t="shared" si="164"/>
        <v>6.8385054347826104</v>
      </c>
      <c r="AE69" s="938">
        <f t="shared" si="164"/>
        <v>6.8112294767304196</v>
      </c>
      <c r="AF69" s="938">
        <f t="shared" si="164"/>
        <v>6.906027001366124</v>
      </c>
      <c r="AG69" s="329">
        <v>6.6932930624999996</v>
      </c>
      <c r="AH69" s="330">
        <f t="shared" si="146"/>
        <v>6.7215591397849161</v>
      </c>
      <c r="AI69" s="936">
        <f t="shared" si="146"/>
        <v>6.7941452298091889</v>
      </c>
      <c r="AJ69" s="936">
        <f t="shared" si="146"/>
        <v>6.8793050214174443</v>
      </c>
      <c r="AK69" s="329">
        <v>6.6932930625000004</v>
      </c>
      <c r="AL69" s="330">
        <f t="shared" si="147"/>
        <v>6.2268472222222435</v>
      </c>
      <c r="AM69" s="936">
        <f t="shared" si="147"/>
        <v>6.7817453731728143</v>
      </c>
      <c r="AN69" s="936">
        <f t="shared" si="147"/>
        <v>6.7990848002049207</v>
      </c>
      <c r="AO69" s="329">
        <v>6.6932930624999996</v>
      </c>
      <c r="AP69" s="330">
        <f t="shared" si="165"/>
        <v>6.544126344086</v>
      </c>
      <c r="AQ69" s="937">
        <f t="shared" si="165"/>
        <v>6.6932930624999987</v>
      </c>
      <c r="AR69" s="937">
        <f t="shared" si="165"/>
        <v>6.500452898550714</v>
      </c>
      <c r="AS69" s="936">
        <f t="shared" si="165"/>
        <v>6.7717743854242434</v>
      </c>
      <c r="AT69" s="936">
        <f t="shared" si="165"/>
        <v>6.7703440287878776</v>
      </c>
      <c r="AU69" s="329">
        <v>6.6932930624999996</v>
      </c>
      <c r="AV69" s="330">
        <f t="shared" si="149"/>
        <v>6.7925672043010925</v>
      </c>
      <c r="AW69" s="936">
        <f t="shared" si="149"/>
        <v>6.7638236631672113</v>
      </c>
      <c r="AX69" s="936">
        <f t="shared" si="149"/>
        <v>6.7725953962418313</v>
      </c>
      <c r="AY69" s="329">
        <v>6.6932930624999996</v>
      </c>
      <c r="AZ69" s="330">
        <f t="shared" si="150"/>
        <v>7.1898949255952207</v>
      </c>
      <c r="BA69" s="936">
        <f t="shared" si="150"/>
        <v>6.7579109182010981</v>
      </c>
      <c r="BB69" s="936">
        <f t="shared" si="150"/>
        <v>6.8075785903193609</v>
      </c>
      <c r="BC69" s="329">
        <v>6.6932930624999996</v>
      </c>
      <c r="BD69" s="330">
        <f t="shared" si="166"/>
        <v>7.0730585887096824</v>
      </c>
      <c r="BE69" s="937">
        <f t="shared" si="166"/>
        <v>6.6932930625000004</v>
      </c>
      <c r="BF69" s="937">
        <f t="shared" si="166"/>
        <v>7.0127939722222248</v>
      </c>
      <c r="BG69" s="938">
        <f t="shared" si="166"/>
        <v>6.6932930624999996</v>
      </c>
      <c r="BH69" s="938">
        <f t="shared" si="166"/>
        <v>6.7538083745421202</v>
      </c>
      <c r="BI69" s="936">
        <f t="shared" si="166"/>
        <v>6.7524228263470318</v>
      </c>
      <c r="BJ69" s="936">
        <f t="shared" si="166"/>
        <v>6.8301262066210047</v>
      </c>
      <c r="BK69" s="1222"/>
      <c r="BL69" s="1222"/>
      <c r="BM69" s="1222"/>
      <c r="BN69" s="1222"/>
    </row>
    <row r="70" spans="1:66" x14ac:dyDescent="0.25">
      <c r="A70" s="281"/>
      <c r="B70" s="22" t="s">
        <v>489</v>
      </c>
      <c r="C70" s="13" t="s">
        <v>381</v>
      </c>
      <c r="D70" s="315">
        <f t="shared" si="158"/>
        <v>2.9443194444444436</v>
      </c>
      <c r="E70" s="315">
        <f t="shared" si="158"/>
        <v>6.5376075268817191</v>
      </c>
      <c r="G70" s="914" t="s">
        <v>752</v>
      </c>
      <c r="H70" s="271" t="s">
        <v>634</v>
      </c>
      <c r="I70" s="329">
        <v>2.9</v>
      </c>
      <c r="J70" s="330">
        <f t="shared" si="139"/>
        <v>2.6860277777777863</v>
      </c>
      <c r="K70" s="329">
        <v>2.9</v>
      </c>
      <c r="L70" s="330">
        <f t="shared" ref="L70" si="171">L21/1000/24/L$3</f>
        <v>2.762379032258059</v>
      </c>
      <c r="M70" s="936">
        <f t="shared" si="141"/>
        <v>2.9</v>
      </c>
      <c r="N70" s="936">
        <f t="shared" si="141"/>
        <v>2.7248292349726793</v>
      </c>
      <c r="O70" s="329">
        <v>2.9</v>
      </c>
      <c r="P70" s="330">
        <f t="shared" si="142"/>
        <v>2.1802638888888901</v>
      </c>
      <c r="Q70" s="937">
        <f t="shared" si="142"/>
        <v>2.9000000000000004</v>
      </c>
      <c r="R70" s="937">
        <f t="shared" si="142"/>
        <v>2.5453021978021995</v>
      </c>
      <c r="S70" s="329">
        <v>2.9</v>
      </c>
      <c r="T70" s="330">
        <f t="shared" si="143"/>
        <v>2.8642876344085981</v>
      </c>
      <c r="U70" s="936">
        <f t="shared" si="143"/>
        <v>2.9</v>
      </c>
      <c r="V70" s="936">
        <f t="shared" si="143"/>
        <v>2.62635587431694</v>
      </c>
      <c r="W70" s="329">
        <v>2.9</v>
      </c>
      <c r="X70" s="330">
        <f t="shared" si="144"/>
        <v>2.934504032258066</v>
      </c>
      <c r="Y70" s="936">
        <f t="shared" si="144"/>
        <v>2.9</v>
      </c>
      <c r="Z70" s="936">
        <f t="shared" si="144"/>
        <v>2.6887911220043574</v>
      </c>
      <c r="AA70" s="329">
        <v>2.9</v>
      </c>
      <c r="AB70" s="330">
        <f t="shared" si="164"/>
        <v>2.9870416666666668</v>
      </c>
      <c r="AC70" s="937">
        <f t="shared" si="164"/>
        <v>2.9</v>
      </c>
      <c r="AD70" s="937">
        <f t="shared" si="164"/>
        <v>2.9279759963768108</v>
      </c>
      <c r="AE70" s="938">
        <f t="shared" si="164"/>
        <v>2.8999999999999995</v>
      </c>
      <c r="AF70" s="938">
        <f t="shared" si="164"/>
        <v>2.7376846539162112</v>
      </c>
      <c r="AG70" s="329">
        <v>2.9</v>
      </c>
      <c r="AH70" s="330">
        <f t="shared" si="146"/>
        <v>2.9726747311827921</v>
      </c>
      <c r="AI70" s="936">
        <f t="shared" si="146"/>
        <v>2.9</v>
      </c>
      <c r="AJ70" s="936">
        <f t="shared" si="146"/>
        <v>2.7717252725856691</v>
      </c>
      <c r="AK70" s="329">
        <v>2.9</v>
      </c>
      <c r="AL70" s="330">
        <f t="shared" si="147"/>
        <v>1.0187638888888899</v>
      </c>
      <c r="AM70" s="936">
        <f t="shared" si="147"/>
        <v>2.9</v>
      </c>
      <c r="AN70" s="936">
        <f t="shared" si="147"/>
        <v>2.5561972336065568</v>
      </c>
      <c r="AO70" s="329">
        <v>2.9</v>
      </c>
      <c r="AP70" s="330">
        <f t="shared" si="165"/>
        <v>2.721626344086022</v>
      </c>
      <c r="AQ70" s="937">
        <f t="shared" si="165"/>
        <v>2.9</v>
      </c>
      <c r="AR70" s="937">
        <f t="shared" si="165"/>
        <v>2.2509374999999991</v>
      </c>
      <c r="AS70" s="936">
        <f t="shared" si="165"/>
        <v>2.9</v>
      </c>
      <c r="AT70" s="936">
        <f t="shared" si="165"/>
        <v>2.5748456060606055</v>
      </c>
      <c r="AU70" s="329">
        <v>2.9</v>
      </c>
      <c r="AV70" s="330">
        <f t="shared" si="149"/>
        <v>2.8106451612903265</v>
      </c>
      <c r="AW70" s="936">
        <f t="shared" si="149"/>
        <v>2.9</v>
      </c>
      <c r="AX70" s="936">
        <f t="shared" si="149"/>
        <v>2.5987337962962962</v>
      </c>
      <c r="AY70" s="329">
        <v>2.9</v>
      </c>
      <c r="AZ70" s="330">
        <f t="shared" si="150"/>
        <v>2.6406696428571386</v>
      </c>
      <c r="BA70" s="936">
        <f t="shared" si="150"/>
        <v>2.9</v>
      </c>
      <c r="BB70" s="936">
        <f t="shared" si="150"/>
        <v>2.6022493762475047</v>
      </c>
      <c r="BC70" s="329">
        <v>2.9</v>
      </c>
      <c r="BD70" s="330">
        <f t="shared" si="166"/>
        <v>2.9049059139784918</v>
      </c>
      <c r="BE70" s="937">
        <f t="shared" si="166"/>
        <v>2.9</v>
      </c>
      <c r="BF70" s="937">
        <f t="shared" si="166"/>
        <v>2.7902314814814804</v>
      </c>
      <c r="BG70" s="938">
        <f t="shared" si="166"/>
        <v>2.9000000000000004</v>
      </c>
      <c r="BH70" s="938">
        <f t="shared" si="166"/>
        <v>2.5176213369963363</v>
      </c>
      <c r="BI70" s="936">
        <f t="shared" si="166"/>
        <v>2.9</v>
      </c>
      <c r="BJ70" s="936">
        <f t="shared" si="166"/>
        <v>2.6279544520547939</v>
      </c>
      <c r="BK70" s="1222"/>
      <c r="BL70" s="1222"/>
      <c r="BM70" s="1222"/>
      <c r="BN70" s="1222"/>
    </row>
    <row r="71" spans="1:66" x14ac:dyDescent="0.25">
      <c r="A71" s="281"/>
      <c r="B71" s="22" t="s">
        <v>490</v>
      </c>
      <c r="C71" s="13" t="s">
        <v>381</v>
      </c>
      <c r="D71" s="315">
        <f t="shared" si="158"/>
        <v>0.58881527777777698</v>
      </c>
      <c r="E71" s="315">
        <f t="shared" si="158"/>
        <v>0.73001344086021558</v>
      </c>
      <c r="G71" s="914" t="s">
        <v>753</v>
      </c>
      <c r="H71" s="271" t="s">
        <v>487</v>
      </c>
      <c r="I71" s="329">
        <v>15.992662885530034</v>
      </c>
      <c r="J71" s="330">
        <f t="shared" si="139"/>
        <v>13.449930555555529</v>
      </c>
      <c r="K71" s="329">
        <v>15.941694790989782</v>
      </c>
      <c r="L71" s="330">
        <f t="shared" ref="L71" si="172">L22/1000/24/L$3</f>
        <v>14.965631720430096</v>
      </c>
      <c r="M71" s="936">
        <f t="shared" si="141"/>
        <v>15.966761066993184</v>
      </c>
      <c r="N71" s="936">
        <f t="shared" si="141"/>
        <v>14.220204918032769</v>
      </c>
      <c r="O71" s="329">
        <v>12.308475537210763</v>
      </c>
      <c r="P71" s="330">
        <f t="shared" si="142"/>
        <v>12.708180555555538</v>
      </c>
      <c r="Q71" s="937">
        <f t="shared" si="142"/>
        <v>14.760732870361618</v>
      </c>
      <c r="R71" s="937">
        <f t="shared" si="142"/>
        <v>13.721735347985328</v>
      </c>
      <c r="S71" s="329">
        <v>7.1661187181802459</v>
      </c>
      <c r="T71" s="330">
        <f t="shared" si="143"/>
        <v>16.6516801075269</v>
      </c>
      <c r="U71" s="936">
        <f t="shared" si="143"/>
        <v>12.830953864479465</v>
      </c>
      <c r="V71" s="936">
        <f t="shared" si="143"/>
        <v>14.466229508196713</v>
      </c>
      <c r="W71" s="329">
        <v>16.212656174045787</v>
      </c>
      <c r="X71" s="330">
        <f t="shared" si="144"/>
        <v>15.686653225806454</v>
      </c>
      <c r="Y71" s="936">
        <f t="shared" si="144"/>
        <v>13.516135378182444</v>
      </c>
      <c r="Z71" s="936">
        <f t="shared" si="144"/>
        <v>14.713504901960777</v>
      </c>
      <c r="AA71" s="329">
        <v>16.040492111630179</v>
      </c>
      <c r="AB71" s="330">
        <f t="shared" si="164"/>
        <v>15.814129166666667</v>
      </c>
      <c r="AC71" s="937">
        <f t="shared" si="164"/>
        <v>13.108225923999045</v>
      </c>
      <c r="AD71" s="937">
        <f t="shared" si="164"/>
        <v>16.053393568840587</v>
      </c>
      <c r="AE71" s="938">
        <f t="shared" si="164"/>
        <v>13.929964350878796</v>
      </c>
      <c r="AF71" s="938">
        <f t="shared" si="164"/>
        <v>14.893935109289611</v>
      </c>
      <c r="AG71" s="329">
        <v>16.701711740437478</v>
      </c>
      <c r="AH71" s="330">
        <f t="shared" si="146"/>
        <v>15.500842741935436</v>
      </c>
      <c r="AI71" s="936">
        <f t="shared" si="146"/>
        <v>14.331479159646642</v>
      </c>
      <c r="AJ71" s="936">
        <f t="shared" si="146"/>
        <v>14.981851635514007</v>
      </c>
      <c r="AK71" s="329">
        <v>16.802766196901594</v>
      </c>
      <c r="AL71" s="330">
        <f t="shared" si="147"/>
        <v>2.1857361111111624</v>
      </c>
      <c r="AM71" s="936">
        <f t="shared" si="147"/>
        <v>14.635325926522253</v>
      </c>
      <c r="AN71" s="936">
        <f t="shared" si="147"/>
        <v>13.408558743169394</v>
      </c>
      <c r="AO71" s="329">
        <v>16.701711740437478</v>
      </c>
      <c r="AP71" s="330">
        <f t="shared" si="165"/>
        <v>15.406760752688117</v>
      </c>
      <c r="AQ71" s="937">
        <f t="shared" si="165"/>
        <v>16.73466428058882</v>
      </c>
      <c r="AR71" s="937">
        <f t="shared" si="165"/>
        <v>11.127258605072445</v>
      </c>
      <c r="AS71" s="936">
        <f t="shared" si="165"/>
        <v>14.868263963727241</v>
      </c>
      <c r="AT71" s="936">
        <f t="shared" si="165"/>
        <v>13.633810606060594</v>
      </c>
      <c r="AU71" s="329">
        <v>16.701711740437478</v>
      </c>
      <c r="AV71" s="330">
        <f t="shared" si="149"/>
        <v>15.195013440860267</v>
      </c>
      <c r="AW71" s="936">
        <f t="shared" si="149"/>
        <v>15.054005405158668</v>
      </c>
      <c r="AX71" s="936">
        <f t="shared" si="149"/>
        <v>13.791971677559909</v>
      </c>
      <c r="AY71" s="329">
        <v>16.77052110326925</v>
      </c>
      <c r="AZ71" s="330">
        <f t="shared" si="150"/>
        <v>15.689747023809478</v>
      </c>
      <c r="BA71" s="936">
        <f t="shared" si="150"/>
        <v>15.197904924760754</v>
      </c>
      <c r="BB71" s="936">
        <f t="shared" si="150"/>
        <v>13.951066616766459</v>
      </c>
      <c r="BC71" s="329">
        <v>16.701711740437478</v>
      </c>
      <c r="BD71" s="330">
        <f t="shared" si="166"/>
        <v>16.118346774193565</v>
      </c>
      <c r="BE71" s="937">
        <f t="shared" si="166"/>
        <v>16.723119097762918</v>
      </c>
      <c r="BF71" s="937">
        <f t="shared" si="166"/>
        <v>15.666967592592604</v>
      </c>
      <c r="BG71" s="938">
        <f t="shared" si="166"/>
        <v>16.728955124246337</v>
      </c>
      <c r="BH71" s="938">
        <f t="shared" si="166"/>
        <v>13.372169642857141</v>
      </c>
      <c r="BI71" s="936">
        <f t="shared" si="166"/>
        <v>15.325625503626448</v>
      </c>
      <c r="BJ71" s="936">
        <f t="shared" si="166"/>
        <v>14.135136986301365</v>
      </c>
      <c r="BK71" s="1222"/>
      <c r="BL71" s="1222"/>
      <c r="BM71" s="1222"/>
      <c r="BN71" s="1222"/>
    </row>
    <row r="72" spans="1:66" x14ac:dyDescent="0.25">
      <c r="A72" s="281"/>
      <c r="B72" s="22" t="s">
        <v>758</v>
      </c>
      <c r="C72" s="13" t="s">
        <v>381</v>
      </c>
      <c r="D72" s="315">
        <f t="shared" si="158"/>
        <v>0.52588749999999995</v>
      </c>
      <c r="E72" s="315">
        <f t="shared" si="158"/>
        <v>0.51527553763440859</v>
      </c>
      <c r="G72" s="914" t="s">
        <v>754</v>
      </c>
      <c r="H72" s="271" t="s">
        <v>724</v>
      </c>
      <c r="I72" s="329">
        <v>16.451903063243073</v>
      </c>
      <c r="J72" s="330">
        <f t="shared" si="139"/>
        <v>14.207894444444459</v>
      </c>
      <c r="K72" s="329">
        <v>16.426631322746537</v>
      </c>
      <c r="L72" s="330">
        <f t="shared" ref="L72" si="173">L23/1000/24/L$3</f>
        <v>16.34689247311827</v>
      </c>
      <c r="M72" s="936">
        <f t="shared" si="141"/>
        <v>16.439060047580902</v>
      </c>
      <c r="N72" s="936">
        <f t="shared" si="141"/>
        <v>15.294926229508196</v>
      </c>
      <c r="O72" s="329">
        <v>11.705027777777778</v>
      </c>
      <c r="P72" s="330">
        <f t="shared" si="142"/>
        <v>14.494950000000015</v>
      </c>
      <c r="Q72" s="937">
        <f t="shared" si="142"/>
        <v>14.878390068524926</v>
      </c>
      <c r="R72" s="937">
        <f t="shared" si="142"/>
        <v>15.031197802197809</v>
      </c>
      <c r="S72" s="329">
        <v>8.0125268817204294</v>
      </c>
      <c r="T72" s="330">
        <f t="shared" si="143"/>
        <v>15.010345430107522</v>
      </c>
      <c r="U72" s="936">
        <f t="shared" si="143"/>
        <v>13.133785488271323</v>
      </c>
      <c r="V72" s="936">
        <f t="shared" si="143"/>
        <v>15.025899248633882</v>
      </c>
      <c r="W72" s="329">
        <v>15.283870967741937</v>
      </c>
      <c r="X72" s="330">
        <f t="shared" si="144"/>
        <v>16.375224462365583</v>
      </c>
      <c r="Y72" s="936">
        <f t="shared" si="144"/>
        <v>13.569423722673868</v>
      </c>
      <c r="Z72" s="936">
        <f t="shared" si="144"/>
        <v>15.29929193899782</v>
      </c>
      <c r="AA72" s="329">
        <v>15.266888888888889</v>
      </c>
      <c r="AB72" s="330">
        <f t="shared" si="164"/>
        <v>16.354341666666667</v>
      </c>
      <c r="AC72" s="937">
        <f t="shared" si="164"/>
        <v>12.82820652173913</v>
      </c>
      <c r="AD72" s="937">
        <f t="shared" si="164"/>
        <v>15.908509963768111</v>
      </c>
      <c r="AE72" s="938">
        <f t="shared" si="164"/>
        <v>13.847696700741903</v>
      </c>
      <c r="AF72" s="938">
        <f t="shared" si="164"/>
        <v>15.472250910746812</v>
      </c>
      <c r="AG72" s="329">
        <v>15.920698924731184</v>
      </c>
      <c r="AH72" s="330">
        <f t="shared" si="146"/>
        <v>15.229465053763468</v>
      </c>
      <c r="AI72" s="936">
        <f t="shared" si="146"/>
        <v>14.147991415431939</v>
      </c>
      <c r="AJ72" s="936">
        <f t="shared" si="146"/>
        <v>15.437080996884736</v>
      </c>
      <c r="AK72" s="329">
        <v>15.924944444444444</v>
      </c>
      <c r="AL72" s="330">
        <f t="shared" si="147"/>
        <v>4.1936388888888905</v>
      </c>
      <c r="AM72" s="936">
        <f t="shared" si="147"/>
        <v>14.366469246867902</v>
      </c>
      <c r="AN72" s="936">
        <f t="shared" si="147"/>
        <v>14.054690573770495</v>
      </c>
      <c r="AO72" s="329">
        <v>15.920698924731184</v>
      </c>
      <c r="AP72" s="330">
        <f t="shared" si="165"/>
        <v>16.053806451612878</v>
      </c>
      <c r="AQ72" s="937">
        <f t="shared" si="165"/>
        <v>15.922083333333333</v>
      </c>
      <c r="AR72" s="937">
        <f t="shared" si="165"/>
        <v>11.908593297101449</v>
      </c>
      <c r="AS72" s="936">
        <f t="shared" si="165"/>
        <v>14.541673319645216</v>
      </c>
      <c r="AT72" s="936">
        <f t="shared" si="165"/>
        <v>14.280045454545455</v>
      </c>
      <c r="AU72" s="329">
        <v>15.920698924731184</v>
      </c>
      <c r="AV72" s="330">
        <f t="shared" si="149"/>
        <v>14.923026881720489</v>
      </c>
      <c r="AW72" s="936">
        <f t="shared" si="149"/>
        <v>14.6813785280036</v>
      </c>
      <c r="AX72" s="936">
        <f t="shared" si="149"/>
        <v>14.345184095860573</v>
      </c>
      <c r="AY72" s="329">
        <v>15.863839285714286</v>
      </c>
      <c r="AZ72" s="330">
        <f t="shared" si="150"/>
        <v>16.94192857142853</v>
      </c>
      <c r="BA72" s="936">
        <f t="shared" si="150"/>
        <v>14.78050697475779</v>
      </c>
      <c r="BB72" s="936">
        <f t="shared" si="150"/>
        <v>14.562875249501001</v>
      </c>
      <c r="BC72" s="329">
        <v>15.920698924731184</v>
      </c>
      <c r="BD72" s="330">
        <f t="shared" si="166"/>
        <v>16.529024193548402</v>
      </c>
      <c r="BE72" s="937">
        <f t="shared" si="166"/>
        <v>15.903009259259258</v>
      </c>
      <c r="BF72" s="937">
        <f t="shared" si="166"/>
        <v>16.104306481481498</v>
      </c>
      <c r="BG72" s="938">
        <f t="shared" si="166"/>
        <v>15.912651098901101</v>
      </c>
      <c r="BH72" s="938">
        <f t="shared" si="166"/>
        <v>13.983396520146528</v>
      </c>
      <c r="BI72" s="936">
        <f t="shared" si="166"/>
        <v>14.877345195166487</v>
      </c>
      <c r="BJ72" s="936">
        <f t="shared" si="166"/>
        <v>14.729863242009136</v>
      </c>
      <c r="BK72" s="1222"/>
      <c r="BL72" s="1222"/>
      <c r="BM72" s="1222"/>
      <c r="BN72" s="1222"/>
    </row>
    <row r="73" spans="1:66" x14ac:dyDescent="0.25">
      <c r="A73" s="281"/>
      <c r="B73" s="22" t="s">
        <v>760</v>
      </c>
      <c r="C73" s="13" t="s">
        <v>381</v>
      </c>
      <c r="D73" s="315">
        <f t="shared" si="158"/>
        <v>7.5123108333333333</v>
      </c>
      <c r="E73" s="315">
        <f t="shared" si="158"/>
        <v>7.5122983870967737</v>
      </c>
      <c r="G73" s="914" t="s">
        <v>755</v>
      </c>
      <c r="H73" s="271" t="s">
        <v>725</v>
      </c>
      <c r="I73" s="329">
        <v>29.968130311614729</v>
      </c>
      <c r="J73" s="330">
        <f t="shared" si="139"/>
        <v>26.572722222222232</v>
      </c>
      <c r="K73" s="329">
        <v>29.92539624518972</v>
      </c>
      <c r="L73" s="330">
        <f t="shared" ref="L73" si="174">L24/1000/24/L$3</f>
        <v>28.031344086021509</v>
      </c>
      <c r="M73" s="936">
        <f t="shared" si="141"/>
        <v>29.946412999169226</v>
      </c>
      <c r="N73" s="936">
        <f t="shared" si="141"/>
        <v>27.313989071038261</v>
      </c>
      <c r="O73" s="329">
        <v>19.23178459119497</v>
      </c>
      <c r="P73" s="330">
        <f t="shared" si="142"/>
        <v>21.542819444444479</v>
      </c>
      <c r="Q73" s="937">
        <f t="shared" si="142"/>
        <v>26.414117919617272</v>
      </c>
      <c r="R73" s="937">
        <f t="shared" si="142"/>
        <v>25.411405677655694</v>
      </c>
      <c r="S73" s="329">
        <v>10.336081101643334</v>
      </c>
      <c r="T73" s="330">
        <f t="shared" si="143"/>
        <v>28.348897849462354</v>
      </c>
      <c r="U73" s="936">
        <f t="shared" si="143"/>
        <v>22.328715121607502</v>
      </c>
      <c r="V73" s="936">
        <f t="shared" si="143"/>
        <v>26.15781762295083</v>
      </c>
      <c r="W73" s="329">
        <v>28.527492645567051</v>
      </c>
      <c r="X73" s="330">
        <f t="shared" si="144"/>
        <v>27.688884408602135</v>
      </c>
      <c r="Y73" s="936">
        <f t="shared" si="144"/>
        <v>23.584676580710415</v>
      </c>
      <c r="Z73" s="936">
        <f t="shared" si="144"/>
        <v>26.468033769063183</v>
      </c>
      <c r="AA73" s="329">
        <v>28.494237159329142</v>
      </c>
      <c r="AB73" s="330">
        <f t="shared" si="164"/>
        <v>28.02697222222222</v>
      </c>
      <c r="AC73" s="937">
        <f t="shared" si="164"/>
        <v>22.386933705906475</v>
      </c>
      <c r="AD73" s="937">
        <f t="shared" si="164"/>
        <v>28.021526268115934</v>
      </c>
      <c r="AE73" s="938">
        <f t="shared" si="164"/>
        <v>24.389522577205291</v>
      </c>
      <c r="AF73" s="938">
        <f t="shared" si="164"/>
        <v>26.723597449908929</v>
      </c>
      <c r="AG73" s="329">
        <v>29.718023179143845</v>
      </c>
      <c r="AH73" s="330">
        <f t="shared" si="146"/>
        <v>27.687930107526871</v>
      </c>
      <c r="AI73" s="936">
        <f t="shared" si="146"/>
        <v>25.161408178420686</v>
      </c>
      <c r="AJ73" s="936">
        <f t="shared" si="146"/>
        <v>26.863290498442375</v>
      </c>
      <c r="AK73" s="329">
        <v>29.724452044025156</v>
      </c>
      <c r="AL73" s="330">
        <f t="shared" si="147"/>
        <v>3.8380138888888928</v>
      </c>
      <c r="AM73" s="936">
        <f t="shared" si="147"/>
        <v>25.722438161896651</v>
      </c>
      <c r="AN73" s="936">
        <f t="shared" si="147"/>
        <v>24.032313866120226</v>
      </c>
      <c r="AO73" s="329">
        <v>29.718023179143845</v>
      </c>
      <c r="AP73" s="330">
        <f t="shared" si="165"/>
        <v>26.872934139784935</v>
      </c>
      <c r="AQ73" s="937">
        <f t="shared" si="165"/>
        <v>29.720119548126881</v>
      </c>
      <c r="AR73" s="937">
        <f t="shared" si="165"/>
        <v>19.636165307971009</v>
      </c>
      <c r="AS73" s="936">
        <f t="shared" si="165"/>
        <v>26.172849563840877</v>
      </c>
      <c r="AT73" s="936">
        <f t="shared" si="165"/>
        <v>24.352529242424247</v>
      </c>
      <c r="AU73" s="329">
        <v>29.718023179143845</v>
      </c>
      <c r="AV73" s="330">
        <f t="shared" si="149"/>
        <v>27.422146505376343</v>
      </c>
      <c r="AW73" s="936">
        <f t="shared" si="149"/>
        <v>26.532001139247384</v>
      </c>
      <c r="AX73" s="936">
        <f t="shared" si="149"/>
        <v>24.663503540305015</v>
      </c>
      <c r="AY73" s="329">
        <v>29.606878650044923</v>
      </c>
      <c r="AZ73" s="330">
        <f t="shared" si="150"/>
        <v>27.220625000000023</v>
      </c>
      <c r="BA73" s="936">
        <f t="shared" si="150"/>
        <v>26.789775301829213</v>
      </c>
      <c r="BB73" s="936">
        <f t="shared" si="150"/>
        <v>24.877873003992022</v>
      </c>
      <c r="BC73" s="329">
        <v>29.718023179143845</v>
      </c>
      <c r="BD73" s="330">
        <f t="shared" si="166"/>
        <v>26.802419354838694</v>
      </c>
      <c r="BE73" s="937">
        <f t="shared" si="166"/>
        <v>29.683444881201957</v>
      </c>
      <c r="BF73" s="937">
        <f t="shared" si="166"/>
        <v>27.145989351851853</v>
      </c>
      <c r="BG73" s="938">
        <f t="shared" si="166"/>
        <v>29.701983723823346</v>
      </c>
      <c r="BH73" s="938">
        <f t="shared" si="166"/>
        <v>23.349814560439558</v>
      </c>
      <c r="BI73" s="936">
        <f t="shared" si="166"/>
        <v>27.038475806477855</v>
      </c>
      <c r="BJ73" s="936">
        <f t="shared" si="166"/>
        <v>25.04132762557078</v>
      </c>
      <c r="BK73" s="1222"/>
      <c r="BL73" s="1222"/>
      <c r="BM73" s="1222"/>
      <c r="BN73" s="1222"/>
    </row>
    <row r="74" spans="1:66" x14ac:dyDescent="0.25">
      <c r="A74" s="281"/>
      <c r="B74" s="22" t="s">
        <v>726</v>
      </c>
      <c r="C74" s="13" t="s">
        <v>381</v>
      </c>
      <c r="D74" s="315">
        <f t="shared" si="158"/>
        <v>34.170291666666692</v>
      </c>
      <c r="E74" s="315">
        <f t="shared" si="158"/>
        <v>33.882594086021491</v>
      </c>
      <c r="G74" s="914" t="s">
        <v>756</v>
      </c>
      <c r="H74" s="271" t="s">
        <v>82</v>
      </c>
      <c r="I74" s="329">
        <v>2</v>
      </c>
      <c r="J74" s="330">
        <f t="shared" si="139"/>
        <v>1.5971527777777765</v>
      </c>
      <c r="K74" s="329">
        <v>2</v>
      </c>
      <c r="L74" s="330">
        <f t="shared" ref="L74" si="175">L25/1000/24/L$3</f>
        <v>1.7266666666666661</v>
      </c>
      <c r="M74" s="936">
        <f t="shared" si="141"/>
        <v>2</v>
      </c>
      <c r="N74" s="936">
        <f t="shared" si="141"/>
        <v>1.662971311475409</v>
      </c>
      <c r="O74" s="329">
        <v>1.9</v>
      </c>
      <c r="P74" s="330">
        <f t="shared" si="142"/>
        <v>1.3442638888888887</v>
      </c>
      <c r="Q74" s="937">
        <f t="shared" si="142"/>
        <v>1.9670329670329669</v>
      </c>
      <c r="R74" s="937">
        <f t="shared" si="142"/>
        <v>1.5579029304029295</v>
      </c>
      <c r="S74" s="329">
        <v>1.9</v>
      </c>
      <c r="T74" s="330">
        <f t="shared" si="143"/>
        <v>1.9325000000000065</v>
      </c>
      <c r="U74" s="936">
        <f t="shared" si="143"/>
        <v>1.95</v>
      </c>
      <c r="V74" s="936">
        <f t="shared" si="143"/>
        <v>1.6530874316939899</v>
      </c>
      <c r="W74" s="329">
        <v>1.9</v>
      </c>
      <c r="X74" s="330">
        <f t="shared" si="144"/>
        <v>1.7952688172042954</v>
      </c>
      <c r="Y74" s="936">
        <f t="shared" si="144"/>
        <v>1.9398692810457516</v>
      </c>
      <c r="Z74" s="936">
        <f t="shared" si="144"/>
        <v>1.6818954248366009</v>
      </c>
      <c r="AA74" s="329">
        <v>1.9</v>
      </c>
      <c r="AB74" s="330">
        <f t="shared" si="164"/>
        <v>1.9208194444444444</v>
      </c>
      <c r="AC74" s="937">
        <f t="shared" si="164"/>
        <v>1.9</v>
      </c>
      <c r="AD74" s="937">
        <f t="shared" si="164"/>
        <v>1.8824501811594205</v>
      </c>
      <c r="AE74" s="938">
        <f t="shared" si="164"/>
        <v>1.9333333333333333</v>
      </c>
      <c r="AF74" s="938">
        <f t="shared" si="164"/>
        <v>1.7210632969034605</v>
      </c>
      <c r="AG74" s="329">
        <v>1.9</v>
      </c>
      <c r="AH74" s="330">
        <f t="shared" si="146"/>
        <v>1.8051612903225811</v>
      </c>
      <c r="AI74" s="936">
        <f t="shared" si="146"/>
        <v>1.9285046728971962</v>
      </c>
      <c r="AJ74" s="936">
        <f t="shared" si="146"/>
        <v>1.7332457165109036</v>
      </c>
      <c r="AK74" s="329">
        <v>1.9</v>
      </c>
      <c r="AL74" s="330">
        <f t="shared" si="147"/>
        <v>0.27331944444444201</v>
      </c>
      <c r="AM74" s="936">
        <f t="shared" si="147"/>
        <v>1.925</v>
      </c>
      <c r="AN74" s="936">
        <f t="shared" si="147"/>
        <v>1.5537465846994531</v>
      </c>
      <c r="AO74" s="329">
        <v>1.9</v>
      </c>
      <c r="AP74" s="330">
        <f t="shared" si="165"/>
        <v>1.4180107526881771</v>
      </c>
      <c r="AQ74" s="937">
        <f t="shared" si="165"/>
        <v>1.9</v>
      </c>
      <c r="AR74" s="937">
        <f t="shared" si="165"/>
        <v>1.1751947463768126</v>
      </c>
      <c r="AS74" s="936">
        <f t="shared" si="165"/>
        <v>1.9221818181818182</v>
      </c>
      <c r="AT74" s="936">
        <f t="shared" si="165"/>
        <v>1.5384454545454547</v>
      </c>
      <c r="AU74" s="329">
        <v>1.9</v>
      </c>
      <c r="AV74" s="330">
        <f t="shared" si="149"/>
        <v>1.4900940860215022</v>
      </c>
      <c r="AW74" s="936">
        <f t="shared" si="149"/>
        <v>1.9199346405228759</v>
      </c>
      <c r="AX74" s="936">
        <f t="shared" si="149"/>
        <v>1.5335471132897605</v>
      </c>
      <c r="AY74" s="329">
        <v>1.9</v>
      </c>
      <c r="AZ74" s="330">
        <f t="shared" si="150"/>
        <v>1.438422619047623</v>
      </c>
      <c r="BA74" s="936">
        <f t="shared" si="150"/>
        <v>1.9182634730538921</v>
      </c>
      <c r="BB74" s="936">
        <f t="shared" si="150"/>
        <v>1.5255726047904192</v>
      </c>
      <c r="BC74" s="329">
        <v>1.9</v>
      </c>
      <c r="BD74" s="330">
        <f t="shared" si="166"/>
        <v>1.8274731182795689</v>
      </c>
      <c r="BE74" s="937">
        <f t="shared" si="166"/>
        <v>1.9</v>
      </c>
      <c r="BF74" s="937">
        <f t="shared" si="166"/>
        <v>1.5902268518518519</v>
      </c>
      <c r="BG74" s="938">
        <f t="shared" si="166"/>
        <v>1.9000000000000001</v>
      </c>
      <c r="BH74" s="938">
        <f t="shared" si="166"/>
        <v>1.3804304029304035</v>
      </c>
      <c r="BI74" s="936">
        <f t="shared" si="166"/>
        <v>1.9167123287671233</v>
      </c>
      <c r="BJ74" s="936">
        <f t="shared" si="166"/>
        <v>1.551213470319635</v>
      </c>
      <c r="BK74" s="1222"/>
      <c r="BL74" s="1222"/>
      <c r="BM74" s="1222"/>
      <c r="BN74" s="1222"/>
    </row>
    <row r="75" spans="1:66" x14ac:dyDescent="0.25">
      <c r="A75" s="281"/>
      <c r="B75" s="22" t="s">
        <v>491</v>
      </c>
      <c r="C75" s="13" t="s">
        <v>381</v>
      </c>
      <c r="D75" s="315">
        <f t="shared" si="158"/>
        <v>4.9680555555555559</v>
      </c>
      <c r="E75" s="315">
        <f t="shared" si="158"/>
        <v>4.4534946236559207</v>
      </c>
      <c r="G75" s="914" t="s">
        <v>757</v>
      </c>
      <c r="H75" s="271" t="s">
        <v>488</v>
      </c>
      <c r="I75" s="329">
        <v>10.22518324061843</v>
      </c>
      <c r="J75" s="330">
        <f t="shared" si="139"/>
        <v>8.9559287037036981</v>
      </c>
      <c r="K75" s="329">
        <v>10.244585865363435</v>
      </c>
      <c r="L75" s="330">
        <f t="shared" ref="L75" si="176">L26/1000/24/L$3</f>
        <v>9.2756895161290416</v>
      </c>
      <c r="M75" s="936">
        <f t="shared" si="141"/>
        <v>10.235043590898679</v>
      </c>
      <c r="N75" s="936">
        <f t="shared" si="141"/>
        <v>9.1184301001821524</v>
      </c>
      <c r="O75" s="329">
        <v>7.2190104166666673</v>
      </c>
      <c r="P75" s="330">
        <f t="shared" si="142"/>
        <v>9.2752754629629575</v>
      </c>
      <c r="Q75" s="937">
        <f t="shared" si="142"/>
        <v>9.2407469400529596</v>
      </c>
      <c r="R75" s="937">
        <f t="shared" si="142"/>
        <v>9.1701373626373641</v>
      </c>
      <c r="S75" s="329">
        <v>5.6992019489247321</v>
      </c>
      <c r="T75" s="330">
        <f t="shared" si="143"/>
        <v>9.3905936379928363</v>
      </c>
      <c r="U75" s="936">
        <f t="shared" si="143"/>
        <v>8.3408461636187372</v>
      </c>
      <c r="V75" s="936">
        <f t="shared" si="143"/>
        <v>9.2261549408014591</v>
      </c>
      <c r="W75" s="329">
        <v>10.008547547043012</v>
      </c>
      <c r="X75" s="330">
        <f t="shared" si="144"/>
        <v>10.646312724014335</v>
      </c>
      <c r="Y75" s="936">
        <f t="shared" si="144"/>
        <v>8.678746443920387</v>
      </c>
      <c r="Z75" s="936">
        <f t="shared" si="144"/>
        <v>9.5138993282498205</v>
      </c>
      <c r="AA75" s="329">
        <v>10.00121527777778</v>
      </c>
      <c r="AB75" s="330">
        <f t="shared" ref="AB75:AF82" si="177">AB26/1000/24/AB$3</f>
        <v>9.9493638888888896</v>
      </c>
      <c r="AC75" s="937">
        <f t="shared" si="177"/>
        <v>8.554094485960146</v>
      </c>
      <c r="AD75" s="937">
        <f t="shared" si="177"/>
        <v>9.9959240640096638</v>
      </c>
      <c r="AE75" s="938">
        <f t="shared" si="177"/>
        <v>8.8955446134052067</v>
      </c>
      <c r="AF75" s="938">
        <f t="shared" si="177"/>
        <v>9.5852869611414704</v>
      </c>
      <c r="AG75" s="329">
        <v>10.008547547043012</v>
      </c>
      <c r="AH75" s="330">
        <f t="shared" si="146"/>
        <v>10.277065412186396</v>
      </c>
      <c r="AI75" s="936">
        <f t="shared" si="146"/>
        <v>9.0567740103340473</v>
      </c>
      <c r="AJ75" s="936">
        <f t="shared" si="146"/>
        <v>9.6854978582554541</v>
      </c>
      <c r="AK75" s="329">
        <v>10.00121527777778</v>
      </c>
      <c r="AL75" s="330">
        <f t="shared" si="147"/>
        <v>5.4214046296296114</v>
      </c>
      <c r="AM75" s="936">
        <f t="shared" si="147"/>
        <v>9.1728938382984406</v>
      </c>
      <c r="AN75" s="936">
        <f t="shared" si="147"/>
        <v>9.1612241006375221</v>
      </c>
      <c r="AO75" s="329">
        <v>10.008547547043012</v>
      </c>
      <c r="AP75" s="330">
        <f t="shared" ref="AP75:AT82" si="178">AP26/1000/24/AP$3</f>
        <v>9.3487132616487383</v>
      </c>
      <c r="AQ75" s="937">
        <f t="shared" si="178"/>
        <v>10.006156589673914</v>
      </c>
      <c r="AR75" s="937">
        <f t="shared" si="178"/>
        <v>8.3808834541062769</v>
      </c>
      <c r="AS75" s="936">
        <f t="shared" si="178"/>
        <v>9.2670948018296482</v>
      </c>
      <c r="AT75" s="936">
        <f t="shared" si="178"/>
        <v>9.1823592424242442</v>
      </c>
      <c r="AU75" s="329">
        <v>10.008547547043012</v>
      </c>
      <c r="AV75" s="330">
        <f t="shared" si="149"/>
        <v>9.5848736559139862</v>
      </c>
      <c r="AW75" s="936">
        <f t="shared" si="149"/>
        <v>9.3422092956257714</v>
      </c>
      <c r="AX75" s="936">
        <f t="shared" si="149"/>
        <v>9.2231368464052288</v>
      </c>
      <c r="AY75" s="329">
        <v>9.8632114955357171</v>
      </c>
      <c r="AZ75" s="330">
        <f t="shared" si="150"/>
        <v>9.6489122023809539</v>
      </c>
      <c r="BA75" s="936">
        <f t="shared" si="150"/>
        <v>9.3858861267559455</v>
      </c>
      <c r="BB75" s="936">
        <f t="shared" si="150"/>
        <v>9.2588305888223541</v>
      </c>
      <c r="BC75" s="329">
        <v>10.008547547043012</v>
      </c>
      <c r="BD75" s="330">
        <f t="shared" ref="BD75:BJ82" si="179">BD26/1000/24/BD$3</f>
        <v>9.8302083333333297</v>
      </c>
      <c r="BE75" s="937">
        <f t="shared" si="179"/>
        <v>9.9633318865740765</v>
      </c>
      <c r="BF75" s="937">
        <f t="shared" si="179"/>
        <v>9.6893009259259273</v>
      </c>
      <c r="BG75" s="938">
        <f t="shared" si="179"/>
        <v>9.9849795386904781</v>
      </c>
      <c r="BH75" s="938">
        <f t="shared" si="179"/>
        <v>9.0279030830280824</v>
      </c>
      <c r="BI75" s="936">
        <f t="shared" si="179"/>
        <v>9.4387696994378611</v>
      </c>
      <c r="BJ75" s="936">
        <f t="shared" si="179"/>
        <v>9.3073585616438343</v>
      </c>
      <c r="BK75" s="1222"/>
      <c r="BL75" s="1222"/>
      <c r="BM75" s="1222"/>
      <c r="BN75" s="1222"/>
    </row>
    <row r="76" spans="1:66" x14ac:dyDescent="0.25">
      <c r="A76" s="281"/>
      <c r="B76" s="22" t="s">
        <v>764</v>
      </c>
      <c r="C76" s="13" t="s">
        <v>381</v>
      </c>
      <c r="D76" s="315">
        <f t="shared" si="158"/>
        <v>3.0618194444444473</v>
      </c>
      <c r="E76" s="315">
        <f t="shared" si="158"/>
        <v>3.1648387096774182</v>
      </c>
      <c r="G76" s="914" t="s">
        <v>759</v>
      </c>
      <c r="H76" s="271" t="s">
        <v>489</v>
      </c>
      <c r="I76" s="329">
        <v>8.6573388681951915</v>
      </c>
      <c r="J76" s="330">
        <f t="shared" si="139"/>
        <v>7.6497592592592687</v>
      </c>
      <c r="K76" s="329">
        <v>8.7087831568856551</v>
      </c>
      <c r="L76" s="330">
        <f t="shared" ref="L76" si="180">L27/1000/24/L$3</f>
        <v>8.2118077956989239</v>
      </c>
      <c r="M76" s="936">
        <f t="shared" si="141"/>
        <v>8.6834826870378858</v>
      </c>
      <c r="N76" s="936">
        <f t="shared" si="141"/>
        <v>7.9353904826958148</v>
      </c>
      <c r="O76" s="329">
        <v>5.5711571675302229</v>
      </c>
      <c r="P76" s="330">
        <f t="shared" si="142"/>
        <v>6.5925254629629544</v>
      </c>
      <c r="Q76" s="937">
        <f t="shared" si="142"/>
        <v>7.6574413069804139</v>
      </c>
      <c r="R76" s="937">
        <f t="shared" si="142"/>
        <v>7.4926877289377298</v>
      </c>
      <c r="S76" s="329">
        <v>4.2852498746448271</v>
      </c>
      <c r="T76" s="330">
        <f t="shared" si="143"/>
        <v>8.2143436379928332</v>
      </c>
      <c r="U76" s="936">
        <f t="shared" si="143"/>
        <v>6.800572992206618</v>
      </c>
      <c r="V76" s="936">
        <f t="shared" si="143"/>
        <v>7.6760593123861574</v>
      </c>
      <c r="W76" s="329">
        <v>8.5018663992422976</v>
      </c>
      <c r="X76" s="330">
        <f t="shared" si="144"/>
        <v>8.1107750896057436</v>
      </c>
      <c r="Y76" s="936">
        <f t="shared" si="144"/>
        <v>7.1452794995145013</v>
      </c>
      <c r="Z76" s="936">
        <f t="shared" si="144"/>
        <v>7.7641389796659421</v>
      </c>
      <c r="AA76" s="329">
        <v>8.5107225100748405</v>
      </c>
      <c r="AB76" s="330">
        <f t="shared" si="177"/>
        <v>8.3170583333333337</v>
      </c>
      <c r="AC76" s="937">
        <f t="shared" si="177"/>
        <v>7.0839378238341961</v>
      </c>
      <c r="AD76" s="937">
        <f t="shared" si="177"/>
        <v>8.2129394625603886</v>
      </c>
      <c r="AE76" s="938">
        <f t="shared" si="177"/>
        <v>7.3691226159998013</v>
      </c>
      <c r="AF76" s="938">
        <f t="shared" si="177"/>
        <v>7.8547814966605971</v>
      </c>
      <c r="AG76" s="329">
        <v>8.5018663992422976</v>
      </c>
      <c r="AH76" s="330">
        <f t="shared" si="146"/>
        <v>7.7573611111111145</v>
      </c>
      <c r="AI76" s="936">
        <f t="shared" si="146"/>
        <v>7.5332116687124993</v>
      </c>
      <c r="AJ76" s="936">
        <f t="shared" si="146"/>
        <v>7.8406691978193184</v>
      </c>
      <c r="AK76" s="329">
        <v>8.5107225100748405</v>
      </c>
      <c r="AL76" s="330">
        <f t="shared" si="147"/>
        <v>1.8027615740740723</v>
      </c>
      <c r="AM76" s="936">
        <f t="shared" si="147"/>
        <v>7.6533974278963939</v>
      </c>
      <c r="AN76" s="936">
        <f t="shared" si="147"/>
        <v>7.0983035063752293</v>
      </c>
      <c r="AO76" s="329">
        <v>8.5018663992422976</v>
      </c>
      <c r="AP76" s="330">
        <f t="shared" si="178"/>
        <v>8.0168705197132599</v>
      </c>
      <c r="AQ76" s="937">
        <f t="shared" si="178"/>
        <v>8.5047542614702998</v>
      </c>
      <c r="AR76" s="937">
        <f t="shared" si="178"/>
        <v>5.9030872584541063</v>
      </c>
      <c r="AS76" s="936">
        <f t="shared" si="178"/>
        <v>7.7490430210299319</v>
      </c>
      <c r="AT76" s="936">
        <f t="shared" si="178"/>
        <v>7.2018510606060619</v>
      </c>
      <c r="AU76" s="329">
        <v>8.5018663992422976</v>
      </c>
      <c r="AV76" s="330">
        <f t="shared" si="149"/>
        <v>8.0409005376343909</v>
      </c>
      <c r="AW76" s="936">
        <f t="shared" si="149"/>
        <v>7.8253094416985034</v>
      </c>
      <c r="AX76" s="936">
        <f t="shared" si="149"/>
        <v>7.2868528050108923</v>
      </c>
      <c r="AY76" s="329">
        <v>8.530332469775475</v>
      </c>
      <c r="AZ76" s="330">
        <f t="shared" si="150"/>
        <v>8.0677752976190558</v>
      </c>
      <c r="BA76" s="936">
        <f t="shared" si="150"/>
        <v>7.8844131686031602</v>
      </c>
      <c r="BB76" s="936">
        <f t="shared" si="150"/>
        <v>7.3523193612774458</v>
      </c>
      <c r="BC76" s="329">
        <v>8.5018663992422976</v>
      </c>
      <c r="BD76" s="330">
        <f t="shared" si="179"/>
        <v>8.0876948924731238</v>
      </c>
      <c r="BE76" s="937">
        <f t="shared" si="179"/>
        <v>8.5107225100748405</v>
      </c>
      <c r="BF76" s="937">
        <f t="shared" si="179"/>
        <v>8.0653796296296285</v>
      </c>
      <c r="BG76" s="938">
        <f t="shared" si="179"/>
        <v>8.5077055931978212</v>
      </c>
      <c r="BH76" s="938">
        <f t="shared" si="179"/>
        <v>6.9723527167277162</v>
      </c>
      <c r="BI76" s="936">
        <f t="shared" si="179"/>
        <v>7.9368544018903187</v>
      </c>
      <c r="BJ76" s="936">
        <f t="shared" si="179"/>
        <v>7.4147759132420097</v>
      </c>
      <c r="BK76" s="1222"/>
      <c r="BL76" s="1222"/>
      <c r="BM76" s="1222"/>
      <c r="BN76" s="1222"/>
    </row>
    <row r="77" spans="1:66" x14ac:dyDescent="0.25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4" t="s">
        <v>761</v>
      </c>
      <c r="H77" s="271" t="s">
        <v>490</v>
      </c>
      <c r="I77" s="329">
        <v>7.5263823151439926</v>
      </c>
      <c r="J77" s="330">
        <f t="shared" si="139"/>
        <v>5.3251623148148211</v>
      </c>
      <c r="K77" s="329">
        <v>7.6360278431481712</v>
      </c>
      <c r="L77" s="330">
        <f t="shared" ref="L77" si="181">L28/1000/24/L$3</f>
        <v>5.8918709677419328</v>
      </c>
      <c r="M77" s="936">
        <f t="shared" si="141"/>
        <v>7.5821038129821821</v>
      </c>
      <c r="N77" s="936">
        <f t="shared" si="141"/>
        <v>5.613161794171222</v>
      </c>
      <c r="O77" s="329">
        <v>4.5254910583406627</v>
      </c>
      <c r="P77" s="330">
        <f t="shared" si="142"/>
        <v>4.0661060185185214</v>
      </c>
      <c r="Q77" s="937">
        <f t="shared" si="142"/>
        <v>6.5744292784849785</v>
      </c>
      <c r="R77" s="937">
        <f t="shared" si="142"/>
        <v>5.1031434065934089</v>
      </c>
      <c r="S77" s="329">
        <v>2.2949853888274179</v>
      </c>
      <c r="T77" s="330">
        <f t="shared" si="143"/>
        <v>5.0742629928315317</v>
      </c>
      <c r="U77" s="936">
        <f t="shared" si="143"/>
        <v>5.4870296016047782</v>
      </c>
      <c r="V77" s="936">
        <f t="shared" si="143"/>
        <v>5.0958049408014556</v>
      </c>
      <c r="W77" s="329">
        <v>5.8603427242034787</v>
      </c>
      <c r="X77" s="330">
        <f t="shared" si="144"/>
        <v>4.6540801971326253</v>
      </c>
      <c r="Y77" s="936">
        <f t="shared" si="144"/>
        <v>5.5626682081443848</v>
      </c>
      <c r="Z77" s="936">
        <f t="shared" si="144"/>
        <v>5.0063051561365288</v>
      </c>
      <c r="AA77" s="329">
        <v>5.9321020228671948</v>
      </c>
      <c r="AB77" s="330">
        <f t="shared" si="177"/>
        <v>5.1571597222222225</v>
      </c>
      <c r="AC77" s="937">
        <f t="shared" si="177"/>
        <v>4.6823720890214515</v>
      </c>
      <c r="AD77" s="937">
        <f t="shared" si="177"/>
        <v>4.9597112016908209</v>
      </c>
      <c r="AE77" s="938">
        <f t="shared" si="177"/>
        <v>5.6232311285907466</v>
      </c>
      <c r="AF77" s="938">
        <f t="shared" si="177"/>
        <v>5.0310354128718897</v>
      </c>
      <c r="AG77" s="329">
        <v>6.4583368797344454</v>
      </c>
      <c r="AH77" s="330">
        <f t="shared" si="146"/>
        <v>4.9358543906810119</v>
      </c>
      <c r="AI77" s="936">
        <f t="shared" si="146"/>
        <v>5.7442043916068899</v>
      </c>
      <c r="AJ77" s="936">
        <f t="shared" si="146"/>
        <v>5.0172475077881646</v>
      </c>
      <c r="AK77" s="329">
        <v>6.4264438581061274</v>
      </c>
      <c r="AL77" s="330">
        <f t="shared" si="147"/>
        <v>1.9346851851851787</v>
      </c>
      <c r="AM77" s="936">
        <f t="shared" si="147"/>
        <v>5.828086293225649</v>
      </c>
      <c r="AN77" s="936">
        <f t="shared" si="147"/>
        <v>4.6382439435336993</v>
      </c>
      <c r="AO77" s="329">
        <v>6.4583368797344454</v>
      </c>
      <c r="AP77" s="330">
        <f t="shared" si="178"/>
        <v>4.4845143369175604</v>
      </c>
      <c r="AQ77" s="937">
        <f t="shared" si="178"/>
        <v>6.447936981377385</v>
      </c>
      <c r="AR77" s="937">
        <f t="shared" si="178"/>
        <v>3.8051302838164252</v>
      </c>
      <c r="AS77" s="936">
        <f t="shared" si="178"/>
        <v>5.8991327229775488</v>
      </c>
      <c r="AT77" s="936">
        <f t="shared" si="178"/>
        <v>4.6209144242424252</v>
      </c>
      <c r="AU77" s="329">
        <v>6.4583368797344454</v>
      </c>
      <c r="AV77" s="330">
        <f t="shared" si="149"/>
        <v>5.2573481182795785</v>
      </c>
      <c r="AW77" s="936">
        <f t="shared" si="149"/>
        <v>5.9557841244790648</v>
      </c>
      <c r="AX77" s="936">
        <f t="shared" si="149"/>
        <v>4.6853897331154695</v>
      </c>
      <c r="AY77" s="329">
        <v>6.3558235959291371</v>
      </c>
      <c r="AZ77" s="330">
        <f t="shared" si="150"/>
        <v>5.4483437499999985</v>
      </c>
      <c r="BA77" s="936">
        <f t="shared" si="150"/>
        <v>5.9893203675946403</v>
      </c>
      <c r="BB77" s="936">
        <f t="shared" si="150"/>
        <v>4.749349950099802</v>
      </c>
      <c r="BC77" s="329">
        <v>7.1759298663716056</v>
      </c>
      <c r="BD77" s="330">
        <f t="shared" si="179"/>
        <v>5.8737793010752695</v>
      </c>
      <c r="BE77" s="937">
        <f t="shared" si="179"/>
        <v>6.6736147757255937</v>
      </c>
      <c r="BF77" s="937">
        <f t="shared" si="179"/>
        <v>5.5290952777777802</v>
      </c>
      <c r="BG77" s="938">
        <f t="shared" si="179"/>
        <v>6.5595358906704551</v>
      </c>
      <c r="BH77" s="938">
        <f t="shared" si="179"/>
        <v>4.6576404456654474</v>
      </c>
      <c r="BI77" s="936">
        <f t="shared" si="179"/>
        <v>6.090100900367478</v>
      </c>
      <c r="BJ77" s="936">
        <f t="shared" si="179"/>
        <v>4.8448494292237454</v>
      </c>
      <c r="BK77" s="1222"/>
      <c r="BL77" s="1222"/>
      <c r="BM77" s="1222"/>
      <c r="BN77" s="1222"/>
    </row>
    <row r="78" spans="1:66" x14ac:dyDescent="0.25">
      <c r="A78" s="281"/>
      <c r="B78" s="22" t="s">
        <v>727</v>
      </c>
      <c r="C78" s="13" t="s">
        <v>381</v>
      </c>
      <c r="D78" s="315">
        <f t="shared" ref="D78:E81" si="182">+((D35/1000)/D$3)/24</f>
        <v>0.6318055555555544</v>
      </c>
      <c r="E78" s="315">
        <f t="shared" si="182"/>
        <v>0.59745967741935579</v>
      </c>
      <c r="G78" s="914" t="s">
        <v>762</v>
      </c>
      <c r="H78" s="271" t="s">
        <v>726</v>
      </c>
      <c r="I78" s="384">
        <v>34.4</v>
      </c>
      <c r="J78" s="330">
        <f t="shared" si="139"/>
        <v>35.093465277777661</v>
      </c>
      <c r="K78" s="384">
        <v>34.4</v>
      </c>
      <c r="L78" s="330">
        <f t="shared" ref="L78" si="183">L29/1000/24/L$3</f>
        <v>34.936794354838703</v>
      </c>
      <c r="M78" s="936">
        <f t="shared" si="141"/>
        <v>34.4</v>
      </c>
      <c r="N78" s="936">
        <f t="shared" si="141"/>
        <v>35.01384562841524</v>
      </c>
      <c r="O78" s="384">
        <v>34.4</v>
      </c>
      <c r="P78" s="330">
        <f t="shared" si="142"/>
        <v>33.529218055555546</v>
      </c>
      <c r="Q78" s="937">
        <f t="shared" si="142"/>
        <v>34.4</v>
      </c>
      <c r="R78" s="937">
        <f t="shared" si="142"/>
        <v>34.524407967032928</v>
      </c>
      <c r="S78" s="384">
        <v>34.4</v>
      </c>
      <c r="T78" s="330">
        <f t="shared" si="143"/>
        <v>34.919024193548324</v>
      </c>
      <c r="U78" s="936">
        <f t="shared" si="143"/>
        <v>34.4</v>
      </c>
      <c r="V78" s="936">
        <f t="shared" si="143"/>
        <v>34.62467930327864</v>
      </c>
      <c r="W78" s="384">
        <v>34.4</v>
      </c>
      <c r="X78" s="330">
        <f t="shared" si="144"/>
        <v>34.664918010752722</v>
      </c>
      <c r="Y78" s="936">
        <f t="shared" si="144"/>
        <v>34.4</v>
      </c>
      <c r="Z78" s="936">
        <f t="shared" si="144"/>
        <v>34.632832244008689</v>
      </c>
      <c r="AA78" s="384">
        <v>34.4</v>
      </c>
      <c r="AB78" s="330">
        <f t="shared" si="177"/>
        <v>33.877922222222224</v>
      </c>
      <c r="AC78" s="937">
        <f t="shared" si="177"/>
        <v>34.4</v>
      </c>
      <c r="AD78" s="937">
        <f t="shared" si="177"/>
        <v>34.493911684782603</v>
      </c>
      <c r="AE78" s="938">
        <f t="shared" si="177"/>
        <v>34.4</v>
      </c>
      <c r="AF78" s="938">
        <f t="shared" si="177"/>
        <v>34.509076502732213</v>
      </c>
      <c r="AG78" s="384">
        <v>34.4</v>
      </c>
      <c r="AH78" s="330">
        <f t="shared" si="146"/>
        <v>34.012521505376085</v>
      </c>
      <c r="AI78" s="936">
        <f t="shared" si="146"/>
        <v>34.4</v>
      </c>
      <c r="AJ78" s="936">
        <f t="shared" si="146"/>
        <v>34.437145638629225</v>
      </c>
      <c r="AK78" s="384">
        <v>34.4</v>
      </c>
      <c r="AL78" s="330">
        <f t="shared" si="147"/>
        <v>25.946550000000265</v>
      </c>
      <c r="AM78" s="936">
        <f t="shared" si="147"/>
        <v>34.4</v>
      </c>
      <c r="AN78" s="936">
        <f t="shared" si="147"/>
        <v>33.39321994535517</v>
      </c>
      <c r="AO78" s="384">
        <v>34.4</v>
      </c>
      <c r="AP78" s="330">
        <f t="shared" si="178"/>
        <v>34.334134408601884</v>
      </c>
      <c r="AQ78" s="937">
        <f t="shared" si="178"/>
        <v>34.4</v>
      </c>
      <c r="AR78" s="937">
        <f t="shared" si="178"/>
        <v>31.490682971014408</v>
      </c>
      <c r="AS78" s="936">
        <f t="shared" si="178"/>
        <v>34.4</v>
      </c>
      <c r="AT78" s="936">
        <f t="shared" si="178"/>
        <v>33.49928666666662</v>
      </c>
      <c r="AU78" s="384">
        <v>34.4</v>
      </c>
      <c r="AV78" s="330">
        <f t="shared" si="149"/>
        <v>34.193084677419606</v>
      </c>
      <c r="AW78" s="936">
        <f t="shared" si="149"/>
        <v>34.4</v>
      </c>
      <c r="AX78" s="936">
        <f t="shared" si="149"/>
        <v>33.569573393246166</v>
      </c>
      <c r="AY78" s="384">
        <v>34.4</v>
      </c>
      <c r="AZ78" s="330">
        <f t="shared" si="150"/>
        <v>34.599572916666666</v>
      </c>
      <c r="BA78" s="936">
        <f t="shared" si="150"/>
        <v>34.4</v>
      </c>
      <c r="BB78" s="936">
        <f t="shared" si="150"/>
        <v>33.655920658682618</v>
      </c>
      <c r="BC78" s="384">
        <v>34.4</v>
      </c>
      <c r="BD78" s="330">
        <f t="shared" si="179"/>
        <v>34.946900537634541</v>
      </c>
      <c r="BE78" s="937">
        <f t="shared" si="179"/>
        <v>34.4</v>
      </c>
      <c r="BF78" s="937">
        <f t="shared" si="179"/>
        <v>34.579195370370499</v>
      </c>
      <c r="BG78" s="938">
        <f t="shared" si="179"/>
        <v>34.4</v>
      </c>
      <c r="BH78" s="938">
        <f t="shared" si="179"/>
        <v>33.017969322344342</v>
      </c>
      <c r="BI78" s="936">
        <f t="shared" si="179"/>
        <v>34.4</v>
      </c>
      <c r="BJ78" s="936">
        <f t="shared" si="179"/>
        <v>33.765565525114155</v>
      </c>
      <c r="BK78" s="1222"/>
      <c r="BL78" s="1222"/>
      <c r="BM78" s="1222"/>
      <c r="BN78" s="1222"/>
    </row>
    <row r="79" spans="1:66" x14ac:dyDescent="0.25">
      <c r="A79" s="281"/>
      <c r="B79" s="2" t="s">
        <v>732</v>
      </c>
      <c r="C79" s="13" t="s">
        <v>381</v>
      </c>
      <c r="D79" s="315">
        <f t="shared" si="182"/>
        <v>0.89579548472222215</v>
      </c>
      <c r="E79" s="315">
        <f t="shared" si="182"/>
        <v>0.86948325672043014</v>
      </c>
      <c r="G79" s="914" t="s">
        <v>763</v>
      </c>
      <c r="H79" s="271" t="s">
        <v>491</v>
      </c>
      <c r="I79" s="384">
        <v>5.4</v>
      </c>
      <c r="J79" s="330">
        <f t="shared" si="139"/>
        <v>5.3286111111111296</v>
      </c>
      <c r="K79" s="384">
        <v>5.4</v>
      </c>
      <c r="L79" s="330">
        <f t="shared" ref="L79" si="184">L30/1000/24/L$3</f>
        <v>5.4528225806451536</v>
      </c>
      <c r="M79" s="936">
        <f t="shared" si="141"/>
        <v>5.4</v>
      </c>
      <c r="N79" s="936">
        <f t="shared" si="141"/>
        <v>5.3917349726776012</v>
      </c>
      <c r="O79" s="384">
        <v>4.8</v>
      </c>
      <c r="P79" s="330">
        <f t="shared" si="142"/>
        <v>4.9595833333333559</v>
      </c>
      <c r="Q79" s="937">
        <f t="shared" si="142"/>
        <v>5.2021978021978024</v>
      </c>
      <c r="R79" s="937">
        <f t="shared" si="142"/>
        <v>5.249267399267409</v>
      </c>
      <c r="S79" s="384">
        <v>4.8</v>
      </c>
      <c r="T79" s="330">
        <f t="shared" si="143"/>
        <v>5.3622311827956706</v>
      </c>
      <c r="U79" s="936">
        <f t="shared" si="143"/>
        <v>5.0999999999999996</v>
      </c>
      <c r="V79" s="936">
        <f t="shared" si="143"/>
        <v>5.2779713114754099</v>
      </c>
      <c r="W79" s="384">
        <v>4.8</v>
      </c>
      <c r="X79" s="330">
        <f t="shared" si="144"/>
        <v>5.4178763440860331</v>
      </c>
      <c r="Y79" s="936">
        <f t="shared" si="144"/>
        <v>5.0392156862745097</v>
      </c>
      <c r="Z79" s="936">
        <f t="shared" si="144"/>
        <v>5.3063180827886729</v>
      </c>
      <c r="AA79" s="384">
        <v>4.8</v>
      </c>
      <c r="AB79" s="330">
        <f t="shared" si="177"/>
        <v>5.4931944444444438</v>
      </c>
      <c r="AC79" s="937">
        <f t="shared" si="177"/>
        <v>4.8</v>
      </c>
      <c r="AD79" s="937">
        <f t="shared" si="177"/>
        <v>5.4236865942028922</v>
      </c>
      <c r="AE79" s="938">
        <f t="shared" si="177"/>
        <v>5</v>
      </c>
      <c r="AF79" s="938">
        <f t="shared" si="177"/>
        <v>5.3369535519125701</v>
      </c>
      <c r="AG79" s="384">
        <v>4.8</v>
      </c>
      <c r="AH79" s="330">
        <f t="shared" si="146"/>
        <v>5.4294354838709875</v>
      </c>
      <c r="AI79" s="936">
        <f t="shared" si="146"/>
        <v>4.971028037383177</v>
      </c>
      <c r="AJ79" s="936">
        <f t="shared" si="146"/>
        <v>5.3503504672897249</v>
      </c>
      <c r="AK79" s="384">
        <v>4.8</v>
      </c>
      <c r="AL79" s="330">
        <f t="shared" si="147"/>
        <v>3.0890277777777855</v>
      </c>
      <c r="AM79" s="936">
        <f t="shared" si="147"/>
        <v>4.95</v>
      </c>
      <c r="AN79" s="936">
        <f t="shared" si="147"/>
        <v>5.0723189890710438</v>
      </c>
      <c r="AO79" s="384">
        <v>4.8</v>
      </c>
      <c r="AP79" s="330">
        <f t="shared" si="178"/>
        <v>5.2395161290322543</v>
      </c>
      <c r="AQ79" s="937">
        <f t="shared" si="178"/>
        <v>4.8</v>
      </c>
      <c r="AR79" s="937">
        <f t="shared" si="178"/>
        <v>4.6022644927536325</v>
      </c>
      <c r="AS79" s="936">
        <f t="shared" si="178"/>
        <v>4.9330909090909092</v>
      </c>
      <c r="AT79" s="936">
        <f t="shared" si="178"/>
        <v>5.0911666666666706</v>
      </c>
      <c r="AU79" s="384">
        <v>4.8</v>
      </c>
      <c r="AV79" s="330">
        <f t="shared" si="149"/>
        <v>5.4365591397849116</v>
      </c>
      <c r="AW79" s="936">
        <f t="shared" si="149"/>
        <v>4.9196078431372543</v>
      </c>
      <c r="AX79" s="936">
        <f t="shared" si="149"/>
        <v>5.1261574074074074</v>
      </c>
      <c r="AY79" s="384">
        <v>4.8</v>
      </c>
      <c r="AZ79" s="330">
        <f t="shared" si="150"/>
        <v>5.4443452380952362</v>
      </c>
      <c r="BA79" s="936">
        <f t="shared" si="150"/>
        <v>4.909580838323353</v>
      </c>
      <c r="BB79" s="936">
        <f t="shared" si="150"/>
        <v>5.1528318363273451</v>
      </c>
      <c r="BC79" s="384">
        <v>4.8</v>
      </c>
      <c r="BD79" s="330">
        <f t="shared" si="179"/>
        <v>5.5731182795699237</v>
      </c>
      <c r="BE79" s="937">
        <f t="shared" si="179"/>
        <v>4.8</v>
      </c>
      <c r="BF79" s="937">
        <f t="shared" si="179"/>
        <v>5.4860185185185166</v>
      </c>
      <c r="BG79" s="938">
        <f t="shared" si="179"/>
        <v>4.8</v>
      </c>
      <c r="BH79" s="938">
        <f t="shared" si="179"/>
        <v>5.0392857142857173</v>
      </c>
      <c r="BI79" s="936">
        <f t="shared" si="179"/>
        <v>4.90027397260274</v>
      </c>
      <c r="BJ79" s="936">
        <f t="shared" si="179"/>
        <v>5.1885273972602768</v>
      </c>
      <c r="BK79" s="1222"/>
      <c r="BL79" s="1222"/>
      <c r="BM79" s="1222"/>
      <c r="BN79" s="1222"/>
    </row>
    <row r="80" spans="1:66" x14ac:dyDescent="0.25">
      <c r="A80" s="281"/>
      <c r="B80" s="2" t="s">
        <v>733</v>
      </c>
      <c r="C80" s="13" t="s">
        <v>381</v>
      </c>
      <c r="D80" s="315">
        <f t="shared" si="182"/>
        <v>0.259755010555556</v>
      </c>
      <c r="E80" s="315">
        <f t="shared" si="182"/>
        <v>0.24748231639784987</v>
      </c>
      <c r="G80" s="914" t="s">
        <v>765</v>
      </c>
      <c r="H80" s="271" t="s">
        <v>727</v>
      </c>
      <c r="I80" s="384">
        <v>0.9</v>
      </c>
      <c r="J80" s="330">
        <f t="shared" si="139"/>
        <v>0.85108333333332953</v>
      </c>
      <c r="K80" s="384">
        <v>0.9</v>
      </c>
      <c r="L80" s="330">
        <f t="shared" ref="L80" si="185">L31/1000/24/L$3</f>
        <v>0.85237903225806677</v>
      </c>
      <c r="M80" s="936">
        <f t="shared" si="141"/>
        <v>0.9</v>
      </c>
      <c r="N80" s="936">
        <f t="shared" si="141"/>
        <v>0.85174180327868776</v>
      </c>
      <c r="O80" s="384">
        <v>0.9</v>
      </c>
      <c r="P80" s="330">
        <f t="shared" si="142"/>
        <v>0.85356944444444549</v>
      </c>
      <c r="Q80" s="937">
        <f t="shared" si="142"/>
        <v>0.89999999999999991</v>
      </c>
      <c r="R80" s="937">
        <f t="shared" si="142"/>
        <v>0.85234432234432222</v>
      </c>
      <c r="S80" s="384">
        <v>0.9</v>
      </c>
      <c r="T80" s="330">
        <f t="shared" si="143"/>
        <v>0.85702956989247425</v>
      </c>
      <c r="U80" s="936">
        <f t="shared" si="143"/>
        <v>0.9</v>
      </c>
      <c r="V80" s="936">
        <f t="shared" si="143"/>
        <v>0.85353483606557401</v>
      </c>
      <c r="W80" s="384">
        <v>0.9</v>
      </c>
      <c r="X80" s="330">
        <f t="shared" si="144"/>
        <v>0.82581989247311727</v>
      </c>
      <c r="Y80" s="936">
        <f t="shared" si="144"/>
        <v>0.90000000000000013</v>
      </c>
      <c r="Z80" s="936">
        <f t="shared" si="144"/>
        <v>0.84791938997821348</v>
      </c>
      <c r="AA80" s="384">
        <v>0.9</v>
      </c>
      <c r="AB80" s="330">
        <f t="shared" si="177"/>
        <v>0.8031152777777778</v>
      </c>
      <c r="AC80" s="937">
        <f t="shared" si="177"/>
        <v>0.9</v>
      </c>
      <c r="AD80" s="937">
        <f t="shared" si="177"/>
        <v>0.82893251811594204</v>
      </c>
      <c r="AE80" s="938">
        <f t="shared" si="177"/>
        <v>0.90000000000000013</v>
      </c>
      <c r="AF80" s="938">
        <f t="shared" si="177"/>
        <v>0.84057445355191251</v>
      </c>
      <c r="AG80" s="384">
        <v>0.9</v>
      </c>
      <c r="AH80" s="330">
        <f t="shared" si="146"/>
        <v>0.80017069892473203</v>
      </c>
      <c r="AI80" s="936">
        <f t="shared" si="146"/>
        <v>0.9</v>
      </c>
      <c r="AJ80" s="936">
        <f t="shared" si="146"/>
        <v>0.83472157320872276</v>
      </c>
      <c r="AK80" s="384">
        <v>0.9</v>
      </c>
      <c r="AL80" s="330">
        <f t="shared" si="147"/>
        <v>0.5394722222222198</v>
      </c>
      <c r="AM80" s="936">
        <f t="shared" si="147"/>
        <v>0.9</v>
      </c>
      <c r="AN80" s="936">
        <f t="shared" si="147"/>
        <v>0.7984204234972675</v>
      </c>
      <c r="AO80" s="384">
        <v>0.9</v>
      </c>
      <c r="AP80" s="330">
        <f t="shared" si="178"/>
        <v>0.72225806451613028</v>
      </c>
      <c r="AQ80" s="937">
        <f t="shared" si="178"/>
        <v>0.9</v>
      </c>
      <c r="AR80" s="937">
        <f t="shared" si="178"/>
        <v>0.68890715579710149</v>
      </c>
      <c r="AS80" s="936">
        <f t="shared" si="178"/>
        <v>0.9</v>
      </c>
      <c r="AT80" s="936">
        <f t="shared" si="178"/>
        <v>0.78983484848484831</v>
      </c>
      <c r="AU80" s="384">
        <v>0.9</v>
      </c>
      <c r="AV80" s="330">
        <f t="shared" si="149"/>
        <v>0.73088709677419317</v>
      </c>
      <c r="AW80" s="936">
        <f t="shared" si="149"/>
        <v>0.90000000000000013</v>
      </c>
      <c r="AX80" s="936">
        <f t="shared" si="149"/>
        <v>0.78386301742919373</v>
      </c>
      <c r="AY80" s="384">
        <v>0.9</v>
      </c>
      <c r="AZ80" s="330">
        <f t="shared" si="150"/>
        <v>0.73002976190476232</v>
      </c>
      <c r="BA80" s="936">
        <f t="shared" si="150"/>
        <v>0.89999999999999991</v>
      </c>
      <c r="BB80" s="936">
        <f t="shared" si="150"/>
        <v>0.7793500499001994</v>
      </c>
      <c r="BC80" s="384">
        <v>0.9</v>
      </c>
      <c r="BD80" s="330">
        <f t="shared" si="179"/>
        <v>0.81115591397849462</v>
      </c>
      <c r="BE80" s="937">
        <f t="shared" si="179"/>
        <v>0.9</v>
      </c>
      <c r="BF80" s="937">
        <f t="shared" si="179"/>
        <v>0.7582685185185184</v>
      </c>
      <c r="BG80" s="938">
        <f t="shared" si="179"/>
        <v>0.89999999999999991</v>
      </c>
      <c r="BH80" s="938">
        <f t="shared" si="179"/>
        <v>0.72320673076923081</v>
      </c>
      <c r="BI80" s="936">
        <f t="shared" si="179"/>
        <v>0.9</v>
      </c>
      <c r="BJ80" s="936">
        <f t="shared" si="179"/>
        <v>0.7820513698630136</v>
      </c>
      <c r="BK80" s="1222"/>
      <c r="BL80" s="1222"/>
      <c r="BM80" s="1222"/>
      <c r="BN80" s="1222"/>
    </row>
    <row r="81" spans="1:66" ht="15.75" x14ac:dyDescent="0.25">
      <c r="A81" s="66"/>
      <c r="B81" s="2" t="s">
        <v>739</v>
      </c>
      <c r="C81" s="13" t="s">
        <v>381</v>
      </c>
      <c r="D81" s="315">
        <f t="shared" si="182"/>
        <v>0.47197477138888738</v>
      </c>
      <c r="E81" s="315">
        <f t="shared" si="182"/>
        <v>0.47029550080645333</v>
      </c>
      <c r="G81" s="914" t="s">
        <v>766</v>
      </c>
      <c r="H81" s="271" t="s">
        <v>728</v>
      </c>
      <c r="I81" s="384">
        <v>1.4</v>
      </c>
      <c r="J81" s="330">
        <f t="shared" si="139"/>
        <v>1.3067500000000007</v>
      </c>
      <c r="K81" s="384">
        <v>1.4</v>
      </c>
      <c r="L81" s="330">
        <f t="shared" ref="L81" si="186">L32/1000/24/L$3</f>
        <v>0.84927419354839617</v>
      </c>
      <c r="M81" s="936">
        <f t="shared" si="141"/>
        <v>1.4</v>
      </c>
      <c r="N81" s="936">
        <f t="shared" si="141"/>
        <v>1.074262295081972</v>
      </c>
      <c r="O81" s="384">
        <v>1</v>
      </c>
      <c r="P81" s="330">
        <f t="shared" si="142"/>
        <v>1.4580555555555545</v>
      </c>
      <c r="Q81" s="937">
        <f t="shared" si="142"/>
        <v>1.2681318681318681</v>
      </c>
      <c r="R81" s="937">
        <f t="shared" si="142"/>
        <v>1.2007875457875488</v>
      </c>
      <c r="S81" s="384">
        <v>1</v>
      </c>
      <c r="T81" s="330">
        <f t="shared" si="143"/>
        <v>1.5544354838709726</v>
      </c>
      <c r="U81" s="936">
        <f t="shared" si="143"/>
        <v>1.2</v>
      </c>
      <c r="V81" s="936">
        <f t="shared" si="143"/>
        <v>1.2906489071038287</v>
      </c>
      <c r="W81" s="384">
        <v>1</v>
      </c>
      <c r="X81" s="330">
        <f t="shared" si="144"/>
        <v>1.1541666666666628</v>
      </c>
      <c r="Y81" s="936">
        <f t="shared" si="144"/>
        <v>1.1594771241830066</v>
      </c>
      <c r="Z81" s="936">
        <f t="shared" si="144"/>
        <v>1.2629956427015272</v>
      </c>
      <c r="AA81" s="384">
        <v>1</v>
      </c>
      <c r="AB81" s="330">
        <f t="shared" si="177"/>
        <v>1.2852777777777777</v>
      </c>
      <c r="AC81" s="937">
        <f t="shared" si="177"/>
        <v>1</v>
      </c>
      <c r="AD81" s="937">
        <f t="shared" si="177"/>
        <v>1.33179347826087</v>
      </c>
      <c r="AE81" s="938">
        <f t="shared" si="177"/>
        <v>1.1333333333333333</v>
      </c>
      <c r="AF81" s="938">
        <f t="shared" si="177"/>
        <v>1.2666484517304206</v>
      </c>
      <c r="AG81" s="384">
        <v>1</v>
      </c>
      <c r="AH81" s="330">
        <f t="shared" si="146"/>
        <v>1.3350403225806489</v>
      </c>
      <c r="AI81" s="936">
        <f t="shared" si="146"/>
        <v>1.1140186915887851</v>
      </c>
      <c r="AJ81" s="936">
        <f t="shared" si="146"/>
        <v>1.2765556853582574</v>
      </c>
      <c r="AK81" s="384">
        <v>1</v>
      </c>
      <c r="AL81" s="330">
        <f t="shared" si="147"/>
        <v>0.83647222222222839</v>
      </c>
      <c r="AM81" s="936">
        <f t="shared" si="147"/>
        <v>1.1000000000000001</v>
      </c>
      <c r="AN81" s="936">
        <f t="shared" si="147"/>
        <v>1.2224470628415327</v>
      </c>
      <c r="AO81" s="384">
        <v>1</v>
      </c>
      <c r="AP81" s="330">
        <f t="shared" si="178"/>
        <v>1.1300806451612884</v>
      </c>
      <c r="AQ81" s="937">
        <f t="shared" si="178"/>
        <v>1</v>
      </c>
      <c r="AR81" s="937">
        <f t="shared" si="178"/>
        <v>1.1034012681159446</v>
      </c>
      <c r="AS81" s="936">
        <f t="shared" si="178"/>
        <v>1.0887272727272728</v>
      </c>
      <c r="AT81" s="936">
        <f t="shared" si="178"/>
        <v>1.2120348484848504</v>
      </c>
      <c r="AU81" s="384">
        <v>1</v>
      </c>
      <c r="AV81" s="330">
        <f t="shared" si="149"/>
        <v>1.0709811827956988</v>
      </c>
      <c r="AW81" s="936">
        <f t="shared" si="149"/>
        <v>1.0797385620915034</v>
      </c>
      <c r="AX81" s="936">
        <f t="shared" si="149"/>
        <v>1.1977450980392172</v>
      </c>
      <c r="AY81" s="384">
        <v>1</v>
      </c>
      <c r="AZ81" s="330">
        <f t="shared" si="150"/>
        <v>1.0417410714285713</v>
      </c>
      <c r="BA81" s="936">
        <f t="shared" si="150"/>
        <v>1.073053892215569</v>
      </c>
      <c r="BB81" s="936">
        <f t="shared" si="150"/>
        <v>1.1846669161676664</v>
      </c>
      <c r="BC81" s="384">
        <v>1</v>
      </c>
      <c r="BD81" s="330">
        <f t="shared" si="179"/>
        <v>1.224462365591396</v>
      </c>
      <c r="BE81" s="937">
        <f t="shared" si="179"/>
        <v>1</v>
      </c>
      <c r="BF81" s="937">
        <f t="shared" si="179"/>
        <v>1.1147499999999995</v>
      </c>
      <c r="BG81" s="938">
        <f t="shared" si="179"/>
        <v>1</v>
      </c>
      <c r="BH81" s="938">
        <f t="shared" si="179"/>
        <v>1.1090132783882791</v>
      </c>
      <c r="BI81" s="936">
        <f t="shared" si="179"/>
        <v>1.0668493150684932</v>
      </c>
      <c r="BJ81" s="936">
        <f t="shared" si="179"/>
        <v>1.1880468036529694</v>
      </c>
      <c r="BK81" s="1222"/>
      <c r="BL81" s="1222"/>
      <c r="BM81" s="1222"/>
      <c r="BN81" s="1222"/>
    </row>
    <row r="82" spans="1:66" x14ac:dyDescent="0.25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4" t="s">
        <v>768</v>
      </c>
      <c r="H82" s="271" t="s">
        <v>729</v>
      </c>
      <c r="I82" s="384">
        <v>1.2</v>
      </c>
      <c r="J82" s="330">
        <f t="shared" si="139"/>
        <v>1.1078138888888909</v>
      </c>
      <c r="K82" s="384">
        <v>1.2</v>
      </c>
      <c r="L82" s="330">
        <f t="shared" ref="L82" si="187">L33/1000/24/L$3</f>
        <v>1.1968814516129018</v>
      </c>
      <c r="M82" s="936">
        <f t="shared" si="141"/>
        <v>1.2</v>
      </c>
      <c r="N82" s="936">
        <f t="shared" si="141"/>
        <v>1.1530777322404373</v>
      </c>
      <c r="O82" s="384">
        <v>1.4</v>
      </c>
      <c r="P82" s="330">
        <f t="shared" si="142"/>
        <v>1.2591351388888889</v>
      </c>
      <c r="Q82" s="937">
        <f t="shared" si="142"/>
        <v>1.2659340659340659</v>
      </c>
      <c r="R82" s="937">
        <f t="shared" si="142"/>
        <v>1.1880417124542129</v>
      </c>
      <c r="S82" s="384">
        <v>1.4</v>
      </c>
      <c r="T82" s="330">
        <f t="shared" si="143"/>
        <v>1.1862307526881717</v>
      </c>
      <c r="U82" s="936">
        <f t="shared" si="143"/>
        <v>1.3</v>
      </c>
      <c r="V82" s="936">
        <f t="shared" si="143"/>
        <v>1.1875815505464482</v>
      </c>
      <c r="W82" s="384">
        <v>1.4</v>
      </c>
      <c r="X82" s="330">
        <f t="shared" si="144"/>
        <v>1.2874363978494607</v>
      </c>
      <c r="Y82" s="936">
        <f t="shared" si="144"/>
        <v>1.3202614379084967</v>
      </c>
      <c r="Z82" s="936">
        <f t="shared" si="144"/>
        <v>1.2078135784313722</v>
      </c>
      <c r="AA82" s="384">
        <v>1.4</v>
      </c>
      <c r="AB82" s="330">
        <f t="shared" si="177"/>
        <v>1.1752444444444445</v>
      </c>
      <c r="AC82" s="937">
        <f t="shared" si="177"/>
        <v>1.4</v>
      </c>
      <c r="AD82" s="937">
        <f t="shared" si="177"/>
        <v>1.2167501630434776</v>
      </c>
      <c r="AE82" s="938">
        <f t="shared" si="177"/>
        <v>1.3333333333333333</v>
      </c>
      <c r="AF82" s="938">
        <f t="shared" si="177"/>
        <v>1.2024743761384333</v>
      </c>
      <c r="AG82" s="384">
        <v>1.4</v>
      </c>
      <c r="AH82" s="330">
        <f t="shared" si="146"/>
        <v>1.1348008064516146</v>
      </c>
      <c r="AI82" s="936">
        <f t="shared" si="146"/>
        <v>1.3429906542056076</v>
      </c>
      <c r="AJ82" s="936">
        <f t="shared" si="146"/>
        <v>1.1926711954828662</v>
      </c>
      <c r="AK82" s="384">
        <v>1.4</v>
      </c>
      <c r="AL82" s="330">
        <f t="shared" si="147"/>
        <v>0.80291049999999919</v>
      </c>
      <c r="AM82" s="936">
        <f t="shared" si="147"/>
        <v>1.35</v>
      </c>
      <c r="AN82" s="936">
        <f t="shared" si="147"/>
        <v>1.1447497984972679</v>
      </c>
      <c r="AO82" s="384">
        <v>1.4</v>
      </c>
      <c r="AP82" s="330">
        <f t="shared" si="178"/>
        <v>1.005424731182796</v>
      </c>
      <c r="AQ82" s="937">
        <f t="shared" si="178"/>
        <v>1.4</v>
      </c>
      <c r="AR82" s="937">
        <f t="shared" si="178"/>
        <v>0.98298159420289888</v>
      </c>
      <c r="AS82" s="936">
        <f t="shared" si="178"/>
        <v>1.3556363636363638</v>
      </c>
      <c r="AT82" s="936">
        <f t="shared" si="178"/>
        <v>1.1290440636363637</v>
      </c>
      <c r="AU82" s="384">
        <v>1.4</v>
      </c>
      <c r="AV82" s="330">
        <f t="shared" si="149"/>
        <v>1.0438978494623663</v>
      </c>
      <c r="AW82" s="936">
        <f t="shared" si="149"/>
        <v>1.3601307189542484</v>
      </c>
      <c r="AX82" s="936">
        <f t="shared" si="149"/>
        <v>1.1204181399782134</v>
      </c>
      <c r="AY82" s="384">
        <v>1.4</v>
      </c>
      <c r="AZ82" s="330">
        <f t="shared" si="150"/>
        <v>1.0638648809523803</v>
      </c>
      <c r="BA82" s="936">
        <f t="shared" si="150"/>
        <v>1.3634730538922157</v>
      </c>
      <c r="BB82" s="936">
        <f t="shared" si="150"/>
        <v>1.1156771482035928</v>
      </c>
      <c r="BC82" s="384">
        <v>1.4</v>
      </c>
      <c r="BD82" s="330">
        <f t="shared" si="179"/>
        <v>1.0987927419354826</v>
      </c>
      <c r="BE82" s="937">
        <f t="shared" si="179"/>
        <v>1.4</v>
      </c>
      <c r="BF82" s="937">
        <f t="shared" si="179"/>
        <v>1.0690180555555553</v>
      </c>
      <c r="BG82" s="938">
        <f t="shared" si="179"/>
        <v>1.4</v>
      </c>
      <c r="BH82" s="938">
        <f t="shared" si="179"/>
        <v>1.0255270970695971</v>
      </c>
      <c r="BI82" s="936">
        <f t="shared" si="179"/>
        <v>1.3665753424657534</v>
      </c>
      <c r="BJ82" s="936">
        <f t="shared" si="179"/>
        <v>1.1142431301369862</v>
      </c>
      <c r="BK82" s="1222"/>
      <c r="BL82" s="1222"/>
      <c r="BM82" s="1222"/>
      <c r="BN82" s="1222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22"/>
      <c r="BL83" s="1222"/>
      <c r="BM83" s="1222"/>
      <c r="BN83" s="1222"/>
    </row>
    <row r="84" spans="1:66" ht="15.75" thickBot="1" x14ac:dyDescent="0.3">
      <c r="D84" s="316"/>
      <c r="E84" s="316"/>
      <c r="G84" s="925" t="s">
        <v>769</v>
      </c>
      <c r="H84" s="839" t="s">
        <v>730</v>
      </c>
      <c r="I84" s="385">
        <f>+SUM(I85:I88)</f>
        <v>2.5215533333333338</v>
      </c>
      <c r="J84" s="334">
        <f t="shared" ref="J84:J96" si="188">J35/1000/24/J$3</f>
        <v>2.0250527965740726</v>
      </c>
      <c r="K84" s="385">
        <f>+SUM(K85:K88)</f>
        <v>2.5215533333333333</v>
      </c>
      <c r="L84" s="334">
        <f t="shared" ref="L84" si="189">L35/1000/24/L$3</f>
        <v>2.2689348890232992</v>
      </c>
      <c r="M84" s="940">
        <f t="shared" ref="M84:N96" si="190">M35/1000/24/M$3</f>
        <v>2.5215533333333333</v>
      </c>
      <c r="N84" s="940">
        <f t="shared" si="190"/>
        <v>2.1489928763433515</v>
      </c>
      <c r="O84" s="385">
        <f>+SUM(O85:O88)</f>
        <v>3.2192563936111105</v>
      </c>
      <c r="P84" s="334">
        <f t="shared" ref="P84:R96" si="191">P35/1000/24/P$3</f>
        <v>2.2108826472222245</v>
      </c>
      <c r="Q84" s="941">
        <f t="shared" si="191"/>
        <v>2.751565331227106</v>
      </c>
      <c r="R84" s="941">
        <f t="shared" si="191"/>
        <v>2.1693960975122106</v>
      </c>
      <c r="S84" s="385">
        <f>+SUM(S85:S88)</f>
        <v>3.198448</v>
      </c>
      <c r="T84" s="334">
        <f t="shared" ref="T84:V96" si="192">T35/1000/24/T$3</f>
        <v>2.2310203221326161</v>
      </c>
      <c r="U84" s="940">
        <f t="shared" si="192"/>
        <v>2.8651174847677594</v>
      </c>
      <c r="V84" s="940">
        <f t="shared" si="192"/>
        <v>2.1850547119649364</v>
      </c>
      <c r="W84" s="385">
        <f>+SUM(W85:W88)</f>
        <v>3.198448</v>
      </c>
      <c r="X84" s="5012">
        <f t="shared" ref="X84:Z96" si="193">X35/1000/24/X$3</f>
        <v>2.2803619498207888</v>
      </c>
      <c r="Y84" s="940">
        <f t="shared" si="193"/>
        <v>2.9326550401416118</v>
      </c>
      <c r="Z84" s="940">
        <f t="shared" si="193"/>
        <v>2.2043653287854035</v>
      </c>
      <c r="AA84" s="385">
        <f>+SUM(AA85:AA88)</f>
        <v>3.198448</v>
      </c>
      <c r="AB84" s="5012">
        <f t="shared" ref="AB84:AF96" si="194">AB35/1000/24/AB$3</f>
        <v>2.3407472222222219</v>
      </c>
      <c r="AC84" s="941">
        <f t="shared" si="194"/>
        <v>3.1984480000000004</v>
      </c>
      <c r="AD84" s="941">
        <f t="shared" si="194"/>
        <v>2.2834268162741544</v>
      </c>
      <c r="AE84" s="942">
        <f t="shared" si="194"/>
        <v>2.9762276565118397</v>
      </c>
      <c r="AF84" s="942">
        <f t="shared" si="194"/>
        <v>2.2267230162340623</v>
      </c>
      <c r="AG84" s="385">
        <f>+SUM(AG85:AG88)</f>
        <v>3.198448</v>
      </c>
      <c r="AH84" s="5012">
        <f t="shared" ref="AH84:AJ96" si="195">AH35/1000/24/AH$3</f>
        <v>2.2481326447132624</v>
      </c>
      <c r="AI84" s="940">
        <f t="shared" si="195"/>
        <v>3.0084184539330217</v>
      </c>
      <c r="AJ84" s="940">
        <f t="shared" si="195"/>
        <v>2.2298244110137597</v>
      </c>
      <c r="AK84" s="385">
        <f>+SUM(AK85:AK88)</f>
        <v>3.198448</v>
      </c>
      <c r="AL84" s="5012">
        <f t="shared" ref="AL84:AN96" si="196">AL35/1000/24/AL$3</f>
        <v>2.1214998888888883</v>
      </c>
      <c r="AM84" s="940">
        <f t="shared" si="196"/>
        <v>3.0317827423838799</v>
      </c>
      <c r="AN84" s="940">
        <f t="shared" si="196"/>
        <v>2.2165058222279144</v>
      </c>
      <c r="AO84" s="385">
        <f>+SUM(AO85:AO88)</f>
        <v>3.198448</v>
      </c>
      <c r="AP84" s="5012">
        <f t="shared" ref="AP84:AT96" si="197">AP35/1000/24/AP$3</f>
        <v>1.9774666935483873</v>
      </c>
      <c r="AQ84" s="941">
        <f t="shared" si="197"/>
        <v>3.1984479999999995</v>
      </c>
      <c r="AR84" s="941">
        <f t="shared" si="197"/>
        <v>2.115636697312802</v>
      </c>
      <c r="AS84" s="940">
        <f t="shared" si="197"/>
        <v>3.050570462333333</v>
      </c>
      <c r="AT84" s="940">
        <f t="shared" si="197"/>
        <v>2.1895595931767682</v>
      </c>
      <c r="AU84" s="385">
        <f>+SUM(AU85:AU88)</f>
        <v>3.198448</v>
      </c>
      <c r="AV84" s="334">
        <f t="shared" ref="AV84:AX96" si="198">AV35/1000/24/AV$3</f>
        <v>1.9581805555555565</v>
      </c>
      <c r="AW84" s="940">
        <f t="shared" si="198"/>
        <v>3.0655515200708061</v>
      </c>
      <c r="AX84" s="940">
        <f t="shared" si="198"/>
        <v>2.1661192331563184</v>
      </c>
      <c r="AY84" s="385">
        <f>+SUM(AY85:AY88)</f>
        <v>3.198448</v>
      </c>
      <c r="AZ84" s="334">
        <f t="shared" ref="AZ84:BB96" si="199">AZ35/1000/24/AZ$3</f>
        <v>2.0464039130704372</v>
      </c>
      <c r="BA84" s="940">
        <f t="shared" si="199"/>
        <v>3.0766925423403189</v>
      </c>
      <c r="BB84" s="940">
        <f t="shared" si="199"/>
        <v>2.1560832182988192</v>
      </c>
      <c r="BC84" s="385">
        <f>+SUM(BC85:BC88)</f>
        <v>3.198448</v>
      </c>
      <c r="BD84" s="334">
        <f t="shared" ref="BD84:BJ96" si="200">BD35/1000/24/BD$3</f>
        <v>2.0746432851478471</v>
      </c>
      <c r="BE84" s="941">
        <f t="shared" si="200"/>
        <v>3.1984480000000008</v>
      </c>
      <c r="BF84" s="941">
        <f t="shared" si="200"/>
        <v>2.0257427625308639</v>
      </c>
      <c r="BG84" s="942">
        <f t="shared" si="200"/>
        <v>3.198448</v>
      </c>
      <c r="BH84" s="942">
        <f t="shared" si="200"/>
        <v>2.071183652640415</v>
      </c>
      <c r="BI84" s="940">
        <f t="shared" si="200"/>
        <v>3.0870334168264839</v>
      </c>
      <c r="BJ84" s="940">
        <f t="shared" si="200"/>
        <v>2.1491664020585994</v>
      </c>
      <c r="BK84" s="1222"/>
      <c r="BL84" s="1222"/>
      <c r="BM84" s="1222"/>
      <c r="BN84" s="1222"/>
    </row>
    <row r="85" spans="1:66" ht="21" thickBot="1" x14ac:dyDescent="0.3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4" t="s">
        <v>770</v>
      </c>
      <c r="H85" s="271" t="s">
        <v>731</v>
      </c>
      <c r="I85" s="384">
        <v>1.6715533333333334</v>
      </c>
      <c r="J85" s="330">
        <f t="shared" si="188"/>
        <v>1.5147680555555545</v>
      </c>
      <c r="K85" s="384">
        <v>1.6715533333333332</v>
      </c>
      <c r="L85" s="330">
        <f t="shared" ref="L85" si="201">L36/1000/24/L$3</f>
        <v>1.6557514784946237</v>
      </c>
      <c r="M85" s="936">
        <f t="shared" si="190"/>
        <v>1.6715533333333337</v>
      </c>
      <c r="N85" s="936">
        <f t="shared" si="190"/>
        <v>1.5864153688524585</v>
      </c>
      <c r="O85" s="384">
        <v>1.6734609088888885</v>
      </c>
      <c r="P85" s="330">
        <f t="shared" si="191"/>
        <v>1.6552291666666679</v>
      </c>
      <c r="Q85" s="937">
        <f t="shared" si="191"/>
        <v>1.6721822043956043</v>
      </c>
      <c r="R85" s="937">
        <f t="shared" si="191"/>
        <v>1.6091012362637367</v>
      </c>
      <c r="S85" s="384">
        <v>1.6484480000000001</v>
      </c>
      <c r="T85" s="330">
        <f t="shared" si="192"/>
        <v>1.6595806451612902</v>
      </c>
      <c r="U85" s="936">
        <f t="shared" si="192"/>
        <v>1.6661513819672129</v>
      </c>
      <c r="V85" s="936">
        <f t="shared" si="192"/>
        <v>1.6219279713114754</v>
      </c>
      <c r="W85" s="384">
        <v>1.6484480000000001</v>
      </c>
      <c r="X85" s="330">
        <f t="shared" si="193"/>
        <v>1.6811680107526881</v>
      </c>
      <c r="Y85" s="936">
        <f t="shared" si="193"/>
        <v>1.6625644222222222</v>
      </c>
      <c r="Z85" s="936">
        <f t="shared" si="193"/>
        <v>1.6339308551198259</v>
      </c>
      <c r="AA85" s="384">
        <v>1.6484479999999999</v>
      </c>
      <c r="AB85" s="330">
        <f t="shared" si="194"/>
        <v>1.7503527777777776</v>
      </c>
      <c r="AC85" s="937">
        <f t="shared" si="194"/>
        <v>1.6484480000000004</v>
      </c>
      <c r="AD85" s="937">
        <f t="shared" si="194"/>
        <v>1.6964542572463768</v>
      </c>
      <c r="AE85" s="938">
        <f t="shared" si="194"/>
        <v>1.6602502546448086</v>
      </c>
      <c r="AF85" s="938">
        <f t="shared" si="194"/>
        <v>1.6530164162112935</v>
      </c>
      <c r="AG85" s="384">
        <v>1.6484480000000001</v>
      </c>
      <c r="AH85" s="330">
        <f t="shared" si="195"/>
        <v>1.658100806451613</v>
      </c>
      <c r="AI85" s="936">
        <f t="shared" si="195"/>
        <v>1.6585405822429908</v>
      </c>
      <c r="AJ85" s="936">
        <f t="shared" si="195"/>
        <v>1.653752940031153</v>
      </c>
      <c r="AK85" s="384">
        <v>1.6484479999999999</v>
      </c>
      <c r="AL85" s="330">
        <f t="shared" si="196"/>
        <v>1.5833013888888883</v>
      </c>
      <c r="AM85" s="936">
        <f t="shared" si="196"/>
        <v>1.6572996909836066</v>
      </c>
      <c r="AN85" s="936">
        <f t="shared" si="196"/>
        <v>1.6450908640710384</v>
      </c>
      <c r="AO85" s="384">
        <v>1.6484480000000001</v>
      </c>
      <c r="AP85" s="330">
        <f t="shared" si="197"/>
        <v>1.5107620967741937</v>
      </c>
      <c r="AQ85" s="937">
        <f t="shared" si="197"/>
        <v>1.6484480000000004</v>
      </c>
      <c r="AR85" s="937">
        <f t="shared" si="197"/>
        <v>1.5840629528985504</v>
      </c>
      <c r="AS85" s="936">
        <f t="shared" si="197"/>
        <v>1.6563018640000005</v>
      </c>
      <c r="AT85" s="936">
        <f t="shared" si="197"/>
        <v>1.6299483484848487</v>
      </c>
      <c r="AU85" s="384">
        <v>1.6484480000000001</v>
      </c>
      <c r="AV85" s="330">
        <f t="shared" si="198"/>
        <v>1.4298736559139795</v>
      </c>
      <c r="AW85" s="936">
        <f t="shared" si="198"/>
        <v>1.6555062111111116</v>
      </c>
      <c r="AX85" s="936">
        <f t="shared" si="198"/>
        <v>1.6096793436819175</v>
      </c>
      <c r="AY85" s="384">
        <v>1.6484480000000001</v>
      </c>
      <c r="AZ85" s="330">
        <f t="shared" si="199"/>
        <v>1.5353080357142852</v>
      </c>
      <c r="BA85" s="936">
        <f t="shared" si="199"/>
        <v>1.6549145047904195</v>
      </c>
      <c r="BB85" s="936">
        <f t="shared" si="199"/>
        <v>1.6034446232534929</v>
      </c>
      <c r="BC85" s="384">
        <v>1.6484480000000001</v>
      </c>
      <c r="BD85" s="330">
        <f t="shared" si="200"/>
        <v>1.5654637096774195</v>
      </c>
      <c r="BE85" s="937">
        <f t="shared" si="200"/>
        <v>1.6484480000000004</v>
      </c>
      <c r="BF85" s="937">
        <f t="shared" si="200"/>
        <v>1.5093787037037039</v>
      </c>
      <c r="BG85" s="938">
        <f t="shared" si="200"/>
        <v>1.6484480000000001</v>
      </c>
      <c r="BH85" s="938">
        <f t="shared" si="200"/>
        <v>1.5471311813186814</v>
      </c>
      <c r="BI85" s="936">
        <f t="shared" si="200"/>
        <v>1.6543652947945211</v>
      </c>
      <c r="BJ85" s="936">
        <f t="shared" si="200"/>
        <v>1.6002188470319636</v>
      </c>
      <c r="BK85" s="1222"/>
      <c r="BL85" s="1222"/>
      <c r="BM85" s="1222"/>
      <c r="BN85" s="1222"/>
    </row>
    <row r="86" spans="1:66" x14ac:dyDescent="0.25">
      <c r="G86" s="914" t="s">
        <v>771</v>
      </c>
      <c r="H86" s="271" t="s">
        <v>732</v>
      </c>
      <c r="I86" s="384">
        <v>0.5</v>
      </c>
      <c r="J86" s="330">
        <f t="shared" si="188"/>
        <v>0.30725601851851897</v>
      </c>
      <c r="K86" s="384">
        <v>0.5</v>
      </c>
      <c r="L86" s="330">
        <f t="shared" ref="L86" si="202">L37/1000/24/L$3</f>
        <v>0.29523297491039441</v>
      </c>
      <c r="M86" s="936">
        <f t="shared" si="190"/>
        <v>0.5</v>
      </c>
      <c r="N86" s="936">
        <f t="shared" si="190"/>
        <v>0.30114594717668519</v>
      </c>
      <c r="O86" s="384">
        <v>0.89579548472222204</v>
      </c>
      <c r="P86" s="330">
        <f t="shared" si="191"/>
        <v>0.30750555555555575</v>
      </c>
      <c r="Q86" s="937">
        <f t="shared" si="191"/>
        <v>0.63048202793040276</v>
      </c>
      <c r="R86" s="937">
        <f t="shared" si="191"/>
        <v>0.30324252136752161</v>
      </c>
      <c r="S86" s="384">
        <v>0.9</v>
      </c>
      <c r="T86" s="330">
        <f t="shared" si="192"/>
        <v>0.32263396057347665</v>
      </c>
      <c r="U86" s="936">
        <f t="shared" si="192"/>
        <v>0.6989661028005465</v>
      </c>
      <c r="V86" s="936">
        <f t="shared" si="192"/>
        <v>0.30816985428051025</v>
      </c>
      <c r="W86" s="384">
        <v>0.9</v>
      </c>
      <c r="X86" s="330">
        <f t="shared" si="193"/>
        <v>0.33594444444444416</v>
      </c>
      <c r="Y86" s="936">
        <f t="shared" si="193"/>
        <v>0.73969846105664483</v>
      </c>
      <c r="Z86" s="936">
        <f t="shared" si="193"/>
        <v>0.31379738562091503</v>
      </c>
      <c r="AA86" s="384">
        <v>0.9</v>
      </c>
      <c r="AB86" s="330">
        <f t="shared" si="194"/>
        <v>0.36517638888888893</v>
      </c>
      <c r="AC86" s="937">
        <f t="shared" si="194"/>
        <v>0.9</v>
      </c>
      <c r="AD86" s="937">
        <f t="shared" si="194"/>
        <v>0.34099154589371972</v>
      </c>
      <c r="AE86" s="938">
        <f t="shared" si="194"/>
        <v>0.76597740186703089</v>
      </c>
      <c r="AF86" s="938">
        <f t="shared" si="194"/>
        <v>0.32222017304189443</v>
      </c>
      <c r="AG86" s="384">
        <v>0.9</v>
      </c>
      <c r="AH86" s="330">
        <f t="shared" si="195"/>
        <v>0.32958691756272407</v>
      </c>
      <c r="AI86" s="936">
        <f t="shared" si="195"/>
        <v>0.78539189038161994</v>
      </c>
      <c r="AJ86" s="936">
        <f t="shared" si="195"/>
        <v>0.32328731827622026</v>
      </c>
      <c r="AK86" s="384">
        <v>0.9</v>
      </c>
      <c r="AL86" s="330">
        <f t="shared" si="196"/>
        <v>0.32082777777777793</v>
      </c>
      <c r="AM86" s="936">
        <f t="shared" si="196"/>
        <v>0.7994830514002732</v>
      </c>
      <c r="AN86" s="936">
        <f t="shared" si="196"/>
        <v>0.32298491575591998</v>
      </c>
      <c r="AO86" s="384">
        <v>0.9</v>
      </c>
      <c r="AP86" s="330">
        <f t="shared" si="197"/>
        <v>0.28675672043010736</v>
      </c>
      <c r="AQ86" s="937">
        <f t="shared" si="197"/>
        <v>0.9</v>
      </c>
      <c r="AR86" s="937">
        <f t="shared" si="197"/>
        <v>0.31229876207729473</v>
      </c>
      <c r="AS86" s="936">
        <f t="shared" si="197"/>
        <v>0.81081405287878794</v>
      </c>
      <c r="AT86" s="936">
        <f t="shared" si="197"/>
        <v>0.31890101010101018</v>
      </c>
      <c r="AU86" s="384">
        <v>0.9</v>
      </c>
      <c r="AV86" s="330">
        <f t="shared" si="198"/>
        <v>0.31431362007168473</v>
      </c>
      <c r="AW86" s="936">
        <f t="shared" si="198"/>
        <v>0.81984923052832237</v>
      </c>
      <c r="AX86" s="936">
        <f t="shared" si="198"/>
        <v>0.31843627450980405</v>
      </c>
      <c r="AY86" s="384">
        <v>0.9</v>
      </c>
      <c r="AZ86" s="330">
        <f t="shared" si="199"/>
        <v>0.30220138888888909</v>
      </c>
      <c r="BA86" s="936">
        <f t="shared" si="199"/>
        <v>0.82656845671157675</v>
      </c>
      <c r="BB86" s="936">
        <f t="shared" si="199"/>
        <v>0.31707526613439801</v>
      </c>
      <c r="BC86" s="384">
        <v>0.9</v>
      </c>
      <c r="BD86" s="330">
        <f t="shared" si="200"/>
        <v>0.3065591397849447</v>
      </c>
      <c r="BE86" s="937">
        <f t="shared" si="200"/>
        <v>0.9</v>
      </c>
      <c r="BF86" s="937">
        <f t="shared" si="200"/>
        <v>0.30787438271604894</v>
      </c>
      <c r="BG86" s="938">
        <f t="shared" si="200"/>
        <v>0.89999999999999991</v>
      </c>
      <c r="BH86" s="938">
        <f t="shared" si="200"/>
        <v>0.31011088217338201</v>
      </c>
      <c r="BI86" s="936">
        <f t="shared" si="200"/>
        <v>0.83280510833333332</v>
      </c>
      <c r="BJ86" s="936">
        <f t="shared" si="200"/>
        <v>0.31618211567732113</v>
      </c>
      <c r="BK86" s="1222"/>
      <c r="BL86" s="1222"/>
      <c r="BM86" s="1222"/>
      <c r="BN86" s="1222"/>
    </row>
    <row r="87" spans="1:66" x14ac:dyDescent="0.25">
      <c r="G87" s="914" t="s">
        <v>772</v>
      </c>
      <c r="H87" s="271" t="s">
        <v>733</v>
      </c>
      <c r="I87" s="384">
        <v>0.2</v>
      </c>
      <c r="J87" s="330">
        <f t="shared" si="188"/>
        <v>0.11231511138888882</v>
      </c>
      <c r="K87" s="384">
        <v>0.2</v>
      </c>
      <c r="L87" s="330">
        <f t="shared" ref="L87" si="203">L38/1000/24/L$3</f>
        <v>0.13390204852150542</v>
      </c>
      <c r="M87" s="936">
        <f t="shared" si="190"/>
        <v>0.2</v>
      </c>
      <c r="N87" s="936">
        <f t="shared" si="190"/>
        <v>0.12328552206284155</v>
      </c>
      <c r="O87" s="384">
        <v>0.5</v>
      </c>
      <c r="P87" s="330">
        <f t="shared" si="191"/>
        <v>0.15505848055555571</v>
      </c>
      <c r="Q87" s="937">
        <f t="shared" si="191"/>
        <v>0.29890109890109889</v>
      </c>
      <c r="R87" s="937">
        <f t="shared" si="191"/>
        <v>0.13376012376373633</v>
      </c>
      <c r="S87" s="384">
        <v>0.5</v>
      </c>
      <c r="T87" s="330">
        <f t="shared" si="192"/>
        <v>0.15668340456989222</v>
      </c>
      <c r="U87" s="936">
        <f t="shared" si="192"/>
        <v>0.35</v>
      </c>
      <c r="V87" s="936">
        <f t="shared" si="192"/>
        <v>0.13958489183743167</v>
      </c>
      <c r="W87" s="384">
        <v>0.5</v>
      </c>
      <c r="X87" s="330">
        <f t="shared" si="193"/>
        <v>0.14865460215053758</v>
      </c>
      <c r="Y87" s="936">
        <f t="shared" si="193"/>
        <v>0.38039215686274508</v>
      </c>
      <c r="Z87" s="936">
        <f t="shared" si="193"/>
        <v>0.14142254556100214</v>
      </c>
      <c r="AA87" s="384">
        <v>0.5</v>
      </c>
      <c r="AB87" s="330">
        <f t="shared" si="194"/>
        <v>0.13717916666666669</v>
      </c>
      <c r="AC87" s="937">
        <f t="shared" si="194"/>
        <v>0.5</v>
      </c>
      <c r="AD87" s="937">
        <f t="shared" si="194"/>
        <v>0.14761796965579696</v>
      </c>
      <c r="AE87" s="938">
        <f t="shared" si="194"/>
        <v>0.4</v>
      </c>
      <c r="AF87" s="938">
        <f t="shared" si="194"/>
        <v>0.14072690967668483</v>
      </c>
      <c r="AG87" s="384">
        <v>0.5</v>
      </c>
      <c r="AH87" s="330">
        <f t="shared" si="195"/>
        <v>0.15005594220430132</v>
      </c>
      <c r="AI87" s="936">
        <f t="shared" si="195"/>
        <v>0.41448598130841124</v>
      </c>
      <c r="AJ87" s="936">
        <f t="shared" si="195"/>
        <v>0.14207831158489095</v>
      </c>
      <c r="AK87" s="384">
        <v>0.5</v>
      </c>
      <c r="AL87" s="330">
        <f t="shared" si="196"/>
        <v>0.12485683333333325</v>
      </c>
      <c r="AM87" s="936">
        <f t="shared" si="196"/>
        <v>0.42499999999999999</v>
      </c>
      <c r="AN87" s="936">
        <f t="shared" si="196"/>
        <v>0.13996091671789615</v>
      </c>
      <c r="AO87" s="384">
        <v>0.5</v>
      </c>
      <c r="AP87" s="330">
        <f t="shared" si="197"/>
        <v>0.11673443548387112</v>
      </c>
      <c r="AQ87" s="937">
        <f t="shared" si="197"/>
        <v>0.5</v>
      </c>
      <c r="AR87" s="937">
        <f t="shared" si="197"/>
        <v>0.13061094248188415</v>
      </c>
      <c r="AS87" s="936">
        <f t="shared" si="197"/>
        <v>0.43345454545454548</v>
      </c>
      <c r="AT87" s="936">
        <f t="shared" si="197"/>
        <v>0.13734265883333333</v>
      </c>
      <c r="AU87" s="384">
        <v>0.5</v>
      </c>
      <c r="AV87" s="330">
        <f t="shared" si="198"/>
        <v>0.12563467741935441</v>
      </c>
      <c r="AW87" s="936">
        <f t="shared" si="198"/>
        <v>0.44019607843137259</v>
      </c>
      <c r="AX87" s="936">
        <f t="shared" si="198"/>
        <v>0.1361565561410675</v>
      </c>
      <c r="AY87" s="384">
        <v>0.5</v>
      </c>
      <c r="AZ87" s="330">
        <f t="shared" si="199"/>
        <v>0.11269061941964323</v>
      </c>
      <c r="BA87" s="936">
        <f t="shared" si="199"/>
        <v>0.4452095808383234</v>
      </c>
      <c r="BB87" s="936">
        <f t="shared" si="199"/>
        <v>0.13418935186501998</v>
      </c>
      <c r="BC87" s="384">
        <v>0.5</v>
      </c>
      <c r="BD87" s="330">
        <f t="shared" si="200"/>
        <v>9.5416672244623649E-2</v>
      </c>
      <c r="BE87" s="937">
        <f t="shared" si="200"/>
        <v>0.5</v>
      </c>
      <c r="BF87" s="937">
        <f t="shared" si="200"/>
        <v>0.11119921314814811</v>
      </c>
      <c r="BG87" s="938">
        <f t="shared" si="200"/>
        <v>0.5</v>
      </c>
      <c r="BH87" s="938">
        <f t="shared" si="200"/>
        <v>0.12101173566849821</v>
      </c>
      <c r="BI87" s="936">
        <f t="shared" si="200"/>
        <v>0.44986301369863019</v>
      </c>
      <c r="BJ87" s="936">
        <f t="shared" si="200"/>
        <v>0.13089632976027399</v>
      </c>
      <c r="BK87" s="1222"/>
      <c r="BL87" s="1222"/>
      <c r="BM87" s="1222"/>
      <c r="BN87" s="1222"/>
    </row>
    <row r="88" spans="1:66" x14ac:dyDescent="0.25">
      <c r="G88" s="914" t="s">
        <v>772</v>
      </c>
      <c r="H88" s="271" t="s">
        <v>734</v>
      </c>
      <c r="I88" s="384">
        <v>0.15</v>
      </c>
      <c r="J88" s="330">
        <f t="shared" si="188"/>
        <v>9.0713611111110301E-2</v>
      </c>
      <c r="K88" s="384">
        <v>0.15</v>
      </c>
      <c r="L88" s="330">
        <f t="shared" ref="L88" si="204">L39/1000/24/L$3</f>
        <v>0.18404838709677501</v>
      </c>
      <c r="M88" s="936">
        <f t="shared" si="190"/>
        <v>0.15</v>
      </c>
      <c r="N88" s="936">
        <f t="shared" si="190"/>
        <v>0.13814603825136615</v>
      </c>
      <c r="O88" s="384">
        <v>0.15</v>
      </c>
      <c r="P88" s="330">
        <f t="shared" si="191"/>
        <v>9.3089444444444835E-2</v>
      </c>
      <c r="Q88" s="937">
        <f t="shared" si="191"/>
        <v>0.15</v>
      </c>
      <c r="R88" s="937">
        <f t="shared" si="191"/>
        <v>0.12329221611721627</v>
      </c>
      <c r="S88" s="384">
        <v>0.15</v>
      </c>
      <c r="T88" s="330">
        <f t="shared" si="192"/>
        <v>9.2122311827957354E-2</v>
      </c>
      <c r="U88" s="936">
        <f t="shared" si="192"/>
        <v>0.15</v>
      </c>
      <c r="V88" s="936">
        <f t="shared" si="192"/>
        <v>0.11537199453551933</v>
      </c>
      <c r="W88" s="384">
        <v>0.15</v>
      </c>
      <c r="X88" s="330">
        <f t="shared" si="193"/>
        <v>0.11459489247311908</v>
      </c>
      <c r="Y88" s="936">
        <f t="shared" si="193"/>
        <v>0.15</v>
      </c>
      <c r="Z88" s="936">
        <f t="shared" si="193"/>
        <v>0.11521454248366046</v>
      </c>
      <c r="AA88" s="384">
        <v>0.15</v>
      </c>
      <c r="AB88" s="330">
        <f t="shared" si="194"/>
        <v>8.8038888888888875E-2</v>
      </c>
      <c r="AC88" s="937">
        <f t="shared" si="194"/>
        <v>0.15</v>
      </c>
      <c r="AD88" s="937">
        <f t="shared" si="194"/>
        <v>9.8363043478261261E-2</v>
      </c>
      <c r="AE88" s="938">
        <f t="shared" si="194"/>
        <v>0.15</v>
      </c>
      <c r="AF88" s="938">
        <f t="shared" si="194"/>
        <v>0.1107595173041897</v>
      </c>
      <c r="AG88" s="384">
        <v>0.15</v>
      </c>
      <c r="AH88" s="330">
        <f t="shared" si="195"/>
        <v>0.11038897849462366</v>
      </c>
      <c r="AI88" s="936">
        <f t="shared" si="195"/>
        <v>0.15</v>
      </c>
      <c r="AJ88" s="936">
        <f t="shared" si="195"/>
        <v>0.11070584112149555</v>
      </c>
      <c r="AK88" s="384">
        <v>0.15</v>
      </c>
      <c r="AL88" s="330">
        <f t="shared" si="196"/>
        <v>9.2513888888888882E-2</v>
      </c>
      <c r="AM88" s="936">
        <f t="shared" si="196"/>
        <v>0.15</v>
      </c>
      <c r="AN88" s="936">
        <f t="shared" si="196"/>
        <v>0.1084691256830603</v>
      </c>
      <c r="AO88" s="384">
        <v>0.15</v>
      </c>
      <c r="AP88" s="330">
        <f t="shared" si="197"/>
        <v>6.3213440860215075E-2</v>
      </c>
      <c r="AQ88" s="937">
        <f t="shared" si="197"/>
        <v>0.15</v>
      </c>
      <c r="AR88" s="937">
        <f t="shared" si="197"/>
        <v>8.8664039855072471E-2</v>
      </c>
      <c r="AS88" s="936">
        <f t="shared" si="197"/>
        <v>0.15</v>
      </c>
      <c r="AT88" s="936">
        <f t="shared" si="197"/>
        <v>0.10336757575757594</v>
      </c>
      <c r="AU88" s="384">
        <v>0.15</v>
      </c>
      <c r="AV88" s="330">
        <f t="shared" si="198"/>
        <v>8.8358602150537605E-2</v>
      </c>
      <c r="AW88" s="936">
        <f t="shared" si="198"/>
        <v>0.15</v>
      </c>
      <c r="AX88" s="936">
        <f t="shared" si="198"/>
        <v>0.10184705882352955</v>
      </c>
      <c r="AY88" s="384">
        <v>0.15</v>
      </c>
      <c r="AZ88" s="330">
        <f t="shared" si="199"/>
        <v>9.6203869047619933E-2</v>
      </c>
      <c r="BA88" s="936">
        <f t="shared" si="199"/>
        <v>0.15</v>
      </c>
      <c r="BB88" s="936">
        <f t="shared" si="199"/>
        <v>0.10137397704590839</v>
      </c>
      <c r="BC88" s="384">
        <v>0.15</v>
      </c>
      <c r="BD88" s="330">
        <f t="shared" si="200"/>
        <v>0.10720376344085944</v>
      </c>
      <c r="BE88" s="937">
        <f t="shared" si="200"/>
        <v>0.15</v>
      </c>
      <c r="BF88" s="937">
        <f t="shared" si="200"/>
        <v>9.7290462962962954E-2</v>
      </c>
      <c r="BG88" s="938">
        <f t="shared" si="200"/>
        <v>0.15</v>
      </c>
      <c r="BH88" s="938">
        <f t="shared" si="200"/>
        <v>9.2929853479853483E-2</v>
      </c>
      <c r="BI88" s="936">
        <f t="shared" si="200"/>
        <v>0.15</v>
      </c>
      <c r="BJ88" s="936">
        <f t="shared" si="200"/>
        <v>0.10186910958904122</v>
      </c>
      <c r="BK88" s="1222"/>
      <c r="BL88" s="1222"/>
      <c r="BM88" s="1222"/>
      <c r="BN88" s="1222"/>
    </row>
    <row r="89" spans="1:66" x14ac:dyDescent="0.25">
      <c r="G89" s="925">
        <v>4.2</v>
      </c>
      <c r="H89" s="839" t="s">
        <v>735</v>
      </c>
      <c r="I89" s="385">
        <f>+I90+I92</f>
        <v>13.324999999999999</v>
      </c>
      <c r="J89" s="334">
        <f t="shared" si="188"/>
        <v>12.189247317592594</v>
      </c>
      <c r="K89" s="385">
        <f>+K90+K92</f>
        <v>13.324999999999999</v>
      </c>
      <c r="L89" s="334">
        <f t="shared" ref="L89" si="205">L40/1000/24/L$3</f>
        <v>12.964019687724015</v>
      </c>
      <c r="M89" s="940">
        <f t="shared" si="190"/>
        <v>13.324999999999999</v>
      </c>
      <c r="N89" s="940">
        <f t="shared" si="190"/>
        <v>12.582984095856103</v>
      </c>
      <c r="O89" s="385">
        <f>+O90+O92</f>
        <v>13.324999999999999</v>
      </c>
      <c r="P89" s="334">
        <f t="shared" si="191"/>
        <v>13.021717598611112</v>
      </c>
      <c r="Q89" s="941">
        <f t="shared" si="191"/>
        <v>13.325000000000001</v>
      </c>
      <c r="R89" s="941">
        <f t="shared" si="191"/>
        <v>12.727621514346765</v>
      </c>
      <c r="S89" s="385">
        <f>+S90+S92</f>
        <v>13.324999999999999</v>
      </c>
      <c r="T89" s="334">
        <f t="shared" si="192"/>
        <v>12.957285364695345</v>
      </c>
      <c r="U89" s="940">
        <f t="shared" si="192"/>
        <v>13.324999999999999</v>
      </c>
      <c r="V89" s="940">
        <f t="shared" si="192"/>
        <v>12.785978722222227</v>
      </c>
      <c r="W89" s="385">
        <f>+W90+W92</f>
        <v>13.324999999999999</v>
      </c>
      <c r="X89" s="334">
        <f t="shared" si="193"/>
        <v>12.773592593189965</v>
      </c>
      <c r="Y89" s="940">
        <f t="shared" si="193"/>
        <v>13.325000000000001</v>
      </c>
      <c r="Z89" s="940">
        <f t="shared" si="193"/>
        <v>12.783469114379088</v>
      </c>
      <c r="AA89" s="385">
        <f>+AA90+AA92</f>
        <v>13.324999999999999</v>
      </c>
      <c r="AB89" s="334">
        <f t="shared" si="194"/>
        <v>12.517029166666667</v>
      </c>
      <c r="AC89" s="941">
        <f t="shared" si="194"/>
        <v>13.324999999999999</v>
      </c>
      <c r="AD89" s="941">
        <f t="shared" si="194"/>
        <v>12.751827083635266</v>
      </c>
      <c r="AE89" s="942">
        <f t="shared" si="194"/>
        <v>13.324999999999999</v>
      </c>
      <c r="AF89" s="942">
        <f t="shared" si="194"/>
        <v>12.739790434426233</v>
      </c>
      <c r="AG89" s="385">
        <f>+AG90+AG92</f>
        <v>13.324999999999999</v>
      </c>
      <c r="AH89" s="334">
        <f t="shared" si="195"/>
        <v>12.328626302867379</v>
      </c>
      <c r="AI89" s="940">
        <f t="shared" si="195"/>
        <v>13.324999999999999</v>
      </c>
      <c r="AJ89" s="940">
        <f t="shared" si="195"/>
        <v>12.680229275181723</v>
      </c>
      <c r="AK89" s="385">
        <f>+AK90+AK92</f>
        <v>13.324999999999999</v>
      </c>
      <c r="AL89" s="334">
        <f t="shared" si="196"/>
        <v>7.4376351666666727</v>
      </c>
      <c r="AM89" s="940">
        <f t="shared" si="196"/>
        <v>13.324999999999999</v>
      </c>
      <c r="AN89" s="940">
        <f t="shared" si="196"/>
        <v>12.035648032331514</v>
      </c>
      <c r="AO89" s="385">
        <f>+AO90+AO92</f>
        <v>13.324999999999999</v>
      </c>
      <c r="AP89" s="334">
        <f t="shared" si="197"/>
        <v>11.033259858870966</v>
      </c>
      <c r="AQ89" s="941">
        <f t="shared" si="197"/>
        <v>13.324999999999999</v>
      </c>
      <c r="AR89" s="941">
        <f t="shared" si="197"/>
        <v>10.297255717542271</v>
      </c>
      <c r="AS89" s="940">
        <f t="shared" si="197"/>
        <v>13.324999999999999</v>
      </c>
      <c r="AT89" s="940">
        <f t="shared" si="197"/>
        <v>11.922651547323232</v>
      </c>
      <c r="AU89" s="385">
        <f>+AU90+AU92</f>
        <v>13.324999999999999</v>
      </c>
      <c r="AV89" s="334">
        <f t="shared" si="198"/>
        <v>11.437144511648739</v>
      </c>
      <c r="AW89" s="940">
        <f t="shared" si="198"/>
        <v>13.325000000000001</v>
      </c>
      <c r="AX89" s="940">
        <f t="shared" si="198"/>
        <v>11.873466194035949</v>
      </c>
      <c r="AY89" s="385">
        <f>+AY90+AY92</f>
        <v>13.324999999999999</v>
      </c>
      <c r="AZ89" s="334">
        <f t="shared" si="199"/>
        <v>11.164791889384928</v>
      </c>
      <c r="BA89" s="940">
        <f t="shared" si="199"/>
        <v>13.325000000000001</v>
      </c>
      <c r="BB89" s="940">
        <f t="shared" si="199"/>
        <v>11.814056372089155</v>
      </c>
      <c r="BC89" s="385">
        <f>+BC90+BC92</f>
        <v>13.324999999999999</v>
      </c>
      <c r="BD89" s="334">
        <f t="shared" si="200"/>
        <v>11.24765980241934</v>
      </c>
      <c r="BE89" s="941">
        <f t="shared" si="200"/>
        <v>13.324999999999999</v>
      </c>
      <c r="BF89" s="941">
        <f t="shared" si="200"/>
        <v>11.287145629320984</v>
      </c>
      <c r="BG89" s="942">
        <f t="shared" si="200"/>
        <v>13.325000000000001</v>
      </c>
      <c r="BH89" s="942">
        <f t="shared" si="200"/>
        <v>10.786761717872404</v>
      </c>
      <c r="BI89" s="940">
        <f t="shared" si="200"/>
        <v>13.324999999999999</v>
      </c>
      <c r="BJ89" s="940">
        <f t="shared" si="200"/>
        <v>11.765951457952813</v>
      </c>
      <c r="BK89" s="1222"/>
      <c r="BL89" s="1222"/>
      <c r="BM89" s="1222"/>
      <c r="BN89" s="1222"/>
    </row>
    <row r="90" spans="1:66" x14ac:dyDescent="0.25">
      <c r="G90" s="925" t="s">
        <v>774</v>
      </c>
      <c r="H90" s="839" t="s">
        <v>736</v>
      </c>
      <c r="I90" s="385">
        <f>+I91</f>
        <v>7.8</v>
      </c>
      <c r="J90" s="334">
        <f t="shared" si="188"/>
        <v>7.3698055555555557</v>
      </c>
      <c r="K90" s="385">
        <f>+K91</f>
        <v>7.8</v>
      </c>
      <c r="L90" s="334">
        <f t="shared" ref="L90" si="206">L41/1000/24/L$3</f>
        <v>7.6252688172043008</v>
      </c>
      <c r="M90" s="940">
        <f t="shared" si="190"/>
        <v>7.8</v>
      </c>
      <c r="N90" s="940">
        <f t="shared" si="190"/>
        <v>7.4996311475409829</v>
      </c>
      <c r="O90" s="385">
        <f>+O91</f>
        <v>7.8</v>
      </c>
      <c r="P90" s="334">
        <f t="shared" si="191"/>
        <v>7.3380034722222236</v>
      </c>
      <c r="Q90" s="941">
        <f t="shared" si="191"/>
        <v>7.8000000000000007</v>
      </c>
      <c r="R90" s="941">
        <f t="shared" si="191"/>
        <v>7.446347298534798</v>
      </c>
      <c r="S90" s="385">
        <f>+S91</f>
        <v>7.8</v>
      </c>
      <c r="T90" s="334">
        <f t="shared" si="192"/>
        <v>7.6593682795698923</v>
      </c>
      <c r="U90" s="940">
        <f t="shared" si="192"/>
        <v>7.8</v>
      </c>
      <c r="V90" s="940">
        <f t="shared" si="192"/>
        <v>7.5004755806010941</v>
      </c>
      <c r="W90" s="385">
        <f>+W91</f>
        <v>7.8</v>
      </c>
      <c r="X90" s="334">
        <f t="shared" si="193"/>
        <v>7.6725462365591399</v>
      </c>
      <c r="Y90" s="940">
        <f t="shared" si="193"/>
        <v>7.7999999999999989</v>
      </c>
      <c r="Z90" s="940">
        <f t="shared" si="193"/>
        <v>7.5353395697167747</v>
      </c>
      <c r="AA90" s="385">
        <f>+AA91</f>
        <v>7.8</v>
      </c>
      <c r="AB90" s="334">
        <f t="shared" si="194"/>
        <v>7.5184597222222225</v>
      </c>
      <c r="AC90" s="941">
        <f t="shared" si="194"/>
        <v>7.8</v>
      </c>
      <c r="AD90" s="941">
        <f t="shared" si="194"/>
        <v>7.617860235507246</v>
      </c>
      <c r="AE90" s="942">
        <f t="shared" si="194"/>
        <v>7.7999999999999989</v>
      </c>
      <c r="AF90" s="942">
        <f t="shared" si="194"/>
        <v>7.5325723816029138</v>
      </c>
      <c r="AG90" s="385">
        <f>+AG91</f>
        <v>7.8</v>
      </c>
      <c r="AH90" s="334">
        <f t="shared" si="195"/>
        <v>7.5479779569892438</v>
      </c>
      <c r="AI90" s="940">
        <f t="shared" si="195"/>
        <v>7.8</v>
      </c>
      <c r="AJ90" s="940">
        <f t="shared" si="195"/>
        <v>7.53480403037383</v>
      </c>
      <c r="AK90" s="385">
        <f>+AK91</f>
        <v>7.8</v>
      </c>
      <c r="AL90" s="334">
        <f t="shared" si="196"/>
        <v>3.5978749999999997</v>
      </c>
      <c r="AM90" s="940">
        <f t="shared" si="196"/>
        <v>7.8</v>
      </c>
      <c r="AN90" s="940">
        <f t="shared" si="196"/>
        <v>7.0507553790983595</v>
      </c>
      <c r="AO90" s="385">
        <f>+AO91</f>
        <v>7.8</v>
      </c>
      <c r="AP90" s="334">
        <f t="shared" si="197"/>
        <v>7.16127688172043</v>
      </c>
      <c r="AQ90" s="941">
        <f t="shared" si="197"/>
        <v>7.8</v>
      </c>
      <c r="AR90" s="941">
        <f t="shared" si="197"/>
        <v>6.1295994565217384</v>
      </c>
      <c r="AS90" s="940">
        <f t="shared" si="197"/>
        <v>7.8</v>
      </c>
      <c r="AT90" s="940">
        <f t="shared" si="197"/>
        <v>7.0632141666666648</v>
      </c>
      <c r="AU90" s="385">
        <f>+AU91</f>
        <v>7.8</v>
      </c>
      <c r="AV90" s="334">
        <f t="shared" si="198"/>
        <v>7.3520161290322577</v>
      </c>
      <c r="AW90" s="940">
        <f t="shared" si="198"/>
        <v>7.7999999999999989</v>
      </c>
      <c r="AX90" s="940">
        <f t="shared" si="198"/>
        <v>7.0924718818082777</v>
      </c>
      <c r="AY90" s="385">
        <f>+AY91</f>
        <v>7.8</v>
      </c>
      <c r="AZ90" s="334">
        <f t="shared" si="199"/>
        <v>7.3056547619047612</v>
      </c>
      <c r="BA90" s="940">
        <f t="shared" si="199"/>
        <v>7.8000000000000007</v>
      </c>
      <c r="BB90" s="940">
        <f t="shared" si="199"/>
        <v>7.1103435004990008</v>
      </c>
      <c r="BC90" s="385">
        <f>+BC91</f>
        <v>7.8</v>
      </c>
      <c r="BD90" s="334">
        <f t="shared" si="200"/>
        <v>7.2372813172042951</v>
      </c>
      <c r="BE90" s="941">
        <f t="shared" si="200"/>
        <v>7.8</v>
      </c>
      <c r="BF90" s="941">
        <f t="shared" si="200"/>
        <v>7.2980728240740724</v>
      </c>
      <c r="BG90" s="942">
        <f t="shared" si="200"/>
        <v>7.8000000000000007</v>
      </c>
      <c r="BH90" s="942">
        <f t="shared" si="200"/>
        <v>6.7074159569597054</v>
      </c>
      <c r="BI90" s="940">
        <f t="shared" si="200"/>
        <v>7.8</v>
      </c>
      <c r="BJ90" s="940">
        <f t="shared" si="200"/>
        <v>7.1211245205479443</v>
      </c>
      <c r="BK90" s="1222"/>
      <c r="BL90" s="1222"/>
      <c r="BM90" s="1222"/>
      <c r="BN90" s="1222"/>
    </row>
    <row r="91" spans="1:66" x14ac:dyDescent="0.25">
      <c r="G91" s="914" t="s">
        <v>775</v>
      </c>
      <c r="H91" s="271" t="s">
        <v>737</v>
      </c>
      <c r="I91" s="329">
        <v>7.8</v>
      </c>
      <c r="J91" s="330">
        <f t="shared" si="188"/>
        <v>7.3698055555555557</v>
      </c>
      <c r="K91" s="329">
        <v>7.8</v>
      </c>
      <c r="L91" s="330">
        <f t="shared" ref="L91" si="207">L42/1000/24/L$3</f>
        <v>7.6252688172043008</v>
      </c>
      <c r="M91" s="936">
        <f t="shared" si="190"/>
        <v>7.8</v>
      </c>
      <c r="N91" s="936">
        <f t="shared" si="190"/>
        <v>7.4996311475409829</v>
      </c>
      <c r="O91" s="329">
        <v>7.8</v>
      </c>
      <c r="P91" s="330">
        <f t="shared" si="191"/>
        <v>7.3380034722222236</v>
      </c>
      <c r="Q91" s="937">
        <f t="shared" si="191"/>
        <v>7.8000000000000007</v>
      </c>
      <c r="R91" s="937">
        <f t="shared" si="191"/>
        <v>7.446347298534798</v>
      </c>
      <c r="S91" s="329">
        <v>7.8</v>
      </c>
      <c r="T91" s="330">
        <f t="shared" si="192"/>
        <v>7.6593682795698923</v>
      </c>
      <c r="U91" s="936">
        <f t="shared" si="192"/>
        <v>7.8</v>
      </c>
      <c r="V91" s="936">
        <f t="shared" si="192"/>
        <v>7.5004755806010941</v>
      </c>
      <c r="W91" s="329">
        <v>7.8</v>
      </c>
      <c r="X91" s="330">
        <f t="shared" si="193"/>
        <v>7.6725462365591399</v>
      </c>
      <c r="Y91" s="936">
        <f t="shared" si="193"/>
        <v>7.7999999999999989</v>
      </c>
      <c r="Z91" s="936">
        <f t="shared" si="193"/>
        <v>7.5353395697167747</v>
      </c>
      <c r="AA91" s="329">
        <v>7.8</v>
      </c>
      <c r="AB91" s="330">
        <f t="shared" si="194"/>
        <v>7.5184597222222225</v>
      </c>
      <c r="AC91" s="937">
        <f t="shared" si="194"/>
        <v>7.8</v>
      </c>
      <c r="AD91" s="937">
        <f t="shared" si="194"/>
        <v>7.617860235507246</v>
      </c>
      <c r="AE91" s="938">
        <f t="shared" si="194"/>
        <v>7.7999999999999989</v>
      </c>
      <c r="AF91" s="938">
        <f t="shared" si="194"/>
        <v>7.5325723816029138</v>
      </c>
      <c r="AG91" s="329">
        <v>7.8</v>
      </c>
      <c r="AH91" s="330">
        <f t="shared" si="195"/>
        <v>7.5479779569892438</v>
      </c>
      <c r="AI91" s="936">
        <f t="shared" si="195"/>
        <v>7.8</v>
      </c>
      <c r="AJ91" s="936">
        <f t="shared" si="195"/>
        <v>7.53480403037383</v>
      </c>
      <c r="AK91" s="329">
        <v>7.8</v>
      </c>
      <c r="AL91" s="330">
        <f t="shared" si="196"/>
        <v>3.5978749999999997</v>
      </c>
      <c r="AM91" s="936">
        <f t="shared" si="196"/>
        <v>7.8</v>
      </c>
      <c r="AN91" s="936">
        <f t="shared" si="196"/>
        <v>7.0507553790983595</v>
      </c>
      <c r="AO91" s="329">
        <v>7.8</v>
      </c>
      <c r="AP91" s="330">
        <f t="shared" si="197"/>
        <v>7.16127688172043</v>
      </c>
      <c r="AQ91" s="937">
        <f t="shared" si="197"/>
        <v>7.8</v>
      </c>
      <c r="AR91" s="937">
        <f t="shared" si="197"/>
        <v>6.1295994565217384</v>
      </c>
      <c r="AS91" s="936">
        <f t="shared" si="197"/>
        <v>7.8</v>
      </c>
      <c r="AT91" s="936">
        <f t="shared" si="197"/>
        <v>7.0632141666666648</v>
      </c>
      <c r="AU91" s="329">
        <v>7.8</v>
      </c>
      <c r="AV91" s="330">
        <f t="shared" si="198"/>
        <v>7.3520161290322577</v>
      </c>
      <c r="AW91" s="936">
        <f t="shared" si="198"/>
        <v>7.7999999999999989</v>
      </c>
      <c r="AX91" s="936">
        <f t="shared" si="198"/>
        <v>7.0924718818082777</v>
      </c>
      <c r="AY91" s="329">
        <v>7.8</v>
      </c>
      <c r="AZ91" s="330">
        <f t="shared" si="199"/>
        <v>7.3056547619047612</v>
      </c>
      <c r="BA91" s="936">
        <f t="shared" si="199"/>
        <v>7.8000000000000007</v>
      </c>
      <c r="BB91" s="936">
        <f t="shared" si="199"/>
        <v>7.1103435004990008</v>
      </c>
      <c r="BC91" s="329">
        <v>7.8</v>
      </c>
      <c r="BD91" s="330">
        <f t="shared" si="200"/>
        <v>7.2372813172042951</v>
      </c>
      <c r="BE91" s="937">
        <f t="shared" si="200"/>
        <v>7.8</v>
      </c>
      <c r="BF91" s="937">
        <f t="shared" si="200"/>
        <v>7.2980728240740724</v>
      </c>
      <c r="BG91" s="938">
        <f t="shared" si="200"/>
        <v>7.8000000000000007</v>
      </c>
      <c r="BH91" s="938">
        <f t="shared" si="200"/>
        <v>6.7074159569597054</v>
      </c>
      <c r="BI91" s="936">
        <f t="shared" si="200"/>
        <v>7.8</v>
      </c>
      <c r="BJ91" s="936">
        <f t="shared" si="200"/>
        <v>7.1211245205479443</v>
      </c>
      <c r="BK91" s="1222"/>
      <c r="BL91" s="1222"/>
      <c r="BM91" s="1222"/>
      <c r="BN91" s="1222"/>
    </row>
    <row r="92" spans="1:66" x14ac:dyDescent="0.25">
      <c r="G92" s="925" t="s">
        <v>776</v>
      </c>
      <c r="H92" s="839" t="s">
        <v>738</v>
      </c>
      <c r="I92" s="333">
        <f>+SUM(I93:I96)</f>
        <v>5.5250000000000004</v>
      </c>
      <c r="J92" s="334">
        <f t="shared" si="188"/>
        <v>4.81944176203704</v>
      </c>
      <c r="K92" s="333">
        <f>+SUM(K93:K96)</f>
        <v>5.5250000000000004</v>
      </c>
      <c r="L92" s="334">
        <f t="shared" ref="L92" si="208">L43/1000/24/L$3</f>
        <v>5.3387508705197115</v>
      </c>
      <c r="M92" s="940">
        <f t="shared" si="190"/>
        <v>5.5250000000000004</v>
      </c>
      <c r="N92" s="940">
        <f t="shared" si="190"/>
        <v>5.0833529483151185</v>
      </c>
      <c r="O92" s="333">
        <f>+SUM(O93:O96)</f>
        <v>5.5250000000000004</v>
      </c>
      <c r="P92" s="334">
        <f t="shared" si="191"/>
        <v>5.6837141263888871</v>
      </c>
      <c r="Q92" s="941">
        <f t="shared" si="191"/>
        <v>5.5250000000000004</v>
      </c>
      <c r="R92" s="941">
        <f t="shared" si="191"/>
        <v>5.2812742158119654</v>
      </c>
      <c r="S92" s="333">
        <f>+SUM(S93:S96)</f>
        <v>5.5250000000000004</v>
      </c>
      <c r="T92" s="334">
        <f t="shared" si="192"/>
        <v>5.2979170851254525</v>
      </c>
      <c r="U92" s="940">
        <f t="shared" si="192"/>
        <v>5.5250000000000004</v>
      </c>
      <c r="V92" s="940">
        <f t="shared" si="192"/>
        <v>5.2855031416211311</v>
      </c>
      <c r="W92" s="333">
        <f>+SUM(W93:W96)</f>
        <v>5.5250000000000004</v>
      </c>
      <c r="X92" s="334">
        <f t="shared" si="193"/>
        <v>5.1010463566308246</v>
      </c>
      <c r="Y92" s="940">
        <f t="shared" si="193"/>
        <v>5.5249999999999995</v>
      </c>
      <c r="Z92" s="940">
        <f t="shared" si="193"/>
        <v>5.2481295446623095</v>
      </c>
      <c r="AA92" s="333">
        <f>+SUM(AA93:AA96)</f>
        <v>5.5250000000000004</v>
      </c>
      <c r="AB92" s="334">
        <f t="shared" si="194"/>
        <v>4.9985694444444437</v>
      </c>
      <c r="AC92" s="941">
        <f t="shared" si="194"/>
        <v>5.5250000000000004</v>
      </c>
      <c r="AD92" s="941">
        <f t="shared" si="194"/>
        <v>5.1339668481280203</v>
      </c>
      <c r="AE92" s="942">
        <f t="shared" si="194"/>
        <v>5.5249999999999995</v>
      </c>
      <c r="AF92" s="942">
        <f t="shared" si="194"/>
        <v>5.2072180528233156</v>
      </c>
      <c r="AG92" s="333">
        <f>+SUM(AG93:AG96)</f>
        <v>5.5250000000000004</v>
      </c>
      <c r="AH92" s="334">
        <f t="shared" si="195"/>
        <v>4.780648345878137</v>
      </c>
      <c r="AI92" s="940">
        <f t="shared" si="195"/>
        <v>5.5250000000000004</v>
      </c>
      <c r="AJ92" s="940">
        <f t="shared" si="195"/>
        <v>5.1454252448078934</v>
      </c>
      <c r="AK92" s="333">
        <f>+SUM(AK93:AK96)</f>
        <v>5.5250000000000004</v>
      </c>
      <c r="AL92" s="334">
        <f t="shared" si="196"/>
        <v>3.8397601666666725</v>
      </c>
      <c r="AM92" s="940">
        <f t="shared" si="196"/>
        <v>5.5250000000000004</v>
      </c>
      <c r="AN92" s="940">
        <f t="shared" si="196"/>
        <v>4.9848926532331523</v>
      </c>
      <c r="AO92" s="333">
        <f>+SUM(AO93:AO96)</f>
        <v>5.5250000000000004</v>
      </c>
      <c r="AP92" s="334">
        <f t="shared" si="197"/>
        <v>3.8719829771505374</v>
      </c>
      <c r="AQ92" s="941">
        <f t="shared" si="197"/>
        <v>5.5250000000000004</v>
      </c>
      <c r="AR92" s="941">
        <f t="shared" si="197"/>
        <v>4.1676562610205341</v>
      </c>
      <c r="AS92" s="940">
        <f t="shared" si="197"/>
        <v>5.5250000000000004</v>
      </c>
      <c r="AT92" s="940">
        <f t="shared" si="197"/>
        <v>4.8594373806565665</v>
      </c>
      <c r="AU92" s="333">
        <f>+SUM(AU93:AU96)</f>
        <v>5.5250000000000004</v>
      </c>
      <c r="AV92" s="334">
        <f t="shared" si="198"/>
        <v>4.0851283826164826</v>
      </c>
      <c r="AW92" s="940">
        <f t="shared" si="198"/>
        <v>5.5249999999999995</v>
      </c>
      <c r="AX92" s="940">
        <f t="shared" si="198"/>
        <v>4.7809943122276692</v>
      </c>
      <c r="AY92" s="333">
        <f>+SUM(AY93:AY96)</f>
        <v>5.5250000000000004</v>
      </c>
      <c r="AZ92" s="334">
        <f t="shared" si="199"/>
        <v>3.8591371274801651</v>
      </c>
      <c r="BA92" s="940">
        <f t="shared" si="199"/>
        <v>5.5250000000000004</v>
      </c>
      <c r="BB92" s="940">
        <f t="shared" si="199"/>
        <v>4.7037128715901551</v>
      </c>
      <c r="BC92" s="333">
        <f>+SUM(BC93:BC96)</f>
        <v>5.5250000000000004</v>
      </c>
      <c r="BD92" s="334">
        <f t="shared" si="200"/>
        <v>4.010378485215047</v>
      </c>
      <c r="BE92" s="941">
        <f t="shared" si="200"/>
        <v>5.5250000000000004</v>
      </c>
      <c r="BF92" s="941">
        <f t="shared" si="200"/>
        <v>3.9890728052469115</v>
      </c>
      <c r="BG92" s="942">
        <f t="shared" si="200"/>
        <v>5.5250000000000004</v>
      </c>
      <c r="BH92" s="942">
        <f t="shared" si="200"/>
        <v>4.0793457609126991</v>
      </c>
      <c r="BI92" s="940">
        <f t="shared" si="200"/>
        <v>5.5250000000000004</v>
      </c>
      <c r="BJ92" s="940">
        <f t="shared" si="200"/>
        <v>4.6448269374048712</v>
      </c>
      <c r="BK92" s="1222"/>
      <c r="BL92" s="1222"/>
      <c r="BM92" s="1222"/>
      <c r="BN92" s="1222"/>
    </row>
    <row r="93" spans="1:66" x14ac:dyDescent="0.25">
      <c r="G93" s="914" t="s">
        <v>777</v>
      </c>
      <c r="H93" s="271" t="s">
        <v>739</v>
      </c>
      <c r="I93" s="384">
        <v>0.52500000000000002</v>
      </c>
      <c r="J93" s="330">
        <f t="shared" si="188"/>
        <v>0.56164401898148075</v>
      </c>
      <c r="K93" s="384">
        <v>0.52500000000000002</v>
      </c>
      <c r="L93" s="330">
        <f t="shared" ref="L93" si="209">L44/1000/24/L$3</f>
        <v>0.54312207750895913</v>
      </c>
      <c r="M93" s="936">
        <f t="shared" si="190"/>
        <v>0.52500000000000002</v>
      </c>
      <c r="N93" s="936">
        <f t="shared" si="190"/>
        <v>0.55223122905282229</v>
      </c>
      <c r="O93" s="384">
        <v>0.52500000000000002</v>
      </c>
      <c r="P93" s="330">
        <f t="shared" si="191"/>
        <v>0.6798052916666647</v>
      </c>
      <c r="Q93" s="937">
        <f t="shared" si="191"/>
        <v>0.52500000000000002</v>
      </c>
      <c r="R93" s="937">
        <f t="shared" si="191"/>
        <v>0.59428861233211105</v>
      </c>
      <c r="S93" s="384">
        <v>0.52500000000000002</v>
      </c>
      <c r="T93" s="330">
        <f t="shared" si="192"/>
        <v>0.61583778405017808</v>
      </c>
      <c r="U93" s="936">
        <f t="shared" si="192"/>
        <v>0.52500000000000002</v>
      </c>
      <c r="V93" s="936">
        <f t="shared" si="192"/>
        <v>0.59976422153916087</v>
      </c>
      <c r="W93" s="384">
        <v>0.52500000000000002</v>
      </c>
      <c r="X93" s="330">
        <f t="shared" si="193"/>
        <v>0.60229911200716768</v>
      </c>
      <c r="Y93" s="936">
        <f t="shared" si="193"/>
        <v>0.52500000000000002</v>
      </c>
      <c r="Z93" s="936">
        <f t="shared" si="193"/>
        <v>0.60027782679738462</v>
      </c>
      <c r="AA93" s="384">
        <v>0.52500000000000002</v>
      </c>
      <c r="AB93" s="330">
        <f t="shared" si="194"/>
        <v>0.57035138888888892</v>
      </c>
      <c r="AC93" s="937">
        <f t="shared" si="194"/>
        <v>0.52500000000000002</v>
      </c>
      <c r="AD93" s="937">
        <f t="shared" si="194"/>
        <v>0.59644332004830858</v>
      </c>
      <c r="AE93" s="938">
        <f t="shared" si="194"/>
        <v>0.52500000000000002</v>
      </c>
      <c r="AF93" s="938">
        <f t="shared" si="194"/>
        <v>0.59537185336976228</v>
      </c>
      <c r="AG93" s="384">
        <v>0.52500000000000002</v>
      </c>
      <c r="AH93" s="330">
        <f t="shared" si="195"/>
        <v>0.51780188620071776</v>
      </c>
      <c r="AI93" s="936">
        <f t="shared" si="195"/>
        <v>0.52500000000000002</v>
      </c>
      <c r="AJ93" s="936">
        <f t="shared" si="195"/>
        <v>0.58413508242471379</v>
      </c>
      <c r="AK93" s="384">
        <v>0.52500000000000002</v>
      </c>
      <c r="AL93" s="330">
        <f t="shared" si="196"/>
        <v>0.4026753972222209</v>
      </c>
      <c r="AM93" s="936">
        <f t="shared" si="196"/>
        <v>0.52500000000000002</v>
      </c>
      <c r="AN93" s="936">
        <f t="shared" si="196"/>
        <v>0.56182446539162045</v>
      </c>
      <c r="AO93" s="384">
        <v>0.52500000000000002</v>
      </c>
      <c r="AP93" s="330">
        <f t="shared" si="197"/>
        <v>0.37950253091397956</v>
      </c>
      <c r="AQ93" s="937">
        <f t="shared" si="197"/>
        <v>0.52500000000000002</v>
      </c>
      <c r="AR93" s="937">
        <f t="shared" si="197"/>
        <v>0.43365977007850259</v>
      </c>
      <c r="AS93" s="936">
        <f t="shared" si="197"/>
        <v>0.52500000000000002</v>
      </c>
      <c r="AT93" s="936">
        <f t="shared" si="197"/>
        <v>0.54127181095959542</v>
      </c>
      <c r="AU93" s="384">
        <v>0.52500000000000002</v>
      </c>
      <c r="AV93" s="330">
        <f t="shared" si="198"/>
        <v>0.37687671191756245</v>
      </c>
      <c r="AW93" s="936">
        <f t="shared" si="198"/>
        <v>0.52500000000000002</v>
      </c>
      <c r="AX93" s="936">
        <f t="shared" si="198"/>
        <v>0.52461740550108882</v>
      </c>
      <c r="AY93" s="384">
        <v>0.52500000000000002</v>
      </c>
      <c r="AZ93" s="330">
        <f t="shared" si="199"/>
        <v>0.39729567956349049</v>
      </c>
      <c r="BA93" s="936">
        <f t="shared" si="199"/>
        <v>0.52500000000000002</v>
      </c>
      <c r="BB93" s="936">
        <f t="shared" si="199"/>
        <v>0.51394372787757758</v>
      </c>
      <c r="BC93" s="384">
        <v>0.52500000000000002</v>
      </c>
      <c r="BD93" s="330">
        <f t="shared" si="200"/>
        <v>0.45876710349462485</v>
      </c>
      <c r="BE93" s="937">
        <f t="shared" si="200"/>
        <v>0.52500000000000002</v>
      </c>
      <c r="BF93" s="937">
        <f t="shared" si="200"/>
        <v>0.41143597006172822</v>
      </c>
      <c r="BG93" s="938">
        <f t="shared" si="200"/>
        <v>0.52500000000000002</v>
      </c>
      <c r="BH93" s="938">
        <f t="shared" si="200"/>
        <v>0.42266997886141638</v>
      </c>
      <c r="BI93" s="936">
        <f t="shared" si="200"/>
        <v>0.52500000000000002</v>
      </c>
      <c r="BJ93" s="936">
        <f t="shared" si="200"/>
        <v>0.50925749402587472</v>
      </c>
      <c r="BK93" s="1222"/>
      <c r="BL93" s="1222"/>
      <c r="BM93" s="1222"/>
      <c r="BN93" s="1222"/>
    </row>
    <row r="94" spans="1:66" x14ac:dyDescent="0.25">
      <c r="G94" s="914" t="s">
        <v>778</v>
      </c>
      <c r="H94" s="271" t="s">
        <v>740</v>
      </c>
      <c r="I94" s="384">
        <v>3.5</v>
      </c>
      <c r="J94" s="330">
        <f t="shared" si="188"/>
        <v>3.2660460763888954</v>
      </c>
      <c r="K94" s="384">
        <v>3.5</v>
      </c>
      <c r="L94" s="330">
        <f t="shared" ref="L94" si="210">L45/1000/24/L$3</f>
        <v>3.5180064811827929</v>
      </c>
      <c r="M94" s="936">
        <f t="shared" si="190"/>
        <v>3.5</v>
      </c>
      <c r="N94" s="936">
        <f t="shared" si="190"/>
        <v>3.394091528005466</v>
      </c>
      <c r="O94" s="384">
        <v>3.5</v>
      </c>
      <c r="P94" s="330">
        <f t="shared" si="191"/>
        <v>4.13493994583333</v>
      </c>
      <c r="Q94" s="937">
        <f t="shared" si="191"/>
        <v>3.5</v>
      </c>
      <c r="R94" s="937">
        <f t="shared" si="191"/>
        <v>3.6383272701465206</v>
      </c>
      <c r="S94" s="384">
        <v>3.5</v>
      </c>
      <c r="T94" s="330">
        <f t="shared" si="192"/>
        <v>3.8190376344086059</v>
      </c>
      <c r="U94" s="936">
        <f t="shared" si="192"/>
        <v>3.5</v>
      </c>
      <c r="V94" s="936">
        <f t="shared" si="192"/>
        <v>3.6842454774590174</v>
      </c>
      <c r="W94" s="384">
        <v>3.5</v>
      </c>
      <c r="X94" s="330">
        <f t="shared" si="193"/>
        <v>3.5747157930107507</v>
      </c>
      <c r="Y94" s="936">
        <f t="shared" si="193"/>
        <v>3.5</v>
      </c>
      <c r="Z94" s="936">
        <f t="shared" si="193"/>
        <v>3.6620531884531591</v>
      </c>
      <c r="AA94" s="384">
        <v>3.5</v>
      </c>
      <c r="AB94" s="330">
        <f t="shared" si="194"/>
        <v>3.6051541666666664</v>
      </c>
      <c r="AC94" s="937">
        <f t="shared" si="194"/>
        <v>3.5</v>
      </c>
      <c r="AD94" s="937">
        <f t="shared" si="194"/>
        <v>3.6669671875000005</v>
      </c>
      <c r="AE94" s="938">
        <f t="shared" si="194"/>
        <v>3.5</v>
      </c>
      <c r="AF94" s="938">
        <f t="shared" si="194"/>
        <v>3.6527254799635709</v>
      </c>
      <c r="AG94" s="384">
        <v>3.5</v>
      </c>
      <c r="AH94" s="330">
        <f t="shared" si="195"/>
        <v>3.2852045241935479</v>
      </c>
      <c r="AI94" s="936">
        <f t="shared" si="195"/>
        <v>3.5</v>
      </c>
      <c r="AJ94" s="936">
        <f t="shared" si="195"/>
        <v>3.5994864630062313</v>
      </c>
      <c r="AK94" s="384">
        <v>3.5</v>
      </c>
      <c r="AL94" s="330">
        <f t="shared" si="196"/>
        <v>2.4712750472222291</v>
      </c>
      <c r="AM94" s="936">
        <f t="shared" si="196"/>
        <v>3.5</v>
      </c>
      <c r="AN94" s="936">
        <f t="shared" si="196"/>
        <v>3.4607719446721323</v>
      </c>
      <c r="AO94" s="384">
        <v>3.5</v>
      </c>
      <c r="AP94" s="330">
        <f t="shared" si="197"/>
        <v>2.6255460376344071</v>
      </c>
      <c r="AQ94" s="937">
        <f t="shared" si="197"/>
        <v>3.5</v>
      </c>
      <c r="AR94" s="937">
        <f t="shared" si="197"/>
        <v>2.7975165090579726</v>
      </c>
      <c r="AS94" s="936">
        <f t="shared" si="197"/>
        <v>3.5</v>
      </c>
      <c r="AT94" s="936">
        <f t="shared" si="197"/>
        <v>3.3666192060606073</v>
      </c>
      <c r="AU94" s="384">
        <v>3.5</v>
      </c>
      <c r="AV94" s="330">
        <f t="shared" si="198"/>
        <v>2.7783481760752653</v>
      </c>
      <c r="AW94" s="936">
        <f t="shared" si="198"/>
        <v>3.5</v>
      </c>
      <c r="AX94" s="936">
        <f t="shared" si="198"/>
        <v>3.3070231213235308</v>
      </c>
      <c r="AY94" s="384">
        <v>3.5</v>
      </c>
      <c r="AZ94" s="330">
        <f t="shared" si="199"/>
        <v>2.3632253764881002</v>
      </c>
      <c r="BA94" s="936">
        <f t="shared" si="199"/>
        <v>3.5</v>
      </c>
      <c r="BB94" s="936">
        <f t="shared" si="199"/>
        <v>3.2279023522954104</v>
      </c>
      <c r="BC94" s="384">
        <v>3.5</v>
      </c>
      <c r="BD94" s="330">
        <f t="shared" si="200"/>
        <v>2.5554092311827912</v>
      </c>
      <c r="BE94" s="937">
        <f t="shared" si="200"/>
        <v>3.5</v>
      </c>
      <c r="BF94" s="937">
        <f t="shared" si="200"/>
        <v>2.5724087796296282</v>
      </c>
      <c r="BG94" s="938">
        <f t="shared" si="200"/>
        <v>3.5</v>
      </c>
      <c r="BH94" s="938">
        <f t="shared" si="200"/>
        <v>2.6861994999999999</v>
      </c>
      <c r="BI94" s="936">
        <f t="shared" si="200"/>
        <v>3.5</v>
      </c>
      <c r="BJ94" s="936">
        <f t="shared" si="200"/>
        <v>3.1707864981735168</v>
      </c>
      <c r="BK94" s="1222"/>
      <c r="BL94" s="1222"/>
      <c r="BM94" s="1222"/>
      <c r="BN94" s="1222"/>
    </row>
    <row r="95" spans="1:66" x14ac:dyDescent="0.25">
      <c r="G95" s="914" t="s">
        <v>779</v>
      </c>
      <c r="H95" s="271" t="s">
        <v>741</v>
      </c>
      <c r="I95" s="384">
        <v>0.6</v>
      </c>
      <c r="J95" s="330">
        <f t="shared" si="188"/>
        <v>0.3628544444444412</v>
      </c>
      <c r="K95" s="384">
        <v>0.6</v>
      </c>
      <c r="L95" s="330">
        <f t="shared" ref="L95" si="211">L46/1000/24/L$3</f>
        <v>0.73619354838710005</v>
      </c>
      <c r="M95" s="936">
        <f t="shared" si="190"/>
        <v>0.6</v>
      </c>
      <c r="N95" s="936">
        <f t="shared" si="190"/>
        <v>0.5525841530054646</v>
      </c>
      <c r="O95" s="384">
        <v>0.6</v>
      </c>
      <c r="P95" s="330">
        <f t="shared" si="191"/>
        <v>0.37235777777777934</v>
      </c>
      <c r="Q95" s="937">
        <f t="shared" si="191"/>
        <v>0.6</v>
      </c>
      <c r="R95" s="937">
        <f t="shared" si="191"/>
        <v>0.4931688644688651</v>
      </c>
      <c r="S95" s="384">
        <v>0.6</v>
      </c>
      <c r="T95" s="330">
        <f t="shared" si="192"/>
        <v>0.36848924731182942</v>
      </c>
      <c r="U95" s="936">
        <f t="shared" si="192"/>
        <v>0.6</v>
      </c>
      <c r="V95" s="936">
        <f t="shared" si="192"/>
        <v>0.46148797814207732</v>
      </c>
      <c r="W95" s="384">
        <v>0.6</v>
      </c>
      <c r="X95" s="330">
        <f t="shared" si="193"/>
        <v>0.4583795698924763</v>
      </c>
      <c r="Y95" s="936">
        <f t="shared" si="193"/>
        <v>0.6</v>
      </c>
      <c r="Z95" s="936">
        <f t="shared" si="193"/>
        <v>0.46085816993464185</v>
      </c>
      <c r="AA95" s="384">
        <v>0.6</v>
      </c>
      <c r="AB95" s="330">
        <f t="shared" si="194"/>
        <v>0.35215416666666666</v>
      </c>
      <c r="AC95" s="937">
        <f t="shared" si="194"/>
        <v>0.6</v>
      </c>
      <c r="AD95" s="937">
        <f t="shared" si="194"/>
        <v>0.39345172101449427</v>
      </c>
      <c r="AE95" s="938">
        <f t="shared" si="194"/>
        <v>0.6</v>
      </c>
      <c r="AF95" s="938">
        <f t="shared" si="194"/>
        <v>0.44303784153005571</v>
      </c>
      <c r="AG95" s="384">
        <v>0.6</v>
      </c>
      <c r="AH95" s="330">
        <f t="shared" si="195"/>
        <v>0.44155591397849464</v>
      </c>
      <c r="AI95" s="936">
        <f t="shared" si="195"/>
        <v>0.6</v>
      </c>
      <c r="AJ95" s="936">
        <f t="shared" si="195"/>
        <v>0.44282316978193231</v>
      </c>
      <c r="AK95" s="384">
        <v>0.6</v>
      </c>
      <c r="AL95" s="330">
        <f t="shared" si="196"/>
        <v>0.37005555555555553</v>
      </c>
      <c r="AM95" s="936">
        <f t="shared" si="196"/>
        <v>0.6</v>
      </c>
      <c r="AN95" s="936">
        <f t="shared" si="196"/>
        <v>0.43387633196721387</v>
      </c>
      <c r="AO95" s="384">
        <v>0.6</v>
      </c>
      <c r="AP95" s="330">
        <f t="shared" si="197"/>
        <v>0.2528537634408603</v>
      </c>
      <c r="AQ95" s="937">
        <f t="shared" si="197"/>
        <v>0.6</v>
      </c>
      <c r="AR95" s="937">
        <f t="shared" si="197"/>
        <v>0.35465615942028988</v>
      </c>
      <c r="AS95" s="936">
        <f t="shared" si="197"/>
        <v>0.6</v>
      </c>
      <c r="AT95" s="936">
        <f t="shared" si="197"/>
        <v>0.41347015151515221</v>
      </c>
      <c r="AU95" s="384">
        <v>0.6</v>
      </c>
      <c r="AV95" s="330">
        <f t="shared" si="198"/>
        <v>0.35343440860215042</v>
      </c>
      <c r="AW95" s="936">
        <f t="shared" si="198"/>
        <v>0.6</v>
      </c>
      <c r="AX95" s="936">
        <f t="shared" si="198"/>
        <v>0.40738809912854085</v>
      </c>
      <c r="AY95" s="384">
        <v>0.6</v>
      </c>
      <c r="AZ95" s="330">
        <f t="shared" si="199"/>
        <v>0.38481547619047973</v>
      </c>
      <c r="BA95" s="936">
        <f t="shared" si="199"/>
        <v>0.6</v>
      </c>
      <c r="BB95" s="936">
        <f t="shared" si="199"/>
        <v>0.40549578343313453</v>
      </c>
      <c r="BC95" s="384">
        <v>0.6</v>
      </c>
      <c r="BD95" s="330">
        <f t="shared" si="200"/>
        <v>0.42881505376343776</v>
      </c>
      <c r="BE95" s="937">
        <f t="shared" si="200"/>
        <v>0.6</v>
      </c>
      <c r="BF95" s="937">
        <f t="shared" si="200"/>
        <v>0.38916185185185181</v>
      </c>
      <c r="BG95" s="938">
        <f t="shared" si="200"/>
        <v>0.6</v>
      </c>
      <c r="BH95" s="938">
        <f t="shared" si="200"/>
        <v>0.37171941391941393</v>
      </c>
      <c r="BI95" s="936">
        <f t="shared" si="200"/>
        <v>0.6</v>
      </c>
      <c r="BJ95" s="936">
        <f t="shared" si="200"/>
        <v>0.40747632420091373</v>
      </c>
      <c r="BK95" s="1222"/>
      <c r="BL95" s="1222"/>
      <c r="BM95" s="1222"/>
      <c r="BN95" s="1222"/>
    </row>
    <row r="96" spans="1:66" ht="15.75" thickBot="1" x14ac:dyDescent="0.3">
      <c r="G96" s="914" t="s">
        <v>780</v>
      </c>
      <c r="H96" s="271" t="s">
        <v>742</v>
      </c>
      <c r="I96" s="387">
        <v>0.9</v>
      </c>
      <c r="J96" s="335">
        <f t="shared" si="188"/>
        <v>0.62889722222222211</v>
      </c>
      <c r="K96" s="387">
        <v>0.9</v>
      </c>
      <c r="L96" s="335">
        <f t="shared" ref="L96" si="212">L47/1000/24/L$3</f>
        <v>0.54142876344086011</v>
      </c>
      <c r="M96" s="943">
        <f t="shared" si="190"/>
        <v>0.9</v>
      </c>
      <c r="N96" s="943">
        <f t="shared" si="190"/>
        <v>0.58444603825136621</v>
      </c>
      <c r="O96" s="387">
        <v>0.9</v>
      </c>
      <c r="P96" s="335">
        <f t="shared" si="191"/>
        <v>0.49661111111111139</v>
      </c>
      <c r="Q96" s="944">
        <f t="shared" si="191"/>
        <v>0.89999999999999991</v>
      </c>
      <c r="R96" s="944">
        <f t="shared" si="191"/>
        <v>0.55548946886446893</v>
      </c>
      <c r="S96" s="387">
        <v>0.9</v>
      </c>
      <c r="T96" s="335">
        <f t="shared" si="192"/>
        <v>0.49455241935483868</v>
      </c>
      <c r="U96" s="943">
        <f t="shared" si="192"/>
        <v>0.9</v>
      </c>
      <c r="V96" s="943">
        <f t="shared" si="192"/>
        <v>0.54000546448087439</v>
      </c>
      <c r="W96" s="387">
        <v>0.9</v>
      </c>
      <c r="X96" s="335">
        <f t="shared" si="193"/>
        <v>0.46565188172043015</v>
      </c>
      <c r="Y96" s="943">
        <f t="shared" si="193"/>
        <v>0.90000000000000013</v>
      </c>
      <c r="Z96" s="943">
        <f t="shared" si="193"/>
        <v>0.52494035947712425</v>
      </c>
      <c r="AA96" s="387">
        <v>0.9</v>
      </c>
      <c r="AB96" s="335">
        <f t="shared" si="194"/>
        <v>0.47090972222222222</v>
      </c>
      <c r="AC96" s="944">
        <f t="shared" si="194"/>
        <v>0.9</v>
      </c>
      <c r="AD96" s="944">
        <f t="shared" si="194"/>
        <v>0.47710461956521732</v>
      </c>
      <c r="AE96" s="945">
        <f t="shared" si="194"/>
        <v>0.90000000000000013</v>
      </c>
      <c r="AF96" s="945">
        <f t="shared" si="194"/>
        <v>0.51608287795992713</v>
      </c>
      <c r="AG96" s="387">
        <v>0.9</v>
      </c>
      <c r="AH96" s="335">
        <f t="shared" si="195"/>
        <v>0.53608602150537632</v>
      </c>
      <c r="AI96" s="943">
        <f t="shared" si="195"/>
        <v>0.9</v>
      </c>
      <c r="AJ96" s="943">
        <f t="shared" si="195"/>
        <v>0.51898052959501551</v>
      </c>
      <c r="AK96" s="387">
        <v>0.9</v>
      </c>
      <c r="AL96" s="335">
        <f t="shared" si="196"/>
        <v>0.59575416666666625</v>
      </c>
      <c r="AM96" s="943">
        <f t="shared" si="196"/>
        <v>0.9</v>
      </c>
      <c r="AN96" s="943">
        <f t="shared" si="196"/>
        <v>0.52841991120218579</v>
      </c>
      <c r="AO96" s="387">
        <v>0.9</v>
      </c>
      <c r="AP96" s="335">
        <f t="shared" si="197"/>
        <v>0.61408064516129068</v>
      </c>
      <c r="AQ96" s="944">
        <f t="shared" si="197"/>
        <v>0.9</v>
      </c>
      <c r="AR96" s="944">
        <f t="shared" si="197"/>
        <v>0.58182382246376807</v>
      </c>
      <c r="AS96" s="943">
        <f t="shared" si="197"/>
        <v>0.9</v>
      </c>
      <c r="AT96" s="943">
        <f t="shared" si="197"/>
        <v>0.53807621212121215</v>
      </c>
      <c r="AU96" s="387">
        <v>0.9</v>
      </c>
      <c r="AV96" s="335">
        <f t="shared" si="198"/>
        <v>0.57646908602150482</v>
      </c>
      <c r="AW96" s="943">
        <f t="shared" si="198"/>
        <v>0.90000000000000013</v>
      </c>
      <c r="AX96" s="943">
        <f t="shared" si="198"/>
        <v>0.54196568627450969</v>
      </c>
      <c r="AY96" s="387">
        <v>0.9</v>
      </c>
      <c r="AZ96" s="335">
        <f t="shared" si="199"/>
        <v>0.71380059523809536</v>
      </c>
      <c r="BA96" s="943">
        <f t="shared" si="199"/>
        <v>0.89999999999999991</v>
      </c>
      <c r="BB96" s="943">
        <f t="shared" si="199"/>
        <v>0.55637100798403194</v>
      </c>
      <c r="BC96" s="387">
        <v>0.9</v>
      </c>
      <c r="BD96" s="335">
        <f t="shared" si="200"/>
        <v>0.5673870967741943</v>
      </c>
      <c r="BE96" s="944">
        <f t="shared" si="200"/>
        <v>0.9</v>
      </c>
      <c r="BF96" s="944">
        <f t="shared" si="200"/>
        <v>0.61606620370370391</v>
      </c>
      <c r="BG96" s="945">
        <f t="shared" si="200"/>
        <v>0.89999999999999991</v>
      </c>
      <c r="BH96" s="945">
        <f t="shared" si="200"/>
        <v>0.59875686813186824</v>
      </c>
      <c r="BI96" s="943">
        <f t="shared" si="200"/>
        <v>0.9</v>
      </c>
      <c r="BJ96" s="943">
        <f t="shared" si="200"/>
        <v>0.55730662100456629</v>
      </c>
      <c r="BK96" s="1222"/>
      <c r="BL96" s="1222"/>
      <c r="BM96" s="1222"/>
      <c r="BN96" s="1222"/>
    </row>
    <row r="97" spans="9:64" x14ac:dyDescent="0.25">
      <c r="K97" s="5172"/>
      <c r="L97" s="5172"/>
      <c r="BC97" s="5172"/>
      <c r="BD97" s="5172"/>
      <c r="BL97" s="1222"/>
    </row>
    <row r="98" spans="9:64" x14ac:dyDescent="0.25">
      <c r="I98" s="1222">
        <f>+I65-I66</f>
        <v>0</v>
      </c>
      <c r="J98" s="1222">
        <f t="shared" ref="J98:BJ98" si="213">+J65-J66</f>
        <v>0</v>
      </c>
      <c r="K98" s="1222">
        <f>+K65-K66</f>
        <v>0</v>
      </c>
      <c r="L98" s="1222">
        <f t="shared" ref="L98" si="214">+L65-L66</f>
        <v>0</v>
      </c>
      <c r="M98" s="1222">
        <f t="shared" si="213"/>
        <v>0</v>
      </c>
      <c r="N98" s="1222">
        <f t="shared" si="213"/>
        <v>0</v>
      </c>
      <c r="O98" s="1222">
        <f t="shared" si="213"/>
        <v>0</v>
      </c>
      <c r="P98" s="1222">
        <f t="shared" si="213"/>
        <v>0</v>
      </c>
      <c r="Q98" s="1222">
        <f t="shared" si="213"/>
        <v>0</v>
      </c>
      <c r="R98" s="1222">
        <f t="shared" si="213"/>
        <v>0</v>
      </c>
      <c r="S98" s="1222">
        <f t="shared" si="213"/>
        <v>0</v>
      </c>
      <c r="T98" s="1222">
        <f t="shared" si="213"/>
        <v>0</v>
      </c>
      <c r="U98" s="1222">
        <f t="shared" si="213"/>
        <v>0</v>
      </c>
      <c r="V98" s="1222">
        <f t="shared" si="213"/>
        <v>0</v>
      </c>
      <c r="W98" s="1222">
        <f t="shared" si="213"/>
        <v>0</v>
      </c>
      <c r="X98" s="1222">
        <f t="shared" si="213"/>
        <v>0</v>
      </c>
      <c r="Y98" s="1222">
        <f t="shared" si="213"/>
        <v>0</v>
      </c>
      <c r="Z98" s="1222">
        <f t="shared" si="213"/>
        <v>0</v>
      </c>
      <c r="AA98" s="1222">
        <f t="shared" si="213"/>
        <v>0</v>
      </c>
      <c r="AB98" s="1222">
        <f t="shared" si="213"/>
        <v>0</v>
      </c>
      <c r="AC98" s="1222">
        <f t="shared" si="213"/>
        <v>0</v>
      </c>
      <c r="AD98" s="1222">
        <f t="shared" si="213"/>
        <v>0</v>
      </c>
      <c r="AE98" s="1222">
        <f t="shared" si="213"/>
        <v>0</v>
      </c>
      <c r="AF98" s="1222">
        <f t="shared" si="213"/>
        <v>0</v>
      </c>
      <c r="AG98" s="1222">
        <f t="shared" si="213"/>
        <v>0</v>
      </c>
      <c r="AH98" s="1222">
        <f t="shared" si="213"/>
        <v>0</v>
      </c>
      <c r="AI98" s="1222">
        <f t="shared" si="213"/>
        <v>0</v>
      </c>
      <c r="AJ98" s="1222">
        <f t="shared" si="213"/>
        <v>0</v>
      </c>
      <c r="AK98" s="1222">
        <f t="shared" si="213"/>
        <v>0</v>
      </c>
      <c r="AL98" s="1222">
        <f t="shared" si="213"/>
        <v>0</v>
      </c>
      <c r="AM98" s="1222">
        <f t="shared" si="213"/>
        <v>0</v>
      </c>
      <c r="AN98" s="1222">
        <f t="shared" si="213"/>
        <v>0</v>
      </c>
      <c r="AO98" s="1222">
        <f t="shared" si="213"/>
        <v>0</v>
      </c>
      <c r="AP98" s="1222">
        <f t="shared" si="213"/>
        <v>0</v>
      </c>
      <c r="AQ98" s="1222">
        <f t="shared" si="213"/>
        <v>0</v>
      </c>
      <c r="AR98" s="1222">
        <f t="shared" si="213"/>
        <v>0</v>
      </c>
      <c r="AS98" s="1222">
        <f t="shared" si="213"/>
        <v>0</v>
      </c>
      <c r="AT98" s="1222">
        <f t="shared" si="213"/>
        <v>0</v>
      </c>
      <c r="AU98" s="1222">
        <f t="shared" si="213"/>
        <v>0</v>
      </c>
      <c r="AV98" s="1222">
        <f t="shared" si="213"/>
        <v>0</v>
      </c>
      <c r="AW98" s="1222">
        <f t="shared" si="213"/>
        <v>0</v>
      </c>
      <c r="AX98" s="1222">
        <f t="shared" si="213"/>
        <v>0</v>
      </c>
      <c r="AY98" s="1222">
        <f t="shared" si="213"/>
        <v>0</v>
      </c>
      <c r="AZ98" s="1222">
        <f t="shared" si="213"/>
        <v>0</v>
      </c>
      <c r="BA98" s="1222">
        <f t="shared" si="213"/>
        <v>0</v>
      </c>
      <c r="BB98" s="1222">
        <f t="shared" si="213"/>
        <v>0</v>
      </c>
      <c r="BC98" s="1222">
        <f t="shared" ref="BC98:BD98" si="215">+BC65-BC66</f>
        <v>0</v>
      </c>
      <c r="BD98" s="1222">
        <f t="shared" si="215"/>
        <v>0</v>
      </c>
      <c r="BE98" s="1222">
        <f t="shared" si="213"/>
        <v>0</v>
      </c>
      <c r="BF98" s="1222">
        <f t="shared" si="213"/>
        <v>0</v>
      </c>
      <c r="BG98" s="1222">
        <f t="shared" si="213"/>
        <v>0</v>
      </c>
      <c r="BH98" s="1222">
        <f t="shared" si="213"/>
        <v>0</v>
      </c>
      <c r="BI98" s="1222">
        <f t="shared" si="213"/>
        <v>0</v>
      </c>
      <c r="BJ98" s="1222">
        <f t="shared" si="213"/>
        <v>0</v>
      </c>
    </row>
    <row r="108" spans="9:64" x14ac:dyDescent="0.25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2"/>
  <sheetViews>
    <sheetView topLeftCell="A25" zoomScaleNormal="100" workbookViewId="0">
      <pane xSplit="3" topLeftCell="F1" activePane="topRight" state="frozen"/>
      <selection pane="topRight" activeCell="C34" sqref="C34"/>
    </sheetView>
  </sheetViews>
  <sheetFormatPr defaultColWidth="11.140625" defaultRowHeight="15" x14ac:dyDescent="0.25"/>
  <cols>
    <col min="1" max="1" width="5.42578125" customWidth="1"/>
    <col min="2" max="2" width="72.5703125" customWidth="1"/>
    <col min="3" max="3" width="20" bestFit="1" customWidth="1"/>
    <col min="4" max="5" width="9.85546875" bestFit="1" customWidth="1"/>
    <col min="6" max="9" width="9.85546875" customWidth="1"/>
    <col min="10" max="17" width="11.140625" hidden="1" customWidth="1"/>
    <col min="18" max="21" width="11.140625" style="4712" hidden="1" customWidth="1"/>
    <col min="22" max="37" width="11.140625" hidden="1" customWidth="1"/>
    <col min="38" max="39" width="11.140625" style="2769" hidden="1" customWidth="1"/>
    <col min="40" max="51" width="11.140625" hidden="1" customWidth="1"/>
    <col min="52" max="55" width="11.140625" style="3093" hidden="1" customWidth="1"/>
    <col min="56" max="57" width="11.140625" hidden="1" customWidth="1"/>
    <col min="58" max="58" width="0" hidden="1" customWidth="1"/>
  </cols>
  <sheetData>
    <row r="1" spans="1:62" ht="22.5" x14ac:dyDescent="0.3">
      <c r="B1" s="389" t="s">
        <v>1098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5172" customFormat="1" ht="22.5" hidden="1" x14ac:dyDescent="0.3">
      <c r="B2" s="389"/>
      <c r="C2" s="45" t="s">
        <v>2184</v>
      </c>
      <c r="D2" s="2936">
        <f>+'B-FCE'!E50</f>
        <v>29</v>
      </c>
      <c r="E2" s="2936">
        <f>+'B-FCE'!F50</f>
        <v>26.666666666666664</v>
      </c>
      <c r="F2" s="2936">
        <f>+'B-FCE'!G50</f>
        <v>30.000000000000004</v>
      </c>
      <c r="G2" s="2936">
        <f>+'B-FCE'!H50</f>
        <v>29.791666666666664</v>
      </c>
      <c r="H2" s="2936">
        <f>+'B-FCE'!I50</f>
        <v>59</v>
      </c>
      <c r="I2" s="2936">
        <f>+'B-FCE'!J50</f>
        <v>56.458333333333329</v>
      </c>
      <c r="J2" s="2936">
        <f>+'B-FCE'!K50</f>
        <v>18.999999999999996</v>
      </c>
      <c r="K2" s="2936">
        <f>+'B-FCE'!L50</f>
        <v>25.093750000000004</v>
      </c>
      <c r="L2" s="2936">
        <f>+'B-FCE'!M50</f>
        <v>78</v>
      </c>
      <c r="M2" s="2936">
        <f>+'B-FCE'!N50</f>
        <v>81.552083333333343</v>
      </c>
      <c r="N2" s="2936">
        <f>+'B-FCE'!O50</f>
        <v>9.4999999999999982</v>
      </c>
      <c r="O2" s="2936">
        <f>+'B-FCE'!P50</f>
        <v>30.25001209836914</v>
      </c>
      <c r="P2" s="2936">
        <f>+'B-FCE'!Q50</f>
        <v>87.5</v>
      </c>
      <c r="Q2" s="2936">
        <f>+'B-FCE'!R50</f>
        <v>111.80209543170248</v>
      </c>
      <c r="R2" s="2936">
        <f>+'B-FCE'!S50</f>
        <v>30</v>
      </c>
      <c r="S2" s="2936">
        <f>+'B-FCE'!T50</f>
        <v>29.583333333333336</v>
      </c>
      <c r="T2" s="2936">
        <f>+'B-FCE'!U50</f>
        <v>117.5</v>
      </c>
      <c r="U2" s="2936">
        <f>+'B-FCE'!V50</f>
        <v>141.38542876503581</v>
      </c>
      <c r="V2" s="2936">
        <f>+'B-FCE'!W50</f>
        <v>29</v>
      </c>
      <c r="W2" s="2936">
        <f>+'B-FCE'!X50</f>
        <v>29.916666666666671</v>
      </c>
      <c r="X2" s="2936">
        <f>+'B-FCE'!Y50</f>
        <v>68.5</v>
      </c>
      <c r="Y2" s="2936">
        <f>+'B-FCE'!Z50</f>
        <v>89.750012098369155</v>
      </c>
      <c r="Z2" s="2936">
        <f>+'B-FCE'!AA50</f>
        <v>146.5</v>
      </c>
      <c r="AA2" s="2936">
        <f>+'B-FCE'!AB50</f>
        <v>171.3020954317025</v>
      </c>
      <c r="AB2" s="2936">
        <f>+'B-FCE'!AC50</f>
        <v>29.999999999999996</v>
      </c>
      <c r="AC2" s="2936">
        <f>+'B-FCE'!AD50</f>
        <v>29.965277777777771</v>
      </c>
      <c r="AD2" s="2936">
        <f>+'B-FCE'!AE50</f>
        <v>176.5</v>
      </c>
      <c r="AE2" s="2936">
        <f>+'B-FCE'!AF50</f>
        <v>201.26737320948027</v>
      </c>
      <c r="AF2" s="2936">
        <f>+'B-FCE'!AG50</f>
        <v>29</v>
      </c>
      <c r="AG2" s="2936">
        <f>+'B-FCE'!AH50</f>
        <v>2.8778901789705245</v>
      </c>
      <c r="AH2" s="2936">
        <f>+'B-FCE'!AI50</f>
        <v>205.5</v>
      </c>
      <c r="AI2" s="2936">
        <f>+'B-FCE'!AJ50</f>
        <v>204.14526338845079</v>
      </c>
      <c r="AJ2" s="2936">
        <f>+'B-FCE'!AK50</f>
        <v>29.999999999999996</v>
      </c>
      <c r="AK2" s="2936">
        <f>+'B-FCE'!AL50</f>
        <v>30.753472222222221</v>
      </c>
      <c r="AL2" s="2936">
        <f>+'B-FCE'!AM50</f>
        <v>89</v>
      </c>
      <c r="AM2" s="2936">
        <f>+'B-FCE'!AN50</f>
        <v>63.596640178970517</v>
      </c>
      <c r="AN2" s="2936">
        <f>+'B-FCE'!AO50</f>
        <v>235.5</v>
      </c>
      <c r="AO2" s="2936">
        <f>+'B-FCE'!AP50</f>
        <v>234.89873561067301</v>
      </c>
      <c r="AP2" s="2936">
        <f>+'B-FCE'!AQ50</f>
        <v>29.999999999999996</v>
      </c>
      <c r="AQ2" s="2936">
        <f>+'B-FCE'!AR50</f>
        <v>29.628472222222221</v>
      </c>
      <c r="AR2" s="2936">
        <f>+'B-FCE'!AS50</f>
        <v>265.5</v>
      </c>
      <c r="AS2" s="2936">
        <f>+'B-FCE'!AT50</f>
        <v>264.52720783289521</v>
      </c>
      <c r="AT2" s="2936">
        <f>+'B-FCE'!AU50</f>
        <v>26.999999999999996</v>
      </c>
      <c r="AU2" s="2936">
        <f>+'B-FCE'!AV50</f>
        <v>27.1875</v>
      </c>
      <c r="AV2" s="2936">
        <f>+'B-FCE'!AW50</f>
        <v>292.5</v>
      </c>
      <c r="AW2" s="2936">
        <f>+'B-FCE'!AX50</f>
        <v>291.71470783289521</v>
      </c>
      <c r="AX2" s="2936">
        <f>+'B-FCE'!AY50</f>
        <v>29.999999999999996</v>
      </c>
      <c r="AY2" s="2936">
        <f>+'B-FCE'!AZ50</f>
        <v>30.22569444444445</v>
      </c>
      <c r="AZ2" s="2936">
        <f>+'B-FCE'!BA50</f>
        <v>86.999999999999986</v>
      </c>
      <c r="BA2" s="2936">
        <f>+'B-FCE'!BB50</f>
        <v>87.041666666666671</v>
      </c>
      <c r="BB2" s="2936">
        <f>+'B-FCE'!BC50</f>
        <v>176</v>
      </c>
      <c r="BC2" s="2936">
        <f>+'B-FCE'!BD50</f>
        <v>150.6383068456372</v>
      </c>
      <c r="BD2" s="2936">
        <f>+'B-FCE'!BE50</f>
        <v>322.5</v>
      </c>
      <c r="BE2" s="2936">
        <f>+'B-FCE'!BF50</f>
        <v>321.94040227733967</v>
      </c>
    </row>
    <row r="3" spans="1:62" ht="15.75" thickBot="1" x14ac:dyDescent="0.3">
      <c r="B3" s="45"/>
      <c r="C3" s="45" t="s">
        <v>500</v>
      </c>
      <c r="D3" s="2936">
        <v>30</v>
      </c>
      <c r="E3" s="2936">
        <v>30</v>
      </c>
      <c r="F3" s="2936">
        <v>31</v>
      </c>
      <c r="G3" s="2936">
        <v>31</v>
      </c>
      <c r="H3" s="2936">
        <f>+D3+F3</f>
        <v>61</v>
      </c>
      <c r="I3" s="2936">
        <f>+E3+G3</f>
        <v>61</v>
      </c>
      <c r="J3" s="2936">
        <v>30</v>
      </c>
      <c r="K3" s="2936">
        <v>30</v>
      </c>
      <c r="L3" s="2936">
        <f>+H3+J3</f>
        <v>91</v>
      </c>
      <c r="M3" s="2936">
        <f>+I3+K3</f>
        <v>91</v>
      </c>
      <c r="N3" s="2936">
        <v>31</v>
      </c>
      <c r="O3" s="2936">
        <v>31</v>
      </c>
      <c r="P3" s="2936">
        <f>+L3+N3</f>
        <v>122</v>
      </c>
      <c r="Q3" s="2936">
        <f>+M3+O3</f>
        <v>122</v>
      </c>
      <c r="R3" s="2936">
        <v>31</v>
      </c>
      <c r="S3" s="2936">
        <v>31</v>
      </c>
      <c r="T3" s="2936">
        <f>+P3+R3</f>
        <v>153</v>
      </c>
      <c r="U3" s="2936">
        <f>+Q3+S3</f>
        <v>153</v>
      </c>
      <c r="V3" s="2936">
        <v>30</v>
      </c>
      <c r="W3" s="2936">
        <v>30</v>
      </c>
      <c r="X3" s="2936">
        <f>+N3+R3+V3</f>
        <v>92</v>
      </c>
      <c r="Y3" s="2936">
        <f>+O3+S3+W3</f>
        <v>92</v>
      </c>
      <c r="Z3" s="2936">
        <f>+T3+V3</f>
        <v>183</v>
      </c>
      <c r="AA3" s="2936">
        <f>+U3+W3</f>
        <v>183</v>
      </c>
      <c r="AB3" s="2936">
        <v>31</v>
      </c>
      <c r="AC3" s="2936">
        <v>31</v>
      </c>
      <c r="AD3" s="2936">
        <f>+Z3+AB3</f>
        <v>214</v>
      </c>
      <c r="AE3" s="2936">
        <f>+AA3+AC3</f>
        <v>214</v>
      </c>
      <c r="AF3" s="2936">
        <v>30</v>
      </c>
      <c r="AG3" s="2936">
        <v>30</v>
      </c>
      <c r="AH3" s="2936">
        <f>+AD3+AF3</f>
        <v>244</v>
      </c>
      <c r="AI3" s="2936">
        <f>+AE3+AG3</f>
        <v>244</v>
      </c>
      <c r="AJ3" s="2936">
        <v>31</v>
      </c>
      <c r="AK3" s="2936">
        <v>31</v>
      </c>
      <c r="AL3" s="2936">
        <f>+AB3+AF3+AJ3</f>
        <v>92</v>
      </c>
      <c r="AM3" s="2936">
        <f>+AC3+AG3+AK3</f>
        <v>92</v>
      </c>
      <c r="AN3" s="2936">
        <f>+AH3+AJ3</f>
        <v>275</v>
      </c>
      <c r="AO3" s="2936">
        <f>+AI3+AK3</f>
        <v>275</v>
      </c>
      <c r="AP3" s="2936">
        <v>31</v>
      </c>
      <c r="AQ3" s="2936">
        <v>31</v>
      </c>
      <c r="AR3" s="2936">
        <f>+AN3+AP3</f>
        <v>306</v>
      </c>
      <c r="AS3" s="2936">
        <f>+AO3+AQ3</f>
        <v>306</v>
      </c>
      <c r="AT3" s="2936">
        <v>28</v>
      </c>
      <c r="AU3" s="2936">
        <v>28</v>
      </c>
      <c r="AV3" s="2936">
        <f>+AR3+AT3</f>
        <v>334</v>
      </c>
      <c r="AW3" s="2936">
        <f>+AS3+AU3</f>
        <v>334</v>
      </c>
      <c r="AX3" s="2936">
        <v>31</v>
      </c>
      <c r="AY3" s="2936">
        <v>31</v>
      </c>
      <c r="AZ3" s="2936">
        <f>+AP3+AT3+AX3</f>
        <v>90</v>
      </c>
      <c r="BA3" s="2936">
        <f>+AQ3+AU3+AY3</f>
        <v>90</v>
      </c>
      <c r="BB3" s="2936">
        <f>AZ3+AL3</f>
        <v>182</v>
      </c>
      <c r="BC3" s="2936">
        <f>BA3+AM3</f>
        <v>182</v>
      </c>
      <c r="BD3" s="2936">
        <f>+AV3+AX3</f>
        <v>365</v>
      </c>
      <c r="BE3" s="2936">
        <f>+AW3+AY3</f>
        <v>365</v>
      </c>
    </row>
    <row r="4" spans="1:62" ht="16.5" thickTop="1" thickBot="1" x14ac:dyDescent="0.3">
      <c r="B4" s="7845" t="s">
        <v>171</v>
      </c>
      <c r="C4" s="7850" t="s">
        <v>172</v>
      </c>
      <c r="D4" s="7364" t="s">
        <v>2254</v>
      </c>
      <c r="E4" s="7443"/>
      <c r="F4" s="7364" t="s">
        <v>2306</v>
      </c>
      <c r="G4" s="7364"/>
      <c r="H4" s="7362" t="s">
        <v>14</v>
      </c>
      <c r="I4" s="7363"/>
      <c r="J4" s="7370" t="s">
        <v>1903</v>
      </c>
      <c r="K4" s="7377"/>
      <c r="L4" s="7383" t="s">
        <v>637</v>
      </c>
      <c r="M4" s="7847"/>
      <c r="N4" s="7370" t="s">
        <v>1937</v>
      </c>
      <c r="O4" s="7377"/>
      <c r="P4" s="7820" t="s">
        <v>17</v>
      </c>
      <c r="Q4" s="7821"/>
      <c r="R4" s="7370" t="s">
        <v>1961</v>
      </c>
      <c r="S4" s="7377"/>
      <c r="T4" s="7820" t="s">
        <v>18</v>
      </c>
      <c r="U4" s="7821"/>
      <c r="V4" s="7370" t="s">
        <v>1983</v>
      </c>
      <c r="W4" s="7377"/>
      <c r="X4" s="7383" t="s">
        <v>660</v>
      </c>
      <c r="Y4" s="7372"/>
      <c r="Z4" s="7433" t="s">
        <v>657</v>
      </c>
      <c r="AA4" s="7355"/>
      <c r="AB4" s="7370" t="s">
        <v>2002</v>
      </c>
      <c r="AC4" s="7377"/>
      <c r="AD4" s="7820" t="s">
        <v>24</v>
      </c>
      <c r="AE4" s="7821"/>
      <c r="AF4" s="7370" t="s">
        <v>2018</v>
      </c>
      <c r="AG4" s="7377"/>
      <c r="AH4" s="7820" t="s">
        <v>27</v>
      </c>
      <c r="AI4" s="7821"/>
      <c r="AJ4" s="7370" t="s">
        <v>2033</v>
      </c>
      <c r="AK4" s="7377"/>
      <c r="AL4" s="7383" t="s">
        <v>662</v>
      </c>
      <c r="AM4" s="7372"/>
      <c r="AN4" s="7820" t="s">
        <v>1683</v>
      </c>
      <c r="AO4" s="7821"/>
      <c r="AP4" s="7370" t="s">
        <v>2137</v>
      </c>
      <c r="AQ4" s="7377"/>
      <c r="AR4" s="7820" t="s">
        <v>28</v>
      </c>
      <c r="AS4" s="7821"/>
      <c r="AT4" s="7370" t="s">
        <v>2151</v>
      </c>
      <c r="AU4" s="7377"/>
      <c r="AV4" s="7820" t="s">
        <v>30</v>
      </c>
      <c r="AW4" s="7821"/>
      <c r="AX4" s="7370" t="s">
        <v>2163</v>
      </c>
      <c r="AY4" s="7377"/>
      <c r="AZ4" s="7383" t="s">
        <v>663</v>
      </c>
      <c r="BA4" s="7372"/>
      <c r="BB4" s="7433" t="s">
        <v>671</v>
      </c>
      <c r="BC4" s="7355"/>
      <c r="BD4" s="7820" t="s">
        <v>1765</v>
      </c>
      <c r="BE4" s="7821"/>
    </row>
    <row r="5" spans="1:62" ht="15.75" thickBot="1" x14ac:dyDescent="0.3">
      <c r="B5" s="7846"/>
      <c r="C5" s="7376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5" t="s">
        <v>173</v>
      </c>
      <c r="K5" s="400" t="s">
        <v>174</v>
      </c>
      <c r="L5" s="705" t="s">
        <v>173</v>
      </c>
      <c r="M5" s="696" t="s">
        <v>174</v>
      </c>
      <c r="N5" s="1565" t="s">
        <v>173</v>
      </c>
      <c r="O5" s="400" t="s">
        <v>174</v>
      </c>
      <c r="P5" s="1598" t="s">
        <v>173</v>
      </c>
      <c r="Q5" s="1599" t="s">
        <v>174</v>
      </c>
      <c r="R5" s="1565" t="s">
        <v>173</v>
      </c>
      <c r="S5" s="400" t="s">
        <v>174</v>
      </c>
      <c r="T5" s="4965" t="s">
        <v>173</v>
      </c>
      <c r="U5" s="1599" t="s">
        <v>174</v>
      </c>
      <c r="V5" s="1565" t="s">
        <v>173</v>
      </c>
      <c r="W5" s="178" t="s">
        <v>174</v>
      </c>
      <c r="X5" s="705" t="s">
        <v>173</v>
      </c>
      <c r="Y5" s="170" t="s">
        <v>174</v>
      </c>
      <c r="Z5" s="706" t="s">
        <v>173</v>
      </c>
      <c r="AA5" s="499" t="s">
        <v>174</v>
      </c>
      <c r="AB5" s="1565" t="s">
        <v>173</v>
      </c>
      <c r="AC5" s="178" t="s">
        <v>174</v>
      </c>
      <c r="AD5" s="2645" t="s">
        <v>173</v>
      </c>
      <c r="AE5" s="1599" t="s">
        <v>174</v>
      </c>
      <c r="AF5" s="1565" t="s">
        <v>173</v>
      </c>
      <c r="AG5" s="178" t="s">
        <v>174</v>
      </c>
      <c r="AH5" s="2677" t="s">
        <v>173</v>
      </c>
      <c r="AI5" s="1599" t="s">
        <v>174</v>
      </c>
      <c r="AJ5" s="1565" t="s">
        <v>173</v>
      </c>
      <c r="AK5" s="178" t="s">
        <v>174</v>
      </c>
      <c r="AL5" s="2768" t="s">
        <v>173</v>
      </c>
      <c r="AM5" s="170" t="s">
        <v>174</v>
      </c>
      <c r="AN5" s="2765" t="s">
        <v>173</v>
      </c>
      <c r="AO5" s="1599" t="s">
        <v>174</v>
      </c>
      <c r="AP5" s="1565" t="s">
        <v>173</v>
      </c>
      <c r="AQ5" s="178" t="s">
        <v>174</v>
      </c>
      <c r="AR5" s="2816" t="s">
        <v>173</v>
      </c>
      <c r="AS5" s="1599" t="s">
        <v>174</v>
      </c>
      <c r="AT5" s="1565" t="s">
        <v>173</v>
      </c>
      <c r="AU5" s="178" t="s">
        <v>174</v>
      </c>
      <c r="AV5" s="2848" t="s">
        <v>173</v>
      </c>
      <c r="AW5" s="1599" t="s">
        <v>174</v>
      </c>
      <c r="AX5" s="1565" t="s">
        <v>173</v>
      </c>
      <c r="AY5" s="178" t="s">
        <v>174</v>
      </c>
      <c r="AZ5" s="3091" t="s">
        <v>173</v>
      </c>
      <c r="BA5" s="170" t="s">
        <v>174</v>
      </c>
      <c r="BB5" s="3092" t="s">
        <v>173</v>
      </c>
      <c r="BC5" s="499" t="s">
        <v>174</v>
      </c>
      <c r="BD5" s="3100" t="s">
        <v>173</v>
      </c>
      <c r="BE5" s="1599" t="s">
        <v>174</v>
      </c>
    </row>
    <row r="6" spans="1:62" ht="22.7" customHeight="1" x14ac:dyDescent="0.3">
      <c r="B6" s="3718" t="s">
        <v>456</v>
      </c>
      <c r="C6" s="128"/>
      <c r="D6" s="1566"/>
      <c r="E6" s="128"/>
      <c r="F6" s="128"/>
      <c r="G6" s="128"/>
      <c r="H6" s="128"/>
      <c r="I6" s="3719"/>
      <c r="J6" s="1566"/>
      <c r="K6" s="1566"/>
      <c r="L6" s="128"/>
      <c r="M6" s="128"/>
      <c r="N6" s="1566"/>
      <c r="O6" s="1566"/>
      <c r="P6" s="128"/>
      <c r="Q6" s="128"/>
      <c r="R6" s="1566"/>
      <c r="S6" s="1566"/>
      <c r="T6" s="128"/>
      <c r="U6" s="128"/>
      <c r="V6" s="1566"/>
      <c r="W6" s="128"/>
      <c r="X6" s="128"/>
      <c r="Y6" s="128"/>
      <c r="Z6" s="128"/>
      <c r="AA6" s="128"/>
      <c r="AB6" s="1566"/>
      <c r="AC6" s="128"/>
      <c r="AD6" s="128"/>
      <c r="AE6" s="128"/>
      <c r="AF6" s="1566"/>
      <c r="AG6" s="128"/>
      <c r="AH6" s="128"/>
      <c r="AI6" s="128"/>
      <c r="AJ6" s="1566"/>
      <c r="AK6" s="128"/>
      <c r="AL6" s="128"/>
      <c r="AM6" s="128"/>
      <c r="AN6" s="128"/>
      <c r="AO6" s="128"/>
      <c r="AP6" s="1566"/>
      <c r="AQ6" s="128"/>
      <c r="AR6" s="128"/>
      <c r="AS6" s="128"/>
      <c r="AT6" s="1566"/>
      <c r="AU6" s="128"/>
      <c r="AV6" s="128"/>
      <c r="AW6" s="128"/>
      <c r="AX6" s="1566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720" t="s">
        <v>664</v>
      </c>
      <c r="C7" s="3721"/>
      <c r="D7" s="3569"/>
      <c r="E7" s="3721"/>
      <c r="F7" s="3569"/>
      <c r="G7" s="3721"/>
      <c r="H7" s="3721"/>
      <c r="I7" s="3722"/>
      <c r="J7" s="3569"/>
      <c r="K7" s="2481"/>
      <c r="L7" s="1606"/>
      <c r="M7" s="1606"/>
      <c r="N7" s="2481"/>
      <c r="O7" s="2481"/>
      <c r="P7" s="1606"/>
      <c r="Q7" s="1606"/>
      <c r="R7" s="2481"/>
      <c r="S7" s="2481"/>
      <c r="T7" s="1606"/>
      <c r="U7" s="1606"/>
      <c r="V7" s="2481"/>
      <c r="W7" s="1606"/>
      <c r="X7" s="1606"/>
      <c r="Y7" s="1606"/>
      <c r="Z7" s="1606"/>
      <c r="AA7" s="1606"/>
      <c r="AB7" s="2481"/>
      <c r="AC7" s="1606"/>
      <c r="AD7" s="1606"/>
      <c r="AE7" s="1606"/>
      <c r="AF7" s="2481"/>
      <c r="AG7" s="1606"/>
      <c r="AH7" s="1606"/>
      <c r="AI7" s="1606"/>
      <c r="AJ7" s="2481"/>
      <c r="AK7" s="1606"/>
      <c r="AL7" s="1606"/>
      <c r="AM7" s="1606"/>
      <c r="AN7" s="1606"/>
      <c r="AO7" s="1606"/>
      <c r="AP7" s="2481"/>
      <c r="AQ7" s="1606"/>
      <c r="AR7" s="1606"/>
      <c r="AS7" s="1606"/>
      <c r="AT7" s="2481"/>
      <c r="AU7" s="1606"/>
      <c r="AV7" s="1606"/>
      <c r="AW7" s="1606"/>
      <c r="AX7" s="2481"/>
      <c r="AY7" s="1606"/>
      <c r="AZ7" s="1606"/>
      <c r="BA7" s="1606"/>
      <c r="BB7" s="1606"/>
      <c r="BC7" s="1606"/>
      <c r="BD7" s="1606"/>
      <c r="BE7" s="1606"/>
    </row>
    <row r="8" spans="1:62" ht="15.75" thickBot="1" x14ac:dyDescent="0.3">
      <c r="B8" s="2236" t="s">
        <v>374</v>
      </c>
      <c r="C8" s="866" t="s">
        <v>393</v>
      </c>
      <c r="D8" s="956">
        <v>0</v>
      </c>
      <c r="E8" s="88">
        <v>0</v>
      </c>
      <c r="F8" s="956">
        <v>0</v>
      </c>
      <c r="G8" s="88">
        <v>0</v>
      </c>
      <c r="H8" s="2122">
        <f t="shared" ref="H8:I10" si="0">+D8+F8</f>
        <v>0</v>
      </c>
      <c r="I8" s="3723">
        <f t="shared" si="0"/>
        <v>0</v>
      </c>
      <c r="J8" s="956">
        <v>0</v>
      </c>
      <c r="K8" s="88">
        <v>0</v>
      </c>
      <c r="L8" s="714">
        <f t="shared" ref="L8" si="1">+H8+J8</f>
        <v>0</v>
      </c>
      <c r="M8" s="714">
        <f>E8+G8+K8</f>
        <v>0</v>
      </c>
      <c r="N8" s="956">
        <v>0</v>
      </c>
      <c r="O8" s="88">
        <v>0</v>
      </c>
      <c r="P8" s="823">
        <f t="shared" ref="P8:Q10" si="2">+L8+N8</f>
        <v>0</v>
      </c>
      <c r="Q8" s="2482">
        <f t="shared" si="2"/>
        <v>0</v>
      </c>
      <c r="R8" s="956">
        <v>0</v>
      </c>
      <c r="S8" s="88">
        <v>0</v>
      </c>
      <c r="T8" s="823">
        <f t="shared" ref="T8:T10" si="3">+P8+R8</f>
        <v>0</v>
      </c>
      <c r="U8" s="2482">
        <f t="shared" ref="U8:U10" si="4">+Q8+S8</f>
        <v>0</v>
      </c>
      <c r="V8" s="956">
        <v>0</v>
      </c>
      <c r="W8" s="88">
        <v>0</v>
      </c>
      <c r="X8" s="717">
        <f t="shared" ref="X8" si="5">+V8+R8+N8</f>
        <v>0</v>
      </c>
      <c r="Y8" s="1609">
        <f>+O8+S8+W8</f>
        <v>0</v>
      </c>
      <c r="Z8" s="715">
        <f t="shared" ref="Z8" si="6">+T8+V8</f>
        <v>0</v>
      </c>
      <c r="AA8" s="458">
        <f>M8+Y8</f>
        <v>0</v>
      </c>
      <c r="AB8" s="956">
        <v>0</v>
      </c>
      <c r="AC8" s="88">
        <v>0</v>
      </c>
      <c r="AD8" s="2122">
        <f t="shared" ref="AD8:AD10" si="7">+Z8+AB8</f>
        <v>0</v>
      </c>
      <c r="AE8" s="2482">
        <f t="shared" ref="AE8:AE10" si="8">+AA8+AC8</f>
        <v>0</v>
      </c>
      <c r="AF8" s="956">
        <v>0</v>
      </c>
      <c r="AG8" s="88">
        <v>0</v>
      </c>
      <c r="AH8" s="2122">
        <f t="shared" ref="AH8:AH10" si="9">+AD8+AF8</f>
        <v>0</v>
      </c>
      <c r="AI8" s="2482">
        <f t="shared" ref="AI8:AI10" si="10">+AE8+AG8</f>
        <v>0</v>
      </c>
      <c r="AJ8" s="956">
        <v>0</v>
      </c>
      <c r="AK8" s="88">
        <v>0</v>
      </c>
      <c r="AL8" s="717">
        <f t="shared" ref="AL8" si="11">+AJ8+AF8+AB8</f>
        <v>0</v>
      </c>
      <c r="AM8" s="1609">
        <f>+AC8+AG8+AK8</f>
        <v>0</v>
      </c>
      <c r="AN8" s="2122">
        <f t="shared" ref="AN8:AO10" si="12">+AH8+AJ8</f>
        <v>0</v>
      </c>
      <c r="AO8" s="2482">
        <f t="shared" si="12"/>
        <v>0</v>
      </c>
      <c r="AP8" s="956">
        <v>0</v>
      </c>
      <c r="AQ8" s="88">
        <v>0</v>
      </c>
      <c r="AR8" s="2122">
        <f t="shared" ref="AR8:AR10" si="13">+AN8+AP8</f>
        <v>0</v>
      </c>
      <c r="AS8" s="2482">
        <f t="shared" ref="AS8:AS10" si="14">+AO8+AQ8</f>
        <v>0</v>
      </c>
      <c r="AT8" s="956">
        <v>0</v>
      </c>
      <c r="AU8" s="88">
        <v>0</v>
      </c>
      <c r="AV8" s="2122">
        <f t="shared" ref="AV8:AV10" si="15">+AR8+AT8</f>
        <v>0</v>
      </c>
      <c r="AW8" s="2482">
        <f t="shared" ref="AW8:AW10" si="16">+AS8+AU8</f>
        <v>0</v>
      </c>
      <c r="AX8" s="956">
        <v>0</v>
      </c>
      <c r="AY8" s="88">
        <v>0</v>
      </c>
      <c r="AZ8" s="717">
        <f t="shared" ref="AZ8" si="17">+AX8+AT8+AP8</f>
        <v>0</v>
      </c>
      <c r="BA8" s="1609">
        <f>+AQ8+AU8+AY8</f>
        <v>0</v>
      </c>
      <c r="BB8" s="715">
        <f>+AL8+AZ8</f>
        <v>0</v>
      </c>
      <c r="BC8" s="715">
        <f>+AM8+BA8</f>
        <v>0</v>
      </c>
      <c r="BD8" s="2122">
        <f t="shared" ref="BD8:BD10" si="18">+AV8+AX8</f>
        <v>0</v>
      </c>
      <c r="BE8" s="2482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411" t="s">
        <v>373</v>
      </c>
      <c r="C9" s="13" t="s">
        <v>393</v>
      </c>
      <c r="D9" s="3435">
        <f>D13*D3*24</f>
        <v>3600</v>
      </c>
      <c r="E9" s="18">
        <f>+'POWER DISTRIBUTION'!J9/1000</f>
        <v>2652.6023679999998</v>
      </c>
      <c r="F9" s="7224">
        <f>F13*F3*24</f>
        <v>3720</v>
      </c>
      <c r="G9" s="18">
        <f>+'POWER DISTRIBUTION'!L9/1000</f>
        <v>3582.8009999999999</v>
      </c>
      <c r="H9" s="3133">
        <f t="shared" si="0"/>
        <v>7320</v>
      </c>
      <c r="I9" s="39">
        <f t="shared" si="0"/>
        <v>6235.4033679999993</v>
      </c>
      <c r="J9" s="4610">
        <f>J13*J3*24</f>
        <v>3600</v>
      </c>
      <c r="K9" s="18">
        <f>+'POWER DISTRIBUTION'!P9/1000</f>
        <v>3158.4</v>
      </c>
      <c r="L9" s="2396">
        <f>D9+F9+J9</f>
        <v>10920</v>
      </c>
      <c r="M9" s="2396">
        <f>E9+G9+K9</f>
        <v>9393.803367999999</v>
      </c>
      <c r="N9" s="4839">
        <f>N13*N3*24</f>
        <v>3720</v>
      </c>
      <c r="O9" s="18">
        <f>+'POWER DISTRIBUTION'!T9/1000</f>
        <v>3845.2</v>
      </c>
      <c r="P9" s="437">
        <f t="shared" si="2"/>
        <v>14640</v>
      </c>
      <c r="Q9" s="2399">
        <f t="shared" si="2"/>
        <v>13239.003367999998</v>
      </c>
      <c r="R9" s="4950">
        <f>R13*R3*24</f>
        <v>3720</v>
      </c>
      <c r="S9" s="18">
        <f>+'POWER DISTRIBUTION'!X9/1000</f>
        <v>3731.9070000000002</v>
      </c>
      <c r="T9" s="437">
        <f t="shared" si="3"/>
        <v>18360</v>
      </c>
      <c r="U9" s="4953">
        <f t="shared" si="4"/>
        <v>16970.910367999997</v>
      </c>
      <c r="V9" s="5070">
        <f>V13*V3*24</f>
        <v>3600</v>
      </c>
      <c r="W9" s="18">
        <f>+'POWER DISTRIBUTION'!AB9/1000</f>
        <v>3443.9009999999998</v>
      </c>
      <c r="X9" s="2396">
        <f>+N9+R9+V9</f>
        <v>11040</v>
      </c>
      <c r="Y9" s="529">
        <f>+O9+S9+W9</f>
        <v>11021.008</v>
      </c>
      <c r="Z9" s="640">
        <f>L9+X9</f>
        <v>21960</v>
      </c>
      <c r="AA9" s="454">
        <f>M9+Y9</f>
        <v>20414.811367999999</v>
      </c>
      <c r="AB9" s="5418">
        <f>AB13*AB3*24</f>
        <v>3720</v>
      </c>
      <c r="AC9" s="18">
        <f>+'POWER DISTRIBUTION'!AH9/1000</f>
        <v>3311.7</v>
      </c>
      <c r="AD9" s="437">
        <f t="shared" si="7"/>
        <v>25680</v>
      </c>
      <c r="AE9" s="2399">
        <f t="shared" si="8"/>
        <v>23726.511367999999</v>
      </c>
      <c r="AF9" s="5564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5568">
        <f t="shared" si="10"/>
        <v>26337.511687999999</v>
      </c>
      <c r="AJ9" s="5968">
        <f>AJ13*AJ3*24</f>
        <v>3720</v>
      </c>
      <c r="AK9" s="18">
        <f>+'POWER DISTRIBUTION'!AP9/1000</f>
        <v>2794.1019999999999</v>
      </c>
      <c r="AL9" s="2767">
        <f>+AB9+AF9+AJ9</f>
        <v>11040</v>
      </c>
      <c r="AM9" s="529">
        <f>+AC9+AG9+AK9</f>
        <v>8716.8023199999989</v>
      </c>
      <c r="AN9" s="437">
        <f t="shared" si="12"/>
        <v>33000</v>
      </c>
      <c r="AO9" s="2399">
        <f t="shared" si="12"/>
        <v>29131.613687999998</v>
      </c>
      <c r="AP9" s="6132">
        <f>AP13*AP3*24</f>
        <v>3720</v>
      </c>
      <c r="AQ9" s="18">
        <f>+'POWER DISTRIBUTION'!AV9/1000</f>
        <v>2852.299</v>
      </c>
      <c r="AR9" s="437">
        <f t="shared" si="13"/>
        <v>36720</v>
      </c>
      <c r="AS9" s="6135">
        <f t="shared" si="14"/>
        <v>31983.912687999997</v>
      </c>
      <c r="AT9" s="6289">
        <f>AT13*AT3*24</f>
        <v>3360</v>
      </c>
      <c r="AU9" s="18">
        <f>+'POWER DISTRIBUTION'!AZ9/1000</f>
        <v>2358.998</v>
      </c>
      <c r="AV9" s="437">
        <f t="shared" si="15"/>
        <v>40080</v>
      </c>
      <c r="AW9" s="6292">
        <f t="shared" si="16"/>
        <v>34342.910687999996</v>
      </c>
      <c r="AX9" s="6459">
        <f>AX13*AX3*24</f>
        <v>3720</v>
      </c>
      <c r="AY9" s="18">
        <f>+'POWER DISTRIBUTION'!BD9/1000</f>
        <v>2285.9969999999998</v>
      </c>
      <c r="AZ9" s="3090">
        <f>+AP9+AT9+AX9</f>
        <v>10800</v>
      </c>
      <c r="BA9" s="529">
        <f>+AQ9+AU9+AY9</f>
        <v>7497.2939999999999</v>
      </c>
      <c r="BB9" s="715">
        <f t="shared" ref="BB9:BB10" si="20">+AL9+AZ9</f>
        <v>21840</v>
      </c>
      <c r="BC9" s="715">
        <f t="shared" ref="BC9:BC10" si="21">+AM9+BA9</f>
        <v>16214.096319999999</v>
      </c>
      <c r="BD9" s="437">
        <f t="shared" si="18"/>
        <v>43800</v>
      </c>
      <c r="BE9" s="2399">
        <f t="shared" si="19"/>
        <v>36628.907687999999</v>
      </c>
      <c r="BF9" s="26"/>
      <c r="BG9" s="26"/>
      <c r="BH9" s="26"/>
      <c r="BI9" s="26"/>
      <c r="BJ9" s="26"/>
    </row>
    <row r="10" spans="1:62" ht="15.75" customHeight="1" thickBot="1" x14ac:dyDescent="0.3">
      <c r="B10" s="3412" t="s">
        <v>609</v>
      </c>
      <c r="C10" s="731" t="s">
        <v>393</v>
      </c>
      <c r="D10" s="1781"/>
      <c r="E10" s="38"/>
      <c r="F10" s="1781"/>
      <c r="G10" s="38"/>
      <c r="H10" s="589">
        <f t="shared" si="0"/>
        <v>0</v>
      </c>
      <c r="I10" s="44">
        <f t="shared" si="0"/>
        <v>0</v>
      </c>
      <c r="J10" s="1781"/>
      <c r="K10" s="1822">
        <v>2846.9989999999998</v>
      </c>
      <c r="L10" s="1544">
        <f>D10+F10+J10</f>
        <v>0</v>
      </c>
      <c r="M10" s="1544">
        <f>E10+G10+K10</f>
        <v>2846.9989999999998</v>
      </c>
      <c r="N10" s="1781"/>
      <c r="O10" s="1822">
        <f>2081034/1000</f>
        <v>2081.0340000000001</v>
      </c>
      <c r="P10" s="722">
        <f t="shared" si="2"/>
        <v>0</v>
      </c>
      <c r="Q10" s="589">
        <f t="shared" si="2"/>
        <v>4928.0329999999994</v>
      </c>
      <c r="R10" s="1781"/>
      <c r="S10" s="1822">
        <v>2076.8139999999999</v>
      </c>
      <c r="T10" s="722">
        <f t="shared" si="3"/>
        <v>0</v>
      </c>
      <c r="U10" s="589">
        <f t="shared" si="4"/>
        <v>7004.8469999999998</v>
      </c>
      <c r="V10" s="1781"/>
      <c r="W10" s="1822">
        <v>2164.2689999999998</v>
      </c>
      <c r="X10" s="1544">
        <f>+N10+R10+V10</f>
        <v>0</v>
      </c>
      <c r="Y10" s="2485">
        <f>+O10+S10+W10</f>
        <v>6322.1170000000002</v>
      </c>
      <c r="Z10" s="724">
        <f>L10+X10</f>
        <v>0</v>
      </c>
      <c r="AA10" s="459">
        <f>M10+Y10</f>
        <v>9169.116</v>
      </c>
      <c r="AB10" s="1781"/>
      <c r="AC10" s="1822">
        <v>2012.558</v>
      </c>
      <c r="AD10" s="722">
        <f t="shared" si="7"/>
        <v>0</v>
      </c>
      <c r="AE10" s="589">
        <f t="shared" si="8"/>
        <v>11181.673999999999</v>
      </c>
      <c r="AF10" s="1781"/>
      <c r="AG10" s="1822">
        <v>1760.4960000000001</v>
      </c>
      <c r="AH10" s="722">
        <f t="shared" si="9"/>
        <v>0</v>
      </c>
      <c r="AI10" s="589">
        <f t="shared" si="10"/>
        <v>12942.169999999998</v>
      </c>
      <c r="AJ10" s="1781"/>
      <c r="AK10" s="1822">
        <v>1839.825</v>
      </c>
      <c r="AL10" s="1544">
        <f>+AB10+AF10+AJ10</f>
        <v>0</v>
      </c>
      <c r="AM10" s="2485">
        <f>+AC10+AG10+AK10</f>
        <v>5612.8789999999999</v>
      </c>
      <c r="AN10" s="722">
        <f t="shared" si="12"/>
        <v>0</v>
      </c>
      <c r="AO10" s="589">
        <f t="shared" si="12"/>
        <v>14781.994999999999</v>
      </c>
      <c r="AP10" s="1781"/>
      <c r="AQ10" s="1822">
        <v>1834.53</v>
      </c>
      <c r="AR10" s="722">
        <f t="shared" si="13"/>
        <v>0</v>
      </c>
      <c r="AS10" s="589">
        <f t="shared" si="14"/>
        <v>16616.524999999998</v>
      </c>
      <c r="AT10" s="1781"/>
      <c r="AU10" s="1822">
        <v>1690.896</v>
      </c>
      <c r="AV10" s="722">
        <f t="shared" si="15"/>
        <v>0</v>
      </c>
      <c r="AW10" s="589">
        <f t="shared" si="16"/>
        <v>18307.420999999998</v>
      </c>
      <c r="AX10" s="1781"/>
      <c r="AY10" s="1822">
        <v>2385.5500000000002</v>
      </c>
      <c r="AZ10" s="1544">
        <f>+AP10+AT10+AX10</f>
        <v>0</v>
      </c>
      <c r="BA10" s="2485">
        <f>+AQ10+AU10+AY10</f>
        <v>5910.9760000000006</v>
      </c>
      <c r="BB10" s="715">
        <f t="shared" si="20"/>
        <v>0</v>
      </c>
      <c r="BC10" s="715">
        <f t="shared" si="21"/>
        <v>11523.855</v>
      </c>
      <c r="BD10" s="722">
        <f t="shared" si="18"/>
        <v>0</v>
      </c>
      <c r="BE10" s="589">
        <f t="shared" si="19"/>
        <v>20692.970999999998</v>
      </c>
      <c r="BF10" s="26"/>
      <c r="BG10" s="26"/>
      <c r="BH10" s="26"/>
      <c r="BI10" s="26"/>
      <c r="BJ10" s="26"/>
    </row>
    <row r="11" spans="1:62" ht="15" customHeight="1" thickBot="1" x14ac:dyDescent="0.3">
      <c r="B11" s="2486" t="s">
        <v>455</v>
      </c>
      <c r="C11" s="2487" t="s">
        <v>393</v>
      </c>
      <c r="D11" s="1403">
        <f t="shared" ref="D11:I11" si="22">SUM(D8:D10)</f>
        <v>3600</v>
      </c>
      <c r="E11" s="577">
        <f t="shared" si="22"/>
        <v>2652.6023679999998</v>
      </c>
      <c r="F11" s="1403">
        <f t="shared" ref="F11:G11" si="23">SUM(F8:F10)</f>
        <v>3720</v>
      </c>
      <c r="G11" s="577">
        <f t="shared" si="23"/>
        <v>3582.8009999999999</v>
      </c>
      <c r="H11" s="2488">
        <f t="shared" si="22"/>
        <v>7320</v>
      </c>
      <c r="I11" s="576">
        <f t="shared" si="22"/>
        <v>6235.4033679999993</v>
      </c>
      <c r="J11" s="1403">
        <f t="shared" ref="J11:K11" si="24">SUM(J8:J10)</f>
        <v>3600</v>
      </c>
      <c r="K11" s="577">
        <f t="shared" si="24"/>
        <v>6005.3989999999994</v>
      </c>
      <c r="L11" s="1587">
        <f t="shared" ref="L11:Q11" si="25">SUM(L8:L10)</f>
        <v>10920</v>
      </c>
      <c r="M11" s="2489">
        <f t="shared" si="25"/>
        <v>12240.802367999999</v>
      </c>
      <c r="N11" s="1403">
        <f t="shared" si="25"/>
        <v>3720</v>
      </c>
      <c r="O11" s="577">
        <f t="shared" si="25"/>
        <v>5926.2340000000004</v>
      </c>
      <c r="P11" s="887">
        <f t="shared" si="25"/>
        <v>14640</v>
      </c>
      <c r="Q11" s="576">
        <f t="shared" si="25"/>
        <v>18167.036367999997</v>
      </c>
      <c r="R11" s="1403">
        <f t="shared" ref="R11:U11" si="26">SUM(R8:R10)</f>
        <v>3720</v>
      </c>
      <c r="S11" s="577">
        <f t="shared" si="26"/>
        <v>5808.7209999999995</v>
      </c>
      <c r="T11" s="887">
        <f t="shared" si="26"/>
        <v>18360</v>
      </c>
      <c r="U11" s="576">
        <f t="shared" si="26"/>
        <v>23975.757367999999</v>
      </c>
      <c r="V11" s="1403">
        <f t="shared" ref="V11:W11" si="27">SUM(V8:V10)</f>
        <v>3600</v>
      </c>
      <c r="W11" s="577">
        <f t="shared" si="27"/>
        <v>5608.17</v>
      </c>
      <c r="X11" s="1587">
        <f t="shared" ref="X11:Y11" si="28">SUM(X8:X10)</f>
        <v>11040</v>
      </c>
      <c r="Y11" s="2489">
        <f t="shared" si="28"/>
        <v>17343.125</v>
      </c>
      <c r="Z11" s="2490">
        <f t="shared" ref="Z11:AE11" si="29">SUM(Z8:Z10)</f>
        <v>21960</v>
      </c>
      <c r="AA11" s="2491">
        <f t="shared" si="29"/>
        <v>29583.927367999997</v>
      </c>
      <c r="AB11" s="1403">
        <f t="shared" si="29"/>
        <v>3720</v>
      </c>
      <c r="AC11" s="577">
        <f t="shared" si="29"/>
        <v>5324.2579999999998</v>
      </c>
      <c r="AD11" s="887">
        <f t="shared" si="29"/>
        <v>25680</v>
      </c>
      <c r="AE11" s="576">
        <f t="shared" si="29"/>
        <v>34908.185367999999</v>
      </c>
      <c r="AF11" s="1403">
        <f t="shared" ref="AF11:AI11" si="30">SUM(AF8:AF10)</f>
        <v>3600</v>
      </c>
      <c r="AG11" s="577">
        <f t="shared" si="30"/>
        <v>4371.4963200000002</v>
      </c>
      <c r="AH11" s="887">
        <f t="shared" si="30"/>
        <v>29280</v>
      </c>
      <c r="AI11" s="576">
        <f t="shared" si="30"/>
        <v>39279.681687999997</v>
      </c>
      <c r="AJ11" s="1403">
        <f t="shared" ref="AJ11:AK11" si="31">SUM(AJ8:AJ10)</f>
        <v>3720</v>
      </c>
      <c r="AK11" s="577">
        <f t="shared" si="31"/>
        <v>4633.9269999999997</v>
      </c>
      <c r="AL11" s="1587">
        <f t="shared" ref="AL11:AS11" si="32">SUM(AL8:AL10)</f>
        <v>11040</v>
      </c>
      <c r="AM11" s="2489">
        <f t="shared" si="32"/>
        <v>14329.68132</v>
      </c>
      <c r="AN11" s="887">
        <f t="shared" si="32"/>
        <v>33000</v>
      </c>
      <c r="AO11" s="576">
        <f t="shared" si="32"/>
        <v>43913.608687999993</v>
      </c>
      <c r="AP11" s="1403">
        <f t="shared" si="32"/>
        <v>3720</v>
      </c>
      <c r="AQ11" s="577">
        <f t="shared" si="32"/>
        <v>4686.8289999999997</v>
      </c>
      <c r="AR11" s="887">
        <f t="shared" si="32"/>
        <v>36720</v>
      </c>
      <c r="AS11" s="576">
        <f t="shared" si="32"/>
        <v>48600.437687999991</v>
      </c>
      <c r="AT11" s="1403">
        <f t="shared" ref="AT11:AW11" si="33">SUM(AT8:AT10)</f>
        <v>3360</v>
      </c>
      <c r="AU11" s="577">
        <f t="shared" si="33"/>
        <v>4049.8940000000002</v>
      </c>
      <c r="AV11" s="887">
        <f t="shared" si="33"/>
        <v>40080</v>
      </c>
      <c r="AW11" s="576">
        <f t="shared" si="33"/>
        <v>52650.331687999991</v>
      </c>
      <c r="AX11" s="1403">
        <f t="shared" ref="AX11:AY11" si="34">SUM(AX8:AX10)</f>
        <v>3720</v>
      </c>
      <c r="AY11" s="577">
        <f t="shared" si="34"/>
        <v>4671.5470000000005</v>
      </c>
      <c r="AZ11" s="1587">
        <f t="shared" ref="AZ11:BE11" si="35">SUM(AZ8:AZ10)</f>
        <v>10800</v>
      </c>
      <c r="BA11" s="2489">
        <f t="shared" si="35"/>
        <v>13408.27</v>
      </c>
      <c r="BB11" s="2490">
        <f t="shared" si="35"/>
        <v>21840</v>
      </c>
      <c r="BC11" s="2491">
        <f t="shared" si="35"/>
        <v>27737.95132</v>
      </c>
      <c r="BD11" s="887">
        <f t="shared" si="35"/>
        <v>43800</v>
      </c>
      <c r="BE11" s="576">
        <f t="shared" si="35"/>
        <v>57321.878687999997</v>
      </c>
      <c r="BF11" s="26"/>
      <c r="BG11" s="26"/>
      <c r="BH11" s="26"/>
      <c r="BI11" s="26"/>
      <c r="BJ11" s="26"/>
    </row>
    <row r="12" spans="1:62" ht="12.75" customHeight="1" thickBot="1" x14ac:dyDescent="0.3">
      <c r="B12" s="2496" t="s">
        <v>458</v>
      </c>
      <c r="C12" s="2060" t="s">
        <v>381</v>
      </c>
      <c r="D12" s="1872">
        <v>0</v>
      </c>
      <c r="E12" s="2497">
        <f>+E8/(E3*24)</f>
        <v>0</v>
      </c>
      <c r="F12" s="1872">
        <v>0</v>
      </c>
      <c r="G12" s="2497">
        <f>+G8/(G3*24)</f>
        <v>0</v>
      </c>
      <c r="H12" s="2498">
        <v>0</v>
      </c>
      <c r="I12" s="1875">
        <f>+I8/(I3*24)</f>
        <v>0</v>
      </c>
      <c r="J12" s="1872"/>
      <c r="K12" s="2497">
        <f>+K8/(K3*24)</f>
        <v>0</v>
      </c>
      <c r="L12" s="2492">
        <v>0</v>
      </c>
      <c r="M12" s="2071">
        <f>+M8/(M3*24)</f>
        <v>0</v>
      </c>
      <c r="N12" s="1872"/>
      <c r="O12" s="2497">
        <f>+O8/(O3*24)</f>
        <v>0</v>
      </c>
      <c r="P12" s="2498">
        <v>0</v>
      </c>
      <c r="Q12" s="2499">
        <f>+Q8/(Q3*24)</f>
        <v>0</v>
      </c>
      <c r="R12" s="1872"/>
      <c r="S12" s="2497">
        <f>+S8/(S3*24)</f>
        <v>0</v>
      </c>
      <c r="T12" s="2498">
        <v>0</v>
      </c>
      <c r="U12" s="2499">
        <f>+U8/(U3*24)</f>
        <v>0</v>
      </c>
      <c r="V12" s="1872"/>
      <c r="W12" s="2497">
        <f>+W8/(W3*24)</f>
        <v>0</v>
      </c>
      <c r="X12" s="2492">
        <v>0</v>
      </c>
      <c r="Y12" s="2071">
        <f>+Y8/(Y3*24)</f>
        <v>0</v>
      </c>
      <c r="Z12" s="2500">
        <v>0</v>
      </c>
      <c r="AA12" s="2501">
        <f>+AA8/(AA3*24)</f>
        <v>0</v>
      </c>
      <c r="AB12" s="1872"/>
      <c r="AC12" s="2497">
        <f>+AC8/(AC3*24)</f>
        <v>0</v>
      </c>
      <c r="AD12" s="2498">
        <v>0</v>
      </c>
      <c r="AE12" s="2499">
        <f>+AE8/(AE3*24)</f>
        <v>0</v>
      </c>
      <c r="AF12" s="1872"/>
      <c r="AG12" s="2497">
        <f>+AG8/(AG3*24)</f>
        <v>0</v>
      </c>
      <c r="AH12" s="2498">
        <v>0</v>
      </c>
      <c r="AI12" s="2499">
        <f>+AI8/(AI3*24)</f>
        <v>0</v>
      </c>
      <c r="AJ12" s="1872"/>
      <c r="AK12" s="2497">
        <f>+AK8/(AK3*24)</f>
        <v>0</v>
      </c>
      <c r="AL12" s="2492">
        <v>0</v>
      </c>
      <c r="AM12" s="2071">
        <f>+AM8/(AM3*24)</f>
        <v>0</v>
      </c>
      <c r="AN12" s="2498">
        <v>0</v>
      </c>
      <c r="AO12" s="2499">
        <f>+AO8/(AO3*24)</f>
        <v>0</v>
      </c>
      <c r="AP12" s="1872"/>
      <c r="AQ12" s="2497">
        <f>+AQ8/(AQ3*24)</f>
        <v>0</v>
      </c>
      <c r="AR12" s="2498">
        <v>0</v>
      </c>
      <c r="AS12" s="2499">
        <f>+AS8/(AS3*24)</f>
        <v>0</v>
      </c>
      <c r="AT12" s="1872"/>
      <c r="AU12" s="2497">
        <f>+AU8/(AU3*24)</f>
        <v>0</v>
      </c>
      <c r="AV12" s="2498">
        <v>0</v>
      </c>
      <c r="AW12" s="2499">
        <f>+AW8/(AW3*24)</f>
        <v>0</v>
      </c>
      <c r="AX12" s="1872"/>
      <c r="AY12" s="2497">
        <f>+AY8/(AY3*24)</f>
        <v>0</v>
      </c>
      <c r="AZ12" s="2492">
        <v>0</v>
      </c>
      <c r="BA12" s="2071">
        <f>+BA8/(BA3*24)</f>
        <v>0</v>
      </c>
      <c r="BB12" s="2500">
        <v>0</v>
      </c>
      <c r="BC12" s="2501">
        <f>+BC8/(BC3*24)</f>
        <v>0</v>
      </c>
      <c r="BD12" s="2498">
        <v>0</v>
      </c>
      <c r="BE12" s="2499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95" t="s">
        <v>638</v>
      </c>
      <c r="C13" s="793" t="s">
        <v>381</v>
      </c>
      <c r="D13" s="1149">
        <v>5</v>
      </c>
      <c r="E13" s="103">
        <f>+E9/(E3*24)</f>
        <v>3.6841699555555554</v>
      </c>
      <c r="F13" s="1149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9">
        <v>5</v>
      </c>
      <c r="K13" s="103">
        <f>+K9/(K3*24)</f>
        <v>4.3866666666666667</v>
      </c>
      <c r="L13" s="452">
        <f>+((D13*D3)+(F13*F3)+(J13*J3))/L3</f>
        <v>5</v>
      </c>
      <c r="M13" s="90">
        <f>+M9/(M3*24)</f>
        <v>4.3011920183150174</v>
      </c>
      <c r="N13" s="1149">
        <v>5</v>
      </c>
      <c r="O13" s="103">
        <f>+O9/(O3*24)</f>
        <v>5.1682795698924728</v>
      </c>
      <c r="P13" s="348">
        <f>+((L13*L3)+(N13*N3))/P3</f>
        <v>5</v>
      </c>
      <c r="Q13" s="98">
        <f>+Q9/(Q3*24)</f>
        <v>4.5215175437158459</v>
      </c>
      <c r="R13" s="1149">
        <v>5</v>
      </c>
      <c r="S13" s="103">
        <f>+S9/(S3*24)</f>
        <v>5.0160040322580643</v>
      </c>
      <c r="T13" s="348">
        <f>+((P13*P3)+(R13*R3))/T3</f>
        <v>5</v>
      </c>
      <c r="U13" s="98">
        <f>+U9/(U3*24)</f>
        <v>4.6217076165577335</v>
      </c>
      <c r="V13" s="1149">
        <v>5</v>
      </c>
      <c r="W13" s="103">
        <f>+W9/(W3*24)</f>
        <v>4.7831958333333331</v>
      </c>
      <c r="X13" s="452">
        <f>+((N13*N3)+(R13*R3)+(V13*V3))/X3</f>
        <v>5</v>
      </c>
      <c r="Y13" s="90">
        <f>+Y9/(Y3*24)</f>
        <v>4.9913985507246377</v>
      </c>
      <c r="Z13" s="462">
        <f>+((L13*L3)+(X13*X3))/Z3</f>
        <v>5</v>
      </c>
      <c r="AA13" s="475">
        <f>+AA9/(AA3*24)</f>
        <v>4.6481810947176685</v>
      </c>
      <c r="AB13" s="1149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4.6196478520249222</v>
      </c>
      <c r="AF13" s="1149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4.4975259030054646</v>
      </c>
      <c r="AJ13" s="1149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4.4138808618181811</v>
      </c>
      <c r="AP13" s="1149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4.3551079368191719</v>
      </c>
      <c r="AT13" s="1149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4.2842952455089813</v>
      </c>
      <c r="AX13" s="1149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4.1813821561643838</v>
      </c>
      <c r="BF13" s="26"/>
      <c r="BG13" s="26"/>
      <c r="BH13" s="26"/>
      <c r="BI13" s="26"/>
      <c r="BJ13" s="26"/>
    </row>
    <row r="14" spans="1:62" ht="15.75" customHeight="1" thickBot="1" x14ac:dyDescent="0.3">
      <c r="B14" s="1449" t="s">
        <v>610</v>
      </c>
      <c r="C14" s="894" t="s">
        <v>381</v>
      </c>
      <c r="D14" s="234">
        <v>0</v>
      </c>
      <c r="E14" s="1454">
        <f>+E10/(E3*24)</f>
        <v>0</v>
      </c>
      <c r="F14" s="234">
        <v>0</v>
      </c>
      <c r="G14" s="1454">
        <f>+G10/(G3*24)</f>
        <v>0</v>
      </c>
      <c r="H14" s="593">
        <f>+H10/(H3*24)</f>
        <v>0</v>
      </c>
      <c r="I14" s="131">
        <f>+I10/(I3*24)</f>
        <v>0</v>
      </c>
      <c r="J14" s="234"/>
      <c r="K14" s="1454">
        <f>+K10/(K3*24)</f>
        <v>3.9541652777777774</v>
      </c>
      <c r="L14" s="594">
        <f>+L10/(L3*24)</f>
        <v>0</v>
      </c>
      <c r="M14" s="171">
        <f>+M10/(M3*24)</f>
        <v>1.3035709706959706</v>
      </c>
      <c r="N14" s="234"/>
      <c r="O14" s="1454">
        <f>+O10/(O3*24)</f>
        <v>2.7970887096774195</v>
      </c>
      <c r="P14" s="593">
        <f>+P10/(P3*24)</f>
        <v>0</v>
      </c>
      <c r="Q14" s="131">
        <f>+Q10/(Q3*24)</f>
        <v>1.6830713797814205</v>
      </c>
      <c r="R14" s="234"/>
      <c r="S14" s="1454">
        <f>+S10/(S3*24)</f>
        <v>2.7914166666666667</v>
      </c>
      <c r="T14" s="593">
        <f>+T10/(T3*24)</f>
        <v>0</v>
      </c>
      <c r="U14" s="131">
        <f>+U10/(U3*24)</f>
        <v>1.9076380718954247</v>
      </c>
      <c r="V14" s="234"/>
      <c r="W14" s="1454">
        <f>+W10/(W3*24)</f>
        <v>3.0059291666666663</v>
      </c>
      <c r="X14" s="594">
        <f>+X10/(X3*24)</f>
        <v>0</v>
      </c>
      <c r="Y14" s="171">
        <f>+Y10/(Y3*24)</f>
        <v>2.8632776268115943</v>
      </c>
      <c r="Z14" s="955">
        <f>+Z10/(Z3*24)</f>
        <v>0</v>
      </c>
      <c r="AA14" s="2493">
        <f>+AA10/(AA3*24)</f>
        <v>2.0876857923497267</v>
      </c>
      <c r="AB14" s="234"/>
      <c r="AC14" s="1454">
        <f>+AC10/(AC3*24)</f>
        <v>2.7050510752688171</v>
      </c>
      <c r="AD14" s="593">
        <f>+AD10/(AD3*24)</f>
        <v>0</v>
      </c>
      <c r="AE14" s="131">
        <f>+AE10/(AE3*24)</f>
        <v>2.1771172118380062</v>
      </c>
      <c r="AF14" s="234"/>
      <c r="AG14" s="1454">
        <f>+AG10/(AG3*24)</f>
        <v>2.4451333333333336</v>
      </c>
      <c r="AH14" s="593">
        <f>+AH10/(AH3*24)</f>
        <v>0</v>
      </c>
      <c r="AI14" s="131">
        <f>+AI10/(AI3*24)</f>
        <v>2.2100700136612019</v>
      </c>
      <c r="AJ14" s="234"/>
      <c r="AK14" s="1454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2.2396962121212121</v>
      </c>
      <c r="AP14" s="234">
        <v>0</v>
      </c>
      <c r="AQ14" s="1454">
        <f>+AQ10/(AQ3*24)</f>
        <v>2.4657661290322581</v>
      </c>
      <c r="AR14" s="593">
        <f>+AR10/(AR3*24)</f>
        <v>0</v>
      </c>
      <c r="AS14" s="131">
        <f>+AS10/(AS3*24)</f>
        <v>2.2625987200435729</v>
      </c>
      <c r="AT14" s="234"/>
      <c r="AU14" s="1454">
        <f>+AU10/(AU3*24)</f>
        <v>2.5162142857142857</v>
      </c>
      <c r="AV14" s="593">
        <f>+AV10/(AV3*24)</f>
        <v>0</v>
      </c>
      <c r="AW14" s="131">
        <f>+AW10/(AW3*24)</f>
        <v>2.2838599051896207</v>
      </c>
      <c r="AX14" s="234"/>
      <c r="AY14" s="1454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5">
        <f t="shared" si="36"/>
        <v>0</v>
      </c>
      <c r="BC14" s="2493">
        <f t="shared" si="36"/>
        <v>2.6382451923076924</v>
      </c>
      <c r="BD14" s="593">
        <f t="shared" si="36"/>
        <v>0</v>
      </c>
      <c r="BE14" s="131">
        <f t="shared" si="36"/>
        <v>2.3622113013698627</v>
      </c>
      <c r="BF14" s="26"/>
      <c r="BG14" s="26"/>
      <c r="BH14" s="26"/>
      <c r="BI14" s="26"/>
      <c r="BJ14" s="26"/>
    </row>
    <row r="15" spans="1:62" ht="16.5" thickBot="1" x14ac:dyDescent="0.3">
      <c r="B15" s="779" t="s">
        <v>383</v>
      </c>
      <c r="C15" s="36" t="s">
        <v>381</v>
      </c>
      <c r="D15" s="3779">
        <f t="shared" ref="D15:I15" si="37">SUM(D12:D14)</f>
        <v>5</v>
      </c>
      <c r="E15" s="3780">
        <f t="shared" si="37"/>
        <v>3.6841699555555554</v>
      </c>
      <c r="F15" s="3779">
        <f t="shared" ref="F15:G15" si="38">SUM(F12:F14)</f>
        <v>5</v>
      </c>
      <c r="G15" s="3780">
        <f t="shared" si="38"/>
        <v>4.8155927419354834</v>
      </c>
      <c r="H15" s="3781">
        <f t="shared" si="37"/>
        <v>5</v>
      </c>
      <c r="I15" s="3724">
        <f t="shared" si="37"/>
        <v>4.2591553060109284</v>
      </c>
      <c r="J15" s="3779">
        <f t="shared" ref="J15:K15" si="39">SUM(J12:J14)</f>
        <v>5</v>
      </c>
      <c r="K15" s="3780">
        <f t="shared" si="39"/>
        <v>8.3408319444444441</v>
      </c>
      <c r="L15" s="1537">
        <f t="shared" ref="L15:Q15" si="40">SUM(L12:L14)</f>
        <v>5</v>
      </c>
      <c r="M15" s="1538">
        <f t="shared" si="40"/>
        <v>5.6047629890109878</v>
      </c>
      <c r="N15" s="3779">
        <f t="shared" si="40"/>
        <v>5</v>
      </c>
      <c r="O15" s="3780">
        <f t="shared" si="40"/>
        <v>7.9653682795698924</v>
      </c>
      <c r="P15" s="1450">
        <f t="shared" si="40"/>
        <v>5</v>
      </c>
      <c r="Q15" s="1451">
        <f t="shared" si="40"/>
        <v>6.2045889234972664</v>
      </c>
      <c r="R15" s="3779">
        <f t="shared" ref="R15:U15" si="41">SUM(R12:R14)</f>
        <v>5</v>
      </c>
      <c r="S15" s="3780">
        <f t="shared" si="41"/>
        <v>7.807420698924731</v>
      </c>
      <c r="T15" s="1450">
        <f t="shared" si="41"/>
        <v>5</v>
      </c>
      <c r="U15" s="1451">
        <f t="shared" si="41"/>
        <v>6.5293456884531587</v>
      </c>
      <c r="V15" s="3779">
        <f t="shared" ref="V15:W15" si="42">SUM(V12:V14)</f>
        <v>5</v>
      </c>
      <c r="W15" s="3780">
        <f t="shared" si="42"/>
        <v>7.7891249999999994</v>
      </c>
      <c r="X15" s="1537">
        <f t="shared" ref="X15:Y15" si="43">SUM(X12:X14)</f>
        <v>5</v>
      </c>
      <c r="Y15" s="1538">
        <f t="shared" si="43"/>
        <v>7.8546761775362324</v>
      </c>
      <c r="Z15" s="774">
        <f t="shared" ref="Z15:AE15" si="44">SUM(Z12:Z14)</f>
        <v>5</v>
      </c>
      <c r="AA15" s="2494">
        <f t="shared" si="44"/>
        <v>6.7358668870673952</v>
      </c>
      <c r="AB15" s="3779">
        <f t="shared" si="44"/>
        <v>5</v>
      </c>
      <c r="AC15" s="3780">
        <f t="shared" si="44"/>
        <v>7.1562607526881719</v>
      </c>
      <c r="AD15" s="1450">
        <f t="shared" si="44"/>
        <v>5</v>
      </c>
      <c r="AE15" s="1451">
        <f t="shared" si="44"/>
        <v>6.796765063862928</v>
      </c>
      <c r="AF15" s="3779">
        <f t="shared" ref="AF15:AI15" si="45">SUM(AF12:AF14)</f>
        <v>5</v>
      </c>
      <c r="AG15" s="3780">
        <f t="shared" si="45"/>
        <v>6.0715226666666666</v>
      </c>
      <c r="AH15" s="1450">
        <f t="shared" si="45"/>
        <v>5</v>
      </c>
      <c r="AI15" s="1451">
        <f t="shared" si="45"/>
        <v>6.7075959166666665</v>
      </c>
      <c r="AJ15" s="3779">
        <f t="shared" ref="AJ15:AK15" si="46">SUM(AJ12:AJ14)</f>
        <v>5</v>
      </c>
      <c r="AK15" s="3780">
        <f t="shared" si="46"/>
        <v>6.2283965053763435</v>
      </c>
      <c r="AL15" s="1537">
        <f t="shared" ref="AL15:AS15" si="47">SUM(AL12:AL14)</f>
        <v>5</v>
      </c>
      <c r="AM15" s="1538">
        <f t="shared" si="47"/>
        <v>6.4898919021739125</v>
      </c>
      <c r="AN15" s="1450">
        <f t="shared" si="47"/>
        <v>5</v>
      </c>
      <c r="AO15" s="1451">
        <f t="shared" si="47"/>
        <v>6.6535770739393936</v>
      </c>
      <c r="AP15" s="3779">
        <f t="shared" si="47"/>
        <v>5</v>
      </c>
      <c r="AQ15" s="3780">
        <f t="shared" si="47"/>
        <v>6.2995013440860212</v>
      </c>
      <c r="AR15" s="1450">
        <f t="shared" si="47"/>
        <v>5</v>
      </c>
      <c r="AS15" s="1451">
        <f t="shared" si="47"/>
        <v>6.6177066568627447</v>
      </c>
      <c r="AT15" s="3779">
        <f t="shared" ref="AT15:AW15" si="48">SUM(AT12:AT14)</f>
        <v>5</v>
      </c>
      <c r="AU15" s="3780">
        <f t="shared" si="48"/>
        <v>6.0266279761904764</v>
      </c>
      <c r="AV15" s="1450">
        <f t="shared" si="48"/>
        <v>5</v>
      </c>
      <c r="AW15" s="1451">
        <f t="shared" si="48"/>
        <v>6.568155150698602</v>
      </c>
      <c r="AX15" s="3779">
        <f t="shared" ref="AX15:AY15" si="49">SUM(AX12:AX14)</f>
        <v>5</v>
      </c>
      <c r="AY15" s="3780">
        <f t="shared" si="49"/>
        <v>6.2789610215053759</v>
      </c>
      <c r="AZ15" s="1537">
        <f t="shared" ref="AZ15:BE15" si="50">SUM(AZ12:AZ14)</f>
        <v>5</v>
      </c>
      <c r="BA15" s="1538">
        <f t="shared" si="50"/>
        <v>6.2075324074074079</v>
      </c>
      <c r="BB15" s="774">
        <f t="shared" si="50"/>
        <v>5</v>
      </c>
      <c r="BC15" s="2494">
        <f t="shared" si="50"/>
        <v>6.3502635805860805</v>
      </c>
      <c r="BD15" s="1450">
        <f t="shared" si="50"/>
        <v>5</v>
      </c>
      <c r="BE15" s="1451">
        <f t="shared" si="50"/>
        <v>6.5435934575342465</v>
      </c>
      <c r="BF15" s="26"/>
      <c r="BG15" s="26"/>
      <c r="BH15" s="26"/>
      <c r="BI15" s="26"/>
      <c r="BJ15" s="26"/>
    </row>
    <row r="16" spans="1:62" ht="15.75" x14ac:dyDescent="0.25">
      <c r="A16" s="4975">
        <f>SUM(A18:A19)</f>
        <v>26</v>
      </c>
      <c r="B16" s="3725" t="s">
        <v>375</v>
      </c>
      <c r="C16" s="16" t="s">
        <v>66</v>
      </c>
      <c r="D16" s="956">
        <f>26*D3*24</f>
        <v>18720</v>
      </c>
      <c r="E16" s="29">
        <f>+E22</f>
        <v>18720</v>
      </c>
      <c r="F16" s="956">
        <f>26*F3*24</f>
        <v>19344</v>
      </c>
      <c r="G16" s="29">
        <f>+G22</f>
        <v>19344</v>
      </c>
      <c r="H16" s="1764">
        <f>+D16+F16</f>
        <v>38064</v>
      </c>
      <c r="I16" s="62">
        <f>+E16+G16</f>
        <v>38064</v>
      </c>
      <c r="J16" s="956">
        <f>26*J3*24</f>
        <v>18720</v>
      </c>
      <c r="K16" s="29">
        <f>+K22</f>
        <v>18720</v>
      </c>
      <c r="L16" s="954">
        <f>D16+F16+J16</f>
        <v>56784</v>
      </c>
      <c r="M16" s="121">
        <f>E16+G16+K16</f>
        <v>56784</v>
      </c>
      <c r="N16" s="956">
        <f>26*N3*24</f>
        <v>19344</v>
      </c>
      <c r="O16" s="29">
        <f>+O22</f>
        <v>19344</v>
      </c>
      <c r="P16" s="953">
        <f>+L16+N16</f>
        <v>76128</v>
      </c>
      <c r="Q16" s="221">
        <f>+M16+O16</f>
        <v>76128</v>
      </c>
      <c r="R16" s="956">
        <f>26*R3*24</f>
        <v>19344</v>
      </c>
      <c r="S16" s="29">
        <f>+S22</f>
        <v>18649.900000000001</v>
      </c>
      <c r="T16" s="1764">
        <f>+P16+R16</f>
        <v>95472</v>
      </c>
      <c r="U16" s="221">
        <f>+Q16+S16</f>
        <v>94777.9</v>
      </c>
      <c r="V16" s="956">
        <f>26*V3*24</f>
        <v>18720</v>
      </c>
      <c r="W16" s="29">
        <f>+W22</f>
        <v>18720</v>
      </c>
      <c r="X16" s="2262">
        <f>+N16+R16+V16</f>
        <v>57408</v>
      </c>
      <c r="Y16" s="121">
        <f>+O16+S16+W16</f>
        <v>56713.9</v>
      </c>
      <c r="Z16" s="640">
        <f>L16+X16</f>
        <v>114192</v>
      </c>
      <c r="AA16" s="655">
        <f>M16+Y16</f>
        <v>113497.9</v>
      </c>
      <c r="AB16" s="956">
        <f>26*AB3*24</f>
        <v>19344</v>
      </c>
      <c r="AC16" s="29">
        <f>+AC22</f>
        <v>19344</v>
      </c>
      <c r="AD16" s="1764">
        <f>+Z16+AB16</f>
        <v>133536</v>
      </c>
      <c r="AE16" s="221">
        <f>+AA16+AC16</f>
        <v>132841.9</v>
      </c>
      <c r="AF16" s="956">
        <f>26*AF3*24</f>
        <v>18720</v>
      </c>
      <c r="AG16" s="29">
        <f>+AG22</f>
        <v>18720</v>
      </c>
      <c r="AH16" s="1764">
        <f>+AD16+AF16</f>
        <v>152256</v>
      </c>
      <c r="AI16" s="221">
        <f>+AE16+AG16</f>
        <v>151561.9</v>
      </c>
      <c r="AJ16" s="956">
        <f>26*AJ3*24</f>
        <v>19344</v>
      </c>
      <c r="AK16" s="29">
        <f>+AK22</f>
        <v>19344</v>
      </c>
      <c r="AL16" s="2262">
        <f>+AB16+AF16+AJ16</f>
        <v>57408</v>
      </c>
      <c r="AM16" s="121">
        <f>+AC16+AG16+AK16</f>
        <v>57408</v>
      </c>
      <c r="AN16" s="1764">
        <f>+AH16+AJ16</f>
        <v>171600</v>
      </c>
      <c r="AO16" s="221">
        <f>+AI16+AK16</f>
        <v>170905.9</v>
      </c>
      <c r="AP16" s="956">
        <f>26*AP3*24</f>
        <v>19344</v>
      </c>
      <c r="AQ16" s="29">
        <f>+AQ22</f>
        <v>19344</v>
      </c>
      <c r="AR16" s="1764">
        <f>+AN16+AP16</f>
        <v>190944</v>
      </c>
      <c r="AS16" s="221">
        <f>+AO16+AQ16</f>
        <v>190249.9</v>
      </c>
      <c r="AT16" s="956">
        <f>26*AT3*24</f>
        <v>17472</v>
      </c>
      <c r="AU16" s="29">
        <f>+AU22</f>
        <v>17472</v>
      </c>
      <c r="AV16" s="1764">
        <f>+AR16+AT16</f>
        <v>208416</v>
      </c>
      <c r="AW16" s="221">
        <f>+AS16+AU16</f>
        <v>207721.9</v>
      </c>
      <c r="AX16" s="956">
        <f>26*AX3*24</f>
        <v>19344</v>
      </c>
      <c r="AY16" s="29">
        <f>+AY22</f>
        <v>19344</v>
      </c>
      <c r="AZ16" s="2262">
        <f>+AP16+AT16+AX16</f>
        <v>56160</v>
      </c>
      <c r="BA16" s="121">
        <f>+AQ16+AU16+AY16</f>
        <v>56160</v>
      </c>
      <c r="BB16" s="715">
        <f>+AL16+AZ16</f>
        <v>113568</v>
      </c>
      <c r="BC16" s="715">
        <f>+AM16+BA16</f>
        <v>113568</v>
      </c>
      <c r="BD16" s="1764">
        <f>+AV16+AX16</f>
        <v>227760</v>
      </c>
      <c r="BE16" s="221">
        <f>+AW16+AY16</f>
        <v>227065.9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7" t="s">
        <v>376</v>
      </c>
      <c r="C17" s="506"/>
      <c r="D17" s="957"/>
      <c r="E17" s="677"/>
      <c r="F17" s="957"/>
      <c r="G17" s="677"/>
      <c r="H17" s="506"/>
      <c r="I17" s="677"/>
      <c r="J17" s="957"/>
      <c r="K17" s="677"/>
      <c r="L17" s="506"/>
      <c r="M17" s="506"/>
      <c r="N17" s="957"/>
      <c r="O17" s="677"/>
      <c r="P17" s="506"/>
      <c r="Q17" s="506"/>
      <c r="R17" s="957"/>
      <c r="S17" s="677"/>
      <c r="T17" s="506"/>
      <c r="U17" s="506"/>
      <c r="V17" s="957"/>
      <c r="W17" s="677"/>
      <c r="X17" s="506"/>
      <c r="Y17" s="506"/>
      <c r="Z17" s="506"/>
      <c r="AA17" s="506"/>
      <c r="AB17" s="957"/>
      <c r="AC17" s="677"/>
      <c r="AD17" s="506"/>
      <c r="AE17" s="506"/>
      <c r="AF17" s="957"/>
      <c r="AG17" s="677"/>
      <c r="AH17" s="506"/>
      <c r="AI17" s="506"/>
      <c r="AJ17" s="957"/>
      <c r="AK17" s="677"/>
      <c r="AL17" s="506"/>
      <c r="AM17" s="506"/>
      <c r="AN17" s="506"/>
      <c r="AO17" s="506"/>
      <c r="AP17" s="957"/>
      <c r="AQ17" s="677"/>
      <c r="AR17" s="506"/>
      <c r="AS17" s="506"/>
      <c r="AT17" s="957"/>
      <c r="AU17" s="677"/>
      <c r="AV17" s="506"/>
      <c r="AW17" s="506"/>
      <c r="AX17" s="957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.75" thickBot="1" x14ac:dyDescent="0.3">
      <c r="A18" s="1546">
        <v>17.5</v>
      </c>
      <c r="B18" s="3726" t="s">
        <v>377</v>
      </c>
      <c r="C18" s="13" t="s">
        <v>66</v>
      </c>
      <c r="D18" s="3439">
        <f>$A$18*D3*24</f>
        <v>12600</v>
      </c>
      <c r="E18" s="254">
        <v>12545.5</v>
      </c>
      <c r="F18" s="7227">
        <f>$A$18*F3*24</f>
        <v>13020</v>
      </c>
      <c r="G18" s="254">
        <v>12957.4</v>
      </c>
      <c r="H18" s="719">
        <f>+D18+F18</f>
        <v>25620</v>
      </c>
      <c r="I18" s="62">
        <f>+E18+G18</f>
        <v>25502.9</v>
      </c>
      <c r="J18" s="4612">
        <f>$A$18*J3*24</f>
        <v>12600</v>
      </c>
      <c r="K18" s="254">
        <v>12545.5</v>
      </c>
      <c r="L18" s="2396">
        <f>D18+F18+J18</f>
        <v>38220</v>
      </c>
      <c r="M18" s="2396">
        <f>E18+G18+K18</f>
        <v>38048.400000000001</v>
      </c>
      <c r="N18" s="4841">
        <f>$A$18*N3*24</f>
        <v>13020</v>
      </c>
      <c r="O18" s="254">
        <v>12974.2</v>
      </c>
      <c r="P18" s="719">
        <f>+L18+N18</f>
        <v>51240</v>
      </c>
      <c r="Q18" s="221">
        <f>+M18+O18</f>
        <v>51022.600000000006</v>
      </c>
      <c r="R18" s="4959">
        <f>$A$18*R3*24</f>
        <v>13020</v>
      </c>
      <c r="S18" s="254">
        <v>12562.4</v>
      </c>
      <c r="T18" s="4952">
        <f>+P18+R18</f>
        <v>64260</v>
      </c>
      <c r="U18" s="221">
        <f>+Q18+S18</f>
        <v>63585.000000000007</v>
      </c>
      <c r="V18" s="5077">
        <f>$A$18*V3*24</f>
        <v>12600</v>
      </c>
      <c r="W18" s="254">
        <v>12543.1</v>
      </c>
      <c r="X18" s="2396">
        <f>+N18+R18+V18</f>
        <v>38640</v>
      </c>
      <c r="Y18" s="529">
        <f>+O18+S18+W18</f>
        <v>38079.699999999997</v>
      </c>
      <c r="Z18" s="2405">
        <f>L18+X18</f>
        <v>76860</v>
      </c>
      <c r="AA18" s="2405">
        <f>M18+Y18</f>
        <v>76128.100000000006</v>
      </c>
      <c r="AB18" s="5420">
        <f>$A$18*AB3*24</f>
        <v>13020</v>
      </c>
      <c r="AC18" s="254">
        <v>12945.4</v>
      </c>
      <c r="AD18" s="719">
        <f>+Z18+AB18</f>
        <v>89880</v>
      </c>
      <c r="AE18" s="221">
        <f>+AA18+AC18</f>
        <v>89073.5</v>
      </c>
      <c r="AF18" s="5570">
        <f>$A$18*AF3*24</f>
        <v>12600</v>
      </c>
      <c r="AG18" s="254">
        <v>12557.5</v>
      </c>
      <c r="AH18" s="5565">
        <f>+AD18+AF18</f>
        <v>102480</v>
      </c>
      <c r="AI18" s="221">
        <f>+AE18+AG18</f>
        <v>101631</v>
      </c>
      <c r="AJ18" s="5970">
        <f>$A$18*AJ3*24</f>
        <v>13020</v>
      </c>
      <c r="AK18" s="254">
        <v>12945.4</v>
      </c>
      <c r="AL18" s="2767">
        <f>+AB18+AF18+AJ18</f>
        <v>38640</v>
      </c>
      <c r="AM18" s="529">
        <f>+AC18+AG18+AK18</f>
        <v>38448.300000000003</v>
      </c>
      <c r="AN18" s="719">
        <f>+AH18+AJ18</f>
        <v>115500</v>
      </c>
      <c r="AO18" s="221">
        <f>+AI18+AK18</f>
        <v>114576.4</v>
      </c>
      <c r="AP18" s="6139">
        <f>$A$18*AP3*24</f>
        <v>13020</v>
      </c>
      <c r="AQ18" s="254">
        <v>12962.2</v>
      </c>
      <c r="AR18" s="6134">
        <f>+AN18+AP18</f>
        <v>128520</v>
      </c>
      <c r="AS18" s="221">
        <f>+AO18+AQ18</f>
        <v>127538.59999999999</v>
      </c>
      <c r="AT18" s="6293">
        <f>$A$18*AT3*24</f>
        <v>11760</v>
      </c>
      <c r="AU18" s="254">
        <v>11717</v>
      </c>
      <c r="AV18" s="6291">
        <f>+AR18+AT18</f>
        <v>140280</v>
      </c>
      <c r="AW18" s="221">
        <f>+AS18+AU18</f>
        <v>139255.59999999998</v>
      </c>
      <c r="AX18" s="6460">
        <f>$A$18*AX3*24</f>
        <v>13020</v>
      </c>
      <c r="AY18" s="254">
        <v>12969.4</v>
      </c>
      <c r="AZ18" s="3090">
        <f>+AP18+AT18+AX18</f>
        <v>37800</v>
      </c>
      <c r="BA18" s="529">
        <f>+AQ18+AU18+AY18</f>
        <v>37648.6</v>
      </c>
      <c r="BB18" s="715">
        <f>+AL18+AZ18</f>
        <v>76440</v>
      </c>
      <c r="BC18" s="715">
        <f>+AM18+BA18</f>
        <v>76096.899999999994</v>
      </c>
      <c r="BD18" s="719">
        <f>+AV18+AX18</f>
        <v>153300</v>
      </c>
      <c r="BE18" s="221">
        <f>+AW18+AY18</f>
        <v>152224.99999999997</v>
      </c>
      <c r="BF18" s="26"/>
      <c r="BG18" s="26"/>
      <c r="BH18" s="26"/>
      <c r="BI18" s="26"/>
      <c r="BJ18" s="26"/>
    </row>
    <row r="19" spans="1:62" ht="15.75" thickBot="1" x14ac:dyDescent="0.3">
      <c r="A19" s="1688">
        <v>8.5</v>
      </c>
      <c r="B19" s="3726" t="s">
        <v>379</v>
      </c>
      <c r="C19" s="13" t="s">
        <v>66</v>
      </c>
      <c r="D19" s="7607">
        <f>$A$19*D3*24</f>
        <v>6120</v>
      </c>
      <c r="E19" s="181">
        <v>6146.4</v>
      </c>
      <c r="F19" s="7607">
        <f>$A$19*F3*24</f>
        <v>6324</v>
      </c>
      <c r="G19" s="181">
        <v>6357.6</v>
      </c>
      <c r="H19" s="7319">
        <f>+D19+F19</f>
        <v>12444</v>
      </c>
      <c r="I19" s="39">
        <f>+E19+G19</f>
        <v>12504</v>
      </c>
      <c r="J19" s="7607">
        <f>$A$19*J3*24</f>
        <v>6120</v>
      </c>
      <c r="K19" s="181">
        <v>6146.4</v>
      </c>
      <c r="L19" s="7313">
        <f>D19+F19+J19</f>
        <v>18564</v>
      </c>
      <c r="M19" s="2396">
        <f t="shared" ref="M19:M20" si="51">E19+G19+K19</f>
        <v>18650.400000000001</v>
      </c>
      <c r="N19" s="7607">
        <f>$A$19*N3*24</f>
        <v>6324</v>
      </c>
      <c r="O19" s="181">
        <v>6340.8</v>
      </c>
      <c r="P19" s="7319">
        <f>+L19+N19</f>
        <v>24888</v>
      </c>
      <c r="Q19" s="219">
        <f>+M19+O19</f>
        <v>24991.200000000001</v>
      </c>
      <c r="R19" s="7607">
        <f>$A$19*R3*24</f>
        <v>6324</v>
      </c>
      <c r="S19" s="181">
        <v>6059.5</v>
      </c>
      <c r="T19" s="7319">
        <f>+P19+R19</f>
        <v>31212</v>
      </c>
      <c r="U19" s="219">
        <f>+Q19+S19</f>
        <v>31050.7</v>
      </c>
      <c r="V19" s="7607">
        <f>$A$19*V3*24</f>
        <v>6120</v>
      </c>
      <c r="W19" s="181">
        <v>6148.8</v>
      </c>
      <c r="X19" s="7313">
        <f>N19+R19+V19</f>
        <v>18768</v>
      </c>
      <c r="Y19" s="529">
        <f t="shared" ref="Y19:Y20" si="52">+O19+S19+W19</f>
        <v>18549.099999999999</v>
      </c>
      <c r="Z19" s="7301">
        <f>L19+X19</f>
        <v>37332</v>
      </c>
      <c r="AA19" s="2405">
        <f t="shared" ref="Z19:AA21" si="53">M19+Y19</f>
        <v>37199.5</v>
      </c>
      <c r="AB19" s="7607">
        <f>$A$19*AB3*24</f>
        <v>6324</v>
      </c>
      <c r="AC19" s="181">
        <v>6369.6</v>
      </c>
      <c r="AD19" s="7319">
        <f>+Z19+AB19</f>
        <v>43656</v>
      </c>
      <c r="AE19" s="219">
        <f>+AA19+AC19</f>
        <v>43569.1</v>
      </c>
      <c r="AF19" s="7607">
        <f>$A$19*AF3*24</f>
        <v>6120</v>
      </c>
      <c r="AG19" s="181">
        <v>6134.4</v>
      </c>
      <c r="AH19" s="7319">
        <f>+AD19+AF19</f>
        <v>49776</v>
      </c>
      <c r="AI19" s="219">
        <f>+AE19+AG19</f>
        <v>49703.5</v>
      </c>
      <c r="AJ19" s="7607">
        <f>$A$19*AJ3*24</f>
        <v>6324</v>
      </c>
      <c r="AK19" s="181">
        <v>6369.6</v>
      </c>
      <c r="AL19" s="7313">
        <f>AB19+AF19+AJ19</f>
        <v>18768</v>
      </c>
      <c r="AM19" s="529">
        <f t="shared" ref="AM19:AM20" si="54">+AC19+AG19+AK19</f>
        <v>18873.599999999999</v>
      </c>
      <c r="AN19" s="7319">
        <f>+AH19+AJ19</f>
        <v>56100</v>
      </c>
      <c r="AO19" s="219">
        <f>+AI19+AK19</f>
        <v>56073.1</v>
      </c>
      <c r="AP19" s="7607">
        <f>$A$19*AP3*24</f>
        <v>6324</v>
      </c>
      <c r="AQ19" s="181">
        <v>6352.8</v>
      </c>
      <c r="AR19" s="7319">
        <f>+AN19+AP19</f>
        <v>62424</v>
      </c>
      <c r="AS19" s="219">
        <f>+AO19+AQ19</f>
        <v>62425.9</v>
      </c>
      <c r="AT19" s="7607">
        <f>$A$19*AT3*24</f>
        <v>5712</v>
      </c>
      <c r="AU19" s="181">
        <v>5728.8</v>
      </c>
      <c r="AV19" s="7319">
        <f>+AR19+AT19</f>
        <v>68136</v>
      </c>
      <c r="AW19" s="219">
        <f>+AS19+AU19</f>
        <v>68154.7</v>
      </c>
      <c r="AX19" s="7607">
        <f>$A$19*AX3*24</f>
        <v>6324</v>
      </c>
      <c r="AY19" s="181">
        <v>6345.6</v>
      </c>
      <c r="AZ19" s="7313">
        <f>AP19+AT19+AX19</f>
        <v>18360</v>
      </c>
      <c r="BA19" s="529">
        <f t="shared" ref="BA19:BA20" si="55">+AQ19+AU19+AY19</f>
        <v>18427.2</v>
      </c>
      <c r="BB19" s="7301">
        <f>AL19+AZ19</f>
        <v>37128</v>
      </c>
      <c r="BC19" s="715">
        <f t="shared" ref="BC19:BC21" si="56">+AM19+BA19</f>
        <v>37300.800000000003</v>
      </c>
      <c r="BD19" s="7319">
        <f>+AV19+AX19</f>
        <v>74460</v>
      </c>
      <c r="BE19" s="219">
        <f>+AW19+AY19</f>
        <v>74500.3</v>
      </c>
      <c r="BF19" s="26"/>
      <c r="BG19" s="26"/>
      <c r="BH19" s="26"/>
      <c r="BI19" s="26"/>
      <c r="BJ19" s="26"/>
    </row>
    <row r="20" spans="1:62" ht="15" customHeight="1" thickBot="1" x14ac:dyDescent="0.3">
      <c r="A20" s="1546">
        <v>0</v>
      </c>
      <c r="B20" s="3726" t="s">
        <v>380</v>
      </c>
      <c r="C20" s="13" t="s">
        <v>66</v>
      </c>
      <c r="D20" s="7606"/>
      <c r="E20" s="181">
        <v>0</v>
      </c>
      <c r="F20" s="7606"/>
      <c r="G20" s="181">
        <v>0</v>
      </c>
      <c r="H20" s="7817"/>
      <c r="I20" s="39">
        <f>+E20+G20</f>
        <v>0</v>
      </c>
      <c r="J20" s="7606"/>
      <c r="K20" s="181">
        <v>0</v>
      </c>
      <c r="L20" s="7816"/>
      <c r="M20" s="2396">
        <f t="shared" si="51"/>
        <v>0</v>
      </c>
      <c r="N20" s="7606"/>
      <c r="O20" s="181">
        <v>0</v>
      </c>
      <c r="P20" s="7817"/>
      <c r="Q20" s="219">
        <f>+M20+O20</f>
        <v>0</v>
      </c>
      <c r="R20" s="7606"/>
      <c r="S20" s="181"/>
      <c r="T20" s="7817"/>
      <c r="U20" s="219">
        <f>+Q20+S20</f>
        <v>0</v>
      </c>
      <c r="V20" s="7606"/>
      <c r="W20" s="181"/>
      <c r="X20" s="7816">
        <f t="shared" ref="X20" si="57">+N20+R20+V20</f>
        <v>0</v>
      </c>
      <c r="Y20" s="529">
        <f t="shared" si="52"/>
        <v>0</v>
      </c>
      <c r="Z20" s="7809"/>
      <c r="AA20" s="2405">
        <f t="shared" si="53"/>
        <v>0</v>
      </c>
      <c r="AB20" s="7606"/>
      <c r="AC20" s="181"/>
      <c r="AD20" s="7817"/>
      <c r="AE20" s="219">
        <f>+AA20+AC20</f>
        <v>0</v>
      </c>
      <c r="AF20" s="7606"/>
      <c r="AG20" s="181"/>
      <c r="AH20" s="7817"/>
      <c r="AI20" s="219">
        <f>+AE20+AG20</f>
        <v>0</v>
      </c>
      <c r="AJ20" s="7606"/>
      <c r="AK20" s="181"/>
      <c r="AL20" s="7816">
        <f t="shared" ref="AL20" si="58">+AB20+AF20+AJ20</f>
        <v>0</v>
      </c>
      <c r="AM20" s="529">
        <f t="shared" si="54"/>
        <v>0</v>
      </c>
      <c r="AN20" s="7817"/>
      <c r="AO20" s="219">
        <f>+AI20+AK20</f>
        <v>0</v>
      </c>
      <c r="AP20" s="7606"/>
      <c r="AQ20" s="181"/>
      <c r="AR20" s="7817"/>
      <c r="AS20" s="219">
        <f>+AO20+AQ20</f>
        <v>0</v>
      </c>
      <c r="AT20" s="7606"/>
      <c r="AU20" s="181"/>
      <c r="AV20" s="7817"/>
      <c r="AW20" s="219">
        <f>+AS20+AU20</f>
        <v>0</v>
      </c>
      <c r="AX20" s="7606"/>
      <c r="AY20" s="181"/>
      <c r="AZ20" s="7816">
        <f t="shared" ref="AZ20" si="59">+AP20+AT20+AX20</f>
        <v>0</v>
      </c>
      <c r="BA20" s="529">
        <f t="shared" si="55"/>
        <v>0</v>
      </c>
      <c r="BB20" s="7809"/>
      <c r="BC20" s="715">
        <f t="shared" si="56"/>
        <v>0</v>
      </c>
      <c r="BD20" s="7817"/>
      <c r="BE20" s="219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727" t="s">
        <v>378</v>
      </c>
      <c r="C21" s="14" t="s">
        <v>66</v>
      </c>
      <c r="D21" s="952">
        <f>+$A$20</f>
        <v>0</v>
      </c>
      <c r="E21" s="371">
        <v>28.1</v>
      </c>
      <c r="F21" s="952">
        <f>+$A$20</f>
        <v>0</v>
      </c>
      <c r="G21" s="371">
        <v>29</v>
      </c>
      <c r="H21" s="3440">
        <f>+D21+F21</f>
        <v>0</v>
      </c>
      <c r="I21" s="39">
        <f>+E21+G21</f>
        <v>57.1</v>
      </c>
      <c r="J21" s="952">
        <f>+$A$20</f>
        <v>0</v>
      </c>
      <c r="K21" s="371">
        <v>28.1</v>
      </c>
      <c r="L21" s="2396">
        <f>D21+F21+J21</f>
        <v>0</v>
      </c>
      <c r="M21" s="2396">
        <f>E21+G21+K21</f>
        <v>85.2</v>
      </c>
      <c r="N21" s="952">
        <f>+$A$20</f>
        <v>0</v>
      </c>
      <c r="O21" s="371">
        <v>29</v>
      </c>
      <c r="P21" s="958">
        <f>+L21+N21</f>
        <v>0</v>
      </c>
      <c r="Q21" s="219">
        <f>+M21+O21</f>
        <v>114.2</v>
      </c>
      <c r="R21" s="952">
        <f>+$A$20</f>
        <v>0</v>
      </c>
      <c r="S21" s="371">
        <v>28</v>
      </c>
      <c r="T21" s="4964">
        <f>+P21+R21</f>
        <v>0</v>
      </c>
      <c r="U21" s="219">
        <f>+Q21+S21</f>
        <v>142.19999999999999</v>
      </c>
      <c r="V21" s="952">
        <f>+$A$20</f>
        <v>0</v>
      </c>
      <c r="W21" s="371">
        <v>28.1</v>
      </c>
      <c r="X21" s="2396">
        <f>+N21+R21+V21</f>
        <v>0</v>
      </c>
      <c r="Y21" s="529">
        <f>+O21+S21+W21</f>
        <v>85.1</v>
      </c>
      <c r="Z21" s="2403">
        <f t="shared" si="53"/>
        <v>0</v>
      </c>
      <c r="AA21" s="2403">
        <f t="shared" si="53"/>
        <v>170.3</v>
      </c>
      <c r="AB21" s="952">
        <f>+$A$20</f>
        <v>0</v>
      </c>
      <c r="AC21" s="371">
        <v>29</v>
      </c>
      <c r="AD21" s="2646">
        <f>+Z21+AB21</f>
        <v>0</v>
      </c>
      <c r="AE21" s="219">
        <f>+AA21+AC21</f>
        <v>199.3</v>
      </c>
      <c r="AF21" s="952">
        <f>+$A$20</f>
        <v>0</v>
      </c>
      <c r="AG21" s="371">
        <v>28.1</v>
      </c>
      <c r="AH21" s="5573">
        <f>+AD21+AF21</f>
        <v>0</v>
      </c>
      <c r="AI21" s="219">
        <f>+AE21+AG21</f>
        <v>227.4</v>
      </c>
      <c r="AJ21" s="952">
        <f>+$A$20</f>
        <v>0</v>
      </c>
      <c r="AK21" s="371">
        <v>29</v>
      </c>
      <c r="AL21" s="2767">
        <f>+AB21+AF21+AJ21</f>
        <v>0</v>
      </c>
      <c r="AM21" s="529">
        <f>+AC21+AG21+AK21</f>
        <v>86.1</v>
      </c>
      <c r="AN21" s="2764">
        <f>+AH21+AJ21</f>
        <v>0</v>
      </c>
      <c r="AO21" s="219">
        <f>+AI21+AK21</f>
        <v>256.39999999999998</v>
      </c>
      <c r="AP21" s="952">
        <f>+$A$20</f>
        <v>0</v>
      </c>
      <c r="AQ21" s="371">
        <v>29</v>
      </c>
      <c r="AR21" s="6142">
        <f>+AN21+AP21</f>
        <v>0</v>
      </c>
      <c r="AS21" s="219">
        <f>+AO21+AQ21</f>
        <v>285.39999999999998</v>
      </c>
      <c r="AT21" s="952">
        <f>+$A$20</f>
        <v>0</v>
      </c>
      <c r="AU21" s="371">
        <v>26.2</v>
      </c>
      <c r="AV21" s="6295">
        <f>+AR21+AT21</f>
        <v>0</v>
      </c>
      <c r="AW21" s="219">
        <f>+AS21+AU21</f>
        <v>311.59999999999997</v>
      </c>
      <c r="AX21" s="952">
        <f>+$A$20</f>
        <v>0</v>
      </c>
      <c r="AY21" s="371">
        <v>29</v>
      </c>
      <c r="AZ21" s="3090">
        <f>+AP21+AT21+AX21</f>
        <v>0</v>
      </c>
      <c r="BA21" s="529">
        <f>+AQ21+AU21+AY21</f>
        <v>84.2</v>
      </c>
      <c r="BB21" s="3087">
        <f>AL21+AZ21</f>
        <v>0</v>
      </c>
      <c r="BC21" s="715">
        <f t="shared" si="56"/>
        <v>170.3</v>
      </c>
      <c r="BD21" s="3099">
        <f>+AV21+AX21</f>
        <v>0</v>
      </c>
      <c r="BE21" s="219">
        <f>+AW21+AY21</f>
        <v>340.59999999999997</v>
      </c>
      <c r="BF21" s="26"/>
      <c r="BG21" s="26"/>
      <c r="BH21" s="26"/>
      <c r="BI21" s="26"/>
      <c r="BJ21" s="26"/>
    </row>
    <row r="22" spans="1:62" ht="16.5" thickBot="1" x14ac:dyDescent="0.3">
      <c r="B22" s="3728" t="s">
        <v>2</v>
      </c>
      <c r="C22" s="15" t="s">
        <v>66</v>
      </c>
      <c r="D22" s="959">
        <f t="shared" ref="D22:I22" si="60">SUM(D18:D21)</f>
        <v>18720</v>
      </c>
      <c r="E22" s="30">
        <f t="shared" si="60"/>
        <v>18720</v>
      </c>
      <c r="F22" s="959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9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9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</v>
      </c>
      <c r="R22" s="959">
        <f t="shared" ref="R22:U22" si="64">SUM(R18:R21)</f>
        <v>19344</v>
      </c>
      <c r="S22" s="30">
        <f t="shared" si="64"/>
        <v>18649.900000000001</v>
      </c>
      <c r="T22" s="40">
        <f t="shared" si="64"/>
        <v>95472</v>
      </c>
      <c r="U22" s="220">
        <f t="shared" si="64"/>
        <v>94777.900000000009</v>
      </c>
      <c r="V22" s="959">
        <f t="shared" ref="V22:W22" si="65">SUM(V18:V21)</f>
        <v>18720</v>
      </c>
      <c r="W22" s="30">
        <f t="shared" si="65"/>
        <v>18720</v>
      </c>
      <c r="X22" s="354">
        <f t="shared" ref="X22:Y22" si="66">SUM(X18:X21)</f>
        <v>57408</v>
      </c>
      <c r="Y22" s="1610">
        <f t="shared" si="66"/>
        <v>56713.899999999994</v>
      </c>
      <c r="Z22" s="463">
        <f t="shared" ref="Z22:AE22" si="67">SUM(Z18:Z21)</f>
        <v>114192</v>
      </c>
      <c r="AA22" s="460">
        <f t="shared" si="67"/>
        <v>113497.90000000001</v>
      </c>
      <c r="AB22" s="959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132841.9</v>
      </c>
      <c r="AF22" s="959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151561.9</v>
      </c>
      <c r="AJ22" s="959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10">
        <f t="shared" si="70"/>
        <v>57408</v>
      </c>
      <c r="AN22" s="40">
        <f t="shared" si="70"/>
        <v>171600</v>
      </c>
      <c r="AO22" s="220">
        <f t="shared" si="70"/>
        <v>170905.9</v>
      </c>
      <c r="AP22" s="959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190249.9</v>
      </c>
      <c r="AT22" s="959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207721.9</v>
      </c>
      <c r="AX22" s="959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10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227065.9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51" t="s">
        <v>453</v>
      </c>
      <c r="C23" s="505"/>
      <c r="D23" s="960"/>
      <c r="E23" s="678"/>
      <c r="F23" s="960"/>
      <c r="G23" s="678"/>
      <c r="H23" s="505"/>
      <c r="I23" s="678"/>
      <c r="J23" s="960"/>
      <c r="K23" s="678"/>
      <c r="L23" s="505"/>
      <c r="M23" s="505"/>
      <c r="N23" s="960"/>
      <c r="O23" s="678"/>
      <c r="P23" s="505"/>
      <c r="Q23" s="505"/>
      <c r="R23" s="960"/>
      <c r="S23" s="678"/>
      <c r="T23" s="505"/>
      <c r="U23" s="505"/>
      <c r="V23" s="960"/>
      <c r="W23" s="678"/>
      <c r="X23" s="505"/>
      <c r="Y23" s="505"/>
      <c r="Z23" s="505"/>
      <c r="AA23" s="505"/>
      <c r="AB23" s="960"/>
      <c r="AC23" s="678"/>
      <c r="AD23" s="505"/>
      <c r="AE23" s="505"/>
      <c r="AF23" s="960"/>
      <c r="AG23" s="678"/>
      <c r="AH23" s="505"/>
      <c r="AI23" s="505"/>
      <c r="AJ23" s="960"/>
      <c r="AK23" s="678"/>
      <c r="AL23" s="505"/>
      <c r="AM23" s="505"/>
      <c r="AN23" s="505"/>
      <c r="AO23" s="505"/>
      <c r="AP23" s="960"/>
      <c r="AQ23" s="678"/>
      <c r="AR23" s="505"/>
      <c r="AS23" s="505"/>
      <c r="AT23" s="960"/>
      <c r="AU23" s="678"/>
      <c r="AV23" s="505"/>
      <c r="AW23" s="505"/>
      <c r="AX23" s="960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439">
        <v>2250</v>
      </c>
      <c r="E24" s="521">
        <v>2227</v>
      </c>
      <c r="F24" s="7227">
        <v>0</v>
      </c>
      <c r="G24" s="521">
        <v>2302</v>
      </c>
      <c r="H24" s="719">
        <f t="shared" ref="H24:I27" si="74">+D24+F24</f>
        <v>2250</v>
      </c>
      <c r="I24" s="1672">
        <f t="shared" si="74"/>
        <v>4529</v>
      </c>
      <c r="J24" s="4612">
        <v>2400</v>
      </c>
      <c r="K24" s="521">
        <v>2356</v>
      </c>
      <c r="L24" s="2396">
        <f t="shared" ref="L24:M27" si="75">D24+F24+J24</f>
        <v>4650</v>
      </c>
      <c r="M24" s="2396">
        <f t="shared" si="75"/>
        <v>6885</v>
      </c>
      <c r="N24" s="4841">
        <v>2480</v>
      </c>
      <c r="O24" s="521">
        <v>2350</v>
      </c>
      <c r="P24" s="719">
        <f t="shared" ref="P24:Q27" si="76">+L24+N24</f>
        <v>7130</v>
      </c>
      <c r="Q24" s="222">
        <f t="shared" si="76"/>
        <v>9235</v>
      </c>
      <c r="R24" s="4959">
        <v>2480</v>
      </c>
      <c r="S24" s="521">
        <v>2350</v>
      </c>
      <c r="T24" s="4952">
        <f t="shared" ref="T24:T27" si="77">+P24+R24</f>
        <v>9610</v>
      </c>
      <c r="U24" s="222">
        <f t="shared" ref="U24:U27" si="78">+Q24+S24</f>
        <v>11585</v>
      </c>
      <c r="V24" s="5077">
        <v>2400</v>
      </c>
      <c r="W24" s="521">
        <v>2235</v>
      </c>
      <c r="X24" s="2396">
        <f t="shared" ref="X24:X27" si="79">+N24+R24+V24</f>
        <v>7360</v>
      </c>
      <c r="Y24" s="529">
        <f t="shared" ref="Y24:Y27" si="80">+O24+S24+W24</f>
        <v>6935</v>
      </c>
      <c r="Z24" s="797">
        <f>L24+X24</f>
        <v>12010</v>
      </c>
      <c r="AA24" s="500">
        <f>M24+Y24</f>
        <v>13820</v>
      </c>
      <c r="AB24" s="5420">
        <v>2480</v>
      </c>
      <c r="AC24" s="521">
        <v>2309</v>
      </c>
      <c r="AD24" s="719">
        <f t="shared" ref="AD24:AD27" si="81">+Z24+AB24</f>
        <v>14490</v>
      </c>
      <c r="AE24" s="222">
        <f t="shared" ref="AE24:AE27" si="82">+AA24+AC24</f>
        <v>16129</v>
      </c>
      <c r="AF24" s="5570">
        <v>2400</v>
      </c>
      <c r="AG24" s="521">
        <v>2264</v>
      </c>
      <c r="AH24" s="5565">
        <f t="shared" ref="AH24:AH27" si="83">+AD24+AF24</f>
        <v>16890</v>
      </c>
      <c r="AI24" s="222">
        <f t="shared" ref="AI24:AI27" si="84">+AE24+AG24</f>
        <v>18393</v>
      </c>
      <c r="AJ24" s="5970">
        <v>2480</v>
      </c>
      <c r="AK24" s="521">
        <v>2301</v>
      </c>
      <c r="AL24" s="2767">
        <f t="shared" ref="AL24:AL27" si="85">+AB24+AF24+AJ24</f>
        <v>7360</v>
      </c>
      <c r="AM24" s="529">
        <f t="shared" ref="AM24:AM27" si="86">+AC24+AG24+AK24</f>
        <v>6874</v>
      </c>
      <c r="AN24" s="719">
        <f t="shared" ref="AN24:AO27" si="87">+AH24+AJ24</f>
        <v>19370</v>
      </c>
      <c r="AO24" s="222">
        <f t="shared" si="87"/>
        <v>20694</v>
      </c>
      <c r="AP24" s="6139">
        <v>2480</v>
      </c>
      <c r="AQ24" s="521">
        <v>2302</v>
      </c>
      <c r="AR24" s="6134">
        <f t="shared" ref="AR24:AR27" si="88">+AN24+AP24</f>
        <v>21850</v>
      </c>
      <c r="AS24" s="222">
        <f t="shared" ref="AS24:AS27" si="89">+AO24+AQ24</f>
        <v>22996</v>
      </c>
      <c r="AT24" s="6293">
        <v>2240</v>
      </c>
      <c r="AU24" s="521">
        <v>2079</v>
      </c>
      <c r="AV24" s="6291">
        <f t="shared" ref="AV24:AV27" si="90">+AR24+AT24</f>
        <v>24090</v>
      </c>
      <c r="AW24" s="222">
        <f t="shared" ref="AW24:AW27" si="91">+AS24+AU24</f>
        <v>25075</v>
      </c>
      <c r="AX24" s="6460">
        <v>2480</v>
      </c>
      <c r="AY24" s="521">
        <v>2332</v>
      </c>
      <c r="AZ24" s="3090">
        <f t="shared" ref="AZ24:AZ27" si="92">+AP24+AT24+AX24</f>
        <v>7200</v>
      </c>
      <c r="BA24" s="529">
        <f t="shared" ref="BA24:BA27" si="93">+AQ24+AU24+AY24</f>
        <v>6713</v>
      </c>
      <c r="BB24" s="3101">
        <f t="shared" ref="BB24:BB27" si="94">AL24+AZ24</f>
        <v>14560</v>
      </c>
      <c r="BC24" s="715">
        <f t="shared" ref="BC24:BC27" si="95">+AM24+BA24</f>
        <v>13587</v>
      </c>
      <c r="BD24" s="719">
        <f t="shared" ref="BD24:BD27" si="96">+AV24+AX24</f>
        <v>26570</v>
      </c>
      <c r="BE24" s="222">
        <f t="shared" ref="BE24:BE27" si="97">+AW24+AY24</f>
        <v>27407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729" t="s">
        <v>389</v>
      </c>
      <c r="C25" s="13" t="s">
        <v>1099</v>
      </c>
      <c r="D25" s="3435">
        <v>0</v>
      </c>
      <c r="E25" s="18"/>
      <c r="F25" s="7224">
        <v>0</v>
      </c>
      <c r="G25" s="18"/>
      <c r="H25" s="3434">
        <f t="shared" si="74"/>
        <v>0</v>
      </c>
      <c r="I25" s="89">
        <f t="shared" si="74"/>
        <v>0</v>
      </c>
      <c r="J25" s="4610"/>
      <c r="K25" s="18"/>
      <c r="L25" s="2396">
        <f t="shared" si="75"/>
        <v>0</v>
      </c>
      <c r="M25" s="2396">
        <f t="shared" si="75"/>
        <v>0</v>
      </c>
      <c r="N25" s="4839"/>
      <c r="O25" s="18"/>
      <c r="P25" s="61">
        <f t="shared" si="76"/>
        <v>0</v>
      </c>
      <c r="Q25" s="223">
        <f t="shared" si="76"/>
        <v>0</v>
      </c>
      <c r="R25" s="4950"/>
      <c r="S25" s="18"/>
      <c r="T25" s="4951">
        <f t="shared" si="77"/>
        <v>0</v>
      </c>
      <c r="U25" s="223">
        <f t="shared" si="78"/>
        <v>0</v>
      </c>
      <c r="V25" s="5070"/>
      <c r="W25" s="18"/>
      <c r="X25" s="2396">
        <f t="shared" si="79"/>
        <v>0</v>
      </c>
      <c r="Y25" s="529">
        <f t="shared" si="80"/>
        <v>0</v>
      </c>
      <c r="Z25" s="797">
        <f t="shared" ref="Z25:Z27" si="98">L25+X25</f>
        <v>0</v>
      </c>
      <c r="AA25" s="500">
        <f t="shared" ref="AA25:AA27" si="99">M25+Y25</f>
        <v>0</v>
      </c>
      <c r="AB25" s="5418"/>
      <c r="AC25" s="18"/>
      <c r="AD25" s="2642">
        <f t="shared" si="81"/>
        <v>0</v>
      </c>
      <c r="AE25" s="223">
        <f t="shared" si="82"/>
        <v>0</v>
      </c>
      <c r="AF25" s="5564"/>
      <c r="AG25" s="18"/>
      <c r="AH25" s="5563">
        <f t="shared" si="83"/>
        <v>0</v>
      </c>
      <c r="AI25" s="223">
        <f t="shared" si="84"/>
        <v>0</v>
      </c>
      <c r="AJ25" s="5968"/>
      <c r="AK25" s="18"/>
      <c r="AL25" s="2767">
        <f t="shared" si="85"/>
        <v>0</v>
      </c>
      <c r="AM25" s="529">
        <f t="shared" si="86"/>
        <v>0</v>
      </c>
      <c r="AN25" s="2761">
        <f t="shared" si="87"/>
        <v>0</v>
      </c>
      <c r="AO25" s="223">
        <f t="shared" si="87"/>
        <v>0</v>
      </c>
      <c r="AP25" s="6132"/>
      <c r="AQ25" s="18"/>
      <c r="AR25" s="6133">
        <f t="shared" si="88"/>
        <v>0</v>
      </c>
      <c r="AS25" s="223">
        <f t="shared" si="89"/>
        <v>0</v>
      </c>
      <c r="AT25" s="6289"/>
      <c r="AU25" s="18"/>
      <c r="AV25" s="6290">
        <f t="shared" si="90"/>
        <v>0</v>
      </c>
      <c r="AW25" s="223">
        <f t="shared" si="91"/>
        <v>0</v>
      </c>
      <c r="AX25" s="6459"/>
      <c r="AY25" s="18"/>
      <c r="AZ25" s="3090">
        <f t="shared" si="92"/>
        <v>0</v>
      </c>
      <c r="BA25" s="529">
        <f t="shared" si="93"/>
        <v>0</v>
      </c>
      <c r="BB25" s="3101">
        <f t="shared" si="94"/>
        <v>0</v>
      </c>
      <c r="BC25" s="715">
        <f t="shared" si="95"/>
        <v>0</v>
      </c>
      <c r="BD25" s="3089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729" t="s">
        <v>390</v>
      </c>
      <c r="C26" s="13" t="s">
        <v>454</v>
      </c>
      <c r="D26" s="3435">
        <f>+EMD!D27</f>
        <v>2160</v>
      </c>
      <c r="E26" s="85">
        <f>+EMD!E27</f>
        <v>2849.78</v>
      </c>
      <c r="F26" s="7224">
        <f>+EMD!F27</f>
        <v>0</v>
      </c>
      <c r="G26" s="85">
        <f>+EMD!G27</f>
        <v>2860.0800000000004</v>
      </c>
      <c r="H26" s="3434">
        <f t="shared" si="74"/>
        <v>2160</v>
      </c>
      <c r="I26" s="89">
        <f t="shared" si="74"/>
        <v>5709.8600000000006</v>
      </c>
      <c r="J26" s="4610">
        <f>+EMD!J27</f>
        <v>2736</v>
      </c>
      <c r="K26" s="85">
        <f>+EMD!K27</f>
        <v>2637.3777000000005</v>
      </c>
      <c r="L26" s="2396">
        <f t="shared" si="75"/>
        <v>4896</v>
      </c>
      <c r="M26" s="2396">
        <f t="shared" si="75"/>
        <v>8347.2377000000015</v>
      </c>
      <c r="N26" s="4839">
        <f>+EMD!N27</f>
        <v>2827.2</v>
      </c>
      <c r="O26" s="85">
        <f>+EMD!O27</f>
        <v>2792.12</v>
      </c>
      <c r="P26" s="61">
        <f t="shared" si="76"/>
        <v>7723.2</v>
      </c>
      <c r="Q26" s="223">
        <f t="shared" si="76"/>
        <v>11139.3577</v>
      </c>
      <c r="R26" s="4950">
        <f>+EMD!R27</f>
        <v>2827.2</v>
      </c>
      <c r="S26" s="85">
        <f>+EMD!S27</f>
        <v>2877.5000000000018</v>
      </c>
      <c r="T26" s="4951">
        <f t="shared" si="77"/>
        <v>10550.4</v>
      </c>
      <c r="U26" s="223">
        <f t="shared" si="78"/>
        <v>14016.857700000002</v>
      </c>
      <c r="V26" s="5070">
        <f>+EMD!V27</f>
        <v>2736</v>
      </c>
      <c r="W26" s="85">
        <f>+EMD!W27</f>
        <v>2844.6342810698857</v>
      </c>
      <c r="X26" s="2396">
        <f t="shared" si="79"/>
        <v>8390.4</v>
      </c>
      <c r="Y26" s="529">
        <f t="shared" si="80"/>
        <v>8514.2542810698869</v>
      </c>
      <c r="Z26" s="797">
        <f t="shared" si="98"/>
        <v>13286.4</v>
      </c>
      <c r="AA26" s="500">
        <f t="shared" si="99"/>
        <v>16861.491981069888</v>
      </c>
      <c r="AB26" s="5418">
        <f>+EMD!AB27</f>
        <v>2827.2</v>
      </c>
      <c r="AC26" s="85">
        <f>+EMD!AC27</f>
        <v>3161.9019915347162</v>
      </c>
      <c r="AD26" s="2642">
        <f t="shared" si="81"/>
        <v>16113.599999999999</v>
      </c>
      <c r="AE26" s="223">
        <f t="shared" si="82"/>
        <v>20023.393972604605</v>
      </c>
      <c r="AF26" s="5564">
        <f>+EMD!AF27</f>
        <v>2736</v>
      </c>
      <c r="AG26" s="85">
        <f>+EMD!AG27</f>
        <v>2126.0799999999986</v>
      </c>
      <c r="AH26" s="5563">
        <f t="shared" si="83"/>
        <v>18849.599999999999</v>
      </c>
      <c r="AI26" s="223">
        <f t="shared" si="84"/>
        <v>22149.473972604603</v>
      </c>
      <c r="AJ26" s="5968">
        <f>+EMD!AJ27</f>
        <v>2827.2</v>
      </c>
      <c r="AK26" s="85">
        <f>+EMD!AK27</f>
        <v>3144.7247738404553</v>
      </c>
      <c r="AL26" s="2767">
        <f t="shared" si="85"/>
        <v>8390.4</v>
      </c>
      <c r="AM26" s="529">
        <f t="shared" si="86"/>
        <v>8432.7067653751692</v>
      </c>
      <c r="AN26" s="2761">
        <f t="shared" si="87"/>
        <v>21676.799999999999</v>
      </c>
      <c r="AO26" s="223">
        <f t="shared" si="87"/>
        <v>25294.198746445058</v>
      </c>
      <c r="AP26" s="6132">
        <f>+EMD!AP27</f>
        <v>2827.2</v>
      </c>
      <c r="AQ26" s="85">
        <f>+EMD!AQ27</f>
        <v>3428.53</v>
      </c>
      <c r="AR26" s="6133">
        <f t="shared" si="88"/>
        <v>24504</v>
      </c>
      <c r="AS26" s="223">
        <f t="shared" si="89"/>
        <v>28722.728746445056</v>
      </c>
      <c r="AT26" s="6289">
        <f>+EMD!AT27</f>
        <v>2553.6</v>
      </c>
      <c r="AU26" s="85">
        <f>+EMD!AU27</f>
        <v>2666.4360493833824</v>
      </c>
      <c r="AV26" s="6290">
        <f t="shared" si="90"/>
        <v>27057.599999999999</v>
      </c>
      <c r="AW26" s="223">
        <f t="shared" si="91"/>
        <v>31389.164795828437</v>
      </c>
      <c r="AX26" s="6459">
        <f>+EMD!AX27</f>
        <v>2827.2</v>
      </c>
      <c r="AY26" s="85">
        <f>+EMD!AY27</f>
        <v>2809.4399999999996</v>
      </c>
      <c r="AZ26" s="3090">
        <f t="shared" si="92"/>
        <v>8208</v>
      </c>
      <c r="BA26" s="529">
        <f t="shared" si="93"/>
        <v>8904.4060493833822</v>
      </c>
      <c r="BB26" s="3101">
        <f t="shared" si="94"/>
        <v>16598.400000000001</v>
      </c>
      <c r="BC26" s="715">
        <f t="shared" si="95"/>
        <v>17337.112814758551</v>
      </c>
      <c r="BD26" s="3089">
        <f t="shared" si="96"/>
        <v>29884.799999999999</v>
      </c>
      <c r="BE26" s="223">
        <f t="shared" si="97"/>
        <v>34198.60479582844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729" t="s">
        <v>391</v>
      </c>
      <c r="C27" s="13" t="s">
        <v>405</v>
      </c>
      <c r="D27" s="721">
        <v>0</v>
      </c>
      <c r="E27" s="156">
        <v>0</v>
      </c>
      <c r="F27" s="721">
        <v>0</v>
      </c>
      <c r="G27" s="156">
        <v>0</v>
      </c>
      <c r="H27" s="723">
        <f t="shared" si="74"/>
        <v>0</v>
      </c>
      <c r="I27" s="3730">
        <f t="shared" si="74"/>
        <v>0</v>
      </c>
      <c r="J27" s="721">
        <v>0</v>
      </c>
      <c r="K27" s="156">
        <v>0</v>
      </c>
      <c r="L27" s="2396">
        <f t="shared" si="75"/>
        <v>0</v>
      </c>
      <c r="M27" s="2396">
        <f t="shared" si="75"/>
        <v>0</v>
      </c>
      <c r="N27" s="721">
        <v>0</v>
      </c>
      <c r="O27" s="156">
        <v>0</v>
      </c>
      <c r="P27" s="723">
        <f t="shared" si="76"/>
        <v>0</v>
      </c>
      <c r="Q27" s="224">
        <f t="shared" si="76"/>
        <v>0</v>
      </c>
      <c r="R27" s="721">
        <v>0</v>
      </c>
      <c r="S27" s="156">
        <v>0</v>
      </c>
      <c r="T27" s="723">
        <f t="shared" si="77"/>
        <v>0</v>
      </c>
      <c r="U27" s="224">
        <f t="shared" si="78"/>
        <v>0</v>
      </c>
      <c r="V27" s="721">
        <v>0</v>
      </c>
      <c r="W27" s="156">
        <v>0</v>
      </c>
      <c r="X27" s="2396">
        <f t="shared" si="79"/>
        <v>0</v>
      </c>
      <c r="Y27" s="529">
        <f t="shared" si="80"/>
        <v>0</v>
      </c>
      <c r="Z27" s="797">
        <f t="shared" si="98"/>
        <v>0</v>
      </c>
      <c r="AA27" s="500">
        <f t="shared" si="99"/>
        <v>0</v>
      </c>
      <c r="AB27" s="721">
        <v>0</v>
      </c>
      <c r="AC27" s="156">
        <v>0</v>
      </c>
      <c r="AD27" s="723">
        <f t="shared" si="81"/>
        <v>0</v>
      </c>
      <c r="AE27" s="224">
        <f t="shared" si="82"/>
        <v>0</v>
      </c>
      <c r="AF27" s="721">
        <v>0</v>
      </c>
      <c r="AG27" s="156">
        <v>0</v>
      </c>
      <c r="AH27" s="723">
        <f t="shared" si="83"/>
        <v>0</v>
      </c>
      <c r="AI27" s="224">
        <f t="shared" si="84"/>
        <v>0</v>
      </c>
      <c r="AJ27" s="721">
        <v>0</v>
      </c>
      <c r="AK27" s="156">
        <v>0</v>
      </c>
      <c r="AL27" s="2767">
        <f t="shared" si="85"/>
        <v>0</v>
      </c>
      <c r="AM27" s="529">
        <f t="shared" si="86"/>
        <v>0</v>
      </c>
      <c r="AN27" s="723">
        <f t="shared" si="87"/>
        <v>0</v>
      </c>
      <c r="AO27" s="224">
        <f t="shared" si="87"/>
        <v>0</v>
      </c>
      <c r="AP27" s="721">
        <v>0</v>
      </c>
      <c r="AQ27" s="156">
        <v>0</v>
      </c>
      <c r="AR27" s="723">
        <f t="shared" si="88"/>
        <v>0</v>
      </c>
      <c r="AS27" s="224">
        <f t="shared" si="89"/>
        <v>0</v>
      </c>
      <c r="AT27" s="721"/>
      <c r="AU27" s="156">
        <v>0</v>
      </c>
      <c r="AV27" s="723">
        <f t="shared" si="90"/>
        <v>0</v>
      </c>
      <c r="AW27" s="224">
        <f t="shared" si="91"/>
        <v>0</v>
      </c>
      <c r="AX27" s="721"/>
      <c r="AY27" s="156">
        <v>0</v>
      </c>
      <c r="AZ27" s="3090">
        <f t="shared" si="92"/>
        <v>0</v>
      </c>
      <c r="BA27" s="529">
        <f t="shared" si="93"/>
        <v>0</v>
      </c>
      <c r="BB27" s="3101">
        <f t="shared" si="94"/>
        <v>0</v>
      </c>
      <c r="BC27" s="715">
        <f t="shared" si="95"/>
        <v>0</v>
      </c>
      <c r="BD27" s="723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5" thickBot="1" x14ac:dyDescent="0.3">
      <c r="B28" s="3731"/>
      <c r="C28" s="961"/>
      <c r="D28" s="962"/>
      <c r="E28" s="679"/>
      <c r="F28" s="962"/>
      <c r="G28" s="679"/>
      <c r="H28" s="119"/>
      <c r="I28" s="679"/>
      <c r="J28" s="962"/>
      <c r="K28" s="679"/>
      <c r="L28" s="119"/>
      <c r="M28" s="119"/>
      <c r="N28" s="962"/>
      <c r="O28" s="679"/>
      <c r="P28" s="119"/>
      <c r="Q28" s="119"/>
      <c r="R28" s="962"/>
      <c r="S28" s="679"/>
      <c r="T28" s="119"/>
      <c r="U28" s="119"/>
      <c r="V28" s="962"/>
      <c r="W28" s="679"/>
      <c r="X28" s="119"/>
      <c r="Y28" s="119"/>
      <c r="Z28" s="119"/>
      <c r="AA28" s="119"/>
      <c r="AB28" s="962"/>
      <c r="AC28" s="679"/>
      <c r="AD28" s="119"/>
      <c r="AE28" s="119"/>
      <c r="AF28" s="962"/>
      <c r="AG28" s="679"/>
      <c r="AH28" s="119"/>
      <c r="AI28" s="119"/>
      <c r="AJ28" s="962"/>
      <c r="AK28" s="679"/>
      <c r="AL28" s="119"/>
      <c r="AM28" s="119"/>
      <c r="AN28" s="119"/>
      <c r="AO28" s="119"/>
      <c r="AP28" s="962"/>
      <c r="AQ28" s="679"/>
      <c r="AR28" s="119"/>
      <c r="AS28" s="119"/>
      <c r="AT28" s="962"/>
      <c r="AU28" s="679"/>
      <c r="AV28" s="119"/>
      <c r="AW28" s="119"/>
      <c r="AX28" s="962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732" t="s">
        <v>382</v>
      </c>
      <c r="C29" s="118"/>
      <c r="D29" s="963"/>
      <c r="E29" s="680"/>
      <c r="F29" s="963"/>
      <c r="G29" s="680"/>
      <c r="H29" s="118"/>
      <c r="I29" s="680"/>
      <c r="J29" s="963"/>
      <c r="K29" s="680"/>
      <c r="L29" s="118"/>
      <c r="M29" s="118"/>
      <c r="N29" s="963"/>
      <c r="O29" s="680"/>
      <c r="P29" s="118"/>
      <c r="Q29" s="118"/>
      <c r="R29" s="963"/>
      <c r="S29" s="680"/>
      <c r="T29" s="118"/>
      <c r="U29" s="118"/>
      <c r="V29" s="963"/>
      <c r="W29" s="680"/>
      <c r="X29" s="118"/>
      <c r="Y29" s="118"/>
      <c r="Z29" s="118"/>
      <c r="AA29" s="118"/>
      <c r="AB29" s="963"/>
      <c r="AC29" s="680"/>
      <c r="AD29" s="118"/>
      <c r="AE29" s="118"/>
      <c r="AF29" s="963"/>
      <c r="AG29" s="680"/>
      <c r="AH29" s="118"/>
      <c r="AI29" s="118"/>
      <c r="AJ29" s="963"/>
      <c r="AK29" s="680"/>
      <c r="AL29" s="118"/>
      <c r="AM29" s="118"/>
      <c r="AN29" s="118"/>
      <c r="AO29" s="118"/>
      <c r="AP29" s="963"/>
      <c r="AQ29" s="680"/>
      <c r="AR29" s="118"/>
      <c r="AS29" s="118"/>
      <c r="AT29" s="963"/>
      <c r="AU29" s="680"/>
      <c r="AV29" s="118"/>
      <c r="AW29" s="118"/>
      <c r="AX29" s="963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64">
        <f t="shared" ref="D30:K30" si="100">+D16/(D3*24)</f>
        <v>26</v>
      </c>
      <c r="E30" s="120">
        <f t="shared" si="100"/>
        <v>26</v>
      </c>
      <c r="F30" s="964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4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4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4">
        <f t="shared" ref="R30:U30" si="103">+R16/(R3*24)</f>
        <v>26</v>
      </c>
      <c r="S30" s="120">
        <f t="shared" si="103"/>
        <v>25.067069892473121</v>
      </c>
      <c r="T30" s="54">
        <f t="shared" si="103"/>
        <v>26</v>
      </c>
      <c r="U30" s="435">
        <f t="shared" si="103"/>
        <v>25.810974945533768</v>
      </c>
      <c r="V30" s="964">
        <f t="shared" ref="V30:W30" si="104">+V16/(V3*24)</f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25.685643115942028</v>
      </c>
      <c r="Z30" s="462">
        <f t="shared" ref="Z30:AE30" si="106">+Z16/(Z3*24)</f>
        <v>26</v>
      </c>
      <c r="AA30" s="504">
        <f t="shared" si="106"/>
        <v>25.841962659380691</v>
      </c>
      <c r="AB30" s="964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25.864855919003116</v>
      </c>
      <c r="AF30" s="964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25.881471994535517</v>
      </c>
      <c r="AJ30" s="964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25.894833333333331</v>
      </c>
      <c r="AP30" s="964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25.905487472766882</v>
      </c>
      <c r="AT30" s="964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25.913410678642713</v>
      </c>
      <c r="AX30" s="964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25.920764840182649</v>
      </c>
      <c r="BF30" s="26"/>
      <c r="BG30" s="26"/>
      <c r="BH30" s="26"/>
      <c r="BI30" s="26"/>
      <c r="BJ30" s="26"/>
    </row>
    <row r="31" spans="1:62" ht="14.25" customHeight="1" x14ac:dyDescent="0.25">
      <c r="B31" s="3729" t="s">
        <v>555</v>
      </c>
      <c r="C31" s="13" t="s">
        <v>385</v>
      </c>
      <c r="D31" s="775">
        <f>+D24/D22*1000</f>
        <v>120.19230769230769</v>
      </c>
      <c r="E31" s="101">
        <f>+(E24*1000)/E16</f>
        <v>118.96367521367522</v>
      </c>
      <c r="F31" s="775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5">
        <f>+J24/J22*1000</f>
        <v>128.2051282051282</v>
      </c>
      <c r="K31" s="101">
        <f>+(K24*1000)/K16</f>
        <v>125.85470085470085</v>
      </c>
      <c r="L31" s="77">
        <f>+L24/L$22*1000</f>
        <v>81.889264581572277</v>
      </c>
      <c r="M31" s="353">
        <f>+(M24*1000)/M16</f>
        <v>121.24894336432799</v>
      </c>
      <c r="N31" s="775">
        <f>+N24/N22*1000</f>
        <v>128.2051282051282</v>
      </c>
      <c r="O31" s="101">
        <f>+(O24*1000)/O16</f>
        <v>121.48469809760132</v>
      </c>
      <c r="P31" s="53">
        <f>+P24/P$22*1000</f>
        <v>93.658049600672541</v>
      </c>
      <c r="Q31" s="266">
        <f>+(Q24*1000)/Q16</f>
        <v>121.30884825556957</v>
      </c>
      <c r="R31" s="775">
        <f>+R24/R22*1000</f>
        <v>128.2051282051282</v>
      </c>
      <c r="S31" s="101">
        <f>+(S24*1000)/S16</f>
        <v>126.00603756588507</v>
      </c>
      <c r="T31" s="53">
        <f>+T24/T$22*1000</f>
        <v>100.6577844813139</v>
      </c>
      <c r="U31" s="266">
        <f>+(U24*1000)/U16</f>
        <v>122.23313662784257</v>
      </c>
      <c r="V31" s="775">
        <f>+V24/V22*1000</f>
        <v>128.2051282051282</v>
      </c>
      <c r="W31" s="101">
        <f>+(W24*1000)/W16</f>
        <v>119.39102564102564</v>
      </c>
      <c r="X31" s="77">
        <f>+X24/X$22*1000</f>
        <v>128.2051282051282</v>
      </c>
      <c r="Y31" s="353">
        <f>+(Y24*1000)/Y16</f>
        <v>122.28042860744897</v>
      </c>
      <c r="Z31" s="466">
        <f>+Z24/Z$22*1000</f>
        <v>105.17374246882444</v>
      </c>
      <c r="AA31" s="466">
        <f>+(AA24*1000)/AA16</f>
        <v>121.76436744644616</v>
      </c>
      <c r="AB31" s="775">
        <f>+AB24/AB22*1000</f>
        <v>128.2051282051282</v>
      </c>
      <c r="AC31" s="101">
        <f>+(AC24*1000)/AC16</f>
        <v>119.36517783291977</v>
      </c>
      <c r="AD31" s="53">
        <f>+AD24/AD$22*1000</f>
        <v>108.51006470165349</v>
      </c>
      <c r="AE31" s="266">
        <f>+(AE24*1000)/AE16</f>
        <v>121.41500535599084</v>
      </c>
      <c r="AF31" s="775">
        <f>+AF24/AF22*1000</f>
        <v>128.2051282051282</v>
      </c>
      <c r="AG31" s="101">
        <f>+(AG24*1000)/AG16</f>
        <v>120.94017094017094</v>
      </c>
      <c r="AH31" s="53">
        <f>+AH24/AH$22*1000</f>
        <v>110.93158890290037</v>
      </c>
      <c r="AI31" s="266">
        <f>+(AI24*1000)/AI16</f>
        <v>121.35635670970079</v>
      </c>
      <c r="AJ31" s="775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112.87878787878789</v>
      </c>
      <c r="AO31" s="266">
        <f>+(AO24*1000)/AO16</f>
        <v>121.08417556093734</v>
      </c>
      <c r="AP31" s="775">
        <f>+AP24/AP22*1000</f>
        <v>128.2051282051282</v>
      </c>
      <c r="AQ31" s="101">
        <f>+(AQ24*1000)/AQ16</f>
        <v>119.00330851943755</v>
      </c>
      <c r="AR31" s="53">
        <f>+AR24/AR$22*1000</f>
        <v>114.43145634322104</v>
      </c>
      <c r="AS31" s="266">
        <f>+(AS24*1000)/AS16</f>
        <v>120.87259967022322</v>
      </c>
      <c r="AT31" s="775">
        <f>+AT24/AT22*1000</f>
        <v>128.2051282051282</v>
      </c>
      <c r="AU31" s="101">
        <f>+(AU24*1000)/AU16</f>
        <v>118.99038461538461</v>
      </c>
      <c r="AV31" s="53">
        <f>+AV24/AV$22*1000</f>
        <v>115.58613542146476</v>
      </c>
      <c r="AW31" s="266">
        <f>+(AW24*1000)/AW16</f>
        <v>120.71428193175588</v>
      </c>
      <c r="AX31" s="775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116.65788549350194</v>
      </c>
      <c r="BE31" s="266">
        <f>+(BE24*1000)/BE16</f>
        <v>120.70064241262118</v>
      </c>
      <c r="BF31" s="26"/>
      <c r="BG31" s="26"/>
      <c r="BH31" s="26"/>
      <c r="BI31" s="26"/>
      <c r="BJ31" s="26"/>
    </row>
    <row r="32" spans="1:62" ht="15" customHeight="1" x14ac:dyDescent="0.25">
      <c r="B32" s="3729" t="s">
        <v>389</v>
      </c>
      <c r="C32" s="13" t="s">
        <v>386</v>
      </c>
      <c r="D32" s="3435">
        <f>+D25/D22*1000</f>
        <v>0</v>
      </c>
      <c r="E32" s="18">
        <f>+(E25*1000)/E16</f>
        <v>0</v>
      </c>
      <c r="F32" s="7224">
        <f>+F25/F22*1000</f>
        <v>0</v>
      </c>
      <c r="G32" s="18">
        <f>+(G25*1000)/G16</f>
        <v>0</v>
      </c>
      <c r="H32" s="3434">
        <f>+H25/H$22*1000</f>
        <v>0</v>
      </c>
      <c r="I32" s="39">
        <f>+(I25*1000)/I16</f>
        <v>0</v>
      </c>
      <c r="J32" s="4610">
        <f>+J25/J22*1000</f>
        <v>0</v>
      </c>
      <c r="K32" s="18">
        <f>+(K25*1000)/K16</f>
        <v>0</v>
      </c>
      <c r="L32" s="72">
        <f>+L25/L$22*1000</f>
        <v>0</v>
      </c>
      <c r="M32" s="782">
        <f>+(M25*1000)/M16</f>
        <v>0</v>
      </c>
      <c r="N32" s="4839">
        <f>+N25/N22*1000</f>
        <v>0</v>
      </c>
      <c r="O32" s="18">
        <f>+(O25*1000)/O16</f>
        <v>0</v>
      </c>
      <c r="P32" s="61">
        <f>+P25/P$22*1000</f>
        <v>0</v>
      </c>
      <c r="Q32" s="783">
        <f>+(Q25*1000)/Q16</f>
        <v>0</v>
      </c>
      <c r="R32" s="4950">
        <f>+R25/R22*1000</f>
        <v>0</v>
      </c>
      <c r="S32" s="18">
        <f>+(S25*1000)/S16</f>
        <v>0</v>
      </c>
      <c r="T32" s="4951">
        <f>+T25/T$22*1000</f>
        <v>0</v>
      </c>
      <c r="U32" s="4953">
        <f>+(U25*1000)/U16</f>
        <v>0</v>
      </c>
      <c r="V32" s="5070">
        <f>+V25/V22*1000</f>
        <v>0</v>
      </c>
      <c r="W32" s="18">
        <f>+(W25*1000)/W16</f>
        <v>0</v>
      </c>
      <c r="X32" s="2260">
        <f>+X25/X$22*1000</f>
        <v>0</v>
      </c>
      <c r="Y32" s="2259">
        <f>+(Y25*1000)/Y16</f>
        <v>0</v>
      </c>
      <c r="Z32" s="465">
        <f>+Z25/Z$22*1000</f>
        <v>0</v>
      </c>
      <c r="AA32" s="465">
        <f>+(AA25*1000)/AA16</f>
        <v>0</v>
      </c>
      <c r="AB32" s="5418">
        <f>+AB25/AB22*1000</f>
        <v>0</v>
      </c>
      <c r="AC32" s="18">
        <f>+(AC25*1000)/AC16</f>
        <v>0</v>
      </c>
      <c r="AD32" s="2642">
        <f>+AD25/AD$22*1000</f>
        <v>0</v>
      </c>
      <c r="AE32" s="2399">
        <f>+(AE25*1000)/AE16</f>
        <v>0</v>
      </c>
      <c r="AF32" s="5564">
        <f>+AF25/AF22*1000</f>
        <v>0</v>
      </c>
      <c r="AG32" s="18">
        <f>+(AG25*1000)/AG16</f>
        <v>0</v>
      </c>
      <c r="AH32" s="5563">
        <f>+AH25/AH$22*1000</f>
        <v>0</v>
      </c>
      <c r="AI32" s="5568">
        <f>+(AI25*1000)/AI16</f>
        <v>0</v>
      </c>
      <c r="AJ32" s="5968">
        <f>+AJ25/AJ22*1000</f>
        <v>0</v>
      </c>
      <c r="AK32" s="18">
        <f>+(AK25*1000)/AK16</f>
        <v>0</v>
      </c>
      <c r="AL32" s="2767">
        <f>+AL25/AL$22*1000</f>
        <v>0</v>
      </c>
      <c r="AM32" s="2766">
        <f>+(AM25*1000)/AM16</f>
        <v>0</v>
      </c>
      <c r="AN32" s="2761">
        <f>+AN25/AN$22*1000</f>
        <v>0</v>
      </c>
      <c r="AO32" s="2399">
        <f>+(AO25*1000)/AO16</f>
        <v>0</v>
      </c>
      <c r="AP32" s="6132">
        <f>+AP25/AP22*1000</f>
        <v>0</v>
      </c>
      <c r="AQ32" s="18">
        <f>+(AQ25*1000)/AQ16</f>
        <v>0</v>
      </c>
      <c r="AR32" s="6133">
        <f>+AR25/AR$22*1000</f>
        <v>0</v>
      </c>
      <c r="AS32" s="6135">
        <f>+(AS25*1000)/AS16</f>
        <v>0</v>
      </c>
      <c r="AT32" s="6289">
        <f>+AT25/AT22*1000</f>
        <v>0</v>
      </c>
      <c r="AU32" s="18">
        <f>+(AU25*1000)/AU16</f>
        <v>0</v>
      </c>
      <c r="AV32" s="6290">
        <f>+AV25/AV$22*1000</f>
        <v>0</v>
      </c>
      <c r="AW32" s="6292">
        <f>+(AW25*1000)/AW16</f>
        <v>0</v>
      </c>
      <c r="AX32" s="6459">
        <f>+AX25/AX22*1000</f>
        <v>0</v>
      </c>
      <c r="AY32" s="18">
        <f>+(AY25*1000)/AY16</f>
        <v>0</v>
      </c>
      <c r="AZ32" s="3090">
        <f>+AZ25/AZ$22*1000</f>
        <v>0</v>
      </c>
      <c r="BA32" s="3088">
        <f>+(BA25*1000)/BA16</f>
        <v>0</v>
      </c>
      <c r="BB32" s="3086">
        <f>+BB25/BB$22*1000</f>
        <v>0</v>
      </c>
      <c r="BC32" s="3086">
        <f>+(BC25*1000)/BC16</f>
        <v>0</v>
      </c>
      <c r="BD32" s="3089">
        <f>+BD25/BD$22*1000</f>
        <v>0</v>
      </c>
      <c r="BE32" s="2399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729" t="s">
        <v>390</v>
      </c>
      <c r="C33" s="13" t="s">
        <v>386</v>
      </c>
      <c r="D33" s="775">
        <f>+D26/D22*1000</f>
        <v>115.38461538461539</v>
      </c>
      <c r="E33" s="101">
        <f>+(E26*1000)/E16</f>
        <v>152.23183760683762</v>
      </c>
      <c r="F33" s="775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5">
        <f>+J26/J22*1000</f>
        <v>146.15384615384616</v>
      </c>
      <c r="K33" s="101">
        <f>+(K26*1000)/K16</f>
        <v>140.88556089743594</v>
      </c>
      <c r="L33" s="77">
        <f>+L26/L$22*1000</f>
        <v>86.22147083685546</v>
      </c>
      <c r="M33" s="353">
        <f>+(M26*1000)/M16</f>
        <v>146.99981861087633</v>
      </c>
      <c r="N33" s="775">
        <f>+N26/N22*1000</f>
        <v>146.15384615384613</v>
      </c>
      <c r="O33" s="101">
        <f>+(O26*1000)/O16</f>
        <v>144.34036393713814</v>
      </c>
      <c r="P33" s="53">
        <f>+P26/P$22*1000</f>
        <v>101.45018915510718</v>
      </c>
      <c r="Q33" s="266">
        <f>+(Q26*1000)/Q16</f>
        <v>146.32405553804122</v>
      </c>
      <c r="R33" s="775">
        <f>+R26/R22*1000</f>
        <v>146.15384615384613</v>
      </c>
      <c r="S33" s="101">
        <f>+(S26*1000)/S16</f>
        <v>154.29037153014235</v>
      </c>
      <c r="T33" s="53">
        <f>+T26/T$22*1000</f>
        <v>110.50779286073403</v>
      </c>
      <c r="U33" s="266">
        <f>+(U26*1000)/U16</f>
        <v>147.8916255793809</v>
      </c>
      <c r="V33" s="775">
        <f>+V26/V22*1000</f>
        <v>146.15384615384616</v>
      </c>
      <c r="W33" s="101">
        <f>+(W26*1000)/W16</f>
        <v>151.95695945886141</v>
      </c>
      <c r="X33" s="77">
        <f>+X26/X$22*1000</f>
        <v>146.15384615384613</v>
      </c>
      <c r="Y33" s="353">
        <f>+(Y26*1000)/Y16</f>
        <v>150.12641135717854</v>
      </c>
      <c r="Z33" s="466">
        <f>+Z26/Z$22*1000</f>
        <v>116.35140815468684</v>
      </c>
      <c r="AA33" s="466">
        <f>+(AA26*1000)/AA16</f>
        <v>148.56214944126623</v>
      </c>
      <c r="AB33" s="775">
        <f>+AB26/AB22*1000</f>
        <v>146.15384615384613</v>
      </c>
      <c r="AC33" s="101">
        <f>+(AC26*1000)/AC16</f>
        <v>163.45647185353167</v>
      </c>
      <c r="AD33" s="53">
        <f>+AD26/AD$22*1000</f>
        <v>120.66858375269588</v>
      </c>
      <c r="AE33" s="266">
        <f>+(AE26*1000)/AE16</f>
        <v>150.73101162061525</v>
      </c>
      <c r="AF33" s="775">
        <f>+AF26/AF22*1000</f>
        <v>146.15384615384616</v>
      </c>
      <c r="AG33" s="101">
        <f>+(AG26*1000)/AG16</f>
        <v>113.5726495726495</v>
      </c>
      <c r="AH33" s="53">
        <f>+AH26/AH$22*1000</f>
        <v>123.80201765447667</v>
      </c>
      <c r="AI33" s="266">
        <f>+(AI26*1000)/AI16</f>
        <v>146.1414377399901</v>
      </c>
      <c r="AJ33" s="775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126.32167832167832</v>
      </c>
      <c r="AO33" s="266">
        <f>+(AO26*1000)/AO16</f>
        <v>148.00073459397865</v>
      </c>
      <c r="AP33" s="775">
        <f>+AP26/AP22*1000</f>
        <v>146.15384615384613</v>
      </c>
      <c r="AQ33" s="101">
        <f>+(AQ26*1000)/AQ16</f>
        <v>177.23997105045493</v>
      </c>
      <c r="AR33" s="53">
        <f>+AR26/AR$22*1000</f>
        <v>128.33081950729007</v>
      </c>
      <c r="AS33" s="266">
        <f>+(AS26*1000)/AS16</f>
        <v>150.97368643266071</v>
      </c>
      <c r="AT33" s="775">
        <f>+AT26/AT22*1000</f>
        <v>146.15384615384616</v>
      </c>
      <c r="AU33" s="101">
        <f>+(AU26*1000)/AU16</f>
        <v>152.6119533758804</v>
      </c>
      <c r="AV33" s="53">
        <f>+AV26/AV$22*1000</f>
        <v>129.82496545370796</v>
      </c>
      <c r="AW33" s="266">
        <f>+(AW26*1000)/AW16</f>
        <v>151.11148509535317</v>
      </c>
      <c r="AX33" s="775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131.21180189673339</v>
      </c>
      <c r="BE33" s="266">
        <f>+(BE26*1000)/BE16</f>
        <v>150.61092306607219</v>
      </c>
      <c r="BF33" s="26"/>
      <c r="BG33" s="26"/>
      <c r="BH33" s="26"/>
      <c r="BI33" s="26"/>
      <c r="BJ33" s="26"/>
    </row>
    <row r="34" spans="1:62" ht="15" customHeight="1" x14ac:dyDescent="0.25">
      <c r="B34" s="3729" t="s">
        <v>391</v>
      </c>
      <c r="C34" s="13" t="s">
        <v>387</v>
      </c>
      <c r="D34" s="3435">
        <f>+D27/D22*1000</f>
        <v>0</v>
      </c>
      <c r="E34" s="18">
        <f>+(E27*1000)/E16</f>
        <v>0</v>
      </c>
      <c r="F34" s="7224">
        <f>+F27/F22*1000</f>
        <v>0</v>
      </c>
      <c r="G34" s="18">
        <f>+(G27*1000)/G16</f>
        <v>0</v>
      </c>
      <c r="H34" s="3434">
        <f>+H27/H$22*1000</f>
        <v>0</v>
      </c>
      <c r="I34" s="39">
        <f>+(I27*1000)/I16</f>
        <v>0</v>
      </c>
      <c r="J34" s="4610">
        <f>+J27/J22*1000</f>
        <v>0</v>
      </c>
      <c r="K34" s="18">
        <f>+(K27*1000)/K16</f>
        <v>0</v>
      </c>
      <c r="L34" s="383">
        <f>+L27/L$22*1000</f>
        <v>0</v>
      </c>
      <c r="M34" s="782">
        <f>+(M27*1000)/M16</f>
        <v>0</v>
      </c>
      <c r="N34" s="4839">
        <f>+N27/N22*1000</f>
        <v>0</v>
      </c>
      <c r="O34" s="18">
        <f>+(O27*1000)/O16</f>
        <v>0</v>
      </c>
      <c r="P34" s="83">
        <f>+P27/P$22*1000</f>
        <v>0</v>
      </c>
      <c r="Q34" s="783">
        <f>+(Q27*1000)/Q16</f>
        <v>0</v>
      </c>
      <c r="R34" s="4950">
        <f>+R27/R22*1000</f>
        <v>0</v>
      </c>
      <c r="S34" s="18">
        <f>+(S27*1000)/S16</f>
        <v>0</v>
      </c>
      <c r="T34" s="83">
        <f>+T27/T$22*1000</f>
        <v>0</v>
      </c>
      <c r="U34" s="4953">
        <f>+(U27*1000)/U16</f>
        <v>0</v>
      </c>
      <c r="V34" s="5070">
        <f>+V27/V22*1000</f>
        <v>0</v>
      </c>
      <c r="W34" s="18">
        <f>+(W27*1000)/W16</f>
        <v>0</v>
      </c>
      <c r="X34" s="383">
        <f>+X27/X$22*1000</f>
        <v>0</v>
      </c>
      <c r="Y34" s="2259">
        <f>+(Y27*1000)/Y16</f>
        <v>0</v>
      </c>
      <c r="Z34" s="465">
        <f>+Z27/Z$22*1000</f>
        <v>0</v>
      </c>
      <c r="AA34" s="465">
        <f>+(AA27*1000)/AA16</f>
        <v>0</v>
      </c>
      <c r="AB34" s="5418">
        <f>+AB27/AB22*1000</f>
        <v>0</v>
      </c>
      <c r="AC34" s="18">
        <f>+(AC27*1000)/AC16</f>
        <v>0</v>
      </c>
      <c r="AD34" s="83">
        <f>+AD27/AD$22*1000</f>
        <v>0</v>
      </c>
      <c r="AE34" s="2399">
        <f>+(AE27*1000)/AE16</f>
        <v>0</v>
      </c>
      <c r="AF34" s="5564">
        <f>+AF27/AF22*1000</f>
        <v>0</v>
      </c>
      <c r="AG34" s="18">
        <f>+(AG27*1000)/AG16</f>
        <v>0</v>
      </c>
      <c r="AH34" s="83">
        <f>+AH27/AH$22*1000</f>
        <v>0</v>
      </c>
      <c r="AI34" s="5568">
        <f>+(AI27*1000)/AI16</f>
        <v>0</v>
      </c>
      <c r="AJ34" s="5968">
        <f>+AJ27/AJ22*1000</f>
        <v>0</v>
      </c>
      <c r="AK34" s="18">
        <f>+(AK27*1000)/AK16</f>
        <v>0</v>
      </c>
      <c r="AL34" s="383">
        <f>+AL27/AL$22*1000</f>
        <v>0</v>
      </c>
      <c r="AM34" s="2766">
        <f>+(AM27*1000)/AM16</f>
        <v>0</v>
      </c>
      <c r="AN34" s="83">
        <f>+AN27/AN$22*1000</f>
        <v>0</v>
      </c>
      <c r="AO34" s="2399">
        <f>+(AO27*1000)/AO16</f>
        <v>0</v>
      </c>
      <c r="AP34" s="6132">
        <f>+AP27/AP22*1000</f>
        <v>0</v>
      </c>
      <c r="AQ34" s="18">
        <f>+(AQ27*1000)/AQ16</f>
        <v>0</v>
      </c>
      <c r="AR34" s="83">
        <f>+AR27/AR$22*1000</f>
        <v>0</v>
      </c>
      <c r="AS34" s="6135">
        <f>+(AS27*1000)/AS16</f>
        <v>0</v>
      </c>
      <c r="AT34" s="6289">
        <f>+AT27/AT22*1000</f>
        <v>0</v>
      </c>
      <c r="AU34" s="18">
        <f>+(AU27*1000)/AU16</f>
        <v>0</v>
      </c>
      <c r="AV34" s="83">
        <f>+AV27/AV$22*1000</f>
        <v>0</v>
      </c>
      <c r="AW34" s="6292">
        <f>+(AW27*1000)/AW16</f>
        <v>0</v>
      </c>
      <c r="AX34" s="6459">
        <f>+AX27/AX22*1000</f>
        <v>0</v>
      </c>
      <c r="AY34" s="18">
        <f>+(AY27*1000)/AY16</f>
        <v>0</v>
      </c>
      <c r="AZ34" s="383">
        <f>+AZ27/AZ$22*1000</f>
        <v>0</v>
      </c>
      <c r="BA34" s="3088">
        <f>+(BA27*1000)/BA16</f>
        <v>0</v>
      </c>
      <c r="BB34" s="3086">
        <f>+BB27/BB$22*1000</f>
        <v>0</v>
      </c>
      <c r="BC34" s="3086">
        <f>+(BC27*1000)/BC16</f>
        <v>0</v>
      </c>
      <c r="BD34" s="83">
        <f>+BD27/BD$22*1000</f>
        <v>0</v>
      </c>
      <c r="BE34" s="2399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89">
        <v>1.125079186</v>
      </c>
      <c r="B35" s="3733" t="s">
        <v>392</v>
      </c>
      <c r="C35" s="731" t="s">
        <v>552</v>
      </c>
      <c r="D35" s="1923">
        <v>0.97424423076923072</v>
      </c>
      <c r="E35" s="7276">
        <v>1.0589999999999999</v>
      </c>
      <c r="F35" s="7276">
        <v>0.97424423076923072</v>
      </c>
      <c r="G35" s="7276">
        <v>1.042</v>
      </c>
      <c r="H35" s="7276">
        <f>+((D35*D22)+(F35*F22))/H22</f>
        <v>0.97424423076923083</v>
      </c>
      <c r="I35" s="7277">
        <f>+((E35*E16)+(G35*G16))/I16</f>
        <v>1.050360655737705</v>
      </c>
      <c r="J35" s="1923">
        <v>1.1738291859999999</v>
      </c>
      <c r="K35" s="1923">
        <v>1.0349999999999999</v>
      </c>
      <c r="L35" s="1545">
        <f>+((H35*H22)+(J35*J22))/L22</f>
        <v>1.0400414687573964</v>
      </c>
      <c r="M35" s="1545">
        <f>+((I35*I16)+(K35*K16))/M16</f>
        <v>1.0452967032967033</v>
      </c>
      <c r="N35" s="1923">
        <v>1.1738291859999999</v>
      </c>
      <c r="O35" s="1923">
        <v>1.0349999999999999</v>
      </c>
      <c r="P35" s="1790">
        <f>+((L35*L22)+(N35*N22))/P22</f>
        <v>1.0740367083846154</v>
      </c>
      <c r="Q35" s="1790">
        <f>+((M35*M16)+(O35*O16))/Q16</f>
        <v>1.0426803278688526</v>
      </c>
      <c r="R35" s="1923">
        <v>1.1738291859999999</v>
      </c>
      <c r="S35" s="1923">
        <v>1.0933999999999999</v>
      </c>
      <c r="T35" s="1790">
        <f>+((P35*P22)+(R35*R22))/T22</f>
        <v>1.0942560992740069</v>
      </c>
      <c r="U35" s="1790">
        <f>+((Q35*Q16)+(S35*S16))/U16</f>
        <v>1.0526606799686427</v>
      </c>
      <c r="V35" s="1923">
        <v>1.1738291859999999</v>
      </c>
      <c r="W35" s="1923">
        <v>1.06</v>
      </c>
      <c r="X35" s="1545">
        <f>+((N35*N22)+(R35*R22)+(V35*V22))/X22</f>
        <v>1.1738291859999999</v>
      </c>
      <c r="Y35" s="1545">
        <f>+((O35*O22)+(S35*S22)+(W35*W22))/Y22</f>
        <v>1.062456305420717</v>
      </c>
      <c r="Z35" s="2467">
        <f>+((T35*T22)+(V35*V22))/Z22</f>
        <v>1.1073008675897433</v>
      </c>
      <c r="AA35" s="2467">
        <f>+((U35*U16)+(W35*W16))/AA16</f>
        <v>1.053871205194105</v>
      </c>
      <c r="AB35" s="1923">
        <v>1.1738291859999999</v>
      </c>
      <c r="AC35" s="1923">
        <v>1.1080000000000001</v>
      </c>
      <c r="AD35" s="1790">
        <f>+((Z35*Z22)+(AB35*AB22))/AD22</f>
        <v>1.1169381473594535</v>
      </c>
      <c r="AE35" s="1790">
        <f>+((AA35*AA16)+(AC35*AC16))/AE16</f>
        <v>1.0617532620355479</v>
      </c>
      <c r="AF35" s="1923">
        <v>1.1738291859999999</v>
      </c>
      <c r="AG35" s="1923">
        <v>0.90200000000000002</v>
      </c>
      <c r="AH35" s="1790">
        <f>+((AD35*AD22)+(AF35*AF22))/AH22</f>
        <v>1.1239329471923076</v>
      </c>
      <c r="AI35" s="1790">
        <f>+((AE35*AE16)+(AG35*AG16))/AI16</f>
        <v>1.0420215150377505</v>
      </c>
      <c r="AJ35" s="1923">
        <v>1.1738291859999999</v>
      </c>
      <c r="AK35" s="1923">
        <v>1.1040000000000001</v>
      </c>
      <c r="AL35" s="1545">
        <f>+((AB35*AB22)+(AF35*AF22)+(AJ35*AJ22))/AL22</f>
        <v>1.1738291859999999</v>
      </c>
      <c r="AM35" s="1545">
        <f>+((AC35*AC22)+(AG35*AG22)+(AK35*AK22))/AM22</f>
        <v>1.0394782608695652</v>
      </c>
      <c r="AN35" s="1790">
        <f>+((AH35*AH22)+(AJ35*AJ22))/AN22</f>
        <v>1.1295576141124475</v>
      </c>
      <c r="AO35" s="1790">
        <f>+((AI35*AI16)+(AK35*AK16))/AO16</f>
        <v>1.0490365555548407</v>
      </c>
      <c r="AP35" s="1923">
        <v>1.1738291859999999</v>
      </c>
      <c r="AQ35" s="1923">
        <v>1.165</v>
      </c>
      <c r="AR35" s="1790">
        <f>+((AN35*AN22)+(AP35*AP22))/AR22</f>
        <v>1.1340426426370034</v>
      </c>
      <c r="AS35" s="1790">
        <f>+((AO35*AO16)+(AQ35*AQ16))/AS16</f>
        <v>1.0608273468737701</v>
      </c>
      <c r="AT35" s="1923">
        <v>1.1738291859999999</v>
      </c>
      <c r="AU35" s="1923">
        <v>1.0620000000000001</v>
      </c>
      <c r="AV35" s="1790">
        <f>+((AR35*AR22)+(AT35*AT22))/AV22</f>
        <v>1.1373780414818055</v>
      </c>
      <c r="AW35" s="1790">
        <f>+((AS35*AS16)+(AU35*AU16))/AW16</f>
        <v>1.0609259816129164</v>
      </c>
      <c r="AX35" s="1923">
        <v>1.1738291859999999</v>
      </c>
      <c r="AY35" s="1923">
        <v>1.036</v>
      </c>
      <c r="AZ35" s="1545">
        <f>+((AP35*AP22)+(AT35*AT22)+(AX35*AX22))/AZ22</f>
        <v>1.1738291860000001</v>
      </c>
      <c r="BA35" s="1545">
        <f>+((AQ35*AQ22)+(AU35*AU22)+(AY35*AY22))/BA22</f>
        <v>1.0885222222222224</v>
      </c>
      <c r="BB35" s="2467">
        <f>+((AL35*AL22)+(AZ35*AZ22))/BB22</f>
        <v>1.1738291860000001</v>
      </c>
      <c r="BC35" s="2467">
        <f>+((AM35*AM16)+(BA35*BA16))/BC16</f>
        <v>1.0637307692307694</v>
      </c>
      <c r="BD35" s="1790">
        <f>+((AV35*AV22)+(AX35*AX22))/BD22</f>
        <v>1.1404738921121178</v>
      </c>
      <c r="BE35" s="1790">
        <f>+((AW35*AW16)+(AY35*AY16))/BE16</f>
        <v>1.0588025091394175</v>
      </c>
      <c r="BF35" s="26"/>
      <c r="BG35" s="26"/>
      <c r="BH35" s="26"/>
      <c r="BI35" s="26"/>
      <c r="BJ35" s="26"/>
    </row>
    <row r="36" spans="1:62" ht="23.85" customHeight="1" thickTop="1" x14ac:dyDescent="0.3">
      <c r="B36" s="951" t="s">
        <v>457</v>
      </c>
      <c r="C36" s="214"/>
      <c r="D36" s="3716"/>
      <c r="E36" s="3717"/>
      <c r="F36" s="3716"/>
      <c r="G36" s="3717"/>
      <c r="H36" s="214"/>
      <c r="I36" s="214"/>
      <c r="J36" s="3716"/>
      <c r="K36" s="3717"/>
      <c r="L36" s="137"/>
      <c r="M36" s="137"/>
      <c r="N36" s="3716"/>
      <c r="O36" s="3717"/>
      <c r="P36" s="137"/>
      <c r="Q36" s="137"/>
      <c r="R36" s="3716"/>
      <c r="S36" s="3717"/>
      <c r="T36" s="137"/>
      <c r="U36" s="137"/>
      <c r="V36" s="3716"/>
      <c r="W36" s="3717"/>
      <c r="X36" s="137"/>
      <c r="Y36" s="137"/>
      <c r="Z36" s="137"/>
      <c r="AA36" s="137"/>
      <c r="AB36" s="3716"/>
      <c r="AC36" s="3717"/>
      <c r="AD36" s="137"/>
      <c r="AE36" s="137"/>
      <c r="AF36" s="3716"/>
      <c r="AG36" s="3717"/>
      <c r="AH36" s="137"/>
      <c r="AI36" s="137"/>
      <c r="AJ36" s="3716"/>
      <c r="AK36" s="3717"/>
      <c r="AL36" s="137"/>
      <c r="AM36" s="137"/>
      <c r="AN36" s="137"/>
      <c r="AO36" s="137"/>
      <c r="AP36" s="3716"/>
      <c r="AQ36" s="3717"/>
      <c r="AR36" s="137"/>
      <c r="AS36" s="137"/>
      <c r="AT36" s="3716"/>
      <c r="AU36" s="3717"/>
      <c r="AV36" s="137"/>
      <c r="AW36" s="137"/>
      <c r="AX36" s="3716"/>
      <c r="AY36" s="3717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737" t="s">
        <v>401</v>
      </c>
      <c r="C37" s="3738"/>
      <c r="D37" s="3739"/>
      <c r="E37" s="3740"/>
      <c r="F37" s="3739"/>
      <c r="G37" s="3740"/>
      <c r="H37" s="3738"/>
      <c r="I37" s="3738"/>
      <c r="J37" s="3739"/>
      <c r="K37" s="3740"/>
      <c r="L37" s="7"/>
      <c r="M37" s="415"/>
      <c r="N37" s="3739"/>
      <c r="O37" s="3740"/>
      <c r="P37" s="7"/>
      <c r="Q37" s="415"/>
      <c r="R37" s="3739"/>
      <c r="S37" s="3740"/>
      <c r="T37" s="7"/>
      <c r="U37" s="415"/>
      <c r="V37" s="3739"/>
      <c r="W37" s="3740"/>
      <c r="X37" s="7"/>
      <c r="Y37" s="415"/>
      <c r="Z37" s="7"/>
      <c r="AA37" s="415"/>
      <c r="AB37" s="3739"/>
      <c r="AC37" s="3740"/>
      <c r="AD37" s="7"/>
      <c r="AE37" s="415"/>
      <c r="AF37" s="3739"/>
      <c r="AG37" s="3740"/>
      <c r="AH37" s="7"/>
      <c r="AI37" s="415"/>
      <c r="AJ37" s="3739"/>
      <c r="AK37" s="3740"/>
      <c r="AL37" s="7"/>
      <c r="AM37" s="415"/>
      <c r="AN37" s="7"/>
      <c r="AO37" s="415"/>
      <c r="AP37" s="3739"/>
      <c r="AQ37" s="3740"/>
      <c r="AR37" s="7"/>
      <c r="AS37" s="415"/>
      <c r="AT37" s="3739"/>
      <c r="AU37" s="3740"/>
      <c r="AV37" s="7"/>
      <c r="AW37" s="415"/>
      <c r="AX37" s="3739"/>
      <c r="AY37" s="3740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25">
      <c r="B38" s="7841" t="s">
        <v>394</v>
      </c>
      <c r="C38" s="88" t="s">
        <v>393</v>
      </c>
      <c r="D38" s="7822"/>
      <c r="E38" s="277">
        <v>9374.7000000000007</v>
      </c>
      <c r="F38" s="7822"/>
      <c r="G38" s="277">
        <v>10154.1</v>
      </c>
      <c r="H38" s="7814"/>
      <c r="I38" s="416">
        <f>+E38+G38</f>
        <v>19528.800000000003</v>
      </c>
      <c r="J38" s="7822"/>
      <c r="K38" s="277">
        <v>7328.3</v>
      </c>
      <c r="L38" s="7826"/>
      <c r="M38" s="425">
        <f>E38+G38+K38</f>
        <v>26857.100000000002</v>
      </c>
      <c r="N38" s="7822"/>
      <c r="O38" s="277">
        <v>7279.1</v>
      </c>
      <c r="P38" s="7825"/>
      <c r="Q38" s="416">
        <f>+M38+O38</f>
        <v>34136.200000000004</v>
      </c>
      <c r="R38" s="7822"/>
      <c r="S38" s="277">
        <v>9601.1</v>
      </c>
      <c r="T38" s="7825"/>
      <c r="U38" s="416">
        <f>+Q38+S38</f>
        <v>43737.3</v>
      </c>
      <c r="V38" s="7822"/>
      <c r="W38" s="277">
        <v>9425.7000000000007</v>
      </c>
      <c r="X38" s="7826"/>
      <c r="Y38" s="425">
        <f t="shared" ref="Y38" si="113">+O38+S38+W38</f>
        <v>26305.9</v>
      </c>
      <c r="Z38" s="7810"/>
      <c r="AA38" s="507">
        <f>M38+Y38</f>
        <v>53163</v>
      </c>
      <c r="AB38" s="7822"/>
      <c r="AC38" s="277">
        <v>9620.7999999999993</v>
      </c>
      <c r="AD38" s="7825"/>
      <c r="AE38" s="416">
        <f>+AA38+AC38</f>
        <v>62783.8</v>
      </c>
      <c r="AF38" s="7822"/>
      <c r="AG38" s="277">
        <v>8454.6</v>
      </c>
      <c r="AH38" s="7825"/>
      <c r="AI38" s="416">
        <f>+AE38+AG38</f>
        <v>71238.400000000009</v>
      </c>
      <c r="AJ38" s="7822"/>
      <c r="AK38" s="277">
        <v>9250.5</v>
      </c>
      <c r="AL38" s="7826"/>
      <c r="AM38" s="425">
        <f t="shared" ref="AM38" si="114">+AC38+AG38+AK38</f>
        <v>27325.9</v>
      </c>
      <c r="AN38" s="7825"/>
      <c r="AO38" s="416">
        <f>+AI38+AK38</f>
        <v>80488.900000000009</v>
      </c>
      <c r="AP38" s="7822"/>
      <c r="AQ38" s="277">
        <v>5909.5</v>
      </c>
      <c r="AR38" s="7825"/>
      <c r="AS38" s="416">
        <f>+AO38+AQ38</f>
        <v>86398.400000000009</v>
      </c>
      <c r="AT38" s="7822"/>
      <c r="AU38" s="277">
        <v>7785.7</v>
      </c>
      <c r="AV38" s="7825"/>
      <c r="AW38" s="416">
        <f>+AS38+AU38</f>
        <v>94184.1</v>
      </c>
      <c r="AX38" s="7822"/>
      <c r="AY38" s="277">
        <v>9073.6</v>
      </c>
      <c r="AZ38" s="7826"/>
      <c r="BA38" s="425">
        <f t="shared" ref="BA38" si="115">+AQ38+AU38+AY38</f>
        <v>22768.800000000003</v>
      </c>
      <c r="BB38" s="7810"/>
      <c r="BC38" s="715">
        <f t="shared" ref="BC38" si="116">+AM38+BA38</f>
        <v>50094.700000000004</v>
      </c>
      <c r="BD38" s="7825"/>
      <c r="BE38" s="416">
        <f>+AW38+AY38</f>
        <v>103257.70000000001</v>
      </c>
      <c r="BF38" s="26"/>
      <c r="BG38" s="26"/>
      <c r="BH38" s="26"/>
      <c r="BI38" s="26"/>
      <c r="BJ38" s="26"/>
    </row>
    <row r="39" spans="1:62" ht="15.75" thickBot="1" x14ac:dyDescent="0.3">
      <c r="B39" s="7837"/>
      <c r="C39" s="19" t="s">
        <v>381</v>
      </c>
      <c r="D39" s="7823"/>
      <c r="E39" s="681">
        <f>+E38/E$3/24</f>
        <v>13.020416666666668</v>
      </c>
      <c r="F39" s="7823"/>
      <c r="G39" s="681">
        <f>+G38/G$3/24</f>
        <v>13.647983870967742</v>
      </c>
      <c r="H39" s="7815"/>
      <c r="I39" s="417">
        <f>+I38/I$3/24</f>
        <v>13.339344262295084</v>
      </c>
      <c r="J39" s="7823"/>
      <c r="K39" s="681">
        <f>+K38/K$3/24</f>
        <v>10.178194444444445</v>
      </c>
      <c r="L39" s="7827"/>
      <c r="M39" s="426">
        <f>+M38/M$3/24</f>
        <v>12.29720695970696</v>
      </c>
      <c r="N39" s="7823"/>
      <c r="O39" s="681">
        <f>+O38/O$3/24</f>
        <v>9.7837365591397845</v>
      </c>
      <c r="P39" s="7815"/>
      <c r="Q39" s="417">
        <f>+Q38/Q$3/24</f>
        <v>11.658538251366123</v>
      </c>
      <c r="R39" s="7823"/>
      <c r="S39" s="681">
        <f>+S38/S$3/24</f>
        <v>12.90470430107527</v>
      </c>
      <c r="T39" s="7815"/>
      <c r="U39" s="417">
        <f>+U38/U$3/24</f>
        <v>11.911029411764707</v>
      </c>
      <c r="V39" s="7823"/>
      <c r="W39" s="681">
        <f>+W38/W$3/24</f>
        <v>13.09125</v>
      </c>
      <c r="X39" s="7827"/>
      <c r="Y39" s="426">
        <f>+Y38/Y$3/24</f>
        <v>11.913903985507247</v>
      </c>
      <c r="Z39" s="7811"/>
      <c r="AA39" s="508">
        <f>+AA38/AA$3/24</f>
        <v>12.104508196721312</v>
      </c>
      <c r="AB39" s="7823"/>
      <c r="AC39" s="681">
        <f>+AC38/AC$3/24</f>
        <v>12.931182795698923</v>
      </c>
      <c r="AD39" s="7815"/>
      <c r="AE39" s="417">
        <f>+AE38/AE$3/24</f>
        <v>12.224260124610593</v>
      </c>
      <c r="AF39" s="7823"/>
      <c r="AG39" s="681">
        <f>+AG38/AG$3/24</f>
        <v>11.7425</v>
      </c>
      <c r="AH39" s="7815"/>
      <c r="AI39" s="417">
        <f>+AI38/AI$3/24</f>
        <v>12.165027322404372</v>
      </c>
      <c r="AJ39" s="7823"/>
      <c r="AK39" s="681">
        <f>+AK38/AK$3/24</f>
        <v>12.433467741935482</v>
      </c>
      <c r="AL39" s="7827"/>
      <c r="AM39" s="426">
        <f>+AM38/AM$3/24</f>
        <v>12.375860507246378</v>
      </c>
      <c r="AN39" s="7815"/>
      <c r="AO39" s="417">
        <f>+AO38/AO$3/24</f>
        <v>12.19528787878788</v>
      </c>
      <c r="AP39" s="7823"/>
      <c r="AQ39" s="681">
        <f>+AQ38/AQ$3/24</f>
        <v>7.9428763440860211</v>
      </c>
      <c r="AR39" s="7815"/>
      <c r="AS39" s="417">
        <f>+AS38/AS$3/24</f>
        <v>11.764488017429194</v>
      </c>
      <c r="AT39" s="7823"/>
      <c r="AU39" s="681">
        <f>+AU38/AU$3/24</f>
        <v>11.585863095238095</v>
      </c>
      <c r="AV39" s="7815"/>
      <c r="AW39" s="417">
        <f>+AW38/AW$3/24</f>
        <v>11.749513473053893</v>
      </c>
      <c r="AX39" s="7823"/>
      <c r="AY39" s="681">
        <f>+AY38/AY$3/24</f>
        <v>12.195698924731182</v>
      </c>
      <c r="AZ39" s="7827"/>
      <c r="BA39" s="426">
        <f>+BA38/BA$3/24</f>
        <v>10.541111111111112</v>
      </c>
      <c r="BB39" s="7811"/>
      <c r="BC39" s="508">
        <f>+BC38/BC$3/24</f>
        <v>11.468566849816851</v>
      </c>
      <c r="BD39" s="7815"/>
      <c r="BE39" s="417">
        <f>+BE38/BE$3/24</f>
        <v>11.787408675799087</v>
      </c>
      <c r="BF39" s="26"/>
      <c r="BG39" s="26"/>
      <c r="BH39" s="26"/>
      <c r="BI39" s="26"/>
      <c r="BJ39" s="26"/>
    </row>
    <row r="40" spans="1:62" x14ac:dyDescent="0.25">
      <c r="B40" s="7837" t="s">
        <v>395</v>
      </c>
      <c r="C40" s="18" t="s">
        <v>393</v>
      </c>
      <c r="D40" s="7823"/>
      <c r="E40" s="181">
        <v>9841.6</v>
      </c>
      <c r="F40" s="7823"/>
      <c r="G40" s="181">
        <v>10534.9</v>
      </c>
      <c r="H40" s="7815"/>
      <c r="I40" s="369">
        <f>+E40+G40</f>
        <v>20376.5</v>
      </c>
      <c r="J40" s="7823"/>
      <c r="K40" s="181">
        <v>9993.7999999999993</v>
      </c>
      <c r="L40" s="7827"/>
      <c r="M40" s="425">
        <f>E40+G40+K40</f>
        <v>30370.3</v>
      </c>
      <c r="N40" s="7823"/>
      <c r="O40" s="181">
        <v>10931.8</v>
      </c>
      <c r="P40" s="7815"/>
      <c r="Q40" s="369">
        <f>+M40+O40</f>
        <v>41302.1</v>
      </c>
      <c r="R40" s="7823"/>
      <c r="S40" s="181">
        <v>10611</v>
      </c>
      <c r="T40" s="7815"/>
      <c r="U40" s="369">
        <f>+Q40+S40</f>
        <v>51913.1</v>
      </c>
      <c r="V40" s="7823"/>
      <c r="W40" s="181">
        <v>9991.2999999999993</v>
      </c>
      <c r="X40" s="7827"/>
      <c r="Y40" s="427">
        <f t="shared" ref="Y40" si="117">+O40+S40+W40</f>
        <v>31534.1</v>
      </c>
      <c r="Z40" s="7811"/>
      <c r="AA40" s="507">
        <f>M40+Y40</f>
        <v>61904.399999999994</v>
      </c>
      <c r="AB40" s="7823"/>
      <c r="AC40" s="181">
        <v>10359.299999999999</v>
      </c>
      <c r="AD40" s="7815"/>
      <c r="AE40" s="369">
        <f>+AA40+AC40</f>
        <v>72263.7</v>
      </c>
      <c r="AF40" s="7823"/>
      <c r="AG40" s="181">
        <v>2425.6</v>
      </c>
      <c r="AH40" s="7815"/>
      <c r="AI40" s="369">
        <f>+AE40+AG40</f>
        <v>74689.3</v>
      </c>
      <c r="AJ40" s="7823"/>
      <c r="AK40" s="181">
        <v>9377.6</v>
      </c>
      <c r="AL40" s="7827"/>
      <c r="AM40" s="427">
        <f t="shared" ref="AM40" si="118">+AC40+AG40+AK40</f>
        <v>22162.5</v>
      </c>
      <c r="AN40" s="7815"/>
      <c r="AO40" s="369">
        <f>+AI40+AK40</f>
        <v>84066.900000000009</v>
      </c>
      <c r="AP40" s="7823"/>
      <c r="AQ40" s="181">
        <v>10081.299999999999</v>
      </c>
      <c r="AR40" s="7815"/>
      <c r="AS40" s="369">
        <f>+AO40+AQ40</f>
        <v>94148.200000000012</v>
      </c>
      <c r="AT40" s="7823"/>
      <c r="AU40" s="181">
        <v>8910.9</v>
      </c>
      <c r="AV40" s="7815"/>
      <c r="AW40" s="369">
        <f>+AS40+AU40</f>
        <v>103059.1</v>
      </c>
      <c r="AX40" s="7823"/>
      <c r="AY40" s="181">
        <v>9609.6</v>
      </c>
      <c r="AZ40" s="7827"/>
      <c r="BA40" s="427">
        <f t="shared" ref="BA40" si="119">+AQ40+AU40+AY40</f>
        <v>28601.799999999996</v>
      </c>
      <c r="BB40" s="7811"/>
      <c r="BC40" s="715">
        <f t="shared" ref="BC40" si="120">+AM40+BA40</f>
        <v>50764.299999999996</v>
      </c>
      <c r="BD40" s="7815"/>
      <c r="BE40" s="369">
        <f>+AW40+AY40</f>
        <v>112668.70000000001</v>
      </c>
      <c r="BF40" s="26"/>
      <c r="BG40" s="26"/>
      <c r="BH40" s="26"/>
      <c r="BI40" s="26"/>
      <c r="BJ40" s="26"/>
    </row>
    <row r="41" spans="1:62" ht="15.75" thickBot="1" x14ac:dyDescent="0.3">
      <c r="B41" s="7837"/>
      <c r="C41" s="19" t="s">
        <v>381</v>
      </c>
      <c r="D41" s="7823"/>
      <c r="E41" s="681">
        <f>+E40/E$3/24</f>
        <v>13.668888888888889</v>
      </c>
      <c r="F41" s="7823"/>
      <c r="G41" s="681">
        <f>+G40/G$3/24</f>
        <v>14.159811827956988</v>
      </c>
      <c r="H41" s="7815"/>
      <c r="I41" s="417">
        <f>+I40/I$3/24</f>
        <v>13.918374316939891</v>
      </c>
      <c r="J41" s="7823"/>
      <c r="K41" s="681">
        <f>+K40/K$3/24</f>
        <v>13.880277777777778</v>
      </c>
      <c r="L41" s="7827"/>
      <c r="M41" s="426">
        <f>+M40/M$3/24</f>
        <v>13.905815018315018</v>
      </c>
      <c r="N41" s="7823"/>
      <c r="O41" s="681">
        <f>+O40/O$3/24</f>
        <v>14.693279569892473</v>
      </c>
      <c r="P41" s="7815"/>
      <c r="Q41" s="417">
        <f>+Q40/Q$3/24</f>
        <v>14.105908469945355</v>
      </c>
      <c r="R41" s="7823"/>
      <c r="S41" s="681">
        <f>+S40/S$3/24</f>
        <v>14.26209677419355</v>
      </c>
      <c r="T41" s="7815"/>
      <c r="U41" s="417">
        <f>+U40/U$3/24</f>
        <v>14.137554466230936</v>
      </c>
      <c r="V41" s="7823"/>
      <c r="W41" s="681">
        <f>+W40/W$3/24</f>
        <v>13.876805555555555</v>
      </c>
      <c r="X41" s="7827"/>
      <c r="Y41" s="426">
        <f>+Y40/Y$3/24</f>
        <v>14.281748188405798</v>
      </c>
      <c r="Z41" s="7811"/>
      <c r="AA41" s="508">
        <f>+AA40/AA$3/24</f>
        <v>14.094808743169397</v>
      </c>
      <c r="AB41" s="7823"/>
      <c r="AC41" s="681">
        <f>+AC40/AC$3/24</f>
        <v>13.923790322580643</v>
      </c>
      <c r="AD41" s="7815"/>
      <c r="AE41" s="417">
        <f>+AE40/AE$3/24</f>
        <v>14.07003504672897</v>
      </c>
      <c r="AF41" s="7823"/>
      <c r="AG41" s="681">
        <f>+AG40/AG$3/24</f>
        <v>3.3688888888888884</v>
      </c>
      <c r="AH41" s="7815"/>
      <c r="AI41" s="417">
        <f>+AI40/AI$3/24</f>
        <v>12.754320355191256</v>
      </c>
      <c r="AJ41" s="7823"/>
      <c r="AK41" s="681">
        <f>+AK40/AK$3/24</f>
        <v>12.604301075268816</v>
      </c>
      <c r="AL41" s="7827"/>
      <c r="AM41" s="426">
        <f>+AM40/AM$3/24</f>
        <v>10.037364130434783</v>
      </c>
      <c r="AN41" s="7815"/>
      <c r="AO41" s="417">
        <f>+AO40/AO$3/24</f>
        <v>12.737409090909091</v>
      </c>
      <c r="AP41" s="7823"/>
      <c r="AQ41" s="681">
        <f>+AQ40/AQ$3/24</f>
        <v>13.550134408602149</v>
      </c>
      <c r="AR41" s="7815"/>
      <c r="AS41" s="417">
        <f>+AS40/AS$3/24</f>
        <v>12.819744008714599</v>
      </c>
      <c r="AT41" s="7823"/>
      <c r="AU41" s="681">
        <f>+AU40/AU$3/24</f>
        <v>13.260267857142857</v>
      </c>
      <c r="AV41" s="7815"/>
      <c r="AW41" s="417">
        <f>+AW40/AW$3/24</f>
        <v>12.856674151696607</v>
      </c>
      <c r="AX41" s="7823"/>
      <c r="AY41" s="681">
        <f>+AY40/AY$3/24</f>
        <v>12.916129032258064</v>
      </c>
      <c r="AZ41" s="7827"/>
      <c r="BA41" s="426">
        <f>+BA40/BA$3/24</f>
        <v>13.241574074074073</v>
      </c>
      <c r="BB41" s="7811"/>
      <c r="BC41" s="508">
        <f>+BC40/BC$3/24</f>
        <v>11.621863553113551</v>
      </c>
      <c r="BD41" s="7815"/>
      <c r="BE41" s="417">
        <f>+BE40/BE$3/24</f>
        <v>12.86172374429224</v>
      </c>
      <c r="BF41" s="26"/>
      <c r="BG41" s="26"/>
      <c r="BH41" s="26"/>
      <c r="BI41" s="26"/>
      <c r="BJ41" s="26"/>
    </row>
    <row r="42" spans="1:62" x14ac:dyDescent="0.25">
      <c r="B42" s="7837" t="s">
        <v>396</v>
      </c>
      <c r="C42" s="18" t="s">
        <v>393</v>
      </c>
      <c r="D42" s="7823"/>
      <c r="E42" s="181">
        <v>164.9</v>
      </c>
      <c r="F42" s="7823"/>
      <c r="G42" s="181">
        <v>3121.7</v>
      </c>
      <c r="H42" s="7815"/>
      <c r="I42" s="369">
        <f>+E42+G42</f>
        <v>3286.6</v>
      </c>
      <c r="J42" s="7823"/>
      <c r="K42" s="181">
        <v>3317.5</v>
      </c>
      <c r="L42" s="7827"/>
      <c r="M42" s="425">
        <f>E42+G42+K42</f>
        <v>6604.1</v>
      </c>
      <c r="N42" s="7823"/>
      <c r="O42" s="181">
        <v>4989.7</v>
      </c>
      <c r="P42" s="7815"/>
      <c r="Q42" s="369">
        <f>+M42+O42</f>
        <v>11593.8</v>
      </c>
      <c r="R42" s="7823"/>
      <c r="S42" s="181">
        <v>2454.9</v>
      </c>
      <c r="T42" s="7815"/>
      <c r="U42" s="369">
        <f>+Q42+S42</f>
        <v>14048.699999999999</v>
      </c>
      <c r="V42" s="7823"/>
      <c r="W42" s="181">
        <v>387.8</v>
      </c>
      <c r="X42" s="7827"/>
      <c r="Y42" s="427">
        <f t="shared" ref="Y42" si="121">+O42+S42+W42</f>
        <v>7832.4000000000005</v>
      </c>
      <c r="Z42" s="7811"/>
      <c r="AA42" s="507">
        <f>M42+Y42</f>
        <v>14436.5</v>
      </c>
      <c r="AB42" s="7823"/>
      <c r="AC42" s="181">
        <v>820.2</v>
      </c>
      <c r="AD42" s="7815"/>
      <c r="AE42" s="369">
        <f>+AA42+AC42</f>
        <v>15256.7</v>
      </c>
      <c r="AF42" s="7823"/>
      <c r="AG42" s="181">
        <v>0</v>
      </c>
      <c r="AH42" s="7815"/>
      <c r="AI42" s="369">
        <f>+AE42+AG42</f>
        <v>15256.7</v>
      </c>
      <c r="AJ42" s="7823"/>
      <c r="AK42" s="181">
        <v>8279.7000000000007</v>
      </c>
      <c r="AL42" s="7827"/>
      <c r="AM42" s="427">
        <f t="shared" ref="AM42" si="122">+AC42+AG42+AK42</f>
        <v>9099.9000000000015</v>
      </c>
      <c r="AN42" s="7815"/>
      <c r="AO42" s="369">
        <f>+AI42+AK42</f>
        <v>23536.400000000001</v>
      </c>
      <c r="AP42" s="7823"/>
      <c r="AQ42" s="181">
        <v>8910.6</v>
      </c>
      <c r="AR42" s="7815"/>
      <c r="AS42" s="369">
        <f>+AO42+AQ42</f>
        <v>32447</v>
      </c>
      <c r="AT42" s="7823"/>
      <c r="AU42" s="181">
        <v>5229.1000000000004</v>
      </c>
      <c r="AV42" s="7815"/>
      <c r="AW42" s="369">
        <f>+AS42+AU42</f>
        <v>37676.1</v>
      </c>
      <c r="AX42" s="7823"/>
      <c r="AY42" s="181">
        <v>3884.9</v>
      </c>
      <c r="AZ42" s="7827"/>
      <c r="BA42" s="427">
        <f t="shared" ref="BA42" si="123">+AQ42+AU42+AY42</f>
        <v>18024.600000000002</v>
      </c>
      <c r="BB42" s="7811"/>
      <c r="BC42" s="715">
        <f t="shared" ref="BC42" si="124">+AM42+BA42</f>
        <v>27124.500000000004</v>
      </c>
      <c r="BD42" s="7815"/>
      <c r="BE42" s="369">
        <f>+AW42+AY42</f>
        <v>41561</v>
      </c>
      <c r="BF42" s="26"/>
      <c r="BG42" s="26"/>
      <c r="BH42" s="26"/>
      <c r="BI42" s="26"/>
      <c r="BJ42" s="26"/>
    </row>
    <row r="43" spans="1:62" ht="15.75" thickBot="1" x14ac:dyDescent="0.3">
      <c r="B43" s="7838"/>
      <c r="C43" s="20" t="s">
        <v>381</v>
      </c>
      <c r="D43" s="7824"/>
      <c r="E43" s="681">
        <f>+E42/E$3/24</f>
        <v>0.2290277777777778</v>
      </c>
      <c r="F43" s="7824"/>
      <c r="G43" s="681">
        <f>+G42/G$3/24</f>
        <v>4.1958333333333329</v>
      </c>
      <c r="H43" s="7815"/>
      <c r="I43" s="417">
        <f>+I42/I$3/24</f>
        <v>2.2449453551912568</v>
      </c>
      <c r="J43" s="7824"/>
      <c r="K43" s="681">
        <f>+K42/K$3/24</f>
        <v>4.6076388888888884</v>
      </c>
      <c r="L43" s="7827"/>
      <c r="M43" s="426">
        <f>+M42/M$3/24</f>
        <v>3.0238553113553119</v>
      </c>
      <c r="N43" s="7824"/>
      <c r="O43" s="681">
        <f>+O42/O$3/24</f>
        <v>6.7065860215053759</v>
      </c>
      <c r="P43" s="7815"/>
      <c r="Q43" s="417">
        <f>+Q42/Q$3/24</f>
        <v>3.9596311475409833</v>
      </c>
      <c r="R43" s="7824"/>
      <c r="S43" s="681">
        <f>+S42/S$3/24</f>
        <v>3.2995967741935481</v>
      </c>
      <c r="T43" s="7815"/>
      <c r="U43" s="417">
        <f>+U42/U$3/24</f>
        <v>3.825898692810457</v>
      </c>
      <c r="V43" s="7824"/>
      <c r="W43" s="681">
        <f>+W42/W$3/24</f>
        <v>0.53861111111111115</v>
      </c>
      <c r="X43" s="7827"/>
      <c r="Y43" s="426">
        <f>+Y42/Y$3/24</f>
        <v>3.5472826086956526</v>
      </c>
      <c r="Z43" s="7811"/>
      <c r="AA43" s="508">
        <f>+AA42/AA$3/24</f>
        <v>3.2869990892531877</v>
      </c>
      <c r="AB43" s="7824"/>
      <c r="AC43" s="681">
        <f>+AC42/AC$3/24</f>
        <v>1.1024193548387098</v>
      </c>
      <c r="AD43" s="7815"/>
      <c r="AE43" s="417">
        <f>+AE42/AE$3/24</f>
        <v>2.9705412772585671</v>
      </c>
      <c r="AF43" s="7824"/>
      <c r="AG43" s="681">
        <f>+AG42/AG$3/24</f>
        <v>0</v>
      </c>
      <c r="AH43" s="7815"/>
      <c r="AI43" s="417">
        <f>+AI42/AI$3/24</f>
        <v>2.605310792349727</v>
      </c>
      <c r="AJ43" s="7824"/>
      <c r="AK43" s="681">
        <f>+AK42/AK$3/24</f>
        <v>11.128629032258067</v>
      </c>
      <c r="AL43" s="7827"/>
      <c r="AM43" s="426">
        <f>+AM42/AM$3/24</f>
        <v>4.1213315217391306</v>
      </c>
      <c r="AN43" s="7815"/>
      <c r="AO43" s="417">
        <f>+AO42/AO$3/24</f>
        <v>3.5661212121212125</v>
      </c>
      <c r="AP43" s="7824"/>
      <c r="AQ43" s="681">
        <f>+AQ42/AQ$3/24</f>
        <v>11.976612903225806</v>
      </c>
      <c r="AR43" s="7815"/>
      <c r="AS43" s="417">
        <f>+AS42/AS$3/24</f>
        <v>4.4181644880174291</v>
      </c>
      <c r="AT43" s="7824"/>
      <c r="AU43" s="681">
        <f>+AU42/AU$3/24</f>
        <v>7.78139880952381</v>
      </c>
      <c r="AV43" s="7815"/>
      <c r="AW43" s="417">
        <f>+AW42/AW$3/24</f>
        <v>4.7001122754491016</v>
      </c>
      <c r="AX43" s="7824"/>
      <c r="AY43" s="681">
        <f>+AY42/AY$3/24</f>
        <v>5.2216397849462366</v>
      </c>
      <c r="AZ43" s="7827"/>
      <c r="BA43" s="426">
        <f>+BA42/BA$3/24</f>
        <v>8.3447222222222237</v>
      </c>
      <c r="BB43" s="7811"/>
      <c r="BC43" s="508">
        <f>+BC42/BC$3/24</f>
        <v>6.2098214285714297</v>
      </c>
      <c r="BD43" s="7815"/>
      <c r="BE43" s="417">
        <f>+BE42/BE$3/24</f>
        <v>4.7444063926940645</v>
      </c>
      <c r="BF43" s="26"/>
      <c r="BG43" s="26"/>
      <c r="BH43" s="26"/>
      <c r="BI43" s="26"/>
      <c r="BJ43" s="26"/>
    </row>
    <row r="44" spans="1:62" ht="18.75" x14ac:dyDescent="0.25">
      <c r="B44" s="7843" t="s">
        <v>459</v>
      </c>
      <c r="C44" s="35" t="s">
        <v>393</v>
      </c>
      <c r="D44" s="965">
        <f>+D45*D3*24</f>
        <v>23630.129918861181</v>
      </c>
      <c r="E44" s="409">
        <f>+E38+E40+E42</f>
        <v>19381.200000000004</v>
      </c>
      <c r="F44" s="965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5">
        <f>+J45*J3*24</f>
        <v>26537.666819774713</v>
      </c>
      <c r="K44" s="409">
        <f>+K38+K40+K42</f>
        <v>20639.599999999999</v>
      </c>
      <c r="L44" s="697">
        <f>D44+F44+J44</f>
        <v>77118.075544284948</v>
      </c>
      <c r="M44" s="428">
        <f>M38+M40+M42</f>
        <v>63831.5</v>
      </c>
      <c r="N44" s="965">
        <f>+N45*N3*24</f>
        <v>20980.369009192636</v>
      </c>
      <c r="O44" s="409">
        <f>+O38+O40+O42</f>
        <v>23200.600000000002</v>
      </c>
      <c r="P44" s="674">
        <f>+L44+N44</f>
        <v>98098.444553477588</v>
      </c>
      <c r="Q44" s="418">
        <f>+M44+O44</f>
        <v>87032.1</v>
      </c>
      <c r="R44" s="965">
        <f>+R45*R3*24</f>
        <v>28786.458536263199</v>
      </c>
      <c r="S44" s="409">
        <f>+S38+S40+S42</f>
        <v>22667</v>
      </c>
      <c r="T44" s="674">
        <f>+P44+R44</f>
        <v>126884.90308974078</v>
      </c>
      <c r="U44" s="418">
        <f>+Q44+S44</f>
        <v>109699.1</v>
      </c>
      <c r="V44" s="965">
        <f>+V45*V3*24</f>
        <v>27393.193780436464</v>
      </c>
      <c r="W44" s="409">
        <f>+W38+W40+W42</f>
        <v>19804.8</v>
      </c>
      <c r="X44" s="697">
        <f t="shared" ref="X44" si="125">+N44+R44+V44</f>
        <v>77160.021325892303</v>
      </c>
      <c r="Y44" s="428">
        <f>Y38+Y40+Y42</f>
        <v>65672.399999999994</v>
      </c>
      <c r="Z44" s="966">
        <f>L44+X44</f>
        <v>154278.09687017725</v>
      </c>
      <c r="AA44" s="510">
        <f>M44+Y44</f>
        <v>129503.9</v>
      </c>
      <c r="AB44" s="965">
        <f>+AB45*AB3*24</f>
        <v>29544.810663188662</v>
      </c>
      <c r="AC44" s="409">
        <f>+AC38+AC40+AC42</f>
        <v>20800.3</v>
      </c>
      <c r="AD44" s="674">
        <f>+Z44+AB44</f>
        <v>183822.90753336591</v>
      </c>
      <c r="AE44" s="418">
        <f>+AA44+AC44</f>
        <v>150304.19999999998</v>
      </c>
      <c r="AF44" s="965">
        <f>+AF45*AF3*24</f>
        <v>28684.29294395844</v>
      </c>
      <c r="AG44" s="409">
        <f>+AG38+AG40+AG42</f>
        <v>10880.2</v>
      </c>
      <c r="AH44" s="674">
        <f>+AD44+AF44</f>
        <v>212507.20047732437</v>
      </c>
      <c r="AI44" s="418">
        <f>+AE44+AG44</f>
        <v>161184.4</v>
      </c>
      <c r="AJ44" s="965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242296.16850308279</v>
      </c>
      <c r="AO44" s="418">
        <f>+AI44+AK44</f>
        <v>188092.19999999998</v>
      </c>
      <c r="AP44" s="965">
        <f>+AP45*AP3*24</f>
        <v>29806.632587161919</v>
      </c>
      <c r="AQ44" s="409">
        <f>+AQ38+AQ40+AQ42</f>
        <v>24901.4</v>
      </c>
      <c r="AR44" s="674">
        <f>+AN44+AP44</f>
        <v>272102.80109024473</v>
      </c>
      <c r="AS44" s="418">
        <f>+AO44+AQ44</f>
        <v>212993.59999999998</v>
      </c>
      <c r="AT44" s="965">
        <f>+AT45*AT3*24</f>
        <v>27089.372947786858</v>
      </c>
      <c r="AU44" s="409">
        <f>+AU38+AU40+AU42</f>
        <v>21925.699999999997</v>
      </c>
      <c r="AV44" s="674">
        <f>+AR44+AT44</f>
        <v>299192.1740380316</v>
      </c>
      <c r="AW44" s="418">
        <f>+AS44+AU44</f>
        <v>234919.3</v>
      </c>
      <c r="AX44" s="965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6">
        <f>AL44+AZ44</f>
        <v>174517.35701805982</v>
      </c>
      <c r="BC44" s="510">
        <f>AM44+BA44</f>
        <v>127983.5</v>
      </c>
      <c r="BD44" s="674">
        <f>+AV44+AX44</f>
        <v>328795.45388823713</v>
      </c>
      <c r="BE44" s="418">
        <f>+AW44+AY44</f>
        <v>257487.4</v>
      </c>
      <c r="BF44" s="26"/>
      <c r="BG44" s="26"/>
      <c r="BH44" s="26"/>
      <c r="BI44" s="26"/>
      <c r="BJ44" s="26"/>
    </row>
    <row r="45" spans="1:62" ht="19.5" thickBot="1" x14ac:dyDescent="0.3">
      <c r="B45" s="7844"/>
      <c r="C45" s="21" t="s">
        <v>381</v>
      </c>
      <c r="D45" s="969">
        <v>32.819624887307199</v>
      </c>
      <c r="E45" s="408">
        <f>+E44/E$3/24</f>
        <v>26.91833333333334</v>
      </c>
      <c r="F45" s="969">
        <v>36.223493018345501</v>
      </c>
      <c r="G45" s="408">
        <f>+G44/G$3/24</f>
        <v>32.003629032258068</v>
      </c>
      <c r="H45" s="967">
        <f>+H44/(H3*24)</f>
        <v>34.549459511277476</v>
      </c>
      <c r="I45" s="419">
        <f>+I44/I$3/24</f>
        <v>29.502663934426238</v>
      </c>
      <c r="J45" s="969">
        <v>36.857870583020436</v>
      </c>
      <c r="K45" s="408">
        <f>+K44/K$3/24</f>
        <v>28.666111111111107</v>
      </c>
      <c r="L45" s="968">
        <f>+L44/(L3*24)</f>
        <v>35.310474150313624</v>
      </c>
      <c r="M45" s="429">
        <f>+M44/M$3/24</f>
        <v>29.226877289377288</v>
      </c>
      <c r="N45" s="969">
        <v>28.199420711280428</v>
      </c>
      <c r="O45" s="408">
        <f>+O44/O$3/24</f>
        <v>31.183602150537638</v>
      </c>
      <c r="P45" s="967">
        <f>+P44/(P3*24)</f>
        <v>33.50356712891994</v>
      </c>
      <c r="Q45" s="419">
        <f>+Q44/Q$3/24</f>
        <v>29.724077868852461</v>
      </c>
      <c r="R45" s="969">
        <v>38.69147652723548</v>
      </c>
      <c r="S45" s="408">
        <f>+S44/S$3/24</f>
        <v>30.466397849462368</v>
      </c>
      <c r="T45" s="967">
        <f>+T44/(T3*24)</f>
        <v>34.554712170408706</v>
      </c>
      <c r="U45" s="419">
        <f>+U44/U$3/24</f>
        <v>29.874482570806105</v>
      </c>
      <c r="V45" s="969">
        <v>38.046102472828423</v>
      </c>
      <c r="W45" s="408">
        <f>+W44/W$3/24</f>
        <v>27.506666666666664</v>
      </c>
      <c r="X45" s="968">
        <f>+X44/(X3*24)</f>
        <v>34.945661832378761</v>
      </c>
      <c r="Y45" s="429">
        <f>+Y44/(Y3*24)</f>
        <v>29.742934782608693</v>
      </c>
      <c r="Z45" s="970">
        <f>+Z44/(Z3*24)</f>
        <v>35.127071236379159</v>
      </c>
      <c r="AA45" s="511">
        <f>+AA44/AA$3/24</f>
        <v>29.486316029143897</v>
      </c>
      <c r="AB45" s="969">
        <v>39.710767020414863</v>
      </c>
      <c r="AC45" s="408">
        <f>+AC44/AC$3/24</f>
        <v>27.957392473118279</v>
      </c>
      <c r="AD45" s="967">
        <f>+AD44/(AD3*24)</f>
        <v>35.791064550889004</v>
      </c>
      <c r="AE45" s="419">
        <f>+AE44/AE$3/24</f>
        <v>29.264836448598128</v>
      </c>
      <c r="AF45" s="969">
        <v>39.83929575549783</v>
      </c>
      <c r="AG45" s="408">
        <f>+AG44/AG$3/24</f>
        <v>15.111388888888889</v>
      </c>
      <c r="AH45" s="967">
        <f>+AH44/(AH3*24)</f>
        <v>36.288797895717956</v>
      </c>
      <c r="AI45" s="419">
        <f>+AI44/AI$3/24</f>
        <v>27.524658469945354</v>
      </c>
      <c r="AJ45" s="969">
        <v>40.038935518492494</v>
      </c>
      <c r="AK45" s="408">
        <f>+AK44/AK$3/24</f>
        <v>36.166397849462363</v>
      </c>
      <c r="AL45" s="968">
        <f>+AL44/(AL3*24)</f>
        <v>39.863257080120249</v>
      </c>
      <c r="AM45" s="429">
        <f>+AM44/(AM3*24)</f>
        <v>26.534556159420291</v>
      </c>
      <c r="AN45" s="967">
        <f>+AN44/(AN3*24)</f>
        <v>36.711540682285275</v>
      </c>
      <c r="AO45" s="419">
        <f>+AO44/AO$3/24</f>
        <v>28.49881818181818</v>
      </c>
      <c r="AP45" s="969">
        <v>40.06267820855097</v>
      </c>
      <c r="AQ45" s="408">
        <f>+AQ44/AQ$3/24</f>
        <v>33.469623655913985</v>
      </c>
      <c r="AR45" s="967">
        <f>+AR44/(AR3*24)</f>
        <v>37.051035006841602</v>
      </c>
      <c r="AS45" s="419">
        <f>+AS44/AS$3/24</f>
        <v>29.002396514161216</v>
      </c>
      <c r="AT45" s="969">
        <v>40.311566886587585</v>
      </c>
      <c r="AU45" s="408">
        <f>+AU44/AU$3/24</f>
        <v>32.627529761904761</v>
      </c>
      <c r="AV45" s="967">
        <f>+AV44/(AV3*24)</f>
        <v>37.32437300873648</v>
      </c>
      <c r="AW45" s="3211">
        <f>+AW44/AW$3/24</f>
        <v>29.306299900199601</v>
      </c>
      <c r="AX45" s="969">
        <v>39.789354637373016</v>
      </c>
      <c r="AY45" s="408">
        <f>+AY44/AY$3/24</f>
        <v>30.33346774193549</v>
      </c>
      <c r="AZ45" s="968">
        <f>+AZ44/(AZ3*24)</f>
        <v>40.045965456089952</v>
      </c>
      <c r="BA45" s="429">
        <f>+BA44/(BA3*24)</f>
        <v>32.127407407407404</v>
      </c>
      <c r="BB45" s="970">
        <f>+BB44/(BB3*24)</f>
        <v>39.953607375929444</v>
      </c>
      <c r="BC45" s="511">
        <f>+BC44/BC$3/24</f>
        <v>29.300251831501829</v>
      </c>
      <c r="BD45" s="6517">
        <f>+BD44/(BD3*24)</f>
        <v>37.533727612812456</v>
      </c>
      <c r="BE45" s="3211">
        <f>+BE44/BE$3/24</f>
        <v>29.39353881278539</v>
      </c>
      <c r="BF45" s="26"/>
      <c r="BG45" s="26"/>
      <c r="BH45" s="26"/>
      <c r="BI45" s="26"/>
      <c r="BJ45" s="26"/>
    </row>
    <row r="46" spans="1:62" ht="15" customHeight="1" x14ac:dyDescent="0.25">
      <c r="B46" s="7842" t="s">
        <v>397</v>
      </c>
      <c r="C46" s="29" t="s">
        <v>393</v>
      </c>
      <c r="D46" s="971">
        <f>+D47*D3*24</f>
        <v>2400</v>
      </c>
      <c r="E46" s="410">
        <v>0</v>
      </c>
      <c r="F46" s="971">
        <f>+F47*F3*24</f>
        <v>2480</v>
      </c>
      <c r="G46" s="410">
        <v>1.8</v>
      </c>
      <c r="H46" s="761">
        <f>+D46+F46</f>
        <v>4880</v>
      </c>
      <c r="I46" s="369">
        <f>+E46+G46</f>
        <v>1.8</v>
      </c>
      <c r="J46" s="971">
        <f>+J47*J3*24</f>
        <v>0</v>
      </c>
      <c r="K46" s="410">
        <v>0</v>
      </c>
      <c r="L46" s="762">
        <f>+H46+J46</f>
        <v>4880</v>
      </c>
      <c r="M46" s="427">
        <f>+I46+K46</f>
        <v>1.8</v>
      </c>
      <c r="N46" s="971">
        <f>+N47*N3*24</f>
        <v>0</v>
      </c>
      <c r="O46" s="410">
        <v>1.2</v>
      </c>
      <c r="P46" s="761">
        <f>+L46+N46</f>
        <v>4880</v>
      </c>
      <c r="Q46" s="369">
        <f>+M46+O46</f>
        <v>3</v>
      </c>
      <c r="R46" s="971">
        <f>+R47*R3*24</f>
        <v>0</v>
      </c>
      <c r="S46" s="410">
        <v>0</v>
      </c>
      <c r="T46" s="761">
        <f>+P46+R46</f>
        <v>4880</v>
      </c>
      <c r="U46" s="369">
        <f>+Q46+S46</f>
        <v>3</v>
      </c>
      <c r="V46" s="971">
        <f>+V47*V3*24</f>
        <v>0</v>
      </c>
      <c r="W46" s="410">
        <v>0</v>
      </c>
      <c r="X46" s="762">
        <f t="shared" ref="X46" si="128">+N46+R46+V46</f>
        <v>0</v>
      </c>
      <c r="Y46" s="427">
        <f t="shared" ref="Y46" si="129">+O46+S46+W46</f>
        <v>1.2</v>
      </c>
      <c r="Z46" s="764">
        <f>L46+X46</f>
        <v>4880</v>
      </c>
      <c r="AA46" s="509">
        <f>M46+Y46</f>
        <v>3</v>
      </c>
      <c r="AB46" s="971">
        <f>+AB47*AB3*24</f>
        <v>0</v>
      </c>
      <c r="AC46" s="410">
        <v>0</v>
      </c>
      <c r="AD46" s="761">
        <f>+Z46+AB46</f>
        <v>4880</v>
      </c>
      <c r="AE46" s="369">
        <f>+AA46+AC46</f>
        <v>3</v>
      </c>
      <c r="AF46" s="971">
        <f>+AF47*AF3*24</f>
        <v>0</v>
      </c>
      <c r="AG46" s="410">
        <v>0</v>
      </c>
      <c r="AH46" s="761">
        <f>+AD46+AF46</f>
        <v>4880</v>
      </c>
      <c r="AI46" s="369">
        <f>+AE46+AG46</f>
        <v>3</v>
      </c>
      <c r="AJ46" s="971">
        <f>+AJ47*AJ3*24</f>
        <v>0</v>
      </c>
      <c r="AK46" s="410">
        <v>0</v>
      </c>
      <c r="AL46" s="762">
        <f t="shared" ref="AL46" si="130">+AB46+AF46+AJ46</f>
        <v>0</v>
      </c>
      <c r="AM46" s="427">
        <f t="shared" ref="AM46" si="131">+AC46+AG46+AK46</f>
        <v>0</v>
      </c>
      <c r="AN46" s="761">
        <f>+AH46+AJ46</f>
        <v>4880</v>
      </c>
      <c r="AO46" s="369">
        <f>+AI46+AK46</f>
        <v>3</v>
      </c>
      <c r="AP46" s="971">
        <f>+AP47*AP3*24</f>
        <v>0</v>
      </c>
      <c r="AQ46" s="410">
        <v>0</v>
      </c>
      <c r="AR46" s="761">
        <f>+AN46+AP46</f>
        <v>4880</v>
      </c>
      <c r="AS46" s="369">
        <f>+AO46+AQ46</f>
        <v>3</v>
      </c>
      <c r="AT46" s="971">
        <f>+AT47*AT3*24</f>
        <v>0</v>
      </c>
      <c r="AU46" s="410">
        <v>0</v>
      </c>
      <c r="AV46" s="761">
        <f>+AR46+AT46</f>
        <v>4880</v>
      </c>
      <c r="AW46" s="369">
        <f>+AS46+AU46</f>
        <v>3</v>
      </c>
      <c r="AX46" s="971">
        <f>+AX47*AX3*24</f>
        <v>0</v>
      </c>
      <c r="AY46" s="410">
        <v>0</v>
      </c>
      <c r="AZ46" s="762">
        <f t="shared" ref="AZ46" si="132">+AP46+AT46+AX46</f>
        <v>0</v>
      </c>
      <c r="BA46" s="427">
        <f t="shared" ref="BA46" si="133">+AQ46+AU46+AY46</f>
        <v>0</v>
      </c>
      <c r="BB46" s="764">
        <f>AL46+AZ46</f>
        <v>0</v>
      </c>
      <c r="BC46" s="509">
        <f>AM46+BA46</f>
        <v>0</v>
      </c>
      <c r="BD46" s="761">
        <f>+AV46+AX46</f>
        <v>4880</v>
      </c>
      <c r="BE46" s="369">
        <f>+AW46+AY46</f>
        <v>3</v>
      </c>
      <c r="BF46" s="26"/>
      <c r="BG46" s="26"/>
      <c r="BH46" s="26"/>
      <c r="BI46" s="26"/>
      <c r="BJ46" s="26"/>
    </row>
    <row r="47" spans="1:62" ht="15" customHeight="1" thickBot="1" x14ac:dyDescent="0.3">
      <c r="B47" s="7837"/>
      <c r="C47" s="19" t="s">
        <v>381</v>
      </c>
      <c r="D47" s="972">
        <v>3.3333333333333335</v>
      </c>
      <c r="E47" s="682">
        <f>+E46/E$3/24</f>
        <v>0</v>
      </c>
      <c r="F47" s="972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2">
        <v>0</v>
      </c>
      <c r="K47" s="682">
        <f>+K46/K$3/24</f>
        <v>0</v>
      </c>
      <c r="L47" s="698">
        <f>+L46/(L$3*24)</f>
        <v>2.2344322344322345</v>
      </c>
      <c r="M47" s="430">
        <f>+M46/M$3/24</f>
        <v>8.2417582417582418E-4</v>
      </c>
      <c r="N47" s="972">
        <v>0</v>
      </c>
      <c r="O47" s="682">
        <f>+O46/O$3/24</f>
        <v>1.6129032258064516E-3</v>
      </c>
      <c r="P47" s="676">
        <f>+P46/(P$3*24)</f>
        <v>1.6666666666666667</v>
      </c>
      <c r="Q47" s="420">
        <f>+Q46/Q$3/24</f>
        <v>1.0245901639344263E-3</v>
      </c>
      <c r="R47" s="972">
        <v>0</v>
      </c>
      <c r="S47" s="682">
        <f>+S46/S$3/24</f>
        <v>0</v>
      </c>
      <c r="T47" s="676">
        <f>+T46/(T$3*24)</f>
        <v>1.3289760348583879</v>
      </c>
      <c r="U47" s="420">
        <f>+U46/U$3/24</f>
        <v>8.1699346405228761E-4</v>
      </c>
      <c r="V47" s="972">
        <v>0</v>
      </c>
      <c r="W47" s="682">
        <f>+W46/W$3/24</f>
        <v>0</v>
      </c>
      <c r="X47" s="698">
        <f>+X46/(X$3*24)</f>
        <v>0</v>
      </c>
      <c r="Y47" s="430">
        <f>+Y46/Y$3/24</f>
        <v>5.4347826086956522E-4</v>
      </c>
      <c r="Z47" s="973">
        <f>+Z46/(Z$3*24)</f>
        <v>1.1111111111111112</v>
      </c>
      <c r="AA47" s="512">
        <f>+AA46/AA$3/24</f>
        <v>6.8306010928961749E-4</v>
      </c>
      <c r="AB47" s="972">
        <v>0</v>
      </c>
      <c r="AC47" s="682">
        <f>+AC46/AC$3/24</f>
        <v>0</v>
      </c>
      <c r="AD47" s="676">
        <f>+AD46/(AD$3*24)</f>
        <v>0.95015576323987538</v>
      </c>
      <c r="AE47" s="420">
        <f>+AE46/AE$3/24</f>
        <v>5.8411214953271024E-4</v>
      </c>
      <c r="AF47" s="972">
        <v>0</v>
      </c>
      <c r="AG47" s="682">
        <f>+AG46/AG$3/24</f>
        <v>0</v>
      </c>
      <c r="AH47" s="676">
        <f>+AH46/(AH$3*24)</f>
        <v>0.83333333333333337</v>
      </c>
      <c r="AI47" s="420">
        <f>+AI46/AI$3/24</f>
        <v>5.1229508196721314E-4</v>
      </c>
      <c r="AJ47" s="972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0.73939393939393938</v>
      </c>
      <c r="AO47" s="420">
        <f>+AO46/AO$3/24</f>
        <v>4.545454545454546E-4</v>
      </c>
      <c r="AP47" s="972">
        <v>0</v>
      </c>
      <c r="AQ47" s="682">
        <f>+AQ46/AQ$3/24</f>
        <v>0</v>
      </c>
      <c r="AR47" s="676">
        <f>+AR46/(AR$3*24)</f>
        <v>0.66448801742919394</v>
      </c>
      <c r="AS47" s="420">
        <f>+AS46/AS$3/24</f>
        <v>4.084967320261438E-4</v>
      </c>
      <c r="AT47" s="972">
        <v>0</v>
      </c>
      <c r="AU47" s="682">
        <f>+AU46/AU$3/24</f>
        <v>0</v>
      </c>
      <c r="AV47" s="676">
        <f>+AV46/(AV$3*24)</f>
        <v>0.60878243512974051</v>
      </c>
      <c r="AW47" s="420">
        <f>+AW46/AW$3/24</f>
        <v>3.7425149700598799E-4</v>
      </c>
      <c r="AX47" s="972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3">
        <f>+BB46/(BB$3*24)</f>
        <v>0</v>
      </c>
      <c r="BC47" s="512">
        <f>+BC46/BC$3/24</f>
        <v>0</v>
      </c>
      <c r="BD47" s="676">
        <f>+BD46/(BD$3*24)</f>
        <v>0.55707762557077622</v>
      </c>
      <c r="BE47" s="420">
        <f>+BE46/BE$3/24</f>
        <v>3.4246575342465748E-4</v>
      </c>
      <c r="BF47" s="26"/>
      <c r="BG47" s="26"/>
      <c r="BH47" s="26"/>
      <c r="BI47" s="26"/>
      <c r="BJ47" s="26"/>
    </row>
    <row r="48" spans="1:62" x14ac:dyDescent="0.25">
      <c r="B48" s="7837" t="s">
        <v>398</v>
      </c>
      <c r="C48" s="18" t="s">
        <v>393</v>
      </c>
      <c r="D48" s="974">
        <f>+D49*D3*24</f>
        <v>10061.333333333332</v>
      </c>
      <c r="E48" s="254">
        <v>9038</v>
      </c>
      <c r="F48" s="974">
        <f>+F49*F3*24</f>
        <v>10414.444444444445</v>
      </c>
      <c r="G48" s="254">
        <v>10878.5</v>
      </c>
      <c r="H48" s="761">
        <f>+D48+F48</f>
        <v>20475.777777777777</v>
      </c>
      <c r="I48" s="369">
        <f>+E48+G48</f>
        <v>19916.5</v>
      </c>
      <c r="J48" s="974">
        <f>+J49*J3*24</f>
        <v>6805.5555555555547</v>
      </c>
      <c r="K48" s="254">
        <v>6885.2</v>
      </c>
      <c r="L48" s="762">
        <f>+H48+J48</f>
        <v>27281.333333333332</v>
      </c>
      <c r="M48" s="425">
        <f>E48+G48+K48</f>
        <v>26801.7</v>
      </c>
      <c r="N48" s="974">
        <f>+N49*N3*24</f>
        <v>3384.6296296296291</v>
      </c>
      <c r="O48" s="254">
        <v>10273</v>
      </c>
      <c r="P48" s="761">
        <f>+L48+N48</f>
        <v>30665.96296296296</v>
      </c>
      <c r="Q48" s="369">
        <f>+M48+O48</f>
        <v>37074.699999999997</v>
      </c>
      <c r="R48" s="974">
        <f>+R49*R3*24</f>
        <v>9644.4444444444453</v>
      </c>
      <c r="S48" s="254">
        <v>10079.6</v>
      </c>
      <c r="T48" s="761">
        <f>+P48+R48</f>
        <v>40310.407407407401</v>
      </c>
      <c r="U48" s="369">
        <f>+Q48+S48</f>
        <v>47154.299999999996</v>
      </c>
      <c r="V48" s="974">
        <f>+V49*V3*24</f>
        <v>9242.5925925925931</v>
      </c>
      <c r="W48" s="254">
        <v>10058.9</v>
      </c>
      <c r="X48" s="762">
        <f t="shared" ref="X48:Y48" si="134">+N48+R48+V48</f>
        <v>22271.666666666668</v>
      </c>
      <c r="Y48" s="427">
        <f t="shared" si="134"/>
        <v>30411.5</v>
      </c>
      <c r="Z48" s="764">
        <f>L48+X48</f>
        <v>49553</v>
      </c>
      <c r="AA48" s="509">
        <f>M48+Y48</f>
        <v>57213.2</v>
      </c>
      <c r="AB48" s="974">
        <f>+AB49*AB3*24</f>
        <v>10046.296296296297</v>
      </c>
      <c r="AC48" s="254">
        <v>9678</v>
      </c>
      <c r="AD48" s="761">
        <f>+Z48+AB48</f>
        <v>59599.296296296299</v>
      </c>
      <c r="AE48" s="369">
        <f>+AA48+AC48</f>
        <v>66891.199999999997</v>
      </c>
      <c r="AF48" s="974">
        <f>+AF49*AF3*24</f>
        <v>9805.1851851851843</v>
      </c>
      <c r="AG48" s="254">
        <v>247.5</v>
      </c>
      <c r="AH48" s="761">
        <f>+AD48+AF48</f>
        <v>69404.481481481489</v>
      </c>
      <c r="AI48" s="369">
        <f>+AE48+AG48</f>
        <v>67138.7</v>
      </c>
      <c r="AJ48" s="974">
        <f>+AJ49*AJ3*24</f>
        <v>10166.851851851852</v>
      </c>
      <c r="AK48" s="254">
        <v>8937.6</v>
      </c>
      <c r="AL48" s="762">
        <f t="shared" ref="AL48" si="135">+AB48+AF48+AJ48</f>
        <v>30018.333333333336</v>
      </c>
      <c r="AM48" s="427">
        <f t="shared" ref="AM48" si="136">+AC48+AG48+AK48</f>
        <v>18863.099999999999</v>
      </c>
      <c r="AN48" s="761">
        <f>+AH48+AJ48</f>
        <v>79571.333333333343</v>
      </c>
      <c r="AO48" s="369">
        <f>+AI48+AK48</f>
        <v>76076.3</v>
      </c>
      <c r="AP48" s="974">
        <f>+AP49*AP3*24</f>
        <v>10166.851851851852</v>
      </c>
      <c r="AQ48" s="254">
        <v>10180.200000000001</v>
      </c>
      <c r="AR48" s="761">
        <f>+AN48+AP48</f>
        <v>89738.185185185197</v>
      </c>
      <c r="AS48" s="369">
        <f>+AO48+AQ48</f>
        <v>86256.5</v>
      </c>
      <c r="AT48" s="974">
        <f>+AT49*AT3*24</f>
        <v>9202.4074074074069</v>
      </c>
      <c r="AU48" s="254">
        <v>9299.5</v>
      </c>
      <c r="AV48" s="761">
        <f>+AR48+AT48</f>
        <v>98940.592592592599</v>
      </c>
      <c r="AW48" s="369">
        <f>+AS48+AU48</f>
        <v>95556</v>
      </c>
      <c r="AX48" s="974">
        <f>+AX49*AX3*24</f>
        <v>10223.111111111109</v>
      </c>
      <c r="AY48" s="254">
        <v>10889.3</v>
      </c>
      <c r="AZ48" s="762">
        <f t="shared" ref="AZ48" si="137">+AP48+AT48+AX48</f>
        <v>29592.370370370369</v>
      </c>
      <c r="BA48" s="427">
        <f t="shared" ref="BA48" si="138">+AQ48+AU48+AY48</f>
        <v>30369</v>
      </c>
      <c r="BB48" s="764">
        <f>AL48+AZ48</f>
        <v>59610.703703703708</v>
      </c>
      <c r="BC48" s="509">
        <f>AM48+BA48</f>
        <v>49232.1</v>
      </c>
      <c r="BD48" s="761">
        <f>+AV48+AX48</f>
        <v>109163.70370370371</v>
      </c>
      <c r="BE48" s="369">
        <f>+AW48+AY48</f>
        <v>106445.3</v>
      </c>
      <c r="BF48" s="26"/>
      <c r="BG48" s="26"/>
      <c r="BH48" s="26"/>
      <c r="BI48" s="26"/>
      <c r="BJ48" s="26"/>
    </row>
    <row r="49" spans="1:62" ht="15.75" thickBot="1" x14ac:dyDescent="0.3">
      <c r="B49" s="7838"/>
      <c r="C49" s="20" t="s">
        <v>381</v>
      </c>
      <c r="D49" s="975">
        <v>13.974074074074073</v>
      </c>
      <c r="E49" s="682">
        <f>+E48/E$3/24</f>
        <v>12.552777777777777</v>
      </c>
      <c r="F49" s="975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5">
        <v>9.4521604938271597</v>
      </c>
      <c r="K49" s="682">
        <f>+K48/K$3/24</f>
        <v>9.5627777777777769</v>
      </c>
      <c r="L49" s="698">
        <f>+L48/(L$3*24)</f>
        <v>12.491452991452991</v>
      </c>
      <c r="M49" s="430">
        <f>+M48/M$3/24</f>
        <v>12.271840659340659</v>
      </c>
      <c r="N49" s="975">
        <v>4.5492333731581036</v>
      </c>
      <c r="O49" s="682">
        <f>+O48/O$3/24</f>
        <v>13.80779569892473</v>
      </c>
      <c r="P49" s="676">
        <f>+P48/(P$3*24)</f>
        <v>10.473348006476421</v>
      </c>
      <c r="Q49" s="420">
        <f>+Q48/Q$3/24</f>
        <v>12.66212431693989</v>
      </c>
      <c r="R49" s="975">
        <v>12.962962962962962</v>
      </c>
      <c r="S49" s="682">
        <f>+S48/S$3/24</f>
        <v>13.547849462365592</v>
      </c>
      <c r="T49" s="676">
        <f>+T48/(T$3*24)</f>
        <v>10.977779795045588</v>
      </c>
      <c r="U49" s="420">
        <f>+U48/U$3/24</f>
        <v>12.84158496732026</v>
      </c>
      <c r="V49" s="975">
        <v>12.8369341563786</v>
      </c>
      <c r="W49" s="682">
        <f>+W48/W$3/24</f>
        <v>13.970694444444446</v>
      </c>
      <c r="X49" s="698">
        <f>+X48/(X$3*24)</f>
        <v>10.086805555555555</v>
      </c>
      <c r="Y49" s="430">
        <f>+Y48/Y$3/24</f>
        <v>13.773324275362318</v>
      </c>
      <c r="Z49" s="973">
        <f>+Z48/(Z$3*24)</f>
        <v>11.282559198542804</v>
      </c>
      <c r="AA49" s="512">
        <f>+AA48/AA$3/24</f>
        <v>13.026684881602913</v>
      </c>
      <c r="AB49" s="975">
        <v>13.503086419753087</v>
      </c>
      <c r="AC49" s="682">
        <f>+AC48/AC$3/24</f>
        <v>13.008064516129032</v>
      </c>
      <c r="AD49" s="676">
        <f>+AD48/(AD$3*24)</f>
        <v>11.604224356755511</v>
      </c>
      <c r="AE49" s="420">
        <f>+AE48/AE$3/24</f>
        <v>13.023987538940808</v>
      </c>
      <c r="AF49" s="975">
        <v>13.618312757201645</v>
      </c>
      <c r="AG49" s="682">
        <f>+AG48/AG$3/24</f>
        <v>0.34375</v>
      </c>
      <c r="AH49" s="676">
        <f>+AH48/(AH$3*24)</f>
        <v>11.851858176482494</v>
      </c>
      <c r="AI49" s="420">
        <f>+AI48/AI$3/24</f>
        <v>11.464941939890709</v>
      </c>
      <c r="AJ49" s="975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12.056262626262628</v>
      </c>
      <c r="AO49" s="420">
        <f>+AO48/AO$3/24</f>
        <v>11.526712121212121</v>
      </c>
      <c r="AP49" s="975">
        <v>13.665123456790123</v>
      </c>
      <c r="AQ49" s="682">
        <f>+AQ48/AQ$3/24</f>
        <v>13.683064516129035</v>
      </c>
      <c r="AR49" s="676">
        <f>+AR48/(AR$3*24)</f>
        <v>12.219251795368354</v>
      </c>
      <c r="AS49" s="420">
        <f>+AS48/AS$3/24</f>
        <v>11.745166122004356</v>
      </c>
      <c r="AT49" s="975">
        <v>13.694058641975307</v>
      </c>
      <c r="AU49" s="682">
        <f>+AU48/AU$3/24</f>
        <v>13.838541666666666</v>
      </c>
      <c r="AV49" s="676">
        <f>+AV48/(AV$3*24)</f>
        <v>12.342888297479117</v>
      </c>
      <c r="AW49" s="420">
        <f>+AW48/AW$3/24</f>
        <v>11.92065868263473</v>
      </c>
      <c r="AX49" s="975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3">
        <f>+BB48/(BB$3*24)</f>
        <v>13.647139126305794</v>
      </c>
      <c r="BC49" s="512">
        <f>+BC48/BC$3/24</f>
        <v>11.271085164835164</v>
      </c>
      <c r="BD49" s="676">
        <f>+BD48/(BD$3*24)</f>
        <v>12.461610011838323</v>
      </c>
      <c r="BE49" s="420">
        <f>+BE48/BE$3/24</f>
        <v>12.1512899543379</v>
      </c>
      <c r="BF49" s="26"/>
      <c r="BG49" s="26"/>
      <c r="BH49" s="26"/>
      <c r="BI49" s="26"/>
      <c r="BJ49" s="26"/>
    </row>
    <row r="50" spans="1:62" ht="15.75" x14ac:dyDescent="0.25">
      <c r="B50" s="7835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33343.222375330268</v>
      </c>
      <c r="K50" s="683">
        <f>+K44+K46+K48</f>
        <v>27524.799999999999</v>
      </c>
      <c r="L50" s="1601">
        <f t="shared" ref="L50:Q50" si="140">+L44+L46+L48</f>
        <v>109279.40887761828</v>
      </c>
      <c r="M50" s="1601">
        <f t="shared" si="140"/>
        <v>90635</v>
      </c>
      <c r="N50" s="606">
        <f>+N44+N46+N48</f>
        <v>24364.998638822264</v>
      </c>
      <c r="O50" s="683">
        <f>+O44+O46+O48</f>
        <v>33474.800000000003</v>
      </c>
      <c r="P50" s="606">
        <f t="shared" si="140"/>
        <v>133644.40751644055</v>
      </c>
      <c r="Q50" s="606">
        <f t="shared" si="140"/>
        <v>124109.8</v>
      </c>
      <c r="R50" s="606">
        <f>+R44+R46+R48</f>
        <v>38430.902980707644</v>
      </c>
      <c r="S50" s="683">
        <f>+S44+S46+S48</f>
        <v>32746.6</v>
      </c>
      <c r="T50" s="606">
        <f t="shared" ref="T50:U50" si="141">+T44+T46+T48</f>
        <v>172075.3104971482</v>
      </c>
      <c r="U50" s="606">
        <f t="shared" si="141"/>
        <v>156856.4</v>
      </c>
      <c r="V50" s="606">
        <f>+V44+V46+V48</f>
        <v>36635.786373029056</v>
      </c>
      <c r="W50" s="683">
        <f>+W44+W46+W48</f>
        <v>29863.699999999997</v>
      </c>
      <c r="X50" s="1601">
        <f t="shared" ref="X50:Y50" si="142">+X44+X46+X48</f>
        <v>99431.687992558975</v>
      </c>
      <c r="Y50" s="1601">
        <f t="shared" si="142"/>
        <v>96085.099999999991</v>
      </c>
      <c r="Z50" s="2465">
        <f t="shared" ref="Z50:AE50" si="143">+Z44+Z46+Z48</f>
        <v>208711.09687017725</v>
      </c>
      <c r="AA50" s="2465">
        <f t="shared" si="143"/>
        <v>186720.09999999998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248302.2038296622</v>
      </c>
      <c r="AE50" s="606">
        <f t="shared" si="143"/>
        <v>217198.39999999997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286791.68195880589</v>
      </c>
      <c r="AI50" s="606">
        <f t="shared" si="144"/>
        <v>228326.09999999998</v>
      </c>
      <c r="AJ50" s="606">
        <f>+AJ44+AJ46+AJ48</f>
        <v>39955.819877610265</v>
      </c>
      <c r="AK50" s="683">
        <f>+AK44+AK46+AK48</f>
        <v>35845.4</v>
      </c>
      <c r="AL50" s="1601">
        <f t="shared" ref="AL50:AO50" si="145">+AL44+AL46+AL48</f>
        <v>118036.40496623886</v>
      </c>
      <c r="AM50" s="1601">
        <f t="shared" si="145"/>
        <v>77451.399999999994</v>
      </c>
      <c r="AN50" s="606">
        <f t="shared" si="145"/>
        <v>326747.50183641614</v>
      </c>
      <c r="AO50" s="606">
        <f t="shared" si="145"/>
        <v>264171.5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366720.98627542995</v>
      </c>
      <c r="AS50" s="606">
        <f t="shared" si="146"/>
        <v>299253.09999999998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403012.76663062419</v>
      </c>
      <c r="AW50" s="606">
        <f t="shared" si="147"/>
        <v>330478.3</v>
      </c>
      <c r="AX50" s="606">
        <f>+AX44+AX46+AX48</f>
        <v>39826.390961316632</v>
      </c>
      <c r="AY50" s="683">
        <f>+AY44+AY46+AY48</f>
        <v>33457.4</v>
      </c>
      <c r="AZ50" s="1601">
        <f t="shared" ref="AZ50:BE50" si="148">+AZ44+AZ46+AZ48</f>
        <v>116091.65575552467</v>
      </c>
      <c r="BA50" s="1601">
        <f t="shared" si="148"/>
        <v>99764.2</v>
      </c>
      <c r="BB50" s="2465">
        <f t="shared" si="148"/>
        <v>234128.06072176353</v>
      </c>
      <c r="BC50" s="2465">
        <f t="shared" si="148"/>
        <v>177215.6</v>
      </c>
      <c r="BD50" s="606">
        <f t="shared" si="148"/>
        <v>442839.15759194084</v>
      </c>
      <c r="BE50" s="606">
        <f t="shared" si="148"/>
        <v>363935.7</v>
      </c>
      <c r="BF50" s="26"/>
      <c r="BG50" s="26"/>
      <c r="BH50" s="26"/>
      <c r="BI50" s="26"/>
      <c r="BJ50" s="26"/>
    </row>
    <row r="51" spans="1:62" ht="16.5" thickBot="1" x14ac:dyDescent="0.3">
      <c r="B51" s="7836"/>
      <c r="C51" s="412" t="s">
        <v>381</v>
      </c>
      <c r="D51" s="3775">
        <v>50.127032294714631</v>
      </c>
      <c r="E51" s="3776">
        <f>+E50/E$3/24</f>
        <v>39.471111111111121</v>
      </c>
      <c r="F51" s="3775">
        <v>53.554735551200942</v>
      </c>
      <c r="G51" s="3776">
        <f>+G50/G$3/24</f>
        <v>46.627688172043008</v>
      </c>
      <c r="H51" s="3777">
        <f t="shared" si="139"/>
        <v>51.868979851289623</v>
      </c>
      <c r="I51" s="3778">
        <f>+I50/I$3/24</f>
        <v>43.108060109289625</v>
      </c>
      <c r="J51" s="3775">
        <v>46.310031076847594</v>
      </c>
      <c r="K51" s="3776">
        <f>+K50/K$3/24</f>
        <v>38.228888888888889</v>
      </c>
      <c r="L51" s="977">
        <f>+L45+L47+L49</f>
        <v>50.036359376198845</v>
      </c>
      <c r="M51" s="431">
        <f>+M50/M$3/24</f>
        <v>41.499542124542124</v>
      </c>
      <c r="N51" s="3775">
        <v>32.748654084438535</v>
      </c>
      <c r="O51" s="3776">
        <f>+O50/O$3/24</f>
        <v>44.993010752688178</v>
      </c>
      <c r="P51" s="976">
        <f>+P45+P47+P49</f>
        <v>45.643581802063025</v>
      </c>
      <c r="Q51" s="421">
        <f>+Q50/Q$3/24</f>
        <v>42.387226775956286</v>
      </c>
      <c r="R51" s="3775">
        <v>51.654439490198442</v>
      </c>
      <c r="S51" s="3776">
        <f>+S50/S$3/24</f>
        <v>44.014247311827951</v>
      </c>
      <c r="T51" s="976">
        <f>+T45+T47+T49</f>
        <v>46.861468000312684</v>
      </c>
      <c r="U51" s="421">
        <f>+U50/U$3/24</f>
        <v>42.716884531590409</v>
      </c>
      <c r="V51" s="3775">
        <v>50.883036629207027</v>
      </c>
      <c r="W51" s="3776">
        <f>+W50/W$3/24</f>
        <v>41.477361111111108</v>
      </c>
      <c r="X51" s="977">
        <f>+X45+X47+X49</f>
        <v>45.032467387934318</v>
      </c>
      <c r="Y51" s="431">
        <f>+Y50/Y$3/24</f>
        <v>43.516802536231886</v>
      </c>
      <c r="Z51" s="978">
        <f>+Z45+Z47+Z49</f>
        <v>47.520741546033079</v>
      </c>
      <c r="AA51" s="513">
        <f>+AA50/AA$3/24</f>
        <v>42.5136839708561</v>
      </c>
      <c r="AB51" s="3775">
        <v>53.213853440167952</v>
      </c>
      <c r="AC51" s="3776">
        <f>+AC50/AC$3/24</f>
        <v>40.965456989247308</v>
      </c>
      <c r="AD51" s="976">
        <f t="shared" ref="AD51" si="149">+AD45+AD47+AD49</f>
        <v>48.34544467088439</v>
      </c>
      <c r="AE51" s="421">
        <f>+AE50/AE$3/24</f>
        <v>42.289408099688465</v>
      </c>
      <c r="AF51" s="3775">
        <v>53.457608512699473</v>
      </c>
      <c r="AG51" s="3776">
        <f>+AG50/AG$3/24</f>
        <v>15.455138888888889</v>
      </c>
      <c r="AH51" s="976">
        <f t="shared" si="144"/>
        <v>48.973989405533786</v>
      </c>
      <c r="AI51" s="421">
        <f>+AI50/AI$3/24</f>
        <v>38.990112704918026</v>
      </c>
      <c r="AJ51" s="3775">
        <v>53.704058975282621</v>
      </c>
      <c r="AK51" s="3776">
        <f>+AK50/AK$3/24</f>
        <v>48.179301075268818</v>
      </c>
      <c r="AL51" s="977">
        <f>+AL45+AL47+AL49</f>
        <v>53.458516741955997</v>
      </c>
      <c r="AM51" s="431">
        <f>+AM50/AM$3/24</f>
        <v>35.0776268115942</v>
      </c>
      <c r="AN51" s="976">
        <f t="shared" ref="AN51" si="150">+AN45+AN47+AN49</f>
        <v>49.507197247941846</v>
      </c>
      <c r="AO51" s="421">
        <f>+AO50/AO$3/24</f>
        <v>40.025984848484846</v>
      </c>
      <c r="AP51" s="3775">
        <v>53.72780166534109</v>
      </c>
      <c r="AQ51" s="3776">
        <f>+AQ50/AQ$3/24</f>
        <v>47.152688172043014</v>
      </c>
      <c r="AR51" s="976">
        <f t="shared" ref="AR51" si="151">+AR45+AR47+AR49</f>
        <v>49.934774819639145</v>
      </c>
      <c r="AS51" s="421">
        <f>+AS50/AS$3/24</f>
        <v>40.747971132897597</v>
      </c>
      <c r="AT51" s="3775">
        <v>54.005625528562888</v>
      </c>
      <c r="AU51" s="3776">
        <f>+AU50/AU$3/24</f>
        <v>46.466071428571418</v>
      </c>
      <c r="AV51" s="976">
        <f t="shared" si="147"/>
        <v>50.276043741345333</v>
      </c>
      <c r="AW51" s="421">
        <f>+AW50/AW$3/24</f>
        <v>41.227332834331335</v>
      </c>
      <c r="AX51" s="6518">
        <v>53.530095378113757</v>
      </c>
      <c r="AY51" s="3776">
        <f>+AY50/AY$3/24</f>
        <v>44.969623655913978</v>
      </c>
      <c r="AZ51" s="977">
        <f>+AZ45+AZ47+AZ49</f>
        <v>53.74613692385401</v>
      </c>
      <c r="BA51" s="431">
        <f>+BA50/BA$3/24</f>
        <v>46.187129629629624</v>
      </c>
      <c r="BB51" s="978">
        <f>+BB45+BB47+BB49</f>
        <v>53.600746502235239</v>
      </c>
      <c r="BC51" s="513">
        <f>+BC50/BC$3/24</f>
        <v>40.571336996336996</v>
      </c>
      <c r="BD51" s="976">
        <f t="shared" ref="BD51" si="152">+BD45+BD47+BD49</f>
        <v>50.552415250221557</v>
      </c>
      <c r="BE51" s="421">
        <f>+BE50/BE$3/24</f>
        <v>41.545171232876712</v>
      </c>
      <c r="BF51" s="26"/>
      <c r="BG51" s="26"/>
      <c r="BH51" s="26"/>
      <c r="BI51" s="26"/>
      <c r="BJ51" s="26"/>
    </row>
    <row r="52" spans="1:62" ht="15.75" x14ac:dyDescent="0.25">
      <c r="B52" s="3745" t="s">
        <v>399</v>
      </c>
      <c r="C52" s="216" t="s">
        <v>393</v>
      </c>
      <c r="D52" s="979">
        <f>+D53*D3*24</f>
        <v>76541.277670534197</v>
      </c>
      <c r="E52" s="411">
        <f>+'POWER DISTRIBUTION'!J10/1000</f>
        <v>73610.002999999997</v>
      </c>
      <c r="F52" s="979">
        <f>+F53*F3*24</f>
        <v>76588.212163803051</v>
      </c>
      <c r="G52" s="411">
        <f>+'POWER DISTRIBUTION'!L10/1000</f>
        <v>75383.046000000002</v>
      </c>
      <c r="H52" s="761">
        <f>+D52+F52</f>
        <v>153129.48983433726</v>
      </c>
      <c r="I52" s="422">
        <f>+E52+G52</f>
        <v>148993.049</v>
      </c>
      <c r="J52" s="979">
        <f>+J53*J3*24</f>
        <v>57739.698106848875</v>
      </c>
      <c r="K52" s="411">
        <f>+'POWER DISTRIBUTION'!P10/1000</f>
        <v>67395</v>
      </c>
      <c r="L52" s="762">
        <f>+H52+J52</f>
        <v>210869.18794118613</v>
      </c>
      <c r="M52" s="432">
        <f>E52+G52+K52</f>
        <v>216388.049</v>
      </c>
      <c r="N52" s="979">
        <f>+N53*N3*24</f>
        <v>53180.054339149814</v>
      </c>
      <c r="O52" s="411">
        <f>+'POWER DISTRIBUTION'!T10/1000</f>
        <v>77201.981</v>
      </c>
      <c r="P52" s="761">
        <f>+L52+N52</f>
        <v>264049.24228033592</v>
      </c>
      <c r="Q52" s="422">
        <f>+M52+O52</f>
        <v>293590.03000000003</v>
      </c>
      <c r="R52" s="979">
        <f>+R53*R3*24</f>
        <v>74033.266054427979</v>
      </c>
      <c r="S52" s="411">
        <f>+'POWER DISTRIBUTION'!X10/1000</f>
        <v>78025</v>
      </c>
      <c r="T52" s="761">
        <f>+P52+R52</f>
        <v>338082.50833476393</v>
      </c>
      <c r="U52" s="422">
        <f>+Q52+S52</f>
        <v>371615.03</v>
      </c>
      <c r="V52" s="979">
        <f>+V53*V3*24</f>
        <v>72093.140930779933</v>
      </c>
      <c r="W52" s="411">
        <f>+'POWER DISTRIBUTION'!AB10/1000</f>
        <v>77134.986999999994</v>
      </c>
      <c r="X52" s="762">
        <f t="shared" ref="X52:Y52" si="153">+N52+R52+V52</f>
        <v>199306.46132435772</v>
      </c>
      <c r="Y52" s="432">
        <f t="shared" si="153"/>
        <v>232361.96799999999</v>
      </c>
      <c r="Z52" s="764">
        <f>L52+X52</f>
        <v>410175.64926554385</v>
      </c>
      <c r="AA52" s="514">
        <f>M52+Y52</f>
        <v>448750.01699999999</v>
      </c>
      <c r="AB52" s="979">
        <f>+AB53*AB3*24</f>
        <v>75041.381785742269</v>
      </c>
      <c r="AC52" s="411">
        <f>+'POWER DISTRIBUTION'!AH10/1000</f>
        <v>78135.985000000001</v>
      </c>
      <c r="AD52" s="761">
        <f>+Z52+AB52</f>
        <v>485217.03105128615</v>
      </c>
      <c r="AE52" s="422">
        <f>+AA52+AC52</f>
        <v>526886.00199999998</v>
      </c>
      <c r="AF52" s="979">
        <f>+AF53*AF3*24</f>
        <v>72503.767354413954</v>
      </c>
      <c r="AG52" s="411">
        <f>+'POWER DISTRIBUTION'!AL10/1000</f>
        <v>35151.019999999997</v>
      </c>
      <c r="AH52" s="761">
        <f>+AD52+AF52</f>
        <v>557720.79840570013</v>
      </c>
      <c r="AI52" s="422">
        <f>+AE52+AG52</f>
        <v>562037.022</v>
      </c>
      <c r="AJ52" s="979">
        <f>+AJ53*AJ3*24</f>
        <v>74676.668867616972</v>
      </c>
      <c r="AK52" s="411">
        <f>+'POWER DISTRIBUTION'!AP10/1000</f>
        <v>70365.971000000005</v>
      </c>
      <c r="AL52" s="762">
        <f t="shared" ref="AL52" si="154">+AB52+AF52+AJ52</f>
        <v>222221.8180077732</v>
      </c>
      <c r="AM52" s="432">
        <f t="shared" ref="AM52" si="155">+AC52+AG52+AK52</f>
        <v>183652.97600000002</v>
      </c>
      <c r="AN52" s="761">
        <f>+AH52+AJ52</f>
        <v>632397.46727331704</v>
      </c>
      <c r="AO52" s="422">
        <f>+AI52+AK52</f>
        <v>632402.99300000002</v>
      </c>
      <c r="AP52" s="979">
        <f>+AP53*AP3*24</f>
        <v>74659.004306213465</v>
      </c>
      <c r="AQ52" s="411">
        <f>+'POWER DISTRIBUTION'!AV10/1000</f>
        <v>71879.983103999999</v>
      </c>
      <c r="AR52" s="761">
        <f>+AN52+AP52</f>
        <v>707056.47157953051</v>
      </c>
      <c r="AS52" s="422">
        <f>+AO52+AQ52</f>
        <v>704282.976104</v>
      </c>
      <c r="AT52" s="979">
        <f>+AT53*AT3*24</f>
        <v>67033.157274186378</v>
      </c>
      <c r="AU52" s="411">
        <f>+'POWER DISTRIBUTION'!AZ10/1000</f>
        <v>67150.020999999993</v>
      </c>
      <c r="AV52" s="761">
        <f>+AR52+AT52</f>
        <v>774089.62885371689</v>
      </c>
      <c r="AW52" s="422">
        <f>+AS52+AU52</f>
        <v>771432.99710399995</v>
      </c>
      <c r="AX52" s="979">
        <f>+AX53*AX3*24</f>
        <v>75339.986965968652</v>
      </c>
      <c r="AY52" s="411">
        <f>+'POWER DISTRIBUTION'!BD10/1000</f>
        <v>76826.967999999993</v>
      </c>
      <c r="AZ52" s="762">
        <f t="shared" ref="AZ52" si="156">+AP52+AT52+AX52</f>
        <v>217032.14854636849</v>
      </c>
      <c r="BA52" s="432">
        <f t="shared" ref="BA52" si="157">+AQ52+AU52+AY52</f>
        <v>215856.97210399999</v>
      </c>
      <c r="BB52" s="764">
        <f>AL52+AZ52</f>
        <v>439253.96655414172</v>
      </c>
      <c r="BC52" s="514">
        <f>AM52+BA52</f>
        <v>399509.94810400001</v>
      </c>
      <c r="BD52" s="761">
        <f>+AV52+AX52</f>
        <v>849429.61581968551</v>
      </c>
      <c r="BE52" s="422">
        <f>+AW52+AY52</f>
        <v>848259.96510399994</v>
      </c>
      <c r="BF52" s="26"/>
      <c r="BG52" s="26"/>
      <c r="BH52" s="26"/>
      <c r="BI52" s="26"/>
      <c r="BJ52" s="26"/>
    </row>
    <row r="53" spans="1:62" ht="16.5" thickBot="1" x14ac:dyDescent="0.3">
      <c r="B53" s="3441" t="s">
        <v>400</v>
      </c>
      <c r="C53" s="413" t="s">
        <v>381</v>
      </c>
      <c r="D53" s="980">
        <v>106.30733009796415</v>
      </c>
      <c r="E53" s="364">
        <f>+E52/E$3/24</f>
        <v>102.23611527777778</v>
      </c>
      <c r="F53" s="980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80">
        <v>80.194025148401209</v>
      </c>
      <c r="K53" s="364">
        <f>+K52/K$3/24</f>
        <v>93.604166666666671</v>
      </c>
      <c r="L53" s="433">
        <f>+L52/L$3/24</f>
        <v>96.551825980396586</v>
      </c>
      <c r="M53" s="433">
        <f>+M52/M$3/24</f>
        <v>99.078777014652019</v>
      </c>
      <c r="N53" s="980">
        <v>71.478567660147604</v>
      </c>
      <c r="O53" s="364">
        <f>+O52/O$3/24</f>
        <v>103.76610349462366</v>
      </c>
      <c r="P53" s="423">
        <f>+P52/P$3/24</f>
        <v>90.180752144923474</v>
      </c>
      <c r="Q53" s="423">
        <f>+Q52/Q$3/24</f>
        <v>100.26981898907104</v>
      </c>
      <c r="R53" s="980">
        <v>99.507078030145138</v>
      </c>
      <c r="S53" s="364">
        <f>+S52/S$3/24</f>
        <v>104.87231182795699</v>
      </c>
      <c r="T53" s="423">
        <f>+T52/T$3/24</f>
        <v>92.070399873301724</v>
      </c>
      <c r="U53" s="423">
        <f>+U52/U$3/24</f>
        <v>101.20235021786493</v>
      </c>
      <c r="V53" s="980">
        <v>100.12936240386102</v>
      </c>
      <c r="W53" s="364">
        <f>+W52/W$3/24</f>
        <v>107.13192638888887</v>
      </c>
      <c r="X53" s="433">
        <f>+X52/X$3/24</f>
        <v>90.265607483857664</v>
      </c>
      <c r="Y53" s="433">
        <f>+Y52/Y$3/24</f>
        <v>105.23639855072463</v>
      </c>
      <c r="Z53" s="515">
        <f>+Z52/Z$3/24</f>
        <v>93.391541271754065</v>
      </c>
      <c r="AA53" s="515">
        <f>+AA52/AA$3/24</f>
        <v>102.1744118852459</v>
      </c>
      <c r="AB53" s="980">
        <v>100.86207229266435</v>
      </c>
      <c r="AC53" s="364">
        <f>+AC52/AC$3/24</f>
        <v>105.02148521505376</v>
      </c>
      <c r="AD53" s="423">
        <f>+AD52/AD$3/24</f>
        <v>94.473720999082204</v>
      </c>
      <c r="AE53" s="423">
        <f>+AE52/AE$3/24</f>
        <v>102.58683839563862</v>
      </c>
      <c r="AF53" s="980">
        <v>100.6996768811305</v>
      </c>
      <c r="AG53" s="364">
        <f>+AG52/AG$3/24</f>
        <v>48.820861111111107</v>
      </c>
      <c r="AH53" s="423">
        <f>+AH52/AH$3/24</f>
        <v>95.23920737802257</v>
      </c>
      <c r="AI53" s="423">
        <f>+AI52/AI$3/24</f>
        <v>95.976267418032776</v>
      </c>
      <c r="AJ53" s="980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95.817798071714705</v>
      </c>
      <c r="AO53" s="423">
        <f>+AO52/AO$3/24</f>
        <v>95.818635303030305</v>
      </c>
      <c r="AP53" s="980">
        <v>100.34812406749121</v>
      </c>
      <c r="AQ53" s="364">
        <f>+AQ52/AQ$3/24</f>
        <v>96.612880516129039</v>
      </c>
      <c r="AR53" s="423">
        <f>+AR52/AR$3/24</f>
        <v>96.276752666058073</v>
      </c>
      <c r="AS53" s="423">
        <f>+AS52/AS$3/24</f>
        <v>95.899098053376903</v>
      </c>
      <c r="AT53" s="980">
        <v>99.75172213420592</v>
      </c>
      <c r="AU53" s="364">
        <f>+AU52/AU$3/24</f>
        <v>99.925626488095233</v>
      </c>
      <c r="AV53" s="423">
        <f>+AV52/AV$3/24</f>
        <v>96.568067471771073</v>
      </c>
      <c r="AW53" s="423">
        <f>+AW52/AW$3/24</f>
        <v>96.236651335329327</v>
      </c>
      <c r="AX53" s="980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96.96685112096867</v>
      </c>
      <c r="BE53" s="423">
        <f t="shared" si="158"/>
        <v>96.833329349771688</v>
      </c>
      <c r="BF53" s="26"/>
      <c r="BG53" s="26"/>
      <c r="BH53" s="26"/>
      <c r="BI53" s="26"/>
      <c r="BJ53" s="26"/>
    </row>
    <row r="54" spans="1:62" ht="18.75" x14ac:dyDescent="0.25">
      <c r="B54" s="3746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91082.92048217915</v>
      </c>
      <c r="K54" s="684">
        <f t="shared" si="159"/>
        <v>94919.8</v>
      </c>
      <c r="L54" s="1600">
        <f t="shared" ref="L54:O55" si="161">+L50+L52</f>
        <v>320148.59681880439</v>
      </c>
      <c r="M54" s="1600">
        <f t="shared" si="161"/>
        <v>307023.049</v>
      </c>
      <c r="N54" s="607">
        <f t="shared" si="161"/>
        <v>77545.052977972082</v>
      </c>
      <c r="O54" s="684">
        <f t="shared" si="161"/>
        <v>110676.781</v>
      </c>
      <c r="P54" s="607">
        <f t="shared" ref="P54:S55" si="162">+P50+P52</f>
        <v>397693.64979677647</v>
      </c>
      <c r="Q54" s="607">
        <f t="shared" si="162"/>
        <v>417699.83</v>
      </c>
      <c r="R54" s="607">
        <f t="shared" si="162"/>
        <v>112464.16903513562</v>
      </c>
      <c r="S54" s="684">
        <f t="shared" si="162"/>
        <v>110771.6</v>
      </c>
      <c r="T54" s="607">
        <f t="shared" ref="T54:W54" si="163">+T50+T52</f>
        <v>510157.81883191213</v>
      </c>
      <c r="U54" s="607">
        <f t="shared" si="163"/>
        <v>528471.43000000005</v>
      </c>
      <c r="V54" s="607">
        <f t="shared" si="163"/>
        <v>108728.92730380899</v>
      </c>
      <c r="W54" s="684">
        <f t="shared" si="163"/>
        <v>106998.68699999999</v>
      </c>
      <c r="X54" s="1600">
        <f t="shared" ref="X54:Y54" si="164">+X50+X52</f>
        <v>298738.14931691671</v>
      </c>
      <c r="Y54" s="1600">
        <f t="shared" si="164"/>
        <v>328447.06799999997</v>
      </c>
      <c r="Z54" s="2466">
        <f t="shared" ref="Z54:AC54" si="165">+Z50+Z52</f>
        <v>618886.7461357211</v>
      </c>
      <c r="AA54" s="2466">
        <f t="shared" si="165"/>
        <v>635470.11699999997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733519.23488094832</v>
      </c>
      <c r="AE54" s="607">
        <f t="shared" si="166"/>
        <v>744084.402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844512.48036450602</v>
      </c>
      <c r="AI54" s="607">
        <f t="shared" si="167"/>
        <v>790363.12199999997</v>
      </c>
      <c r="AJ54" s="607">
        <f t="shared" si="167"/>
        <v>114632.48874522724</v>
      </c>
      <c r="AK54" s="684">
        <f t="shared" si="167"/>
        <v>106211.37100000001</v>
      </c>
      <c r="AL54" s="2772">
        <f t="shared" ref="AL54:AS55" si="168">+AL50+AL52</f>
        <v>340258.22297401202</v>
      </c>
      <c r="AM54" s="2772">
        <f t="shared" si="168"/>
        <v>261104.37600000002</v>
      </c>
      <c r="AN54" s="607">
        <f t="shared" si="168"/>
        <v>959144.96910973312</v>
      </c>
      <c r="AO54" s="607">
        <f t="shared" si="168"/>
        <v>896574.49300000002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1073777.4578549606</v>
      </c>
      <c r="AS54" s="607">
        <f t="shared" si="168"/>
        <v>1003536.076104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1177102.3954843411</v>
      </c>
      <c r="AW54" s="607">
        <f t="shared" si="169"/>
        <v>1101911.2971039999</v>
      </c>
      <c r="AX54" s="607">
        <f t="shared" ref="AX54:AY54" si="170">+AX50+AX52</f>
        <v>115166.37792728528</v>
      </c>
      <c r="AY54" s="684">
        <f t="shared" si="170"/>
        <v>110284.36799999999</v>
      </c>
      <c r="AZ54" s="3098">
        <f t="shared" ref="AZ54:BE54" si="171">+AZ50+AZ52</f>
        <v>333123.80430189316</v>
      </c>
      <c r="BA54" s="3098">
        <f t="shared" si="171"/>
        <v>315621.172104</v>
      </c>
      <c r="BB54" s="2466">
        <f t="shared" si="171"/>
        <v>673382.02727590525</v>
      </c>
      <c r="BC54" s="2466">
        <f t="shared" si="171"/>
        <v>576725.54810400004</v>
      </c>
      <c r="BD54" s="607">
        <f t="shared" si="171"/>
        <v>1292268.7734116265</v>
      </c>
      <c r="BE54" s="607">
        <f t="shared" si="171"/>
        <v>1212195.6651039999</v>
      </c>
      <c r="BF54" s="26"/>
      <c r="BG54" s="26"/>
      <c r="BH54" s="26"/>
      <c r="BI54" s="26"/>
      <c r="BJ54" s="26"/>
    </row>
    <row r="55" spans="1:62" ht="19.5" thickBot="1" x14ac:dyDescent="0.3">
      <c r="B55" s="3436" t="s">
        <v>462</v>
      </c>
      <c r="C55" s="21" t="s">
        <v>381</v>
      </c>
      <c r="D55" s="720">
        <f>+D51+D53</f>
        <v>156.43436239267879</v>
      </c>
      <c r="E55" s="720">
        <f>+E51+E53</f>
        <v>141.7072263888889</v>
      </c>
      <c r="F55" s="720">
        <f>+F51+F53</f>
        <v>156.49588093265663</v>
      </c>
      <c r="G55" s="720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20">
        <f>+J51+J53</f>
        <v>126.5040562252488</v>
      </c>
      <c r="K55" s="720">
        <f>+K51+K53</f>
        <v>131.83305555555557</v>
      </c>
      <c r="L55" s="2468">
        <f t="shared" si="161"/>
        <v>146.58818535659543</v>
      </c>
      <c r="M55" s="434">
        <f>+M54/M$3/24</f>
        <v>140.57831913919412</v>
      </c>
      <c r="N55" s="720">
        <f>+N51+N53</f>
        <v>104.22722174458613</v>
      </c>
      <c r="O55" s="720">
        <f>+O51+O53</f>
        <v>148.75911424731186</v>
      </c>
      <c r="P55" s="675">
        <f t="shared" si="162"/>
        <v>135.82433394698648</v>
      </c>
      <c r="Q55" s="424">
        <f>+Q54/Q$3/24</f>
        <v>142.65704576502733</v>
      </c>
      <c r="R55" s="720">
        <f>+R51+R53</f>
        <v>151.16151752034358</v>
      </c>
      <c r="S55" s="720">
        <f>+S51+S53</f>
        <v>148.88655913978494</v>
      </c>
      <c r="T55" s="675">
        <f t="shared" ref="T55" si="172">+T51+T53</f>
        <v>138.93186787361441</v>
      </c>
      <c r="U55" s="424">
        <f>+U54/U$3/24</f>
        <v>143.91923474945534</v>
      </c>
      <c r="V55" s="720">
        <f>+V51+V53</f>
        <v>151.01239903306805</v>
      </c>
      <c r="W55" s="720">
        <f>+W51+W53</f>
        <v>148.60928749999999</v>
      </c>
      <c r="X55" s="2468">
        <f t="shared" ref="X55" si="173">+X51+X53</f>
        <v>135.29807487179198</v>
      </c>
      <c r="Y55" s="434">
        <f>+Y54/Y$3/24</f>
        <v>148.75320108695652</v>
      </c>
      <c r="Z55" s="2469">
        <f>+Z51+Z53</f>
        <v>140.91228281778714</v>
      </c>
      <c r="AA55" s="516">
        <f>+AA54/AA$3/24</f>
        <v>144.688095856102</v>
      </c>
      <c r="AB55" s="1008">
        <f>+AB51+AB53</f>
        <v>154.0759257328323</v>
      </c>
      <c r="AC55" s="720">
        <f>+AC51+AC53</f>
        <v>145.98694220430107</v>
      </c>
      <c r="AD55" s="675">
        <f>+AD51+AD53</f>
        <v>142.81916566996659</v>
      </c>
      <c r="AE55" s="424">
        <f>+AE54/AE$3/24</f>
        <v>144.87624649532711</v>
      </c>
      <c r="AF55" s="1008">
        <f>+AF51+AF53</f>
        <v>154.15728539382997</v>
      </c>
      <c r="AG55" s="720">
        <f>+AG51+AG53</f>
        <v>64.275999999999996</v>
      </c>
      <c r="AH55" s="675">
        <f>+AH51+AH53</f>
        <v>144.21319678355636</v>
      </c>
      <c r="AI55" s="424">
        <f>+AI54/AI$3/24</f>
        <v>134.96638012295082</v>
      </c>
      <c r="AJ55" s="1008">
        <f>+AJ51+AJ53</f>
        <v>154.0759257328323</v>
      </c>
      <c r="AK55" s="720">
        <f>+AK51+AK53</f>
        <v>142.75721908602151</v>
      </c>
      <c r="AL55" s="2773">
        <f t="shared" si="168"/>
        <v>154.10245605707067</v>
      </c>
      <c r="AM55" s="434">
        <f>+AM54/AM$3/24</f>
        <v>118.25379347826087</v>
      </c>
      <c r="AN55" s="675">
        <f>+AN51+AN53</f>
        <v>145.32499531965655</v>
      </c>
      <c r="AO55" s="424">
        <f>+AO54/AO$3/24</f>
        <v>135.84462015151516</v>
      </c>
      <c r="AP55" s="1008">
        <f>+AP51+AP53</f>
        <v>154.0759257328323</v>
      </c>
      <c r="AQ55" s="720">
        <f>+AQ51+AQ53</f>
        <v>143.76556868817204</v>
      </c>
      <c r="AR55" s="675">
        <f>+AR51+AR53</f>
        <v>146.21152748569722</v>
      </c>
      <c r="AS55" s="424">
        <f>+AS54/AS$3/24</f>
        <v>136.64706918627451</v>
      </c>
      <c r="AT55" s="1008">
        <f>+AT51+AT53</f>
        <v>153.75734766276881</v>
      </c>
      <c r="AU55" s="720">
        <f>+AU51+AU53</f>
        <v>146.39169791666666</v>
      </c>
      <c r="AV55" s="675">
        <f>+AV51+AV53</f>
        <v>146.84411121311641</v>
      </c>
      <c r="AW55" s="424">
        <f>+AW54/AW$3/24</f>
        <v>137.46398416966068</v>
      </c>
      <c r="AX55" s="1008">
        <f>+AX51+AX53</f>
        <v>154.79351871946946</v>
      </c>
      <c r="AY55" s="720">
        <f>+AY51+AY53</f>
        <v>148.23167741935484</v>
      </c>
      <c r="AZ55" s="3212">
        <f t="shared" ref="AZ55" si="174">+AZ51+AZ53</f>
        <v>154.22398347309866</v>
      </c>
      <c r="BA55" s="3213">
        <f>+BA54/BA$3/24</f>
        <v>146.12091301111113</v>
      </c>
      <c r="BB55" s="3214">
        <f>+BB51+BB53</f>
        <v>154.16255203202959</v>
      </c>
      <c r="BC55" s="3215">
        <f>+BC54/BC$3/24</f>
        <v>132.03423720329673</v>
      </c>
      <c r="BD55" s="3216">
        <f>+BD51+BD53</f>
        <v>147.51926637119021</v>
      </c>
      <c r="BE55" s="3211">
        <f>+BE54/BE$3/24</f>
        <v>138.3785005826484</v>
      </c>
      <c r="BF55" s="26"/>
      <c r="BG55" s="26"/>
      <c r="BH55" s="26"/>
      <c r="BI55" s="26"/>
      <c r="BJ55" s="26"/>
    </row>
    <row r="56" spans="1:62" ht="15.75" thickBot="1" x14ac:dyDescent="0.3">
      <c r="B56" s="3747" t="s">
        <v>403</v>
      </c>
      <c r="C56" s="6"/>
      <c r="D56" s="982"/>
      <c r="E56" s="685"/>
      <c r="F56" s="982"/>
      <c r="G56" s="685"/>
      <c r="H56" s="6"/>
      <c r="I56" s="685"/>
      <c r="J56" s="982"/>
      <c r="K56" s="685"/>
      <c r="L56" s="6"/>
      <c r="M56" s="6"/>
      <c r="N56" s="982"/>
      <c r="O56" s="685"/>
      <c r="P56" s="6"/>
      <c r="Q56" s="6"/>
      <c r="R56" s="982"/>
      <c r="S56" s="685"/>
      <c r="T56" s="6"/>
      <c r="U56" s="6"/>
      <c r="V56" s="982"/>
      <c r="W56" s="685"/>
      <c r="X56" s="6"/>
      <c r="Y56" s="6"/>
      <c r="Z56" s="2472"/>
      <c r="AA56" s="2472"/>
      <c r="AB56" s="982"/>
      <c r="AC56" s="685"/>
      <c r="AD56" s="6"/>
      <c r="AE56" s="6"/>
      <c r="AF56" s="982"/>
      <c r="AG56" s="685"/>
      <c r="AH56" s="6"/>
      <c r="AI56" s="6"/>
      <c r="AJ56" s="982"/>
      <c r="AK56" s="685"/>
      <c r="AL56" s="6"/>
      <c r="AM56" s="6"/>
      <c r="AN56" s="6"/>
      <c r="AO56" s="6"/>
      <c r="AP56" s="982"/>
      <c r="AQ56" s="685"/>
      <c r="AR56" s="6"/>
      <c r="AS56" s="6"/>
      <c r="AT56" s="982"/>
      <c r="AU56" s="685"/>
      <c r="AV56" s="6"/>
      <c r="AW56" s="6"/>
      <c r="AX56" s="982"/>
      <c r="AY56" s="685"/>
      <c r="AZ56" s="6"/>
      <c r="BA56" s="6"/>
      <c r="BB56" s="2472"/>
      <c r="BC56" s="2472"/>
      <c r="BD56" s="6"/>
      <c r="BE56" s="6"/>
      <c r="BF56" s="26"/>
      <c r="BG56" s="26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435">
        <f>D65*D3*24</f>
        <v>208507.11711459071</v>
      </c>
      <c r="E57" s="18">
        <v>165311.72</v>
      </c>
      <c r="F57" s="7224">
        <f>F65*F3*24</f>
        <v>227486.624326833</v>
      </c>
      <c r="G57" s="18">
        <v>189017.32</v>
      </c>
      <c r="H57" s="3434">
        <f>+D57+F57</f>
        <v>435993.74144142371</v>
      </c>
      <c r="I57" s="39">
        <f>+E57+G57</f>
        <v>354329.04000000004</v>
      </c>
      <c r="J57" s="4610">
        <f>J65*J3*24</f>
        <v>184373.91739392991</v>
      </c>
      <c r="K57" s="18">
        <v>158820.24</v>
      </c>
      <c r="L57" s="762">
        <f t="shared" ref="L57:L58" si="175">+H57+J57</f>
        <v>620367.65883535356</v>
      </c>
      <c r="M57" s="427">
        <f t="shared" ref="M57:M58" si="176">+I57+K57</f>
        <v>513149.28</v>
      </c>
      <c r="N57" s="4839">
        <f>N65*N3*24</f>
        <v>139088.75279366504</v>
      </c>
      <c r="O57" s="18">
        <v>184518</v>
      </c>
      <c r="P57" s="61">
        <f>+L57+N57</f>
        <v>759456.41162901861</v>
      </c>
      <c r="Q57" s="219">
        <f>+M57+O57</f>
        <v>697667.28</v>
      </c>
      <c r="R57" s="4950">
        <f>R65*R3*24</f>
        <v>215599.6780472502</v>
      </c>
      <c r="S57" s="18">
        <v>185622.2</v>
      </c>
      <c r="T57" s="4951">
        <f>+P57+R57</f>
        <v>975056.08967626886</v>
      </c>
      <c r="U57" s="219">
        <f>+Q57+S57</f>
        <v>883289.48</v>
      </c>
      <c r="V57" s="5070">
        <f>V65*V3*24</f>
        <v>206437.67045707323</v>
      </c>
      <c r="W57" s="18">
        <v>170697.60000000001</v>
      </c>
      <c r="X57" s="2260">
        <f t="shared" ref="X57:Y58" si="177">+N57+R57+V57</f>
        <v>561126.10129798844</v>
      </c>
      <c r="Y57" s="529">
        <f t="shared" si="177"/>
        <v>540837.80000000005</v>
      </c>
      <c r="Z57" s="715">
        <f>L57+X57</f>
        <v>1181493.7601333419</v>
      </c>
      <c r="AA57" s="458">
        <f>M57+Y57</f>
        <v>1053987.08</v>
      </c>
      <c r="AB57" s="5418">
        <f>AB65*AB3*24</f>
        <v>222921.85065014614</v>
      </c>
      <c r="AC57" s="18">
        <v>169052.4</v>
      </c>
      <c r="AD57" s="2642">
        <f>+Z57+AB57</f>
        <v>1404415.610783488</v>
      </c>
      <c r="AE57" s="219">
        <f>+AA57+AC57</f>
        <v>1223039.48</v>
      </c>
      <c r="AF57" s="5564">
        <f>AF65*AF3*24</f>
        <v>217610.39148380258</v>
      </c>
      <c r="AG57" s="18">
        <v>49039.839999999997</v>
      </c>
      <c r="AH57" s="5563">
        <f>+AD57+AF57</f>
        <v>1622026.0022672906</v>
      </c>
      <c r="AI57" s="219">
        <f>+AE57+AG57</f>
        <v>1272079.32</v>
      </c>
      <c r="AJ57" s="5968">
        <f>AJ65*AJ3*24</f>
        <v>225569.5981223525</v>
      </c>
      <c r="AK57" s="18">
        <v>188703.6</v>
      </c>
      <c r="AL57" s="2767">
        <f t="shared" ref="AL57:AL58" si="178">+AB57+AF57+AJ57</f>
        <v>666101.84025630122</v>
      </c>
      <c r="AM57" s="529">
        <f t="shared" ref="AM57:AM58" si="179">+AC57+AG57+AK57</f>
        <v>406795.83999999997</v>
      </c>
      <c r="AN57" s="2761">
        <f>+AH57+AJ57</f>
        <v>1847595.6003896431</v>
      </c>
      <c r="AO57" s="219">
        <f>+AI57+AK57</f>
        <v>1460782.9200000002</v>
      </c>
      <c r="AP57" s="6132">
        <f>AP65*AP3*24</f>
        <v>225653.50478901912</v>
      </c>
      <c r="AQ57" s="18">
        <v>186682.55999999997</v>
      </c>
      <c r="AR57" s="6133">
        <f>+AN57+AP57</f>
        <v>2073249.1051786621</v>
      </c>
      <c r="AS57" s="219">
        <f>+AO57+AQ57</f>
        <v>1647465.4800000002</v>
      </c>
      <c r="AT57" s="6289">
        <f>AT65*AT3*24</f>
        <v>204610.52150198753</v>
      </c>
      <c r="AU57" s="18">
        <v>170227.36</v>
      </c>
      <c r="AV57" s="6290">
        <f>+AR57+AT57</f>
        <v>2277859.6266806498</v>
      </c>
      <c r="AW57" s="219">
        <f>+AS57+AU57</f>
        <v>1817692.8400000003</v>
      </c>
      <c r="AX57" s="6459">
        <f>AX65*AX3*24</f>
        <v>224687.5792884762</v>
      </c>
      <c r="AY57" s="18">
        <v>190041.24</v>
      </c>
      <c r="AZ57" s="3090">
        <f t="shared" ref="AZ57:AZ58" si="180">+AP57+AT57+AX57</f>
        <v>654951.60557948286</v>
      </c>
      <c r="BA57" s="529">
        <f t="shared" ref="BA57:BA58" si="181">+AQ57+AU57+AY57</f>
        <v>546951.15999999992</v>
      </c>
      <c r="BB57" s="715">
        <f>AL57+AZ57</f>
        <v>1321053.4458357841</v>
      </c>
      <c r="BC57" s="458">
        <f>AM57+BA57</f>
        <v>953746.99999999988</v>
      </c>
      <c r="BD57" s="3089">
        <f>+AV57+AX57</f>
        <v>2502547.205969126</v>
      </c>
      <c r="BE57" s="219">
        <f>+AW57+AY57</f>
        <v>2007734.0800000003</v>
      </c>
      <c r="BF57" s="26"/>
      <c r="BG57" s="26"/>
      <c r="BH57" s="26"/>
      <c r="BI57" s="26"/>
      <c r="BJ57" s="26"/>
    </row>
    <row r="58" spans="1:62" ht="15.75" thickBot="1" x14ac:dyDescent="0.3">
      <c r="B58" s="3748" t="s">
        <v>56</v>
      </c>
      <c r="C58" s="14" t="s">
        <v>66</v>
      </c>
      <c r="D58" s="3438">
        <f>D66*D3*24</f>
        <v>45360</v>
      </c>
      <c r="E58" s="18">
        <v>39576</v>
      </c>
      <c r="F58" s="7228">
        <f>F66*F3*24</f>
        <v>46872</v>
      </c>
      <c r="G58" s="18">
        <v>48268</v>
      </c>
      <c r="H58" s="3434">
        <f>+D58+F58</f>
        <v>92232</v>
      </c>
      <c r="I58" s="39">
        <f>+E58+G58</f>
        <v>87844</v>
      </c>
      <c r="J58" s="4611">
        <f>J66*J3*24</f>
        <v>40320</v>
      </c>
      <c r="K58" s="18">
        <v>42390.8</v>
      </c>
      <c r="L58" s="762">
        <f t="shared" si="175"/>
        <v>132552</v>
      </c>
      <c r="M58" s="427">
        <f t="shared" si="176"/>
        <v>130234.8</v>
      </c>
      <c r="N58" s="4840">
        <f>N66*N3*24</f>
        <v>38688</v>
      </c>
      <c r="O58" s="18">
        <v>50849.68</v>
      </c>
      <c r="P58" s="61">
        <f>+L58+N58</f>
        <v>171240</v>
      </c>
      <c r="Q58" s="219">
        <f>+M58+O58</f>
        <v>181084.48</v>
      </c>
      <c r="R58" s="4958">
        <f>R66*R3*24</f>
        <v>46872</v>
      </c>
      <c r="S58" s="18">
        <v>44025.7</v>
      </c>
      <c r="T58" s="4951">
        <f>+P58+R58</f>
        <v>218112</v>
      </c>
      <c r="U58" s="219">
        <f>+Q58+S58</f>
        <v>225110.18</v>
      </c>
      <c r="V58" s="5076">
        <f>V66*V3*24</f>
        <v>45360</v>
      </c>
      <c r="W58" s="18">
        <v>42238.400000000001</v>
      </c>
      <c r="X58" s="2260">
        <f t="shared" si="177"/>
        <v>130920</v>
      </c>
      <c r="Y58" s="529">
        <f t="shared" si="177"/>
        <v>137113.78</v>
      </c>
      <c r="Z58" s="724">
        <f>L58+X58</f>
        <v>263472</v>
      </c>
      <c r="AA58" s="459">
        <f>M58+Y58</f>
        <v>267348.58</v>
      </c>
      <c r="AB58" s="5419">
        <f>AB66*AB3*24</f>
        <v>46872</v>
      </c>
      <c r="AC58" s="18">
        <v>48817.919999999998</v>
      </c>
      <c r="AD58" s="2642">
        <f>+Z58+AB58</f>
        <v>310344</v>
      </c>
      <c r="AE58" s="219">
        <f>+AA58+AC58</f>
        <v>316166.5</v>
      </c>
      <c r="AF58" s="5569">
        <f>AF66*AF3*24</f>
        <v>45360</v>
      </c>
      <c r="AG58" s="18">
        <v>38546.800000000003</v>
      </c>
      <c r="AH58" s="5563">
        <f>+AD58+AF58</f>
        <v>355704</v>
      </c>
      <c r="AI58" s="219">
        <f>+AE58+AG58</f>
        <v>354713.3</v>
      </c>
      <c r="AJ58" s="5969">
        <f>AJ66*AJ3*24</f>
        <v>46872</v>
      </c>
      <c r="AK58" s="18">
        <v>48806.239999999998</v>
      </c>
      <c r="AL58" s="2767">
        <f t="shared" si="178"/>
        <v>139104</v>
      </c>
      <c r="AM58" s="529">
        <f t="shared" si="179"/>
        <v>136170.96</v>
      </c>
      <c r="AN58" s="2761">
        <f>+AH58+AJ58</f>
        <v>402576</v>
      </c>
      <c r="AO58" s="219">
        <f>+AI58+AK58</f>
        <v>403519.54</v>
      </c>
      <c r="AP58" s="6138">
        <f>AP66*AP3*24</f>
        <v>46872</v>
      </c>
      <c r="AQ58" s="18">
        <v>47572.399999999994</v>
      </c>
      <c r="AR58" s="6133">
        <f>+AN58+AP58</f>
        <v>449448</v>
      </c>
      <c r="AS58" s="219">
        <f>+AO58+AQ58</f>
        <v>451091.93999999994</v>
      </c>
      <c r="AT58" s="6294">
        <f>AT66*AT3*24</f>
        <v>42336</v>
      </c>
      <c r="AU58" s="18">
        <v>41827.68</v>
      </c>
      <c r="AV58" s="6290">
        <f>+AR58+AT58</f>
        <v>491784</v>
      </c>
      <c r="AW58" s="219">
        <f>+AS58+AU58</f>
        <v>492919.61999999994</v>
      </c>
      <c r="AX58" s="6461">
        <f>AX66*AX3*24</f>
        <v>46872</v>
      </c>
      <c r="AY58" s="18">
        <v>43118.400000000001</v>
      </c>
      <c r="AZ58" s="3090">
        <f t="shared" si="180"/>
        <v>136080</v>
      </c>
      <c r="BA58" s="529">
        <f t="shared" si="181"/>
        <v>132518.47999999998</v>
      </c>
      <c r="BB58" s="724">
        <f>AL58+AZ58</f>
        <v>275184</v>
      </c>
      <c r="BC58" s="459">
        <f>AM58+BA58</f>
        <v>268689.43999999994</v>
      </c>
      <c r="BD58" s="3089">
        <f>+AV58+AX58</f>
        <v>538656</v>
      </c>
      <c r="BE58" s="219">
        <f>+AW58+AY58</f>
        <v>536038.0199999999</v>
      </c>
      <c r="BF58" s="26"/>
      <c r="BG58" s="26"/>
      <c r="BH58" s="26"/>
      <c r="BI58" s="26"/>
      <c r="BJ58" s="26"/>
    </row>
    <row r="59" spans="1:62" ht="15.75" x14ac:dyDescent="0.25">
      <c r="B59" s="7839" t="s">
        <v>2</v>
      </c>
      <c r="C59" s="3665" t="s">
        <v>66</v>
      </c>
      <c r="D59" s="983">
        <f t="shared" ref="D59:I59" si="182">SUM(D57:D58)</f>
        <v>253867.11711459071</v>
      </c>
      <c r="E59" s="130">
        <f t="shared" si="182"/>
        <v>204887.72</v>
      </c>
      <c r="F59" s="983">
        <f t="shared" ref="F59:G59" si="183">SUM(F57:F58)</f>
        <v>274358.624326833</v>
      </c>
      <c r="G59" s="130">
        <f t="shared" si="183"/>
        <v>237285.32</v>
      </c>
      <c r="H59" s="947">
        <f t="shared" si="182"/>
        <v>528225.74144142377</v>
      </c>
      <c r="I59" s="3749">
        <f t="shared" si="182"/>
        <v>442173.04000000004</v>
      </c>
      <c r="J59" s="983">
        <f t="shared" ref="J59:K59" si="184">SUM(J57:J58)</f>
        <v>224693.91739392991</v>
      </c>
      <c r="K59" s="130">
        <f t="shared" si="184"/>
        <v>201211.03999999998</v>
      </c>
      <c r="L59" s="984">
        <f t="shared" ref="L59:Q59" si="185">SUM(L57:L58)</f>
        <v>752919.65883535356</v>
      </c>
      <c r="M59" s="242">
        <f t="shared" si="185"/>
        <v>643384.08000000007</v>
      </c>
      <c r="N59" s="983">
        <f t="shared" si="185"/>
        <v>177776.75279366504</v>
      </c>
      <c r="O59" s="130">
        <f t="shared" si="185"/>
        <v>235367.67999999999</v>
      </c>
      <c r="P59" s="947">
        <f t="shared" si="185"/>
        <v>930696.41162901861</v>
      </c>
      <c r="Q59" s="225">
        <f t="shared" si="185"/>
        <v>878751.76</v>
      </c>
      <c r="R59" s="983">
        <f t="shared" ref="R59:U59" si="186">SUM(R57:R58)</f>
        <v>262471.6780472502</v>
      </c>
      <c r="S59" s="130">
        <f t="shared" si="186"/>
        <v>229647.90000000002</v>
      </c>
      <c r="T59" s="947">
        <f t="shared" si="186"/>
        <v>1193168.0896762689</v>
      </c>
      <c r="U59" s="225">
        <f t="shared" si="186"/>
        <v>1108399.6599999999</v>
      </c>
      <c r="V59" s="983">
        <f t="shared" ref="V59:W59" si="187">SUM(V57:V58)</f>
        <v>251797.67045707323</v>
      </c>
      <c r="W59" s="130">
        <f t="shared" si="187"/>
        <v>212936</v>
      </c>
      <c r="X59" s="984">
        <f t="shared" ref="X59:Y59" si="188">SUM(X57:X58)</f>
        <v>692046.10129798844</v>
      </c>
      <c r="Y59" s="242">
        <f t="shared" si="188"/>
        <v>677951.58000000007</v>
      </c>
      <c r="Z59" s="2470">
        <f t="shared" ref="Z59:AE59" si="189">SUM(Z57:Z58)</f>
        <v>1444965.7601333419</v>
      </c>
      <c r="AA59" s="2471">
        <f t="shared" si="189"/>
        <v>1321335.6600000001</v>
      </c>
      <c r="AB59" s="983">
        <f t="shared" si="189"/>
        <v>269793.85065014614</v>
      </c>
      <c r="AC59" s="130">
        <f t="shared" si="189"/>
        <v>217870.32</v>
      </c>
      <c r="AD59" s="947">
        <f t="shared" si="189"/>
        <v>1714759.610783488</v>
      </c>
      <c r="AE59" s="225">
        <f t="shared" si="189"/>
        <v>1539205.98</v>
      </c>
      <c r="AF59" s="983">
        <f t="shared" ref="AF59:AI59" si="190">SUM(AF57:AF58)</f>
        <v>262970.39148380258</v>
      </c>
      <c r="AG59" s="130">
        <f t="shared" si="190"/>
        <v>87586.64</v>
      </c>
      <c r="AH59" s="947">
        <f t="shared" si="190"/>
        <v>1977730.0022672906</v>
      </c>
      <c r="AI59" s="225">
        <f t="shared" si="190"/>
        <v>1626792.62</v>
      </c>
      <c r="AJ59" s="983">
        <f t="shared" ref="AJ59:AK59" si="191">SUM(AJ57:AJ58)</f>
        <v>272441.5981223525</v>
      </c>
      <c r="AK59" s="130">
        <f t="shared" si="191"/>
        <v>237509.84</v>
      </c>
      <c r="AL59" s="984">
        <f t="shared" ref="AL59:AS59" si="192">SUM(AL57:AL58)</f>
        <v>805205.84025630122</v>
      </c>
      <c r="AM59" s="242">
        <f t="shared" si="192"/>
        <v>542966.79999999993</v>
      </c>
      <c r="AN59" s="947">
        <f t="shared" si="192"/>
        <v>2250171.6003896431</v>
      </c>
      <c r="AO59" s="225">
        <f t="shared" si="192"/>
        <v>1864302.4600000002</v>
      </c>
      <c r="AP59" s="983">
        <f t="shared" si="192"/>
        <v>272525.50478901912</v>
      </c>
      <c r="AQ59" s="130">
        <f t="shared" si="192"/>
        <v>234254.95999999996</v>
      </c>
      <c r="AR59" s="947">
        <f t="shared" si="192"/>
        <v>2522697.1051786621</v>
      </c>
      <c r="AS59" s="225">
        <f t="shared" si="192"/>
        <v>2098557.42</v>
      </c>
      <c r="AT59" s="983">
        <f t="shared" ref="AT59:AW59" si="193">SUM(AT57:AT58)</f>
        <v>246946.52150198753</v>
      </c>
      <c r="AU59" s="130">
        <f t="shared" si="193"/>
        <v>212055.03999999998</v>
      </c>
      <c r="AV59" s="947">
        <f t="shared" si="193"/>
        <v>2769643.6266806498</v>
      </c>
      <c r="AW59" s="225">
        <f t="shared" si="193"/>
        <v>2310612.4600000004</v>
      </c>
      <c r="AX59" s="983">
        <f t="shared" ref="AX59:AY59" si="194">SUM(AX57:AX58)</f>
        <v>271559.5792884762</v>
      </c>
      <c r="AY59" s="130">
        <f t="shared" si="194"/>
        <v>233159.63999999998</v>
      </c>
      <c r="AZ59" s="984">
        <f t="shared" ref="AZ59:BE59" si="195">SUM(AZ57:AZ58)</f>
        <v>791031.60557948286</v>
      </c>
      <c r="BA59" s="242">
        <f t="shared" si="195"/>
        <v>679469.6399999999</v>
      </c>
      <c r="BB59" s="2470">
        <f t="shared" si="195"/>
        <v>1596237.4458357841</v>
      </c>
      <c r="BC59" s="2471">
        <f t="shared" si="195"/>
        <v>1222436.44</v>
      </c>
      <c r="BD59" s="947">
        <f t="shared" si="195"/>
        <v>3041203.205969126</v>
      </c>
      <c r="BE59" s="225">
        <f t="shared" si="195"/>
        <v>2543772.1</v>
      </c>
      <c r="BF59" s="26"/>
      <c r="BG59" s="26"/>
      <c r="BH59" s="26"/>
      <c r="BI59" s="26"/>
      <c r="BJ59" s="26"/>
    </row>
    <row r="60" spans="1:62" ht="16.5" thickBot="1" x14ac:dyDescent="0.3">
      <c r="B60" s="7840"/>
      <c r="C60" s="36" t="s">
        <v>460</v>
      </c>
      <c r="D60" s="986">
        <f t="shared" ref="D60:K60" si="196">+D59/(D3*24)</f>
        <v>352.59321821470934</v>
      </c>
      <c r="E60" s="686">
        <f t="shared" si="196"/>
        <v>284.56627777777777</v>
      </c>
      <c r="F60" s="986">
        <f t="shared" ref="F60:G60" si="197">+F59/(F3*24)</f>
        <v>368.76159183714111</v>
      </c>
      <c r="G60" s="686">
        <f t="shared" si="197"/>
        <v>318.93188172043011</v>
      </c>
      <c r="H60" s="985">
        <f t="shared" si="196"/>
        <v>360.80993267856815</v>
      </c>
      <c r="I60" s="3750">
        <f t="shared" si="196"/>
        <v>302.03076502732245</v>
      </c>
      <c r="J60" s="986">
        <f t="shared" si="196"/>
        <v>312.07488526934708</v>
      </c>
      <c r="K60" s="686">
        <f t="shared" si="196"/>
        <v>279.45977777777773</v>
      </c>
      <c r="L60" s="987">
        <f t="shared" ref="L60:Q60" si="198">+L59/(L3*24)</f>
        <v>344.74343353267102</v>
      </c>
      <c r="M60" s="243">
        <f t="shared" si="198"/>
        <v>294.58978021978027</v>
      </c>
      <c r="N60" s="986">
        <f t="shared" si="198"/>
        <v>238.94724837858206</v>
      </c>
      <c r="O60" s="686">
        <f t="shared" si="198"/>
        <v>316.35440860215056</v>
      </c>
      <c r="P60" s="985">
        <f t="shared" si="198"/>
        <v>317.86079632138615</v>
      </c>
      <c r="Q60" s="226">
        <f t="shared" si="198"/>
        <v>300.12013661202184</v>
      </c>
      <c r="R60" s="986">
        <f t="shared" ref="R60:U60" si="199">+R59/(R3*24)</f>
        <v>352.78451350436853</v>
      </c>
      <c r="S60" s="686">
        <f t="shared" si="199"/>
        <v>308.66653225806454</v>
      </c>
      <c r="T60" s="985">
        <f t="shared" si="199"/>
        <v>324.93684359375516</v>
      </c>
      <c r="U60" s="226">
        <f t="shared" si="199"/>
        <v>301.85175925925921</v>
      </c>
      <c r="V60" s="986">
        <f t="shared" ref="V60:W60" si="200">+V59/(V3*24)</f>
        <v>349.71898674593501</v>
      </c>
      <c r="W60" s="686">
        <f t="shared" si="200"/>
        <v>295.74444444444447</v>
      </c>
      <c r="X60" s="987">
        <f t="shared" ref="X60:Y60" si="201">+X59/(X3*24)</f>
        <v>313.42667631249475</v>
      </c>
      <c r="Y60" s="243">
        <f t="shared" si="201"/>
        <v>307.0432880434783</v>
      </c>
      <c r="Z60" s="988">
        <f t="shared" ref="Z60:AE60" si="202">+Z59/(Z3*24)</f>
        <v>328.99949001214526</v>
      </c>
      <c r="AA60" s="517">
        <f t="shared" si="202"/>
        <v>300.85056010928963</v>
      </c>
      <c r="AB60" s="986">
        <f t="shared" si="202"/>
        <v>362.62614334697059</v>
      </c>
      <c r="AC60" s="686">
        <f t="shared" si="202"/>
        <v>292.83645161290326</v>
      </c>
      <c r="AD60" s="985">
        <f t="shared" si="202"/>
        <v>333.87064072887227</v>
      </c>
      <c r="AE60" s="226">
        <f t="shared" si="202"/>
        <v>299.68963785046731</v>
      </c>
      <c r="AF60" s="986">
        <f t="shared" ref="AF60:AI60" si="203">+AF59/(AF3*24)</f>
        <v>365.2366548386147</v>
      </c>
      <c r="AG60" s="686">
        <f t="shared" si="203"/>
        <v>121.64811111111111</v>
      </c>
      <c r="AH60" s="985">
        <f t="shared" si="203"/>
        <v>337.72711787351273</v>
      </c>
      <c r="AI60" s="226">
        <f t="shared" si="203"/>
        <v>277.79928620218578</v>
      </c>
      <c r="AJ60" s="986">
        <f t="shared" ref="AJ60:AK60" si="204">+AJ59/(AJ3*24)</f>
        <v>366.18494371283936</v>
      </c>
      <c r="AK60" s="686">
        <f t="shared" si="204"/>
        <v>319.23365591397851</v>
      </c>
      <c r="AL60" s="987">
        <f t="shared" ref="AL60:AS60" si="205">+AL59/(AL3*24)</f>
        <v>364.67655808709293</v>
      </c>
      <c r="AM60" s="243">
        <f t="shared" si="205"/>
        <v>245.90887681159418</v>
      </c>
      <c r="AN60" s="985">
        <f t="shared" si="205"/>
        <v>340.93509096812772</v>
      </c>
      <c r="AO60" s="226">
        <f t="shared" si="205"/>
        <v>282.47006969696974</v>
      </c>
      <c r="AP60" s="986">
        <f t="shared" si="205"/>
        <v>366.29772149061711</v>
      </c>
      <c r="AQ60" s="686">
        <f t="shared" si="205"/>
        <v>314.85881720430103</v>
      </c>
      <c r="AR60" s="985">
        <f t="shared" si="205"/>
        <v>343.50450778576555</v>
      </c>
      <c r="AS60" s="226">
        <f t="shared" si="205"/>
        <v>285.75128267973855</v>
      </c>
      <c r="AT60" s="986">
        <f t="shared" ref="AT60:AW60" si="206">+AT59/(AT3*24)</f>
        <v>367.47994271129096</v>
      </c>
      <c r="AU60" s="686">
        <f t="shared" si="206"/>
        <v>315.55809523809523</v>
      </c>
      <c r="AV60" s="985">
        <f t="shared" si="206"/>
        <v>345.51442448610902</v>
      </c>
      <c r="AW60" s="226">
        <f t="shared" si="206"/>
        <v>288.25005738522958</v>
      </c>
      <c r="AX60" s="986">
        <f t="shared" ref="AX60:AY60" si="207">+AX59/(AX3*24)</f>
        <v>364.99943452752177</v>
      </c>
      <c r="AY60" s="686">
        <f t="shared" si="207"/>
        <v>313.3866129032258</v>
      </c>
      <c r="AZ60" s="987">
        <f t="shared" ref="AZ60:BE60" si="208">+AZ59/(AZ3*24)</f>
        <v>366.21833591642724</v>
      </c>
      <c r="BA60" s="243">
        <f t="shared" si="208"/>
        <v>314.56927777777776</v>
      </c>
      <c r="BB60" s="988">
        <f t="shared" si="208"/>
        <v>365.43897569500552</v>
      </c>
      <c r="BC60" s="517">
        <f t="shared" si="208"/>
        <v>279.86182234432232</v>
      </c>
      <c r="BD60" s="985">
        <f t="shared" si="208"/>
        <v>347.16931574990025</v>
      </c>
      <c r="BE60" s="226">
        <f t="shared" si="208"/>
        <v>290.38494292237442</v>
      </c>
      <c r="BF60" s="26"/>
      <c r="BG60" s="26"/>
      <c r="BH60" s="26"/>
      <c r="BI60" s="26"/>
      <c r="BJ60" s="26"/>
    </row>
    <row r="61" spans="1:62" ht="16.5" thickBot="1" x14ac:dyDescent="0.3">
      <c r="B61" s="3751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3519.7200000000012</v>
      </c>
      <c r="H61" s="40">
        <f>+D61+F61</f>
        <v>4392</v>
      </c>
      <c r="I61" s="41">
        <f>+E61+G61</f>
        <v>7039.4400000000023</v>
      </c>
      <c r="J61" s="455">
        <f>+J68*J3*24</f>
        <v>0</v>
      </c>
      <c r="K61" s="30">
        <v>6208.1199999999662</v>
      </c>
      <c r="L61" s="354">
        <f>+H61+J61</f>
        <v>4392</v>
      </c>
      <c r="M61" s="122">
        <f t="shared" ref="M61" si="209">+I61+K61</f>
        <v>13247.559999999969</v>
      </c>
      <c r="N61" s="455">
        <f>+N68*N3*24</f>
        <v>0</v>
      </c>
      <c r="O61" s="30">
        <v>8407.679999999993</v>
      </c>
      <c r="P61" s="40">
        <f>+L61+N61</f>
        <v>4392</v>
      </c>
      <c r="Q61" s="220">
        <f>+M61+O61</f>
        <v>21655.239999999962</v>
      </c>
      <c r="R61" s="455">
        <f>+R68*R3*24</f>
        <v>0</v>
      </c>
      <c r="S61" s="30">
        <v>2819.3</v>
      </c>
      <c r="T61" s="40">
        <f>+P61+R61</f>
        <v>4392</v>
      </c>
      <c r="U61" s="220">
        <f>+Q61+S61</f>
        <v>24474.539999999961</v>
      </c>
      <c r="V61" s="455">
        <f>+V68*V3*24</f>
        <v>0</v>
      </c>
      <c r="W61" s="30">
        <v>3988.6</v>
      </c>
      <c r="X61" s="354">
        <f t="shared" ref="X61:Y61" si="210">+N61+R61+V61</f>
        <v>0</v>
      </c>
      <c r="Y61" s="122">
        <f t="shared" si="210"/>
        <v>15215.579999999993</v>
      </c>
      <c r="Z61" s="463">
        <f>L61+X61</f>
        <v>4392</v>
      </c>
      <c r="AA61" s="502">
        <f>M61+Y61</f>
        <v>28463.139999999963</v>
      </c>
      <c r="AB61" s="455">
        <f>+AB68*AB3*24</f>
        <v>0</v>
      </c>
      <c r="AC61" s="30">
        <v>5428.0800000000163</v>
      </c>
      <c r="AD61" s="40">
        <f>+Z61+AB61</f>
        <v>4392</v>
      </c>
      <c r="AE61" s="220">
        <f>+AA61+AC61</f>
        <v>33891.219999999979</v>
      </c>
      <c r="AF61" s="455">
        <f>+AF68*AF3*24</f>
        <v>0</v>
      </c>
      <c r="AG61" s="30">
        <v>1624.1599999999889</v>
      </c>
      <c r="AH61" s="40">
        <f>+AD61+AF61</f>
        <v>4392</v>
      </c>
      <c r="AI61" s="220">
        <f>+AE61+AG61</f>
        <v>35515.379999999968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4392</v>
      </c>
      <c r="AO61" s="220">
        <f>+AI61+AK61</f>
        <v>37629.859999999979</v>
      </c>
      <c r="AP61" s="455">
        <f>+AP68*AP3*24</f>
        <v>0</v>
      </c>
      <c r="AQ61" s="30">
        <v>5028.1599999999744</v>
      </c>
      <c r="AR61" s="40">
        <f>+AN61+AP61</f>
        <v>4392</v>
      </c>
      <c r="AS61" s="220">
        <f>+AO61+AQ61</f>
        <v>42658.019999999953</v>
      </c>
      <c r="AT61" s="455">
        <f>+AT68*AT3*24</f>
        <v>0</v>
      </c>
      <c r="AU61" s="30">
        <v>3972.9</v>
      </c>
      <c r="AV61" s="40">
        <f>+AR61+AT61</f>
        <v>4392</v>
      </c>
      <c r="AW61" s="220">
        <f>+AS61+AU61</f>
        <v>46630.919999999955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4392</v>
      </c>
      <c r="BC61" s="502">
        <f>AM61+BA61</f>
        <v>22411.259999999973</v>
      </c>
      <c r="BD61" s="40">
        <f>+AV61+AX61</f>
        <v>4392</v>
      </c>
      <c r="BE61" s="220">
        <f>+AW61+AY61</f>
        <v>50874.399999999936</v>
      </c>
      <c r="BF61" s="26"/>
      <c r="BG61" s="26"/>
      <c r="BH61" s="26"/>
      <c r="BI61" s="26"/>
      <c r="BJ61" s="26"/>
    </row>
    <row r="62" spans="1:62" ht="19.5" thickBot="1" x14ac:dyDescent="0.3">
      <c r="B62" s="3752" t="s">
        <v>65</v>
      </c>
      <c r="C62" s="3437" t="s">
        <v>66</v>
      </c>
      <c r="D62" s="739">
        <f t="shared" ref="D62:K62" si="215">+D59-D61</f>
        <v>251707.11711459071</v>
      </c>
      <c r="E62" s="687">
        <f t="shared" si="215"/>
        <v>201368</v>
      </c>
      <c r="F62" s="739">
        <f t="shared" ref="F62:G62" si="216">+F59-F61</f>
        <v>272126.624326833</v>
      </c>
      <c r="G62" s="687">
        <f t="shared" si="216"/>
        <v>233765.6</v>
      </c>
      <c r="H62" s="3094">
        <f t="shared" si="215"/>
        <v>523833.74144142377</v>
      </c>
      <c r="I62" s="3753">
        <f t="shared" si="215"/>
        <v>435133.60000000003</v>
      </c>
      <c r="J62" s="739">
        <f t="shared" si="215"/>
        <v>224693.91739392991</v>
      </c>
      <c r="K62" s="687">
        <f t="shared" si="215"/>
        <v>195002.92</v>
      </c>
      <c r="L62" s="75">
        <f t="shared" ref="L62:Q62" si="217">+L59-L61</f>
        <v>748527.65883535356</v>
      </c>
      <c r="M62" s="76">
        <f t="shared" si="217"/>
        <v>630136.52000000014</v>
      </c>
      <c r="N62" s="739">
        <f t="shared" si="217"/>
        <v>177776.75279366504</v>
      </c>
      <c r="O62" s="687">
        <f t="shared" si="217"/>
        <v>226960</v>
      </c>
      <c r="P62" s="989">
        <f t="shared" si="217"/>
        <v>926304.41162901861</v>
      </c>
      <c r="Q62" s="51">
        <f t="shared" si="217"/>
        <v>857096.52</v>
      </c>
      <c r="R62" s="739">
        <f t="shared" ref="R62:U62" si="218">+R59-R61</f>
        <v>262471.6780472502</v>
      </c>
      <c r="S62" s="687">
        <f t="shared" si="218"/>
        <v>226828.60000000003</v>
      </c>
      <c r="T62" s="3094">
        <f t="shared" si="218"/>
        <v>1188776.0896762689</v>
      </c>
      <c r="U62" s="51">
        <f t="shared" si="218"/>
        <v>1083925.1199999999</v>
      </c>
      <c r="V62" s="739">
        <f t="shared" ref="V62:W62" si="219">+V59-V61</f>
        <v>251797.67045707323</v>
      </c>
      <c r="W62" s="687">
        <f t="shared" si="219"/>
        <v>208947.4</v>
      </c>
      <c r="X62" s="75">
        <f t="shared" ref="X62:Y62" si="220">+X59-X61</f>
        <v>692046.10129798844</v>
      </c>
      <c r="Y62" s="76">
        <f t="shared" si="220"/>
        <v>662736.00000000012</v>
      </c>
      <c r="Z62" s="990">
        <f t="shared" ref="Z62:AE62" si="221">+Z59-Z61</f>
        <v>1440573.7601333419</v>
      </c>
      <c r="AA62" s="518">
        <f t="shared" si="221"/>
        <v>1292872.5200000003</v>
      </c>
      <c r="AB62" s="739">
        <f t="shared" si="221"/>
        <v>269793.85065014614</v>
      </c>
      <c r="AC62" s="687">
        <f t="shared" si="221"/>
        <v>212442.23999999999</v>
      </c>
      <c r="AD62" s="2644">
        <f t="shared" si="221"/>
        <v>1710367.610783488</v>
      </c>
      <c r="AE62" s="51">
        <f t="shared" si="221"/>
        <v>1505314.76</v>
      </c>
      <c r="AF62" s="739">
        <f t="shared" ref="AF62:AI62" si="222">+AF59-AF61</f>
        <v>262970.39148380258</v>
      </c>
      <c r="AG62" s="687">
        <f t="shared" si="222"/>
        <v>85962.48000000001</v>
      </c>
      <c r="AH62" s="3094">
        <f t="shared" si="222"/>
        <v>1973338.0022672906</v>
      </c>
      <c r="AI62" s="51">
        <f t="shared" si="222"/>
        <v>1591277.2400000002</v>
      </c>
      <c r="AJ62" s="739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2762">
        <f t="shared" si="224"/>
        <v>2245779.6003896431</v>
      </c>
      <c r="AO62" s="51">
        <f t="shared" si="224"/>
        <v>1826672.6000000003</v>
      </c>
      <c r="AP62" s="739">
        <f t="shared" si="224"/>
        <v>272525.50478901912</v>
      </c>
      <c r="AQ62" s="687">
        <f t="shared" si="224"/>
        <v>229226.8</v>
      </c>
      <c r="AR62" s="3094">
        <f t="shared" si="224"/>
        <v>2518305.1051786621</v>
      </c>
      <c r="AS62" s="51">
        <f t="shared" si="224"/>
        <v>2055899.4</v>
      </c>
      <c r="AT62" s="739">
        <f t="shared" ref="AT62:AW62" si="225">+AT59-AT61</f>
        <v>246946.52150198753</v>
      </c>
      <c r="AU62" s="687">
        <f t="shared" si="225"/>
        <v>208082.13999999998</v>
      </c>
      <c r="AV62" s="3094">
        <f t="shared" si="225"/>
        <v>2765251.6266806498</v>
      </c>
      <c r="AW62" s="51">
        <f t="shared" si="225"/>
        <v>2263981.5400000005</v>
      </c>
      <c r="AX62" s="739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90">
        <f t="shared" si="227"/>
        <v>1591845.4458357841</v>
      </c>
      <c r="BC62" s="518">
        <f t="shared" si="227"/>
        <v>1200025.18</v>
      </c>
      <c r="BD62" s="3094">
        <f t="shared" si="227"/>
        <v>3036811.205969126</v>
      </c>
      <c r="BE62" s="51">
        <f t="shared" si="227"/>
        <v>2492897.7000000002</v>
      </c>
      <c r="BF62" s="26"/>
      <c r="BG62" s="26"/>
      <c r="BH62" s="26"/>
      <c r="BI62" s="26"/>
      <c r="BJ62" s="26"/>
    </row>
    <row r="63" spans="1:62" ht="20.25" x14ac:dyDescent="0.25">
      <c r="A63" s="3735"/>
      <c r="B63" s="991" t="s">
        <v>480</v>
      </c>
      <c r="C63" s="52"/>
      <c r="D63" s="991"/>
      <c r="E63" s="688"/>
      <c r="F63" s="991"/>
      <c r="G63" s="688"/>
      <c r="H63" s="52"/>
      <c r="I63" s="688"/>
      <c r="J63" s="991"/>
      <c r="K63" s="688"/>
      <c r="L63" s="4853"/>
      <c r="M63" s="52"/>
      <c r="N63" s="991"/>
      <c r="O63" s="688"/>
      <c r="P63" s="52"/>
      <c r="Q63" s="52"/>
      <c r="R63" s="991"/>
      <c r="S63" s="688"/>
      <c r="T63" s="52"/>
      <c r="U63" s="52"/>
      <c r="V63" s="991"/>
      <c r="W63" s="688"/>
      <c r="X63" s="52"/>
      <c r="Y63" s="52"/>
      <c r="Z63" s="52"/>
      <c r="AA63" s="52"/>
      <c r="AB63" s="991"/>
      <c r="AC63" s="688"/>
      <c r="AD63" s="52"/>
      <c r="AE63" s="52"/>
      <c r="AF63" s="991"/>
      <c r="AG63" s="688"/>
      <c r="AH63" s="52"/>
      <c r="AI63" s="52"/>
      <c r="AJ63" s="991"/>
      <c r="AK63" s="688"/>
      <c r="AL63" s="52"/>
      <c r="AM63" s="52"/>
      <c r="AN63" s="52"/>
      <c r="AO63" s="52"/>
      <c r="AP63" s="991"/>
      <c r="AQ63" s="688"/>
      <c r="AR63" s="52"/>
      <c r="AS63" s="52"/>
      <c r="AT63" s="991"/>
      <c r="AU63" s="688"/>
      <c r="AV63" s="52"/>
      <c r="AW63" s="52"/>
      <c r="AX63" s="991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25">
      <c r="A64" s="3735"/>
      <c r="B64" s="992" t="s">
        <v>375</v>
      </c>
      <c r="C64" s="46"/>
      <c r="D64" s="992"/>
      <c r="E64" s="689"/>
      <c r="F64" s="992"/>
      <c r="G64" s="689"/>
      <c r="H64" s="46"/>
      <c r="I64" s="689"/>
      <c r="J64" s="992"/>
      <c r="K64" s="689"/>
      <c r="L64" s="46"/>
      <c r="M64" s="46"/>
      <c r="N64" s="992"/>
      <c r="O64" s="689"/>
      <c r="P64" s="46"/>
      <c r="Q64" s="46"/>
      <c r="R64" s="992"/>
      <c r="S64" s="689"/>
      <c r="T64" s="46"/>
      <c r="U64" s="46"/>
      <c r="V64" s="992"/>
      <c r="W64" s="689"/>
      <c r="X64" s="46"/>
      <c r="Y64" s="46"/>
      <c r="Z64" s="46"/>
      <c r="AA64" s="46"/>
      <c r="AB64" s="992"/>
      <c r="AC64" s="689"/>
      <c r="AD64" s="46"/>
      <c r="AE64" s="46"/>
      <c r="AF64" s="992"/>
      <c r="AG64" s="689"/>
      <c r="AH64" s="46"/>
      <c r="AI64" s="46"/>
      <c r="AJ64" s="992"/>
      <c r="AK64" s="689"/>
      <c r="AL64" s="46"/>
      <c r="AM64" s="46"/>
      <c r="AN64" s="46"/>
      <c r="AO64" s="46"/>
      <c r="AP64" s="992"/>
      <c r="AQ64" s="689"/>
      <c r="AR64" s="46"/>
      <c r="AS64" s="46"/>
      <c r="AT64" s="992"/>
      <c r="AU64" s="689"/>
      <c r="AV64" s="46"/>
      <c r="AW64" s="46"/>
      <c r="AX64" s="992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75" x14ac:dyDescent="0.25">
      <c r="A65" s="3735"/>
      <c r="B65" s="3754" t="s">
        <v>471</v>
      </c>
      <c r="C65" s="3130" t="s">
        <v>481</v>
      </c>
      <c r="D65" s="3435">
        <v>289.59321821470928</v>
      </c>
      <c r="E65" s="18">
        <v>229.5996111111111</v>
      </c>
      <c r="F65" s="7224">
        <v>305.76159183714111</v>
      </c>
      <c r="G65" s="18">
        <v>254.05553763440861</v>
      </c>
      <c r="H65" s="3755">
        <f>+((D65*D$3)+(F$3*F65))/H$3</f>
        <v>297.80993267856809</v>
      </c>
      <c r="I65" s="107">
        <f>+((E65*E$3)+(G$3*G65))/I$3</f>
        <v>242.02803278688523</v>
      </c>
      <c r="J65" s="18">
        <v>256.07488526934708</v>
      </c>
      <c r="K65" s="18">
        <v>220.58366666666666</v>
      </c>
      <c r="L65" s="353">
        <f>+((D$3*D65)+(F$3*F65)+(J$3*J65))/L$3</f>
        <v>284.05112584036334</v>
      </c>
      <c r="M65" s="353">
        <f>+((E$3*E65)+(G$3*G65)+(K$3*K65))/M$3</f>
        <v>234.95846153846156</v>
      </c>
      <c r="N65" s="18">
        <v>186.94724837858203</v>
      </c>
      <c r="O65" s="18">
        <v>248.00806451612902</v>
      </c>
      <c r="P65" s="266">
        <f>+((L65*L$3)+(N$3*N65))/P$3</f>
        <v>259.37718976400907</v>
      </c>
      <c r="Q65" s="266">
        <f>+((M65*M$3)+(O$3*O65))/Q$3</f>
        <v>238.2743442622951</v>
      </c>
      <c r="R65" s="18">
        <v>289.78451350436853</v>
      </c>
      <c r="S65" s="18">
        <v>249.49225806451611</v>
      </c>
      <c r="T65" s="266">
        <f>+((P65*P$3)+(R$3*R65))/T$3</f>
        <v>265.53815078329762</v>
      </c>
      <c r="U65" s="266">
        <f>+((Q65*Q$3)+(S$3*S65))/U$3</f>
        <v>240.5472549019608</v>
      </c>
      <c r="V65" s="18">
        <v>286.71898674593501</v>
      </c>
      <c r="W65" s="18">
        <v>237.08</v>
      </c>
      <c r="X65" s="353">
        <f>+((N65*N$3)+(R65*R$3)+(V$3*V65))/X$3</f>
        <v>254.13319805162521</v>
      </c>
      <c r="Y65" s="353">
        <f>+((O65*O$3)+(S65*S$3)+(W$3*W65))/Y$3</f>
        <v>244.94467391304349</v>
      </c>
      <c r="Z65" s="503">
        <f>+((T65*T$3)+(V$3*V65))/Z$3</f>
        <v>269.01041897389388</v>
      </c>
      <c r="AA65" s="503">
        <f>+((M65*M$3)+(Y$3*Y65))/AA$3</f>
        <v>239.97885245901642</v>
      </c>
      <c r="AB65" s="18">
        <v>299.62614334697059</v>
      </c>
      <c r="AC65" s="18">
        <v>227.22096774193548</v>
      </c>
      <c r="AD65" s="266">
        <f>+((Z65*Z$3)+(AB$3*AB65))/AD$3</f>
        <v>273.44540708401246</v>
      </c>
      <c r="AE65" s="266">
        <f>+((AA65*AA$3)+(AC$3*AC65))/AE$3</f>
        <v>238.1307476635514</v>
      </c>
      <c r="AF65" s="18">
        <v>302.2366548386147</v>
      </c>
      <c r="AG65" s="18">
        <v>68.11088888888888</v>
      </c>
      <c r="AH65" s="266">
        <f>+((AD65*AD$3)+(AF$3*AF65))/AH$3</f>
        <v>276.98531459482422</v>
      </c>
      <c r="AI65" s="266">
        <f>+((AE65*AE$3)+(AG$3*AG65))/AI$3</f>
        <v>217.22666666666669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279.93872733176408</v>
      </c>
      <c r="AO65" s="266">
        <f>+((AI65*AI$3)+(AK$3*AK65))/AO$3</f>
        <v>221.33075151515155</v>
      </c>
      <c r="AP65" s="18">
        <v>303.29772149061711</v>
      </c>
      <c r="AQ65" s="18">
        <v>250.91741935483867</v>
      </c>
      <c r="AR65" s="266">
        <f>+((AN65*AN$3)+(AP$3*AP65))/AR$3</f>
        <v>282.30516138053679</v>
      </c>
      <c r="AS65" s="266">
        <f>+((AO65*AO$3)+(AQ$3*AQ65))/AS$3</f>
        <v>224.32809368191721</v>
      </c>
      <c r="AT65" s="18">
        <v>304.47994271129102</v>
      </c>
      <c r="AU65" s="18">
        <v>253.31452380952379</v>
      </c>
      <c r="AV65" s="266">
        <f>+((AR65*AR$3)+(AT$3*AT65))/AV$3</f>
        <v>284.1641250849114</v>
      </c>
      <c r="AW65" s="266">
        <f>+((AS65*AS$3)+(AU$3*AU65))/AW$3</f>
        <v>226.75809381237528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285.67890479099611</v>
      </c>
      <c r="BE65" s="266">
        <f>+((AW65*AW$3)+(AY$3*AY65))/BE$3</f>
        <v>229.19339269406393</v>
      </c>
      <c r="BF65" s="26"/>
      <c r="BG65" s="26"/>
      <c r="BH65" s="26"/>
      <c r="BI65" s="26"/>
      <c r="BJ65" s="26"/>
    </row>
    <row r="66" spans="1:62" ht="16.5" thickBot="1" x14ac:dyDescent="0.3">
      <c r="A66" s="3735"/>
      <c r="B66" s="3756" t="s">
        <v>56</v>
      </c>
      <c r="C66" s="3757" t="s">
        <v>481</v>
      </c>
      <c r="D66" s="3438">
        <v>63</v>
      </c>
      <c r="E66" s="101">
        <v>54.966666666666669</v>
      </c>
      <c r="F66" s="7228">
        <v>63</v>
      </c>
      <c r="G66" s="101">
        <v>64.876344086021504</v>
      </c>
      <c r="H66" s="3755">
        <f>+((D66*D$3)+(F$3*F66))/H$3</f>
        <v>63</v>
      </c>
      <c r="I66" s="107">
        <f>+((E66*E$3)+(G$3*G66))/I$3</f>
        <v>60.002732240437155</v>
      </c>
      <c r="J66" s="101">
        <v>56</v>
      </c>
      <c r="K66" s="101">
        <v>58.876111111111115</v>
      </c>
      <c r="L66" s="353">
        <f>+((D$3*D66)+(F$3*F66)+(J$3*J66))/L$3</f>
        <v>60.692307692307693</v>
      </c>
      <c r="M66" s="353">
        <f>+((E$3*E66)+(G$3*G66)+(K$3*K66))/M$3</f>
        <v>59.631318681318682</v>
      </c>
      <c r="N66" s="101">
        <v>52</v>
      </c>
      <c r="O66" s="101">
        <v>68.346344086021503</v>
      </c>
      <c r="P66" s="266">
        <f>+((L66*L$3)+(N$3*N66))/P$3</f>
        <v>58.483606557377051</v>
      </c>
      <c r="Q66" s="266">
        <f>+((M66*M$3)+(O$3*O66))/Q$3</f>
        <v>61.845792349726771</v>
      </c>
      <c r="R66" s="101">
        <v>63</v>
      </c>
      <c r="S66" s="101">
        <v>59.174301075268815</v>
      </c>
      <c r="T66" s="266">
        <f>+((P66*P$3)+(R$3*R66))/T$3</f>
        <v>59.398692810457518</v>
      </c>
      <c r="U66" s="266">
        <f>+((Q66*Q$3)+(S$3*S66))/U$3</f>
        <v>61.304509803921569</v>
      </c>
      <c r="V66" s="101">
        <v>63</v>
      </c>
      <c r="W66" s="101">
        <v>58.664444444444449</v>
      </c>
      <c r="X66" s="353">
        <f>+((N66*N$3)+(R66*R$3)+(V$3*V66))/X$3</f>
        <v>59.293478260869563</v>
      </c>
      <c r="Y66" s="353">
        <f>+((O66*O$3)+(S66*S$3)+(W$3*W66))/Y$3</f>
        <v>62.098623188405803</v>
      </c>
      <c r="Z66" s="503">
        <f>+((T66*T$3)+(V$3*V66))/Z$3</f>
        <v>59.989071038251367</v>
      </c>
      <c r="AA66" s="503">
        <f>+((M66*M$3)+(Y$3*Y66))/AA$3</f>
        <v>60.871712204007295</v>
      </c>
      <c r="AB66" s="101">
        <v>63</v>
      </c>
      <c r="AC66" s="101">
        <v>65.615483870967736</v>
      </c>
      <c r="AD66" s="266">
        <f>+((Z66*Z$3)+(AB$3*AB66))/AD$3</f>
        <v>60.425233644859816</v>
      </c>
      <c r="AE66" s="266">
        <f>+((AA66*AA$3)+(AC$3*AC66))/AE$3</f>
        <v>61.558894080996886</v>
      </c>
      <c r="AF66" s="101">
        <v>63</v>
      </c>
      <c r="AG66" s="101">
        <v>53.537222222222226</v>
      </c>
      <c r="AH66" s="266">
        <f>+((AD66*AD$3)+(AF$3*AF66))/AH$3</f>
        <v>60.741803278688522</v>
      </c>
      <c r="AI66" s="266">
        <f>+((AE66*AE$3)+(AG$3*AG66))/AI$3</f>
        <v>60.572622950819678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60.99636363636364</v>
      </c>
      <c r="AO66" s="266">
        <f>+((AI66*AI$3)+(AK$3*AK66))/AO$3</f>
        <v>61.139321212121217</v>
      </c>
      <c r="AP66" s="101">
        <v>63</v>
      </c>
      <c r="AQ66" s="101">
        <v>63.941397849462362</v>
      </c>
      <c r="AR66" s="266">
        <f>+((AN66*AN$3)+(AP$3*AP66))/AR$3</f>
        <v>61.199346405228759</v>
      </c>
      <c r="AS66" s="266">
        <f>+((AO66*AO$3)+(AQ$3*AQ66))/AS$3</f>
        <v>61.423191721132909</v>
      </c>
      <c r="AT66" s="101">
        <v>63</v>
      </c>
      <c r="AU66" s="101">
        <v>62.243571428571428</v>
      </c>
      <c r="AV66" s="266">
        <f>+((AR66*AR$3)+(AT$3*AT66))/AV$3</f>
        <v>61.350299401197603</v>
      </c>
      <c r="AW66" s="266">
        <f>+((AS66*AS$3)+(AU$3*AU66))/AW$3</f>
        <v>61.491966067864283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61.490410958904107</v>
      </c>
      <c r="BE66" s="266">
        <f>+((AW66*AW$3)+(AY$3*AY66))/BE$3</f>
        <v>61.19155251141553</v>
      </c>
      <c r="BF66" s="26"/>
      <c r="BG66" s="26"/>
      <c r="BH66" s="26"/>
      <c r="BI66" s="26"/>
      <c r="BJ66" s="26"/>
    </row>
    <row r="67" spans="1:62" ht="19.5" thickBot="1" x14ac:dyDescent="0.3">
      <c r="A67" s="3735"/>
      <c r="B67" s="3758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3095">
        <f t="shared" si="228"/>
        <v>360.80993267856809</v>
      </c>
      <c r="I67" s="3759">
        <f t="shared" si="228"/>
        <v>302.03076502732239</v>
      </c>
      <c r="J67" s="598">
        <f t="shared" ref="J67:K67" si="230">SUM(J65:J66)</f>
        <v>312.07488526934708</v>
      </c>
      <c r="K67" s="140">
        <f t="shared" si="230"/>
        <v>279.45977777777779</v>
      </c>
      <c r="L67" s="1521">
        <f t="shared" ref="L67:Q67" si="231">SUM(L65:L66)</f>
        <v>344.74343353267102</v>
      </c>
      <c r="M67" s="602">
        <f t="shared" si="231"/>
        <v>294.58978021978027</v>
      </c>
      <c r="N67" s="598">
        <f t="shared" si="231"/>
        <v>238.94724837858203</v>
      </c>
      <c r="O67" s="140">
        <f t="shared" si="231"/>
        <v>316.35440860215056</v>
      </c>
      <c r="P67" s="846">
        <f t="shared" si="231"/>
        <v>317.86079632138615</v>
      </c>
      <c r="Q67" s="601">
        <f t="shared" si="231"/>
        <v>300.12013661202189</v>
      </c>
      <c r="R67" s="598">
        <f t="shared" ref="R67:U67" si="232">SUM(R65:R66)</f>
        <v>352.78451350436853</v>
      </c>
      <c r="S67" s="143">
        <f t="shared" si="232"/>
        <v>308.66655913978491</v>
      </c>
      <c r="T67" s="3095">
        <f t="shared" si="232"/>
        <v>324.93684359375516</v>
      </c>
      <c r="U67" s="601">
        <f t="shared" si="232"/>
        <v>301.85176470588237</v>
      </c>
      <c r="V67" s="598">
        <f t="shared" ref="V67:W67" si="233">SUM(V65:V66)</f>
        <v>349.71898674593501</v>
      </c>
      <c r="W67" s="143">
        <f t="shared" si="233"/>
        <v>295.74444444444447</v>
      </c>
      <c r="X67" s="2261">
        <f t="shared" ref="X67:Y67" si="234">SUM(X65:X66)</f>
        <v>313.42667631249481</v>
      </c>
      <c r="Y67" s="602">
        <f t="shared" si="234"/>
        <v>307.0432971014493</v>
      </c>
      <c r="Z67" s="993">
        <f t="shared" ref="Z67:AE67" si="235">SUM(Z65:Z66)</f>
        <v>328.99949001214526</v>
      </c>
      <c r="AA67" s="519">
        <f t="shared" si="235"/>
        <v>300.8505646630237</v>
      </c>
      <c r="AB67" s="598">
        <f t="shared" si="235"/>
        <v>362.62614334697059</v>
      </c>
      <c r="AC67" s="143">
        <f t="shared" si="235"/>
        <v>292.8364516129032</v>
      </c>
      <c r="AD67" s="2643">
        <f t="shared" si="235"/>
        <v>333.87064072887227</v>
      </c>
      <c r="AE67" s="601">
        <f t="shared" si="235"/>
        <v>299.68964174454828</v>
      </c>
      <c r="AF67" s="598">
        <f t="shared" ref="AF67:AI67" si="236">SUM(AF65:AF66)</f>
        <v>365.2366548386147</v>
      </c>
      <c r="AG67" s="143">
        <f t="shared" si="236"/>
        <v>121.64811111111111</v>
      </c>
      <c r="AH67" s="3095">
        <f t="shared" si="236"/>
        <v>337.72711787351273</v>
      </c>
      <c r="AI67" s="601">
        <f t="shared" si="236"/>
        <v>277.79928961748635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2771">
        <f t="shared" ref="AL67:AS67" si="238">SUM(AL65:AL66)</f>
        <v>364.67655808709299</v>
      </c>
      <c r="AM67" s="602">
        <f t="shared" si="238"/>
        <v>245.90887681159421</v>
      </c>
      <c r="AN67" s="2763">
        <f t="shared" si="238"/>
        <v>340.93509096812772</v>
      </c>
      <c r="AO67" s="601">
        <f t="shared" si="238"/>
        <v>282.47007272727274</v>
      </c>
      <c r="AP67" s="598">
        <f t="shared" si="238"/>
        <v>366.29772149061711</v>
      </c>
      <c r="AQ67" s="143">
        <f t="shared" si="238"/>
        <v>314.85881720430103</v>
      </c>
      <c r="AR67" s="3095">
        <f t="shared" si="238"/>
        <v>343.50450778576555</v>
      </c>
      <c r="AS67" s="601">
        <f t="shared" si="238"/>
        <v>285.75128540305013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3095">
        <f t="shared" si="239"/>
        <v>345.51442448610902</v>
      </c>
      <c r="AW67" s="601">
        <f t="shared" si="239"/>
        <v>288.25005988023958</v>
      </c>
      <c r="AX67" s="598">
        <f t="shared" ref="AX67:AY67" si="240">SUM(AX65:AX66)</f>
        <v>364.99943452752183</v>
      </c>
      <c r="AY67" s="143">
        <f t="shared" si="240"/>
        <v>313.3866129032258</v>
      </c>
      <c r="AZ67" s="3097">
        <f t="shared" ref="AZ67:BE67" si="241">SUM(AZ65:AZ66)</f>
        <v>366.21833591642724</v>
      </c>
      <c r="BA67" s="602">
        <f t="shared" si="241"/>
        <v>314.56927777777776</v>
      </c>
      <c r="BB67" s="993">
        <f t="shared" si="241"/>
        <v>365.43897569500552</v>
      </c>
      <c r="BC67" s="519">
        <f t="shared" si="241"/>
        <v>279.86182234432232</v>
      </c>
      <c r="BD67" s="3095">
        <f t="shared" si="241"/>
        <v>347.16931574990019</v>
      </c>
      <c r="BE67" s="601">
        <f t="shared" si="241"/>
        <v>290.38494520547948</v>
      </c>
      <c r="BF67" s="26"/>
      <c r="BG67" s="26"/>
      <c r="BH67" s="26"/>
      <c r="BI67" s="26"/>
      <c r="BJ67" s="26"/>
    </row>
    <row r="68" spans="1:62" ht="15.75" x14ac:dyDescent="0.25">
      <c r="A68" s="3735"/>
      <c r="B68" s="3760" t="s">
        <v>474</v>
      </c>
      <c r="C68" s="49" t="s">
        <v>481</v>
      </c>
      <c r="D68" s="3439">
        <v>3</v>
      </c>
      <c r="E68" s="550">
        <v>4.8885000000000014</v>
      </c>
      <c r="F68" s="7227">
        <v>3</v>
      </c>
      <c r="G68" s="550">
        <v>8.1129569892473228</v>
      </c>
      <c r="H68" s="54">
        <v>0</v>
      </c>
      <c r="I68" s="107">
        <f>+((E68*E$3)+(G$3*G68))/I$3</f>
        <v>6.5271584699453609</v>
      </c>
      <c r="J68" s="4612">
        <v>0</v>
      </c>
      <c r="K68" s="550">
        <v>8.6223888888888425</v>
      </c>
      <c r="L68" s="241">
        <v>0</v>
      </c>
      <c r="M68" s="78">
        <f>+((E$3*E68)+(G$3*G68)+(K$3*K68))/M$3</f>
        <v>7.2178937728937607</v>
      </c>
      <c r="N68" s="4841">
        <v>0</v>
      </c>
      <c r="O68" s="550">
        <v>11.300645161290314</v>
      </c>
      <c r="P68" s="54">
        <v>0</v>
      </c>
      <c r="Q68" s="56">
        <f>+((M68*M$3)+(O$3*O68))/Q$3</f>
        <v>8.2553142076502617</v>
      </c>
      <c r="R68" s="4959">
        <v>0</v>
      </c>
      <c r="S68" s="550">
        <v>3.79</v>
      </c>
      <c r="T68" s="54">
        <v>0</v>
      </c>
      <c r="U68" s="56">
        <f>+((Q68*Q$3)+(S$3*S68))/U$3</f>
        <v>7.350577342047921</v>
      </c>
      <c r="V68" s="5077">
        <v>0</v>
      </c>
      <c r="W68" s="550">
        <v>5.54</v>
      </c>
      <c r="X68" s="241">
        <v>0</v>
      </c>
      <c r="Y68" s="78">
        <f>+((O68*O$3)+(S68*S$3)+(W$3*W68))/Y$3</f>
        <v>6.8914130434782583</v>
      </c>
      <c r="Z68" s="797">
        <v>0</v>
      </c>
      <c r="AA68" s="503">
        <f>+((M68*M$3)+(Y$3*Y68))/AA$3</f>
        <v>7.0537613843351474</v>
      </c>
      <c r="AB68" s="5420">
        <v>0</v>
      </c>
      <c r="AC68" s="550">
        <v>7.3</v>
      </c>
      <c r="AD68" s="54">
        <v>0</v>
      </c>
      <c r="AE68" s="56">
        <f>+((AA68*AA$3)+(AC$3*AC68))/AE$3</f>
        <v>7.0894314641744485</v>
      </c>
      <c r="AF68" s="5570">
        <v>0</v>
      </c>
      <c r="AG68" s="550">
        <v>2.2557777777777623</v>
      </c>
      <c r="AH68" s="54">
        <v>0</v>
      </c>
      <c r="AI68" s="56">
        <f>+((AE68*AE$3)+(AG$3*AG68))/AI$3</f>
        <v>6.4951297814207578</v>
      </c>
      <c r="AJ68" s="5970">
        <v>0</v>
      </c>
      <c r="AK68" s="550">
        <v>2.8420430107527022</v>
      </c>
      <c r="AL68" s="241">
        <v>0</v>
      </c>
      <c r="AM68" s="78">
        <f>+((AC68*AC$3)+(AG68*AG$3)+(AK$3*AK68))/AM$3</f>
        <v>4.1530072463768111</v>
      </c>
      <c r="AN68" s="54">
        <v>0</v>
      </c>
      <c r="AO68" s="56">
        <f>+((AI68*AI$3)+(AK$3*AK68))/AO$3</f>
        <v>6.083327272727268</v>
      </c>
      <c r="AP68" s="6139">
        <v>0</v>
      </c>
      <c r="AQ68" s="550">
        <v>6.7582795698924389</v>
      </c>
      <c r="AR68" s="54">
        <v>0</v>
      </c>
      <c r="AS68" s="56">
        <f>+((AO68*AO$3)+(AQ$3*AQ68))/AS$3</f>
        <v>6.1517047930283137</v>
      </c>
      <c r="AT68" s="6293">
        <v>0</v>
      </c>
      <c r="AU68" s="550">
        <v>5.91</v>
      </c>
      <c r="AV68" s="54">
        <v>0</v>
      </c>
      <c r="AW68" s="56">
        <f>+((AS68*AS$3)+(AU$3*AU68))/AW$3</f>
        <v>6.1314421157684551</v>
      </c>
      <c r="AX68" s="6460">
        <v>0</v>
      </c>
      <c r="AY68" s="550">
        <v>5.7036021505376091</v>
      </c>
      <c r="AZ68" s="241">
        <v>0</v>
      </c>
      <c r="BA68" s="78">
        <f>+((AQ68*AQ$3)+(AU68*AU$3)+(AY$3*AY68))/BA$3</f>
        <v>6.131092592592573</v>
      </c>
      <c r="BB68" s="797">
        <v>0</v>
      </c>
      <c r="BC68" s="503">
        <f>+((AM68*AM$3)+(BA$3*BA68))/BC$3</f>
        <v>5.1311813186813087</v>
      </c>
      <c r="BD68" s="54">
        <v>0</v>
      </c>
      <c r="BE68" s="56">
        <f>+((AW68*AW$3)+(AY$3*AY68))/BE$3</f>
        <v>6.0951050228310413</v>
      </c>
      <c r="BF68" s="26"/>
      <c r="BG68" s="26"/>
      <c r="BH68" s="26"/>
      <c r="BI68" s="26"/>
      <c r="BJ68" s="26"/>
    </row>
    <row r="69" spans="1:62" ht="18.75" x14ac:dyDescent="0.25">
      <c r="A69" s="3735"/>
      <c r="B69" s="1365" t="s">
        <v>479</v>
      </c>
      <c r="C69" s="3761" t="s">
        <v>481</v>
      </c>
      <c r="D69" s="738">
        <f t="shared" ref="D69:K69" si="242">+D67-D68</f>
        <v>349.59321821470928</v>
      </c>
      <c r="E69" s="248">
        <f t="shared" si="242"/>
        <v>279.67777777777775</v>
      </c>
      <c r="F69" s="738">
        <f t="shared" ref="F69:G69" si="243">+F67-F68</f>
        <v>365.76159183714111</v>
      </c>
      <c r="G69" s="248">
        <f t="shared" si="243"/>
        <v>310.81892473118279</v>
      </c>
      <c r="H69" s="994">
        <f t="shared" si="242"/>
        <v>360.80993267856809</v>
      </c>
      <c r="I69" s="2974">
        <f t="shared" si="242"/>
        <v>295.50360655737705</v>
      </c>
      <c r="J69" s="738">
        <f t="shared" si="242"/>
        <v>312.07488526934708</v>
      </c>
      <c r="K69" s="248">
        <f t="shared" si="242"/>
        <v>270.83738888888894</v>
      </c>
      <c r="L69" s="79">
        <f t="shared" ref="L69:Q69" si="244">+L67-L68</f>
        <v>344.74343353267102</v>
      </c>
      <c r="M69" s="80">
        <f t="shared" si="244"/>
        <v>287.37188644688649</v>
      </c>
      <c r="N69" s="738">
        <f t="shared" si="244"/>
        <v>238.94724837858203</v>
      </c>
      <c r="O69" s="248">
        <f t="shared" si="244"/>
        <v>305.05376344086022</v>
      </c>
      <c r="P69" s="994">
        <f t="shared" si="244"/>
        <v>317.86079632138615</v>
      </c>
      <c r="Q69" s="57">
        <f t="shared" si="244"/>
        <v>291.86482240437164</v>
      </c>
      <c r="R69" s="738">
        <f t="shared" ref="R69:U69" si="245">+R67-R68</f>
        <v>352.78451350436853</v>
      </c>
      <c r="S69" s="248">
        <f t="shared" si="245"/>
        <v>304.87655913978489</v>
      </c>
      <c r="T69" s="994">
        <f t="shared" si="245"/>
        <v>324.93684359375516</v>
      </c>
      <c r="U69" s="57">
        <f t="shared" si="245"/>
        <v>294.50118736383445</v>
      </c>
      <c r="V69" s="738">
        <f t="shared" ref="V69:W69" si="246">+V67-V68</f>
        <v>349.71898674593501</v>
      </c>
      <c r="W69" s="248">
        <f t="shared" si="246"/>
        <v>290.20444444444445</v>
      </c>
      <c r="X69" s="79">
        <f t="shared" ref="X69:Y69" si="247">+X67-X68</f>
        <v>313.42667631249481</v>
      </c>
      <c r="Y69" s="80">
        <f t="shared" si="247"/>
        <v>300.15188405797102</v>
      </c>
      <c r="Z69" s="995">
        <f t="shared" ref="Z69:AE69" si="248">+Z67-Z68</f>
        <v>328.99949001214526</v>
      </c>
      <c r="AA69" s="520">
        <f t="shared" si="248"/>
        <v>293.79680327868857</v>
      </c>
      <c r="AB69" s="738">
        <f t="shared" si="248"/>
        <v>362.62614334697059</v>
      </c>
      <c r="AC69" s="248">
        <f t="shared" si="248"/>
        <v>285.53645161290319</v>
      </c>
      <c r="AD69" s="994">
        <f t="shared" si="248"/>
        <v>333.87064072887227</v>
      </c>
      <c r="AE69" s="57">
        <f t="shared" si="248"/>
        <v>292.60021028037386</v>
      </c>
      <c r="AF69" s="738">
        <f t="shared" ref="AF69:AI69" si="249">+AF67-AF68</f>
        <v>365.2366548386147</v>
      </c>
      <c r="AG69" s="248">
        <f t="shared" si="249"/>
        <v>119.39233333333334</v>
      </c>
      <c r="AH69" s="994">
        <f t="shared" si="249"/>
        <v>337.72711787351273</v>
      </c>
      <c r="AI69" s="57">
        <f t="shared" si="249"/>
        <v>271.30415983606559</v>
      </c>
      <c r="AJ69" s="738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4">
        <f t="shared" si="251"/>
        <v>340.93509096812772</v>
      </c>
      <c r="AO69" s="57">
        <f t="shared" si="251"/>
        <v>276.38674545454546</v>
      </c>
      <c r="AP69" s="738">
        <f t="shared" si="251"/>
        <v>366.29772149061711</v>
      </c>
      <c r="AQ69" s="248">
        <f t="shared" si="251"/>
        <v>308.10053763440857</v>
      </c>
      <c r="AR69" s="994">
        <f t="shared" si="251"/>
        <v>343.50450778576555</v>
      </c>
      <c r="AS69" s="57">
        <f t="shared" si="251"/>
        <v>279.5995806100218</v>
      </c>
      <c r="AT69" s="738">
        <f t="shared" ref="AT69:AW69" si="252">+AT67-AT68</f>
        <v>367.47994271129102</v>
      </c>
      <c r="AU69" s="248">
        <f t="shared" si="252"/>
        <v>309.64809523809521</v>
      </c>
      <c r="AV69" s="994">
        <f t="shared" si="252"/>
        <v>345.51442448610902</v>
      </c>
      <c r="AW69" s="57">
        <f t="shared" si="252"/>
        <v>282.11861776447114</v>
      </c>
      <c r="AX69" s="738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5">
        <f t="shared" si="254"/>
        <v>365.43897569500552</v>
      </c>
      <c r="BC69" s="520">
        <f t="shared" si="254"/>
        <v>274.73064102564103</v>
      </c>
      <c r="BD69" s="994">
        <f t="shared" si="254"/>
        <v>347.16931574990019</v>
      </c>
      <c r="BE69" s="57">
        <f t="shared" si="254"/>
        <v>284.28984018264845</v>
      </c>
      <c r="BF69" s="26"/>
      <c r="BG69" s="26"/>
      <c r="BH69" s="26"/>
      <c r="BI69" s="26"/>
      <c r="BJ69" s="26"/>
    </row>
    <row r="70" spans="1:62" ht="18.75" x14ac:dyDescent="0.25">
      <c r="B70" s="3762" t="s">
        <v>477</v>
      </c>
      <c r="C70" s="47"/>
      <c r="D70" s="996"/>
      <c r="E70" s="691"/>
      <c r="F70" s="996"/>
      <c r="G70" s="691"/>
      <c r="H70" s="609"/>
      <c r="I70" s="691"/>
      <c r="J70" s="996"/>
      <c r="K70" s="691"/>
      <c r="L70" s="609"/>
      <c r="M70" s="609"/>
      <c r="N70" s="996"/>
      <c r="O70" s="691"/>
      <c r="P70" s="609"/>
      <c r="Q70" s="609"/>
      <c r="R70" s="996"/>
      <c r="S70" s="691"/>
      <c r="T70" s="609"/>
      <c r="U70" s="609"/>
      <c r="V70" s="996"/>
      <c r="W70" s="691"/>
      <c r="X70" s="609"/>
      <c r="Y70" s="609"/>
      <c r="Z70" s="609"/>
      <c r="AA70" s="609"/>
      <c r="AB70" s="996"/>
      <c r="AC70" s="691"/>
      <c r="AD70" s="609"/>
      <c r="AE70" s="609"/>
      <c r="AF70" s="996"/>
      <c r="AG70" s="691"/>
      <c r="AH70" s="609"/>
      <c r="AI70" s="609"/>
      <c r="AJ70" s="996"/>
      <c r="AK70" s="691"/>
      <c r="AL70" s="609"/>
      <c r="AM70" s="609"/>
      <c r="AN70" s="609"/>
      <c r="AO70" s="609"/>
      <c r="AP70" s="996"/>
      <c r="AQ70" s="691"/>
      <c r="AR70" s="609"/>
      <c r="AS70" s="609"/>
      <c r="AT70" s="996"/>
      <c r="AU70" s="691"/>
      <c r="AV70" s="609"/>
      <c r="AW70" s="609"/>
      <c r="AX70" s="996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75" x14ac:dyDescent="0.25">
      <c r="B71" s="3754" t="s">
        <v>2298</v>
      </c>
      <c r="C71" s="3130" t="s">
        <v>481</v>
      </c>
      <c r="D71" s="775">
        <v>23</v>
      </c>
      <c r="E71" s="82">
        <v>20.690999999999999</v>
      </c>
      <c r="F71" s="775">
        <v>23</v>
      </c>
      <c r="G71" s="82">
        <v>17.47451612903226</v>
      </c>
      <c r="H71" s="3755">
        <f t="shared" ref="H71:I78" si="255">+((D71*D$3)+(F$3*F71))/H$3</f>
        <v>23</v>
      </c>
      <c r="I71" s="107">
        <f t="shared" si="255"/>
        <v>19.056393442622952</v>
      </c>
      <c r="J71" s="775">
        <v>24</v>
      </c>
      <c r="K71" s="82">
        <v>10.792999999999999</v>
      </c>
      <c r="L71" s="353">
        <f t="shared" ref="L71:L78" si="256">+((H71*H$3)+(J$3*J71))/L$3</f>
        <v>23.329670329670328</v>
      </c>
      <c r="M71" s="353">
        <f t="shared" ref="M71:M78" si="257">+((I71*I$3)+(K$3*K71))/M$3</f>
        <v>16.332197802197804</v>
      </c>
      <c r="N71" s="775">
        <v>24</v>
      </c>
      <c r="O71" s="82">
        <v>13.879032258064516</v>
      </c>
      <c r="P71" s="266">
        <f t="shared" ref="P71:P78" si="258">+((L71*L$3)+(N$3*N71))/P$3</f>
        <v>23.5</v>
      </c>
      <c r="Q71" s="266">
        <f t="shared" ref="Q71:Q78" si="259">+((M71*M$3)+(O$3*O71))/Q$3</f>
        <v>15.708852459016395</v>
      </c>
      <c r="R71" s="775">
        <v>24</v>
      </c>
      <c r="S71" s="82">
        <v>20.479677419354836</v>
      </c>
      <c r="T71" s="266">
        <f t="shared" ref="T71:T78" si="260">+((P71*P$3)+(R$3*R71))/T$3</f>
        <v>23.601307189542485</v>
      </c>
      <c r="U71" s="266">
        <f t="shared" ref="U71:U78" si="261">+((Q71*Q$3)+(S$3*S71))/U$3</f>
        <v>16.675490196078435</v>
      </c>
      <c r="V71" s="775">
        <v>24</v>
      </c>
      <c r="W71" s="82">
        <v>17.685000000000002</v>
      </c>
      <c r="X71" s="353">
        <f t="shared" ref="X71:Y73" si="262">+((N71*N$3)+(R71*R$3)+(V$3*V71))/X$3</f>
        <v>24</v>
      </c>
      <c r="Y71" s="353">
        <f t="shared" si="262"/>
        <v>17.344239130434783</v>
      </c>
      <c r="Z71" s="667">
        <f t="shared" ref="Z71:Z78" si="263">+((L71*L$3)+(X$3*X71))/Z$3</f>
        <v>23.666666666666668</v>
      </c>
      <c r="AA71" s="667">
        <f>+((M71*M$3)+(Y$3*Y71))/AA$3</f>
        <v>16.84098360655738</v>
      </c>
      <c r="AB71" s="775">
        <v>24</v>
      </c>
      <c r="AC71" s="82">
        <v>18.039032258064516</v>
      </c>
      <c r="AD71" s="266">
        <f t="shared" ref="AD71:AD78" si="264">+((Z71*Z$3)+(AB$3*AB71))/AD$3</f>
        <v>23.714953271028037</v>
      </c>
      <c r="AE71" s="266">
        <f t="shared" ref="AE71:AE78" si="265">+((AA71*AA$3)+(AC$3*AC71))/AE$3</f>
        <v>17.014532710280378</v>
      </c>
      <c r="AF71" s="775">
        <v>24</v>
      </c>
      <c r="AG71" s="82">
        <v>20.404333333333334</v>
      </c>
      <c r="AH71" s="266">
        <f t="shared" ref="AH71:AH78" si="266">+((AD71*AD$3)+(AF$3*AF71))/AH$3</f>
        <v>23.75</v>
      </c>
      <c r="AI71" s="266">
        <f t="shared" ref="AI71:AI78" si="267">+((AE71*AE$3)+(AG$3*AG71))/AI$3</f>
        <v>17.431311475409839</v>
      </c>
      <c r="AJ71" s="775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23.778181818181817</v>
      </c>
      <c r="AO71" s="266">
        <f t="shared" si="270"/>
        <v>17.774909090909091</v>
      </c>
      <c r="AP71" s="775">
        <v>24</v>
      </c>
      <c r="AQ71" s="82">
        <v>16.14935483870968</v>
      </c>
      <c r="AR71" s="266">
        <f t="shared" ref="AR71:AR78" si="271">+((AN71*AN$3)+(AP$3*AP71))/AR$3</f>
        <v>23.800653594771241</v>
      </c>
      <c r="AS71" s="266">
        <f t="shared" ref="AS71:AS78" si="272">+((AO71*AO$3)+(AQ$3*AQ71))/AS$3</f>
        <v>17.610228758169935</v>
      </c>
      <c r="AT71" s="775">
        <v>24</v>
      </c>
      <c r="AU71" s="82">
        <v>16.311071428571431</v>
      </c>
      <c r="AV71" s="266">
        <f t="shared" ref="AV71:AV78" si="273">+((AR71*AR$3)+(AT$3*AT71))/AV$3</f>
        <v>23.817365269461078</v>
      </c>
      <c r="AW71" s="266">
        <f t="shared" ref="AW71:AW78" si="274">+((AS71*AS$3)+(AU$3*AU71))/AW$3</f>
        <v>17.501317365269461</v>
      </c>
      <c r="AX71" s="775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23.832876712328765</v>
      </c>
      <c r="BE71" s="266">
        <f t="shared" ref="BE71:BE78" si="279">+((AW71*AW$3)+(AY$3*AY71))/BE$3</f>
        <v>17.730739726027394</v>
      </c>
      <c r="BF71" s="26"/>
      <c r="BG71" s="26"/>
      <c r="BH71" s="26"/>
      <c r="BI71" s="26"/>
      <c r="BJ71" s="26"/>
    </row>
    <row r="72" spans="1:62" ht="15.75" customHeight="1" x14ac:dyDescent="0.25">
      <c r="B72" s="3754" t="s">
        <v>2299</v>
      </c>
      <c r="C72" s="3130" t="s">
        <v>481</v>
      </c>
      <c r="D72" s="775">
        <v>19</v>
      </c>
      <c r="E72" s="82">
        <v>0</v>
      </c>
      <c r="F72" s="775">
        <v>19</v>
      </c>
      <c r="G72" s="82">
        <v>0</v>
      </c>
      <c r="H72" s="3755">
        <f t="shared" si="255"/>
        <v>19</v>
      </c>
      <c r="I72" s="107">
        <f t="shared" si="255"/>
        <v>0</v>
      </c>
      <c r="J72" s="775">
        <v>0</v>
      </c>
      <c r="K72" s="82">
        <v>0</v>
      </c>
      <c r="L72" s="353">
        <f t="shared" si="256"/>
        <v>12.736263736263735</v>
      </c>
      <c r="M72" s="353">
        <f t="shared" si="257"/>
        <v>0</v>
      </c>
      <c r="N72" s="775">
        <v>0</v>
      </c>
      <c r="O72" s="82">
        <v>0</v>
      </c>
      <c r="P72" s="266">
        <f t="shared" si="258"/>
        <v>9.5</v>
      </c>
      <c r="Q72" s="266">
        <f t="shared" si="259"/>
        <v>0</v>
      </c>
      <c r="R72" s="775">
        <v>0</v>
      </c>
      <c r="S72" s="82">
        <v>0</v>
      </c>
      <c r="T72" s="266">
        <f t="shared" si="260"/>
        <v>7.5751633986928102</v>
      </c>
      <c r="U72" s="266">
        <f t="shared" si="261"/>
        <v>0</v>
      </c>
      <c r="V72" s="775">
        <v>0</v>
      </c>
      <c r="W72" s="82">
        <v>0</v>
      </c>
      <c r="X72" s="353">
        <f t="shared" si="262"/>
        <v>0</v>
      </c>
      <c r="Y72" s="353">
        <f t="shared" si="262"/>
        <v>0</v>
      </c>
      <c r="Z72" s="667">
        <f t="shared" si="263"/>
        <v>6.333333333333333</v>
      </c>
      <c r="AA72" s="667">
        <f t="shared" ref="AA72:AA78" si="280">+((M72*M$3)+(Y$3*Y72))/AA$3</f>
        <v>0</v>
      </c>
      <c r="AB72" s="775">
        <v>0</v>
      </c>
      <c r="AC72" s="82">
        <v>0</v>
      </c>
      <c r="AD72" s="266">
        <f t="shared" si="264"/>
        <v>5.41588785046729</v>
      </c>
      <c r="AE72" s="266">
        <f t="shared" si="265"/>
        <v>0</v>
      </c>
      <c r="AF72" s="775">
        <v>0</v>
      </c>
      <c r="AG72" s="82">
        <v>0</v>
      </c>
      <c r="AH72" s="266">
        <f t="shared" si="266"/>
        <v>4.75</v>
      </c>
      <c r="AI72" s="266">
        <f t="shared" si="267"/>
        <v>0</v>
      </c>
      <c r="AJ72" s="775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4.2145454545454548</v>
      </c>
      <c r="AO72" s="266">
        <f t="shared" si="270"/>
        <v>0</v>
      </c>
      <c r="AP72" s="775">
        <v>0</v>
      </c>
      <c r="AQ72" s="82">
        <v>0</v>
      </c>
      <c r="AR72" s="266">
        <f t="shared" si="271"/>
        <v>3.7875816993464051</v>
      </c>
      <c r="AS72" s="266">
        <f t="shared" si="272"/>
        <v>0</v>
      </c>
      <c r="AT72" s="775">
        <v>0</v>
      </c>
      <c r="AU72" s="82">
        <v>0</v>
      </c>
      <c r="AV72" s="266">
        <f t="shared" si="273"/>
        <v>3.4700598802395208</v>
      </c>
      <c r="AW72" s="266">
        <f t="shared" si="274"/>
        <v>0</v>
      </c>
      <c r="AX72" s="775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3.1753424657534248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75" x14ac:dyDescent="0.25">
      <c r="B73" s="3754" t="s">
        <v>2300</v>
      </c>
      <c r="C73" s="3130" t="s">
        <v>481</v>
      </c>
      <c r="D73" s="775">
        <v>8</v>
      </c>
      <c r="E73" s="82">
        <v>7.8146666666666675</v>
      </c>
      <c r="F73" s="775">
        <v>8</v>
      </c>
      <c r="G73" s="82">
        <v>5.2432258064516128</v>
      </c>
      <c r="H73" s="3755">
        <f t="shared" si="255"/>
        <v>8</v>
      </c>
      <c r="I73" s="107">
        <f t="shared" si="255"/>
        <v>6.5078688524590165</v>
      </c>
      <c r="J73" s="775">
        <v>13</v>
      </c>
      <c r="K73" s="82">
        <v>9.6336111111111116</v>
      </c>
      <c r="L73" s="353">
        <f t="shared" si="256"/>
        <v>9.6483516483516478</v>
      </c>
      <c r="M73" s="353">
        <f t="shared" si="257"/>
        <v>7.5383333333333331</v>
      </c>
      <c r="N73" s="775">
        <v>13</v>
      </c>
      <c r="O73" s="82">
        <v>9.2956989247311821</v>
      </c>
      <c r="P73" s="266">
        <f t="shared" si="258"/>
        <v>10.5</v>
      </c>
      <c r="Q73" s="266">
        <f t="shared" si="259"/>
        <v>7.9848770491803274</v>
      </c>
      <c r="R73" s="775">
        <v>8</v>
      </c>
      <c r="S73" s="82">
        <v>8.5970967741935489</v>
      </c>
      <c r="T73" s="266">
        <f t="shared" si="260"/>
        <v>9.9934640522875817</v>
      </c>
      <c r="U73" s="266">
        <f t="shared" si="261"/>
        <v>8.1089215686274514</v>
      </c>
      <c r="V73" s="775">
        <v>8</v>
      </c>
      <c r="W73" s="82">
        <v>7.7986666666666666</v>
      </c>
      <c r="X73" s="353">
        <f t="shared" si="262"/>
        <v>9.6847826086956523</v>
      </c>
      <c r="Y73" s="353">
        <f t="shared" si="262"/>
        <v>8.5721376811594201</v>
      </c>
      <c r="Z73" s="667">
        <f t="shared" si="263"/>
        <v>9.6666666666666661</v>
      </c>
      <c r="AA73" s="667">
        <f t="shared" si="280"/>
        <v>8.0580601092896167</v>
      </c>
      <c r="AB73" s="775">
        <v>8</v>
      </c>
      <c r="AC73" s="82">
        <v>7.1809677419354845</v>
      </c>
      <c r="AD73" s="266">
        <f t="shared" si="264"/>
        <v>9.425233644859814</v>
      </c>
      <c r="AE73" s="266">
        <f t="shared" si="265"/>
        <v>7.9310046728971946</v>
      </c>
      <c r="AF73" s="775">
        <v>8</v>
      </c>
      <c r="AG73" s="82">
        <v>1.7733333333333332</v>
      </c>
      <c r="AH73" s="266">
        <f t="shared" si="266"/>
        <v>9.25</v>
      </c>
      <c r="AI73" s="266">
        <f t="shared" si="267"/>
        <v>7.1739139344262286</v>
      </c>
      <c r="AJ73" s="775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9.1090909090909093</v>
      </c>
      <c r="AO73" s="266">
        <f t="shared" si="270"/>
        <v>7.1772181818181808</v>
      </c>
      <c r="AP73" s="775">
        <v>8</v>
      </c>
      <c r="AQ73" s="82">
        <v>5.3803225806451627</v>
      </c>
      <c r="AR73" s="266">
        <f t="shared" si="271"/>
        <v>8.9967320261437909</v>
      </c>
      <c r="AS73" s="266">
        <f t="shared" si="272"/>
        <v>6.99517973856209</v>
      </c>
      <c r="AT73" s="775">
        <v>8</v>
      </c>
      <c r="AU73" s="82">
        <v>6.4292857142857134</v>
      </c>
      <c r="AV73" s="266">
        <f t="shared" si="273"/>
        <v>8.9131736526946099</v>
      </c>
      <c r="AW73" s="266">
        <f t="shared" si="274"/>
        <v>6.9477395209580823</v>
      </c>
      <c r="AX73" s="775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8.8356164383561637</v>
      </c>
      <c r="BE73" s="266">
        <f t="shared" si="279"/>
        <v>6.9554931506849309</v>
      </c>
      <c r="BF73" s="26"/>
      <c r="BG73" s="26"/>
      <c r="BH73" s="26"/>
      <c r="BI73" s="26"/>
      <c r="BJ73" s="26"/>
    </row>
    <row r="74" spans="1:62" s="5172" customFormat="1" ht="15.75" x14ac:dyDescent="0.25">
      <c r="B74" s="7123" t="s">
        <v>2301</v>
      </c>
      <c r="C74" s="7124" t="s">
        <v>481</v>
      </c>
      <c r="D74" s="7125">
        <f>SUM(D71:D73)</f>
        <v>50</v>
      </c>
      <c r="E74" s="7125">
        <f>SUM(E71:E73)</f>
        <v>28.505666666666666</v>
      </c>
      <c r="F74" s="7125">
        <f>SUM(F71:F73)</f>
        <v>50</v>
      </c>
      <c r="G74" s="7125">
        <f>SUM(G71:G73)</f>
        <v>22.717741935483872</v>
      </c>
      <c r="H74" s="6916"/>
      <c r="I74" s="6932"/>
      <c r="J74" s="7119"/>
      <c r="K74" s="7120"/>
      <c r="L74" s="6917"/>
      <c r="M74" s="6917"/>
      <c r="N74" s="7119"/>
      <c r="O74" s="7120"/>
      <c r="P74" s="6916"/>
      <c r="Q74" s="6916"/>
      <c r="R74" s="7119"/>
      <c r="S74" s="7120"/>
      <c r="T74" s="6916"/>
      <c r="U74" s="6916"/>
      <c r="V74" s="7119"/>
      <c r="W74" s="7120"/>
      <c r="X74" s="6917"/>
      <c r="Y74" s="6917"/>
      <c r="Z74" s="7121"/>
      <c r="AA74" s="7121"/>
      <c r="AB74" s="7119"/>
      <c r="AC74" s="7120"/>
      <c r="AD74" s="6916"/>
      <c r="AE74" s="6916"/>
      <c r="AF74" s="7119"/>
      <c r="AG74" s="7120"/>
      <c r="AH74" s="6916"/>
      <c r="AI74" s="6916"/>
      <c r="AJ74" s="7119"/>
      <c r="AK74" s="7120"/>
      <c r="AL74" s="6917"/>
      <c r="AM74" s="6917"/>
      <c r="AN74" s="6916"/>
      <c r="AO74" s="6916"/>
      <c r="AP74" s="7119"/>
      <c r="AQ74" s="7120"/>
      <c r="AR74" s="6916"/>
      <c r="AS74" s="6916"/>
      <c r="AT74" s="7119"/>
      <c r="AU74" s="7120"/>
      <c r="AV74" s="6916"/>
      <c r="AW74" s="6916"/>
      <c r="AX74" s="7119"/>
      <c r="AY74" s="7122"/>
      <c r="AZ74" s="6917"/>
      <c r="BA74" s="6917"/>
      <c r="BB74" s="7121"/>
      <c r="BC74" s="7121"/>
      <c r="BD74" s="6916"/>
      <c r="BE74" s="6916"/>
      <c r="BF74" s="26"/>
      <c r="BG74" s="26"/>
      <c r="BH74" s="26"/>
      <c r="BI74" s="26"/>
      <c r="BJ74" s="26"/>
    </row>
    <row r="75" spans="1:62" ht="15.75" x14ac:dyDescent="0.25">
      <c r="B75" s="3754" t="s">
        <v>2302</v>
      </c>
      <c r="C75" s="3130" t="s">
        <v>481</v>
      </c>
      <c r="D75" s="775">
        <v>9</v>
      </c>
      <c r="E75" s="82">
        <v>6.3179999999999996</v>
      </c>
      <c r="F75" s="775">
        <v>9</v>
      </c>
      <c r="G75" s="82">
        <v>6.6790322580645158</v>
      </c>
      <c r="H75" s="3755">
        <f t="shared" si="255"/>
        <v>9</v>
      </c>
      <c r="I75" s="107">
        <f t="shared" si="255"/>
        <v>6.5014754098360648</v>
      </c>
      <c r="J75" s="775">
        <v>6</v>
      </c>
      <c r="K75" s="82">
        <v>5.0306666666666668</v>
      </c>
      <c r="L75" s="353">
        <f t="shared" si="256"/>
        <v>8.0109890109890109</v>
      </c>
      <c r="M75" s="353">
        <f t="shared" si="257"/>
        <v>6.0165934065934064</v>
      </c>
      <c r="N75" s="775">
        <v>6</v>
      </c>
      <c r="O75" s="82">
        <v>6.634731182795699</v>
      </c>
      <c r="P75" s="266">
        <f t="shared" si="258"/>
        <v>7.5</v>
      </c>
      <c r="Q75" s="266">
        <f t="shared" si="259"/>
        <v>6.1736612021857926</v>
      </c>
      <c r="R75" s="775">
        <v>10</v>
      </c>
      <c r="S75" s="82">
        <v>5.5487096774193549</v>
      </c>
      <c r="T75" s="266">
        <f t="shared" si="260"/>
        <v>8.0065359477124183</v>
      </c>
      <c r="U75" s="266">
        <f t="shared" si="261"/>
        <v>6.047037037037037</v>
      </c>
      <c r="V75" s="775">
        <v>10</v>
      </c>
      <c r="W75" s="82">
        <v>5.3706805555555555</v>
      </c>
      <c r="X75" s="353">
        <f t="shared" ref="X75:Y78" si="281">+((N75*N$3)+(R75*R$3)+(V$3*V75))/X$3</f>
        <v>8.6521739130434785</v>
      </c>
      <c r="Y75" s="353">
        <f t="shared" si="281"/>
        <v>5.8565987318840582</v>
      </c>
      <c r="Z75" s="667">
        <f t="shared" si="263"/>
        <v>8.3333333333333339</v>
      </c>
      <c r="AA75" s="667">
        <f t="shared" si="280"/>
        <v>5.9361589253187619</v>
      </c>
      <c r="AB75" s="775">
        <v>10</v>
      </c>
      <c r="AC75" s="82">
        <v>3.6393548387096772</v>
      </c>
      <c r="AD75" s="266">
        <f t="shared" si="264"/>
        <v>8.574766355140186</v>
      </c>
      <c r="AE75" s="266">
        <f t="shared" si="265"/>
        <v>5.6034443146417443</v>
      </c>
      <c r="AF75" s="775">
        <v>10</v>
      </c>
      <c r="AG75" s="82">
        <v>2.6011111111111109</v>
      </c>
      <c r="AH75" s="266">
        <f t="shared" si="266"/>
        <v>8.75</v>
      </c>
      <c r="AI75" s="266">
        <f t="shared" si="267"/>
        <v>5.2343049863387971</v>
      </c>
      <c r="AJ75" s="775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8.8909090909090907</v>
      </c>
      <c r="AO75" s="266">
        <f t="shared" si="270"/>
        <v>5.0537348484848481</v>
      </c>
      <c r="AP75" s="775">
        <v>10</v>
      </c>
      <c r="AQ75" s="82">
        <v>5.5112903225806447</v>
      </c>
      <c r="AR75" s="266">
        <f t="shared" si="271"/>
        <v>9.0032679738562091</v>
      </c>
      <c r="AS75" s="266">
        <f t="shared" si="272"/>
        <v>5.1000885076252711</v>
      </c>
      <c r="AT75" s="775">
        <v>10</v>
      </c>
      <c r="AU75" s="82">
        <v>4.9985714285714282</v>
      </c>
      <c r="AV75" s="266">
        <f t="shared" si="273"/>
        <v>9.0868263473053901</v>
      </c>
      <c r="AW75" s="266">
        <f t="shared" si="274"/>
        <v>5.091578093812374</v>
      </c>
      <c r="AX75" s="775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9.1643835616438363</v>
      </c>
      <c r="BE75" s="266">
        <f t="shared" si="279"/>
        <v>5.0801563926940627</v>
      </c>
      <c r="BF75" s="26"/>
      <c r="BG75" s="26"/>
      <c r="BH75" s="26"/>
      <c r="BI75" s="26"/>
      <c r="BJ75" s="26"/>
    </row>
    <row r="76" spans="1:62" ht="15.75" x14ac:dyDescent="0.25">
      <c r="B76" s="3754" t="s">
        <v>621</v>
      </c>
      <c r="C76" s="3130" t="s">
        <v>481</v>
      </c>
      <c r="D76" s="775">
        <v>13.5</v>
      </c>
      <c r="E76" s="82">
        <v>12.186333333333334</v>
      </c>
      <c r="F76" s="775">
        <v>13.5</v>
      </c>
      <c r="G76" s="82">
        <v>12.798709677419355</v>
      </c>
      <c r="H76" s="3755">
        <f t="shared" si="255"/>
        <v>13.5</v>
      </c>
      <c r="I76" s="107">
        <f t="shared" si="255"/>
        <v>12.497540983606557</v>
      </c>
      <c r="J76" s="775">
        <v>10</v>
      </c>
      <c r="K76" s="82">
        <v>12.834666666666665</v>
      </c>
      <c r="L76" s="353">
        <f t="shared" si="256"/>
        <v>12.346153846153847</v>
      </c>
      <c r="M76" s="353">
        <f t="shared" si="257"/>
        <v>12.608681318681317</v>
      </c>
      <c r="N76" s="775">
        <v>13</v>
      </c>
      <c r="O76" s="82">
        <v>12.477419354838711</v>
      </c>
      <c r="P76" s="266">
        <f t="shared" si="258"/>
        <v>12.512295081967213</v>
      </c>
      <c r="Q76" s="266">
        <f t="shared" si="259"/>
        <v>12.575327868852458</v>
      </c>
      <c r="R76" s="775">
        <v>13</v>
      </c>
      <c r="S76" s="82">
        <v>12.779354838709677</v>
      </c>
      <c r="T76" s="266">
        <f t="shared" si="260"/>
        <v>12.611111111111111</v>
      </c>
      <c r="U76" s="266">
        <f t="shared" si="261"/>
        <v>12.616666666666665</v>
      </c>
      <c r="V76" s="775">
        <v>13</v>
      </c>
      <c r="W76" s="82">
        <v>12.360333333333333</v>
      </c>
      <c r="X76" s="353">
        <f t="shared" si="281"/>
        <v>13</v>
      </c>
      <c r="Y76" s="353">
        <f t="shared" si="281"/>
        <v>12.540978260869565</v>
      </c>
      <c r="Z76" s="667">
        <f t="shared" si="263"/>
        <v>12.674863387978142</v>
      </c>
      <c r="AA76" s="667">
        <f t="shared" si="280"/>
        <v>12.574644808743169</v>
      </c>
      <c r="AB76" s="775">
        <v>13</v>
      </c>
      <c r="AC76" s="82">
        <v>13.028387096774194</v>
      </c>
      <c r="AD76" s="266">
        <f t="shared" si="264"/>
        <v>12.721962616822429</v>
      </c>
      <c r="AE76" s="266">
        <f t="shared" si="265"/>
        <v>12.640373831775701</v>
      </c>
      <c r="AF76" s="775">
        <v>13</v>
      </c>
      <c r="AG76" s="82">
        <v>7.6533333333333324</v>
      </c>
      <c r="AH76" s="266">
        <f t="shared" si="266"/>
        <v>12.756147540983607</v>
      </c>
      <c r="AI76" s="266">
        <f t="shared" si="267"/>
        <v>12.027213114754097</v>
      </c>
      <c r="AJ76" s="775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12.783636363636363</v>
      </c>
      <c r="AO76" s="266">
        <f t="shared" si="270"/>
        <v>12.06050909090909</v>
      </c>
      <c r="AP76" s="775">
        <v>13</v>
      </c>
      <c r="AQ76" s="82">
        <v>12.581612903225805</v>
      </c>
      <c r="AR76" s="266">
        <f t="shared" si="271"/>
        <v>12.805555555555555</v>
      </c>
      <c r="AS76" s="266">
        <f t="shared" si="272"/>
        <v>12.113300653594772</v>
      </c>
      <c r="AT76" s="775">
        <v>13</v>
      </c>
      <c r="AU76" s="82">
        <v>12.723214285714286</v>
      </c>
      <c r="AV76" s="266">
        <f t="shared" si="273"/>
        <v>12.821856287425149</v>
      </c>
      <c r="AW76" s="266">
        <f t="shared" si="274"/>
        <v>12.16443113772455</v>
      </c>
      <c r="AX76" s="775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12.836986301369864</v>
      </c>
      <c r="BE76" s="266">
        <f t="shared" si="279"/>
        <v>12.198191780821915</v>
      </c>
      <c r="BF76" s="26"/>
      <c r="BG76" s="26"/>
      <c r="BH76" s="26"/>
      <c r="BI76" s="26"/>
      <c r="BJ76" s="26"/>
    </row>
    <row r="77" spans="1:62" ht="15.75" x14ac:dyDescent="0.25">
      <c r="B77" s="3754" t="s">
        <v>472</v>
      </c>
      <c r="C77" s="3130" t="s">
        <v>481</v>
      </c>
      <c r="D77" s="775">
        <v>110</v>
      </c>
      <c r="E77" s="82">
        <v>98.714333333333343</v>
      </c>
      <c r="F77" s="775">
        <v>110</v>
      </c>
      <c r="G77" s="82">
        <v>107.83387096774193</v>
      </c>
      <c r="H77" s="3755">
        <f t="shared" si="255"/>
        <v>110</v>
      </c>
      <c r="I77" s="107">
        <f t="shared" si="255"/>
        <v>103.3488524590164</v>
      </c>
      <c r="J77" s="775">
        <v>75</v>
      </c>
      <c r="K77" s="82">
        <v>84.246000000000009</v>
      </c>
      <c r="L77" s="353">
        <f t="shared" si="256"/>
        <v>98.461538461538467</v>
      </c>
      <c r="M77" s="353">
        <f t="shared" si="257"/>
        <v>97.051208791208794</v>
      </c>
      <c r="N77" s="775">
        <v>40</v>
      </c>
      <c r="O77" s="82">
        <v>103.17516129032259</v>
      </c>
      <c r="P77" s="266">
        <f t="shared" si="258"/>
        <v>83.606557377049185</v>
      </c>
      <c r="Q77" s="266">
        <f t="shared" si="259"/>
        <v>98.607295081967209</v>
      </c>
      <c r="R77" s="775">
        <v>105</v>
      </c>
      <c r="S77" s="82">
        <v>101.75935483870968</v>
      </c>
      <c r="T77" s="266">
        <f t="shared" si="260"/>
        <v>87.941176470588232</v>
      </c>
      <c r="U77" s="266">
        <f t="shared" si="261"/>
        <v>99.245947712418314</v>
      </c>
      <c r="V77" s="775">
        <v>105</v>
      </c>
      <c r="W77" s="82">
        <v>105.77099999999999</v>
      </c>
      <c r="X77" s="353">
        <f t="shared" si="281"/>
        <v>83.097826086956516</v>
      </c>
      <c r="Y77" s="353">
        <f t="shared" si="281"/>
        <v>103.54456521739131</v>
      </c>
      <c r="Z77" s="667">
        <f t="shared" si="263"/>
        <v>90.73770491803279</v>
      </c>
      <c r="AA77" s="667">
        <f t="shared" si="280"/>
        <v>100.31562841530055</v>
      </c>
      <c r="AB77" s="775">
        <v>110</v>
      </c>
      <c r="AC77" s="82">
        <v>101.85129032258065</v>
      </c>
      <c r="AD77" s="266">
        <f t="shared" si="264"/>
        <v>93.528037383177576</v>
      </c>
      <c r="AE77" s="266">
        <f t="shared" si="265"/>
        <v>100.53808411214953</v>
      </c>
      <c r="AF77" s="775">
        <v>112</v>
      </c>
      <c r="AG77" s="82">
        <v>7.8066666666666666</v>
      </c>
      <c r="AH77" s="266">
        <f t="shared" si="266"/>
        <v>95.799180327868854</v>
      </c>
      <c r="AI77" s="266">
        <f t="shared" si="267"/>
        <v>89.136680327868859</v>
      </c>
      <c r="AJ77" s="775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97.625454545454545</v>
      </c>
      <c r="AO77" s="266">
        <f t="shared" si="270"/>
        <v>89.877818181818185</v>
      </c>
      <c r="AP77" s="775">
        <v>112</v>
      </c>
      <c r="AQ77" s="82">
        <v>103.4690322580645</v>
      </c>
      <c r="AR77" s="266">
        <f t="shared" si="271"/>
        <v>99.08169934640523</v>
      </c>
      <c r="AS77" s="266">
        <f t="shared" si="272"/>
        <v>91.254705882352951</v>
      </c>
      <c r="AT77" s="775">
        <v>112</v>
      </c>
      <c r="AU77" s="82">
        <v>106.77107142857143</v>
      </c>
      <c r="AV77" s="266">
        <f t="shared" si="273"/>
        <v>100.16467065868264</v>
      </c>
      <c r="AW77" s="266">
        <f t="shared" si="274"/>
        <v>92.555479041916172</v>
      </c>
      <c r="AX77" s="775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101.16986301369863</v>
      </c>
      <c r="BE77" s="266">
        <f t="shared" si="279"/>
        <v>94.09997260273974</v>
      </c>
      <c r="BF77" s="26"/>
      <c r="BG77" s="26"/>
      <c r="BH77" s="26"/>
      <c r="BI77" s="26"/>
      <c r="BJ77" s="26"/>
    </row>
    <row r="78" spans="1:62" ht="16.5" thickBot="1" x14ac:dyDescent="0.3">
      <c r="B78" s="3756" t="s">
        <v>473</v>
      </c>
      <c r="C78" s="3757" t="s">
        <v>481</v>
      </c>
      <c r="D78" s="775">
        <v>11.2</v>
      </c>
      <c r="E78" s="101">
        <v>8.9121111111111109</v>
      </c>
      <c r="F78" s="775">
        <v>11.2</v>
      </c>
      <c r="G78" s="101">
        <v>9.6602150537634408</v>
      </c>
      <c r="H78" s="3755">
        <f t="shared" si="255"/>
        <v>11.200000000000001</v>
      </c>
      <c r="I78" s="107">
        <f t="shared" si="255"/>
        <v>9.2922950819672128</v>
      </c>
      <c r="J78" s="775">
        <v>9</v>
      </c>
      <c r="K78" s="82">
        <v>9.0474444444444444</v>
      </c>
      <c r="L78" s="353">
        <f t="shared" si="256"/>
        <v>10.474725274725275</v>
      </c>
      <c r="M78" s="353">
        <f t="shared" si="257"/>
        <v>9.2115750915750922</v>
      </c>
      <c r="N78" s="775">
        <v>9</v>
      </c>
      <c r="O78" s="82">
        <v>9.5784946236559136</v>
      </c>
      <c r="P78" s="266">
        <f t="shared" si="258"/>
        <v>10.1</v>
      </c>
      <c r="Q78" s="266">
        <f t="shared" si="259"/>
        <v>9.3048087431693993</v>
      </c>
      <c r="R78" s="775">
        <v>9</v>
      </c>
      <c r="S78" s="82">
        <v>9.9317204301075286</v>
      </c>
      <c r="T78" s="266">
        <f t="shared" si="260"/>
        <v>9.8771241830065364</v>
      </c>
      <c r="U78" s="266">
        <f t="shared" si="261"/>
        <v>9.4318300653594775</v>
      </c>
      <c r="V78" s="775">
        <v>9</v>
      </c>
      <c r="W78" s="82">
        <v>9.2617777777777768</v>
      </c>
      <c r="X78" s="353">
        <f t="shared" si="281"/>
        <v>9</v>
      </c>
      <c r="Y78" s="353">
        <f t="shared" si="281"/>
        <v>9.5942391304347829</v>
      </c>
      <c r="Z78" s="667">
        <f t="shared" si="263"/>
        <v>9.7333333333333343</v>
      </c>
      <c r="AA78" s="667">
        <f t="shared" si="280"/>
        <v>9.4039526411657572</v>
      </c>
      <c r="AB78" s="775">
        <v>9</v>
      </c>
      <c r="AC78" s="82">
        <v>9.5245161290322571</v>
      </c>
      <c r="AD78" s="266">
        <f t="shared" si="264"/>
        <v>9.6271028037383193</v>
      </c>
      <c r="AE78" s="266">
        <f t="shared" si="265"/>
        <v>9.4214174454828665</v>
      </c>
      <c r="AF78" s="775">
        <v>9</v>
      </c>
      <c r="AG78" s="82">
        <v>10.108888888888888</v>
      </c>
      <c r="AH78" s="266">
        <f t="shared" si="266"/>
        <v>9.5500000000000007</v>
      </c>
      <c r="AI78" s="266">
        <f t="shared" si="267"/>
        <v>9.505942622950819</v>
      </c>
      <c r="AJ78" s="775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9.4880000000000013</v>
      </c>
      <c r="AO78" s="266">
        <f t="shared" si="270"/>
        <v>9.5603393939393939</v>
      </c>
      <c r="AP78" s="775">
        <v>9</v>
      </c>
      <c r="AQ78" s="82">
        <v>9.8933333333333344</v>
      </c>
      <c r="AR78" s="266">
        <f t="shared" si="271"/>
        <v>9.4385620915032682</v>
      </c>
      <c r="AS78" s="266">
        <f t="shared" si="272"/>
        <v>9.594074074074074</v>
      </c>
      <c r="AT78" s="775">
        <v>9</v>
      </c>
      <c r="AU78" s="82">
        <v>10.262857142857143</v>
      </c>
      <c r="AV78" s="266">
        <f t="shared" si="273"/>
        <v>9.4017964071856301</v>
      </c>
      <c r="AW78" s="266">
        <f t="shared" si="274"/>
        <v>9.650139720558883</v>
      </c>
      <c r="AX78" s="775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9.3676712328767131</v>
      </c>
      <c r="BE78" s="266">
        <f t="shared" si="279"/>
        <v>9.6423013698630147</v>
      </c>
      <c r="BF78" s="26"/>
      <c r="BG78" s="26"/>
      <c r="BH78" s="26"/>
      <c r="BI78" s="26"/>
      <c r="BJ78" s="26"/>
    </row>
    <row r="79" spans="1:62" ht="19.5" thickBot="1" x14ac:dyDescent="0.3">
      <c r="B79" s="247" t="s">
        <v>2303</v>
      </c>
      <c r="C79" s="48" t="s">
        <v>481</v>
      </c>
      <c r="D79" s="997">
        <f>SUM(D75:D78)</f>
        <v>143.69999999999999</v>
      </c>
      <c r="E79" s="997">
        <f>SUM(E75:E78)</f>
        <v>126.13077777777779</v>
      </c>
      <c r="F79" s="997">
        <f>SUM(F75:F78)</f>
        <v>143.69999999999999</v>
      </c>
      <c r="G79" s="997">
        <f>SUM(G75:G78)</f>
        <v>136.97182795698924</v>
      </c>
      <c r="H79" s="3095">
        <f t="shared" ref="H79:AA79" si="282">SUM(H71:H78)</f>
        <v>193.7</v>
      </c>
      <c r="I79" s="3759">
        <f t="shared" si="282"/>
        <v>157.20442622950821</v>
      </c>
      <c r="J79" s="997">
        <f t="shared" ref="J79:K79" si="283">SUM(J71:J78)</f>
        <v>137</v>
      </c>
      <c r="K79" s="143">
        <f t="shared" si="283"/>
        <v>131.5853888888889</v>
      </c>
      <c r="L79" s="1595">
        <f t="shared" si="282"/>
        <v>175.00769230769234</v>
      </c>
      <c r="M79" s="1596">
        <f t="shared" si="282"/>
        <v>148.75858974358974</v>
      </c>
      <c r="N79" s="997">
        <f t="shared" ref="N79:O79" si="284">SUM(N71:N78)</f>
        <v>105</v>
      </c>
      <c r="O79" s="143">
        <f t="shared" si="284"/>
        <v>155.04053763440862</v>
      </c>
      <c r="P79" s="846">
        <f t="shared" ref="P79:S79" si="285">SUM(P71:P78)</f>
        <v>157.2188524590164</v>
      </c>
      <c r="Q79" s="601">
        <f t="shared" si="285"/>
        <v>150.35482240437156</v>
      </c>
      <c r="R79" s="997">
        <f t="shared" si="285"/>
        <v>169</v>
      </c>
      <c r="S79" s="143">
        <f t="shared" si="285"/>
        <v>159.09591397849465</v>
      </c>
      <c r="T79" s="3095">
        <f t="shared" ref="T79:W79" si="286">SUM(T71:T78)</f>
        <v>159.60588235294119</v>
      </c>
      <c r="U79" s="601">
        <f t="shared" si="286"/>
        <v>152.12589324618739</v>
      </c>
      <c r="V79" s="997">
        <f t="shared" si="286"/>
        <v>169</v>
      </c>
      <c r="W79" s="143">
        <f t="shared" si="286"/>
        <v>158.24745833333333</v>
      </c>
      <c r="X79" s="1595">
        <f t="shared" ref="X79:Y79" si="287">SUM(X71:X78)</f>
        <v>147.43478260869566</v>
      </c>
      <c r="Y79" s="1596">
        <f t="shared" si="287"/>
        <v>157.45275815217391</v>
      </c>
      <c r="Z79" s="993">
        <f t="shared" si="282"/>
        <v>161.14590163934429</v>
      </c>
      <c r="AA79" s="519">
        <f t="shared" si="282"/>
        <v>153.12942850637523</v>
      </c>
      <c r="AB79" s="997">
        <f t="shared" ref="AB79:AC79" si="288">SUM(AB71:AB78)</f>
        <v>174</v>
      </c>
      <c r="AC79" s="143">
        <f t="shared" si="288"/>
        <v>153.26354838709679</v>
      </c>
      <c r="AD79" s="997">
        <f t="shared" ref="AD79:AG79" si="289">SUM(AD71:AD78)</f>
        <v>163.00794392523366</v>
      </c>
      <c r="AE79" s="143">
        <f t="shared" si="289"/>
        <v>153.14885708722741</v>
      </c>
      <c r="AF79" s="997">
        <f t="shared" si="289"/>
        <v>176</v>
      </c>
      <c r="AG79" s="143">
        <f t="shared" si="289"/>
        <v>50.347666666666669</v>
      </c>
      <c r="AH79" s="997">
        <f t="shared" ref="AH79:AK79" si="290">SUM(AH71:AH78)</f>
        <v>164.60532786885247</v>
      </c>
      <c r="AI79" s="143">
        <f t="shared" si="290"/>
        <v>140.50936646174864</v>
      </c>
      <c r="AJ79" s="997">
        <f t="shared" si="290"/>
        <v>176</v>
      </c>
      <c r="AK79" s="143">
        <f t="shared" si="290"/>
        <v>149.33741935483872</v>
      </c>
      <c r="AL79" s="1595">
        <f t="shared" ref="AL79:AS79" si="291">SUM(AL71:AL78)</f>
        <v>175.32608695652175</v>
      </c>
      <c r="AM79" s="1596">
        <f t="shared" si="291"/>
        <v>118.38108695652173</v>
      </c>
      <c r="AN79" s="997">
        <f t="shared" si="291"/>
        <v>165.88981818181819</v>
      </c>
      <c r="AO79" s="143">
        <f t="shared" si="291"/>
        <v>141.50452878787877</v>
      </c>
      <c r="AP79" s="997">
        <f t="shared" si="291"/>
        <v>176</v>
      </c>
      <c r="AQ79" s="143">
        <f t="shared" si="291"/>
        <v>152.98494623655913</v>
      </c>
      <c r="AR79" s="997">
        <f t="shared" si="291"/>
        <v>166.91405228758168</v>
      </c>
      <c r="AS79" s="143">
        <f t="shared" si="291"/>
        <v>142.6675776143791</v>
      </c>
      <c r="AT79" s="997">
        <f t="shared" ref="AT79:AW79" si="292">SUM(AT71:AT78)</f>
        <v>176</v>
      </c>
      <c r="AU79" s="143">
        <f t="shared" si="292"/>
        <v>157.49607142857144</v>
      </c>
      <c r="AV79" s="997">
        <f t="shared" si="292"/>
        <v>167.67574850299403</v>
      </c>
      <c r="AW79" s="143">
        <f t="shared" si="292"/>
        <v>143.91068488023953</v>
      </c>
      <c r="AX79" s="997">
        <f t="shared" ref="AX79:AY79" si="293">SUM(AX71:AX78)</f>
        <v>176</v>
      </c>
      <c r="AY79" s="143">
        <f t="shared" si="293"/>
        <v>165.05913978494624</v>
      </c>
      <c r="AZ79" s="1595">
        <f t="shared" ref="AZ79:BE79" si="294">SUM(AZ71:AZ78)</f>
        <v>176</v>
      </c>
      <c r="BA79" s="1596">
        <f t="shared" si="294"/>
        <v>158.54729629629631</v>
      </c>
      <c r="BB79" s="993">
        <f t="shared" ref="BB79:BC79" si="295">SUM(BB71:BB78)</f>
        <v>175.65934065934067</v>
      </c>
      <c r="BC79" s="519">
        <f t="shared" si="295"/>
        <v>138.24349816849815</v>
      </c>
      <c r="BD79" s="997">
        <f t="shared" si="294"/>
        <v>168.38273972602741</v>
      </c>
      <c r="BE79" s="143">
        <f t="shared" si="294"/>
        <v>145.70685502283106</v>
      </c>
      <c r="BF79" s="26"/>
      <c r="BG79" s="26"/>
      <c r="BH79" s="26"/>
      <c r="BI79" s="26"/>
      <c r="BJ79" s="26"/>
    </row>
    <row r="80" spans="1:62" ht="18.75" x14ac:dyDescent="0.25">
      <c r="B80" s="3763" t="s">
        <v>476</v>
      </c>
      <c r="C80" s="55"/>
      <c r="D80" s="998"/>
      <c r="E80" s="692"/>
      <c r="F80" s="998"/>
      <c r="G80" s="692"/>
      <c r="H80" s="608"/>
      <c r="I80" s="692"/>
      <c r="J80" s="998"/>
      <c r="K80" s="692"/>
      <c r="L80" s="608"/>
      <c r="M80" s="608"/>
      <c r="N80" s="998"/>
      <c r="O80" s="692"/>
      <c r="P80" s="608"/>
      <c r="Q80" s="608"/>
      <c r="R80" s="998"/>
      <c r="S80" s="692"/>
      <c r="T80" s="608"/>
      <c r="U80" s="608"/>
      <c r="V80" s="998"/>
      <c r="W80" s="692"/>
      <c r="X80" s="608"/>
      <c r="Y80" s="608"/>
      <c r="Z80" s="608"/>
      <c r="AA80" s="608"/>
      <c r="AB80" s="998"/>
      <c r="AC80" s="692"/>
      <c r="AD80" s="608"/>
      <c r="AE80" s="608"/>
      <c r="AF80" s="998"/>
      <c r="AG80" s="692"/>
      <c r="AH80" s="608"/>
      <c r="AI80" s="608"/>
      <c r="AJ80" s="998"/>
      <c r="AK80" s="692"/>
      <c r="AL80" s="608"/>
      <c r="AM80" s="608"/>
      <c r="AN80" s="608"/>
      <c r="AO80" s="608"/>
      <c r="AP80" s="998"/>
      <c r="AQ80" s="692"/>
      <c r="AR80" s="608"/>
      <c r="AS80" s="608"/>
      <c r="AT80" s="998"/>
      <c r="AU80" s="692"/>
      <c r="AV80" s="608"/>
      <c r="AW80" s="608"/>
      <c r="AX80" s="998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25">
      <c r="B81" s="3754" t="s">
        <v>620</v>
      </c>
      <c r="C81" s="3130" t="s">
        <v>481</v>
      </c>
      <c r="D81" s="775">
        <v>50</v>
      </c>
      <c r="E81" s="775">
        <v>0</v>
      </c>
      <c r="F81" s="775">
        <v>50</v>
      </c>
      <c r="G81" s="775">
        <v>0</v>
      </c>
      <c r="H81" s="3755">
        <f>+((D81*D$3)+(F$3*F81))/H$3</f>
        <v>50</v>
      </c>
      <c r="I81" s="107">
        <f>+((E81*E$3)+(G$3*G81))/I$3</f>
        <v>0</v>
      </c>
      <c r="J81" s="82">
        <v>0</v>
      </c>
      <c r="K81" s="82">
        <v>0</v>
      </c>
      <c r="L81" s="353">
        <f>+((H81*H$3)+(J$3*J81))/L$3</f>
        <v>33.516483516483518</v>
      </c>
      <c r="M81" s="353">
        <f>+((I81*I$3)+(K$3*K81))/M$3</f>
        <v>0</v>
      </c>
      <c r="N81" s="82">
        <v>0</v>
      </c>
      <c r="O81" s="82">
        <v>0</v>
      </c>
      <c r="P81" s="266">
        <f>+((L81*L$3)+(N$3*N81))/P$3</f>
        <v>25</v>
      </c>
      <c r="Q81" s="266">
        <f>+((M81*M$3)+(O$3*O81))/Q$3</f>
        <v>0</v>
      </c>
      <c r="R81" s="82">
        <v>0</v>
      </c>
      <c r="S81" s="82">
        <v>0</v>
      </c>
      <c r="T81" s="266">
        <f>+((P81*P$3)+(R$3*R81))/T$3</f>
        <v>19.934640522875817</v>
      </c>
      <c r="U81" s="266">
        <f>+((Q81*Q$3)+(S$3*S81))/U$3</f>
        <v>0</v>
      </c>
      <c r="V81" s="82">
        <v>0</v>
      </c>
      <c r="W81" s="82">
        <v>0</v>
      </c>
      <c r="X81" s="353">
        <f t="shared" ref="X81:Y82" si="296">+((N81*N$3)+(R81*R$3)+(V$3*V81))/X$3</f>
        <v>0</v>
      </c>
      <c r="Y81" s="353">
        <f t="shared" si="296"/>
        <v>0</v>
      </c>
      <c r="Z81" s="667">
        <f>+((L81*L$3)+(X$3*X81))/Z$3</f>
        <v>16.666666666666668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14.252336448598131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12.5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297">+((AB81*AB$3)+(AF81*AF$3)+(AJ$3*AJ81))/AL$3</f>
        <v>0</v>
      </c>
      <c r="AM81" s="353">
        <f t="shared" ref="AM81:AM82" si="298">+((AC81*AC$3)+(AG81*AG$3)+(AK$3*AK81))/AM$3</f>
        <v>0</v>
      </c>
      <c r="AN81" s="266">
        <f>+((AH81*AH$3)+(AJ$3*AJ81))/AN$3</f>
        <v>11.090909090909092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9.9673202614379086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9.1317365269461082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299">+((AP81*AP$3)+(AT81*AT$3)+(AX$3*AX81))/AZ$3</f>
        <v>0</v>
      </c>
      <c r="BA81" s="353">
        <f t="shared" ref="BA81:BA82" si="300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8.3561643835616444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5" thickBot="1" x14ac:dyDescent="0.3">
      <c r="B82" s="3756" t="s">
        <v>475</v>
      </c>
      <c r="C82" s="3757" t="s">
        <v>481</v>
      </c>
      <c r="D82" s="1346">
        <v>155.89321821470929</v>
      </c>
      <c r="E82" s="3734">
        <v>125.04133333333333</v>
      </c>
      <c r="F82" s="1346">
        <v>172.06159183714112</v>
      </c>
      <c r="G82" s="3734">
        <v>151.12935483870967</v>
      </c>
      <c r="H82" s="3764">
        <f>+((D82*D$3)+(F$3*F82))/H$3</f>
        <v>164.10993267856807</v>
      </c>
      <c r="I82" s="108">
        <f>+((E82*E$3)+(G$3*G82))/I$3</f>
        <v>138.29918032786884</v>
      </c>
      <c r="J82" s="3734">
        <v>175.07488526934708</v>
      </c>
      <c r="K82" s="3734">
        <v>139.25200000000001</v>
      </c>
      <c r="L82" s="999">
        <f>+((H82*H$3)+(J$3*J82))/L$3</f>
        <v>167.72475221398975</v>
      </c>
      <c r="M82" s="999">
        <f>+((I82*I$3)+(K$3*K82))/M$3</f>
        <v>138.61329670329673</v>
      </c>
      <c r="N82" s="3734">
        <v>133.94724837858203</v>
      </c>
      <c r="O82" s="3734">
        <v>150.0132258064516</v>
      </c>
      <c r="P82" s="603">
        <f>+((L82*L$3)+(N$3*N82))/P$3</f>
        <v>159.14194386236974</v>
      </c>
      <c r="Q82" s="603">
        <f>+((M82*M$3)+(O$3*O82))/Q$3</f>
        <v>141.51000000000002</v>
      </c>
      <c r="R82" s="3734">
        <v>183.78451350436853</v>
      </c>
      <c r="S82" s="3734">
        <v>145.78129032258065</v>
      </c>
      <c r="T82" s="603">
        <f>+((P82*P$3)+(R$3*R82))/T$3</f>
        <v>164.13488280944139</v>
      </c>
      <c r="U82" s="603">
        <f>+((Q82*Q$3)+(S$3*S82))/U$3</f>
        <v>142.37542483660133</v>
      </c>
      <c r="V82" s="3734">
        <v>180.71898674593501</v>
      </c>
      <c r="W82" s="3734">
        <v>131.95733333333334</v>
      </c>
      <c r="X82" s="999">
        <f t="shared" si="296"/>
        <v>165.99189370379909</v>
      </c>
      <c r="Y82" s="999">
        <f t="shared" si="296"/>
        <v>142.69945652173917</v>
      </c>
      <c r="Z82" s="667">
        <f>+((L82*L$3)+(X$3*X82))/Z$3</f>
        <v>166.85358837280103</v>
      </c>
      <c r="AA82" s="667">
        <f>+((M82*M$3)+(Y$3*Y82))/AA$3</f>
        <v>140.66754098360659</v>
      </c>
      <c r="AB82" s="3734">
        <v>188.62614334697059</v>
      </c>
      <c r="AC82" s="3734">
        <v>132.27709677419355</v>
      </c>
      <c r="AD82" s="603">
        <f>+((Z82*Z$3)+(AB$3*AB82))/AD$3</f>
        <v>170.00755661672278</v>
      </c>
      <c r="AE82" s="603">
        <f>+((AA82*AA$3)+(AC$3*AC82))/AE$3</f>
        <v>139.45210280373834</v>
      </c>
      <c r="AF82" s="3734">
        <v>189.2366548386147</v>
      </c>
      <c r="AG82" s="3734">
        <v>69.044666666666672</v>
      </c>
      <c r="AH82" s="603">
        <f>+((AD82*AD$3)+(AF$3*AF82))/AH$3</f>
        <v>172.37179000466031</v>
      </c>
      <c r="AI82" s="603">
        <f>+((AE82*AE$3)+(AG$3*AG82))/AI$3</f>
        <v>130.79545081967214</v>
      </c>
      <c r="AJ82" s="3734">
        <v>190.18494371283936</v>
      </c>
      <c r="AK82" s="3734">
        <v>167.0541935483871</v>
      </c>
      <c r="AL82" s="999">
        <f t="shared" si="297"/>
        <v>189.35047113057118</v>
      </c>
      <c r="AM82" s="999">
        <f t="shared" si="298"/>
        <v>123.37619565217392</v>
      </c>
      <c r="AN82" s="603">
        <f>+((AH82*AH$3)+(AJ$3*AJ82))/AN$3</f>
        <v>174.37981824085506</v>
      </c>
      <c r="AO82" s="603">
        <f>+((AI82*AI$3)+(AK$3*AK82))/AO$3</f>
        <v>134.8828</v>
      </c>
      <c r="AP82" s="3734">
        <v>190.29772149061711</v>
      </c>
      <c r="AQ82" s="3734">
        <v>155.11559139784947</v>
      </c>
      <c r="AR82" s="603">
        <f>+((AN82*AN$3)+(AP$3*AP82))/AR$3</f>
        <v>175.99241628249763</v>
      </c>
      <c r="AS82" s="603">
        <f>+((AO82*AO$3)+(AQ$3*AQ82))/AS$3</f>
        <v>136.93252723311548</v>
      </c>
      <c r="AT82" s="3734">
        <v>191.47994271129102</v>
      </c>
      <c r="AU82" s="3734">
        <v>152.15</v>
      </c>
      <c r="AV82" s="603">
        <f>+((AR82*AR$3)+(AT$3*AT82))/AV$3</f>
        <v>177.29077179149826</v>
      </c>
      <c r="AW82" s="603">
        <f>+((AS82*AS$3)+(AU$3*AU82))/AW$3</f>
        <v>138.20824351297406</v>
      </c>
      <c r="AX82" s="3734">
        <v>188.99943452752183</v>
      </c>
      <c r="AY82" s="3734">
        <v>142.62387096774194</v>
      </c>
      <c r="AZ82" s="999">
        <f t="shared" si="299"/>
        <v>190.21833591642729</v>
      </c>
      <c r="BA82" s="999">
        <f t="shared" si="300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178.28520616085919</v>
      </c>
      <c r="BE82" s="603">
        <f>+((AW82*AW$3)+(AY$3*AY82))/BE$3</f>
        <v>138.5832694063927</v>
      </c>
      <c r="BF82" s="26"/>
      <c r="BG82" s="26"/>
      <c r="BH82" s="26"/>
      <c r="BI82" s="26"/>
      <c r="BJ82" s="26"/>
    </row>
    <row r="83" spans="1:68" ht="19.5" thickBot="1" x14ac:dyDescent="0.3">
      <c r="A83" s="149"/>
      <c r="B83" s="247" t="s">
        <v>2</v>
      </c>
      <c r="C83" s="206" t="s">
        <v>481</v>
      </c>
      <c r="D83" s="997">
        <f t="shared" ref="D83:I83" si="301">SUM(D81:D82)</f>
        <v>205.89321821470929</v>
      </c>
      <c r="E83" s="143">
        <f t="shared" si="301"/>
        <v>125.04133333333333</v>
      </c>
      <c r="F83" s="997">
        <f t="shared" ref="F83:G83" si="302">SUM(F81:F82)</f>
        <v>222.06159183714112</v>
      </c>
      <c r="G83" s="143">
        <f t="shared" si="302"/>
        <v>151.12935483870967</v>
      </c>
      <c r="H83" s="604">
        <f t="shared" si="301"/>
        <v>214.10993267856807</v>
      </c>
      <c r="I83" s="169">
        <f t="shared" si="301"/>
        <v>138.29918032786884</v>
      </c>
      <c r="J83" s="997">
        <f t="shared" ref="J83:K83" si="303">SUM(J81:J82)</f>
        <v>175.07488526934708</v>
      </c>
      <c r="K83" s="143">
        <f t="shared" si="303"/>
        <v>139.25200000000001</v>
      </c>
      <c r="L83" s="2408">
        <f t="shared" ref="L83:Q83" si="304">SUM(L81:L82)</f>
        <v>201.24123573047325</v>
      </c>
      <c r="M83" s="2474">
        <f t="shared" si="304"/>
        <v>138.61329670329673</v>
      </c>
      <c r="N83" s="997">
        <f t="shared" si="304"/>
        <v>133.94724837858203</v>
      </c>
      <c r="O83" s="143">
        <f t="shared" si="304"/>
        <v>150.0132258064516</v>
      </c>
      <c r="P83" s="604">
        <f t="shared" si="304"/>
        <v>184.14194386236974</v>
      </c>
      <c r="Q83" s="604">
        <f t="shared" si="304"/>
        <v>141.51000000000002</v>
      </c>
      <c r="R83" s="997">
        <f t="shared" ref="R83:U83" si="305">SUM(R81:R82)</f>
        <v>183.78451350436853</v>
      </c>
      <c r="S83" s="143">
        <f t="shared" si="305"/>
        <v>145.78129032258065</v>
      </c>
      <c r="T83" s="604">
        <f t="shared" si="305"/>
        <v>184.0695233323172</v>
      </c>
      <c r="U83" s="604">
        <f t="shared" si="305"/>
        <v>142.37542483660133</v>
      </c>
      <c r="V83" s="997">
        <f t="shared" ref="V83:W83" si="306">SUM(V81:V82)</f>
        <v>180.71898674593501</v>
      </c>
      <c r="W83" s="143">
        <f t="shared" si="306"/>
        <v>131.95733333333334</v>
      </c>
      <c r="X83" s="2408">
        <f t="shared" ref="X83:Y83" si="307">SUM(X81:X82)</f>
        <v>165.99189370379909</v>
      </c>
      <c r="Y83" s="2474">
        <f t="shared" si="307"/>
        <v>142.69945652173917</v>
      </c>
      <c r="Z83" s="2476">
        <f t="shared" ref="Z83:AE83" si="308">SUM(Z81:Z82)</f>
        <v>183.52025503946768</v>
      </c>
      <c r="AA83" s="519">
        <f t="shared" si="308"/>
        <v>140.66754098360659</v>
      </c>
      <c r="AB83" s="997">
        <f t="shared" si="308"/>
        <v>188.62614334697059</v>
      </c>
      <c r="AC83" s="143">
        <f t="shared" si="308"/>
        <v>132.27709677419355</v>
      </c>
      <c r="AD83" s="604">
        <f t="shared" si="308"/>
        <v>184.25989306532091</v>
      </c>
      <c r="AE83" s="604">
        <f t="shared" si="308"/>
        <v>139.45210280373834</v>
      </c>
      <c r="AF83" s="997">
        <f t="shared" ref="AF83:AI83" si="309">SUM(AF81:AF82)</f>
        <v>189.2366548386147</v>
      </c>
      <c r="AG83" s="143">
        <f t="shared" si="309"/>
        <v>69.044666666666672</v>
      </c>
      <c r="AH83" s="604">
        <f t="shared" si="309"/>
        <v>184.87179000466031</v>
      </c>
      <c r="AI83" s="604">
        <f t="shared" si="309"/>
        <v>130.79545081967214</v>
      </c>
      <c r="AJ83" s="997">
        <f t="shared" ref="AJ83:AK83" si="310">SUM(AJ81:AJ82)</f>
        <v>190.18494371283936</v>
      </c>
      <c r="AK83" s="143">
        <f t="shared" si="310"/>
        <v>167.0541935483871</v>
      </c>
      <c r="AL83" s="2770">
        <f t="shared" ref="AL83:AS83" si="311">SUM(AL81:AL82)</f>
        <v>189.35047113057118</v>
      </c>
      <c r="AM83" s="2474">
        <f t="shared" si="311"/>
        <v>123.37619565217392</v>
      </c>
      <c r="AN83" s="604">
        <f t="shared" si="311"/>
        <v>185.47072733176415</v>
      </c>
      <c r="AO83" s="604">
        <f t="shared" si="311"/>
        <v>134.8828</v>
      </c>
      <c r="AP83" s="997">
        <f t="shared" si="311"/>
        <v>190.29772149061711</v>
      </c>
      <c r="AQ83" s="143">
        <f t="shared" si="311"/>
        <v>155.11559139784947</v>
      </c>
      <c r="AR83" s="604">
        <f t="shared" si="311"/>
        <v>185.95973654393555</v>
      </c>
      <c r="AS83" s="604">
        <f t="shared" si="311"/>
        <v>136.93252723311548</v>
      </c>
      <c r="AT83" s="997">
        <f t="shared" ref="AT83:AW83" si="312">SUM(AT81:AT82)</f>
        <v>191.47994271129102</v>
      </c>
      <c r="AU83" s="143">
        <f t="shared" si="312"/>
        <v>152.15</v>
      </c>
      <c r="AV83" s="604">
        <f t="shared" si="312"/>
        <v>186.42250831844436</v>
      </c>
      <c r="AW83" s="604">
        <f t="shared" si="312"/>
        <v>138.20824351297406</v>
      </c>
      <c r="AX83" s="997">
        <f t="shared" ref="AX83:AY83" si="313">SUM(AX81:AX82)</f>
        <v>188.99943452752183</v>
      </c>
      <c r="AY83" s="143">
        <f t="shared" si="313"/>
        <v>142.62387096774194</v>
      </c>
      <c r="AZ83" s="3096">
        <f t="shared" ref="AZ83:BE83" si="314">SUM(AZ81:AZ82)</f>
        <v>190.21833591642729</v>
      </c>
      <c r="BA83" s="2474">
        <f t="shared" si="314"/>
        <v>149.89025925925927</v>
      </c>
      <c r="BB83" s="2476">
        <f t="shared" si="314"/>
        <v>189.77963503566485</v>
      </c>
      <c r="BC83" s="519">
        <f t="shared" si="314"/>
        <v>136.4875457875458</v>
      </c>
      <c r="BD83" s="604">
        <f t="shared" si="314"/>
        <v>186.64137054442082</v>
      </c>
      <c r="BE83" s="604">
        <f t="shared" si="314"/>
        <v>138.5832694063927</v>
      </c>
      <c r="BF83" s="26"/>
      <c r="BG83" s="26"/>
      <c r="BH83" s="26"/>
      <c r="BI83" s="26"/>
      <c r="BJ83" s="26"/>
    </row>
    <row r="84" spans="1:68" x14ac:dyDescent="0.25">
      <c r="A84" s="149"/>
      <c r="B84" s="3765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11.632161066778659</v>
      </c>
      <c r="K84" s="362">
        <f>+EMD!K29/(EMD!K$3*24)</f>
        <v>12.155444444444434</v>
      </c>
      <c r="L84" s="1592">
        <f>+EMD!L29/(EMD!L$3*24)</f>
        <v>13.084213514517486</v>
      </c>
      <c r="M84" s="95">
        <f>+EMD!M29/(EMD!M$3*24)</f>
        <v>12.995286637811533</v>
      </c>
      <c r="N84" s="362">
        <f>+EMD!N29/(EMD!N$3*24)</f>
        <v>9.1464197791118007</v>
      </c>
      <c r="O84" s="362">
        <f>+EMD!O29/(EMD!O$3*24)</f>
        <v>12.584395161290324</v>
      </c>
      <c r="P84" s="98">
        <f>+EMD!P29/(EMD!P$3*24)</f>
        <v>12.083626581750469</v>
      </c>
      <c r="Q84" s="98">
        <f>+EMD!Q29/(EMD!Q$3*24)</f>
        <v>12.890879787220078</v>
      </c>
      <c r="R84" s="362">
        <f>+EMD!R29/(EMD!R$3*24)</f>
        <v>14.917200404881076</v>
      </c>
      <c r="S84" s="362">
        <f>+EMD!S29/(EMD!S$3*24)</f>
        <v>12.872379032258063</v>
      </c>
      <c r="T84" s="98">
        <f>+EMD!T29/(EMD!T$3*24)</f>
        <v>12.657749382515494</v>
      </c>
      <c r="U84" s="98">
        <f>+EMD!U29/(EMD!U$3*24)</f>
        <v>12.887131268240845</v>
      </c>
      <c r="V84" s="362">
        <f>+EMD!V29/(EMD!V$3*24)</f>
        <v>14.974472207727153</v>
      </c>
      <c r="W84" s="362">
        <f>+EMD!W29/(EMD!W$3*24)</f>
        <v>13.413180555555559</v>
      </c>
      <c r="X84" s="1592">
        <f>+EMD!X29/(EMD!X$3*24)</f>
        <v>12.991373825386889</v>
      </c>
      <c r="Y84" s="95">
        <f>+EMD!Y29/(EMD!Y$3*24)</f>
        <v>12.951689311594203</v>
      </c>
      <c r="Z84" s="2477">
        <f>+EMD!Z29/(EMD!Z$3*24)</f>
        <v>13.037540009599372</v>
      </c>
      <c r="AA84" s="475">
        <f>+EMD!AA29/(EMD!AA$3*24)</f>
        <v>12.973368856325225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13.211962284758485</v>
      </c>
      <c r="AE84" s="98">
        <f>+EMD!AE29/(EMD!AE$3*24)</f>
        <v>12.999514411405839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13.335179084803171</v>
      </c>
      <c r="AI84" s="98">
        <f>+EMD!AI29/(EMD!AI$3*24)</f>
        <v>12.477550549347745</v>
      </c>
      <c r="AJ84" s="362">
        <f>+EMD!AJ29/(EMD!AJ$3*24)</f>
        <v>14.241616360697778</v>
      </c>
      <c r="AK84" s="362">
        <f>+EMD!AK29/(EMD!AK$3*24)</f>
        <v>15.220969277327148</v>
      </c>
      <c r="AL84" s="1592">
        <f>+EMD!AL29/(EMD!AL$3*24)</f>
        <v>14.232651979531738</v>
      </c>
      <c r="AM84" s="95">
        <f>+EMD!AM29/(EMD!AM$3*24)</f>
        <v>12.415716097070378</v>
      </c>
      <c r="AN84" s="98">
        <f>+EMD!AN29/(EMD!AN$3*24)</f>
        <v>13.437359286813109</v>
      </c>
      <c r="AO84" s="98">
        <f>+EMD!AO29/(EMD!AO$3*24)</f>
        <v>12.786808660501785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13.518836310638026</v>
      </c>
      <c r="AS84" s="98">
        <f>+EMD!AS29/(EMD!AS$3*24)</f>
        <v>12.949709580516309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13.582391193920548</v>
      </c>
      <c r="AW84" s="98">
        <f>+EMD!AW29/(EMD!AW$3*24)</f>
        <v>13.031005657586979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475">
        <f>+EMD!BA29/(EMD!BA$3*24)</f>
        <v>13.984036378350325</v>
      </c>
      <c r="BB84" s="2477">
        <f>+EMD!BB29/(EMD!BB$3*24)</f>
        <v>14.242521671397853</v>
      </c>
      <c r="BC84" s="475">
        <f>+EMD!BC29/(EMD!BC$3*24)</f>
        <v>13.191259093307714</v>
      </c>
      <c r="BD84" s="98">
        <f>+EMD!BD29/(EMD!BD$3*24)</f>
        <v>13.63838018068793</v>
      </c>
      <c r="BE84" s="98">
        <f>+EMD!BE29/(EMD!BE$3*24)</f>
        <v>13.082015495039782</v>
      </c>
      <c r="BF84" s="26"/>
      <c r="BG84" s="26"/>
      <c r="BH84" s="26"/>
      <c r="BI84" s="26"/>
      <c r="BJ84" s="26"/>
    </row>
    <row r="85" spans="1:68" x14ac:dyDescent="0.25">
      <c r="A85" s="149"/>
      <c r="B85" s="9" t="s">
        <v>1924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121.30747821858326</v>
      </c>
      <c r="K85" s="362">
        <f>EMD!K63/(EMD!K$3*24)</f>
        <v>138.25694444444437</v>
      </c>
      <c r="L85" s="383">
        <f>EMD!L63/(EMD!L$3*24)</f>
        <v>158.83998266562071</v>
      </c>
      <c r="M85" s="2475">
        <f>EMD!M63/(EMD!M$3*24)</f>
        <v>159.75416666666663</v>
      </c>
      <c r="N85" s="362">
        <f>EMD!N63/(EMD!N$3*24)</f>
        <v>77.895546735134218</v>
      </c>
      <c r="O85" s="362">
        <f>EMD!O63/(EMD!O$3*24)</f>
        <v>172.44623655913978</v>
      </c>
      <c r="P85" s="98">
        <f>EMD!P63/(EMD!P$3*24)</f>
        <v>138.27213419148069</v>
      </c>
      <c r="Q85" s="98">
        <f>EMD!Q63/(EMD!Q$3*24)</f>
        <v>162.97920081967212</v>
      </c>
      <c r="R85" s="362">
        <f>EMD!R63/(EMD!R$3*24)</f>
        <v>153.98165129038946</v>
      </c>
      <c r="S85" s="362">
        <f>EMD!S63/(EMD!S$3*24)</f>
        <v>167.87096774193543</v>
      </c>
      <c r="T85" s="98">
        <f>EMD!T63/(EMD!T$3*24)</f>
        <v>141.45510824420077</v>
      </c>
      <c r="U85" s="98">
        <f>EMD!U63/(EMD!U$3*24)</f>
        <v>163.97034313725487</v>
      </c>
      <c r="V85" s="362">
        <f>EMD!V63/(EMD!V$3*24)</f>
        <v>153.64819319022692</v>
      </c>
      <c r="W85" s="362">
        <f>EMD!W63/(EMD!W$3*24)</f>
        <v>175.19861111111112</v>
      </c>
      <c r="X85" s="383">
        <f>EMD!X63/(EMD!X$3*24)</f>
        <v>128.23520580976131</v>
      </c>
      <c r="Y85" s="2475">
        <f>EMD!Y63/(EMD!Y$3*24)</f>
        <v>171.80208333333331</v>
      </c>
      <c r="Z85" s="2477">
        <f>EMD!Z63/(EMD!Z$3*24)</f>
        <v>143.45397462879524</v>
      </c>
      <c r="AA85" s="475">
        <f>EMD!AA63/(EMD!AA$3*24)</f>
        <v>165.81104280510016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146.25370322671421</v>
      </c>
      <c r="AE85" s="98">
        <f>EMD!AE63/(EMD!AE$3*24)</f>
        <v>166.62620539507216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148.29711370495957</v>
      </c>
      <c r="AI85" s="98">
        <f>EMD!AI63/(EMD!AI$3*24)</f>
        <v>147.11034680824636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475">
        <f>EMD!AM63/(EMD!AM$3*24)</f>
        <v>121.25049407114621</v>
      </c>
      <c r="AN85" s="98">
        <f>EMD!AN63/(EMD!AN$3*24)</f>
        <v>149.9298577362089</v>
      </c>
      <c r="AO85" s="98">
        <f>EMD!AO63/(EMD!AO$3*24)</f>
        <v>150.90351377410465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151.23178434936196</v>
      </c>
      <c r="AS85" s="98">
        <f>EMD!AS63/(EMD!AS$3*24)</f>
        <v>153.43888765101997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152.14320017680083</v>
      </c>
      <c r="AW85" s="98">
        <f>EMD!AW63/(EMD!AW$3*24)</f>
        <v>155.40009866630373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475">
        <f>EMD!BA63/(EMD!BA$3*24)</f>
        <v>177.43425925925919</v>
      </c>
      <c r="BB85" s="2477">
        <f>EMD!BB63/(EMD!BB$3*24)</f>
        <v>162.56112939220728</v>
      </c>
      <c r="BC85" s="475">
        <f>EMD!BC63/(EMD!BC$3*24)</f>
        <v>149.03367465867461</v>
      </c>
      <c r="BD85" s="98">
        <f>EMD!BD63/(EMD!BD$3*24)</f>
        <v>152.98137782589382</v>
      </c>
      <c r="BE85" s="98">
        <f>EMD!BE63/(EMD!BE$3*24)</f>
        <v>157.44534142797838</v>
      </c>
      <c r="BF85" s="26"/>
      <c r="BG85" s="2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11.650943396226417</v>
      </c>
      <c r="K86" s="362">
        <f>EMD!K85/(EMD!K$3*24)</f>
        <v>10.95424166666667</v>
      </c>
      <c r="L86" s="383">
        <f>EMD!L85/(EMD!L$3*24)</f>
        <v>12.593037924001631</v>
      </c>
      <c r="M86" s="2475">
        <f>EMD!M85/(EMD!M$3*24)</f>
        <v>8.0294423076923085</v>
      </c>
      <c r="N86" s="362">
        <f>EMD!N85/(EMD!N$3*24)</f>
        <v>5.1354230066950688</v>
      </c>
      <c r="O86" s="362">
        <f>EMD!O85/(EMD!O$3*24)</f>
        <v>12.334154569892474</v>
      </c>
      <c r="P86" s="98">
        <f>EMD!P85/(EMD!P$3*24)</f>
        <v>10.698070199112259</v>
      </c>
      <c r="Q86" s="98">
        <f>EMD!Q85/(EMD!Q$3*24)</f>
        <v>9.123262636612024</v>
      </c>
      <c r="R86" s="362">
        <f>EMD!R85/(EMD!R$3*24)</f>
        <v>18.230371272063305</v>
      </c>
      <c r="S86" s="362">
        <f>EMD!S85/(EMD!S$3*24)</f>
        <v>16.095837365591397</v>
      </c>
      <c r="T86" s="98">
        <f>EMD!T85/(EMD!T$3*24)</f>
        <v>12.224222704089268</v>
      </c>
      <c r="U86" s="98">
        <f>EMD!U85/(EMD!U$3*24)</f>
        <v>10.536006535947713</v>
      </c>
      <c r="V86" s="362">
        <f>EMD!V85/(EMD!V$3*24)</f>
        <v>18.209119496855347</v>
      </c>
      <c r="W86" s="362">
        <f>EMD!W85/(EMD!W$3*24)</f>
        <v>11.613037222222223</v>
      </c>
      <c r="X86" s="383">
        <f>EMD!X85/(EMD!X$3*24)</f>
        <v>13.811013125512716</v>
      </c>
      <c r="Y86" s="2475">
        <f>EMD!Y85/(EMD!Y$3*24)</f>
        <v>13.36653115942029</v>
      </c>
      <c r="Z86" s="2477">
        <f>EMD!Z85/(EMD!Z$3*24)</f>
        <v>13.205353325854199</v>
      </c>
      <c r="AA86" s="475">
        <f>EMD!AA85/(EMD!AA$3*24)</f>
        <v>10.7125689435337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14.043486325820833</v>
      </c>
      <c r="AE86" s="98">
        <f>EMD!AE85/(EMD!AE$3*24)</f>
        <v>10.416703931074768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14.652313788080722</v>
      </c>
      <c r="AI86" s="98">
        <f>EMD!AI85/(EMD!AI$3*24)</f>
        <v>9.154934663592897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475">
        <f>EMD!AM85/(EMD!AM$3*24)</f>
        <v>7.8959318795289857</v>
      </c>
      <c r="AN86" s="98">
        <f>EMD!AN85/(EMD!AN$3*24)</f>
        <v>15.141421743221949</v>
      </c>
      <c r="AO86" s="98">
        <f>EMD!AO85/(EMD!AO$3*24)</f>
        <v>9.7702758166666683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15.531429393726718</v>
      </c>
      <c r="AS86" s="98">
        <f>EMD!AS85/(EMD!AS$3*24)</f>
        <v>10.098722819989108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15.815513609053209</v>
      </c>
      <c r="AW86" s="98">
        <f>EMD!AW85/(EMD!AW$3*24)</f>
        <v>10.12594066741517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475">
        <f>EMD!BA85/(EMD!BA$3*24)</f>
        <v>12.283475925925925</v>
      </c>
      <c r="BB86" s="2477">
        <f>EMD!BB85/(EMD!BB$3*24)</f>
        <v>18.980924735641718</v>
      </c>
      <c r="BC86" s="475">
        <f>EMD!BC85/(EMD!BC$3*24)</f>
        <v>10.065596517857143</v>
      </c>
      <c r="BD86" s="98">
        <f>EMD!BD85/(EMD!BD$3*24)</f>
        <v>16.085227289090717</v>
      </c>
      <c r="BE86" s="98">
        <f>EMD!BE85/(EMD!BE$3*24)</f>
        <v>10.389968994292239</v>
      </c>
      <c r="BF86" s="26"/>
      <c r="BG86" s="2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5">
        <f>EMD!D98/(EMD!D$3*24)</f>
        <v>0.10345663334377342</v>
      </c>
      <c r="E87" s="735">
        <f>EMD!E98/(EMD!E$3*24)</f>
        <v>0.82604546923575961</v>
      </c>
      <c r="F87" s="735">
        <f>EMD!F98/(EMD!F$3*24)</f>
        <v>0.55407779418634195</v>
      </c>
      <c r="G87" s="735">
        <f>EMD!G98/(EMD!G$3*24)</f>
        <v>0.39237824646191166</v>
      </c>
      <c r="H87" s="753">
        <f>EMD!H98/(EMD!H$3*24)</f>
        <v>0.33246082983753777</v>
      </c>
      <c r="I87" s="3766">
        <f>EMD!I98/(EMD!I$3*24)</f>
        <v>0.60565720848183691</v>
      </c>
      <c r="J87" s="735">
        <f>EMD!J98/(EMD!J$3*24)</f>
        <v>3.2537356016232439</v>
      </c>
      <c r="K87" s="735">
        <f>EMD!K98/(EMD!K$3*24)</f>
        <v>1.464055295227443</v>
      </c>
      <c r="L87" s="383">
        <f>EMD!L98/(EMD!L$3*24)</f>
        <v>1.2955184469097487</v>
      </c>
      <c r="M87" s="2475">
        <f>EMD!M98/(EMD!M$3*24)</f>
        <v>0.88864558872764121</v>
      </c>
      <c r="N87" s="735">
        <f>EMD!N98/(EMD!N$3*24)</f>
        <v>4.0053806583298446</v>
      </c>
      <c r="O87" s="735">
        <f>EMD!O98/(EMD!O$3*24)</f>
        <v>0.36498029264873511</v>
      </c>
      <c r="P87" s="753">
        <f>EMD!P98/(EMD!P$3*24)</f>
        <v>1.9840899924345272</v>
      </c>
      <c r="Q87" s="753">
        <f>EMD!Q98/(EMD!Q$3*24)</f>
        <v>0.75558309546168967</v>
      </c>
      <c r="R87" s="735">
        <f>EMD!R98/(EMD!R$3*24)</f>
        <v>1.0669296067928418</v>
      </c>
      <c r="S87" s="735">
        <f>EMD!S98/(EMD!S$3*24)</f>
        <v>0.29181372159162611</v>
      </c>
      <c r="T87" s="753">
        <f>EMD!T98/(EMD!T$3*24)</f>
        <v>1.798260110376408</v>
      </c>
      <c r="U87" s="753">
        <f>EMD!U98/(EMD!U$3*24)</f>
        <v>0.66161675173638268</v>
      </c>
      <c r="V87" s="735">
        <f>EMD!V98/(EMD!V$3*24)</f>
        <v>1.0438138712475791</v>
      </c>
      <c r="W87" s="735">
        <f>EMD!W98/(EMD!W$3*24)</f>
        <v>8.0713275147310665E-2</v>
      </c>
      <c r="X87" s="383">
        <f>EMD!X98/(EMD!X$3*24)</f>
        <v>2.0495221125677245</v>
      </c>
      <c r="Y87" s="2475">
        <f>EMD!Y98/(EMD!Y$3*24)</f>
        <v>0.24763057278120126</v>
      </c>
      <c r="Z87" s="2478">
        <f>EMD!Z98/(EMD!Z$3*24)</f>
        <v>1.6745803990438131</v>
      </c>
      <c r="AA87" s="754">
        <f>EMD!AA98/(EMD!AA$3*24)</f>
        <v>0.56638667360702655</v>
      </c>
      <c r="AB87" s="735">
        <f>EMD!AB98/(EMD!AB$3*24)</f>
        <v>0.88563296291688876</v>
      </c>
      <c r="AC87" s="735">
        <f>EMD!AC98/(EMD!AC$3*24)</f>
        <v>0.6185838787301905</v>
      </c>
      <c r="AD87" s="753">
        <f>EMD!AD98/(EMD!AD$3*24)</f>
        <v>1.5602936209132774</v>
      </c>
      <c r="AE87" s="753">
        <f>EMD!AE98/(EMD!AE$3*24)</f>
        <v>0.5739479509846811</v>
      </c>
      <c r="AF87" s="735">
        <f>EMD!AF98/(EMD!AF$3*24)</f>
        <v>0.89394197897679284</v>
      </c>
      <c r="AG87" s="735">
        <f>EMD!AG98/(EMD!AG$3*24)</f>
        <v>3.8436383255874462</v>
      </c>
      <c r="AH87" s="753">
        <f>EMD!AH98/(EMD!AH$3*24)</f>
        <v>1.4783651403473164</v>
      </c>
      <c r="AI87" s="753">
        <f>EMD!AI98/(EMD!AI$3*24)</f>
        <v>0.97595906261616872</v>
      </c>
      <c r="AJ87" s="735">
        <f>EMD!AJ98/(EMD!AJ$3*24)</f>
        <v>0.88563296291688876</v>
      </c>
      <c r="AK87" s="735">
        <f>EMD!AK98/(EMD!AK$3*24)</f>
        <v>0.5024870252091298</v>
      </c>
      <c r="AL87" s="383">
        <f>EMD!AL98/(EMD!AL$3*24)</f>
        <v>0.88834242467555302</v>
      </c>
      <c r="AM87" s="2475">
        <f>EMD!AM98/(EMD!AM$3*24)</f>
        <v>1.6311124759754601</v>
      </c>
      <c r="AN87" s="98">
        <f>EMD!AN98/(EMD!AN$3*24)</f>
        <v>1.4115480585278863</v>
      </c>
      <c r="AO87" s="98">
        <f>EMD!AO98/(EMD!AO$3*24)</f>
        <v>0.92258585112664793</v>
      </c>
      <c r="AP87" s="735">
        <f>EMD!AP98/(EMD!AP$3*24)</f>
        <v>0.88563296291688876</v>
      </c>
      <c r="AQ87" s="735">
        <f>EMD!AQ98/(EMD!AQ$3*24)</f>
        <v>0.22023118279569892</v>
      </c>
      <c r="AR87" s="753">
        <f>EMD!AR98/(EMD!AR$3*24)</f>
        <v>1.3582690782535696</v>
      </c>
      <c r="AS87" s="753">
        <f>EMD!AS98/(EMD!AS$3*24)</f>
        <v>0.85143227361599627</v>
      </c>
      <c r="AT87" s="735">
        <f>EMD!AT98/(EMD!AT$3*24)</f>
        <v>0.93243031209426708</v>
      </c>
      <c r="AU87" s="735">
        <f>EMD!AU98/(EMD!AU$3*24)</f>
        <v>0.1715935278408286</v>
      </c>
      <c r="AV87" s="753">
        <f>EMD!AV98/(EMD!AV$3*24)</f>
        <v>1.32257002001267</v>
      </c>
      <c r="AW87" s="753">
        <f>EMD!AW98/(EMD!AW$3*24)</f>
        <v>0.79443980391029356</v>
      </c>
      <c r="AX87" s="735">
        <f>EMD!AX98/(EMD!AX$3*24)</f>
        <v>0.66807699026574507</v>
      </c>
      <c r="AY87" s="735">
        <f>EMD!AY98/(EMD!AY$3*24)</f>
        <v>0.12676307843074683</v>
      </c>
      <c r="AZ87" s="383">
        <f>EMD!AZ98/(EMD!AZ$3*24)</f>
        <v>0.82525619208112366</v>
      </c>
      <c r="BA87" s="2475">
        <f>EMD!BA98/(EMD!BA$3*24)</f>
        <v>0.17290489863958911</v>
      </c>
      <c r="BB87" s="2477">
        <f>EMD!BB98/(EMD!BB$3*24)</f>
        <v>0.85714593602995603</v>
      </c>
      <c r="BC87" s="475">
        <f>EMD!BC98/(EMD!BC$3*24)</f>
        <v>0.91002081685332614</v>
      </c>
      <c r="BD87" s="98">
        <f>EMD!BD98/(EMD!BD$3*24)</f>
        <v>1.2669829407738902</v>
      </c>
      <c r="BE87" s="98">
        <f>EMD!BE98/(EMD!BE$3*24)</f>
        <v>0.73773301352709919</v>
      </c>
      <c r="BF87" s="26"/>
      <c r="BG87" s="26"/>
      <c r="BH87" s="26"/>
      <c r="BI87" s="26"/>
      <c r="BJ87" s="26"/>
    </row>
    <row r="88" spans="1:68" x14ac:dyDescent="0.25">
      <c r="A88" s="149"/>
      <c r="B88" s="3521" t="s">
        <v>408</v>
      </c>
      <c r="C88" s="18" t="s">
        <v>406</v>
      </c>
      <c r="D88" s="3435">
        <v>8000</v>
      </c>
      <c r="E88" s="181">
        <v>8036.5</v>
      </c>
      <c r="F88" s="7224">
        <v>8000</v>
      </c>
      <c r="G88" s="181">
        <v>8037.7</v>
      </c>
      <c r="H88" s="3133">
        <f>+((D88*(D87*D3*24))+(F88*(F87*24*F3)))/(H87*24*H3)</f>
        <v>7999.9999999999991</v>
      </c>
      <c r="I88" s="39">
        <f>+((E88*(E87*E3*24))+(G88*(G87*24*G3)))/(I87*24*I3)</f>
        <v>8036.8950855412713</v>
      </c>
      <c r="J88" s="4610">
        <v>8000</v>
      </c>
      <c r="K88" s="181">
        <v>8028.4</v>
      </c>
      <c r="L88" s="2396">
        <f>+((H88*(H87*H3*24))+(J88*(J87*24*J3)))/(L87*24*L3)</f>
        <v>7999.9999999999991</v>
      </c>
      <c r="M88" s="69">
        <f>+((E88*(E87*E3*24))+(G88*(G87*G3*24))+(K88*(K87*24*K3)))/(M87*24*M3)</f>
        <v>8032.2810970270575</v>
      </c>
      <c r="N88" s="4839">
        <v>8000</v>
      </c>
      <c r="O88" s="181">
        <v>8028.5</v>
      </c>
      <c r="P88" s="783">
        <f>+((L88*(L87*L3*24))+(N88*(N87*24*N3)))/(P87*24*P3)</f>
        <v>7999.9999999999982</v>
      </c>
      <c r="Q88" s="783">
        <f>+((M88*(M87*M3*24))+(O88*(O87*24*O3)))/(Q87*24*Q3)</f>
        <v>8031.8170020508414</v>
      </c>
      <c r="R88" s="4950">
        <v>8000</v>
      </c>
      <c r="S88" s="181">
        <v>8028.7</v>
      </c>
      <c r="T88" s="4953">
        <f>+((P88*(P87*P3*24))+(R88*(R87*24*R3)))/(T87*24*T3)</f>
        <v>7999.9999999999991</v>
      </c>
      <c r="U88" s="4953">
        <f>+((Q88*(Q87*Q3*24))+(S88*(S87*24*S3)))/(U87*24*U3)</f>
        <v>8031.5384498670392</v>
      </c>
      <c r="V88" s="5070">
        <v>8000</v>
      </c>
      <c r="W88" s="181">
        <v>8028.8</v>
      </c>
      <c r="X88" s="2396">
        <f>+((N88*(N87*N3*24))+(R88*(R87*R3*24))+(V88*(V87*24*V3)))/(X87*24*X3)</f>
        <v>7999.9999999999991</v>
      </c>
      <c r="Y88" s="69">
        <f>+((O88*(O87*O3*24))+(S88*(S87*S3*24))+(W88*(W87*24*W3)))/(Y87*24*Y3)</f>
        <v>8028.6113011648304</v>
      </c>
      <c r="Z88" s="788">
        <v>8000</v>
      </c>
      <c r="AA88" s="501">
        <f>+((M88*(M87*M3*24))+(Y88*(Y87*24*Y3)))/(AA87*24*AA3)</f>
        <v>8031.4744753665573</v>
      </c>
      <c r="AB88" s="5418">
        <v>8000</v>
      </c>
      <c r="AC88" s="181">
        <v>8027.5</v>
      </c>
      <c r="AD88" s="2399">
        <f>+((Z88*(Z87*Z3*24))+(AB88*(AB87*24*AB3)))/(AD87*24*AD3)</f>
        <v>7999.9999999999991</v>
      </c>
      <c r="AE88" s="2399">
        <f>+((AA88*(AA87*AA3*24))+(AC88*(AC87*24*AC3)))/(AE87*24*AE3)</f>
        <v>8030.8539581756932</v>
      </c>
      <c r="AF88" s="5564">
        <v>8000</v>
      </c>
      <c r="AG88" s="181">
        <v>8028</v>
      </c>
      <c r="AH88" s="5568">
        <f>+((AD88*(AD87*AD3*24))+(AF88*(AF87*24*AF3)))/(AH87*24*AH3)</f>
        <v>7999.9999999999964</v>
      </c>
      <c r="AI88" s="5568">
        <f>+((AE88*(AE87*AE3*24))+(AG88*(AG87*24*AG3)))/(AI87*24*AI3)</f>
        <v>8029.4720157603915</v>
      </c>
      <c r="AJ88" s="5968">
        <v>8000</v>
      </c>
      <c r="AK88" s="181">
        <v>8034.3</v>
      </c>
      <c r="AL88" s="2767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2399">
        <f>+((AH88*(AH87*AH3*24))+(AJ88*(AJ87*24*AJ3)))/(AN87*24*AN3)</f>
        <v>7999.9999999999973</v>
      </c>
      <c r="AO88" s="2399">
        <f>+((AI88*(AI87*AI3*24))+(AK88*(AK87*24*AK3)))/(AO87*24*AO3)</f>
        <v>8029.7684394482094</v>
      </c>
      <c r="AP88" s="6132">
        <v>8000</v>
      </c>
      <c r="AQ88" s="181">
        <v>8031.9</v>
      </c>
      <c r="AR88" s="6135">
        <f>+((AN88*(AN87*AN3*24))+(AP88*(AP87*24*AP3)))/(AR87*24*AR3)</f>
        <v>7999.9999999999964</v>
      </c>
      <c r="AS88" s="6135">
        <f>+((AO88*(AO87*AO3*24))+(AQ88*(AQ87*24*AQ3)))/(AS87*24*AS3)</f>
        <v>8029.8242950383574</v>
      </c>
      <c r="AT88" s="6289">
        <v>8000</v>
      </c>
      <c r="AU88" s="181">
        <v>8028.8</v>
      </c>
      <c r="AV88" s="6292">
        <f>+((AR88*(AR87*AR3*24))+(AT88*(AT87*24*AT3)))/(AV87*24*AV3)</f>
        <v>7999.9999999999964</v>
      </c>
      <c r="AW88" s="6292">
        <f>+((AS88*(AS87*AS3*24))+(AU88*(AU87*24*AU3)))/(AW87*24*AW3)</f>
        <v>8029.8057479158269</v>
      </c>
      <c r="AX88" s="6459">
        <v>8000</v>
      </c>
      <c r="AY88" s="181">
        <v>8032.5</v>
      </c>
      <c r="AZ88" s="3090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8">
        <v>8000</v>
      </c>
      <c r="BC88" s="501">
        <f>+((AM88*(AM87*AM3*24))+(BA88*(BA87*24*BA3)))/(BC87*24*BC3)</f>
        <v>8028.8253691179707</v>
      </c>
      <c r="BD88" s="2399">
        <f>+((AV88*(AV87*AV3*24))+(AX88*(AX87*24*AX3)))/(BD87*24*BD3)</f>
        <v>7999.9999999999973</v>
      </c>
      <c r="BE88" s="2399">
        <f>+((AW88*(AW87*AW3*24))+(AY88*(AY87*24*AY3)))/(BE87*24*BE3)</f>
        <v>8029.8450667485049</v>
      </c>
      <c r="BF88" s="26"/>
      <c r="BG88" s="26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56">
        <v>7.1999999999999993</v>
      </c>
      <c r="E89" s="2205">
        <v>41.16</v>
      </c>
      <c r="F89" s="1356">
        <v>7.4399999999999995</v>
      </c>
      <c r="G89" s="2205">
        <v>34.97</v>
      </c>
      <c r="H89" s="3549">
        <f>+D89+F89</f>
        <v>14.639999999999999</v>
      </c>
      <c r="I89" s="3482">
        <f>+E89+G89</f>
        <v>76.13</v>
      </c>
      <c r="J89" s="1356">
        <v>36.000000000000007</v>
      </c>
      <c r="K89" s="2205">
        <v>24.05</v>
      </c>
      <c r="L89" s="383">
        <f>+H89+J89</f>
        <v>50.640000000000008</v>
      </c>
      <c r="M89" s="2475">
        <f>+I89+K89</f>
        <v>100.17999999999999</v>
      </c>
      <c r="N89" s="1356">
        <v>37.200000000000003</v>
      </c>
      <c r="O89" s="2205">
        <v>22</v>
      </c>
      <c r="P89" s="375">
        <f>+L89+N89</f>
        <v>87.84</v>
      </c>
      <c r="Q89" s="375">
        <f>+M89+O89</f>
        <v>122.17999999999999</v>
      </c>
      <c r="R89" s="1356">
        <f>0.01*31*24</f>
        <v>7.4399999999999995</v>
      </c>
      <c r="S89" s="2205">
        <v>59.38000000000001</v>
      </c>
      <c r="T89" s="2206">
        <f>+P89+R89</f>
        <v>95.28</v>
      </c>
      <c r="U89" s="2206">
        <f>+Q89+S89</f>
        <v>181.56</v>
      </c>
      <c r="V89" s="406">
        <v>14.399999999999999</v>
      </c>
      <c r="W89" s="2205">
        <v>20.81</v>
      </c>
      <c r="X89" s="383">
        <f t="shared" ref="X89:Y89" si="315">+N89+R89+V89</f>
        <v>59.04</v>
      </c>
      <c r="Y89" s="2475">
        <f t="shared" si="315"/>
        <v>102.19000000000001</v>
      </c>
      <c r="Z89" s="2479">
        <f>+L89+X89</f>
        <v>109.68</v>
      </c>
      <c r="AA89" s="640">
        <f>+M89+Y89</f>
        <v>202.37</v>
      </c>
      <c r="AB89" s="406">
        <v>14.879999999999999</v>
      </c>
      <c r="AC89" s="2205">
        <v>74.3</v>
      </c>
      <c r="AD89" s="2206">
        <f>+Z89+AB89</f>
        <v>124.56</v>
      </c>
      <c r="AE89" s="2206">
        <f>+AA89+AC89</f>
        <v>276.67</v>
      </c>
      <c r="AF89" s="406">
        <v>7.1999999999999993</v>
      </c>
      <c r="AG89" s="2205">
        <v>22.83</v>
      </c>
      <c r="AH89" s="2206">
        <f>+AD89+AF89</f>
        <v>131.76</v>
      </c>
      <c r="AI89" s="2206">
        <f>+AE89+AG89</f>
        <v>299.5</v>
      </c>
      <c r="AJ89" s="406">
        <v>7.4399999999999995</v>
      </c>
      <c r="AK89" s="2205">
        <v>13.969999999999999</v>
      </c>
      <c r="AL89" s="383">
        <f t="shared" ref="AL89" si="316">+AB89+AF89+AJ89</f>
        <v>29.519999999999996</v>
      </c>
      <c r="AM89" s="2475">
        <f t="shared" ref="AM89" si="317">+AC89+AG89+AK89</f>
        <v>111.1</v>
      </c>
      <c r="AN89" s="2206">
        <f>+AH89+AJ89</f>
        <v>139.19999999999999</v>
      </c>
      <c r="AO89" s="2206">
        <f>+AI89+AK89</f>
        <v>313.47000000000003</v>
      </c>
      <c r="AP89" s="406">
        <v>14.879999999999999</v>
      </c>
      <c r="AQ89" s="2205">
        <v>3.5</v>
      </c>
      <c r="AR89" s="2206">
        <f>+AN89+AP89</f>
        <v>154.07999999999998</v>
      </c>
      <c r="AS89" s="2206">
        <f>+AO89+AQ89</f>
        <v>316.97000000000003</v>
      </c>
      <c r="AT89" s="406">
        <v>6.7200000000000006</v>
      </c>
      <c r="AU89" s="2205">
        <v>38.49</v>
      </c>
      <c r="AV89" s="2206">
        <f>+AR89+AT89</f>
        <v>160.79999999999998</v>
      </c>
      <c r="AW89" s="2206">
        <f>+AS89+AU89</f>
        <v>355.46000000000004</v>
      </c>
      <c r="AX89" s="406">
        <v>14.879999999999999</v>
      </c>
      <c r="AY89" s="2205">
        <v>39.44</v>
      </c>
      <c r="AZ89" s="383">
        <f t="shared" ref="AZ89" si="318">+AP89+AT89+AX89</f>
        <v>36.480000000000004</v>
      </c>
      <c r="BA89" s="2475">
        <f t="shared" ref="BA89" si="319">+AQ89+AU89+AY89</f>
        <v>81.430000000000007</v>
      </c>
      <c r="BB89" s="2479">
        <f>+AL89+AZ89</f>
        <v>66</v>
      </c>
      <c r="BC89" s="640">
        <f>+AM89+BA89</f>
        <v>192.53</v>
      </c>
      <c r="BD89" s="2206">
        <f>+AV89+AX89</f>
        <v>175.67999999999998</v>
      </c>
      <c r="BE89" s="2206">
        <f>+AW89+AY89</f>
        <v>394.90000000000003</v>
      </c>
      <c r="BF89" s="26"/>
      <c r="BG89" s="26"/>
      <c r="BH89" s="26"/>
      <c r="BI89" s="26"/>
      <c r="BJ89" s="26"/>
    </row>
    <row r="90" spans="1:68" x14ac:dyDescent="0.25">
      <c r="A90" s="149"/>
      <c r="B90" s="3521" t="s">
        <v>409</v>
      </c>
      <c r="C90" s="18" t="s">
        <v>410</v>
      </c>
      <c r="D90" s="3435">
        <v>9135</v>
      </c>
      <c r="E90" s="181">
        <v>9135</v>
      </c>
      <c r="F90" s="7224">
        <v>9135</v>
      </c>
      <c r="G90" s="181">
        <v>9135</v>
      </c>
      <c r="H90" s="3133">
        <f>+AVERAGE(D90,F90)</f>
        <v>9135</v>
      </c>
      <c r="I90" s="39">
        <f>+AVERAGE(E90,G90)</f>
        <v>9135</v>
      </c>
      <c r="J90" s="4610">
        <v>9135</v>
      </c>
      <c r="K90" s="181">
        <v>9135</v>
      </c>
      <c r="L90" s="2396">
        <f>+AVERAGE(H90,J90)</f>
        <v>9135</v>
      </c>
      <c r="M90" s="69">
        <f>+AVERAGE(I90,K90)</f>
        <v>9135</v>
      </c>
      <c r="N90" s="4839">
        <v>9135</v>
      </c>
      <c r="O90" s="181">
        <v>9135</v>
      </c>
      <c r="P90" s="783">
        <f>+AVERAGE(L90,N90)</f>
        <v>9135</v>
      </c>
      <c r="Q90" s="783">
        <f>+AVERAGE(M90,O90)</f>
        <v>9135</v>
      </c>
      <c r="R90" s="4950">
        <v>9135</v>
      </c>
      <c r="S90" s="181">
        <v>9135</v>
      </c>
      <c r="T90" s="4953">
        <f>+AVERAGE(P90,R90)</f>
        <v>9135</v>
      </c>
      <c r="U90" s="4953">
        <f>+AVERAGE(Q90,S90)</f>
        <v>9135</v>
      </c>
      <c r="V90" s="5070">
        <v>9135</v>
      </c>
      <c r="W90" s="181">
        <v>9135</v>
      </c>
      <c r="X90" s="2396">
        <f>+AVERAGE(T90,V90)</f>
        <v>9135</v>
      </c>
      <c r="Y90" s="69">
        <f>+AVERAGE(U90,W90)</f>
        <v>9135</v>
      </c>
      <c r="Z90" s="788">
        <v>9135</v>
      </c>
      <c r="AA90" s="501">
        <f>+AVERAGE(M90,Y90)</f>
        <v>9135</v>
      </c>
      <c r="AB90" s="5418">
        <v>9135</v>
      </c>
      <c r="AC90" s="181">
        <v>9135</v>
      </c>
      <c r="AD90" s="2399">
        <f>+AVERAGE(Z90,AB90)</f>
        <v>9135</v>
      </c>
      <c r="AE90" s="2399">
        <f>+AVERAGE(AA90,AC90)</f>
        <v>9135</v>
      </c>
      <c r="AF90" s="5564">
        <v>9135</v>
      </c>
      <c r="AG90" s="181">
        <v>9135</v>
      </c>
      <c r="AH90" s="5568">
        <f>+AVERAGE(AD90,AF90)</f>
        <v>9135</v>
      </c>
      <c r="AI90" s="5568">
        <f>+AVERAGE(AE90,AG90)</f>
        <v>9135</v>
      </c>
      <c r="AJ90" s="5968">
        <v>9135</v>
      </c>
      <c r="AK90" s="181">
        <v>9135</v>
      </c>
      <c r="AL90" s="2767">
        <f>+AVERAGE(AH90,AJ90)</f>
        <v>9135</v>
      </c>
      <c r="AM90" s="69">
        <f>+AVERAGE(AI90,AK90)</f>
        <v>9135</v>
      </c>
      <c r="AN90" s="2399">
        <f>+AVERAGE(AH90,AJ90)</f>
        <v>9135</v>
      </c>
      <c r="AO90" s="2399">
        <f>+AVERAGE(AI90,AK90)</f>
        <v>9135</v>
      </c>
      <c r="AP90" s="6132">
        <v>9135</v>
      </c>
      <c r="AQ90" s="2205">
        <v>9135</v>
      </c>
      <c r="AR90" s="6135">
        <f>+AVERAGE(AN90,AP90)</f>
        <v>9135</v>
      </c>
      <c r="AS90" s="6135">
        <f>+AVERAGE(AO90,AQ90)</f>
        <v>9135</v>
      </c>
      <c r="AT90" s="6289">
        <v>9135</v>
      </c>
      <c r="AU90" s="181">
        <v>9135</v>
      </c>
      <c r="AV90" s="6292">
        <f>+AVERAGE(AR90,AT90)</f>
        <v>9135</v>
      </c>
      <c r="AW90" s="6292">
        <f>+AVERAGE(AS90,AU90)</f>
        <v>9135</v>
      </c>
      <c r="AX90" s="6459">
        <v>9135</v>
      </c>
      <c r="AY90" s="181">
        <v>9135</v>
      </c>
      <c r="AZ90" s="3090">
        <f>+AVERAGE(AV90,AX90)</f>
        <v>9135</v>
      </c>
      <c r="BA90" s="69">
        <f>+AVERAGE(AW90,AY90)</f>
        <v>9135</v>
      </c>
      <c r="BB90" s="788">
        <v>9135</v>
      </c>
      <c r="BC90" s="501">
        <f>+AVERAGE(AM90,BA90)</f>
        <v>9135</v>
      </c>
      <c r="BD90" s="2399">
        <f>+AVERAGE(AV90,AX90)</f>
        <v>9135</v>
      </c>
      <c r="BE90" s="2399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">
      <c r="B91" s="3767" t="s">
        <v>407</v>
      </c>
      <c r="C91" s="18" t="s">
        <v>504</v>
      </c>
      <c r="D91" s="1000">
        <v>0.81018790810276275</v>
      </c>
      <c r="E91" s="398">
        <v>0.98599999999999999</v>
      </c>
      <c r="F91" s="1000">
        <v>0.81016705335218786</v>
      </c>
      <c r="G91" s="398">
        <v>0.92800000000000005</v>
      </c>
      <c r="H91" s="3768">
        <f>+((D91*D59)+(F59*F91))/H59</f>
        <v>0.8101770762173971</v>
      </c>
      <c r="I91" s="3481">
        <f>+((E91*E59)+(G59*G91))/I59</f>
        <v>0.95487519745663374</v>
      </c>
      <c r="J91" s="1000">
        <v>0.79639727738622468</v>
      </c>
      <c r="K91" s="398">
        <v>0.95399999999999996</v>
      </c>
      <c r="L91" s="395">
        <f>+((H91*H59)+(J59*J91))/L59</f>
        <v>0.80606476895600121</v>
      </c>
      <c r="M91" s="1591">
        <f>+((I91*I59)+(K59*K91))/M59</f>
        <v>0.95460148942448175</v>
      </c>
      <c r="N91" s="1000">
        <v>0.79804347919882279</v>
      </c>
      <c r="O91" s="398">
        <v>0.96199999999999997</v>
      </c>
      <c r="P91" s="381">
        <f>+((L91*L59)+(N59*N91))/P59</f>
        <v>0.80453258420871898</v>
      </c>
      <c r="Q91" s="381">
        <f>+((M91*M59)+(O59*O91))/Q59</f>
        <v>0.95658313014360286</v>
      </c>
      <c r="R91" s="1000">
        <v>0.83099999999999996</v>
      </c>
      <c r="S91" s="398">
        <v>0.97299999999999998</v>
      </c>
      <c r="T91" s="381">
        <f>+((P91*P59)+(R59*R91))/T59</f>
        <v>0.81035485442900002</v>
      </c>
      <c r="U91" s="381">
        <f>+((Q91*Q59)+(S59*S91))/U59</f>
        <v>0.95998452029478254</v>
      </c>
      <c r="V91" s="1000">
        <v>0.83948970333623185</v>
      </c>
      <c r="W91" s="398">
        <v>1.0089999999999999</v>
      </c>
      <c r="X91" s="395">
        <f>+((N91*N59)+(R91*R59)+(V59*V91))/X59</f>
        <v>0.82562287884940633</v>
      </c>
      <c r="Y91" s="1591">
        <f>+((O91*O59)+(S91*S59)+(W59*W91))/Y59</f>
        <v>0.98048822138595781</v>
      </c>
      <c r="Z91" s="2480">
        <f>+((L91*L59)+(X91*X59))/Z59</f>
        <v>0.81543185160523979</v>
      </c>
      <c r="AA91" s="2480">
        <f>+((M91*M59)+(Y91*Y59))/AA59</f>
        <v>0.96788346717290596</v>
      </c>
      <c r="AB91" s="1000">
        <v>0.82042127758539973</v>
      </c>
      <c r="AC91" s="398">
        <v>1.0269999999999999</v>
      </c>
      <c r="AD91" s="381">
        <f>+((Z91*Z59)+(AB59*AB91))/AD59</f>
        <v>0.8162168691897782</v>
      </c>
      <c r="AE91" s="381">
        <f>+((AA91*AA59)+(AC59*AC91))/AE59</f>
        <v>0.9762512477634735</v>
      </c>
      <c r="AF91" s="1000">
        <v>0.81316235101396284</v>
      </c>
      <c r="AG91" s="398">
        <v>1.1120000000000001</v>
      </c>
      <c r="AH91" s="381">
        <f>+((AD91*AD59)+(AF59*AF91))/AH59</f>
        <v>0.81581072283028133</v>
      </c>
      <c r="AI91" s="381">
        <f>+((AE91*AE59)+(AG59*AG91))/AI59-0.002</f>
        <v>0.98155997104289783</v>
      </c>
      <c r="AJ91" s="1000">
        <v>0.81048982945356463</v>
      </c>
      <c r="AK91" s="398">
        <v>1.0369999999999999</v>
      </c>
      <c r="AL91" s="395">
        <f>+((AB91*AB59)+(AF91*AF59)+(AJ59*AJ91))/AL59</f>
        <v>0.81469029287038519</v>
      </c>
      <c r="AM91" s="1591">
        <f>+((AC91*AC59)+(AG91*AG59)+(AK59*AK91))/AM59</f>
        <v>1.0450857518360239</v>
      </c>
      <c r="AN91" s="381">
        <f>+((AH91*AH59)+(AJ59*AJ91))/AN59</f>
        <v>0.81516649076605108</v>
      </c>
      <c r="AO91" s="381">
        <f>+((AI91*AI59)+(AK59*AK91))/AO59</f>
        <v>0.98862296253151971</v>
      </c>
      <c r="AP91" s="1000">
        <v>0.8104896473161024</v>
      </c>
      <c r="AQ91" s="398">
        <v>0.995</v>
      </c>
      <c r="AR91" s="381">
        <f>+((AN91*AN59)+(AP59*AP91))/AR59</f>
        <v>0.81466125408131396</v>
      </c>
      <c r="AS91" s="381">
        <f>+((AO91*AO59)+(AQ59*AQ91))/AS59</f>
        <v>0.9893348099381527</v>
      </c>
      <c r="AT91" s="1000">
        <v>0.80637309958268355</v>
      </c>
      <c r="AU91" s="398">
        <v>0.96099999999999997</v>
      </c>
      <c r="AV91" s="381">
        <f>+((AR91*AR59)+(AT59*AT91))/AV59</f>
        <v>0.81392226697720016</v>
      </c>
      <c r="AW91" s="381">
        <f>+((AS91*AS59)+(AU59*AU91))/AW59-0.001</f>
        <v>0.98573440015120473</v>
      </c>
      <c r="AX91" s="1000">
        <v>0.80596984131930072</v>
      </c>
      <c r="AY91" s="398">
        <v>0.97699999999999998</v>
      </c>
      <c r="AZ91" s="395">
        <f>+((AP91*AP59)+(AT91*AT59)+(AX59*AX91))/AZ59</f>
        <v>0.8076528911833587</v>
      </c>
      <c r="BA91" s="1591">
        <f>+((AQ91*AQ59)+(AU91*AU59)+(AY59*AY91))/BA59</f>
        <v>0.97821228174374353</v>
      </c>
      <c r="BB91" s="2480">
        <f>+((AL91*AL59)+(AZ91*AZ59))/BB59</f>
        <v>0.81120283731036247</v>
      </c>
      <c r="BC91" s="2480">
        <f>+((AM91*AM59)+(BA91*BA59))/BC59</f>
        <v>1.0079153181330229</v>
      </c>
      <c r="BD91" s="381">
        <f>+((AV91*AV59)+(AX59*AX91))/BD59</f>
        <v>0.81321216731607149</v>
      </c>
      <c r="BE91" s="381">
        <f>+((AW91*AW59)+(AY59*AY91))/BE59</f>
        <v>0.98493381365413979</v>
      </c>
      <c r="BF91" s="26"/>
      <c r="BG91" s="26"/>
      <c r="BH91" s="26"/>
      <c r="BI91" s="26"/>
      <c r="BJ91" s="26"/>
    </row>
    <row r="92" spans="1:68" ht="15.75" thickBot="1" x14ac:dyDescent="0.3">
      <c r="A92" s="149"/>
      <c r="B92" s="3933" t="s">
        <v>62</v>
      </c>
      <c r="C92" s="3934"/>
      <c r="D92" s="3933"/>
      <c r="E92" s="3935"/>
      <c r="F92" s="3933"/>
      <c r="G92" s="3935"/>
      <c r="H92" s="3934"/>
      <c r="I92" s="3935"/>
      <c r="J92" s="3933"/>
      <c r="K92" s="3935"/>
      <c r="L92" s="2473"/>
      <c r="M92" s="2473"/>
      <c r="N92" s="3933"/>
      <c r="O92" s="3935"/>
      <c r="P92" s="414"/>
      <c r="Q92" s="414"/>
      <c r="R92" s="3933"/>
      <c r="S92" s="3935"/>
      <c r="T92" s="414"/>
      <c r="U92" s="414"/>
      <c r="V92" s="3933"/>
      <c r="W92" s="3935"/>
      <c r="X92" s="2473"/>
      <c r="Y92" s="2473"/>
      <c r="Z92" s="414"/>
      <c r="AA92" s="414"/>
      <c r="AB92" s="3933"/>
      <c r="AC92" s="3935"/>
      <c r="AD92" s="414"/>
      <c r="AE92" s="414"/>
      <c r="AF92" s="3933"/>
      <c r="AG92" s="3935"/>
      <c r="AH92" s="414"/>
      <c r="AI92" s="414"/>
      <c r="AJ92" s="3933"/>
      <c r="AK92" s="3935"/>
      <c r="AL92" s="2473"/>
      <c r="AM92" s="2473"/>
      <c r="AN92" s="414"/>
      <c r="AO92" s="414"/>
      <c r="AP92" s="3933"/>
      <c r="AQ92" s="3935"/>
      <c r="AR92" s="414"/>
      <c r="AS92" s="414"/>
      <c r="AT92" s="3933"/>
      <c r="AU92" s="3935"/>
      <c r="AV92" s="414"/>
      <c r="AW92" s="414"/>
      <c r="AX92" s="3933"/>
      <c r="AY92" s="3935"/>
      <c r="AZ92" s="2473"/>
      <c r="BA92" s="2473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25">
      <c r="B93" s="864" t="s">
        <v>412</v>
      </c>
      <c r="C93" s="144" t="s">
        <v>354</v>
      </c>
      <c r="D93" s="3936"/>
      <c r="E93" s="144">
        <v>46.019999999999996</v>
      </c>
      <c r="F93" s="3936"/>
      <c r="G93" s="144">
        <v>42.2</v>
      </c>
      <c r="H93" s="7848"/>
      <c r="I93" s="3723">
        <f>+E93+G93</f>
        <v>88.22</v>
      </c>
      <c r="J93" s="3936"/>
      <c r="K93" s="88">
        <v>43.8</v>
      </c>
      <c r="L93" s="7828"/>
      <c r="M93" s="240">
        <f>E93+G93+K93</f>
        <v>132.01999999999998</v>
      </c>
      <c r="N93" s="3936"/>
      <c r="O93" s="88">
        <v>46.45</v>
      </c>
      <c r="P93" s="7818"/>
      <c r="Q93" s="218">
        <f>+M93+O93</f>
        <v>178.46999999999997</v>
      </c>
      <c r="R93" s="3936"/>
      <c r="S93" s="88">
        <v>39.049999999999997</v>
      </c>
      <c r="T93" s="7818"/>
      <c r="U93" s="218">
        <f>+Q93+S93</f>
        <v>217.51999999999998</v>
      </c>
      <c r="V93" s="3936"/>
      <c r="W93" s="88">
        <v>40.900000000000006</v>
      </c>
      <c r="X93" s="7828"/>
      <c r="Y93" s="244">
        <f t="shared" ref="Y93:Y110" si="320">+O93+S93+W93</f>
        <v>126.4</v>
      </c>
      <c r="Z93" s="7812"/>
      <c r="AA93" s="501">
        <f>M93+Y93</f>
        <v>258.41999999999996</v>
      </c>
      <c r="AB93" s="3936"/>
      <c r="AC93" s="88">
        <v>38.731000000000002</v>
      </c>
      <c r="AD93" s="7818"/>
      <c r="AE93" s="218">
        <f>+AA93+AC93</f>
        <v>297.15099999999995</v>
      </c>
      <c r="AF93" s="3936"/>
      <c r="AG93" s="88">
        <v>37.700000000000003</v>
      </c>
      <c r="AH93" s="7818"/>
      <c r="AI93" s="218">
        <f>+AE93+AG93</f>
        <v>334.85099999999994</v>
      </c>
      <c r="AJ93" s="3936"/>
      <c r="AK93" s="88">
        <v>41.15</v>
      </c>
      <c r="AL93" s="7828"/>
      <c r="AM93" s="244">
        <f t="shared" ref="AM93:AM110" si="321">+AC93+AG93+AK93</f>
        <v>117.58100000000002</v>
      </c>
      <c r="AN93" s="7818"/>
      <c r="AO93" s="218">
        <f t="shared" ref="AO93:AO110" si="322">+AI93+AK93</f>
        <v>376.00099999999992</v>
      </c>
      <c r="AP93" s="3936"/>
      <c r="AQ93" s="88">
        <v>48.419999999999995</v>
      </c>
      <c r="AR93" s="7818"/>
      <c r="AS93" s="219">
        <f>+AO93+AQ93</f>
        <v>424.42099999999994</v>
      </c>
      <c r="AT93" s="3936"/>
      <c r="AU93" s="88">
        <v>44.95</v>
      </c>
      <c r="AV93" s="7818"/>
      <c r="AW93" s="219">
        <f>+AS93+AU93</f>
        <v>469.37099999999992</v>
      </c>
      <c r="AX93" s="3936"/>
      <c r="AY93" s="88">
        <v>52.45</v>
      </c>
      <c r="AZ93" s="7828"/>
      <c r="BA93" s="244">
        <f t="shared" ref="BA93:BA110" si="323">+AQ93+AU93+AY93</f>
        <v>145.82</v>
      </c>
      <c r="BB93" s="7812"/>
      <c r="BC93" s="501">
        <f>AM93+BA93</f>
        <v>263.40100000000001</v>
      </c>
      <c r="BD93" s="7818"/>
      <c r="BE93" s="219">
        <f>+AW93+AY93</f>
        <v>521.82099999999991</v>
      </c>
      <c r="BF93" s="26"/>
      <c r="BG93" s="26"/>
      <c r="BH93" s="26"/>
      <c r="BI93" s="26"/>
      <c r="BJ93" s="26"/>
    </row>
    <row r="94" spans="1:68" x14ac:dyDescent="0.25">
      <c r="B94" s="9" t="s">
        <v>1169</v>
      </c>
      <c r="C94" s="101" t="s">
        <v>1178</v>
      </c>
      <c r="D94" s="1003"/>
      <c r="E94" s="18">
        <v>17.856000000000002</v>
      </c>
      <c r="F94" s="1003"/>
      <c r="G94" s="18">
        <v>16.992000000000001</v>
      </c>
      <c r="H94" s="7819"/>
      <c r="I94" s="3769">
        <f t="shared" ref="I94:I110" si="324">+E94+G94</f>
        <v>34.847999999999999</v>
      </c>
      <c r="J94" s="1003"/>
      <c r="K94" s="18">
        <v>18.335999999999999</v>
      </c>
      <c r="L94" s="7829"/>
      <c r="M94" s="240">
        <f t="shared" ref="M94:M110" si="325">E94+G94+K94</f>
        <v>53.183999999999997</v>
      </c>
      <c r="N94" s="1003"/>
      <c r="O94" s="18">
        <v>17.928000000000001</v>
      </c>
      <c r="P94" s="7819"/>
      <c r="Q94" s="218">
        <f t="shared" ref="Q94:Q110" si="326">+M94+O94</f>
        <v>71.111999999999995</v>
      </c>
      <c r="R94" s="1003"/>
      <c r="S94" s="18">
        <v>14.52</v>
      </c>
      <c r="T94" s="7819"/>
      <c r="U94" s="218">
        <f t="shared" ref="U94:U110" si="327">+Q94+S94</f>
        <v>85.631999999999991</v>
      </c>
      <c r="V94" s="1003"/>
      <c r="W94" s="18">
        <v>16.512</v>
      </c>
      <c r="X94" s="7829"/>
      <c r="Y94" s="244">
        <f t="shared" si="320"/>
        <v>48.96</v>
      </c>
      <c r="Z94" s="7813"/>
      <c r="AA94" s="501">
        <f t="shared" ref="AA94:AA110" si="328">M94+Y94</f>
        <v>102.14400000000001</v>
      </c>
      <c r="AB94" s="1003"/>
      <c r="AC94" s="18">
        <v>16.722999999999999</v>
      </c>
      <c r="AD94" s="7819"/>
      <c r="AE94" s="218">
        <f t="shared" ref="AE94:AE110" si="329">+AA94+AC94</f>
        <v>118.867</v>
      </c>
      <c r="AF94" s="1003"/>
      <c r="AG94" s="18">
        <v>15.456</v>
      </c>
      <c r="AH94" s="7819"/>
      <c r="AI94" s="218">
        <f t="shared" ref="AI94:AI110" si="330">+AE94+AG94</f>
        <v>134.32300000000001</v>
      </c>
      <c r="AJ94" s="1003"/>
      <c r="AK94" s="18">
        <v>16.2</v>
      </c>
      <c r="AL94" s="7829"/>
      <c r="AM94" s="244">
        <f t="shared" si="321"/>
        <v>48.379000000000005</v>
      </c>
      <c r="AN94" s="7819"/>
      <c r="AO94" s="218">
        <f t="shared" si="322"/>
        <v>150.523</v>
      </c>
      <c r="AP94" s="1003"/>
      <c r="AQ94" s="18">
        <v>19.295999999999999</v>
      </c>
      <c r="AR94" s="7819"/>
      <c r="AS94" s="219">
        <f t="shared" ref="AS94:AS110" si="331">+AO94+AQ94</f>
        <v>169.81899999999999</v>
      </c>
      <c r="AT94" s="1003"/>
      <c r="AU94" s="18">
        <v>19.367999999999999</v>
      </c>
      <c r="AV94" s="7819"/>
      <c r="AW94" s="219">
        <f t="shared" ref="AW94:AW110" si="332">+AS94+AU94</f>
        <v>189.18699999999998</v>
      </c>
      <c r="AX94" s="1003"/>
      <c r="AY94" s="18">
        <v>20.712</v>
      </c>
      <c r="AZ94" s="7829"/>
      <c r="BA94" s="244">
        <f t="shared" si="323"/>
        <v>59.376000000000005</v>
      </c>
      <c r="BB94" s="7813"/>
      <c r="BC94" s="501">
        <f t="shared" ref="BC94:BC110" si="333">AM94+BA94</f>
        <v>107.75500000000001</v>
      </c>
      <c r="BD94" s="7819"/>
      <c r="BE94" s="219">
        <f t="shared" ref="BE94:BE110" si="334">+AW94+AY94</f>
        <v>209.89899999999997</v>
      </c>
      <c r="BF94" s="26"/>
      <c r="BG94" s="26"/>
      <c r="BH94" s="26"/>
      <c r="BI94" s="26"/>
      <c r="BJ94" s="26"/>
    </row>
    <row r="95" spans="1:68" x14ac:dyDescent="0.25">
      <c r="B95" s="9" t="s">
        <v>1170</v>
      </c>
      <c r="C95" s="101" t="s">
        <v>1265</v>
      </c>
      <c r="D95" s="1003"/>
      <c r="E95" s="18">
        <v>450</v>
      </c>
      <c r="F95" s="1003"/>
      <c r="G95" s="18">
        <v>465</v>
      </c>
      <c r="H95" s="7819"/>
      <c r="I95" s="3769">
        <f t="shared" si="324"/>
        <v>915</v>
      </c>
      <c r="J95" s="1003"/>
      <c r="K95" s="18">
        <v>435</v>
      </c>
      <c r="L95" s="7829"/>
      <c r="M95" s="240">
        <f t="shared" si="325"/>
        <v>1350</v>
      </c>
      <c r="N95" s="1003"/>
      <c r="O95" s="18">
        <v>560</v>
      </c>
      <c r="P95" s="7819"/>
      <c r="Q95" s="218">
        <f t="shared" si="326"/>
        <v>1910</v>
      </c>
      <c r="R95" s="1003"/>
      <c r="S95" s="18">
        <v>553</v>
      </c>
      <c r="T95" s="7819"/>
      <c r="U95" s="218">
        <f t="shared" si="327"/>
        <v>2463</v>
      </c>
      <c r="V95" s="1003"/>
      <c r="W95" s="18">
        <v>450</v>
      </c>
      <c r="X95" s="7829"/>
      <c r="Y95" s="244">
        <f t="shared" si="320"/>
        <v>1563</v>
      </c>
      <c r="Z95" s="7813"/>
      <c r="AA95" s="501">
        <f t="shared" si="328"/>
        <v>2913</v>
      </c>
      <c r="AB95" s="1003"/>
      <c r="AC95" s="18">
        <v>465</v>
      </c>
      <c r="AD95" s="7819"/>
      <c r="AE95" s="218">
        <f t="shared" si="329"/>
        <v>3378</v>
      </c>
      <c r="AF95" s="1003"/>
      <c r="AG95" s="18">
        <v>390</v>
      </c>
      <c r="AH95" s="7819"/>
      <c r="AI95" s="218">
        <f t="shared" si="330"/>
        <v>3768</v>
      </c>
      <c r="AJ95" s="1003"/>
      <c r="AK95" s="18">
        <v>470</v>
      </c>
      <c r="AL95" s="7829"/>
      <c r="AM95" s="244">
        <f t="shared" si="321"/>
        <v>1325</v>
      </c>
      <c r="AN95" s="7819"/>
      <c r="AO95" s="218">
        <f t="shared" si="322"/>
        <v>4238</v>
      </c>
      <c r="AP95" s="1003"/>
      <c r="AQ95" s="18">
        <v>465</v>
      </c>
      <c r="AR95" s="7819"/>
      <c r="AS95" s="219">
        <f t="shared" si="331"/>
        <v>4703</v>
      </c>
      <c r="AT95" s="1003"/>
      <c r="AU95" s="18">
        <v>420</v>
      </c>
      <c r="AV95" s="7819"/>
      <c r="AW95" s="219">
        <f t="shared" si="332"/>
        <v>5123</v>
      </c>
      <c r="AX95" s="1003"/>
      <c r="AY95" s="18">
        <v>485</v>
      </c>
      <c r="AZ95" s="7829"/>
      <c r="BA95" s="244">
        <f t="shared" si="323"/>
        <v>1370</v>
      </c>
      <c r="BB95" s="7813"/>
      <c r="BC95" s="501">
        <f t="shared" si="333"/>
        <v>2695</v>
      </c>
      <c r="BD95" s="7819"/>
      <c r="BE95" s="219">
        <f t="shared" si="334"/>
        <v>5608</v>
      </c>
      <c r="BF95" s="26"/>
      <c r="BG95" s="26"/>
      <c r="BH95" s="26"/>
      <c r="BI95" s="26"/>
      <c r="BJ95" s="26"/>
    </row>
    <row r="96" spans="1:68" x14ac:dyDescent="0.25">
      <c r="B96" s="9" t="s">
        <v>1171</v>
      </c>
      <c r="C96" s="101" t="s">
        <v>1179</v>
      </c>
      <c r="D96" s="1003"/>
      <c r="E96" s="18">
        <v>861</v>
      </c>
      <c r="F96" s="1003"/>
      <c r="G96" s="18">
        <v>898</v>
      </c>
      <c r="H96" s="7819"/>
      <c r="I96" s="3769">
        <f t="shared" si="324"/>
        <v>1759</v>
      </c>
      <c r="J96" s="1003"/>
      <c r="K96" s="18">
        <v>847</v>
      </c>
      <c r="L96" s="7829"/>
      <c r="M96" s="240">
        <f t="shared" si="325"/>
        <v>2606</v>
      </c>
      <c r="N96" s="1003"/>
      <c r="O96" s="18">
        <v>1035</v>
      </c>
      <c r="P96" s="7819"/>
      <c r="Q96" s="218">
        <f t="shared" si="326"/>
        <v>3641</v>
      </c>
      <c r="R96" s="1003"/>
      <c r="S96" s="18">
        <v>945</v>
      </c>
      <c r="T96" s="7819"/>
      <c r="U96" s="218">
        <f t="shared" si="327"/>
        <v>4586</v>
      </c>
      <c r="V96" s="1003"/>
      <c r="W96" s="18">
        <v>700</v>
      </c>
      <c r="X96" s="7829"/>
      <c r="Y96" s="244">
        <f t="shared" si="320"/>
        <v>2680</v>
      </c>
      <c r="Z96" s="7813"/>
      <c r="AA96" s="501">
        <f t="shared" si="328"/>
        <v>5286</v>
      </c>
      <c r="AB96" s="1003"/>
      <c r="AC96" s="18">
        <v>708.52</v>
      </c>
      <c r="AD96" s="7819"/>
      <c r="AE96" s="218">
        <f t="shared" si="329"/>
        <v>5994.52</v>
      </c>
      <c r="AF96" s="1003"/>
      <c r="AG96" s="18">
        <v>511</v>
      </c>
      <c r="AH96" s="7819"/>
      <c r="AI96" s="218">
        <f t="shared" si="330"/>
        <v>6505.52</v>
      </c>
      <c r="AJ96" s="1003"/>
      <c r="AK96" s="18">
        <v>818</v>
      </c>
      <c r="AL96" s="7829"/>
      <c r="AM96" s="244">
        <f t="shared" si="321"/>
        <v>2037.52</v>
      </c>
      <c r="AN96" s="7819"/>
      <c r="AO96" s="218">
        <f t="shared" si="322"/>
        <v>7323.52</v>
      </c>
      <c r="AP96" s="1003"/>
      <c r="AQ96" s="18">
        <v>673</v>
      </c>
      <c r="AR96" s="7819"/>
      <c r="AS96" s="219">
        <f t="shared" si="331"/>
        <v>7996.52</v>
      </c>
      <c r="AT96" s="1003"/>
      <c r="AU96" s="18">
        <v>537</v>
      </c>
      <c r="AV96" s="7819"/>
      <c r="AW96" s="219">
        <f t="shared" si="332"/>
        <v>8533.52</v>
      </c>
      <c r="AX96" s="1003"/>
      <c r="AY96" s="18">
        <v>766</v>
      </c>
      <c r="AZ96" s="7829"/>
      <c r="BA96" s="244">
        <f t="shared" si="323"/>
        <v>1976</v>
      </c>
      <c r="BB96" s="7813"/>
      <c r="BC96" s="501">
        <f t="shared" si="333"/>
        <v>4013.52</v>
      </c>
      <c r="BD96" s="7819"/>
      <c r="BE96" s="219">
        <f t="shared" si="334"/>
        <v>9299.52</v>
      </c>
      <c r="BF96" s="26"/>
      <c r="BG96" s="26"/>
      <c r="BH96" s="26"/>
      <c r="BI96" s="26"/>
      <c r="BJ96" s="26"/>
    </row>
    <row r="97" spans="1:62" x14ac:dyDescent="0.25">
      <c r="B97" s="9" t="s">
        <v>1172</v>
      </c>
      <c r="C97" s="101" t="s">
        <v>1265</v>
      </c>
      <c r="D97" s="1003"/>
      <c r="E97" s="18">
        <v>225</v>
      </c>
      <c r="F97" s="1003"/>
      <c r="G97" s="18">
        <v>210</v>
      </c>
      <c r="H97" s="7819"/>
      <c r="I97" s="3769">
        <f t="shared" si="324"/>
        <v>435</v>
      </c>
      <c r="J97" s="1003"/>
      <c r="K97" s="18">
        <v>176</v>
      </c>
      <c r="L97" s="7829"/>
      <c r="M97" s="240">
        <f t="shared" si="325"/>
        <v>611</v>
      </c>
      <c r="N97" s="1003"/>
      <c r="O97" s="18">
        <v>122</v>
      </c>
      <c r="P97" s="7819"/>
      <c r="Q97" s="218">
        <f t="shared" si="326"/>
        <v>733</v>
      </c>
      <c r="R97" s="1003"/>
      <c r="S97" s="18">
        <v>186</v>
      </c>
      <c r="T97" s="7819"/>
      <c r="U97" s="218">
        <f t="shared" si="327"/>
        <v>919</v>
      </c>
      <c r="V97" s="1003"/>
      <c r="W97" s="18">
        <v>182</v>
      </c>
      <c r="X97" s="7829"/>
      <c r="Y97" s="244">
        <f t="shared" si="320"/>
        <v>490</v>
      </c>
      <c r="Z97" s="7813"/>
      <c r="AA97" s="501">
        <f t="shared" si="328"/>
        <v>1101</v>
      </c>
      <c r="AB97" s="1003"/>
      <c r="AC97" s="18">
        <v>92</v>
      </c>
      <c r="AD97" s="7819"/>
      <c r="AE97" s="218">
        <f t="shared" si="329"/>
        <v>1193</v>
      </c>
      <c r="AF97" s="1003"/>
      <c r="AG97" s="18">
        <v>134</v>
      </c>
      <c r="AH97" s="7819"/>
      <c r="AI97" s="218">
        <f t="shared" si="330"/>
        <v>1327</v>
      </c>
      <c r="AJ97" s="1003"/>
      <c r="AK97" s="18">
        <v>224</v>
      </c>
      <c r="AL97" s="7829"/>
      <c r="AM97" s="244">
        <f t="shared" si="321"/>
        <v>450</v>
      </c>
      <c r="AN97" s="7819"/>
      <c r="AO97" s="218">
        <f t="shared" si="322"/>
        <v>1551</v>
      </c>
      <c r="AP97" s="1003"/>
      <c r="AQ97" s="18">
        <v>207</v>
      </c>
      <c r="AR97" s="7819"/>
      <c r="AS97" s="219">
        <f t="shared" si="331"/>
        <v>1758</v>
      </c>
      <c r="AT97" s="1003"/>
      <c r="AU97" s="18">
        <v>90</v>
      </c>
      <c r="AV97" s="7819"/>
      <c r="AW97" s="219">
        <f t="shared" si="332"/>
        <v>1848</v>
      </c>
      <c r="AX97" s="1003"/>
      <c r="AY97" s="18">
        <v>112</v>
      </c>
      <c r="AZ97" s="7829"/>
      <c r="BA97" s="244">
        <f t="shared" si="323"/>
        <v>409</v>
      </c>
      <c r="BB97" s="7813"/>
      <c r="BC97" s="501">
        <f t="shared" si="333"/>
        <v>859</v>
      </c>
      <c r="BD97" s="7819"/>
      <c r="BE97" s="219">
        <f t="shared" si="334"/>
        <v>1960</v>
      </c>
      <c r="BF97" s="26"/>
      <c r="BG97" s="26"/>
      <c r="BH97" s="26"/>
      <c r="BI97" s="26"/>
      <c r="BJ97" s="26"/>
    </row>
    <row r="98" spans="1:62" x14ac:dyDescent="0.25">
      <c r="B98" s="9" t="s">
        <v>1173</v>
      </c>
      <c r="C98" s="101" t="s">
        <v>1265</v>
      </c>
      <c r="D98" s="1003"/>
      <c r="E98" s="18">
        <v>279</v>
      </c>
      <c r="F98" s="1003"/>
      <c r="G98" s="18">
        <v>244</v>
      </c>
      <c r="H98" s="7819"/>
      <c r="I98" s="3769">
        <f t="shared" si="324"/>
        <v>523</v>
      </c>
      <c r="J98" s="1003"/>
      <c r="K98" s="18">
        <v>302</v>
      </c>
      <c r="L98" s="7829"/>
      <c r="M98" s="240">
        <f t="shared" si="325"/>
        <v>825</v>
      </c>
      <c r="N98" s="1003"/>
      <c r="O98" s="18">
        <v>315</v>
      </c>
      <c r="P98" s="7819"/>
      <c r="Q98" s="218">
        <f t="shared" si="326"/>
        <v>1140</v>
      </c>
      <c r="R98" s="1003"/>
      <c r="S98" s="18">
        <v>273</v>
      </c>
      <c r="T98" s="7819"/>
      <c r="U98" s="218">
        <f t="shared" si="327"/>
        <v>1413</v>
      </c>
      <c r="V98" s="1003"/>
      <c r="W98" s="18">
        <v>234</v>
      </c>
      <c r="X98" s="7829"/>
      <c r="Y98" s="244">
        <f t="shared" si="320"/>
        <v>822</v>
      </c>
      <c r="Z98" s="7813"/>
      <c r="AA98" s="501">
        <f t="shared" si="328"/>
        <v>1647</v>
      </c>
      <c r="AB98" s="1003"/>
      <c r="AC98" s="18">
        <v>198</v>
      </c>
      <c r="AD98" s="7819"/>
      <c r="AE98" s="218">
        <f t="shared" si="329"/>
        <v>1845</v>
      </c>
      <c r="AF98" s="1003"/>
      <c r="AG98" s="18">
        <v>225</v>
      </c>
      <c r="AH98" s="7819"/>
      <c r="AI98" s="218">
        <f t="shared" si="330"/>
        <v>2070</v>
      </c>
      <c r="AJ98" s="1003"/>
      <c r="AK98" s="18">
        <v>259</v>
      </c>
      <c r="AL98" s="7829"/>
      <c r="AM98" s="244">
        <f t="shared" si="321"/>
        <v>682</v>
      </c>
      <c r="AN98" s="7819"/>
      <c r="AO98" s="218">
        <f t="shared" si="322"/>
        <v>2329</v>
      </c>
      <c r="AP98" s="1003"/>
      <c r="AQ98" s="18">
        <v>193</v>
      </c>
      <c r="AR98" s="7819"/>
      <c r="AS98" s="219">
        <f t="shared" si="331"/>
        <v>2522</v>
      </c>
      <c r="AT98" s="1003"/>
      <c r="AU98" s="18">
        <v>219</v>
      </c>
      <c r="AV98" s="7819"/>
      <c r="AW98" s="219">
        <f t="shared" si="332"/>
        <v>2741</v>
      </c>
      <c r="AX98" s="1003"/>
      <c r="AY98" s="18">
        <v>288</v>
      </c>
      <c r="AZ98" s="7829"/>
      <c r="BA98" s="244">
        <f t="shared" si="323"/>
        <v>700</v>
      </c>
      <c r="BB98" s="7813"/>
      <c r="BC98" s="501">
        <f t="shared" si="333"/>
        <v>1382</v>
      </c>
      <c r="BD98" s="7819"/>
      <c r="BE98" s="219">
        <f t="shared" si="334"/>
        <v>3029</v>
      </c>
      <c r="BF98" s="26"/>
      <c r="BG98" s="26"/>
      <c r="BH98" s="26"/>
      <c r="BI98" s="26"/>
      <c r="BJ98" s="26"/>
    </row>
    <row r="99" spans="1:62" x14ac:dyDescent="0.25">
      <c r="A99" s="149"/>
      <c r="B99" s="3770" t="s">
        <v>1959</v>
      </c>
      <c r="C99" s="101" t="s">
        <v>1265</v>
      </c>
      <c r="D99" s="1003"/>
      <c r="E99" s="181">
        <v>24</v>
      </c>
      <c r="F99" s="1003"/>
      <c r="G99" s="181">
        <v>0</v>
      </c>
      <c r="H99" s="7819"/>
      <c r="I99" s="3769">
        <f t="shared" si="324"/>
        <v>24</v>
      </c>
      <c r="J99" s="1003"/>
      <c r="K99" s="181">
        <v>0</v>
      </c>
      <c r="L99" s="7829"/>
      <c r="M99" s="240">
        <f t="shared" si="325"/>
        <v>24</v>
      </c>
      <c r="N99" s="1003"/>
      <c r="O99" s="181">
        <v>5</v>
      </c>
      <c r="P99" s="7819"/>
      <c r="Q99" s="218">
        <f t="shared" si="326"/>
        <v>29</v>
      </c>
      <c r="R99" s="1003"/>
      <c r="S99" s="181">
        <v>4</v>
      </c>
      <c r="T99" s="7819"/>
      <c r="U99" s="218">
        <f t="shared" si="327"/>
        <v>33</v>
      </c>
      <c r="V99" s="1003"/>
      <c r="W99" s="181">
        <v>0</v>
      </c>
      <c r="X99" s="7829"/>
      <c r="Y99" s="244">
        <f t="shared" si="320"/>
        <v>9</v>
      </c>
      <c r="Z99" s="7813"/>
      <c r="AA99" s="501">
        <f t="shared" si="328"/>
        <v>33</v>
      </c>
      <c r="AB99" s="1003"/>
      <c r="AC99" s="181">
        <v>0</v>
      </c>
      <c r="AD99" s="7819"/>
      <c r="AE99" s="218">
        <f t="shared" si="329"/>
        <v>33</v>
      </c>
      <c r="AF99" s="1003"/>
      <c r="AG99" s="181"/>
      <c r="AH99" s="7819"/>
      <c r="AI99" s="218">
        <f t="shared" si="330"/>
        <v>33</v>
      </c>
      <c r="AJ99" s="1003"/>
      <c r="AK99" s="181"/>
      <c r="AL99" s="7829"/>
      <c r="AM99" s="244">
        <f t="shared" si="321"/>
        <v>0</v>
      </c>
      <c r="AN99" s="7819"/>
      <c r="AO99" s="218">
        <f t="shared" si="322"/>
        <v>33</v>
      </c>
      <c r="AP99" s="1003"/>
      <c r="AQ99" s="181">
        <v>0</v>
      </c>
      <c r="AR99" s="7819"/>
      <c r="AS99" s="219">
        <f t="shared" si="331"/>
        <v>33</v>
      </c>
      <c r="AT99" s="1003"/>
      <c r="AU99" s="181">
        <v>0</v>
      </c>
      <c r="AV99" s="7819"/>
      <c r="AW99" s="219">
        <f t="shared" si="332"/>
        <v>33</v>
      </c>
      <c r="AX99" s="1003"/>
      <c r="AY99" s="181">
        <v>16</v>
      </c>
      <c r="AZ99" s="7829"/>
      <c r="BA99" s="244">
        <f t="shared" si="323"/>
        <v>16</v>
      </c>
      <c r="BB99" s="7813"/>
      <c r="BC99" s="501">
        <f t="shared" si="333"/>
        <v>16</v>
      </c>
      <c r="BD99" s="7819"/>
      <c r="BE99" s="219">
        <f t="shared" si="334"/>
        <v>49</v>
      </c>
      <c r="BF99" s="26"/>
      <c r="BG99" s="26"/>
      <c r="BH99" s="26"/>
      <c r="BI99" s="26"/>
      <c r="BJ99" s="26"/>
    </row>
    <row r="100" spans="1:62" x14ac:dyDescent="0.25">
      <c r="A100" s="149"/>
      <c r="B100" s="3770" t="s">
        <v>1174</v>
      </c>
      <c r="C100" s="101" t="s">
        <v>1265</v>
      </c>
      <c r="D100" s="1003"/>
      <c r="E100" s="181">
        <v>4906</v>
      </c>
      <c r="F100" s="1003"/>
      <c r="G100" s="181">
        <v>4880</v>
      </c>
      <c r="H100" s="7819"/>
      <c r="I100" s="3769">
        <f t="shared" si="324"/>
        <v>9786</v>
      </c>
      <c r="J100" s="1003"/>
      <c r="K100" s="181">
        <v>6020</v>
      </c>
      <c r="L100" s="7829"/>
      <c r="M100" s="240">
        <f t="shared" si="325"/>
        <v>15806</v>
      </c>
      <c r="N100" s="1003"/>
      <c r="O100" s="181">
        <v>6795</v>
      </c>
      <c r="P100" s="7819"/>
      <c r="Q100" s="218">
        <f t="shared" si="326"/>
        <v>22601</v>
      </c>
      <c r="R100" s="1003"/>
      <c r="S100" s="181">
        <v>5995</v>
      </c>
      <c r="T100" s="7819"/>
      <c r="U100" s="218">
        <f t="shared" si="327"/>
        <v>28596</v>
      </c>
      <c r="V100" s="1003"/>
      <c r="W100" s="181">
        <v>4745</v>
      </c>
      <c r="X100" s="7829"/>
      <c r="Y100" s="244">
        <f t="shared" si="320"/>
        <v>17535</v>
      </c>
      <c r="Z100" s="7813"/>
      <c r="AA100" s="501">
        <f t="shared" si="328"/>
        <v>33341</v>
      </c>
      <c r="AB100" s="1003"/>
      <c r="AC100" s="181">
        <v>3820</v>
      </c>
      <c r="AD100" s="7819"/>
      <c r="AE100" s="218">
        <f t="shared" si="329"/>
        <v>37161</v>
      </c>
      <c r="AF100" s="1003"/>
      <c r="AG100" s="181">
        <v>4090</v>
      </c>
      <c r="AH100" s="7819"/>
      <c r="AI100" s="218">
        <f t="shared" si="330"/>
        <v>41251</v>
      </c>
      <c r="AJ100" s="1003"/>
      <c r="AK100" s="181">
        <v>5000</v>
      </c>
      <c r="AL100" s="7829"/>
      <c r="AM100" s="244">
        <f t="shared" si="321"/>
        <v>12910</v>
      </c>
      <c r="AN100" s="7819"/>
      <c r="AO100" s="218">
        <f t="shared" si="322"/>
        <v>46251</v>
      </c>
      <c r="AP100" s="1003"/>
      <c r="AQ100" s="181">
        <v>3600</v>
      </c>
      <c r="AR100" s="7819"/>
      <c r="AS100" s="219">
        <f t="shared" si="331"/>
        <v>49851</v>
      </c>
      <c r="AT100" s="1003"/>
      <c r="AU100" s="181">
        <v>3565</v>
      </c>
      <c r="AV100" s="7819"/>
      <c r="AW100" s="219">
        <f t="shared" si="332"/>
        <v>53416</v>
      </c>
      <c r="AX100" s="1003"/>
      <c r="AY100" s="181">
        <v>4930</v>
      </c>
      <c r="AZ100" s="7829"/>
      <c r="BA100" s="244">
        <f t="shared" si="323"/>
        <v>12095</v>
      </c>
      <c r="BB100" s="7813"/>
      <c r="BC100" s="501">
        <f t="shared" si="333"/>
        <v>25005</v>
      </c>
      <c r="BD100" s="7819"/>
      <c r="BE100" s="219">
        <f t="shared" si="334"/>
        <v>58346</v>
      </c>
      <c r="BF100" s="26"/>
      <c r="BG100" s="26"/>
      <c r="BH100" s="26"/>
      <c r="BI100" s="26"/>
      <c r="BJ100" s="26"/>
    </row>
    <row r="101" spans="1:62" x14ac:dyDescent="0.25">
      <c r="A101" s="149"/>
      <c r="B101" s="3770" t="s">
        <v>1175</v>
      </c>
      <c r="C101" s="101" t="s">
        <v>1265</v>
      </c>
      <c r="D101" s="1003"/>
      <c r="E101" s="181">
        <v>11</v>
      </c>
      <c r="F101" s="1003"/>
      <c r="G101" s="181">
        <v>10</v>
      </c>
      <c r="H101" s="7819"/>
      <c r="I101" s="3769">
        <f t="shared" si="324"/>
        <v>21</v>
      </c>
      <c r="J101" s="1003"/>
      <c r="K101" s="181">
        <v>18</v>
      </c>
      <c r="L101" s="7829"/>
      <c r="M101" s="240">
        <f t="shared" si="325"/>
        <v>39</v>
      </c>
      <c r="N101" s="1003"/>
      <c r="O101" s="181">
        <v>2</v>
      </c>
      <c r="P101" s="7819"/>
      <c r="Q101" s="218">
        <f t="shared" si="326"/>
        <v>41</v>
      </c>
      <c r="R101" s="1003"/>
      <c r="S101" s="181">
        <v>2</v>
      </c>
      <c r="T101" s="7819"/>
      <c r="U101" s="218">
        <f t="shared" si="327"/>
        <v>43</v>
      </c>
      <c r="V101" s="1003"/>
      <c r="W101" s="181">
        <v>11</v>
      </c>
      <c r="X101" s="7829"/>
      <c r="Y101" s="244">
        <f t="shared" si="320"/>
        <v>15</v>
      </c>
      <c r="Z101" s="7813"/>
      <c r="AA101" s="501">
        <f t="shared" si="328"/>
        <v>54</v>
      </c>
      <c r="AB101" s="1003"/>
      <c r="AC101" s="181">
        <v>7</v>
      </c>
      <c r="AD101" s="7819"/>
      <c r="AE101" s="218">
        <f t="shared" si="329"/>
        <v>61</v>
      </c>
      <c r="AF101" s="1003"/>
      <c r="AG101" s="181">
        <v>4</v>
      </c>
      <c r="AH101" s="7819"/>
      <c r="AI101" s="218">
        <f t="shared" si="330"/>
        <v>65</v>
      </c>
      <c r="AJ101" s="1003"/>
      <c r="AK101" s="181">
        <v>4</v>
      </c>
      <c r="AL101" s="7829"/>
      <c r="AM101" s="244">
        <f t="shared" si="321"/>
        <v>15</v>
      </c>
      <c r="AN101" s="7819"/>
      <c r="AO101" s="218">
        <f t="shared" si="322"/>
        <v>69</v>
      </c>
      <c r="AP101" s="1003"/>
      <c r="AQ101" s="181">
        <v>1</v>
      </c>
      <c r="AR101" s="7819"/>
      <c r="AS101" s="219">
        <f t="shared" si="331"/>
        <v>70</v>
      </c>
      <c r="AT101" s="1003"/>
      <c r="AU101" s="181">
        <v>17</v>
      </c>
      <c r="AV101" s="7819"/>
      <c r="AW101" s="219">
        <f t="shared" si="332"/>
        <v>87</v>
      </c>
      <c r="AX101" s="1003"/>
      <c r="AY101" s="181">
        <v>3</v>
      </c>
      <c r="AZ101" s="7829"/>
      <c r="BA101" s="244">
        <f t="shared" si="323"/>
        <v>21</v>
      </c>
      <c r="BB101" s="7813"/>
      <c r="BC101" s="501">
        <f t="shared" si="333"/>
        <v>36</v>
      </c>
      <c r="BD101" s="7819"/>
      <c r="BE101" s="219">
        <f t="shared" si="334"/>
        <v>90</v>
      </c>
      <c r="BF101" s="26"/>
      <c r="BG101" s="26"/>
      <c r="BH101" s="26"/>
      <c r="BI101" s="26"/>
      <c r="BJ101" s="26"/>
    </row>
    <row r="102" spans="1:62" x14ac:dyDescent="0.25">
      <c r="A102" s="149"/>
      <c r="B102" s="3770" t="s">
        <v>1176</v>
      </c>
      <c r="C102" s="101" t="s">
        <v>1265</v>
      </c>
      <c r="D102" s="1003"/>
      <c r="E102" s="181">
        <v>840</v>
      </c>
      <c r="F102" s="1003"/>
      <c r="G102" s="181">
        <v>455</v>
      </c>
      <c r="H102" s="7819"/>
      <c r="I102" s="3769">
        <f t="shared" si="324"/>
        <v>1295</v>
      </c>
      <c r="J102" s="1003"/>
      <c r="K102" s="181">
        <v>460</v>
      </c>
      <c r="L102" s="7829"/>
      <c r="M102" s="240">
        <f t="shared" si="325"/>
        <v>1755</v>
      </c>
      <c r="N102" s="1003"/>
      <c r="O102" s="181">
        <v>275</v>
      </c>
      <c r="P102" s="7819"/>
      <c r="Q102" s="218">
        <f t="shared" si="326"/>
        <v>2030</v>
      </c>
      <c r="R102" s="1003"/>
      <c r="S102" s="181">
        <v>342</v>
      </c>
      <c r="T102" s="7819"/>
      <c r="U102" s="218">
        <f t="shared" si="327"/>
        <v>2372</v>
      </c>
      <c r="V102" s="1003"/>
      <c r="W102" s="181">
        <v>391</v>
      </c>
      <c r="X102" s="7829"/>
      <c r="Y102" s="244">
        <f t="shared" si="320"/>
        <v>1008</v>
      </c>
      <c r="Z102" s="7813"/>
      <c r="AA102" s="501">
        <f t="shared" si="328"/>
        <v>2763</v>
      </c>
      <c r="AB102" s="1003"/>
      <c r="AC102" s="181">
        <v>546</v>
      </c>
      <c r="AD102" s="7819"/>
      <c r="AE102" s="218">
        <f t="shared" si="329"/>
        <v>3309</v>
      </c>
      <c r="AF102" s="1003"/>
      <c r="AG102" s="181">
        <v>505</v>
      </c>
      <c r="AH102" s="7819"/>
      <c r="AI102" s="218">
        <f t="shared" si="330"/>
        <v>3814</v>
      </c>
      <c r="AJ102" s="1003"/>
      <c r="AK102" s="181">
        <v>490</v>
      </c>
      <c r="AL102" s="7829"/>
      <c r="AM102" s="244">
        <f t="shared" si="321"/>
        <v>1541</v>
      </c>
      <c r="AN102" s="7819"/>
      <c r="AO102" s="218">
        <f t="shared" si="322"/>
        <v>4304</v>
      </c>
      <c r="AP102" s="1003"/>
      <c r="AQ102" s="181">
        <v>560</v>
      </c>
      <c r="AR102" s="7819"/>
      <c r="AS102" s="219">
        <f t="shared" si="331"/>
        <v>4864</v>
      </c>
      <c r="AT102" s="1003"/>
      <c r="AU102" s="181">
        <v>572</v>
      </c>
      <c r="AV102" s="7819"/>
      <c r="AW102" s="219">
        <f t="shared" si="332"/>
        <v>5436</v>
      </c>
      <c r="AX102" s="1003"/>
      <c r="AY102" s="181">
        <v>970</v>
      </c>
      <c r="AZ102" s="7829"/>
      <c r="BA102" s="244">
        <f t="shared" si="323"/>
        <v>2102</v>
      </c>
      <c r="BB102" s="7813"/>
      <c r="BC102" s="501">
        <f t="shared" si="333"/>
        <v>3643</v>
      </c>
      <c r="BD102" s="7819"/>
      <c r="BE102" s="219">
        <f t="shared" si="334"/>
        <v>6406</v>
      </c>
      <c r="BF102" s="26"/>
      <c r="BG102" s="26"/>
      <c r="BH102" s="26"/>
      <c r="BI102" s="26"/>
      <c r="BJ102" s="26"/>
    </row>
    <row r="103" spans="1:62" x14ac:dyDescent="0.25">
      <c r="A103" s="149"/>
      <c r="B103" s="3770" t="s">
        <v>1177</v>
      </c>
      <c r="C103" s="101" t="s">
        <v>1265</v>
      </c>
      <c r="D103" s="1003"/>
      <c r="E103" s="181">
        <v>95</v>
      </c>
      <c r="F103" s="1003"/>
      <c r="G103" s="181">
        <v>84</v>
      </c>
      <c r="H103" s="7819"/>
      <c r="I103" s="3769">
        <f t="shared" si="324"/>
        <v>179</v>
      </c>
      <c r="J103" s="1003"/>
      <c r="K103" s="181">
        <v>95</v>
      </c>
      <c r="L103" s="7829"/>
      <c r="M103" s="240">
        <f t="shared" si="325"/>
        <v>274</v>
      </c>
      <c r="N103" s="1003"/>
      <c r="O103" s="181">
        <v>113</v>
      </c>
      <c r="P103" s="7819"/>
      <c r="Q103" s="218">
        <f t="shared" si="326"/>
        <v>387</v>
      </c>
      <c r="R103" s="1003"/>
      <c r="S103" s="181">
        <v>121</v>
      </c>
      <c r="T103" s="7819"/>
      <c r="U103" s="218">
        <f t="shared" si="327"/>
        <v>508</v>
      </c>
      <c r="V103" s="1003"/>
      <c r="W103" s="181">
        <v>84.5</v>
      </c>
      <c r="X103" s="7829"/>
      <c r="Y103" s="244">
        <f t="shared" si="320"/>
        <v>318.5</v>
      </c>
      <c r="Z103" s="7813"/>
      <c r="AA103" s="501">
        <f t="shared" si="328"/>
        <v>592.5</v>
      </c>
      <c r="AB103" s="1003"/>
      <c r="AC103" s="181">
        <v>83</v>
      </c>
      <c r="AD103" s="7819"/>
      <c r="AE103" s="218">
        <f t="shared" si="329"/>
        <v>675.5</v>
      </c>
      <c r="AF103" s="1003"/>
      <c r="AG103" s="181">
        <v>85</v>
      </c>
      <c r="AH103" s="7819"/>
      <c r="AI103" s="218">
        <f t="shared" si="330"/>
        <v>760.5</v>
      </c>
      <c r="AJ103" s="1003"/>
      <c r="AK103" s="181">
        <v>108</v>
      </c>
      <c r="AL103" s="7829"/>
      <c r="AM103" s="244">
        <f t="shared" si="321"/>
        <v>276</v>
      </c>
      <c r="AN103" s="7819"/>
      <c r="AO103" s="218">
        <f t="shared" si="322"/>
        <v>868.5</v>
      </c>
      <c r="AP103" s="1003"/>
      <c r="AQ103" s="181">
        <v>56</v>
      </c>
      <c r="AR103" s="7819"/>
      <c r="AS103" s="219">
        <f t="shared" si="331"/>
        <v>924.5</v>
      </c>
      <c r="AT103" s="1003"/>
      <c r="AU103" s="181">
        <v>66</v>
      </c>
      <c r="AV103" s="7819"/>
      <c r="AW103" s="219">
        <f t="shared" si="332"/>
        <v>990.5</v>
      </c>
      <c r="AX103" s="1003"/>
      <c r="AY103" s="181">
        <v>96</v>
      </c>
      <c r="AZ103" s="7829"/>
      <c r="BA103" s="244">
        <f t="shared" si="323"/>
        <v>218</v>
      </c>
      <c r="BB103" s="7813"/>
      <c r="BC103" s="501">
        <f t="shared" si="333"/>
        <v>494</v>
      </c>
      <c r="BD103" s="7819"/>
      <c r="BE103" s="219">
        <f t="shared" si="334"/>
        <v>1086.5</v>
      </c>
      <c r="BF103" s="26"/>
      <c r="BG103" s="26"/>
      <c r="BH103" s="26"/>
      <c r="BI103" s="26"/>
      <c r="BJ103" s="26"/>
    </row>
    <row r="104" spans="1:62" ht="15" customHeight="1" x14ac:dyDescent="0.25">
      <c r="A104" s="149"/>
      <c r="B104" s="3770" t="s">
        <v>1401</v>
      </c>
      <c r="C104" s="101" t="s">
        <v>1265</v>
      </c>
      <c r="D104" s="1003"/>
      <c r="E104" s="181">
        <v>228.94</v>
      </c>
      <c r="F104" s="1003"/>
      <c r="G104" s="181">
        <v>230.79</v>
      </c>
      <c r="H104" s="7819"/>
      <c r="I104" s="3769">
        <f t="shared" si="324"/>
        <v>459.73</v>
      </c>
      <c r="J104" s="1003"/>
      <c r="K104" s="181"/>
      <c r="L104" s="7829"/>
      <c r="M104" s="240">
        <f t="shared" si="325"/>
        <v>459.73</v>
      </c>
      <c r="N104" s="1003"/>
      <c r="O104" s="181"/>
      <c r="P104" s="7819"/>
      <c r="Q104" s="218">
        <f t="shared" si="326"/>
        <v>459.73</v>
      </c>
      <c r="R104" s="1003"/>
      <c r="S104" s="181">
        <v>238.18</v>
      </c>
      <c r="T104" s="7819"/>
      <c r="U104" s="218">
        <f t="shared" si="327"/>
        <v>697.91000000000008</v>
      </c>
      <c r="V104" s="1003"/>
      <c r="W104" s="181">
        <v>244.13</v>
      </c>
      <c r="X104" s="7829"/>
      <c r="Y104" s="244">
        <f t="shared" si="320"/>
        <v>482.31</v>
      </c>
      <c r="Z104" s="7813"/>
      <c r="AA104" s="501">
        <f t="shared" si="328"/>
        <v>942.04</v>
      </c>
      <c r="AB104" s="1003"/>
      <c r="AC104" s="181">
        <v>253.46</v>
      </c>
      <c r="AD104" s="7819"/>
      <c r="AE104" s="218">
        <f t="shared" si="329"/>
        <v>1195.5</v>
      </c>
      <c r="AF104" s="1003"/>
      <c r="AG104" s="181">
        <v>244.79999999999998</v>
      </c>
      <c r="AH104" s="7819"/>
      <c r="AI104" s="218">
        <f t="shared" si="330"/>
        <v>1440.3</v>
      </c>
      <c r="AJ104" s="1003"/>
      <c r="AK104" s="181">
        <v>221.95999999999998</v>
      </c>
      <c r="AL104" s="7829"/>
      <c r="AM104" s="244">
        <f t="shared" si="321"/>
        <v>720.22</v>
      </c>
      <c r="AN104" s="7819"/>
      <c r="AO104" s="218">
        <f t="shared" si="322"/>
        <v>1662.26</v>
      </c>
      <c r="AP104" s="1003"/>
      <c r="AQ104" s="181">
        <v>221.95999999999998</v>
      </c>
      <c r="AR104" s="7819"/>
      <c r="AS104" s="219">
        <f t="shared" si="331"/>
        <v>1884.22</v>
      </c>
      <c r="AT104" s="1003"/>
      <c r="AU104" s="181">
        <v>204.77</v>
      </c>
      <c r="AV104" s="7819"/>
      <c r="AW104" s="219">
        <f t="shared" si="332"/>
        <v>2088.9900000000002</v>
      </c>
      <c r="AX104" s="1003"/>
      <c r="AY104" s="181">
        <v>251.42000000000002</v>
      </c>
      <c r="AZ104" s="7829"/>
      <c r="BA104" s="244">
        <f t="shared" si="323"/>
        <v>678.15000000000009</v>
      </c>
      <c r="BB104" s="7813"/>
      <c r="BC104" s="501">
        <f t="shared" si="333"/>
        <v>1398.3700000000001</v>
      </c>
      <c r="BD104" s="7819"/>
      <c r="BE104" s="219">
        <f t="shared" si="334"/>
        <v>2340.4100000000003</v>
      </c>
      <c r="BF104" s="26"/>
      <c r="BG104" s="26"/>
      <c r="BH104" s="26"/>
      <c r="BI104" s="26"/>
      <c r="BJ104" s="26"/>
    </row>
    <row r="105" spans="1:62" ht="15" customHeight="1" x14ac:dyDescent="0.25">
      <c r="A105" s="149"/>
      <c r="B105" s="3770" t="s">
        <v>1402</v>
      </c>
      <c r="C105" s="101" t="s">
        <v>1265</v>
      </c>
      <c r="D105" s="1003"/>
      <c r="E105" s="181">
        <v>163.48000000000002</v>
      </c>
      <c r="F105" s="1003"/>
      <c r="G105" s="181">
        <v>164.38</v>
      </c>
      <c r="H105" s="7819"/>
      <c r="I105" s="3769">
        <f t="shared" si="324"/>
        <v>327.86</v>
      </c>
      <c r="J105" s="1003"/>
      <c r="K105" s="181"/>
      <c r="L105" s="7829"/>
      <c r="M105" s="240">
        <f t="shared" si="325"/>
        <v>327.86</v>
      </c>
      <c r="N105" s="1003"/>
      <c r="O105" s="181"/>
      <c r="P105" s="7819"/>
      <c r="Q105" s="218">
        <f t="shared" si="326"/>
        <v>327.86</v>
      </c>
      <c r="R105" s="1003"/>
      <c r="S105" s="181">
        <v>169.488</v>
      </c>
      <c r="T105" s="7819"/>
      <c r="U105" s="218">
        <f t="shared" si="327"/>
        <v>497.34800000000001</v>
      </c>
      <c r="V105" s="1003"/>
      <c r="W105" s="181">
        <v>174.57999999999998</v>
      </c>
      <c r="X105" s="7829"/>
      <c r="Y105" s="244">
        <f t="shared" si="320"/>
        <v>344.06799999999998</v>
      </c>
      <c r="Z105" s="7813"/>
      <c r="AA105" s="501">
        <f t="shared" si="328"/>
        <v>671.928</v>
      </c>
      <c r="AB105" s="1003"/>
      <c r="AC105" s="181">
        <v>180.58</v>
      </c>
      <c r="AD105" s="7819"/>
      <c r="AE105" s="218">
        <f t="shared" si="329"/>
        <v>852.50800000000004</v>
      </c>
      <c r="AF105" s="1003"/>
      <c r="AG105" s="181">
        <v>174.89</v>
      </c>
      <c r="AH105" s="7819"/>
      <c r="AI105" s="218">
        <f t="shared" si="330"/>
        <v>1027.3980000000001</v>
      </c>
      <c r="AJ105" s="1003"/>
      <c r="AK105" s="181">
        <v>158.24</v>
      </c>
      <c r="AL105" s="7829"/>
      <c r="AM105" s="244">
        <f t="shared" si="321"/>
        <v>513.71</v>
      </c>
      <c r="AN105" s="7819"/>
      <c r="AO105" s="218">
        <f t="shared" si="322"/>
        <v>1185.6380000000001</v>
      </c>
      <c r="AP105" s="1003"/>
      <c r="AQ105" s="181">
        <v>158.24</v>
      </c>
      <c r="AR105" s="7819"/>
      <c r="AS105" s="219">
        <f t="shared" si="331"/>
        <v>1343.8780000000002</v>
      </c>
      <c r="AT105" s="1003"/>
      <c r="AU105" s="181">
        <v>147.33000000000001</v>
      </c>
      <c r="AV105" s="7819"/>
      <c r="AW105" s="219">
        <f t="shared" si="332"/>
        <v>1491.2080000000001</v>
      </c>
      <c r="AX105" s="1003"/>
      <c r="AY105" s="181">
        <v>180.04</v>
      </c>
      <c r="AZ105" s="7829"/>
      <c r="BA105" s="244">
        <f t="shared" si="323"/>
        <v>485.61</v>
      </c>
      <c r="BB105" s="7813"/>
      <c r="BC105" s="501">
        <f t="shared" si="333"/>
        <v>999.32</v>
      </c>
      <c r="BD105" s="7819"/>
      <c r="BE105" s="219">
        <f t="shared" si="334"/>
        <v>1671.248</v>
      </c>
      <c r="BF105" s="26"/>
      <c r="BG105" s="26"/>
      <c r="BH105" s="26"/>
      <c r="BI105" s="26"/>
      <c r="BJ105" s="26"/>
    </row>
    <row r="106" spans="1:62" ht="15" customHeight="1" x14ac:dyDescent="0.25">
      <c r="A106" s="149"/>
      <c r="B106" s="3770" t="s">
        <v>1403</v>
      </c>
      <c r="C106" s="101" t="s">
        <v>1265</v>
      </c>
      <c r="D106" s="1003"/>
      <c r="E106" s="181">
        <v>46.67</v>
      </c>
      <c r="F106" s="1003"/>
      <c r="G106" s="181">
        <v>81.66</v>
      </c>
      <c r="H106" s="7819"/>
      <c r="I106" s="3769">
        <f t="shared" si="324"/>
        <v>128.32999999999998</v>
      </c>
      <c r="J106" s="1003"/>
      <c r="K106" s="181"/>
      <c r="L106" s="7829"/>
      <c r="M106" s="240">
        <f t="shared" si="325"/>
        <v>128.32999999999998</v>
      </c>
      <c r="N106" s="1003"/>
      <c r="O106" s="181"/>
      <c r="P106" s="7819"/>
      <c r="Q106" s="218">
        <f t="shared" si="326"/>
        <v>128.32999999999998</v>
      </c>
      <c r="R106" s="1003"/>
      <c r="S106" s="181">
        <v>46.66</v>
      </c>
      <c r="T106" s="7819"/>
      <c r="U106" s="218">
        <f t="shared" si="327"/>
        <v>174.98999999999998</v>
      </c>
      <c r="V106" s="1003"/>
      <c r="W106" s="181">
        <v>163.34</v>
      </c>
      <c r="X106" s="7829"/>
      <c r="Y106" s="244">
        <f t="shared" si="320"/>
        <v>210</v>
      </c>
      <c r="Z106" s="7813"/>
      <c r="AA106" s="501">
        <f t="shared" si="328"/>
        <v>338.33</v>
      </c>
      <c r="AB106" s="1003"/>
      <c r="AC106" s="181">
        <v>122.06</v>
      </c>
      <c r="AD106" s="7819"/>
      <c r="AE106" s="218">
        <f t="shared" si="329"/>
        <v>460.39</v>
      </c>
      <c r="AF106" s="1003"/>
      <c r="AG106" s="181">
        <v>81.66</v>
      </c>
      <c r="AH106" s="7819"/>
      <c r="AI106" s="218">
        <f t="shared" si="330"/>
        <v>542.04999999999995</v>
      </c>
      <c r="AJ106" s="1003"/>
      <c r="AK106" s="181">
        <v>75.83</v>
      </c>
      <c r="AL106" s="7829"/>
      <c r="AM106" s="244">
        <f t="shared" si="321"/>
        <v>279.55</v>
      </c>
      <c r="AN106" s="7819"/>
      <c r="AO106" s="218">
        <f t="shared" si="322"/>
        <v>617.88</v>
      </c>
      <c r="AP106" s="1003"/>
      <c r="AQ106" s="181">
        <v>75.83</v>
      </c>
      <c r="AR106" s="7819"/>
      <c r="AS106" s="219">
        <f t="shared" si="331"/>
        <v>693.71</v>
      </c>
      <c r="AT106" s="1003"/>
      <c r="AU106" s="181">
        <v>75.83</v>
      </c>
      <c r="AV106" s="7819"/>
      <c r="AW106" s="219">
        <f t="shared" si="332"/>
        <v>769.54000000000008</v>
      </c>
      <c r="AX106" s="1003"/>
      <c r="AY106" s="181">
        <v>75.83</v>
      </c>
      <c r="AZ106" s="7829"/>
      <c r="BA106" s="244">
        <f t="shared" si="323"/>
        <v>227.49</v>
      </c>
      <c r="BB106" s="7813"/>
      <c r="BC106" s="501">
        <f t="shared" si="333"/>
        <v>507.04</v>
      </c>
      <c r="BD106" s="7819"/>
      <c r="BE106" s="219">
        <f t="shared" si="334"/>
        <v>845.37000000000012</v>
      </c>
      <c r="BF106" s="26"/>
      <c r="BG106" s="26"/>
      <c r="BH106" s="26"/>
      <c r="BI106" s="26"/>
      <c r="BJ106" s="26"/>
    </row>
    <row r="107" spans="1:62" ht="15" customHeight="1" x14ac:dyDescent="0.25">
      <c r="B107" s="9" t="s">
        <v>1140</v>
      </c>
      <c r="C107" s="101" t="s">
        <v>1265</v>
      </c>
      <c r="D107" s="1003"/>
      <c r="E107" s="181">
        <v>2128</v>
      </c>
      <c r="F107" s="1003"/>
      <c r="G107" s="181">
        <v>2131</v>
      </c>
      <c r="H107" s="7819"/>
      <c r="I107" s="3769">
        <f t="shared" si="324"/>
        <v>4259</v>
      </c>
      <c r="J107" s="1003"/>
      <c r="K107" s="181"/>
      <c r="L107" s="7829"/>
      <c r="M107" s="240">
        <f t="shared" si="325"/>
        <v>4259</v>
      </c>
      <c r="N107" s="1003"/>
      <c r="O107" s="181"/>
      <c r="P107" s="7819"/>
      <c r="Q107" s="218">
        <f t="shared" si="326"/>
        <v>4259</v>
      </c>
      <c r="R107" s="1003"/>
      <c r="S107" s="181">
        <v>2206</v>
      </c>
      <c r="T107" s="7819"/>
      <c r="U107" s="218">
        <f t="shared" si="327"/>
        <v>6465</v>
      </c>
      <c r="V107" s="1003"/>
      <c r="W107" s="181">
        <v>2279</v>
      </c>
      <c r="X107" s="7829"/>
      <c r="Y107" s="244">
        <f t="shared" si="320"/>
        <v>4485</v>
      </c>
      <c r="Z107" s="7813"/>
      <c r="AA107" s="501">
        <f t="shared" si="328"/>
        <v>8744</v>
      </c>
      <c r="AB107" s="1003"/>
      <c r="AC107" s="181">
        <v>2356</v>
      </c>
      <c r="AD107" s="7819"/>
      <c r="AE107" s="218">
        <f t="shared" si="329"/>
        <v>11100</v>
      </c>
      <c r="AF107" s="1003"/>
      <c r="AG107" s="181">
        <v>2280</v>
      </c>
      <c r="AH107" s="7819"/>
      <c r="AI107" s="218">
        <f t="shared" si="330"/>
        <v>13380</v>
      </c>
      <c r="AJ107" s="1003"/>
      <c r="AK107" s="181">
        <v>2054</v>
      </c>
      <c r="AL107" s="7829"/>
      <c r="AM107" s="244">
        <f t="shared" si="321"/>
        <v>6690</v>
      </c>
      <c r="AN107" s="7819"/>
      <c r="AO107" s="218">
        <f t="shared" si="322"/>
        <v>15434</v>
      </c>
      <c r="AP107" s="1003"/>
      <c r="AQ107" s="181">
        <v>2054</v>
      </c>
      <c r="AR107" s="7819"/>
      <c r="AS107" s="219">
        <f t="shared" si="331"/>
        <v>17488</v>
      </c>
      <c r="AT107" s="1003"/>
      <c r="AU107" s="181">
        <v>1901</v>
      </c>
      <c r="AV107" s="7819"/>
      <c r="AW107" s="219">
        <f t="shared" si="332"/>
        <v>19389</v>
      </c>
      <c r="AX107" s="1003"/>
      <c r="AY107" s="181">
        <v>2354</v>
      </c>
      <c r="AZ107" s="7829"/>
      <c r="BA107" s="244">
        <f t="shared" si="323"/>
        <v>6309</v>
      </c>
      <c r="BB107" s="7813"/>
      <c r="BC107" s="501">
        <f t="shared" si="333"/>
        <v>12999</v>
      </c>
      <c r="BD107" s="7819"/>
      <c r="BE107" s="219">
        <f t="shared" si="334"/>
        <v>21743</v>
      </c>
      <c r="BF107" s="26"/>
      <c r="BG107" s="26"/>
      <c r="BH107" s="26"/>
      <c r="BI107" s="26"/>
      <c r="BJ107" s="26"/>
    </row>
    <row r="108" spans="1:62" ht="15" customHeight="1" x14ac:dyDescent="0.25">
      <c r="B108" s="9" t="s">
        <v>1441</v>
      </c>
      <c r="C108" s="101" t="s">
        <v>1265</v>
      </c>
      <c r="D108" s="1003"/>
      <c r="E108" s="181">
        <v>46.68</v>
      </c>
      <c r="F108" s="1003"/>
      <c r="G108" s="181">
        <v>46.66</v>
      </c>
      <c r="H108" s="7819"/>
      <c r="I108" s="3769">
        <f t="shared" si="324"/>
        <v>93.34</v>
      </c>
      <c r="J108" s="1003"/>
      <c r="K108" s="181"/>
      <c r="L108" s="7829"/>
      <c r="M108" s="240">
        <f t="shared" si="325"/>
        <v>93.34</v>
      </c>
      <c r="N108" s="1003"/>
      <c r="O108" s="181"/>
      <c r="P108" s="7819"/>
      <c r="Q108" s="218">
        <f t="shared" si="326"/>
        <v>93.34</v>
      </c>
      <c r="R108" s="1003"/>
      <c r="S108" s="181">
        <v>46.66</v>
      </c>
      <c r="T108" s="7819"/>
      <c r="U108" s="218">
        <f t="shared" si="327"/>
        <v>140</v>
      </c>
      <c r="V108" s="1003"/>
      <c r="W108" s="181">
        <v>93.01</v>
      </c>
      <c r="X108" s="7829"/>
      <c r="Y108" s="244">
        <f t="shared" si="320"/>
        <v>139.67000000000002</v>
      </c>
      <c r="Z108" s="7813"/>
      <c r="AA108" s="501">
        <f t="shared" si="328"/>
        <v>233.01000000000002</v>
      </c>
      <c r="AB108" s="1003"/>
      <c r="AC108" s="181">
        <v>46.68</v>
      </c>
      <c r="AD108" s="7819"/>
      <c r="AE108" s="218">
        <f t="shared" si="329"/>
        <v>279.69</v>
      </c>
      <c r="AF108" s="1003"/>
      <c r="AG108" s="181">
        <v>46.66</v>
      </c>
      <c r="AH108" s="7819"/>
      <c r="AI108" s="218">
        <f t="shared" si="330"/>
        <v>326.35000000000002</v>
      </c>
      <c r="AJ108" s="1003"/>
      <c r="AK108" s="181">
        <v>46.66</v>
      </c>
      <c r="AL108" s="7829"/>
      <c r="AM108" s="244">
        <f t="shared" si="321"/>
        <v>140</v>
      </c>
      <c r="AN108" s="7819"/>
      <c r="AO108" s="218">
        <f t="shared" si="322"/>
        <v>373.01</v>
      </c>
      <c r="AP108" s="1003"/>
      <c r="AQ108" s="181">
        <v>46.66</v>
      </c>
      <c r="AR108" s="7819"/>
      <c r="AS108" s="219">
        <f t="shared" si="331"/>
        <v>419.66999999999996</v>
      </c>
      <c r="AT108" s="1003"/>
      <c r="AU108" s="181">
        <v>11.66</v>
      </c>
      <c r="AV108" s="7819"/>
      <c r="AW108" s="219">
        <f t="shared" si="332"/>
        <v>431.33</v>
      </c>
      <c r="AX108" s="1003"/>
      <c r="AY108" s="181">
        <v>46.66</v>
      </c>
      <c r="AZ108" s="7829"/>
      <c r="BA108" s="244">
        <f t="shared" si="323"/>
        <v>104.97999999999999</v>
      </c>
      <c r="BB108" s="7813"/>
      <c r="BC108" s="501">
        <f t="shared" si="333"/>
        <v>244.98</v>
      </c>
      <c r="BD108" s="7819"/>
      <c r="BE108" s="219">
        <f t="shared" si="334"/>
        <v>477.99</v>
      </c>
      <c r="BF108" s="26"/>
      <c r="BG108" s="26"/>
      <c r="BH108" s="26"/>
      <c r="BI108" s="26"/>
      <c r="BJ108" s="26"/>
    </row>
    <row r="109" spans="1:62" ht="15" customHeight="1" x14ac:dyDescent="0.25">
      <c r="B109" s="9" t="s">
        <v>1494</v>
      </c>
      <c r="C109" s="101" t="s">
        <v>411</v>
      </c>
      <c r="D109" s="1003"/>
      <c r="E109" s="18">
        <v>11.66</v>
      </c>
      <c r="F109" s="1003"/>
      <c r="G109" s="18">
        <v>46.66</v>
      </c>
      <c r="H109" s="7819"/>
      <c r="I109" s="3769">
        <f t="shared" si="324"/>
        <v>58.319999999999993</v>
      </c>
      <c r="J109" s="1003"/>
      <c r="K109" s="18"/>
      <c r="L109" s="7829"/>
      <c r="M109" s="240">
        <f t="shared" si="325"/>
        <v>58.319999999999993</v>
      </c>
      <c r="N109" s="1003"/>
      <c r="O109" s="18"/>
      <c r="P109" s="7819"/>
      <c r="Q109" s="218">
        <f t="shared" si="326"/>
        <v>58.319999999999993</v>
      </c>
      <c r="R109" s="1003"/>
      <c r="S109" s="18">
        <v>11.66</v>
      </c>
      <c r="T109" s="7819"/>
      <c r="U109" s="218">
        <f t="shared" si="327"/>
        <v>69.97999999999999</v>
      </c>
      <c r="V109" s="1003"/>
      <c r="W109" s="18">
        <v>93.34</v>
      </c>
      <c r="X109" s="7829"/>
      <c r="Y109" s="244">
        <f t="shared" si="320"/>
        <v>105</v>
      </c>
      <c r="Z109" s="7813"/>
      <c r="AA109" s="501">
        <f t="shared" si="328"/>
        <v>163.32</v>
      </c>
      <c r="AB109" s="1003"/>
      <c r="AC109" s="18">
        <v>93.34</v>
      </c>
      <c r="AD109" s="7819"/>
      <c r="AE109" s="218">
        <f t="shared" si="329"/>
        <v>256.65999999999997</v>
      </c>
      <c r="AF109" s="1003"/>
      <c r="AG109" s="18">
        <v>46.66</v>
      </c>
      <c r="AH109" s="7819"/>
      <c r="AI109" s="218">
        <f t="shared" si="330"/>
        <v>303.31999999999994</v>
      </c>
      <c r="AJ109" s="1003"/>
      <c r="AK109" s="18">
        <v>35</v>
      </c>
      <c r="AL109" s="7829"/>
      <c r="AM109" s="244">
        <f t="shared" si="321"/>
        <v>175</v>
      </c>
      <c r="AN109" s="7819"/>
      <c r="AO109" s="218">
        <f t="shared" si="322"/>
        <v>338.31999999999994</v>
      </c>
      <c r="AP109" s="1003"/>
      <c r="AQ109" s="18">
        <v>35</v>
      </c>
      <c r="AR109" s="7819"/>
      <c r="AS109" s="219">
        <f t="shared" si="331"/>
        <v>373.31999999999994</v>
      </c>
      <c r="AT109" s="1003"/>
      <c r="AU109" s="18">
        <v>35</v>
      </c>
      <c r="AV109" s="7819"/>
      <c r="AW109" s="219">
        <f t="shared" si="332"/>
        <v>408.31999999999994</v>
      </c>
      <c r="AX109" s="1003"/>
      <c r="AY109" s="18">
        <v>35</v>
      </c>
      <c r="AZ109" s="7829"/>
      <c r="BA109" s="244">
        <f t="shared" si="323"/>
        <v>105</v>
      </c>
      <c r="BB109" s="7813"/>
      <c r="BC109" s="501">
        <f t="shared" si="333"/>
        <v>280</v>
      </c>
      <c r="BD109" s="7819"/>
      <c r="BE109" s="219">
        <f t="shared" si="334"/>
        <v>443.31999999999994</v>
      </c>
      <c r="BF109" s="26"/>
      <c r="BG109" s="26"/>
      <c r="BH109" s="26"/>
      <c r="BI109" s="26"/>
      <c r="BJ109" s="26"/>
    </row>
    <row r="110" spans="1:62" ht="15.75" customHeight="1" thickBot="1" x14ac:dyDescent="0.3">
      <c r="B110" s="12" t="s">
        <v>2295</v>
      </c>
      <c r="C110" s="1898" t="s">
        <v>411</v>
      </c>
      <c r="D110" s="3771"/>
      <c r="E110" s="38">
        <v>1428</v>
      </c>
      <c r="F110" s="3771"/>
      <c r="G110" s="38">
        <v>1431</v>
      </c>
      <c r="H110" s="7849"/>
      <c r="I110" s="3772">
        <f t="shared" si="324"/>
        <v>2859</v>
      </c>
      <c r="J110" s="3771"/>
      <c r="K110" s="38"/>
      <c r="L110" s="7829"/>
      <c r="M110" s="240">
        <f t="shared" si="325"/>
        <v>2859</v>
      </c>
      <c r="N110" s="3771"/>
      <c r="O110" s="38"/>
      <c r="P110" s="7819"/>
      <c r="Q110" s="218">
        <f t="shared" si="326"/>
        <v>2859</v>
      </c>
      <c r="R110" s="3771"/>
      <c r="S110" s="38">
        <v>1481</v>
      </c>
      <c r="T110" s="7819"/>
      <c r="U110" s="218">
        <f t="shared" si="327"/>
        <v>4340</v>
      </c>
      <c r="V110" s="3771"/>
      <c r="W110" s="38">
        <v>1529</v>
      </c>
      <c r="X110" s="7829"/>
      <c r="Y110" s="244">
        <f t="shared" si="320"/>
        <v>3010</v>
      </c>
      <c r="Z110" s="7813"/>
      <c r="AA110" s="501">
        <f t="shared" si="328"/>
        <v>5869</v>
      </c>
      <c r="AB110" s="3771"/>
      <c r="AC110" s="38">
        <v>1581</v>
      </c>
      <c r="AD110" s="7819"/>
      <c r="AE110" s="218">
        <f t="shared" si="329"/>
        <v>7450</v>
      </c>
      <c r="AF110" s="3771"/>
      <c r="AG110" s="38">
        <v>1530</v>
      </c>
      <c r="AH110" s="7819"/>
      <c r="AI110" s="218">
        <f t="shared" si="330"/>
        <v>8980</v>
      </c>
      <c r="AJ110" s="3771"/>
      <c r="AK110" s="38">
        <v>1379</v>
      </c>
      <c r="AL110" s="7829"/>
      <c r="AM110" s="244">
        <f t="shared" si="321"/>
        <v>4490</v>
      </c>
      <c r="AN110" s="7819"/>
      <c r="AO110" s="218">
        <f t="shared" si="322"/>
        <v>10359</v>
      </c>
      <c r="AP110" s="3771"/>
      <c r="AQ110" s="38">
        <v>1379</v>
      </c>
      <c r="AR110" s="7819"/>
      <c r="AS110" s="219">
        <f t="shared" si="331"/>
        <v>11738</v>
      </c>
      <c r="AT110" s="3771"/>
      <c r="AU110" s="38">
        <v>1276</v>
      </c>
      <c r="AV110" s="7819"/>
      <c r="AW110" s="219">
        <f t="shared" si="332"/>
        <v>13014</v>
      </c>
      <c r="AX110" s="3771"/>
      <c r="AY110" s="38">
        <v>1579</v>
      </c>
      <c r="AZ110" s="7829"/>
      <c r="BA110" s="244">
        <f t="shared" si="323"/>
        <v>4234</v>
      </c>
      <c r="BB110" s="7813"/>
      <c r="BC110" s="501">
        <f t="shared" si="333"/>
        <v>8724</v>
      </c>
      <c r="BD110" s="7819"/>
      <c r="BE110" s="219">
        <f t="shared" si="334"/>
        <v>14593</v>
      </c>
      <c r="BF110" s="26"/>
      <c r="BG110" s="26"/>
      <c r="BH110" s="26"/>
      <c r="BI110" s="26"/>
      <c r="BJ110" s="26"/>
    </row>
    <row r="111" spans="1:62" ht="24" thickTop="1" thickBot="1" x14ac:dyDescent="0.35">
      <c r="B111" s="3741" t="s">
        <v>413</v>
      </c>
      <c r="C111" s="3742"/>
      <c r="D111" s="3743"/>
      <c r="E111" s="3744"/>
      <c r="F111" s="3743"/>
      <c r="G111" s="3744"/>
      <c r="H111" s="3742"/>
      <c r="I111" s="3742"/>
      <c r="J111" s="3743"/>
      <c r="K111" s="3744"/>
      <c r="L111" s="138"/>
      <c r="M111" s="138"/>
      <c r="N111" s="3743"/>
      <c r="O111" s="3744"/>
      <c r="P111" s="138"/>
      <c r="Q111" s="138"/>
      <c r="R111" s="3743"/>
      <c r="S111" s="3744"/>
      <c r="T111" s="138"/>
      <c r="U111" s="138"/>
      <c r="V111" s="3743"/>
      <c r="W111" s="3744"/>
      <c r="X111" s="138"/>
      <c r="Y111" s="138"/>
      <c r="Z111" s="138"/>
      <c r="AA111" s="138"/>
      <c r="AB111" s="3743"/>
      <c r="AC111" s="3744"/>
      <c r="AD111" s="138"/>
      <c r="AE111" s="138"/>
      <c r="AF111" s="3743"/>
      <c r="AG111" s="3744"/>
      <c r="AH111" s="138"/>
      <c r="AI111" s="138"/>
      <c r="AJ111" s="3743"/>
      <c r="AK111" s="3744"/>
      <c r="AL111" s="138"/>
      <c r="AM111" s="138"/>
      <c r="AN111" s="138"/>
      <c r="AO111" s="138"/>
      <c r="AP111" s="3743"/>
      <c r="AQ111" s="3744"/>
      <c r="AR111" s="138"/>
      <c r="AS111" s="138"/>
      <c r="AT111" s="3743"/>
      <c r="AU111" s="3744"/>
      <c r="AV111" s="138"/>
      <c r="AW111" s="138"/>
      <c r="AX111" s="3743"/>
      <c r="AY111" s="3744"/>
      <c r="AZ111" s="138"/>
      <c r="BA111" s="138"/>
      <c r="BB111" s="138"/>
      <c r="BC111" s="138"/>
      <c r="BD111" s="138"/>
      <c r="BE111" s="138"/>
      <c r="BF111" s="26"/>
      <c r="BG111" s="26"/>
      <c r="BH111" s="26"/>
      <c r="BI111" s="26"/>
      <c r="BJ111" s="26"/>
    </row>
    <row r="112" spans="1:62" x14ac:dyDescent="0.25">
      <c r="B112" s="7831" t="s">
        <v>374</v>
      </c>
      <c r="C112" s="866" t="s">
        <v>393</v>
      </c>
      <c r="D112" s="368">
        <f t="shared" ref="D112:AE112" si="335">+D8+D50</f>
        <v>36091.463252194517</v>
      </c>
      <c r="E112" s="81">
        <f t="shared" si="335"/>
        <v>28419.200000000004</v>
      </c>
      <c r="F112" s="368">
        <f t="shared" ref="F112:G112" si="336">+F8+F50</f>
        <v>39844.723250093492</v>
      </c>
      <c r="G112" s="81">
        <f t="shared" si="336"/>
        <v>34691</v>
      </c>
      <c r="H112" s="713">
        <f t="shared" si="335"/>
        <v>75936.186502288008</v>
      </c>
      <c r="I112" s="227">
        <f t="shared" si="335"/>
        <v>63110.200000000012</v>
      </c>
      <c r="J112" s="368">
        <f t="shared" si="335"/>
        <v>33343.222375330268</v>
      </c>
      <c r="K112" s="81">
        <f t="shared" si="335"/>
        <v>27524.799999999999</v>
      </c>
      <c r="L112" s="714">
        <f t="shared" si="335"/>
        <v>109279.40887761828</v>
      </c>
      <c r="M112" s="1539">
        <f t="shared" si="335"/>
        <v>90635</v>
      </c>
      <c r="N112" s="368">
        <f t="shared" ref="N112:O112" si="337">+N8+N50</f>
        <v>24364.998638822264</v>
      </c>
      <c r="O112" s="81">
        <f t="shared" si="337"/>
        <v>33474.800000000003</v>
      </c>
      <c r="P112" s="713">
        <f t="shared" ref="P112:S112" si="338">+P8+P50</f>
        <v>133644.40751644055</v>
      </c>
      <c r="Q112" s="227">
        <f t="shared" si="338"/>
        <v>124109.8</v>
      </c>
      <c r="R112" s="368">
        <f t="shared" si="338"/>
        <v>38430.902980707644</v>
      </c>
      <c r="S112" s="81">
        <f t="shared" si="338"/>
        <v>32746.6</v>
      </c>
      <c r="T112" s="713">
        <f t="shared" ref="T112:W112" si="339">+T8+T50</f>
        <v>172075.3104971482</v>
      </c>
      <c r="U112" s="227">
        <f t="shared" si="339"/>
        <v>156856.4</v>
      </c>
      <c r="V112" s="368">
        <f t="shared" si="339"/>
        <v>36635.786373029056</v>
      </c>
      <c r="W112" s="81">
        <f t="shared" si="339"/>
        <v>29863.699999999997</v>
      </c>
      <c r="X112" s="714">
        <f t="shared" ref="X112:Y112" si="340">+X8+X50</f>
        <v>99431.687992558975</v>
      </c>
      <c r="Y112" s="1539">
        <f t="shared" si="340"/>
        <v>96085.099999999991</v>
      </c>
      <c r="Z112" s="715">
        <f t="shared" ref="Z112" si="341">+Z8+Z50</f>
        <v>208711.09687017725</v>
      </c>
      <c r="AA112" s="526">
        <f t="shared" si="335"/>
        <v>186720.09999999998</v>
      </c>
      <c r="AB112" s="368">
        <f t="shared" si="335"/>
        <v>39591.106959484961</v>
      </c>
      <c r="AC112" s="81">
        <f t="shared" si="335"/>
        <v>30478.3</v>
      </c>
      <c r="AD112" s="713">
        <f t="shared" si="335"/>
        <v>248302.2038296622</v>
      </c>
      <c r="AE112" s="227">
        <f t="shared" si="335"/>
        <v>217198.39999999997</v>
      </c>
      <c r="AF112" s="368">
        <f t="shared" ref="AF112:AI112" si="342">+AF8+AF50</f>
        <v>38489.478129143623</v>
      </c>
      <c r="AG112" s="81">
        <f t="shared" si="342"/>
        <v>11127.7</v>
      </c>
      <c r="AH112" s="713">
        <f t="shared" si="342"/>
        <v>286791.68195880589</v>
      </c>
      <c r="AI112" s="227">
        <f t="shared" si="342"/>
        <v>228326.09999999998</v>
      </c>
      <c r="AJ112" s="368">
        <f t="shared" ref="AJ112:AK112" si="343">+AJ8+AJ50</f>
        <v>39955.819877610265</v>
      </c>
      <c r="AK112" s="81">
        <f t="shared" si="343"/>
        <v>35845.4</v>
      </c>
      <c r="AL112" s="714">
        <f t="shared" ref="AL112:AS112" si="344">+AL8+AL50</f>
        <v>118036.40496623886</v>
      </c>
      <c r="AM112" s="1539">
        <f t="shared" si="344"/>
        <v>77451.399999999994</v>
      </c>
      <c r="AN112" s="713">
        <f t="shared" si="344"/>
        <v>326747.50183641614</v>
      </c>
      <c r="AO112" s="227">
        <f t="shared" si="344"/>
        <v>264171.5</v>
      </c>
      <c r="AP112" s="368">
        <f t="shared" si="344"/>
        <v>39973.484439013773</v>
      </c>
      <c r="AQ112" s="81">
        <f t="shared" si="344"/>
        <v>35081.600000000006</v>
      </c>
      <c r="AR112" s="713">
        <f t="shared" si="344"/>
        <v>366720.98627542995</v>
      </c>
      <c r="AS112" s="227">
        <f t="shared" si="344"/>
        <v>299253.09999999998</v>
      </c>
      <c r="AT112" s="368">
        <f t="shared" ref="AT112:AW112" si="345">+AT8+AT50</f>
        <v>36291.780355194263</v>
      </c>
      <c r="AU112" s="81">
        <f t="shared" si="345"/>
        <v>31225.199999999997</v>
      </c>
      <c r="AV112" s="713">
        <f t="shared" si="345"/>
        <v>403012.76663062419</v>
      </c>
      <c r="AW112" s="227">
        <f t="shared" si="345"/>
        <v>330478.3</v>
      </c>
      <c r="AX112" s="368">
        <f t="shared" ref="AX112:AY112" si="346">+AX8+AX50</f>
        <v>39826.390961316632</v>
      </c>
      <c r="AY112" s="81">
        <f t="shared" si="346"/>
        <v>33457.4</v>
      </c>
      <c r="AZ112" s="714">
        <f t="shared" ref="AZ112:BE112" si="347">+AZ8+AZ50</f>
        <v>116091.65575552467</v>
      </c>
      <c r="BA112" s="1539">
        <f t="shared" si="347"/>
        <v>99764.2</v>
      </c>
      <c r="BB112" s="715">
        <f t="shared" si="347"/>
        <v>234128.06072176353</v>
      </c>
      <c r="BC112" s="526">
        <f t="shared" si="347"/>
        <v>177215.6</v>
      </c>
      <c r="BD112" s="713">
        <f t="shared" si="347"/>
        <v>442839.15759194084</v>
      </c>
      <c r="BE112" s="227">
        <f t="shared" si="347"/>
        <v>363935.7</v>
      </c>
      <c r="BF112" s="26"/>
      <c r="BG112" s="26"/>
      <c r="BH112" s="26"/>
      <c r="BI112" s="26"/>
      <c r="BJ112" s="26"/>
    </row>
    <row r="113" spans="2:62" ht="15.75" thickBot="1" x14ac:dyDescent="0.3">
      <c r="B113" s="7832"/>
      <c r="C113" s="731" t="s">
        <v>381</v>
      </c>
      <c r="D113" s="1004">
        <f t="shared" ref="D113:M113" si="348">+D12+D51</f>
        <v>50.127032294714631</v>
      </c>
      <c r="E113" s="694">
        <f t="shared" si="348"/>
        <v>39.471111111111121</v>
      </c>
      <c r="F113" s="1004">
        <f t="shared" ref="F113:G113" si="349">+F12+F51</f>
        <v>53.554735551200942</v>
      </c>
      <c r="G113" s="694">
        <f t="shared" si="349"/>
        <v>46.627688172043008</v>
      </c>
      <c r="H113" s="2118">
        <f t="shared" si="348"/>
        <v>51.868979851289623</v>
      </c>
      <c r="I113" s="3416">
        <f t="shared" si="348"/>
        <v>43.108060109289625</v>
      </c>
      <c r="J113" s="1004">
        <f t="shared" si="348"/>
        <v>46.310031076847594</v>
      </c>
      <c r="K113" s="694">
        <f t="shared" si="348"/>
        <v>38.228888888888889</v>
      </c>
      <c r="L113" s="757">
        <f t="shared" si="348"/>
        <v>50.036359376198845</v>
      </c>
      <c r="M113" s="1540">
        <f t="shared" si="348"/>
        <v>41.499542124542124</v>
      </c>
      <c r="N113" s="1004">
        <f t="shared" ref="N113:O113" si="350">+N12+N51</f>
        <v>32.748654084438535</v>
      </c>
      <c r="O113" s="694">
        <f t="shared" si="350"/>
        <v>44.993010752688178</v>
      </c>
      <c r="P113" s="756">
        <f t="shared" ref="P113:S113" si="351">+P12+P51</f>
        <v>45.643581802063025</v>
      </c>
      <c r="Q113" s="228">
        <f t="shared" si="351"/>
        <v>42.387226775956286</v>
      </c>
      <c r="R113" s="1004">
        <f t="shared" si="351"/>
        <v>51.654439490198442</v>
      </c>
      <c r="S113" s="694">
        <f t="shared" si="351"/>
        <v>44.014247311827951</v>
      </c>
      <c r="T113" s="756">
        <f t="shared" ref="T113:W113" si="352">+T12+T51</f>
        <v>46.861468000312684</v>
      </c>
      <c r="U113" s="228">
        <f t="shared" si="352"/>
        <v>42.716884531590409</v>
      </c>
      <c r="V113" s="1004">
        <f t="shared" si="352"/>
        <v>50.883036629207027</v>
      </c>
      <c r="W113" s="694">
        <f t="shared" si="352"/>
        <v>41.477361111111108</v>
      </c>
      <c r="X113" s="757">
        <f t="shared" ref="X113" si="353">+X12+X51</f>
        <v>45.032467387934318</v>
      </c>
      <c r="Y113" s="1540">
        <f>+Y12+Y51</f>
        <v>43.516802536231886</v>
      </c>
      <c r="Z113" s="758">
        <f t="shared" ref="Z113" si="354">+Z12+Z51</f>
        <v>47.520741546033079</v>
      </c>
      <c r="AA113" s="668">
        <f>+AA12+AA51</f>
        <v>42.5136839708561</v>
      </c>
      <c r="AB113" s="1004">
        <f t="shared" ref="AB113:AC113" si="355">+AB12+AB51</f>
        <v>53.213853440167952</v>
      </c>
      <c r="AC113" s="694">
        <f t="shared" si="355"/>
        <v>40.965456989247308</v>
      </c>
      <c r="AD113" s="756">
        <f t="shared" ref="AD113:AG113" si="356">+AD12+AD51</f>
        <v>48.34544467088439</v>
      </c>
      <c r="AE113" s="228">
        <f t="shared" si="356"/>
        <v>42.289408099688465</v>
      </c>
      <c r="AF113" s="1004">
        <f t="shared" si="356"/>
        <v>53.457608512699473</v>
      </c>
      <c r="AG113" s="694">
        <f t="shared" si="356"/>
        <v>15.455138888888889</v>
      </c>
      <c r="AH113" s="756">
        <f t="shared" ref="AH113:AK113" si="357">+AH12+AH51</f>
        <v>48.973989405533786</v>
      </c>
      <c r="AI113" s="228">
        <f t="shared" si="357"/>
        <v>38.990112704918026</v>
      </c>
      <c r="AJ113" s="1004">
        <f t="shared" si="357"/>
        <v>53.704058975282621</v>
      </c>
      <c r="AK113" s="694">
        <f t="shared" si="357"/>
        <v>48.179301075268818</v>
      </c>
      <c r="AL113" s="757">
        <f t="shared" ref="AL113:AS113" si="358">+AL12+AL51</f>
        <v>53.458516741955997</v>
      </c>
      <c r="AM113" s="1540">
        <f>+AM12+AM51</f>
        <v>35.0776268115942</v>
      </c>
      <c r="AN113" s="756">
        <f t="shared" si="358"/>
        <v>49.507197247941846</v>
      </c>
      <c r="AO113" s="228">
        <f t="shared" si="358"/>
        <v>40.025984848484846</v>
      </c>
      <c r="AP113" s="1004">
        <f t="shared" si="358"/>
        <v>53.72780166534109</v>
      </c>
      <c r="AQ113" s="694">
        <f t="shared" si="358"/>
        <v>47.152688172043014</v>
      </c>
      <c r="AR113" s="756">
        <f t="shared" si="358"/>
        <v>49.934774819639145</v>
      </c>
      <c r="AS113" s="3416">
        <f t="shared" si="358"/>
        <v>40.747971132897597</v>
      </c>
      <c r="AT113" s="1004">
        <f t="shared" ref="AT113:AW113" si="359">+AT12+AT51</f>
        <v>54.005625528562888</v>
      </c>
      <c r="AU113" s="694">
        <f t="shared" si="359"/>
        <v>46.466071428571418</v>
      </c>
      <c r="AV113" s="756">
        <f t="shared" si="359"/>
        <v>50.276043741345333</v>
      </c>
      <c r="AW113" s="3416">
        <f t="shared" si="359"/>
        <v>41.227332834331335</v>
      </c>
      <c r="AX113" s="1004">
        <f t="shared" ref="AX113:AY113" si="360">+AX12+AX51</f>
        <v>53.530095378113757</v>
      </c>
      <c r="AY113" s="694">
        <f t="shared" si="360"/>
        <v>44.969623655913978</v>
      </c>
      <c r="AZ113" s="757">
        <f t="shared" ref="AZ113:BE113" si="361">+AZ12+AZ51</f>
        <v>53.74613692385401</v>
      </c>
      <c r="BA113" s="1540">
        <f>+BA12+BA51</f>
        <v>46.187129629629624</v>
      </c>
      <c r="BB113" s="758">
        <f t="shared" ref="BB113" si="362">+BB12+BB51</f>
        <v>53.600746502235239</v>
      </c>
      <c r="BC113" s="668">
        <f>+BC12+BC51</f>
        <v>40.571336996336996</v>
      </c>
      <c r="BD113" s="756">
        <f t="shared" si="361"/>
        <v>50.552415250221557</v>
      </c>
      <c r="BE113" s="228">
        <f t="shared" si="361"/>
        <v>41.545171232876712</v>
      </c>
      <c r="BF113" s="26"/>
      <c r="BG113" s="26"/>
      <c r="BH113" s="26"/>
      <c r="BI113" s="26"/>
      <c r="BJ113" s="26"/>
    </row>
    <row r="114" spans="2:62" ht="15.75" customHeight="1" x14ac:dyDescent="0.25">
      <c r="B114" s="7833" t="s">
        <v>399</v>
      </c>
      <c r="C114" s="866" t="s">
        <v>393</v>
      </c>
      <c r="D114" s="368">
        <f t="shared" ref="D114:AE114" si="363">+D9+D52</f>
        <v>80141.277670534197</v>
      </c>
      <c r="E114" s="81">
        <f t="shared" si="363"/>
        <v>76262.60536799999</v>
      </c>
      <c r="F114" s="368">
        <f t="shared" ref="F114:G114" si="364">+F9+F52</f>
        <v>80308.212163803051</v>
      </c>
      <c r="G114" s="81">
        <f t="shared" si="364"/>
        <v>78965.847000000009</v>
      </c>
      <c r="H114" s="713">
        <f t="shared" si="363"/>
        <v>160449.48983433726</v>
      </c>
      <c r="I114" s="227">
        <f t="shared" si="363"/>
        <v>155228.452368</v>
      </c>
      <c r="J114" s="368">
        <f t="shared" si="363"/>
        <v>61339.698106848875</v>
      </c>
      <c r="K114" s="81">
        <f t="shared" si="363"/>
        <v>70553.399999999994</v>
      </c>
      <c r="L114" s="714">
        <f t="shared" si="363"/>
        <v>221789.18794118613</v>
      </c>
      <c r="M114" s="1539">
        <f t="shared" si="363"/>
        <v>225781.85236799999</v>
      </c>
      <c r="N114" s="368">
        <f t="shared" ref="N114:O114" si="365">+N9+N52</f>
        <v>56900.054339149814</v>
      </c>
      <c r="O114" s="81">
        <f t="shared" si="365"/>
        <v>81047.180999999997</v>
      </c>
      <c r="P114" s="713">
        <f t="shared" ref="P114:S114" si="366">+P9+P52</f>
        <v>278689.24228033592</v>
      </c>
      <c r="Q114" s="227">
        <f t="shared" si="366"/>
        <v>306829.033368</v>
      </c>
      <c r="R114" s="368">
        <f t="shared" si="366"/>
        <v>77753.266054427979</v>
      </c>
      <c r="S114" s="81">
        <f t="shared" si="366"/>
        <v>81756.907000000007</v>
      </c>
      <c r="T114" s="713">
        <f t="shared" ref="T114:W114" si="367">+T9+T52</f>
        <v>356442.50833476393</v>
      </c>
      <c r="U114" s="227">
        <f t="shared" si="367"/>
        <v>388585.94036800001</v>
      </c>
      <c r="V114" s="368">
        <f t="shared" si="367"/>
        <v>75693.140930779933</v>
      </c>
      <c r="W114" s="81">
        <f t="shared" si="367"/>
        <v>80578.887999999992</v>
      </c>
      <c r="X114" s="714">
        <f t="shared" ref="X114:Y114" si="368">+X9+X52</f>
        <v>210346.46132435772</v>
      </c>
      <c r="Y114" s="1539">
        <f t="shared" si="368"/>
        <v>243382.976</v>
      </c>
      <c r="Z114" s="715">
        <f t="shared" ref="Z114" si="369">+Z9+Z52</f>
        <v>432135.64926554385</v>
      </c>
      <c r="AA114" s="526">
        <f t="shared" si="363"/>
        <v>469164.82836799999</v>
      </c>
      <c r="AB114" s="368">
        <f t="shared" si="363"/>
        <v>78761.381785742269</v>
      </c>
      <c r="AC114" s="81">
        <f t="shared" si="363"/>
        <v>81447.684999999998</v>
      </c>
      <c r="AD114" s="713">
        <f t="shared" si="363"/>
        <v>510897.03105128615</v>
      </c>
      <c r="AE114" s="227">
        <f t="shared" si="363"/>
        <v>550612.51336799993</v>
      </c>
      <c r="AF114" s="368">
        <f t="shared" ref="AF114:AI114" si="370">+AF9+AF52</f>
        <v>76103.767354413954</v>
      </c>
      <c r="AG114" s="81">
        <f t="shared" si="370"/>
        <v>37762.020319999996</v>
      </c>
      <c r="AH114" s="713">
        <f t="shared" si="370"/>
        <v>587000.79840570013</v>
      </c>
      <c r="AI114" s="227">
        <f t="shared" si="370"/>
        <v>588374.53368799994</v>
      </c>
      <c r="AJ114" s="368">
        <f t="shared" ref="AJ114:AK114" si="371">+AJ9+AJ52</f>
        <v>78396.668867616972</v>
      </c>
      <c r="AK114" s="81">
        <f t="shared" si="371"/>
        <v>73160.073000000004</v>
      </c>
      <c r="AL114" s="714">
        <f t="shared" ref="AL114:AS114" si="372">+AL9+AL52</f>
        <v>233261.8180077732</v>
      </c>
      <c r="AM114" s="1539">
        <f t="shared" si="372"/>
        <v>192369.77832000001</v>
      </c>
      <c r="AN114" s="713">
        <f t="shared" si="372"/>
        <v>665397.46727331704</v>
      </c>
      <c r="AO114" s="227">
        <f t="shared" si="372"/>
        <v>661534.60668800003</v>
      </c>
      <c r="AP114" s="368">
        <f t="shared" si="372"/>
        <v>78379.004306213465</v>
      </c>
      <c r="AQ114" s="81">
        <f t="shared" si="372"/>
        <v>74732.282103999998</v>
      </c>
      <c r="AR114" s="713">
        <f t="shared" si="372"/>
        <v>743776.47157953051</v>
      </c>
      <c r="AS114" s="227">
        <f t="shared" si="372"/>
        <v>736266.88879200001</v>
      </c>
      <c r="AT114" s="368">
        <f t="shared" ref="AT114:AW114" si="373">+AT9+AT52</f>
        <v>70393.157274186378</v>
      </c>
      <c r="AU114" s="81">
        <f t="shared" si="373"/>
        <v>69509.019</v>
      </c>
      <c r="AV114" s="713">
        <f t="shared" si="373"/>
        <v>814169.62885371689</v>
      </c>
      <c r="AW114" s="227">
        <f t="shared" si="373"/>
        <v>805775.90779199998</v>
      </c>
      <c r="AX114" s="368">
        <f t="shared" ref="AX114:AY114" si="374">+AX9+AX52</f>
        <v>79059.986965968652</v>
      </c>
      <c r="AY114" s="81">
        <f t="shared" si="374"/>
        <v>79112.964999999997</v>
      </c>
      <c r="AZ114" s="714">
        <f t="shared" ref="AZ114:BE114" si="375">+AZ9+AZ52</f>
        <v>227832.14854636849</v>
      </c>
      <c r="BA114" s="1539">
        <f t="shared" si="375"/>
        <v>223354.26610399998</v>
      </c>
      <c r="BB114" s="715">
        <f t="shared" si="375"/>
        <v>461093.96655414172</v>
      </c>
      <c r="BC114" s="526">
        <f t="shared" si="375"/>
        <v>415724.04442400002</v>
      </c>
      <c r="BD114" s="713">
        <f t="shared" si="375"/>
        <v>893229.61581968551</v>
      </c>
      <c r="BE114" s="227">
        <f t="shared" si="375"/>
        <v>884888.87279199995</v>
      </c>
      <c r="BF114" s="26"/>
      <c r="BG114" s="26"/>
      <c r="BH114" s="26"/>
      <c r="BI114" s="26"/>
      <c r="BJ114" s="26"/>
    </row>
    <row r="115" spans="2:62" ht="15.75" thickBot="1" x14ac:dyDescent="0.3">
      <c r="B115" s="7834"/>
      <c r="C115" s="731" t="s">
        <v>381</v>
      </c>
      <c r="D115" s="1004">
        <f t="shared" ref="D115:AE115" si="376">+D13+D53</f>
        <v>111.30733009796415</v>
      </c>
      <c r="E115" s="694">
        <f t="shared" si="376"/>
        <v>105.92028523333335</v>
      </c>
      <c r="F115" s="1004">
        <f t="shared" ref="F115:G115" si="377">+F13+F53</f>
        <v>107.9411453814557</v>
      </c>
      <c r="G115" s="694">
        <f t="shared" si="377"/>
        <v>106.13689112903226</v>
      </c>
      <c r="H115" s="2118">
        <f t="shared" si="376"/>
        <v>109.59664606170578</v>
      </c>
      <c r="I115" s="3416">
        <f t="shared" si="376"/>
        <v>106.03036363934426</v>
      </c>
      <c r="J115" s="1004">
        <f t="shared" si="376"/>
        <v>85.194025148401209</v>
      </c>
      <c r="K115" s="694">
        <f t="shared" si="376"/>
        <v>97.990833333333342</v>
      </c>
      <c r="L115" s="757">
        <f t="shared" si="376"/>
        <v>101.55182598039659</v>
      </c>
      <c r="M115" s="1540">
        <f t="shared" si="376"/>
        <v>103.37996903296704</v>
      </c>
      <c r="N115" s="1004">
        <f t="shared" ref="N115:O115" si="378">+N13+N53</f>
        <v>76.478567660147604</v>
      </c>
      <c r="O115" s="694">
        <f t="shared" si="378"/>
        <v>108.93438306451614</v>
      </c>
      <c r="P115" s="756">
        <f t="shared" ref="P115:S115" si="379">+P13+P53</f>
        <v>95.180752144923474</v>
      </c>
      <c r="Q115" s="228">
        <f t="shared" si="379"/>
        <v>104.79133653278689</v>
      </c>
      <c r="R115" s="1004">
        <f t="shared" si="379"/>
        <v>104.50707803014514</v>
      </c>
      <c r="S115" s="694">
        <f t="shared" si="379"/>
        <v>109.88831586021506</v>
      </c>
      <c r="T115" s="756">
        <f t="shared" ref="T115:W115" si="380">+T13+T53</f>
        <v>97.070399873301724</v>
      </c>
      <c r="U115" s="228">
        <f t="shared" si="380"/>
        <v>105.82405783442266</v>
      </c>
      <c r="V115" s="1004">
        <f t="shared" si="380"/>
        <v>105.12936240386102</v>
      </c>
      <c r="W115" s="694">
        <f t="shared" si="380"/>
        <v>111.91512222222221</v>
      </c>
      <c r="X115" s="757">
        <f t="shared" ref="X115:Y115" si="381">+X13+X53</f>
        <v>95.265607483857664</v>
      </c>
      <c r="Y115" s="1540">
        <f t="shared" si="381"/>
        <v>110.22779710144927</v>
      </c>
      <c r="Z115" s="758">
        <f t="shared" ref="Z115" si="382">+Z13+Z53</f>
        <v>98.391541271754065</v>
      </c>
      <c r="AA115" s="668">
        <f t="shared" si="376"/>
        <v>106.82259297996357</v>
      </c>
      <c r="AB115" s="1004">
        <f t="shared" si="376"/>
        <v>105.86207229266435</v>
      </c>
      <c r="AC115" s="694">
        <f t="shared" si="376"/>
        <v>109.47269489247311</v>
      </c>
      <c r="AD115" s="756">
        <f t="shared" si="376"/>
        <v>99.473720999082204</v>
      </c>
      <c r="AE115" s="228">
        <f t="shared" si="376"/>
        <v>107.20648624766355</v>
      </c>
      <c r="AF115" s="1004">
        <f t="shared" ref="AF115:AI115" si="383">+AF13+AF53</f>
        <v>105.6996768811305</v>
      </c>
      <c r="AG115" s="694">
        <f t="shared" si="383"/>
        <v>52.447250444444443</v>
      </c>
      <c r="AH115" s="756">
        <f t="shared" si="383"/>
        <v>100.23920737802257</v>
      </c>
      <c r="AI115" s="228">
        <f t="shared" si="383"/>
        <v>100.47379332103824</v>
      </c>
      <c r="AJ115" s="1004">
        <f t="shared" ref="AJ115:AK115" si="384">+AJ13+AJ53</f>
        <v>105.37186675754968</v>
      </c>
      <c r="AK115" s="694">
        <f t="shared" si="384"/>
        <v>98.33343145161291</v>
      </c>
      <c r="AL115" s="757">
        <f t="shared" ref="AL115:AS115" si="385">+AL13+AL53</f>
        <v>105.64393931511466</v>
      </c>
      <c r="AM115" s="1540">
        <f t="shared" si="385"/>
        <v>87.123993804347833</v>
      </c>
      <c r="AN115" s="756">
        <f t="shared" si="385"/>
        <v>100.81779807171471</v>
      </c>
      <c r="AO115" s="228">
        <f t="shared" si="385"/>
        <v>100.23251616484849</v>
      </c>
      <c r="AP115" s="1004">
        <f t="shared" si="385"/>
        <v>105.34812406749121</v>
      </c>
      <c r="AQ115" s="694">
        <f t="shared" si="385"/>
        <v>100.4466157311828</v>
      </c>
      <c r="AR115" s="756">
        <f t="shared" si="385"/>
        <v>101.27675266605807</v>
      </c>
      <c r="AS115" s="3416">
        <f t="shared" si="385"/>
        <v>100.25420599019607</v>
      </c>
      <c r="AT115" s="1004">
        <f t="shared" ref="AT115:AW115" si="386">+AT13+AT53</f>
        <v>104.75172213420592</v>
      </c>
      <c r="AU115" s="694">
        <f t="shared" si="386"/>
        <v>103.43604017857142</v>
      </c>
      <c r="AV115" s="756">
        <f t="shared" si="386"/>
        <v>101.56806747177107</v>
      </c>
      <c r="AW115" s="3416">
        <f t="shared" si="386"/>
        <v>100.52094658083831</v>
      </c>
      <c r="AX115" s="1004">
        <f t="shared" ref="AX115:AY115" si="387">+AX13+AX53</f>
        <v>106.2634233413557</v>
      </c>
      <c r="AY115" s="694">
        <f t="shared" si="387"/>
        <v>106.33463037634408</v>
      </c>
      <c r="AZ115" s="757">
        <f t="shared" ref="AZ115:BE115" si="388">+AZ13+AZ53</f>
        <v>105.47784654924466</v>
      </c>
      <c r="BA115" s="1540">
        <f t="shared" si="388"/>
        <v>103.40475282592593</v>
      </c>
      <c r="BB115" s="758">
        <f t="shared" si="388"/>
        <v>105.56180552979436</v>
      </c>
      <c r="BC115" s="668">
        <f t="shared" si="388"/>
        <v>95.174918595238111</v>
      </c>
      <c r="BD115" s="756">
        <f t="shared" si="388"/>
        <v>101.96685112096867</v>
      </c>
      <c r="BE115" s="228">
        <f t="shared" si="388"/>
        <v>101.01471150593608</v>
      </c>
      <c r="BF115" s="26"/>
      <c r="BG115" s="26"/>
      <c r="BH115" s="26"/>
      <c r="BI115" s="26"/>
      <c r="BJ115" s="26"/>
    </row>
    <row r="116" spans="2:62" ht="18.75" customHeight="1" x14ac:dyDescent="0.25">
      <c r="B116" s="7468" t="s">
        <v>461</v>
      </c>
      <c r="C116" s="844" t="s">
        <v>393</v>
      </c>
      <c r="D116" s="1005">
        <f t="shared" ref="D116:E117" si="389">+D112+D114</f>
        <v>116232.74092272871</v>
      </c>
      <c r="E116" s="213">
        <f t="shared" si="389"/>
        <v>104681.805368</v>
      </c>
      <c r="F116" s="1005">
        <f t="shared" ref="F116:G116" si="390">+F112+F114</f>
        <v>120152.93541389654</v>
      </c>
      <c r="G116" s="213">
        <f t="shared" si="390"/>
        <v>113656.84700000001</v>
      </c>
      <c r="H116" s="799">
        <f t="shared" ref="H116:K117" si="391">+H112+H114</f>
        <v>236385.67633662527</v>
      </c>
      <c r="I116" s="229">
        <f t="shared" si="391"/>
        <v>218338.65236800001</v>
      </c>
      <c r="J116" s="1005">
        <f t="shared" si="391"/>
        <v>94682.92048217915</v>
      </c>
      <c r="K116" s="213">
        <f t="shared" si="391"/>
        <v>98078.2</v>
      </c>
      <c r="L116" s="1520">
        <f t="shared" ref="L116:Q116" si="392">+L112+L114</f>
        <v>331068.59681880439</v>
      </c>
      <c r="M116" s="1541">
        <f t="shared" si="392"/>
        <v>316416.85236799996</v>
      </c>
      <c r="N116" s="1005">
        <f t="shared" si="392"/>
        <v>81265.052977972082</v>
      </c>
      <c r="O116" s="213">
        <f t="shared" si="392"/>
        <v>114521.981</v>
      </c>
      <c r="P116" s="799">
        <f t="shared" si="392"/>
        <v>412333.64979677647</v>
      </c>
      <c r="Q116" s="229">
        <f t="shared" si="392"/>
        <v>430938.83336799999</v>
      </c>
      <c r="R116" s="1005">
        <f t="shared" ref="R116:U116" si="393">+R112+R114</f>
        <v>116184.16903513562</v>
      </c>
      <c r="S116" s="213">
        <f t="shared" si="393"/>
        <v>114503.50700000001</v>
      </c>
      <c r="T116" s="799">
        <f t="shared" si="393"/>
        <v>528517.81883191213</v>
      </c>
      <c r="U116" s="229">
        <f t="shared" si="393"/>
        <v>545442.34036799998</v>
      </c>
      <c r="V116" s="1005">
        <f t="shared" ref="V116:W116" si="394">+V112+V114</f>
        <v>112328.92730380899</v>
      </c>
      <c r="W116" s="213">
        <f t="shared" si="394"/>
        <v>110442.58799999999</v>
      </c>
      <c r="X116" s="1520">
        <f t="shared" ref="X116:Y116" si="395">+X112+X114</f>
        <v>309778.14931691671</v>
      </c>
      <c r="Y116" s="1541">
        <f t="shared" si="395"/>
        <v>339468.076</v>
      </c>
      <c r="Z116" s="798">
        <f t="shared" ref="Z116" si="396">+Z112+Z114</f>
        <v>640846.7461357211</v>
      </c>
      <c r="AA116" s="669">
        <f t="shared" ref="AA116:AE116" si="397">+AA112+AA114</f>
        <v>655884.92836799996</v>
      </c>
      <c r="AB116" s="1005">
        <f t="shared" si="397"/>
        <v>118352.48874522722</v>
      </c>
      <c r="AC116" s="213">
        <f t="shared" si="397"/>
        <v>111925.985</v>
      </c>
      <c r="AD116" s="799">
        <f t="shared" si="397"/>
        <v>759199.23488094832</v>
      </c>
      <c r="AE116" s="229">
        <f t="shared" si="397"/>
        <v>767810.91336799995</v>
      </c>
      <c r="AF116" s="1005">
        <f t="shared" ref="AF116:AI116" si="398">+AF112+AF114</f>
        <v>114593.24548355758</v>
      </c>
      <c r="AG116" s="213">
        <f t="shared" si="398"/>
        <v>48889.720319999993</v>
      </c>
      <c r="AH116" s="799">
        <f t="shared" si="398"/>
        <v>873792.48036450602</v>
      </c>
      <c r="AI116" s="229">
        <f t="shared" si="398"/>
        <v>816700.63368799991</v>
      </c>
      <c r="AJ116" s="1005">
        <f t="shared" ref="AJ116:AK116" si="399">+AJ112+AJ114</f>
        <v>118352.48874522724</v>
      </c>
      <c r="AK116" s="213">
        <f t="shared" si="399"/>
        <v>109005.473</v>
      </c>
      <c r="AL116" s="1520">
        <f t="shared" ref="AL116:AS116" si="400">+AL112+AL114</f>
        <v>351298.22297401202</v>
      </c>
      <c r="AM116" s="1541">
        <f t="shared" si="400"/>
        <v>269821.17832000001</v>
      </c>
      <c r="AN116" s="799">
        <f t="shared" si="400"/>
        <v>992144.96910973312</v>
      </c>
      <c r="AO116" s="229">
        <f t="shared" si="400"/>
        <v>925706.10668800003</v>
      </c>
      <c r="AP116" s="1005">
        <f t="shared" si="400"/>
        <v>118352.48874522724</v>
      </c>
      <c r="AQ116" s="213">
        <f t="shared" si="400"/>
        <v>109813.882104</v>
      </c>
      <c r="AR116" s="799">
        <f t="shared" si="400"/>
        <v>1110497.4578549606</v>
      </c>
      <c r="AS116" s="229">
        <f t="shared" si="400"/>
        <v>1035519.988792</v>
      </c>
      <c r="AT116" s="1005">
        <f t="shared" ref="AT116:AW116" si="401">+AT112+AT114</f>
        <v>106684.93762938064</v>
      </c>
      <c r="AU116" s="213">
        <f t="shared" si="401"/>
        <v>100734.219</v>
      </c>
      <c r="AV116" s="799">
        <f t="shared" si="401"/>
        <v>1217182.3954843411</v>
      </c>
      <c r="AW116" s="229">
        <f t="shared" si="401"/>
        <v>1136254.2077919999</v>
      </c>
      <c r="AX116" s="1005">
        <f t="shared" ref="AX116:AY116" si="402">+AX112+AX114</f>
        <v>118886.37792728528</v>
      </c>
      <c r="AY116" s="213">
        <f t="shared" si="402"/>
        <v>112570.36499999999</v>
      </c>
      <c r="AZ116" s="1520">
        <f t="shared" ref="AZ116:BE117" si="403">+AZ112+AZ114</f>
        <v>343923.80430189316</v>
      </c>
      <c r="BA116" s="1541">
        <f t="shared" si="403"/>
        <v>323118.46610399999</v>
      </c>
      <c r="BB116" s="798">
        <f t="shared" si="403"/>
        <v>695222.02727590525</v>
      </c>
      <c r="BC116" s="669">
        <f t="shared" si="403"/>
        <v>592939.64442400006</v>
      </c>
      <c r="BD116" s="799">
        <f t="shared" si="403"/>
        <v>1336068.7734116265</v>
      </c>
      <c r="BE116" s="229">
        <f t="shared" si="403"/>
        <v>1248824.5727919999</v>
      </c>
      <c r="BF116" s="26"/>
      <c r="BG116" s="26"/>
      <c r="BH116" s="26"/>
      <c r="BI116" s="26"/>
      <c r="BJ116" s="26"/>
    </row>
    <row r="117" spans="2:62" ht="19.5" thickBot="1" x14ac:dyDescent="0.3">
      <c r="B117" s="7830"/>
      <c r="C117" s="1006" t="s">
        <v>381</v>
      </c>
      <c r="D117" s="1008">
        <f t="shared" si="389"/>
        <v>161.43436239267879</v>
      </c>
      <c r="E117" s="695">
        <f t="shared" si="389"/>
        <v>145.39139634444447</v>
      </c>
      <c r="F117" s="1008">
        <f t="shared" ref="F117:G117" si="404">+F113+F115</f>
        <v>161.49588093265663</v>
      </c>
      <c r="G117" s="695">
        <f t="shared" si="404"/>
        <v>152.76457930107529</v>
      </c>
      <c r="H117" s="1007">
        <f t="shared" si="391"/>
        <v>161.46562591299539</v>
      </c>
      <c r="I117" s="3210">
        <f t="shared" si="391"/>
        <v>149.1384237486339</v>
      </c>
      <c r="J117" s="3774">
        <f t="shared" si="391"/>
        <v>131.5040562252488</v>
      </c>
      <c r="K117" s="3773">
        <f t="shared" si="391"/>
        <v>136.21972222222223</v>
      </c>
      <c r="L117" s="1542">
        <f t="shared" ref="L117:Q117" si="405">+L113+L115</f>
        <v>151.58818535659543</v>
      </c>
      <c r="M117" s="1543">
        <f t="shared" si="405"/>
        <v>144.87951115750917</v>
      </c>
      <c r="N117" s="3774">
        <f t="shared" si="405"/>
        <v>109.22722174458613</v>
      </c>
      <c r="O117" s="3773">
        <f t="shared" si="405"/>
        <v>153.92739381720432</v>
      </c>
      <c r="P117" s="1007">
        <f t="shared" si="405"/>
        <v>140.82433394698648</v>
      </c>
      <c r="Q117" s="670">
        <f t="shared" si="405"/>
        <v>147.17856330874318</v>
      </c>
      <c r="R117" s="3774">
        <f t="shared" ref="R117:U117" si="406">+R113+R115</f>
        <v>156.16151752034358</v>
      </c>
      <c r="S117" s="3773">
        <f t="shared" si="406"/>
        <v>153.90256317204302</v>
      </c>
      <c r="T117" s="1007">
        <f t="shared" si="406"/>
        <v>143.93186787361441</v>
      </c>
      <c r="U117" s="670">
        <f t="shared" si="406"/>
        <v>148.54094236601307</v>
      </c>
      <c r="V117" s="3774">
        <f t="shared" ref="V117:W117" si="407">+V113+V115</f>
        <v>156.01239903306805</v>
      </c>
      <c r="W117" s="3773">
        <f t="shared" si="407"/>
        <v>153.3924833333333</v>
      </c>
      <c r="X117" s="1542">
        <f t="shared" ref="X117:Y117" si="408">+X113+X115</f>
        <v>140.29807487179198</v>
      </c>
      <c r="Y117" s="1543">
        <f t="shared" si="408"/>
        <v>153.74459963768115</v>
      </c>
      <c r="Z117" s="1009">
        <f t="shared" ref="Z117" si="409">+Z113+Z115</f>
        <v>145.91228281778714</v>
      </c>
      <c r="AA117" s="671">
        <f t="shared" ref="AA117:AE117" si="410">+AA113+AA115</f>
        <v>149.33627695081967</v>
      </c>
      <c r="AB117" s="3774">
        <f t="shared" si="410"/>
        <v>159.0759257328323</v>
      </c>
      <c r="AC117" s="3773">
        <f t="shared" si="410"/>
        <v>150.43815188172042</v>
      </c>
      <c r="AD117" s="1007">
        <f t="shared" si="410"/>
        <v>147.81916566996659</v>
      </c>
      <c r="AE117" s="670">
        <f t="shared" si="410"/>
        <v>149.49589434735202</v>
      </c>
      <c r="AF117" s="3774">
        <f t="shared" ref="AF117:AI117" si="411">+AF113+AF115</f>
        <v>159.15728539382997</v>
      </c>
      <c r="AG117" s="3773">
        <f t="shared" si="411"/>
        <v>67.902389333333332</v>
      </c>
      <c r="AH117" s="1007">
        <f t="shared" si="411"/>
        <v>149.21319678355636</v>
      </c>
      <c r="AI117" s="670">
        <f t="shared" si="411"/>
        <v>139.46390602595628</v>
      </c>
      <c r="AJ117" s="3774">
        <f t="shared" ref="AJ117:AK117" si="412">+AJ113+AJ115</f>
        <v>159.0759257328323</v>
      </c>
      <c r="AK117" s="3773">
        <f t="shared" si="412"/>
        <v>146.51273252688173</v>
      </c>
      <c r="AL117" s="1542">
        <f t="shared" ref="AL117:AM117" si="413">+AL113+AL115</f>
        <v>159.10245605707067</v>
      </c>
      <c r="AM117" s="1543">
        <f t="shared" si="413"/>
        <v>122.20162061594203</v>
      </c>
      <c r="AN117" s="1007">
        <f>+AN113+AN115</f>
        <v>150.32499531965655</v>
      </c>
      <c r="AO117" s="670">
        <f>+AO113+AO115</f>
        <v>140.25850101333333</v>
      </c>
      <c r="AP117" s="1008">
        <f t="shared" ref="AP117:AS117" si="414">+AP113+AP115</f>
        <v>159.0759257328323</v>
      </c>
      <c r="AQ117" s="695">
        <f t="shared" si="414"/>
        <v>147.5993039032258</v>
      </c>
      <c r="AR117" s="2980">
        <f t="shared" si="414"/>
        <v>151.21152748569722</v>
      </c>
      <c r="AS117" s="3210">
        <f t="shared" si="414"/>
        <v>141.00217712309367</v>
      </c>
      <c r="AT117" s="1008">
        <f t="shared" ref="AT117:AW117" si="415">+AT113+AT115</f>
        <v>158.75734766276881</v>
      </c>
      <c r="AU117" s="695">
        <f t="shared" si="415"/>
        <v>149.90211160714284</v>
      </c>
      <c r="AV117" s="2980">
        <f t="shared" si="415"/>
        <v>151.84411121311641</v>
      </c>
      <c r="AW117" s="3210">
        <f t="shared" si="415"/>
        <v>141.74827941516963</v>
      </c>
      <c r="AX117" s="1008">
        <f t="shared" ref="AX117:AY117" si="416">+AX113+AX115</f>
        <v>159.79351871946946</v>
      </c>
      <c r="AY117" s="695">
        <f t="shared" si="416"/>
        <v>151.30425403225806</v>
      </c>
      <c r="AZ117" s="1542">
        <f t="shared" ref="AZ117:BE117" si="417">+AZ113+AZ115</f>
        <v>159.22398347309866</v>
      </c>
      <c r="BA117" s="1543">
        <f t="shared" si="417"/>
        <v>149.59188245555555</v>
      </c>
      <c r="BB117" s="3208">
        <f t="shared" si="403"/>
        <v>159.16255203202959</v>
      </c>
      <c r="BC117" s="3209">
        <f t="shared" si="403"/>
        <v>135.74625559157511</v>
      </c>
      <c r="BD117" s="2980">
        <f t="shared" si="417"/>
        <v>152.51926637119021</v>
      </c>
      <c r="BE117" s="3210">
        <f t="shared" si="417"/>
        <v>142.5598827388128</v>
      </c>
      <c r="BF117" s="26"/>
      <c r="BG117" s="26"/>
      <c r="BH117" s="26"/>
      <c r="BI117" s="26"/>
    </row>
    <row r="118" spans="2:62" x14ac:dyDescent="0.25">
      <c r="AX118" s="3093"/>
      <c r="AY118" s="3093"/>
      <c r="BD118" s="3093"/>
      <c r="BE118" s="3093"/>
    </row>
    <row r="119" spans="2:62" x14ac:dyDescent="0.25">
      <c r="AX119" s="3093"/>
      <c r="AY119" s="3093"/>
      <c r="BD119" s="3093"/>
      <c r="BE119" s="3093"/>
    </row>
    <row r="120" spans="2:62" x14ac:dyDescent="0.25">
      <c r="AX120" s="3093"/>
      <c r="AY120" s="3093"/>
      <c r="BD120" s="3093"/>
      <c r="BE120" s="3093"/>
    </row>
    <row r="121" spans="2:62" x14ac:dyDescent="0.25">
      <c r="AX121" s="3093"/>
      <c r="AY121" s="3093"/>
      <c r="BD121" s="3093"/>
      <c r="BE121" s="3093"/>
    </row>
    <row r="122" spans="2:62" x14ac:dyDescent="0.25">
      <c r="AX122" s="3093"/>
      <c r="AY122" s="3093"/>
      <c r="BD122" s="3093"/>
      <c r="BE122" s="3093"/>
    </row>
    <row r="123" spans="2:62" x14ac:dyDescent="0.25">
      <c r="AX123" s="3093"/>
      <c r="AY123" s="3093"/>
      <c r="BD123" s="3093"/>
      <c r="BE123" s="3093"/>
    </row>
    <row r="124" spans="2:62" x14ac:dyDescent="0.25">
      <c r="AX124" s="3093"/>
      <c r="AY124" s="3093"/>
      <c r="BD124" s="3093"/>
      <c r="BE124" s="3093"/>
    </row>
    <row r="125" spans="2:62" x14ac:dyDescent="0.25">
      <c r="AX125" s="3093"/>
      <c r="AY125" s="3093"/>
      <c r="BD125" s="3093"/>
      <c r="BE125" s="3093"/>
    </row>
    <row r="126" spans="2:62" x14ac:dyDescent="0.25">
      <c r="AX126" s="3093"/>
      <c r="AY126" s="3093"/>
      <c r="BD126" s="3093"/>
      <c r="BE126" s="3093"/>
    </row>
    <row r="127" spans="2:62" x14ac:dyDescent="0.25">
      <c r="AX127" s="3093"/>
      <c r="AY127" s="3093"/>
      <c r="BD127" s="3093"/>
      <c r="BE127" s="3093"/>
    </row>
    <row r="128" spans="2:62" x14ac:dyDescent="0.25">
      <c r="AX128" s="3093"/>
      <c r="AY128" s="3093"/>
      <c r="BD128" s="3093"/>
      <c r="BE128" s="3093"/>
    </row>
    <row r="129" spans="50:57" x14ac:dyDescent="0.25">
      <c r="AX129" s="3093"/>
      <c r="AY129" s="3093"/>
      <c r="BD129" s="3093"/>
      <c r="BE129" s="3093"/>
    </row>
    <row r="130" spans="50:57" x14ac:dyDescent="0.25">
      <c r="AX130" s="3093"/>
      <c r="AY130" s="3093"/>
      <c r="BD130" s="3093"/>
      <c r="BE130" s="3093"/>
    </row>
    <row r="131" spans="50:57" x14ac:dyDescent="0.25">
      <c r="AX131" s="3093"/>
      <c r="AY131" s="3093"/>
      <c r="BD131" s="3093"/>
      <c r="BE131" s="3093"/>
    </row>
    <row r="132" spans="50:57" x14ac:dyDescent="0.25">
      <c r="AX132" s="3093"/>
      <c r="AY132" s="3093"/>
      <c r="BD132" s="3093"/>
      <c r="BE132" s="3093"/>
    </row>
    <row r="133" spans="50:57" x14ac:dyDescent="0.25">
      <c r="AX133" s="3093"/>
      <c r="AY133" s="3093"/>
      <c r="BD133" s="3093"/>
      <c r="BE133" s="3093"/>
    </row>
    <row r="134" spans="50:57" x14ac:dyDescent="0.25">
      <c r="AX134" s="3093"/>
      <c r="AY134" s="3093"/>
      <c r="BD134" s="3093"/>
      <c r="BE134" s="3093"/>
    </row>
    <row r="135" spans="50:57" x14ac:dyDescent="0.25">
      <c r="AX135" s="3093"/>
      <c r="AY135" s="3093"/>
      <c r="BD135" s="3093"/>
      <c r="BE135" s="3093"/>
    </row>
    <row r="136" spans="50:57" x14ac:dyDescent="0.25">
      <c r="AX136" s="3093"/>
      <c r="AY136" s="3093"/>
      <c r="BD136" s="3093"/>
      <c r="BE136" s="3093"/>
    </row>
    <row r="137" spans="50:57" x14ac:dyDescent="0.25">
      <c r="AX137" s="3093"/>
      <c r="AY137" s="3093"/>
      <c r="BD137" s="3093"/>
      <c r="BE137" s="3093"/>
    </row>
    <row r="138" spans="50:57" x14ac:dyDescent="0.25">
      <c r="AX138" s="3093"/>
      <c r="AY138" s="3093"/>
      <c r="BD138" s="3093"/>
      <c r="BE138" s="3093"/>
    </row>
    <row r="139" spans="50:57" x14ac:dyDescent="0.25">
      <c r="AX139" s="3093"/>
      <c r="AY139" s="3093"/>
      <c r="BD139" s="3093"/>
      <c r="BE139" s="3093"/>
    </row>
    <row r="140" spans="50:57" x14ac:dyDescent="0.25">
      <c r="AX140" s="3093"/>
      <c r="AY140" s="3093"/>
      <c r="BD140" s="3093"/>
      <c r="BE140" s="3093"/>
    </row>
    <row r="141" spans="50:57" x14ac:dyDescent="0.25">
      <c r="AX141" s="3093"/>
      <c r="AY141" s="3093"/>
      <c r="BD141" s="3093"/>
      <c r="BE141" s="3093"/>
    </row>
    <row r="142" spans="50:57" x14ac:dyDescent="0.25">
      <c r="AX142" s="3093"/>
      <c r="AY142" s="3093"/>
      <c r="BD142" s="3093"/>
      <c r="BE142" s="3093"/>
    </row>
    <row r="143" spans="50:57" x14ac:dyDescent="0.25">
      <c r="AX143" s="3093"/>
      <c r="AY143" s="3093"/>
      <c r="BD143" s="3093"/>
      <c r="BE143" s="3093"/>
    </row>
    <row r="144" spans="50:57" x14ac:dyDescent="0.25">
      <c r="AX144" s="3093"/>
      <c r="AY144" s="3093"/>
      <c r="BD144" s="3093"/>
      <c r="BE144" s="3093"/>
    </row>
    <row r="145" spans="50:57" x14ac:dyDescent="0.25">
      <c r="AX145" s="3093"/>
      <c r="AY145" s="3093"/>
      <c r="BD145" s="3093"/>
      <c r="BE145" s="3093"/>
    </row>
    <row r="146" spans="50:57" x14ac:dyDescent="0.25">
      <c r="AX146" s="3093"/>
      <c r="AY146" s="3093"/>
      <c r="BD146" s="3093"/>
      <c r="BE146" s="3093"/>
    </row>
    <row r="147" spans="50:57" x14ac:dyDescent="0.25">
      <c r="AX147" s="3093"/>
      <c r="AY147" s="3093"/>
      <c r="BD147" s="3093"/>
      <c r="BE147" s="3093"/>
    </row>
    <row r="148" spans="50:57" x14ac:dyDescent="0.25">
      <c r="AX148" s="3093"/>
      <c r="AY148" s="3093"/>
      <c r="BD148" s="3093"/>
      <c r="BE148" s="3093"/>
    </row>
    <row r="149" spans="50:57" x14ac:dyDescent="0.25">
      <c r="AX149" s="3093"/>
      <c r="AY149" s="3093"/>
      <c r="BD149" s="3093"/>
      <c r="BE149" s="3093"/>
    </row>
    <row r="150" spans="50:57" x14ac:dyDescent="0.25">
      <c r="AX150" s="3093"/>
      <c r="AY150" s="3093"/>
      <c r="BD150" s="3093"/>
      <c r="BE150" s="3093"/>
    </row>
    <row r="151" spans="50:57" x14ac:dyDescent="0.25">
      <c r="AX151" s="3093"/>
      <c r="AY151" s="3093"/>
      <c r="BD151" s="3093"/>
      <c r="BE151" s="3093"/>
    </row>
    <row r="152" spans="50:57" x14ac:dyDescent="0.25">
      <c r="AX152" s="3093"/>
      <c r="AY152" s="3093"/>
      <c r="BD152" s="3093"/>
      <c r="BE152" s="3093"/>
    </row>
    <row r="153" spans="50:57" x14ac:dyDescent="0.25">
      <c r="AX153" s="3093"/>
      <c r="AY153" s="3093"/>
      <c r="BD153" s="3093"/>
      <c r="BE153" s="3093"/>
    </row>
    <row r="154" spans="50:57" x14ac:dyDescent="0.25">
      <c r="AX154" s="3093"/>
      <c r="AY154" s="3093"/>
      <c r="BD154" s="3093"/>
      <c r="BE154" s="3093"/>
    </row>
    <row r="155" spans="50:57" x14ac:dyDescent="0.25">
      <c r="AX155" s="3093"/>
      <c r="AY155" s="3093"/>
      <c r="BD155" s="3093"/>
      <c r="BE155" s="3093"/>
    </row>
    <row r="156" spans="50:57" x14ac:dyDescent="0.25">
      <c r="AX156" s="3093"/>
      <c r="AY156" s="3093"/>
      <c r="BD156" s="3093"/>
      <c r="BE156" s="3093"/>
    </row>
    <row r="157" spans="50:57" x14ac:dyDescent="0.25">
      <c r="AX157" s="3093"/>
      <c r="AY157" s="3093"/>
      <c r="BD157" s="3093"/>
      <c r="BE157" s="3093"/>
    </row>
    <row r="158" spans="50:57" x14ac:dyDescent="0.25">
      <c r="AX158" s="3093"/>
      <c r="AY158" s="3093"/>
      <c r="BD158" s="3093"/>
      <c r="BE158" s="3093"/>
    </row>
    <row r="159" spans="50:57" x14ac:dyDescent="0.25">
      <c r="AX159" s="3093"/>
      <c r="AY159" s="3093"/>
      <c r="BD159" s="3093"/>
      <c r="BE159" s="3093"/>
    </row>
    <row r="160" spans="50:57" x14ac:dyDescent="0.25">
      <c r="AX160" s="3093"/>
      <c r="AY160" s="3093"/>
      <c r="BD160" s="3093"/>
      <c r="BE160" s="3093"/>
    </row>
    <row r="161" spans="50:57" x14ac:dyDescent="0.25">
      <c r="AX161" s="3093"/>
      <c r="AY161" s="3093"/>
      <c r="BD161" s="3093"/>
      <c r="BE161" s="3093"/>
    </row>
    <row r="162" spans="50:57" x14ac:dyDescent="0.25">
      <c r="AX162" s="3093"/>
      <c r="AY162" s="3093"/>
      <c r="BD162" s="3093"/>
      <c r="BE162" s="3093"/>
    </row>
    <row r="163" spans="50:57" x14ac:dyDescent="0.25">
      <c r="AX163" s="3093"/>
      <c r="AY163" s="3093"/>
      <c r="BD163" s="3093"/>
      <c r="BE163" s="3093"/>
    </row>
    <row r="164" spans="50:57" x14ac:dyDescent="0.25">
      <c r="AX164" s="3093"/>
      <c r="AY164" s="3093"/>
      <c r="BD164" s="3093"/>
      <c r="BE164" s="3093"/>
    </row>
    <row r="165" spans="50:57" x14ac:dyDescent="0.25">
      <c r="AX165" s="3093"/>
      <c r="AY165" s="3093"/>
      <c r="BD165" s="3093"/>
      <c r="BE165" s="3093"/>
    </row>
    <row r="166" spans="50:57" x14ac:dyDescent="0.25">
      <c r="AX166" s="3093"/>
      <c r="AY166" s="3093"/>
      <c r="BD166" s="3093"/>
      <c r="BE166" s="3093"/>
    </row>
    <row r="167" spans="50:57" x14ac:dyDescent="0.25">
      <c r="AX167" s="3093"/>
      <c r="AY167" s="3093"/>
      <c r="BD167" s="3093"/>
      <c r="BE167" s="3093"/>
    </row>
    <row r="168" spans="50:57" x14ac:dyDescent="0.25">
      <c r="AX168" s="3093"/>
      <c r="AY168" s="3093"/>
      <c r="BD168" s="3093"/>
      <c r="BE168" s="3093"/>
    </row>
    <row r="169" spans="50:57" x14ac:dyDescent="0.25">
      <c r="AX169" s="3093"/>
      <c r="AY169" s="3093"/>
      <c r="BD169" s="3093"/>
      <c r="BE169" s="3093"/>
    </row>
    <row r="170" spans="50:57" x14ac:dyDescent="0.25">
      <c r="AX170" s="3093"/>
      <c r="AY170" s="3093"/>
      <c r="BD170" s="3093"/>
      <c r="BE170" s="3093"/>
    </row>
    <row r="171" spans="50:57" x14ac:dyDescent="0.25">
      <c r="AX171" s="3093"/>
      <c r="AY171" s="3093"/>
      <c r="BD171" s="3093"/>
      <c r="BE171" s="3093"/>
    </row>
    <row r="172" spans="50:57" x14ac:dyDescent="0.25">
      <c r="AX172" s="3093"/>
      <c r="AY172" s="3093"/>
      <c r="BD172" s="3093"/>
      <c r="BE172" s="3093"/>
    </row>
    <row r="173" spans="50:57" x14ac:dyDescent="0.25">
      <c r="AX173" s="3093"/>
      <c r="AY173" s="3093"/>
      <c r="BD173" s="3093"/>
      <c r="BE173" s="3093"/>
    </row>
    <row r="174" spans="50:57" x14ac:dyDescent="0.25">
      <c r="AX174" s="3093"/>
      <c r="AY174" s="3093"/>
      <c r="BD174" s="3093"/>
      <c r="BE174" s="3093"/>
    </row>
    <row r="175" spans="50:57" x14ac:dyDescent="0.25">
      <c r="AX175" s="3093"/>
      <c r="AY175" s="3093"/>
      <c r="BD175" s="3093"/>
      <c r="BE175" s="3093"/>
    </row>
    <row r="176" spans="50:57" x14ac:dyDescent="0.25">
      <c r="AX176" s="3093"/>
      <c r="AY176" s="3093"/>
      <c r="BD176" s="3093"/>
      <c r="BE176" s="3093"/>
    </row>
    <row r="177" spans="50:57" x14ac:dyDescent="0.25">
      <c r="AX177" s="3093"/>
      <c r="AY177" s="3093"/>
      <c r="BD177" s="3093"/>
      <c r="BE177" s="3093"/>
    </row>
    <row r="178" spans="50:57" x14ac:dyDescent="0.25">
      <c r="AX178" s="3093"/>
      <c r="AY178" s="3093"/>
      <c r="BD178" s="3093"/>
      <c r="BE178" s="3093"/>
    </row>
    <row r="179" spans="50:57" x14ac:dyDescent="0.25">
      <c r="AX179" s="3093"/>
      <c r="AY179" s="3093"/>
      <c r="BD179" s="3093"/>
      <c r="BE179" s="3093"/>
    </row>
    <row r="180" spans="50:57" x14ac:dyDescent="0.25">
      <c r="AX180" s="3093"/>
      <c r="AY180" s="3093"/>
      <c r="BD180" s="3093"/>
      <c r="BE180" s="3093"/>
    </row>
    <row r="181" spans="50:57" x14ac:dyDescent="0.25">
      <c r="AX181" s="3093"/>
      <c r="AY181" s="3093"/>
      <c r="BD181" s="3093"/>
      <c r="BE181" s="3093"/>
    </row>
    <row r="182" spans="50:57" x14ac:dyDescent="0.25">
      <c r="AX182" s="3093"/>
      <c r="AY182" s="3093"/>
      <c r="BD182" s="3093"/>
      <c r="BE182" s="3093"/>
    </row>
    <row r="183" spans="50:57" x14ac:dyDescent="0.25">
      <c r="AX183" s="3093"/>
      <c r="AY183" s="3093"/>
      <c r="BD183" s="3093"/>
      <c r="BE183" s="3093"/>
    </row>
    <row r="184" spans="50:57" x14ac:dyDescent="0.25">
      <c r="AX184" s="3093"/>
      <c r="AY184" s="3093"/>
      <c r="BD184" s="3093"/>
      <c r="BE184" s="3093"/>
    </row>
    <row r="185" spans="50:57" x14ac:dyDescent="0.25">
      <c r="AX185" s="3093"/>
      <c r="AY185" s="3093"/>
      <c r="BD185" s="3093"/>
      <c r="BE185" s="3093"/>
    </row>
    <row r="186" spans="50:57" x14ac:dyDescent="0.25">
      <c r="AX186" s="3093"/>
      <c r="AY186" s="3093"/>
      <c r="BD186" s="3093"/>
      <c r="BE186" s="3093"/>
    </row>
    <row r="187" spans="50:57" x14ac:dyDescent="0.25">
      <c r="AX187" s="3093"/>
      <c r="AY187" s="3093"/>
      <c r="BD187" s="3093"/>
      <c r="BE187" s="3093"/>
    </row>
    <row r="188" spans="50:57" x14ac:dyDescent="0.25">
      <c r="AX188" s="3093"/>
      <c r="AY188" s="3093"/>
      <c r="BD188" s="3093"/>
      <c r="BE188" s="3093"/>
    </row>
    <row r="189" spans="50:57" x14ac:dyDescent="0.25">
      <c r="AX189" s="3093"/>
      <c r="AY189" s="3093"/>
      <c r="BD189" s="3093"/>
      <c r="BE189" s="3093"/>
    </row>
    <row r="190" spans="50:57" x14ac:dyDescent="0.25">
      <c r="AX190" s="3093"/>
      <c r="AY190" s="3093"/>
      <c r="BD190" s="3093"/>
      <c r="BE190" s="3093"/>
    </row>
    <row r="191" spans="50:57" x14ac:dyDescent="0.25">
      <c r="AX191" s="3093"/>
      <c r="AY191" s="3093"/>
      <c r="BD191" s="3093"/>
      <c r="BE191" s="3093"/>
    </row>
    <row r="192" spans="50:57" x14ac:dyDescent="0.25">
      <c r="AX192" s="3093"/>
      <c r="AY192" s="3093"/>
      <c r="BD192" s="3093"/>
      <c r="BE192" s="3093"/>
    </row>
    <row r="193" spans="50:57" x14ac:dyDescent="0.25">
      <c r="AX193" s="3093"/>
      <c r="AY193" s="3093"/>
      <c r="BD193" s="3093"/>
      <c r="BE193" s="3093"/>
    </row>
    <row r="194" spans="50:57" x14ac:dyDescent="0.25">
      <c r="AX194" s="3093"/>
      <c r="AY194" s="3093"/>
      <c r="BD194" s="3093"/>
      <c r="BE194" s="3093"/>
    </row>
    <row r="195" spans="50:57" x14ac:dyDescent="0.25">
      <c r="AX195" s="3093"/>
      <c r="AY195" s="3093"/>
      <c r="BD195" s="3093"/>
      <c r="BE195" s="3093"/>
    </row>
    <row r="196" spans="50:57" x14ac:dyDescent="0.25">
      <c r="AX196" s="3093"/>
      <c r="AY196" s="3093"/>
      <c r="BD196" s="3093"/>
      <c r="BE196" s="3093"/>
    </row>
    <row r="197" spans="50:57" x14ac:dyDescent="0.25">
      <c r="AX197" s="3093"/>
      <c r="AY197" s="3093"/>
      <c r="BD197" s="3093"/>
      <c r="BE197" s="3093"/>
    </row>
    <row r="198" spans="50:57" x14ac:dyDescent="0.25">
      <c r="AX198" s="3093"/>
      <c r="AY198" s="3093"/>
      <c r="BD198" s="3093"/>
      <c r="BE198" s="3093"/>
    </row>
    <row r="199" spans="50:57" x14ac:dyDescent="0.25">
      <c r="AX199" s="3093"/>
      <c r="AY199" s="3093"/>
      <c r="BD199" s="3093"/>
      <c r="BE199" s="3093"/>
    </row>
    <row r="200" spans="50:57" x14ac:dyDescent="0.25">
      <c r="AX200" s="3093"/>
      <c r="AY200" s="3093"/>
      <c r="BD200" s="3093"/>
      <c r="BE200" s="3093"/>
    </row>
    <row r="201" spans="50:57" x14ac:dyDescent="0.25">
      <c r="AX201" s="3093"/>
      <c r="AY201" s="3093"/>
      <c r="BD201" s="3093"/>
      <c r="BE201" s="3093"/>
    </row>
    <row r="202" spans="50:57" x14ac:dyDescent="0.25">
      <c r="AX202" s="3093"/>
      <c r="AY202" s="3093"/>
      <c r="BD202" s="3093"/>
      <c r="BE202" s="3093"/>
    </row>
    <row r="203" spans="50:57" x14ac:dyDescent="0.25">
      <c r="AX203" s="3093"/>
      <c r="AY203" s="3093"/>
      <c r="BD203" s="3093"/>
      <c r="BE203" s="3093"/>
    </row>
    <row r="204" spans="50:57" x14ac:dyDescent="0.25">
      <c r="AX204" s="3093"/>
      <c r="AY204" s="3093"/>
      <c r="BD204" s="3093"/>
      <c r="BE204" s="3093"/>
    </row>
    <row r="205" spans="50:57" x14ac:dyDescent="0.25">
      <c r="AX205" s="3093"/>
      <c r="AY205" s="3093"/>
      <c r="BD205" s="3093"/>
      <c r="BE205" s="3093"/>
    </row>
    <row r="206" spans="50:57" x14ac:dyDescent="0.25">
      <c r="AX206" s="3093"/>
      <c r="AY206" s="3093"/>
      <c r="BD206" s="3093"/>
      <c r="BE206" s="3093"/>
    </row>
    <row r="207" spans="50:57" x14ac:dyDescent="0.25">
      <c r="AX207" s="3093"/>
      <c r="AY207" s="3093"/>
      <c r="BD207" s="3093"/>
      <c r="BE207" s="3093"/>
    </row>
    <row r="208" spans="50:57" x14ac:dyDescent="0.25">
      <c r="AX208" s="3093"/>
      <c r="AY208" s="3093"/>
      <c r="BD208" s="3093"/>
      <c r="BE208" s="3093"/>
    </row>
    <row r="209" spans="50:57" x14ac:dyDescent="0.25">
      <c r="AX209" s="3093"/>
      <c r="AY209" s="3093"/>
      <c r="BD209" s="3093"/>
      <c r="BE209" s="3093"/>
    </row>
    <row r="210" spans="50:57" x14ac:dyDescent="0.25">
      <c r="AX210" s="3093"/>
      <c r="AY210" s="3093"/>
      <c r="BD210" s="3093"/>
      <c r="BE210" s="3093"/>
    </row>
    <row r="211" spans="50:57" x14ac:dyDescent="0.25">
      <c r="AX211" s="3093"/>
      <c r="AY211" s="3093"/>
      <c r="BD211" s="3093"/>
      <c r="BE211" s="3093"/>
    </row>
    <row r="212" spans="50:57" x14ac:dyDescent="0.25">
      <c r="AX212" s="3093"/>
      <c r="AY212" s="3093"/>
      <c r="BD212" s="3093"/>
      <c r="BE212" s="3093"/>
    </row>
    <row r="213" spans="50:57" x14ac:dyDescent="0.25">
      <c r="AX213" s="3093"/>
      <c r="AY213" s="3093"/>
      <c r="BD213" s="3093"/>
      <c r="BE213" s="3093"/>
    </row>
    <row r="214" spans="50:57" x14ac:dyDescent="0.25">
      <c r="AX214" s="3093"/>
      <c r="AY214" s="3093"/>
      <c r="BD214" s="3093"/>
      <c r="BE214" s="3093"/>
    </row>
    <row r="215" spans="50:57" x14ac:dyDescent="0.25">
      <c r="AX215" s="3093"/>
      <c r="AY215" s="3093"/>
      <c r="BD215" s="3093"/>
      <c r="BE215" s="3093"/>
    </row>
    <row r="216" spans="50:57" x14ac:dyDescent="0.25">
      <c r="AX216" s="3093"/>
      <c r="AY216" s="3093"/>
      <c r="BD216" s="3093"/>
      <c r="BE216" s="3093"/>
    </row>
    <row r="217" spans="50:57" x14ac:dyDescent="0.25">
      <c r="AX217" s="3093"/>
      <c r="AY217" s="3093"/>
      <c r="BD217" s="3093"/>
      <c r="BE217" s="3093"/>
    </row>
    <row r="218" spans="50:57" x14ac:dyDescent="0.25">
      <c r="AX218" s="3093"/>
      <c r="AY218" s="3093"/>
      <c r="BD218" s="3093"/>
      <c r="BE218" s="3093"/>
    </row>
    <row r="219" spans="50:57" x14ac:dyDescent="0.25">
      <c r="AX219" s="3093"/>
      <c r="AY219" s="3093"/>
      <c r="BD219" s="3093"/>
      <c r="BE219" s="3093"/>
    </row>
    <row r="220" spans="50:57" x14ac:dyDescent="0.25">
      <c r="AX220" s="3093"/>
      <c r="AY220" s="3093"/>
      <c r="BD220" s="3093"/>
      <c r="BE220" s="3093"/>
    </row>
    <row r="221" spans="50:57" x14ac:dyDescent="0.25">
      <c r="AX221" s="3093"/>
      <c r="AY221" s="3093"/>
      <c r="BD221" s="3093"/>
      <c r="BE221" s="3093"/>
    </row>
    <row r="222" spans="50:57" x14ac:dyDescent="0.25">
      <c r="AX222" s="3093"/>
      <c r="AY222" s="3093"/>
      <c r="BD222" s="3093"/>
      <c r="BE222" s="3093"/>
    </row>
    <row r="223" spans="50:57" x14ac:dyDescent="0.25">
      <c r="AX223" s="3093"/>
      <c r="AY223" s="3093"/>
      <c r="BD223" s="3093"/>
      <c r="BE223" s="3093"/>
    </row>
    <row r="224" spans="50:57" x14ac:dyDescent="0.25">
      <c r="AX224" s="3093"/>
      <c r="AY224" s="3093"/>
      <c r="BD224" s="3093"/>
      <c r="BE224" s="3093"/>
    </row>
    <row r="225" spans="50:57" x14ac:dyDescent="0.25">
      <c r="AX225" s="3093"/>
      <c r="AY225" s="3093"/>
      <c r="BD225" s="3093"/>
      <c r="BE225" s="3093"/>
    </row>
    <row r="226" spans="50:57" x14ac:dyDescent="0.25">
      <c r="AX226" s="3093"/>
      <c r="AY226" s="3093"/>
      <c r="BD226" s="3093"/>
      <c r="BE226" s="3093"/>
    </row>
    <row r="227" spans="50:57" x14ac:dyDescent="0.25">
      <c r="AX227" s="3093"/>
      <c r="AY227" s="3093"/>
      <c r="BD227" s="3093"/>
      <c r="BE227" s="3093"/>
    </row>
    <row r="228" spans="50:57" x14ac:dyDescent="0.25">
      <c r="AX228" s="3093"/>
      <c r="AY228" s="3093"/>
      <c r="BD228" s="3093"/>
      <c r="BE228" s="3093"/>
    </row>
    <row r="229" spans="50:57" x14ac:dyDescent="0.25">
      <c r="AX229" s="3093"/>
      <c r="AY229" s="3093"/>
      <c r="BD229" s="3093"/>
      <c r="BE229" s="3093"/>
    </row>
    <row r="230" spans="50:57" x14ac:dyDescent="0.25">
      <c r="AX230" s="3093"/>
      <c r="AY230" s="3093"/>
      <c r="BD230" s="3093"/>
      <c r="BE230" s="3093"/>
    </row>
    <row r="231" spans="50:57" x14ac:dyDescent="0.25">
      <c r="AX231" s="3093"/>
      <c r="AY231" s="3093"/>
      <c r="BD231" s="3093"/>
      <c r="BE231" s="3093"/>
    </row>
    <row r="232" spans="50:57" x14ac:dyDescent="0.25">
      <c r="AX232" s="3093"/>
      <c r="AY232" s="3093"/>
      <c r="BD232" s="3093"/>
      <c r="BE232" s="3093"/>
    </row>
    <row r="233" spans="50:57" x14ac:dyDescent="0.25">
      <c r="AX233" s="3093"/>
      <c r="AY233" s="3093"/>
      <c r="BD233" s="3093"/>
      <c r="BE233" s="3093"/>
    </row>
    <row r="234" spans="50:57" x14ac:dyDescent="0.25">
      <c r="AX234" s="3093"/>
      <c r="AY234" s="3093"/>
      <c r="BD234" s="3093"/>
      <c r="BE234" s="3093"/>
    </row>
    <row r="235" spans="50:57" x14ac:dyDescent="0.25">
      <c r="AX235" s="3093"/>
      <c r="AY235" s="3093"/>
      <c r="BD235" s="3093"/>
      <c r="BE235" s="3093"/>
    </row>
    <row r="236" spans="50:57" x14ac:dyDescent="0.25">
      <c r="AX236" s="3093"/>
      <c r="AY236" s="3093"/>
      <c r="BD236" s="3093"/>
      <c r="BE236" s="3093"/>
    </row>
    <row r="237" spans="50:57" x14ac:dyDescent="0.25">
      <c r="AX237" s="3093"/>
      <c r="AY237" s="3093"/>
      <c r="BD237" s="3093"/>
      <c r="BE237" s="3093"/>
    </row>
    <row r="238" spans="50:57" x14ac:dyDescent="0.25">
      <c r="AX238" s="3093"/>
      <c r="AY238" s="3093"/>
      <c r="BD238" s="3093"/>
      <c r="BE238" s="3093"/>
    </row>
    <row r="239" spans="50:57" x14ac:dyDescent="0.25">
      <c r="AX239" s="3093"/>
      <c r="AY239" s="3093"/>
      <c r="BD239" s="3093"/>
      <c r="BE239" s="3093"/>
    </row>
    <row r="240" spans="50:57" x14ac:dyDescent="0.25">
      <c r="AX240" s="3093"/>
      <c r="AY240" s="3093"/>
      <c r="BD240" s="3093"/>
      <c r="BE240" s="3093"/>
    </row>
    <row r="241" spans="50:57" x14ac:dyDescent="0.25">
      <c r="AX241" s="3093"/>
      <c r="AY241" s="3093"/>
      <c r="BD241" s="3093"/>
      <c r="BE241" s="3093"/>
    </row>
    <row r="242" spans="50:57" x14ac:dyDescent="0.25">
      <c r="AX242" s="3093"/>
      <c r="AY242" s="3093"/>
      <c r="BD242" s="3093"/>
      <c r="BE242" s="3093"/>
    </row>
    <row r="243" spans="50:57" x14ac:dyDescent="0.25">
      <c r="AX243" s="3093"/>
      <c r="AY243" s="3093"/>
      <c r="BD243" s="3093"/>
      <c r="BE243" s="3093"/>
    </row>
    <row r="244" spans="50:57" x14ac:dyDescent="0.25">
      <c r="AX244" s="3093"/>
      <c r="AY244" s="3093"/>
      <c r="BD244" s="3093"/>
      <c r="BE244" s="3093"/>
    </row>
    <row r="245" spans="50:57" x14ac:dyDescent="0.25">
      <c r="AX245" s="3093"/>
      <c r="AY245" s="3093"/>
      <c r="BD245" s="3093"/>
      <c r="BE245" s="3093"/>
    </row>
    <row r="246" spans="50:57" x14ac:dyDescent="0.25">
      <c r="AX246" s="3093"/>
      <c r="AY246" s="3093"/>
      <c r="BD246" s="3093"/>
      <c r="BE246" s="3093"/>
    </row>
    <row r="247" spans="50:57" x14ac:dyDescent="0.25">
      <c r="AX247" s="3093"/>
      <c r="AY247" s="3093"/>
      <c r="BD247" s="3093"/>
      <c r="BE247" s="3093"/>
    </row>
    <row r="248" spans="50:57" x14ac:dyDescent="0.25">
      <c r="AX248" s="3093"/>
      <c r="AY248" s="3093"/>
      <c r="BD248" s="3093"/>
      <c r="BE248" s="3093"/>
    </row>
    <row r="249" spans="50:57" x14ac:dyDescent="0.25">
      <c r="AX249" s="3093"/>
      <c r="AY249" s="3093"/>
      <c r="BD249" s="3093"/>
      <c r="BE249" s="3093"/>
    </row>
    <row r="250" spans="50:57" x14ac:dyDescent="0.25">
      <c r="AX250" s="3093"/>
      <c r="AY250" s="3093"/>
      <c r="BD250" s="3093"/>
      <c r="BE250" s="3093"/>
    </row>
    <row r="251" spans="50:57" x14ac:dyDescent="0.25">
      <c r="AX251" s="3093"/>
      <c r="AY251" s="3093"/>
      <c r="BD251" s="3093"/>
      <c r="BE251" s="3093"/>
    </row>
    <row r="252" spans="50:57" x14ac:dyDescent="0.25">
      <c r="AX252" s="3093"/>
      <c r="AY252" s="3093"/>
      <c r="BD252" s="3093"/>
      <c r="BE252" s="3093"/>
    </row>
    <row r="253" spans="50:57" x14ac:dyDescent="0.25">
      <c r="AX253" s="3093"/>
      <c r="AY253" s="3093"/>
      <c r="BD253" s="3093"/>
      <c r="BE253" s="3093"/>
    </row>
    <row r="254" spans="50:57" x14ac:dyDescent="0.25">
      <c r="AX254" s="3093"/>
      <c r="AY254" s="3093"/>
      <c r="BD254" s="3093"/>
      <c r="BE254" s="3093"/>
    </row>
    <row r="255" spans="50:57" x14ac:dyDescent="0.25">
      <c r="AX255" s="3093"/>
      <c r="AY255" s="3093"/>
      <c r="BD255" s="3093"/>
      <c r="BE255" s="3093"/>
    </row>
    <row r="256" spans="50:57" x14ac:dyDescent="0.25">
      <c r="AX256" s="3093"/>
      <c r="AY256" s="3093"/>
      <c r="BD256" s="3093"/>
      <c r="BE256" s="3093"/>
    </row>
    <row r="257" spans="50:57" x14ac:dyDescent="0.25">
      <c r="AX257" s="3093"/>
      <c r="AY257" s="3093"/>
      <c r="BD257" s="3093"/>
      <c r="BE257" s="3093"/>
    </row>
    <row r="258" spans="50:57" x14ac:dyDescent="0.25">
      <c r="AX258" s="3093"/>
      <c r="AY258" s="3093"/>
      <c r="BD258" s="3093"/>
      <c r="BE258" s="3093"/>
    </row>
    <row r="259" spans="50:57" x14ac:dyDescent="0.25">
      <c r="AX259" s="3093"/>
      <c r="AY259" s="3093"/>
      <c r="BD259" s="3093"/>
      <c r="BE259" s="3093"/>
    </row>
    <row r="260" spans="50:57" x14ac:dyDescent="0.25">
      <c r="AX260" s="3093"/>
      <c r="AY260" s="3093"/>
      <c r="BD260" s="3093"/>
      <c r="BE260" s="3093"/>
    </row>
    <row r="261" spans="50:57" x14ac:dyDescent="0.25">
      <c r="AX261" s="3093"/>
      <c r="AY261" s="3093"/>
      <c r="BD261" s="3093"/>
      <c r="BE261" s="3093"/>
    </row>
    <row r="262" spans="50:57" x14ac:dyDescent="0.25">
      <c r="AX262" s="3093"/>
      <c r="AY262" s="3093"/>
      <c r="BD262" s="3093"/>
      <c r="BE262" s="3093"/>
    </row>
    <row r="263" spans="50:57" x14ac:dyDescent="0.25">
      <c r="AX263" s="3093"/>
      <c r="AY263" s="3093"/>
      <c r="BD263" s="3093"/>
      <c r="BE263" s="3093"/>
    </row>
    <row r="264" spans="50:57" x14ac:dyDescent="0.25">
      <c r="AX264" s="3093"/>
      <c r="AY264" s="3093"/>
      <c r="BD264" s="3093"/>
      <c r="BE264" s="3093"/>
    </row>
    <row r="265" spans="50:57" x14ac:dyDescent="0.25">
      <c r="AX265" s="3093"/>
      <c r="AY265" s="3093"/>
      <c r="BD265" s="3093"/>
      <c r="BE265" s="3093"/>
    </row>
    <row r="266" spans="50:57" x14ac:dyDescent="0.25">
      <c r="AX266" s="3093"/>
      <c r="AY266" s="3093"/>
      <c r="BD266" s="3093"/>
      <c r="BE266" s="3093"/>
    </row>
    <row r="267" spans="50:57" x14ac:dyDescent="0.25">
      <c r="AX267" s="3093"/>
      <c r="AY267" s="3093"/>
      <c r="BD267" s="3093"/>
      <c r="BE267" s="3093"/>
    </row>
    <row r="268" spans="50:57" x14ac:dyDescent="0.25">
      <c r="AX268" s="3093"/>
      <c r="AY268" s="3093"/>
      <c r="BD268" s="3093"/>
      <c r="BE268" s="3093"/>
    </row>
    <row r="269" spans="50:57" x14ac:dyDescent="0.25">
      <c r="AX269" s="3093"/>
      <c r="AY269" s="3093"/>
      <c r="BD269" s="3093"/>
      <c r="BE269" s="3093"/>
    </row>
    <row r="270" spans="50:57" x14ac:dyDescent="0.25">
      <c r="AX270" s="3093"/>
      <c r="AY270" s="3093"/>
      <c r="BD270" s="3093"/>
      <c r="BE270" s="3093"/>
    </row>
    <row r="271" spans="50:57" x14ac:dyDescent="0.25">
      <c r="AX271" s="3093"/>
      <c r="AY271" s="3093"/>
      <c r="BD271" s="3093"/>
      <c r="BE271" s="3093"/>
    </row>
    <row r="272" spans="50:57" x14ac:dyDescent="0.25">
      <c r="AX272" s="3093"/>
      <c r="AY272" s="3093"/>
      <c r="BD272" s="3093"/>
      <c r="BE272" s="3093"/>
    </row>
    <row r="273" spans="50:57" x14ac:dyDescent="0.25">
      <c r="AX273" s="3093"/>
      <c r="AY273" s="3093"/>
      <c r="BD273" s="3093"/>
      <c r="BE273" s="3093"/>
    </row>
    <row r="274" spans="50:57" x14ac:dyDescent="0.25">
      <c r="AX274" s="3093"/>
      <c r="AY274" s="3093"/>
      <c r="BD274" s="3093"/>
      <c r="BE274" s="3093"/>
    </row>
    <row r="275" spans="50:57" x14ac:dyDescent="0.25">
      <c r="AX275" s="3093"/>
      <c r="AY275" s="3093"/>
      <c r="BD275" s="3093"/>
      <c r="BE275" s="3093"/>
    </row>
    <row r="276" spans="50:57" x14ac:dyDescent="0.25">
      <c r="AX276" s="3093"/>
      <c r="AY276" s="3093"/>
      <c r="BD276" s="3093"/>
      <c r="BE276" s="3093"/>
    </row>
    <row r="277" spans="50:57" x14ac:dyDescent="0.25">
      <c r="AX277" s="3093"/>
      <c r="AY277" s="3093"/>
      <c r="BD277" s="3093"/>
      <c r="BE277" s="3093"/>
    </row>
    <row r="278" spans="50:57" x14ac:dyDescent="0.25">
      <c r="AX278" s="3093"/>
      <c r="AY278" s="3093"/>
      <c r="BD278" s="3093"/>
      <c r="BE278" s="3093"/>
    </row>
    <row r="279" spans="50:57" x14ac:dyDescent="0.25">
      <c r="AX279" s="3093"/>
      <c r="AY279" s="3093"/>
      <c r="BD279" s="3093"/>
      <c r="BE279" s="3093"/>
    </row>
    <row r="280" spans="50:57" x14ac:dyDescent="0.25">
      <c r="AX280" s="3093"/>
      <c r="AY280" s="3093"/>
      <c r="BD280" s="3093"/>
      <c r="BE280" s="3093"/>
    </row>
    <row r="281" spans="50:57" x14ac:dyDescent="0.25">
      <c r="AX281" s="3093"/>
      <c r="AY281" s="3093"/>
      <c r="BD281" s="3093"/>
      <c r="BE281" s="3093"/>
    </row>
    <row r="282" spans="50:57" x14ac:dyDescent="0.25">
      <c r="AX282" s="3093"/>
      <c r="AY282" s="3093"/>
      <c r="BD282" s="3093"/>
      <c r="BE282" s="3093"/>
    </row>
    <row r="283" spans="50:57" x14ac:dyDescent="0.25">
      <c r="AX283" s="3093"/>
      <c r="AY283" s="3093"/>
      <c r="BD283" s="3093"/>
      <c r="BE283" s="3093"/>
    </row>
    <row r="284" spans="50:57" x14ac:dyDescent="0.25">
      <c r="AX284" s="3093"/>
      <c r="AY284" s="3093"/>
      <c r="BD284" s="3093"/>
      <c r="BE284" s="3093"/>
    </row>
    <row r="285" spans="50:57" x14ac:dyDescent="0.25">
      <c r="AX285" s="3093"/>
      <c r="AY285" s="3093"/>
      <c r="BD285" s="3093"/>
      <c r="BE285" s="3093"/>
    </row>
    <row r="286" spans="50:57" x14ac:dyDescent="0.25">
      <c r="AX286" s="3093"/>
      <c r="AY286" s="3093"/>
      <c r="BD286" s="3093"/>
      <c r="BE286" s="3093"/>
    </row>
    <row r="287" spans="50:57" x14ac:dyDescent="0.25">
      <c r="AX287" s="3093"/>
      <c r="AY287" s="3093"/>
      <c r="BD287" s="3093"/>
      <c r="BE287" s="3093"/>
    </row>
    <row r="288" spans="50:57" x14ac:dyDescent="0.25">
      <c r="AX288" s="3093"/>
      <c r="AY288" s="3093"/>
      <c r="BD288" s="3093"/>
      <c r="BE288" s="3093"/>
    </row>
    <row r="289" spans="50:57" x14ac:dyDescent="0.25">
      <c r="AX289" s="3093"/>
      <c r="AY289" s="3093"/>
      <c r="BD289" s="3093"/>
      <c r="BE289" s="3093"/>
    </row>
    <row r="290" spans="50:57" x14ac:dyDescent="0.25">
      <c r="AX290" s="3093"/>
      <c r="AY290" s="3093"/>
      <c r="BD290" s="3093"/>
      <c r="BE290" s="3093"/>
    </row>
    <row r="291" spans="50:57" x14ac:dyDescent="0.25">
      <c r="AX291" s="3093"/>
      <c r="AY291" s="3093"/>
      <c r="BD291" s="3093"/>
      <c r="BE291" s="3093"/>
    </row>
    <row r="292" spans="50:57" x14ac:dyDescent="0.25">
      <c r="AX292" s="3093"/>
      <c r="AY292" s="3093"/>
      <c r="BD292" s="3093"/>
      <c r="BE292" s="3093"/>
    </row>
    <row r="293" spans="50:57" x14ac:dyDescent="0.25">
      <c r="AX293" s="3093"/>
      <c r="AY293" s="3093"/>
      <c r="BD293" s="3093"/>
      <c r="BE293" s="3093"/>
    </row>
    <row r="294" spans="50:57" x14ac:dyDescent="0.25">
      <c r="AX294" s="3093"/>
      <c r="AY294" s="3093"/>
      <c r="BD294" s="3093"/>
      <c r="BE294" s="3093"/>
    </row>
    <row r="295" spans="50:57" x14ac:dyDescent="0.25">
      <c r="AX295" s="3093"/>
      <c r="AY295" s="3093"/>
      <c r="BD295" s="3093"/>
      <c r="BE295" s="3093"/>
    </row>
    <row r="296" spans="50:57" x14ac:dyDescent="0.25">
      <c r="AX296" s="3093"/>
      <c r="AY296" s="3093"/>
      <c r="BD296" s="3093"/>
      <c r="BE296" s="3093"/>
    </row>
    <row r="297" spans="50:57" x14ac:dyDescent="0.25">
      <c r="AX297" s="3093"/>
      <c r="AY297" s="3093"/>
      <c r="BD297" s="3093"/>
      <c r="BE297" s="3093"/>
    </row>
    <row r="298" spans="50:57" x14ac:dyDescent="0.25">
      <c r="AX298" s="3093"/>
      <c r="AY298" s="3093"/>
      <c r="BD298" s="3093"/>
      <c r="BE298" s="3093"/>
    </row>
    <row r="299" spans="50:57" x14ac:dyDescent="0.25">
      <c r="AX299" s="3093"/>
      <c r="AY299" s="3093"/>
      <c r="BD299" s="3093"/>
      <c r="BE299" s="3093"/>
    </row>
    <row r="300" spans="50:57" x14ac:dyDescent="0.25">
      <c r="AX300" s="3093"/>
      <c r="AY300" s="3093"/>
      <c r="BD300" s="3093"/>
      <c r="BE300" s="3093"/>
    </row>
    <row r="301" spans="50:57" x14ac:dyDescent="0.25">
      <c r="AX301" s="3093"/>
      <c r="AY301" s="3093"/>
      <c r="BD301" s="3093"/>
      <c r="BE301" s="3093"/>
    </row>
    <row r="302" spans="50:57" x14ac:dyDescent="0.25">
      <c r="AX302" s="3093"/>
      <c r="AY302" s="3093"/>
      <c r="BD302" s="3093"/>
      <c r="BE302" s="3093"/>
    </row>
  </sheetData>
  <mergeCells count="109">
    <mergeCell ref="AN93:AN110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0"/>
    <mergeCell ref="V19:V20"/>
    <mergeCell ref="Z19:Z20"/>
    <mergeCell ref="V38:V43"/>
    <mergeCell ref="Z38:Z43"/>
    <mergeCell ref="AH93:AH110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0"/>
    <mergeCell ref="H93:H110"/>
    <mergeCell ref="C4:C5"/>
    <mergeCell ref="D4:E4"/>
    <mergeCell ref="F4:G4"/>
    <mergeCell ref="L93:L110"/>
    <mergeCell ref="P93:P110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6:B117"/>
    <mergeCell ref="B112:B113"/>
    <mergeCell ref="B114:B115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0"/>
    <mergeCell ref="AP4:AQ4"/>
    <mergeCell ref="AR4:AS4"/>
    <mergeCell ref="AP19:AP20"/>
    <mergeCell ref="AR19:AR20"/>
    <mergeCell ref="AP38:AP43"/>
    <mergeCell ref="AR38:AR43"/>
    <mergeCell ref="AV93:AV110"/>
    <mergeCell ref="AT4:AU4"/>
    <mergeCell ref="AV4:AW4"/>
    <mergeCell ref="AT19:AT20"/>
    <mergeCell ref="AV19:AV20"/>
    <mergeCell ref="AT38:AT43"/>
    <mergeCell ref="AV38:AV43"/>
    <mergeCell ref="BD93:BD110"/>
    <mergeCell ref="AZ4:BA4"/>
    <mergeCell ref="AZ19:AZ20"/>
    <mergeCell ref="AZ38:AZ43"/>
    <mergeCell ref="AZ93:AZ110"/>
    <mergeCell ref="BB4:BC4"/>
    <mergeCell ref="BB19:BB20"/>
    <mergeCell ref="BB38:BB43"/>
    <mergeCell ref="BB93:BB110"/>
    <mergeCell ref="H38:H43"/>
    <mergeCell ref="L19:L20"/>
    <mergeCell ref="AX4:AY4"/>
    <mergeCell ref="P19:P20"/>
    <mergeCell ref="J4:K4"/>
    <mergeCell ref="N4:O4"/>
    <mergeCell ref="AD93:AD110"/>
    <mergeCell ref="AB4:AC4"/>
    <mergeCell ref="AD4:AE4"/>
    <mergeCell ref="AB19:AB20"/>
    <mergeCell ref="AD19:AD20"/>
    <mergeCell ref="AB38:AB43"/>
    <mergeCell ref="AD38:AD43"/>
    <mergeCell ref="Z93:Z110"/>
    <mergeCell ref="X4:Y4"/>
    <mergeCell ref="X19:X20"/>
    <mergeCell ref="X38:X43"/>
    <mergeCell ref="X93:X110"/>
    <mergeCell ref="V4:W4"/>
    <mergeCell ref="Z4:AA4"/>
  </mergeCells>
  <pageMargins left="1.2" right="0.7" top="0.25" bottom="0.25" header="0.3" footer="0.3"/>
  <pageSetup scale="2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2"/>
  <sheetViews>
    <sheetView topLeftCell="A15" zoomScale="115" zoomScaleNormal="115" workbookViewId="0">
      <pane xSplit="3" topLeftCell="E1" activePane="topRight" state="frozen"/>
      <selection activeCell="S123" sqref="S123"/>
      <selection pane="topRight" activeCell="BG28" sqref="BG28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customWidth="1"/>
    <col min="7" max="7" width="10.42578125" style="93" customWidth="1"/>
    <col min="8" max="8" width="7.7109375" style="87" customWidth="1"/>
    <col min="9" max="9" width="10.140625" style="93" customWidth="1"/>
    <col min="10" max="10" width="10.7109375" style="87" hidden="1" customWidth="1"/>
    <col min="11" max="11" width="10.7109375" style="93" hidden="1" customWidth="1"/>
    <col min="12" max="12" width="10.7109375" style="87" hidden="1" customWidth="1"/>
    <col min="13" max="13" width="10.7109375" style="93" hidden="1" customWidth="1"/>
    <col min="14" max="14" width="6.7109375" style="87" hidden="1" customWidth="1"/>
    <col min="15" max="15" width="7.85546875" style="93" hidden="1" customWidth="1"/>
    <col min="16" max="16" width="7.85546875" style="87" hidden="1" customWidth="1"/>
    <col min="17" max="17" width="10.140625" style="93" hidden="1" customWidth="1"/>
    <col min="18" max="18" width="7.85546875" hidden="1" customWidth="1"/>
    <col min="19" max="19" width="8.42578125" hidden="1" customWidth="1"/>
    <col min="20" max="21" width="10.7109375" hidden="1" customWidth="1"/>
    <col min="22" max="22" width="7.85546875" hidden="1" customWidth="1"/>
    <col min="23" max="23" width="8.42578125" hidden="1" customWidth="1"/>
    <col min="24" max="24" width="8.85546875" hidden="1" customWidth="1"/>
    <col min="25" max="25" width="10.140625" hidden="1" customWidth="1"/>
    <col min="26" max="26" width="9" hidden="1" customWidth="1"/>
    <col min="27" max="27" width="10.140625" hidden="1" customWidth="1"/>
    <col min="28" max="28" width="7.85546875" hidden="1" customWidth="1"/>
    <col min="29" max="29" width="11.28515625" hidden="1" customWidth="1"/>
    <col min="30" max="30" width="9" hidden="1" customWidth="1"/>
    <col min="31" max="31" width="10.140625" hidden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style="2749" hidden="1" customWidth="1"/>
    <col min="39" max="39" width="13.140625" style="2749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109" hidden="1" customWidth="1"/>
    <col min="53" max="53" width="13.140625" style="3109" hidden="1" customWidth="1"/>
    <col min="54" max="54" width="8.85546875" style="3109" hidden="1" customWidth="1"/>
    <col min="55" max="55" width="13.140625" style="3109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1:98" ht="15.75" x14ac:dyDescent="0.25">
      <c r="B1" s="810" t="s">
        <v>371</v>
      </c>
      <c r="C1" s="804"/>
      <c r="D1" s="804"/>
      <c r="E1" s="804"/>
      <c r="F1" s="804"/>
      <c r="G1" s="804"/>
      <c r="H1" s="804"/>
      <c r="I1" s="804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</row>
    <row r="2" spans="1:98" s="93" customFormat="1" ht="16.5" thickBot="1" x14ac:dyDescent="0.3">
      <c r="B2" s="1155"/>
      <c r="C2" s="1155"/>
      <c r="D2" s="1155"/>
      <c r="E2" s="1155"/>
      <c r="F2" s="1155"/>
      <c r="G2" s="1155"/>
      <c r="H2" s="1155"/>
      <c r="I2" s="1155"/>
      <c r="J2" s="1156"/>
      <c r="K2" s="1156"/>
      <c r="L2" s="1156"/>
      <c r="M2" s="1156"/>
      <c r="N2" s="1156"/>
      <c r="O2" s="1156"/>
      <c r="P2" s="1156"/>
      <c r="Q2" s="1156"/>
      <c r="R2" s="1156"/>
      <c r="S2" s="1156"/>
      <c r="T2" s="1156"/>
      <c r="U2" s="1156"/>
      <c r="V2" s="1156"/>
      <c r="W2" s="1156"/>
      <c r="X2" s="1156"/>
      <c r="Y2" s="1156"/>
      <c r="Z2" s="1156"/>
      <c r="AA2" s="1156"/>
    </row>
    <row r="3" spans="1:98" s="842" customFormat="1" ht="15.75" x14ac:dyDescent="0.25">
      <c r="B3" s="7865" t="s">
        <v>171</v>
      </c>
      <c r="C3" s="7867" t="s">
        <v>172</v>
      </c>
      <c r="D3" s="7733" t="s">
        <v>2254</v>
      </c>
      <c r="E3" s="7736"/>
      <c r="F3" s="7736" t="s">
        <v>2306</v>
      </c>
      <c r="G3" s="7736"/>
      <c r="H3" s="7869" t="s">
        <v>14</v>
      </c>
      <c r="I3" s="7869"/>
      <c r="J3" s="7736" t="s">
        <v>1903</v>
      </c>
      <c r="K3" s="7736"/>
      <c r="L3" s="7729" t="s">
        <v>637</v>
      </c>
      <c r="M3" s="7729"/>
      <c r="N3" s="7736" t="s">
        <v>1937</v>
      </c>
      <c r="O3" s="7736"/>
      <c r="P3" s="7879" t="s">
        <v>17</v>
      </c>
      <c r="Q3" s="7879"/>
      <c r="R3" s="7736" t="s">
        <v>1961</v>
      </c>
      <c r="S3" s="7736"/>
      <c r="T3" s="7879" t="s">
        <v>18</v>
      </c>
      <c r="U3" s="7879"/>
      <c r="V3" s="7736" t="s">
        <v>1983</v>
      </c>
      <c r="W3" s="7736"/>
      <c r="X3" s="7729" t="s">
        <v>660</v>
      </c>
      <c r="Y3" s="7729"/>
      <c r="Z3" s="7730" t="s">
        <v>657</v>
      </c>
      <c r="AA3" s="7730"/>
      <c r="AB3" s="7736" t="s">
        <v>2002</v>
      </c>
      <c r="AC3" s="7736"/>
      <c r="AD3" s="7879" t="s">
        <v>24</v>
      </c>
      <c r="AE3" s="7879"/>
      <c r="AF3" s="7736" t="s">
        <v>2018</v>
      </c>
      <c r="AG3" s="7736"/>
      <c r="AH3" s="7879" t="s">
        <v>27</v>
      </c>
      <c r="AI3" s="7880"/>
      <c r="AJ3" s="7862" t="s">
        <v>2033</v>
      </c>
      <c r="AK3" s="7851"/>
      <c r="AL3" s="7854" t="s">
        <v>662</v>
      </c>
      <c r="AM3" s="7854"/>
      <c r="AN3" s="7861" t="s">
        <v>1683</v>
      </c>
      <c r="AO3" s="7861"/>
      <c r="AP3" s="7851" t="s">
        <v>2137</v>
      </c>
      <c r="AQ3" s="7851"/>
      <c r="AR3" s="7861" t="s">
        <v>28</v>
      </c>
      <c r="AS3" s="7861"/>
      <c r="AT3" s="7851" t="s">
        <v>2151</v>
      </c>
      <c r="AU3" s="7851"/>
      <c r="AV3" s="7861" t="s">
        <v>30</v>
      </c>
      <c r="AW3" s="7861"/>
      <c r="AX3" s="7851" t="s">
        <v>2163</v>
      </c>
      <c r="AY3" s="7851"/>
      <c r="AZ3" s="7854" t="s">
        <v>663</v>
      </c>
      <c r="BA3" s="7854"/>
      <c r="BB3" s="7855" t="s">
        <v>671</v>
      </c>
      <c r="BC3" s="7855"/>
      <c r="BD3" s="7852" t="s">
        <v>1765</v>
      </c>
      <c r="BE3" s="7852"/>
    </row>
    <row r="4" spans="1:98" s="93" customFormat="1" ht="16.5" thickBot="1" x14ac:dyDescent="0.3">
      <c r="B4" s="7866"/>
      <c r="C4" s="7868"/>
      <c r="D4" s="5589" t="s">
        <v>173</v>
      </c>
      <c r="E4" s="5590" t="s">
        <v>174</v>
      </c>
      <c r="F4" s="5590" t="s">
        <v>173</v>
      </c>
      <c r="G4" s="5590" t="s">
        <v>174</v>
      </c>
      <c r="H4" s="5591" t="s">
        <v>173</v>
      </c>
      <c r="I4" s="5591" t="s">
        <v>174</v>
      </c>
      <c r="J4" s="5590" t="s">
        <v>173</v>
      </c>
      <c r="K4" s="5590" t="s">
        <v>174</v>
      </c>
      <c r="L4" s="5592" t="s">
        <v>173</v>
      </c>
      <c r="M4" s="5592" t="s">
        <v>174</v>
      </c>
      <c r="N4" s="5590" t="s">
        <v>173</v>
      </c>
      <c r="O4" s="5590" t="s">
        <v>174</v>
      </c>
      <c r="P4" s="5593" t="s">
        <v>173</v>
      </c>
      <c r="Q4" s="5593" t="s">
        <v>174</v>
      </c>
      <c r="R4" s="5590" t="s">
        <v>173</v>
      </c>
      <c r="S4" s="5590" t="s">
        <v>174</v>
      </c>
      <c r="T4" s="5593" t="s">
        <v>173</v>
      </c>
      <c r="U4" s="5593" t="s">
        <v>174</v>
      </c>
      <c r="V4" s="5590" t="s">
        <v>173</v>
      </c>
      <c r="W4" s="5590" t="s">
        <v>174</v>
      </c>
      <c r="X4" s="5592" t="s">
        <v>173</v>
      </c>
      <c r="Y4" s="5592" t="s">
        <v>174</v>
      </c>
      <c r="Z4" s="5594" t="s">
        <v>173</v>
      </c>
      <c r="AA4" s="5594" t="s">
        <v>174</v>
      </c>
      <c r="AB4" s="5590" t="s">
        <v>173</v>
      </c>
      <c r="AC4" s="5590" t="s">
        <v>174</v>
      </c>
      <c r="AD4" s="5593" t="s">
        <v>173</v>
      </c>
      <c r="AE4" s="5593" t="s">
        <v>174</v>
      </c>
      <c r="AF4" s="5590" t="s">
        <v>173</v>
      </c>
      <c r="AG4" s="5590" t="s">
        <v>174</v>
      </c>
      <c r="AH4" s="5593" t="s">
        <v>173</v>
      </c>
      <c r="AI4" s="5595" t="s">
        <v>174</v>
      </c>
      <c r="AJ4" s="5588" t="s">
        <v>173</v>
      </c>
      <c r="AK4" s="3245" t="s">
        <v>174</v>
      </c>
      <c r="AL4" s="3246" t="s">
        <v>173</v>
      </c>
      <c r="AM4" s="3246" t="s">
        <v>174</v>
      </c>
      <c r="AN4" s="3247" t="s">
        <v>173</v>
      </c>
      <c r="AO4" s="3247" t="s">
        <v>174</v>
      </c>
      <c r="AP4" s="3245" t="s">
        <v>173</v>
      </c>
      <c r="AQ4" s="3245" t="s">
        <v>174</v>
      </c>
      <c r="AR4" s="3247" t="s">
        <v>173</v>
      </c>
      <c r="AS4" s="3247" t="s">
        <v>174</v>
      </c>
      <c r="AT4" s="3245" t="s">
        <v>173</v>
      </c>
      <c r="AU4" s="3245" t="s">
        <v>174</v>
      </c>
      <c r="AV4" s="3247" t="s">
        <v>173</v>
      </c>
      <c r="AW4" s="3247" t="s">
        <v>174</v>
      </c>
      <c r="AX4" s="3713" t="s">
        <v>173</v>
      </c>
      <c r="AY4" s="3713" t="s">
        <v>174</v>
      </c>
      <c r="AZ4" s="3246" t="s">
        <v>173</v>
      </c>
      <c r="BA4" s="3246" t="s">
        <v>174</v>
      </c>
      <c r="BB4" s="3248" t="s">
        <v>173</v>
      </c>
      <c r="BC4" s="3248" t="s">
        <v>174</v>
      </c>
      <c r="BD4" s="6655" t="s">
        <v>173</v>
      </c>
      <c r="BE4" s="6655" t="s">
        <v>174</v>
      </c>
    </row>
    <row r="5" spans="1:98" ht="15.75" x14ac:dyDescent="0.25">
      <c r="B5" s="1714" t="s">
        <v>421</v>
      </c>
      <c r="C5" s="5584" t="s">
        <v>1166</v>
      </c>
      <c r="D5" s="406">
        <f>+'Maj Techno Summ'!E27</f>
        <v>2.850000000000001</v>
      </c>
      <c r="E5" s="5596">
        <f>+'Maj Techno Summ'!F27</f>
        <v>2.98</v>
      </c>
      <c r="F5" s="406">
        <f>+'Maj Techno Summ'!G27</f>
        <v>2.850000000000001</v>
      </c>
      <c r="G5" s="5596">
        <f>+'Maj Techno Summ'!H27</f>
        <v>2.97</v>
      </c>
      <c r="H5" s="5597">
        <f>+'Maj Techno Summ'!I27</f>
        <v>2.850000000000001</v>
      </c>
      <c r="I5" s="5597">
        <f>+'Maj Techno Summ'!J27</f>
        <v>2.9746662068530263</v>
      </c>
      <c r="J5" s="5596">
        <f>+'Maj Techno Summ'!K27</f>
        <v>2.850000000000001</v>
      </c>
      <c r="K5" s="5596">
        <f>+'Maj Techno Summ'!L27</f>
        <v>3.27</v>
      </c>
      <c r="L5" s="5598">
        <f>+'Maj Techno Summ'!M27</f>
        <v>2.850000000000001</v>
      </c>
      <c r="M5" s="5598">
        <f>+'Maj Techno Summ'!N27</f>
        <v>3.0471066280851988</v>
      </c>
      <c r="N5" s="5596">
        <f>+'Maj Techno Summ'!O27</f>
        <v>2.850000000000001</v>
      </c>
      <c r="O5" s="5596">
        <f>+'Maj Techno Summ'!P27</f>
        <v>2.98</v>
      </c>
      <c r="P5" s="5597">
        <f>+'Maj Techno Summ'!Q27</f>
        <v>2.850000000000001</v>
      </c>
      <c r="Q5" s="5597">
        <f>+'Maj Techno Summ'!R27</f>
        <v>3.0279697820905684</v>
      </c>
      <c r="R5" s="5596">
        <f>+'Maj Techno Summ'!S27</f>
        <v>2.850000000000001</v>
      </c>
      <c r="S5" s="5596">
        <f>+'Maj Techno Summ'!T27</f>
        <v>2.93</v>
      </c>
      <c r="T5" s="5597">
        <f>+'Maj Techno Summ'!U27</f>
        <v>2.850000000000001</v>
      </c>
      <c r="U5" s="5597">
        <f>+'Maj Techno Summ'!V27</f>
        <v>3.0064476594517195</v>
      </c>
      <c r="V5" s="5596">
        <f>+'Maj Techno Summ'!W27</f>
        <v>2.850000000000001</v>
      </c>
      <c r="W5" s="5596">
        <f>+'Maj Techno Summ'!X27</f>
        <v>2.93</v>
      </c>
      <c r="X5" s="5598">
        <f>+'Maj Techno Summ'!Y27</f>
        <v>2.850000000000001</v>
      </c>
      <c r="Y5" s="5598">
        <f>+'Maj Techno Summ'!Z27</f>
        <v>2.9468158135892928</v>
      </c>
      <c r="Z5" s="5599">
        <f>+'Maj Techno Summ'!AA27</f>
        <v>2.850000000000001</v>
      </c>
      <c r="AA5" s="5599">
        <f>+'Maj Techno Summ'!AB27</f>
        <v>2.9926904880846221</v>
      </c>
      <c r="AB5" s="5596">
        <f>+'Maj Techno Summ'!AC27</f>
        <v>2.850000000000001</v>
      </c>
      <c r="AC5" s="5596">
        <f>+'Maj Techno Summ'!AD27</f>
        <v>2.99</v>
      </c>
      <c r="AD5" s="5597">
        <f>+'Maj Techno Summ'!AE27</f>
        <v>2.850000000000001</v>
      </c>
      <c r="AE5" s="5597">
        <f>+'Maj Techno Summ'!AF27</f>
        <v>2.9922939737965772</v>
      </c>
      <c r="AF5" s="5596">
        <f>+'Maj Techno Summ'!AG27</f>
        <v>2.850000000000001</v>
      </c>
      <c r="AG5" s="5596">
        <f>+'Maj Techno Summ'!AH27</f>
        <v>3.19</v>
      </c>
      <c r="AH5" s="5597">
        <f>+'Maj Techno Summ'!AI27</f>
        <v>2.850000000000001</v>
      </c>
      <c r="AI5" s="5600">
        <f>+'Maj Techno Summ'!AJ27</f>
        <v>2.9933293339114679</v>
      </c>
      <c r="AJ5" s="5596">
        <f>+'Maj Techno Summ'!AK27</f>
        <v>2.850000000000001</v>
      </c>
      <c r="AK5" s="5596">
        <f>+'Maj Techno Summ'!AL27</f>
        <v>2.87</v>
      </c>
      <c r="AL5" s="3223">
        <f>+'Maj Techno Summ'!AM27</f>
        <v>2.850000000000001</v>
      </c>
      <c r="AM5" s="3223">
        <f>+'Maj Techno Summ'!AN27</f>
        <v>2.9327861755730611</v>
      </c>
      <c r="AN5" s="3222">
        <f>+'Maj Techno Summ'!AO27</f>
        <v>2.850000000000001</v>
      </c>
      <c r="AO5" s="3222">
        <f>+'Maj Techno Summ'!AP27</f>
        <v>2.9767743089302683</v>
      </c>
      <c r="AP5" s="5596">
        <f>+'Maj Techno Summ'!AQ27</f>
        <v>2.850000000000001</v>
      </c>
      <c r="AQ5" s="5596">
        <f>+'Maj Techno Summ'!AR27</f>
        <v>2.87</v>
      </c>
      <c r="AR5" s="3222">
        <f>+'Maj Techno Summ'!AS27</f>
        <v>2.850000000000001</v>
      </c>
      <c r="AS5" s="3222">
        <f>+'Maj Techno Summ'!AT27</f>
        <v>2.9636138562029948</v>
      </c>
      <c r="AT5" s="5596">
        <f>+'Maj Techno Summ'!AU27</f>
        <v>2.850000000000001</v>
      </c>
      <c r="AU5" s="5596">
        <f>+'Maj Techno Summ'!AV27</f>
        <v>2.86</v>
      </c>
      <c r="AV5" s="3222">
        <f>+'Maj Techno Summ'!AW27</f>
        <v>2.850000000000001</v>
      </c>
      <c r="AW5" s="3222">
        <f>+'Maj Techno Summ'!AX27</f>
        <v>2.953206404083847</v>
      </c>
      <c r="AX5" s="5596">
        <f>+'Maj Techno Summ'!AY27</f>
        <v>2.850000000000001</v>
      </c>
      <c r="AY5" s="5596">
        <f>+'Maj Techno Summ'!AZ27</f>
        <v>2.88</v>
      </c>
      <c r="AZ5" s="3223">
        <f>+'Maj Techno Summ'!BA27</f>
        <v>2.850000000000001</v>
      </c>
      <c r="BA5" s="3223">
        <f>+'Maj Techno Summ'!BB27</f>
        <v>2.8702899280969336</v>
      </c>
      <c r="BB5" s="3224">
        <f>+'Maj Techno Summ'!BC27</f>
        <v>2.850000000000001</v>
      </c>
      <c r="BC5" s="3224">
        <f>+'Maj Techno Summ'!BD27</f>
        <v>2.8949703436971861</v>
      </c>
      <c r="BD5" s="3222">
        <f>+'Maj Techno Summ'!BE27</f>
        <v>2.850000000000001</v>
      </c>
      <c r="BE5" s="3222">
        <f>+'Maj Techno Summ'!BF27</f>
        <v>2.9459663709943329</v>
      </c>
      <c r="BF5" s="3109"/>
      <c r="BH5" s="1222"/>
      <c r="BI5" s="1222"/>
      <c r="BJ5" s="1222"/>
      <c r="BO5" s="1222"/>
      <c r="BP5" s="1222"/>
    </row>
    <row r="6" spans="1:98" ht="15.75" x14ac:dyDescent="0.25">
      <c r="B6" s="1715" t="s">
        <v>368</v>
      </c>
      <c r="C6" s="5585" t="s">
        <v>1167</v>
      </c>
      <c r="D6" s="1000">
        <f>+'Maj Techno Summ'!E28</f>
        <v>2.2695881506742244</v>
      </c>
      <c r="E6" s="5601">
        <f>+'Maj Techno Summ'!F28</f>
        <v>2.2999999999999998</v>
      </c>
      <c r="F6" s="1000">
        <f>+'Maj Techno Summ'!G28</f>
        <v>2.2695881506742244</v>
      </c>
      <c r="G6" s="5601">
        <f>+'Maj Techno Summ'!H28</f>
        <v>2.2909999999999999</v>
      </c>
      <c r="H6" s="5597">
        <f>+'Maj Techno Summ'!I28</f>
        <v>2.2695881506742244</v>
      </c>
      <c r="I6" s="5597">
        <f>+'Maj Techno Summ'!J28</f>
        <v>2.2951995861677235</v>
      </c>
      <c r="J6" s="5601">
        <f>+'Maj Techno Summ'!K28</f>
        <v>2.2695881506742244</v>
      </c>
      <c r="K6" s="5601">
        <f>+'Maj Techno Summ'!L28</f>
        <v>2.5910000000000002</v>
      </c>
      <c r="L6" s="5598">
        <f>+'Maj Techno Summ'!M28</f>
        <v>2.2695881506742244</v>
      </c>
      <c r="M6" s="5598">
        <f>+'Maj Techno Summ'!N28</f>
        <v>2.3677544616201152</v>
      </c>
      <c r="N6" s="5601">
        <f>+'Maj Techno Summ'!O28</f>
        <v>2.2695881506742244</v>
      </c>
      <c r="O6" s="5601">
        <f>+'Maj Techno Summ'!P28</f>
        <v>2.36</v>
      </c>
      <c r="P6" s="5597">
        <f>+'Maj Techno Summ'!Q28</f>
        <v>2.2695881506742244</v>
      </c>
      <c r="Q6" s="5597">
        <f>+'Maj Techno Summ'!R28</f>
        <v>2.3655431161535092</v>
      </c>
      <c r="R6" s="5601">
        <f>+'Maj Techno Summ'!S28</f>
        <v>2.2695881506742244</v>
      </c>
      <c r="S6" s="5601">
        <f>+'Maj Techno Summ'!T28</f>
        <v>2.41</v>
      </c>
      <c r="T6" s="5597">
        <f>+'Maj Techno Summ'!U28</f>
        <v>2.2695881506742244</v>
      </c>
      <c r="U6" s="5597">
        <f>+'Maj Techno Summ'!V28</f>
        <v>2.3753094592632724</v>
      </c>
      <c r="V6" s="5601">
        <f>+'Maj Techno Summ'!W28</f>
        <v>2.2695881506742244</v>
      </c>
      <c r="W6" s="5601">
        <f>+'Maj Techno Summ'!X28</f>
        <v>2.33</v>
      </c>
      <c r="X6" s="5598">
        <f>+'Maj Techno Summ'!Y28</f>
        <v>2.2695881506742244</v>
      </c>
      <c r="Y6" s="5598">
        <f>+'Maj Techno Summ'!Z28</f>
        <v>2.3666510636039919</v>
      </c>
      <c r="Z6" s="5599">
        <f>+'Maj Techno Summ'!AA28</f>
        <v>2.2695881506742244</v>
      </c>
      <c r="AA6" s="5599">
        <f>+'Maj Techno Summ'!AB28</f>
        <v>2.3771557760752473</v>
      </c>
      <c r="AB6" s="5601">
        <f>+'Maj Techno Summ'!AC28</f>
        <v>2.2695881506742244</v>
      </c>
      <c r="AC6" s="5601">
        <f>+'Maj Techno Summ'!AD28</f>
        <v>2.36</v>
      </c>
      <c r="AD6" s="5597">
        <f>+'Maj Techno Summ'!AE28</f>
        <v>2.2695881506742244</v>
      </c>
      <c r="AE6" s="5597">
        <f>+'Maj Techno Summ'!AF28</f>
        <v>2.3746274205790017</v>
      </c>
      <c r="AF6" s="5601">
        <f>+'Maj Techno Summ'!AG28</f>
        <v>2.2695881506742244</v>
      </c>
      <c r="AG6" s="5601">
        <f>+'Maj Techno Summ'!AH28</f>
        <v>0</v>
      </c>
      <c r="AH6" s="5597">
        <f>+'Maj Techno Summ'!AI28</f>
        <v>2.2695881506742244</v>
      </c>
      <c r="AI6" s="5600">
        <f>+'Maj Techno Summ'!AJ28</f>
        <v>2.4500000000000002</v>
      </c>
      <c r="AJ6" s="5601">
        <f>+'Maj Techno Summ'!AK28</f>
        <v>2.2695881506742244</v>
      </c>
      <c r="AK6" s="5601">
        <f>+'Maj Techno Summ'!AL28</f>
        <v>2.33</v>
      </c>
      <c r="AL6" s="3223">
        <f>+'Maj Techno Summ'!AM28</f>
        <v>2.2695881506742244</v>
      </c>
      <c r="AM6" s="3226">
        <f>+'Maj Techno Summ'!AN28</f>
        <v>2.3045713253462883</v>
      </c>
      <c r="AN6" s="3222">
        <f>+'Maj Techno Summ'!AO28</f>
        <v>2.2695881506742244</v>
      </c>
      <c r="AO6" s="3222">
        <f>+'Maj Techno Summ'!AP28</f>
        <v>2.399891885776583</v>
      </c>
      <c r="AP6" s="5601">
        <f>+'Maj Techno Summ'!AQ28</f>
        <v>2.2695881506742244</v>
      </c>
      <c r="AQ6" s="5601">
        <f>+'Maj Techno Summ'!AR28</f>
        <v>2.29</v>
      </c>
      <c r="AR6" s="3222">
        <f>+'Maj Techno Summ'!AS28</f>
        <v>2.2695881506742244</v>
      </c>
      <c r="AS6" s="3227">
        <f>+'Maj Techno Summ'!AT28</f>
        <v>2.3763471765449067</v>
      </c>
      <c r="AT6" s="5601">
        <f>+'Maj Techno Summ'!AU28</f>
        <v>2.2695881506742244</v>
      </c>
      <c r="AU6" s="5601">
        <f>+'Maj Techno Summ'!AV28</f>
        <v>2.29</v>
      </c>
      <c r="AV6" s="3222">
        <f>+'Maj Techno Summ'!AW28</f>
        <v>2.2695881506742244</v>
      </c>
      <c r="AW6" s="3227">
        <f>+'Maj Techno Summ'!AX28</f>
        <v>2.3676740691204121</v>
      </c>
      <c r="AX6" s="5601">
        <f>+'Maj Techno Summ'!AY28</f>
        <v>2.2695881506742244</v>
      </c>
      <c r="AY6" s="5601">
        <f>+'Maj Techno Summ'!AZ28</f>
        <v>2.29</v>
      </c>
      <c r="AZ6" s="3226">
        <f>+'Maj Techno Summ'!BA28</f>
        <v>2.2695881506742244</v>
      </c>
      <c r="BA6" s="3226">
        <f>+'Maj Techno Summ'!BB28</f>
        <v>2.29</v>
      </c>
      <c r="BB6" s="3228">
        <f>+'Maj Techno Summ'!BC28</f>
        <v>2.2695881506742244</v>
      </c>
      <c r="BC6" s="3228">
        <f>+'Maj Techno Summ'!BD28</f>
        <v>2.2957543673406993</v>
      </c>
      <c r="BD6" s="3227">
        <f>+'Maj Techno Summ'!BE28</f>
        <v>2.2695881506742244</v>
      </c>
      <c r="BE6" s="3227">
        <f>+'Maj Techno Summ'!BF28</f>
        <v>2.3699921888577928</v>
      </c>
      <c r="BF6" s="3109"/>
      <c r="BH6" s="1222"/>
      <c r="BI6" s="1222"/>
      <c r="BJ6" s="1222"/>
      <c r="BO6" s="1222"/>
      <c r="BP6" s="1222"/>
    </row>
    <row r="7" spans="1:98" ht="15.75" x14ac:dyDescent="0.25">
      <c r="B7" s="1715" t="s">
        <v>422</v>
      </c>
      <c r="C7" s="5585" t="s">
        <v>532</v>
      </c>
      <c r="D7" s="406">
        <f>+'Maj Techno Summ'!E29</f>
        <v>0.5</v>
      </c>
      <c r="E7" s="5596">
        <f>+'Maj Techno Summ'!F29</f>
        <v>0.5</v>
      </c>
      <c r="F7" s="406">
        <f>+'Maj Techno Summ'!G29</f>
        <v>0.5</v>
      </c>
      <c r="G7" s="5596">
        <f>+'Maj Techno Summ'!H29</f>
        <v>0.49199999999999999</v>
      </c>
      <c r="H7" s="5597">
        <f>+'Maj Techno Summ'!I29</f>
        <v>0.5</v>
      </c>
      <c r="I7" s="5597">
        <f>+'Maj Techno Summ'!J29</f>
        <v>0.49573296548242118</v>
      </c>
      <c r="J7" s="5596">
        <f>+'Maj Techno Summ'!K29</f>
        <v>0.5</v>
      </c>
      <c r="K7" s="5596">
        <f>+'Maj Techno Summ'!L29</f>
        <v>0.57999999999999996</v>
      </c>
      <c r="L7" s="5598">
        <f>+'Maj Techno Summ'!M29</f>
        <v>0.5</v>
      </c>
      <c r="M7" s="5598">
        <f>+'Maj Techno Summ'!N29</f>
        <v>0.51640225432808196</v>
      </c>
      <c r="N7" s="5596">
        <f>+'Maj Techno Summ'!O29</f>
        <v>0.5</v>
      </c>
      <c r="O7" s="5596">
        <f>+'Maj Techno Summ'!P29</f>
        <v>0.52</v>
      </c>
      <c r="P7" s="5597">
        <f>+'Maj Techno Summ'!Q29</f>
        <v>0.5</v>
      </c>
      <c r="Q7" s="5597">
        <f>+'Maj Techno Summ'!R29</f>
        <v>0.51742822608103511</v>
      </c>
      <c r="R7" s="5596">
        <f>+'Maj Techno Summ'!S29</f>
        <v>0.5</v>
      </c>
      <c r="S7" s="5596">
        <f>+'Maj Techno Summ'!T29</f>
        <v>0.5</v>
      </c>
      <c r="T7" s="5597">
        <f>+'Maj Techno Summ'!U29</f>
        <v>0.5</v>
      </c>
      <c r="U7" s="5597">
        <f>+'Maj Techno Summ'!V29</f>
        <v>0.51359957186654615</v>
      </c>
      <c r="V7" s="5596">
        <f>+'Maj Techno Summ'!W29</f>
        <v>0.5</v>
      </c>
      <c r="W7" s="5596">
        <f>+'Maj Techno Summ'!X29</f>
        <v>0.51</v>
      </c>
      <c r="X7" s="5598">
        <f>+'Maj Techno Summ'!Y29</f>
        <v>0.5</v>
      </c>
      <c r="Y7" s="5598">
        <f>+'Maj Techno Summ'!Z29</f>
        <v>0.51004296578655639</v>
      </c>
      <c r="Z7" s="5599">
        <f>+'Maj Techno Summ'!AA29</f>
        <v>0.5</v>
      </c>
      <c r="AA7" s="5599">
        <f>+'Maj Techno Summ'!AB29</f>
        <v>0.51295180936640661</v>
      </c>
      <c r="AB7" s="5596">
        <f>+'Maj Techno Summ'!AC29</f>
        <v>0.5</v>
      </c>
      <c r="AC7" s="5596">
        <f>+'Maj Techno Summ'!AD29</f>
        <v>0.5</v>
      </c>
      <c r="AD7" s="5597">
        <f>+'Maj Techno Summ'!AE29</f>
        <v>0.5</v>
      </c>
      <c r="AE7" s="5597">
        <f>+'Maj Techno Summ'!AF29</f>
        <v>0.51104301909925398</v>
      </c>
      <c r="AF7" s="5596">
        <f>+'Maj Techno Summ'!AG29</f>
        <v>0.5</v>
      </c>
      <c r="AG7" s="5596">
        <f>+'Maj Techno Summ'!AH29</f>
        <v>0</v>
      </c>
      <c r="AH7" s="5597">
        <f>+'Maj Techno Summ'!AI29</f>
        <v>0.5</v>
      </c>
      <c r="AI7" s="5600">
        <f>+'Maj Techno Summ'!AJ29</f>
        <v>0.54</v>
      </c>
      <c r="AJ7" s="5596">
        <f>+'Maj Techno Summ'!AK29</f>
        <v>0.5</v>
      </c>
      <c r="AK7" s="5596">
        <f>+'Maj Techno Summ'!AL29</f>
        <v>0.49</v>
      </c>
      <c r="AL7" s="3223">
        <f>+'Maj Techno Summ'!AM29</f>
        <v>0.5</v>
      </c>
      <c r="AM7" s="3223">
        <f>+'Maj Techno Summ'!AN29</f>
        <v>0.48641557151244186</v>
      </c>
      <c r="AN7" s="3222">
        <f>+'Maj Techno Summ'!AO29</f>
        <v>0.5</v>
      </c>
      <c r="AO7" s="3222">
        <f>+'Maj Techno Summ'!AP29</f>
        <v>0.52328828574024266</v>
      </c>
      <c r="AP7" s="5596">
        <f>+'Maj Techno Summ'!AQ29</f>
        <v>0.5</v>
      </c>
      <c r="AQ7" s="5596">
        <f>+'Maj Techno Summ'!AR29</f>
        <v>0.46</v>
      </c>
      <c r="AR7" s="3222">
        <f>+'Maj Techno Summ'!AS29</f>
        <v>0.5</v>
      </c>
      <c r="AS7" s="3222">
        <f>+'Maj Techno Summ'!AT29</f>
        <v>0.51548769680626438</v>
      </c>
      <c r="AT7" s="5596">
        <f>+'Maj Techno Summ'!AU29</f>
        <v>0.5</v>
      </c>
      <c r="AU7" s="5596">
        <f>+'Maj Techno Summ'!AV29</f>
        <v>0.44</v>
      </c>
      <c r="AV7" s="3222">
        <f>+'Maj Techno Summ'!AW29</f>
        <v>0.5</v>
      </c>
      <c r="AW7" s="3222">
        <f>+'Maj Techno Summ'!AX29</f>
        <v>0.50790536545709863</v>
      </c>
      <c r="AX7" s="5596">
        <f>+'Maj Techno Summ'!AY29</f>
        <v>0.5</v>
      </c>
      <c r="AY7" s="5596">
        <f>+'Maj Techno Summ'!AZ29</f>
        <v>0.49</v>
      </c>
      <c r="AZ7" s="3223">
        <f>+'Maj Techno Summ'!BA29</f>
        <v>0.5</v>
      </c>
      <c r="BA7" s="3223">
        <f>+'Maj Techno Summ'!BB29</f>
        <v>0.46399819224771821</v>
      </c>
      <c r="BB7" s="3224">
        <f>+'Maj Techno Summ'!BC29</f>
        <v>0.5</v>
      </c>
      <c r="BC7" s="3224">
        <f>+'Maj Techno Summ'!BD29</f>
        <v>0.47285104756728297</v>
      </c>
      <c r="BD7" s="3222">
        <f>+'Maj Techno Summ'!BE29</f>
        <v>0.5</v>
      </c>
      <c r="BE7" s="3222">
        <f>+'Maj Techno Summ'!BF29</f>
        <v>0.4961345444474945</v>
      </c>
      <c r="BF7" s="3109"/>
      <c r="BH7" s="1222"/>
      <c r="BI7" s="1222"/>
      <c r="BJ7" s="1222"/>
      <c r="BO7" s="1222"/>
      <c r="BP7" s="1222"/>
      <c r="BR7" s="3218"/>
      <c r="BS7" s="3218"/>
      <c r="BT7" s="3218"/>
      <c r="BU7" s="3218"/>
      <c r="BV7" s="3218"/>
      <c r="BW7" s="3218"/>
      <c r="BX7" s="3218"/>
      <c r="BY7" s="3218"/>
      <c r="BZ7" s="3218"/>
      <c r="CA7" s="3218"/>
      <c r="CB7" s="3218"/>
      <c r="CC7" s="3218"/>
      <c r="CD7" s="3218"/>
      <c r="CE7" s="3218"/>
      <c r="CF7" s="3218"/>
      <c r="CG7" s="3218"/>
      <c r="CH7" s="3218"/>
      <c r="CI7" s="3218"/>
      <c r="CJ7" s="3218"/>
      <c r="CK7" s="3218"/>
      <c r="CL7" s="3218"/>
      <c r="CM7" s="3218"/>
      <c r="CN7" s="3218"/>
      <c r="CO7" s="3218"/>
      <c r="CP7" s="3218"/>
      <c r="CQ7" s="3218"/>
      <c r="CR7" s="3218"/>
      <c r="CS7" s="3218"/>
      <c r="CT7" s="3218"/>
    </row>
    <row r="8" spans="1:98" ht="18.75" customHeight="1" x14ac:dyDescent="0.25">
      <c r="B8" s="1715" t="s">
        <v>602</v>
      </c>
      <c r="C8" s="5585" t="s">
        <v>354</v>
      </c>
      <c r="D8" s="5564">
        <f>+'B-FCE'!E18</f>
        <v>94248</v>
      </c>
      <c r="E8" s="5448">
        <f>+'B-FCE'!F18</f>
        <v>82292.874200000006</v>
      </c>
      <c r="F8" s="7224">
        <f>+'B-FCE'!G18</f>
        <v>97240</v>
      </c>
      <c r="G8" s="5448">
        <f>+'B-FCE'!H18</f>
        <v>88384.934200000003</v>
      </c>
      <c r="H8" s="5447">
        <f>+'B-FCE'!I18</f>
        <v>191488</v>
      </c>
      <c r="I8" s="5447">
        <f>+'B-FCE'!J18</f>
        <v>170677.80840000001</v>
      </c>
      <c r="J8" s="5602">
        <f>+'B-FCE'!K18</f>
        <v>56620</v>
      </c>
      <c r="K8" s="5448">
        <f>+'B-FCE'!L18</f>
        <v>72265.20610000001</v>
      </c>
      <c r="L8" s="5582">
        <f>+'B-FCE'!M18</f>
        <v>248108</v>
      </c>
      <c r="M8" s="5582">
        <f>+'B-FCE'!N18</f>
        <v>242943.01450000005</v>
      </c>
      <c r="N8" s="5602">
        <f>+'B-FCE'!O18</f>
        <v>28120</v>
      </c>
      <c r="O8" s="5448">
        <f>+'B-FCE'!P18</f>
        <v>97820.280700000003</v>
      </c>
      <c r="P8" s="5447">
        <f>+'B-FCE'!Q18</f>
        <v>276228</v>
      </c>
      <c r="Q8" s="5447">
        <f>+'B-FCE'!R18</f>
        <v>340763.29520000005</v>
      </c>
      <c r="R8" s="5602">
        <f>+'B-FCE'!S18</f>
        <v>91200</v>
      </c>
      <c r="S8" s="5448">
        <f>+'B-FCE'!T18</f>
        <v>96845.807700000005</v>
      </c>
      <c r="T8" s="5447">
        <f>+'B-FCE'!U18</f>
        <v>367428</v>
      </c>
      <c r="U8" s="5447">
        <f>+'B-FCE'!V18</f>
        <v>437609.10290000006</v>
      </c>
      <c r="V8" s="5602">
        <f>+'B-FCE'!W18</f>
        <v>88160</v>
      </c>
      <c r="W8" s="5448">
        <f>+'B-FCE'!X18</f>
        <v>91964.911699999997</v>
      </c>
      <c r="X8" s="5582">
        <f>+'B-FCE'!Y18</f>
        <v>207480</v>
      </c>
      <c r="Y8" s="5582">
        <f>+'B-FCE'!Z18</f>
        <v>286631.0001</v>
      </c>
      <c r="Z8" s="5583">
        <f>+'B-FCE'!AA18</f>
        <v>455588</v>
      </c>
      <c r="AA8" s="5583">
        <f>+'B-FCE'!AB18</f>
        <v>529574.01460000011</v>
      </c>
      <c r="AB8" s="5602">
        <f>+'B-FCE'!AC18</f>
        <v>95000</v>
      </c>
      <c r="AC8" s="5448">
        <f>+'B-FCE'!AD18</f>
        <v>89395.797399999996</v>
      </c>
      <c r="AD8" s="5447">
        <f>+'B-FCE'!AE18</f>
        <v>550588</v>
      </c>
      <c r="AE8" s="5447">
        <f>+'B-FCE'!AF18</f>
        <v>618969.81200000015</v>
      </c>
      <c r="AF8" s="5602">
        <f>+'B-FCE'!AG18</f>
        <v>91960</v>
      </c>
      <c r="AG8" s="5448">
        <f>+'B-FCE'!AH18</f>
        <v>3506.2129999999997</v>
      </c>
      <c r="AH8" s="5447">
        <f>+'B-FCE'!AI18</f>
        <v>642548</v>
      </c>
      <c r="AI8" s="1184">
        <f>+'B-FCE'!AJ18</f>
        <v>622476.02500000014</v>
      </c>
      <c r="AJ8" s="5602">
        <f>+'B-FCE'!AK18</f>
        <v>95000</v>
      </c>
      <c r="AK8" s="5448">
        <f>+'B-FCE'!AL18</f>
        <v>100232</v>
      </c>
      <c r="AL8" s="3135">
        <f>+'B-FCE'!AM18</f>
        <v>281960</v>
      </c>
      <c r="AM8" s="3135">
        <f>+'B-FCE'!AN18</f>
        <v>193134.0104</v>
      </c>
      <c r="AN8" s="3145">
        <f>+'B-FCE'!AO18</f>
        <v>737548</v>
      </c>
      <c r="AO8" s="3145">
        <f>+'B-FCE'!AP18</f>
        <v>722708.02500000014</v>
      </c>
      <c r="AP8" s="5602">
        <f>+'B-FCE'!AQ18</f>
        <v>95000</v>
      </c>
      <c r="AQ8" s="5448">
        <f>+'B-FCE'!AR18</f>
        <v>106187.04370000001</v>
      </c>
      <c r="AR8" s="3145">
        <f>+'B-FCE'!AS18</f>
        <v>832548</v>
      </c>
      <c r="AS8" s="3145">
        <f>+'B-FCE'!AT18</f>
        <v>828895.06870000018</v>
      </c>
      <c r="AT8" s="5602">
        <f>+'B-FCE'!AU18</f>
        <v>85500</v>
      </c>
      <c r="AU8" s="5448">
        <f>+'B-FCE'!AV18</f>
        <v>87019.843199999988</v>
      </c>
      <c r="AV8" s="6323">
        <f>+'B-FCE'!AW18</f>
        <v>918048</v>
      </c>
      <c r="AW8" s="6323">
        <f>+'B-FCE'!AX18</f>
        <v>915914.91190000018</v>
      </c>
      <c r="AX8" s="5602">
        <f>+'B-FCE'!AY18</f>
        <v>95000</v>
      </c>
      <c r="AY8" s="5448">
        <f>+'B-FCE'!AZ18</f>
        <v>102456.46079999999</v>
      </c>
      <c r="AZ8" s="3135">
        <f>+'B-FCE'!BA18</f>
        <v>275500</v>
      </c>
      <c r="BA8" s="3135">
        <f>+'B-FCE'!BB18</f>
        <v>295663.34769999998</v>
      </c>
      <c r="BB8" s="3136">
        <f>+'B-FCE'!BC18</f>
        <v>557460</v>
      </c>
      <c r="BC8" s="3136">
        <f>+'B-FCE'!BD18</f>
        <v>488797.35809999995</v>
      </c>
      <c r="BD8" s="3145">
        <f>+'B-FCE'!BE18</f>
        <v>1013048</v>
      </c>
      <c r="BE8" s="3145">
        <f>+'B-FCE'!BF18</f>
        <v>1018371.3727000002</v>
      </c>
      <c r="BF8" s="26"/>
      <c r="BG8" s="26"/>
      <c r="BH8" s="1222"/>
      <c r="BI8" s="1222"/>
      <c r="BJ8" s="1222"/>
      <c r="BM8" s="26"/>
      <c r="BN8" s="26"/>
      <c r="BO8" s="1222"/>
      <c r="BP8" s="1222"/>
      <c r="BR8" s="3218"/>
      <c r="BS8" s="3218"/>
      <c r="BT8" s="3218"/>
      <c r="BU8" s="3218"/>
      <c r="BV8" s="3218"/>
      <c r="BW8" s="3218"/>
      <c r="BX8" s="3218"/>
      <c r="BY8" s="3218"/>
      <c r="BZ8" s="3218"/>
      <c r="CA8" s="3218"/>
      <c r="CB8" s="3218"/>
      <c r="CC8" s="3218"/>
      <c r="CD8" s="3218"/>
      <c r="CE8" s="3218"/>
      <c r="CF8" s="3218"/>
      <c r="CG8" s="3218"/>
      <c r="CH8" s="3218"/>
      <c r="CI8" s="3218"/>
      <c r="CJ8" s="3218"/>
      <c r="CK8" s="3218"/>
      <c r="CL8" s="3218"/>
      <c r="CM8" s="3218"/>
      <c r="CN8" s="3218"/>
      <c r="CO8" s="3218"/>
      <c r="CP8" s="3218"/>
      <c r="CQ8" s="3218"/>
      <c r="CR8" s="3218"/>
      <c r="CS8" s="3218"/>
      <c r="CT8" s="3218"/>
    </row>
    <row r="9" spans="1:98" ht="15.75" x14ac:dyDescent="0.25">
      <c r="B9" s="1716" t="s">
        <v>605</v>
      </c>
      <c r="C9" s="5585" t="s">
        <v>354</v>
      </c>
      <c r="D9" s="5564">
        <f>+'Maj Production Summ'!E28</f>
        <v>92363.04</v>
      </c>
      <c r="E9" s="5602">
        <f>+'Maj Production Summ'!F28</f>
        <v>70955.830536000009</v>
      </c>
      <c r="F9" s="7224">
        <f>+'Maj Production Summ'!G28</f>
        <v>95295.2</v>
      </c>
      <c r="G9" s="5602">
        <f>+'Maj Production Summ'!H28</f>
        <v>75418.546496999988</v>
      </c>
      <c r="H9" s="5447">
        <f>+'Maj Production Summ'!I28</f>
        <v>187658.23999999999</v>
      </c>
      <c r="I9" s="5447">
        <f>+'Maj Production Summ'!J28</f>
        <v>146374.377033</v>
      </c>
      <c r="J9" s="5602">
        <f>+'Maj Production Summ'!K28</f>
        <v>55546.069546891456</v>
      </c>
      <c r="K9" s="5602">
        <f>+'Maj Production Summ'!L28</f>
        <v>55334.634923999991</v>
      </c>
      <c r="L9" s="5582">
        <f>+'Maj Production Summ'!M28</f>
        <v>243204.30954689145</v>
      </c>
      <c r="M9" s="5582">
        <f>+'Maj Production Summ'!N28</f>
        <v>201709.01195699998</v>
      </c>
      <c r="N9" s="5602">
        <f>+'Maj Production Summ'!O28</f>
        <v>27586.638566912534</v>
      </c>
      <c r="O9" s="5602">
        <f>+'Maj Production Summ'!P28</f>
        <v>84498.304945000011</v>
      </c>
      <c r="P9" s="5447">
        <f>+'Maj Production Summ'!Q28</f>
        <v>270790.94811380398</v>
      </c>
      <c r="Q9" s="5447">
        <f>+'Maj Production Summ'!R28</f>
        <v>286207.31690199999</v>
      </c>
      <c r="R9" s="5602">
        <f>+'Maj Production Summ'!S28</f>
        <v>89470.179135932543</v>
      </c>
      <c r="S9" s="5602">
        <f>+'Maj Production Summ'!T28</f>
        <v>84615.103923000002</v>
      </c>
      <c r="T9" s="5447">
        <f>+'Maj Production Summ'!U28</f>
        <v>360261.12724973651</v>
      </c>
      <c r="U9" s="5447">
        <f>+'Maj Production Summ'!V28</f>
        <v>370822.42082499998</v>
      </c>
      <c r="V9" s="5602">
        <f>+'Maj Production Summ'!W28</f>
        <v>86487.839831401463</v>
      </c>
      <c r="W9" s="5602">
        <f>+'Maj Production Summ'!X28</f>
        <v>81116</v>
      </c>
      <c r="X9" s="5582">
        <f>+'Maj Production Summ'!Y28</f>
        <v>203544.65753424654</v>
      </c>
      <c r="Y9" s="5582">
        <f>+'Maj Production Summ'!Z28</f>
        <v>250229.40886800003</v>
      </c>
      <c r="Z9" s="5583">
        <f>+'Maj Production Summ'!AA28</f>
        <v>446748.96708113799</v>
      </c>
      <c r="AA9" s="5583">
        <f>+'Maj Production Summ'!AB28</f>
        <v>451938.42082500004</v>
      </c>
      <c r="AB9" s="5602">
        <f>+'Maj Production Summ'!AC28</f>
        <v>93198.103266596401</v>
      </c>
      <c r="AC9" s="5602">
        <f>+'Maj Production Summ'!AD28</f>
        <v>81673.877294999998</v>
      </c>
      <c r="AD9" s="5447">
        <f>+'Maj Production Summ'!AE28</f>
        <v>539947.07034773438</v>
      </c>
      <c r="AE9" s="5447">
        <f>+'Maj Production Summ'!AF28</f>
        <v>533612.29812000005</v>
      </c>
      <c r="AF9" s="5602">
        <f>+'Maj Production Summ'!AG28</f>
        <v>90215.763962065321</v>
      </c>
      <c r="AG9" s="5602">
        <f>+'Maj Production Summ'!AH28</f>
        <v>2328.2551100000001</v>
      </c>
      <c r="AH9" s="5447">
        <f>+'Maj Production Summ'!AI28</f>
        <v>630162.83430979971</v>
      </c>
      <c r="AI9" s="1184">
        <f>+'Maj Production Summ'!AJ28</f>
        <v>535940.55323000008</v>
      </c>
      <c r="AJ9" s="5602">
        <f>+'Maj Production Summ'!AK28</f>
        <v>93198.103266596401</v>
      </c>
      <c r="AK9" s="5602">
        <f>+'Maj Production Summ'!AL28</f>
        <v>92452.295552999989</v>
      </c>
      <c r="AL9" s="3135">
        <f>+'Maj Production Summ'!AM28</f>
        <v>276611.97049525811</v>
      </c>
      <c r="AM9" s="3135">
        <f>+'Maj Production Summ'!AN28</f>
        <v>176454.42795799999</v>
      </c>
      <c r="AN9" s="3145">
        <f>+'Maj Production Summ'!AO28</f>
        <v>723360.93757639616</v>
      </c>
      <c r="AO9" s="3145">
        <f>+'Maj Production Summ'!AP28</f>
        <v>628392.84878300002</v>
      </c>
      <c r="AP9" s="5602">
        <f>+'Maj Production Summ'!AQ28</f>
        <v>93198.103266596401</v>
      </c>
      <c r="AQ9" s="5602">
        <f>+'Maj Production Summ'!AR28</f>
        <v>94062.295636000024</v>
      </c>
      <c r="AR9" s="3145">
        <f>+'Maj Production Summ'!AS28</f>
        <v>816559.0408429926</v>
      </c>
      <c r="AS9" s="3145">
        <f>+'Maj Production Summ'!AT28</f>
        <v>722455.14441900002</v>
      </c>
      <c r="AT9" s="5602">
        <f>+'Maj Production Summ'!AU28</f>
        <v>83878.292939936771</v>
      </c>
      <c r="AU9" s="5602">
        <f>+'Maj Production Summ'!AV28</f>
        <v>80273.363262000028</v>
      </c>
      <c r="AV9" s="6323">
        <f>+'Maj Production Summ'!AW28</f>
        <v>900437.33378292935</v>
      </c>
      <c r="AW9" s="6323">
        <f>+'Maj Production Summ'!AX28</f>
        <v>802728.50768100005</v>
      </c>
      <c r="AX9" s="5602">
        <f>+'Maj Production Summ'!AY28</f>
        <v>93198.103266596401</v>
      </c>
      <c r="AY9" s="5602">
        <f>+'Maj Production Summ'!AZ28</f>
        <v>90266.533928000033</v>
      </c>
      <c r="AZ9" s="3135">
        <f>+'Maj Production Summ'!BA28</f>
        <v>270274.49947312957</v>
      </c>
      <c r="BA9" s="3135">
        <f>+'Maj Production Summ'!BB28</f>
        <v>264602.1928260001</v>
      </c>
      <c r="BB9" s="3136">
        <f>+'Maj Production Summ'!BC28</f>
        <v>546886.46996838762</v>
      </c>
      <c r="BC9" s="3136">
        <f>+'Maj Production Summ'!BD28</f>
        <v>441056.62078400009</v>
      </c>
      <c r="BD9" s="3145">
        <f>+'Maj Production Summ'!BE28</f>
        <v>993635.43704952579</v>
      </c>
      <c r="BE9" s="3145">
        <f>+'Maj Production Summ'!BF28</f>
        <v>892995.04160900007</v>
      </c>
      <c r="BF9" s="26"/>
      <c r="BG9" s="26"/>
      <c r="BH9" s="1222"/>
      <c r="BI9" s="1222"/>
      <c r="BJ9" s="1222"/>
      <c r="BM9" s="26"/>
      <c r="BN9" s="26"/>
      <c r="BO9" s="1222"/>
      <c r="BP9" s="1222"/>
      <c r="BQ9" s="3218"/>
      <c r="BR9" s="3218"/>
      <c r="BS9" s="3218"/>
      <c r="BT9" s="3218"/>
      <c r="BU9" s="3218"/>
      <c r="BV9" s="3218"/>
      <c r="BW9" s="3218"/>
      <c r="BX9" s="3218"/>
      <c r="BY9" s="3218"/>
      <c r="BZ9" s="3218"/>
      <c r="CA9" s="3218"/>
      <c r="CB9" s="3218"/>
      <c r="CC9" s="3218"/>
      <c r="CD9" s="3218"/>
      <c r="CE9" s="3218"/>
      <c r="CF9" s="3218"/>
      <c r="CG9" s="3218"/>
      <c r="CH9" s="3218"/>
      <c r="CI9" s="3218"/>
      <c r="CJ9" s="3218"/>
      <c r="CK9" s="3218"/>
      <c r="CL9" s="3218"/>
      <c r="CM9" s="3218"/>
      <c r="CN9" s="3218"/>
      <c r="CO9" s="3218"/>
      <c r="CP9" s="3218"/>
      <c r="CQ9" s="3218"/>
      <c r="CR9" s="3218"/>
      <c r="CS9" s="3218"/>
      <c r="CT9" s="3218"/>
    </row>
    <row r="10" spans="1:98" ht="15.75" x14ac:dyDescent="0.25">
      <c r="B10" s="1716" t="s">
        <v>607</v>
      </c>
      <c r="C10" s="5585" t="s">
        <v>354</v>
      </c>
      <c r="D10" s="5564">
        <v>0</v>
      </c>
      <c r="E10" s="5448">
        <f>+'Direct sales IPT details'!E113</f>
        <v>11652.96</v>
      </c>
      <c r="F10" s="7224">
        <v>0</v>
      </c>
      <c r="G10" s="5448">
        <f>+'Direct sales IPT details'!G113</f>
        <v>9682.7800000000043</v>
      </c>
      <c r="H10" s="5447">
        <f t="shared" ref="H10" si="0">+D10+F10</f>
        <v>0</v>
      </c>
      <c r="I10" s="5447">
        <f t="shared" ref="I10" si="1">+E10+G10</f>
        <v>21335.740000000005</v>
      </c>
      <c r="J10" s="5602">
        <v>0</v>
      </c>
      <c r="K10" s="5448">
        <f>+'Direct sales IPT details'!K113</f>
        <v>11007.460000000008</v>
      </c>
      <c r="L10" s="5582">
        <f t="shared" ref="L10:M12" si="2">+D10+F10+J10</f>
        <v>0</v>
      </c>
      <c r="M10" s="5582">
        <f t="shared" si="2"/>
        <v>32343.200000000012</v>
      </c>
      <c r="N10" s="5602">
        <v>0</v>
      </c>
      <c r="O10" s="5448">
        <f>+'Direct sales IPT details'!O113</f>
        <v>11463.319999999996</v>
      </c>
      <c r="P10" s="5447">
        <f t="shared" ref="P10:P12" si="3">+L10+N10</f>
        <v>0</v>
      </c>
      <c r="Q10" s="5447">
        <f t="shared" ref="Q10:Q12" si="4">+M10+O10</f>
        <v>43806.520000000004</v>
      </c>
      <c r="R10" s="5602">
        <v>0</v>
      </c>
      <c r="S10" s="5448">
        <f>+'Direct sales IPT details'!S113</f>
        <v>13526.68</v>
      </c>
      <c r="T10" s="5447">
        <f t="shared" ref="T10:T12" si="5">+P10+R10</f>
        <v>0</v>
      </c>
      <c r="U10" s="5447">
        <f t="shared" ref="U10:U12" si="6">+Q10+S10</f>
        <v>57333.200000000004</v>
      </c>
      <c r="V10" s="5602">
        <v>0</v>
      </c>
      <c r="W10" s="5448">
        <f>+'Direct sales IPT details'!W113</f>
        <v>18313.89</v>
      </c>
      <c r="X10" s="5582">
        <f t="shared" ref="X10" si="7">+P10+R10+V10</f>
        <v>0</v>
      </c>
      <c r="Y10" s="5582">
        <f>+O10+S10+W10</f>
        <v>43303.89</v>
      </c>
      <c r="Z10" s="5583">
        <f>+X10+L10</f>
        <v>0</v>
      </c>
      <c r="AA10" s="5583">
        <f>+Y10+M10</f>
        <v>75647.090000000011</v>
      </c>
      <c r="AB10" s="5602">
        <v>0</v>
      </c>
      <c r="AC10" s="5448">
        <f>+'Direct sales IPT details'!AC113</f>
        <v>5560.0000000000009</v>
      </c>
      <c r="AD10" s="5447">
        <f t="shared" ref="AD10:AD12" si="8">+Z10+AB10</f>
        <v>0</v>
      </c>
      <c r="AE10" s="5447">
        <f t="shared" ref="AE10:AE12" si="9">+AA10+AC10</f>
        <v>81207.090000000011</v>
      </c>
      <c r="AF10" s="5602">
        <v>0</v>
      </c>
      <c r="AG10" s="5448">
        <f>+'Direct sales IPT details'!AG113</f>
        <v>3077.3100000000004</v>
      </c>
      <c r="AH10" s="5447">
        <f t="shared" ref="AH10:AH12" si="10">+AD10+AF10</f>
        <v>0</v>
      </c>
      <c r="AI10" s="1184">
        <f t="shared" ref="AI10:AI12" si="11">+AE10+AG10</f>
        <v>84284.400000000009</v>
      </c>
      <c r="AJ10" s="5602">
        <v>0</v>
      </c>
      <c r="AK10" s="5448">
        <f>+'Direct sales IPT details'!AK113</f>
        <v>8040.71</v>
      </c>
      <c r="AL10" s="3135">
        <f t="shared" ref="AL10" si="12">+AD10+AF10+AJ10</f>
        <v>0</v>
      </c>
      <c r="AM10" s="3135">
        <f>+AC10+AG10+AK10</f>
        <v>16678.02</v>
      </c>
      <c r="AN10" s="3145">
        <f t="shared" ref="AN10:AN12" si="13">+AH10+AJ10</f>
        <v>0</v>
      </c>
      <c r="AO10" s="3145">
        <f t="shared" ref="AO10:AO12" si="14">+AI10+AK10</f>
        <v>92325.110000000015</v>
      </c>
      <c r="AP10" s="5602">
        <v>0</v>
      </c>
      <c r="AQ10" s="5448">
        <f>+'Direct sales IPT details'!AQ113</f>
        <v>16569.02</v>
      </c>
      <c r="AR10" s="3145">
        <f t="shared" ref="AR10:AR12" si="15">+AN10+AP10</f>
        <v>0</v>
      </c>
      <c r="AS10" s="3145">
        <f t="shared" ref="AS10:AS12" si="16">+AO10+AQ10</f>
        <v>108894.13000000002</v>
      </c>
      <c r="AT10" s="5602">
        <v>0</v>
      </c>
      <c r="AU10" s="5448">
        <f>+'Direct sales IPT details'!AU113</f>
        <v>9070.67</v>
      </c>
      <c r="AV10" s="6323">
        <f t="shared" ref="AV10:AV12" si="17">+AR10+AT10</f>
        <v>0</v>
      </c>
      <c r="AW10" s="6323">
        <f t="shared" ref="AW10:AW12" si="18">+AS10+AU10</f>
        <v>117964.80000000002</v>
      </c>
      <c r="AX10" s="5602">
        <v>0</v>
      </c>
      <c r="AY10" s="5448">
        <f>+'Direct sales IPT details'!AY113</f>
        <v>5679.02</v>
      </c>
      <c r="AZ10" s="3135">
        <f>+'Direct sales IPT details'!AZ113</f>
        <v>0</v>
      </c>
      <c r="BA10" s="3135">
        <f>+'Direct sales IPT details'!BA113</f>
        <v>31318.710000000003</v>
      </c>
      <c r="BB10" s="3136">
        <f>+'Direct sales IPT details'!BB113</f>
        <v>0</v>
      </c>
      <c r="BC10" s="3136">
        <f>+'Direct sales IPT details'!BC113</f>
        <v>47996.73</v>
      </c>
      <c r="BD10" s="3145">
        <f>+'Direct sales IPT details'!BD113</f>
        <v>0</v>
      </c>
      <c r="BE10" s="3145">
        <f>+'Direct sales IPT details'!BE113</f>
        <v>123643.82000000002</v>
      </c>
      <c r="BF10" s="26"/>
      <c r="BG10" s="26"/>
      <c r="BH10" s="1222"/>
      <c r="BI10" s="1222"/>
      <c r="BJ10" s="1222"/>
      <c r="BM10" s="26"/>
      <c r="BN10" s="26"/>
      <c r="BO10" s="1222"/>
      <c r="BP10" s="1222"/>
      <c r="BQ10" s="3218"/>
      <c r="BR10" s="3218"/>
      <c r="BS10" s="3218"/>
      <c r="BT10" s="3218"/>
      <c r="BU10" s="3218"/>
      <c r="BV10" s="3218"/>
      <c r="BW10" s="3218"/>
      <c r="BX10" s="3218"/>
      <c r="BY10" s="3218"/>
      <c r="BZ10" s="3218"/>
      <c r="CA10" s="3218"/>
      <c r="CB10" s="3218"/>
      <c r="CC10" s="3218"/>
      <c r="CD10" s="3218"/>
      <c r="CE10" s="3218"/>
      <c r="CF10" s="3218"/>
      <c r="CG10" s="3218"/>
      <c r="CH10" s="3218"/>
      <c r="CI10" s="3218"/>
      <c r="CJ10" s="3218"/>
      <c r="CK10" s="3218"/>
      <c r="CL10" s="3218"/>
      <c r="CM10" s="3218"/>
      <c r="CN10" s="3218"/>
      <c r="CO10" s="3218"/>
      <c r="CP10" s="3218"/>
      <c r="CQ10" s="3218"/>
      <c r="CR10" s="3218"/>
      <c r="CS10" s="3218"/>
      <c r="CT10" s="3218"/>
    </row>
    <row r="11" spans="1:98" ht="15.75" x14ac:dyDescent="0.25">
      <c r="B11" s="1716" t="s">
        <v>1207</v>
      </c>
      <c r="C11" s="5585" t="s">
        <v>354</v>
      </c>
      <c r="D11" s="5564">
        <f>+'Maj Production Summ'!E28</f>
        <v>92363.04</v>
      </c>
      <c r="E11" s="5602">
        <f>+'Direct sales IPT details'!E114</f>
        <v>82850.87</v>
      </c>
      <c r="F11" s="7224">
        <f>+'Maj Production Summ'!G28</f>
        <v>95295.2</v>
      </c>
      <c r="G11" s="5602">
        <f>+'Direct sales IPT details'!G114</f>
        <v>83444.700000000012</v>
      </c>
      <c r="H11" s="5447">
        <f t="shared" ref="H11:I12" si="19">+D11+F11</f>
        <v>187658.23999999999</v>
      </c>
      <c r="I11" s="5447">
        <f t="shared" si="19"/>
        <v>166295.57</v>
      </c>
      <c r="J11" s="5602">
        <f>+'Maj Production Summ'!K28</f>
        <v>55546.069546891456</v>
      </c>
      <c r="K11" s="5602">
        <f>+'Direct sales IPT details'!K114</f>
        <v>57226.849999999991</v>
      </c>
      <c r="L11" s="5582">
        <f t="shared" si="2"/>
        <v>243204.30954689145</v>
      </c>
      <c r="M11" s="5582">
        <f t="shared" si="2"/>
        <v>223522.41999999998</v>
      </c>
      <c r="N11" s="5602">
        <f>+'Maj Production Summ'!O28</f>
        <v>27586.638566912534</v>
      </c>
      <c r="O11" s="5602">
        <f>+'Direct sales IPT details'!O114</f>
        <v>90725.34</v>
      </c>
      <c r="P11" s="5447">
        <f t="shared" si="3"/>
        <v>270790.94811380398</v>
      </c>
      <c r="Q11" s="5447">
        <f t="shared" si="4"/>
        <v>314247.76</v>
      </c>
      <c r="R11" s="5602">
        <f>+'Maj Production Summ'!S28</f>
        <v>89470.179135932543</v>
      </c>
      <c r="S11" s="5602">
        <f>+'Direct sales IPT details'!S114</f>
        <v>81579.289999999994</v>
      </c>
      <c r="T11" s="5447">
        <f t="shared" si="5"/>
        <v>360261.12724973651</v>
      </c>
      <c r="U11" s="5447">
        <f t="shared" si="6"/>
        <v>395827.05</v>
      </c>
      <c r="V11" s="5602">
        <f>+'Maj Production Summ'!W28</f>
        <v>86487.839831401463</v>
      </c>
      <c r="W11" s="5602">
        <f>+'Direct sales IPT details'!W114</f>
        <v>95862.34</v>
      </c>
      <c r="X11" s="5582">
        <f>N11+R11+V11</f>
        <v>203544.65753424654</v>
      </c>
      <c r="Y11" s="5582">
        <f>+O11+S11+W11</f>
        <v>268166.96999999997</v>
      </c>
      <c r="Z11" s="5583">
        <f>+X11+L11</f>
        <v>446748.96708113799</v>
      </c>
      <c r="AA11" s="5583">
        <f>+Y11+M11</f>
        <v>491689.38999999996</v>
      </c>
      <c r="AB11" s="5602">
        <f>+'Maj Production Summ'!AC28</f>
        <v>93198.103266596401</v>
      </c>
      <c r="AC11" s="5602">
        <f>+'Direct sales IPT details'!AC114</f>
        <v>69744.739999999991</v>
      </c>
      <c r="AD11" s="5447">
        <f t="shared" si="8"/>
        <v>539947.07034773438</v>
      </c>
      <c r="AE11" s="5447">
        <f t="shared" si="9"/>
        <v>561434.12999999989</v>
      </c>
      <c r="AF11" s="5602">
        <f>+'Maj Production Summ'!AG28</f>
        <v>90215.763962065321</v>
      </c>
      <c r="AG11" s="5602">
        <f>+'Direct sales IPT details'!AG114</f>
        <v>27303.190000000002</v>
      </c>
      <c r="AH11" s="5447">
        <f t="shared" si="10"/>
        <v>630162.83430979971</v>
      </c>
      <c r="AI11" s="1184">
        <f t="shared" si="11"/>
        <v>588737.31999999983</v>
      </c>
      <c r="AJ11" s="5602">
        <f>+'Maj Production Summ'!AK28</f>
        <v>93198.103266596401</v>
      </c>
      <c r="AK11" s="5602">
        <f>+'Direct sales IPT details'!AK114</f>
        <v>61000.69</v>
      </c>
      <c r="AL11" s="3135">
        <f>AB11+AF11+AJ11</f>
        <v>276611.97049525811</v>
      </c>
      <c r="AM11" s="3135">
        <f>+AC11+AG11+AK11</f>
        <v>158048.62</v>
      </c>
      <c r="AN11" s="3145">
        <f t="shared" si="13"/>
        <v>723360.93757639616</v>
      </c>
      <c r="AO11" s="3145">
        <f t="shared" si="14"/>
        <v>649738.00999999978</v>
      </c>
      <c r="AP11" s="5602">
        <f>+'Maj Production Summ'!AQ28</f>
        <v>93198.103266596401</v>
      </c>
      <c r="AQ11" s="5602">
        <f>+'Direct sales IPT details'!AQ114</f>
        <v>97525.18</v>
      </c>
      <c r="AR11" s="3145">
        <f t="shared" si="15"/>
        <v>816559.0408429926</v>
      </c>
      <c r="AS11" s="3145">
        <f t="shared" si="16"/>
        <v>747263.18999999971</v>
      </c>
      <c r="AT11" s="5602">
        <f>+'Maj Production Summ'!AU28</f>
        <v>83878.292939936771</v>
      </c>
      <c r="AU11" s="5602">
        <f>+'Direct sales IPT details'!AU114</f>
        <v>85055.29</v>
      </c>
      <c r="AV11" s="6323">
        <f t="shared" si="17"/>
        <v>900437.33378292935</v>
      </c>
      <c r="AW11" s="6323">
        <f t="shared" si="18"/>
        <v>832318.47999999975</v>
      </c>
      <c r="AX11" s="5602">
        <f>+'Maj Production Summ'!AY28</f>
        <v>93198.103266596401</v>
      </c>
      <c r="AY11" s="5602">
        <f>+'Direct sales IPT details'!AY114</f>
        <v>72764.600000000006</v>
      </c>
      <c r="AZ11" s="3135">
        <f>AP11+AT11+AX11</f>
        <v>270274.49947312957</v>
      </c>
      <c r="BA11" s="3135">
        <f>+AQ11+AU11+AY11</f>
        <v>255345.06999999998</v>
      </c>
      <c r="BB11" s="3136">
        <f>+AZ11+AL11</f>
        <v>546886.46996838762</v>
      </c>
      <c r="BC11" s="3136">
        <f>+BA11+AM11</f>
        <v>413393.68999999994</v>
      </c>
      <c r="BD11" s="3145">
        <f t="shared" ref="BD11:BD12" si="20">+AV11+AX11</f>
        <v>993635.43704952579</v>
      </c>
      <c r="BE11" s="3145">
        <f t="shared" ref="BE11:BE12" si="21">+AW11+AY11</f>
        <v>905083.07999999973</v>
      </c>
      <c r="BF11" s="26"/>
      <c r="BG11" s="26"/>
      <c r="BH11" s="1222"/>
      <c r="BI11" s="1222"/>
      <c r="BJ11" s="1222"/>
      <c r="BM11" s="26"/>
      <c r="BN11" s="26"/>
      <c r="BO11" s="1222"/>
      <c r="BP11" s="1222"/>
      <c r="BQ11" s="3218"/>
      <c r="BR11" s="3218"/>
      <c r="BS11" s="3218"/>
      <c r="BT11" s="3218"/>
      <c r="BU11" s="3218"/>
      <c r="BV11" s="3218"/>
      <c r="BW11" s="3218"/>
      <c r="BX11" s="3218"/>
      <c r="BY11" s="3218"/>
      <c r="BZ11" s="3218"/>
      <c r="CA11" s="3218"/>
      <c r="CB11" s="3218"/>
      <c r="CC11" s="3218"/>
      <c r="CD11" s="3218"/>
      <c r="CE11" s="3218"/>
      <c r="CF11" s="3218"/>
      <c r="CG11" s="3218"/>
      <c r="CH11" s="3218"/>
      <c r="CI11" s="3218"/>
      <c r="CJ11" s="3218"/>
      <c r="CK11" s="3218"/>
      <c r="CL11" s="3218"/>
      <c r="CM11" s="3218"/>
      <c r="CN11" s="3218"/>
      <c r="CO11" s="3218"/>
      <c r="CP11" s="3218"/>
      <c r="CQ11" s="3218"/>
      <c r="CR11" s="3218"/>
      <c r="CS11" s="3218"/>
      <c r="CT11" s="3218"/>
    </row>
    <row r="12" spans="1:98" ht="15.75" x14ac:dyDescent="0.25">
      <c r="B12" s="1716" t="s">
        <v>606</v>
      </c>
      <c r="C12" s="5585" t="s">
        <v>354</v>
      </c>
      <c r="D12" s="1603">
        <f>SUM(D10:D11)</f>
        <v>92363.04</v>
      </c>
      <c r="E12" s="5448">
        <f>SUM(E10:E11)</f>
        <v>94503.829999999987</v>
      </c>
      <c r="F12" s="1603">
        <f>SUM(F10:F11)</f>
        <v>95295.2</v>
      </c>
      <c r="G12" s="5448">
        <f>SUM(G10:G11)</f>
        <v>93127.48000000001</v>
      </c>
      <c r="H12" s="5447">
        <f t="shared" si="19"/>
        <v>187658.23999999999</v>
      </c>
      <c r="I12" s="5447">
        <f t="shared" si="19"/>
        <v>187631.31</v>
      </c>
      <c r="J12" s="5448">
        <f>SUM(J10:J11)</f>
        <v>55546.069546891456</v>
      </c>
      <c r="K12" s="5448">
        <f>SUM(K10:K11)</f>
        <v>68234.31</v>
      </c>
      <c r="L12" s="5582">
        <f t="shared" si="2"/>
        <v>243204.30954689145</v>
      </c>
      <c r="M12" s="5582">
        <f t="shared" si="2"/>
        <v>255865.62</v>
      </c>
      <c r="N12" s="5448">
        <f>SUM(N10:N11)</f>
        <v>27586.638566912534</v>
      </c>
      <c r="O12" s="5448">
        <f>SUM(O10:O11)</f>
        <v>102188.65999999999</v>
      </c>
      <c r="P12" s="5447">
        <f t="shared" si="3"/>
        <v>270790.94811380398</v>
      </c>
      <c r="Q12" s="5447">
        <f t="shared" si="4"/>
        <v>358054.27999999997</v>
      </c>
      <c r="R12" s="5448">
        <f>SUM(R10:R11)</f>
        <v>89470.179135932543</v>
      </c>
      <c r="S12" s="5448">
        <f>SUM(S10:S11)</f>
        <v>95105.97</v>
      </c>
      <c r="T12" s="5447">
        <f t="shared" si="5"/>
        <v>360261.12724973651</v>
      </c>
      <c r="U12" s="5447">
        <f t="shared" si="6"/>
        <v>453160.25</v>
      </c>
      <c r="V12" s="5448">
        <f>SUM(V10:V11)</f>
        <v>86487.839831401463</v>
      </c>
      <c r="W12" s="5448">
        <f>SUM(W10:W11)</f>
        <v>114176.23</v>
      </c>
      <c r="X12" s="5582">
        <f>SUM(X10:X11)</f>
        <v>203544.65753424654</v>
      </c>
      <c r="Y12" s="5582">
        <f>+O12+S12+W12</f>
        <v>311470.86</v>
      </c>
      <c r="Z12" s="5583">
        <f t="shared" ref="Z12:AA12" si="22">SUM(Z10:Z11)</f>
        <v>446748.96708113799</v>
      </c>
      <c r="AA12" s="5583">
        <f t="shared" si="22"/>
        <v>567336.48</v>
      </c>
      <c r="AB12" s="5448">
        <f>SUM(AB10:AB11)</f>
        <v>93198.103266596401</v>
      </c>
      <c r="AC12" s="5448">
        <f>SUM(AC10:AC11)</f>
        <v>75304.739999999991</v>
      </c>
      <c r="AD12" s="5447">
        <f t="shared" si="8"/>
        <v>539947.07034773438</v>
      </c>
      <c r="AE12" s="5447">
        <f t="shared" si="9"/>
        <v>642641.22</v>
      </c>
      <c r="AF12" s="5448">
        <f>SUM(AF10:AF11)</f>
        <v>90215.763962065321</v>
      </c>
      <c r="AG12" s="5448">
        <f>SUM(AG10:AG11)</f>
        <v>30380.500000000004</v>
      </c>
      <c r="AH12" s="5447">
        <f t="shared" si="10"/>
        <v>630162.83430979971</v>
      </c>
      <c r="AI12" s="1184">
        <f t="shared" si="11"/>
        <v>673021.72</v>
      </c>
      <c r="AJ12" s="5448">
        <f>SUM(AJ10:AJ11)</f>
        <v>93198.103266596401</v>
      </c>
      <c r="AK12" s="5448">
        <f>SUM(AK10:AK11)</f>
        <v>69041.400000000009</v>
      </c>
      <c r="AL12" s="3135">
        <f>SUM(AL10:AL11)</f>
        <v>276611.97049525811</v>
      </c>
      <c r="AM12" s="3135">
        <f>+AC12+AG12+AK12</f>
        <v>174726.64</v>
      </c>
      <c r="AN12" s="3145">
        <f t="shared" si="13"/>
        <v>723360.93757639616</v>
      </c>
      <c r="AO12" s="3145">
        <f t="shared" si="14"/>
        <v>742063.12</v>
      </c>
      <c r="AP12" s="5448">
        <f>SUM(AP10:AP11)</f>
        <v>93198.103266596401</v>
      </c>
      <c r="AQ12" s="5448">
        <f>SUM(AQ10:AQ11)</f>
        <v>114094.2</v>
      </c>
      <c r="AR12" s="3145">
        <f t="shared" si="15"/>
        <v>816559.0408429926</v>
      </c>
      <c r="AS12" s="3145">
        <f t="shared" si="16"/>
        <v>856157.32</v>
      </c>
      <c r="AT12" s="5448">
        <f>SUM(AT10:AT11)</f>
        <v>83878.292939936771</v>
      </c>
      <c r="AU12" s="5448">
        <f>SUM(AU10:AU11)</f>
        <v>94125.959999999992</v>
      </c>
      <c r="AV12" s="6323">
        <f t="shared" si="17"/>
        <v>900437.33378292935</v>
      </c>
      <c r="AW12" s="6323">
        <f t="shared" si="18"/>
        <v>950283.27999999991</v>
      </c>
      <c r="AX12" s="5448">
        <f>SUM(AX10:AX11)</f>
        <v>93198.103266596401</v>
      </c>
      <c r="AY12" s="5448">
        <f>SUM(AY10:AY11)</f>
        <v>78443.62000000001</v>
      </c>
      <c r="AZ12" s="3135">
        <f>SUM(AZ10:AZ11)</f>
        <v>270274.49947312957</v>
      </c>
      <c r="BA12" s="3135">
        <f>+AQ12+AU12+AY12</f>
        <v>286663.77999999997</v>
      </c>
      <c r="BB12" s="3136">
        <f t="shared" ref="BB12:BC12" si="23">SUM(BB10:BB11)</f>
        <v>546886.46996838762</v>
      </c>
      <c r="BC12" s="3136">
        <f t="shared" si="23"/>
        <v>461390.41999999993</v>
      </c>
      <c r="BD12" s="3145">
        <f t="shared" si="20"/>
        <v>993635.43704952579</v>
      </c>
      <c r="BE12" s="3145">
        <f t="shared" si="21"/>
        <v>1028726.8999999999</v>
      </c>
      <c r="BF12" s="26"/>
      <c r="BG12" s="26"/>
      <c r="BH12" s="1222"/>
      <c r="BI12" s="1222"/>
      <c r="BJ12" s="1222"/>
      <c r="BM12" s="26"/>
      <c r="BN12" s="26"/>
      <c r="BO12" s="1222"/>
      <c r="BP12" s="1222"/>
      <c r="BQ12" s="3218"/>
      <c r="BR12" s="3218"/>
      <c r="BS12" s="3218"/>
      <c r="BT12" s="3218"/>
      <c r="BU12" s="3218"/>
      <c r="BV12" s="3218"/>
      <c r="BW12" s="3218"/>
      <c r="BX12" s="3218"/>
      <c r="BY12" s="3218"/>
      <c r="BZ12" s="3218"/>
      <c r="CA12" s="3218"/>
      <c r="CB12" s="3218"/>
      <c r="CC12" s="3218"/>
      <c r="CD12" s="3218"/>
      <c r="CE12" s="3218"/>
      <c r="CF12" s="3218"/>
      <c r="CG12" s="3218"/>
      <c r="CH12" s="3218"/>
      <c r="CI12" s="3218"/>
      <c r="CJ12" s="3218"/>
      <c r="CK12" s="3218"/>
      <c r="CL12" s="3218"/>
      <c r="CM12" s="3218"/>
      <c r="CN12" s="3218"/>
      <c r="CO12" s="3218"/>
      <c r="CP12" s="3218"/>
      <c r="CQ12" s="3218"/>
      <c r="CR12" s="3218"/>
      <c r="CS12" s="3218"/>
      <c r="CT12" s="3218"/>
    </row>
    <row r="13" spans="1:98" s="149" customFormat="1" ht="15.75" x14ac:dyDescent="0.25">
      <c r="B13" s="3220" t="s">
        <v>603</v>
      </c>
      <c r="C13" s="5586" t="s">
        <v>49</v>
      </c>
      <c r="D13" s="5603">
        <v>1</v>
      </c>
      <c r="E13" s="5604">
        <f>+E12/E8</f>
        <v>1.1483841209668186</v>
      </c>
      <c r="F13" s="5603">
        <v>1</v>
      </c>
      <c r="G13" s="5604">
        <f>+G12/G8</f>
        <v>1.0536578529239886</v>
      </c>
      <c r="H13" s="5605">
        <v>1</v>
      </c>
      <c r="I13" s="5605">
        <f>+I12/I8</f>
        <v>1.0993304387894869</v>
      </c>
      <c r="J13" s="5604">
        <v>1</v>
      </c>
      <c r="K13" s="5604">
        <f>+K12/K8</f>
        <v>0.94422079009333915</v>
      </c>
      <c r="L13" s="5606">
        <v>1</v>
      </c>
      <c r="M13" s="5606">
        <f t="shared" ref="M13:AA13" si="24">+M12/M8</f>
        <v>1.0531919204451954</v>
      </c>
      <c r="N13" s="5604">
        <v>1</v>
      </c>
      <c r="O13" s="5604">
        <f>+O12/O8</f>
        <v>1.0446571944870731</v>
      </c>
      <c r="P13" s="5605">
        <v>1</v>
      </c>
      <c r="Q13" s="5605">
        <f>+Q12/Q8</f>
        <v>1.0507419227468484</v>
      </c>
      <c r="R13" s="5604">
        <v>1</v>
      </c>
      <c r="S13" s="5604">
        <f>+S12/S8</f>
        <v>0.98203497145287366</v>
      </c>
      <c r="T13" s="5605">
        <v>1</v>
      </c>
      <c r="U13" s="5605">
        <f t="shared" ref="U13" si="25">+U12/U8</f>
        <v>1.035536617033201</v>
      </c>
      <c r="V13" s="5604">
        <v>1</v>
      </c>
      <c r="W13" s="5604">
        <f>+W12/W8</f>
        <v>1.2415194870458404</v>
      </c>
      <c r="X13" s="5606">
        <v>1</v>
      </c>
      <c r="Y13" s="5606">
        <f t="shared" ref="Y13" si="26">+Y12/Y8</f>
        <v>1.0866614563370112</v>
      </c>
      <c r="Z13" s="5607">
        <v>1</v>
      </c>
      <c r="AA13" s="5607">
        <f t="shared" si="24"/>
        <v>1.0713072476347292</v>
      </c>
      <c r="AB13" s="5604">
        <v>1</v>
      </c>
      <c r="AC13" s="5604">
        <f>+AC12/AC8</f>
        <v>0.8423744984683138</v>
      </c>
      <c r="AD13" s="5605">
        <v>1</v>
      </c>
      <c r="AE13" s="5605">
        <f t="shared" ref="AE13" si="27">+AE12/AE8</f>
        <v>1.0382432350351842</v>
      </c>
      <c r="AF13" s="5604">
        <v>1</v>
      </c>
      <c r="AG13" s="5604">
        <f>+AG12/AG8</f>
        <v>8.6647616673601995</v>
      </c>
      <c r="AH13" s="5605">
        <v>1</v>
      </c>
      <c r="AI13" s="5608">
        <f t="shared" ref="AI13" si="28">+AI12/AI8</f>
        <v>1.0812010309955309</v>
      </c>
      <c r="AJ13" s="5604">
        <v>1</v>
      </c>
      <c r="AK13" s="5604">
        <f>+AK12/AK8</f>
        <v>0.68881594700295323</v>
      </c>
      <c r="AL13" s="3231">
        <v>1</v>
      </c>
      <c r="AM13" s="3231">
        <f t="shared" ref="AM13" si="29">+AM12/AM8</f>
        <v>0.90469120191789909</v>
      </c>
      <c r="AN13" s="3230">
        <v>1</v>
      </c>
      <c r="AO13" s="3230">
        <f t="shared" ref="AO13" si="30">+AO12/AO8</f>
        <v>1.0267813478340715</v>
      </c>
      <c r="AP13" s="5604">
        <v>1</v>
      </c>
      <c r="AQ13" s="5604">
        <f>+AQ12/AQ8</f>
        <v>1.074464416980468</v>
      </c>
      <c r="AR13" s="6774">
        <v>1</v>
      </c>
      <c r="AS13" s="6774">
        <f t="shared" ref="AS13" si="31">+AS12/AS8</f>
        <v>1.0328898702977647</v>
      </c>
      <c r="AT13" s="5604">
        <v>1</v>
      </c>
      <c r="AU13" s="5604">
        <f>+AU12/AU8</f>
        <v>1.0816608780099479</v>
      </c>
      <c r="AV13" s="6774">
        <v>1</v>
      </c>
      <c r="AW13" s="6774">
        <f t="shared" ref="AW13" si="32">+AW12/AW8</f>
        <v>1.0375235381076011</v>
      </c>
      <c r="AX13" s="5604">
        <v>1</v>
      </c>
      <c r="AY13" s="5604">
        <f>+AY12/AY8</f>
        <v>0.76562882796747966</v>
      </c>
      <c r="AZ13" s="3231">
        <v>1</v>
      </c>
      <c r="BA13" s="3231">
        <f t="shared" ref="BA13" si="33">+BA12/BA8</f>
        <v>0.96956143610627188</v>
      </c>
      <c r="BB13" s="3232">
        <v>1</v>
      </c>
      <c r="BC13" s="3232">
        <f t="shared" ref="BC13" si="34">+BC12/BC8</f>
        <v>0.94392985631810022</v>
      </c>
      <c r="BD13" s="3230">
        <v>1</v>
      </c>
      <c r="BE13" s="3230">
        <f t="shared" ref="BE13" si="35">+BE12/BE8</f>
        <v>1.0101687140640494</v>
      </c>
      <c r="BF13" s="26"/>
      <c r="BG13" s="26"/>
      <c r="BH13" s="1222"/>
      <c r="BI13" s="1222"/>
      <c r="BJ13" s="1222"/>
      <c r="BK13" s="3218"/>
      <c r="BL13" s="3218"/>
      <c r="BM13" s="26"/>
      <c r="BN13" s="26"/>
      <c r="BO13" s="1222"/>
      <c r="BP13" s="1222"/>
      <c r="BQ13" s="3218"/>
      <c r="BR13" s="3218"/>
      <c r="BS13" s="3218"/>
      <c r="BT13" s="3218"/>
      <c r="BU13" s="3218"/>
      <c r="BV13" s="3218"/>
      <c r="BW13" s="3218"/>
      <c r="BX13" s="3218"/>
      <c r="BY13" s="3218"/>
      <c r="BZ13" s="3218"/>
      <c r="CA13" s="3218"/>
      <c r="CB13" s="3218"/>
      <c r="CC13" s="3218"/>
      <c r="CD13" s="3218"/>
      <c r="CE13" s="3218"/>
      <c r="CF13" s="3218"/>
      <c r="CG13" s="3218"/>
      <c r="CH13" s="3218"/>
      <c r="CI13" s="3218"/>
      <c r="CJ13" s="3218"/>
      <c r="CK13" s="3218"/>
      <c r="CL13" s="3218"/>
      <c r="CM13" s="3218"/>
      <c r="CN13" s="3218"/>
      <c r="CO13" s="3218"/>
      <c r="CP13" s="3218"/>
      <c r="CQ13" s="3218"/>
      <c r="CR13" s="3218"/>
      <c r="CS13" s="3218"/>
      <c r="CT13" s="3218"/>
    </row>
    <row r="14" spans="1:98" s="149" customFormat="1" ht="15.75" x14ac:dyDescent="0.25">
      <c r="B14" s="3220" t="s">
        <v>452</v>
      </c>
      <c r="C14" s="5586" t="s">
        <v>354</v>
      </c>
      <c r="D14" s="1603">
        <f>+(D17*D18)/1000</f>
        <v>29875.920679886651</v>
      </c>
      <c r="E14" s="5448">
        <f>+SMS!F92</f>
        <v>26838.328010000001</v>
      </c>
      <c r="F14" s="1603">
        <f>+(F17*F18)/1000</f>
        <v>30827.762039660036</v>
      </c>
      <c r="G14" s="5448">
        <f>+SMS!H92</f>
        <v>30280.43044</v>
      </c>
      <c r="H14" s="5447">
        <f>+D14+F14</f>
        <v>60703.68271954669</v>
      </c>
      <c r="I14" s="5447">
        <f>+E14+G14</f>
        <v>57118.758450000001</v>
      </c>
      <c r="J14" s="5448">
        <f>+(J17*J18)/1000</f>
        <v>17616.226415094341</v>
      </c>
      <c r="K14" s="5448">
        <f>+SMS!L92</f>
        <v>21105.872756799999</v>
      </c>
      <c r="L14" s="5582">
        <f>+D14+F14+J14</f>
        <v>78319.909134641028</v>
      </c>
      <c r="M14" s="5582">
        <f>+E14+G14+K14</f>
        <v>78224.631206799997</v>
      </c>
      <c r="N14" s="5448">
        <f>+(N17*N18)/1000</f>
        <v>8023.584905660382</v>
      </c>
      <c r="O14" s="5448">
        <f>+SMS!P92</f>
        <v>31525.148861999995</v>
      </c>
      <c r="P14" s="5447">
        <f>+L14+N14</f>
        <v>86343.494040301404</v>
      </c>
      <c r="Q14" s="5447">
        <f>+M14+O14</f>
        <v>109749.7800688</v>
      </c>
      <c r="R14" s="5448">
        <f>+(R17*R18)/1000</f>
        <v>28483.132075471709</v>
      </c>
      <c r="S14" s="5448">
        <f>+SMS!T92</f>
        <v>32465.744719999995</v>
      </c>
      <c r="T14" s="5447">
        <f t="shared" ref="T14:T15" si="36">+P14+R14</f>
        <v>114826.62611577311</v>
      </c>
      <c r="U14" s="5447">
        <f t="shared" ref="U14:U15" si="37">+Q14+S14</f>
        <v>142215.52478879999</v>
      </c>
      <c r="V14" s="5448">
        <f>+(V17*V18)/1000</f>
        <v>27532.188679245268</v>
      </c>
      <c r="W14" s="5448">
        <f>+SMS!X92</f>
        <v>29760.9982944</v>
      </c>
      <c r="X14" s="5582">
        <f>N14+R14+V14</f>
        <v>64038.905660377364</v>
      </c>
      <c r="Y14" s="5582">
        <f>+O14+S14+W14</f>
        <v>93751.891876399983</v>
      </c>
      <c r="Z14" s="5583">
        <f>+X14+L14</f>
        <v>142358.81479501841</v>
      </c>
      <c r="AA14" s="5583">
        <f>+Y14+M14</f>
        <v>171976.52308319998</v>
      </c>
      <c r="AB14" s="5448">
        <f>+(AB17*AB18)/1000</f>
        <v>29671.811320754732</v>
      </c>
      <c r="AC14" s="5448">
        <f>+SMS!AD92</f>
        <v>31015.537258200002</v>
      </c>
      <c r="AD14" s="5448">
        <f t="shared" ref="AD14:AD15" si="38">+Z14+AB14</f>
        <v>172030.62611577314</v>
      </c>
      <c r="AE14" s="5448">
        <f t="shared" ref="AE14:AE15" si="39">+AA14+AC14</f>
        <v>202992.06034139998</v>
      </c>
      <c r="AF14" s="5448">
        <f>+(AF17*AF18)/1000</f>
        <v>28720.867924528291</v>
      </c>
      <c r="AG14" s="5448">
        <f>+SMS!AH92</f>
        <v>1264.4207357999999</v>
      </c>
      <c r="AH14" s="5448">
        <f t="shared" ref="AH14:AH15" si="40">+AD14+AF14</f>
        <v>200751.49404030142</v>
      </c>
      <c r="AI14" s="1148">
        <f t="shared" ref="AI14:AI15" si="41">+AE14+AG14</f>
        <v>204256.48107719998</v>
      </c>
      <c r="AJ14" s="5448">
        <f>+(AJ17*AJ18)/1000</f>
        <v>29671.811320754732</v>
      </c>
      <c r="AK14" s="5448">
        <f>+SMS!AL92</f>
        <v>31783.8567473</v>
      </c>
      <c r="AL14" s="3135">
        <f>AB14+AF14+AJ14</f>
        <v>88064.490566037755</v>
      </c>
      <c r="AM14" s="3135">
        <f>+AC14+AG14+AK14</f>
        <v>64063.814741299997</v>
      </c>
      <c r="AN14" s="3145">
        <f t="shared" ref="AN14:AN15" si="42">+AH14+AJ14</f>
        <v>230423.30536105615</v>
      </c>
      <c r="AO14" s="3145">
        <f t="shared" ref="AO14:AO15" si="43">+AI14+AK14</f>
        <v>236040.33782449999</v>
      </c>
      <c r="AP14" s="5448">
        <f>+(AP17*AP18)/1000</f>
        <v>29671.811320754732</v>
      </c>
      <c r="AQ14" s="5448">
        <f>+SMS!AR92</f>
        <v>31840.665499999999</v>
      </c>
      <c r="AR14" s="3229">
        <f t="shared" ref="AR14:AR15" si="44">+AN14+AP14</f>
        <v>260095.11668181088</v>
      </c>
      <c r="AS14" s="3229">
        <f t="shared" ref="AS14:AS15" si="45">+AO14+AQ14</f>
        <v>267881.00332449999</v>
      </c>
      <c r="AT14" s="5448">
        <f>+(AT17*AT18)/1000</f>
        <v>26700.113207547111</v>
      </c>
      <c r="AU14" s="5448">
        <f>+SMS!AV92</f>
        <v>29399.024669999999</v>
      </c>
      <c r="AV14" s="3229">
        <f t="shared" ref="AV14:AV15" si="46">+AR14+AT14</f>
        <v>286795.22988935799</v>
      </c>
      <c r="AW14" s="3229">
        <f t="shared" ref="AW14:AW15" si="47">+AS14+AU14</f>
        <v>297280.02799450001</v>
      </c>
      <c r="AX14" s="5448">
        <f>+(AX17*AX18)/1000</f>
        <v>29671.811320754732</v>
      </c>
      <c r="AY14" s="5448">
        <f>+SMS!AZ92</f>
        <v>32502.837760000002</v>
      </c>
      <c r="AZ14" s="3135">
        <f>AP14+AT14+AX14</f>
        <v>86043.735849056568</v>
      </c>
      <c r="BA14" s="3135">
        <f>+AQ14+AU14+AY14</f>
        <v>93742.527930000011</v>
      </c>
      <c r="BB14" s="6707">
        <f>+AZ14+AL14</f>
        <v>174108.22641509434</v>
      </c>
      <c r="BC14" s="6707">
        <f>+BA14+AM14</f>
        <v>157806.34267129999</v>
      </c>
      <c r="BD14" s="6323">
        <f t="shared" ref="BD14:BD15" si="48">+AV14+AX14</f>
        <v>316467.04121011274</v>
      </c>
      <c r="BE14" s="6323">
        <f t="shared" ref="BE14:BE15" si="49">+AW14+AY14</f>
        <v>329782.86575450003</v>
      </c>
      <c r="BF14" s="26"/>
      <c r="BG14" s="26"/>
      <c r="BH14" s="1222"/>
      <c r="BI14" s="1222"/>
      <c r="BJ14" s="1222"/>
      <c r="BK14" s="3218"/>
      <c r="BL14" s="3218"/>
      <c r="BM14" s="26"/>
      <c r="BN14" s="26"/>
      <c r="BO14" s="1222"/>
      <c r="BP14" s="1222"/>
      <c r="BQ14" s="3218"/>
      <c r="BR14" s="3218"/>
      <c r="BS14" s="3218"/>
      <c r="BT14" s="3218"/>
      <c r="BU14" s="3218"/>
      <c r="BV14" s="3218"/>
      <c r="BW14" s="3218"/>
      <c r="BX14" s="3218"/>
      <c r="BY14" s="3218"/>
      <c r="BZ14" s="3218"/>
      <c r="CA14" s="3218"/>
      <c r="CB14" s="3218"/>
      <c r="CC14" s="3218"/>
      <c r="CD14" s="3218"/>
      <c r="CE14" s="3218"/>
      <c r="CF14" s="3218"/>
      <c r="CG14" s="3218"/>
      <c r="CH14" s="3218"/>
      <c r="CI14" s="3218"/>
      <c r="CJ14" s="3218"/>
      <c r="CK14" s="3218"/>
      <c r="CL14" s="3218"/>
      <c r="CM14" s="3218"/>
      <c r="CN14" s="3218"/>
      <c r="CO14" s="3218"/>
      <c r="CP14" s="3218"/>
      <c r="CQ14" s="3218"/>
      <c r="CR14" s="3218"/>
      <c r="CS14" s="3218"/>
      <c r="CT14" s="3218"/>
    </row>
    <row r="15" spans="1:98" s="149" customFormat="1" ht="15.75" x14ac:dyDescent="0.25">
      <c r="B15" s="3220" t="s">
        <v>423</v>
      </c>
      <c r="C15" s="5586" t="s">
        <v>354</v>
      </c>
      <c r="D15" s="1603">
        <f>+(D14*D16)</f>
        <v>29875.920679886651</v>
      </c>
      <c r="E15" s="5448">
        <f>+E35</f>
        <v>88452.62999999999</v>
      </c>
      <c r="F15" s="1603">
        <f>+(F14*F16)</f>
        <v>30827.762039660036</v>
      </c>
      <c r="G15" s="5448">
        <f>+G35</f>
        <v>113274.25</v>
      </c>
      <c r="H15" s="5447">
        <f>+D15+F15</f>
        <v>60703.68271954669</v>
      </c>
      <c r="I15" s="5447">
        <f>+E15+G15</f>
        <v>201726.88</v>
      </c>
      <c r="J15" s="5448">
        <f>+(J14*J16)</f>
        <v>17616.226415094341</v>
      </c>
      <c r="K15" s="5448">
        <f>+K35</f>
        <v>123502.67600000001</v>
      </c>
      <c r="L15" s="5582">
        <f>+D15+F15+J15</f>
        <v>78319.909134641028</v>
      </c>
      <c r="M15" s="5582">
        <f>+E15+G15+K15</f>
        <v>325229.55599999998</v>
      </c>
      <c r="N15" s="5448">
        <f>+(N14*N16)</f>
        <v>8023.584905660382</v>
      </c>
      <c r="O15" s="5448">
        <f>+O35</f>
        <v>112333</v>
      </c>
      <c r="P15" s="5447">
        <f>+L15+N15</f>
        <v>86343.494040301404</v>
      </c>
      <c r="Q15" s="5447">
        <f>+M15+O15</f>
        <v>437562.55599999998</v>
      </c>
      <c r="R15" s="5448">
        <f>+(R14*R16)</f>
        <v>28483.132075471709</v>
      </c>
      <c r="S15" s="5448">
        <f>+S35</f>
        <v>64066.94</v>
      </c>
      <c r="T15" s="5447">
        <f t="shared" si="36"/>
        <v>114826.62611577311</v>
      </c>
      <c r="U15" s="5447">
        <f t="shared" si="37"/>
        <v>501629.49599999998</v>
      </c>
      <c r="V15" s="5448">
        <f>+(V14*V16)</f>
        <v>27532.188679245268</v>
      </c>
      <c r="W15" s="5448">
        <f>+W35</f>
        <v>56462.69</v>
      </c>
      <c r="X15" s="5582">
        <f>N15+R15+V15</f>
        <v>64038.905660377364</v>
      </c>
      <c r="Y15" s="5582">
        <f>+O15+S15+W15</f>
        <v>232862.63</v>
      </c>
      <c r="Z15" s="5583">
        <f>+X15+L15</f>
        <v>142358.81479501841</v>
      </c>
      <c r="AA15" s="5583">
        <f>+Y15+M15</f>
        <v>558092.18599999999</v>
      </c>
      <c r="AB15" s="5448">
        <f>+(AB14*AB16)</f>
        <v>29671.811320754732</v>
      </c>
      <c r="AC15" s="5448">
        <f>+AC35</f>
        <v>58299</v>
      </c>
      <c r="AD15" s="5448">
        <f t="shared" si="38"/>
        <v>172030.62611577314</v>
      </c>
      <c r="AE15" s="5448">
        <f t="shared" si="39"/>
        <v>616391.18599999999</v>
      </c>
      <c r="AF15" s="5448">
        <f>+(AF14*AF16)</f>
        <v>28720.867924528291</v>
      </c>
      <c r="AG15" s="5448">
        <f>+AG35</f>
        <v>134577.69</v>
      </c>
      <c r="AH15" s="5448">
        <f t="shared" si="40"/>
        <v>200751.49404030142</v>
      </c>
      <c r="AI15" s="1148">
        <f t="shared" si="41"/>
        <v>750968.87599999993</v>
      </c>
      <c r="AJ15" s="5448">
        <f>+(AJ14*AJ16)</f>
        <v>29671.811320754732</v>
      </c>
      <c r="AK15" s="5448">
        <f>+AK35</f>
        <v>99419.191999999995</v>
      </c>
      <c r="AL15" s="3135">
        <f>AB15+AF15+AJ15</f>
        <v>88064.490566037755</v>
      </c>
      <c r="AM15" s="3135">
        <f>+AC15+AG15+AK15</f>
        <v>292295.88199999998</v>
      </c>
      <c r="AN15" s="3145">
        <f t="shared" si="42"/>
        <v>230423.30536105615</v>
      </c>
      <c r="AO15" s="3145">
        <f t="shared" si="43"/>
        <v>850388.06799999997</v>
      </c>
      <c r="AP15" s="5448">
        <f>+(AP14*AP16)</f>
        <v>29671.811320754732</v>
      </c>
      <c r="AQ15" s="5448">
        <f>+AQ35</f>
        <v>98812.07</v>
      </c>
      <c r="AR15" s="3229">
        <f t="shared" si="44"/>
        <v>260095.11668181088</v>
      </c>
      <c r="AS15" s="3229">
        <f t="shared" si="45"/>
        <v>949200.13800000004</v>
      </c>
      <c r="AT15" s="5448">
        <f>+(AT14*AT16)</f>
        <v>26700.113207547111</v>
      </c>
      <c r="AU15" s="5448">
        <f>+AU35</f>
        <v>88437.24</v>
      </c>
      <c r="AV15" s="3229">
        <f t="shared" si="46"/>
        <v>286795.22988935799</v>
      </c>
      <c r="AW15" s="3229">
        <f t="shared" si="47"/>
        <v>1037637.378</v>
      </c>
      <c r="AX15" s="5448">
        <f>+(AX14*AX16)</f>
        <v>29671.811320754732</v>
      </c>
      <c r="AY15" s="5448">
        <f>+AY35</f>
        <v>86265</v>
      </c>
      <c r="AZ15" s="3135">
        <f>AP15+AT15+AX15</f>
        <v>86043.735849056568</v>
      </c>
      <c r="BA15" s="3135">
        <f>+AQ15+AU15+AY15</f>
        <v>273514.31</v>
      </c>
      <c r="BB15" s="6707">
        <f>+AZ15+AL15</f>
        <v>174108.22641509434</v>
      </c>
      <c r="BC15" s="6707">
        <f>+BA15+AM15</f>
        <v>565810.19200000004</v>
      </c>
      <c r="BD15" s="6323">
        <f t="shared" si="48"/>
        <v>316467.04121011274</v>
      </c>
      <c r="BE15" s="6323">
        <f t="shared" si="49"/>
        <v>1123902.378</v>
      </c>
      <c r="BF15" s="26"/>
      <c r="BG15" s="26"/>
      <c r="BH15" s="1222"/>
      <c r="BI15" s="1222"/>
      <c r="BJ15" s="1222"/>
      <c r="BK15" s="3218"/>
      <c r="BL15" s="3218"/>
      <c r="BM15" s="26"/>
      <c r="BN15" s="26"/>
      <c r="BO15" s="1222"/>
      <c r="BP15" s="1222"/>
      <c r="BQ15" s="3218"/>
      <c r="BR15" s="3218"/>
      <c r="BS15" s="3218"/>
      <c r="BT15" s="3218"/>
      <c r="BU15" s="3218"/>
      <c r="BV15" s="3218"/>
      <c r="BW15" s="3218"/>
      <c r="BX15" s="3218"/>
      <c r="BY15" s="3218"/>
      <c r="BZ15" s="3218"/>
      <c r="CA15" s="3218"/>
      <c r="CB15" s="3218"/>
      <c r="CC15" s="3218"/>
      <c r="CD15" s="3218"/>
      <c r="CE15" s="3218"/>
      <c r="CF15" s="3218"/>
      <c r="CG15" s="3218"/>
      <c r="CH15" s="3218"/>
      <c r="CI15" s="3218"/>
      <c r="CJ15" s="3218"/>
      <c r="CK15" s="3218"/>
      <c r="CL15" s="3218"/>
      <c r="CM15" s="3218"/>
      <c r="CN15" s="3218"/>
      <c r="CO15" s="3218"/>
      <c r="CP15" s="3218"/>
      <c r="CQ15" s="3218"/>
      <c r="CR15" s="3218"/>
      <c r="CS15" s="3218"/>
      <c r="CT15" s="3218"/>
    </row>
    <row r="16" spans="1:98" s="96" customFormat="1" ht="15.75" x14ac:dyDescent="0.25">
      <c r="A16" s="149"/>
      <c r="B16" s="3220" t="s">
        <v>604</v>
      </c>
      <c r="C16" s="5586" t="s">
        <v>49</v>
      </c>
      <c r="D16" s="5603">
        <v>1</v>
      </c>
      <c r="E16" s="5604">
        <f>+E15/E14</f>
        <v>3.2957578418090132</v>
      </c>
      <c r="F16" s="5603">
        <v>1</v>
      </c>
      <c r="G16" s="5604">
        <f>+G15/G14</f>
        <v>3.7408401516765228</v>
      </c>
      <c r="H16" s="5609">
        <f>+H15/H14</f>
        <v>1</v>
      </c>
      <c r="I16" s="5609">
        <f>+I15/I14</f>
        <v>3.531709817827807</v>
      </c>
      <c r="J16" s="5604">
        <v>1</v>
      </c>
      <c r="K16" s="5604">
        <f>+K15/K14</f>
        <v>5.851578725177772</v>
      </c>
      <c r="L16" s="5606">
        <v>1</v>
      </c>
      <c r="M16" s="5606">
        <f>+M15/M14</f>
        <v>4.1576361688456007</v>
      </c>
      <c r="N16" s="5604">
        <v>1</v>
      </c>
      <c r="O16" s="5604">
        <f>+O15/O14</f>
        <v>3.5632821431465067</v>
      </c>
      <c r="P16" s="5609">
        <f>+P15/P14</f>
        <v>1</v>
      </c>
      <c r="Q16" s="5609">
        <f>+Q15/Q14</f>
        <v>3.9869105498498545</v>
      </c>
      <c r="R16" s="5604">
        <v>1</v>
      </c>
      <c r="S16" s="5604">
        <f>+S15/S14</f>
        <v>1.9733704109529513</v>
      </c>
      <c r="T16" s="5605">
        <v>1</v>
      </c>
      <c r="U16" s="5605">
        <f>+U15/U14</f>
        <v>3.5272484965685349</v>
      </c>
      <c r="V16" s="5604">
        <v>1</v>
      </c>
      <c r="W16" s="5604">
        <f>+W15/W14</f>
        <v>1.8972041677319791</v>
      </c>
      <c r="X16" s="5606">
        <v>1</v>
      </c>
      <c r="Y16" s="5606">
        <f>+Y15/Y14</f>
        <v>2.4838179298504177</v>
      </c>
      <c r="Z16" s="5607">
        <f>+Z15/Z14</f>
        <v>1</v>
      </c>
      <c r="AA16" s="5607">
        <f>+AA15/AA14</f>
        <v>3.2451649562074372</v>
      </c>
      <c r="AB16" s="5604">
        <v>1</v>
      </c>
      <c r="AC16" s="5604">
        <f>+AC15/AC14</f>
        <v>1.8796708086875618</v>
      </c>
      <c r="AD16" s="5604">
        <v>1</v>
      </c>
      <c r="AE16" s="5604">
        <f>+AE15/AE14</f>
        <v>3.0365285467979843</v>
      </c>
      <c r="AF16" s="5604">
        <v>1</v>
      </c>
      <c r="AG16" s="5604">
        <f>+AG15/AG14</f>
        <v>106.43426368269151</v>
      </c>
      <c r="AH16" s="5604">
        <v>1</v>
      </c>
      <c r="AI16" s="6776">
        <f>+AI15/AI14</f>
        <v>3.6765975406977009</v>
      </c>
      <c r="AJ16" s="5604">
        <v>1</v>
      </c>
      <c r="AK16" s="5604">
        <f>+AK15/AK14</f>
        <v>3.1279776016623764</v>
      </c>
      <c r="AL16" s="3231">
        <v>1</v>
      </c>
      <c r="AM16" s="3231">
        <f>+AM15/AM14</f>
        <v>4.5625737895930465</v>
      </c>
      <c r="AN16" s="3249">
        <v>1</v>
      </c>
      <c r="AO16" s="3249">
        <f>+AO15/AO14</f>
        <v>3.6027234829339974</v>
      </c>
      <c r="AP16" s="5604">
        <v>1</v>
      </c>
      <c r="AQ16" s="5604">
        <f>+AQ15/AQ14</f>
        <v>3.1033292944206838</v>
      </c>
      <c r="AR16" s="6774">
        <v>1</v>
      </c>
      <c r="AS16" s="6774">
        <f>+AS15/AS14</f>
        <v>3.5433648755233986</v>
      </c>
      <c r="AT16" s="5604">
        <v>1</v>
      </c>
      <c r="AU16" s="5604">
        <f>+AU15/AU14</f>
        <v>3.0081691822329426</v>
      </c>
      <c r="AV16" s="6774">
        <v>1</v>
      </c>
      <c r="AW16" s="6774">
        <f>+AW15/AW14</f>
        <v>3.490437568241878</v>
      </c>
      <c r="AX16" s="5604">
        <v>1</v>
      </c>
      <c r="AY16" s="5604">
        <f>+AY15/AY14</f>
        <v>2.6540759498286954</v>
      </c>
      <c r="AZ16" s="3231">
        <v>1</v>
      </c>
      <c r="BA16" s="3231">
        <f>+BA15/BA14</f>
        <v>2.9177185215683563</v>
      </c>
      <c r="BB16" s="3232">
        <f>+BB15/BB14</f>
        <v>1</v>
      </c>
      <c r="BC16" s="3232">
        <f>+BC15/BC14</f>
        <v>3.5854718031108841</v>
      </c>
      <c r="BD16" s="3230">
        <v>1</v>
      </c>
      <c r="BE16" s="3230">
        <f>+BE15/BE14</f>
        <v>3.4080071911215231</v>
      </c>
      <c r="BF16" s="26"/>
      <c r="BG16" s="26"/>
      <c r="BH16" s="1222"/>
      <c r="BI16" s="1222"/>
      <c r="BJ16" s="1222"/>
      <c r="BK16" s="3218"/>
      <c r="BL16" s="3218"/>
      <c r="BM16" s="26"/>
      <c r="BN16" s="26"/>
      <c r="BO16" s="1222"/>
      <c r="BP16" s="1222"/>
      <c r="BQ16" s="3218"/>
      <c r="BR16" s="3218"/>
      <c r="BS16" s="3218"/>
      <c r="BT16" s="3218"/>
      <c r="BU16" s="3218"/>
      <c r="BV16" s="3218"/>
      <c r="BW16" s="3218"/>
      <c r="BX16" s="3218"/>
      <c r="BY16" s="3218"/>
      <c r="BZ16" s="3218"/>
      <c r="CA16" s="3218"/>
      <c r="CB16" s="3218"/>
      <c r="CC16" s="3218"/>
      <c r="CD16" s="3218"/>
      <c r="CE16" s="3218"/>
      <c r="CF16" s="3218"/>
      <c r="CG16" s="3218"/>
      <c r="CH16" s="3218"/>
      <c r="CI16" s="3218"/>
      <c r="CJ16" s="3218"/>
      <c r="CK16" s="3218"/>
      <c r="CL16" s="3218"/>
      <c r="CM16" s="3218"/>
      <c r="CN16" s="3218"/>
      <c r="CO16" s="3218"/>
      <c r="CP16" s="3218"/>
      <c r="CQ16" s="3218"/>
      <c r="CR16" s="3218"/>
      <c r="CS16" s="3218"/>
      <c r="CT16" s="3218"/>
    </row>
    <row r="17" spans="1:98" s="149" customFormat="1" ht="15.75" x14ac:dyDescent="0.25">
      <c r="B17" s="3220" t="s">
        <v>807</v>
      </c>
      <c r="C17" s="5586" t="s">
        <v>354</v>
      </c>
      <c r="D17" s="1603">
        <f>+'Maj Production Summ'!E18</f>
        <v>237110.48158640199</v>
      </c>
      <c r="E17" s="5448">
        <f>+'Maj Production Summ'!F18</f>
        <v>207020</v>
      </c>
      <c r="F17" s="1603">
        <f>+'Maj Production Summ'!G18</f>
        <v>244664.77809253999</v>
      </c>
      <c r="G17" s="5448">
        <f>+'Maj Production Summ'!H18</f>
        <v>236638</v>
      </c>
      <c r="H17" s="5447">
        <f>+'Maj Production Summ'!I18</f>
        <v>481775.25967894198</v>
      </c>
      <c r="I17" s="5447">
        <f>+'Maj Production Summ'!J18</f>
        <v>443658</v>
      </c>
      <c r="J17" s="5448">
        <f>+'Maj Production Summ'!K18</f>
        <v>139811.32075471699</v>
      </c>
      <c r="K17" s="5448">
        <f>+'Maj Production Summ'!L18</f>
        <v>144189</v>
      </c>
      <c r="L17" s="5582">
        <f>+'Maj Production Summ'!M18</f>
        <v>621586.58043365902</v>
      </c>
      <c r="M17" s="5582">
        <f>+'Maj Production Summ'!N18</f>
        <v>587847</v>
      </c>
      <c r="N17" s="5448">
        <f>+'Maj Production Summ'!O18</f>
        <v>63679.245283018899</v>
      </c>
      <c r="O17" s="5448">
        <f>+'Maj Production Summ'!P18</f>
        <v>234513</v>
      </c>
      <c r="P17" s="5447">
        <f>+'Maj Production Summ'!Q18</f>
        <v>685265.82571667794</v>
      </c>
      <c r="Q17" s="5447">
        <f>+'Maj Production Summ'!R18</f>
        <v>822360</v>
      </c>
      <c r="R17" s="5448">
        <f>+'Maj Production Summ'!S18</f>
        <v>226056.603773585</v>
      </c>
      <c r="S17" s="5448">
        <f>+'Maj Production Summ'!T18</f>
        <v>231517</v>
      </c>
      <c r="T17" s="5447">
        <f>+'Maj Production Summ'!U18</f>
        <v>911322.42949026288</v>
      </c>
      <c r="U17" s="5447">
        <f>+'Maj Production Summ'!V18</f>
        <v>1053877</v>
      </c>
      <c r="V17" s="5448">
        <f>+'Maj Production Summ'!W18</f>
        <v>218509.43396226401</v>
      </c>
      <c r="W17" s="5448">
        <f>+'Maj Production Summ'!X18</f>
        <v>231269</v>
      </c>
      <c r="X17" s="5582">
        <f>+'Maj Production Summ'!Y18</f>
        <v>508245.28301886795</v>
      </c>
      <c r="Y17" s="5582">
        <f>+'Maj Production Summ'!Z18</f>
        <v>697299</v>
      </c>
      <c r="Z17" s="5583">
        <f>+'Maj Production Summ'!AA18</f>
        <v>1129831.863452527</v>
      </c>
      <c r="AA17" s="5583">
        <f>+'Maj Production Summ'!AB18</f>
        <v>1285146</v>
      </c>
      <c r="AB17" s="5448">
        <f>+'Maj Production Summ'!AC18</f>
        <v>235490.56603773599</v>
      </c>
      <c r="AC17" s="5448">
        <f>+'Maj Production Summ'!AD18</f>
        <v>222138</v>
      </c>
      <c r="AD17" s="5448">
        <f>+'Maj Production Summ'!AE18</f>
        <v>1365322.4294902629</v>
      </c>
      <c r="AE17" s="5448">
        <f>+'Maj Production Summ'!AF18</f>
        <v>1507284</v>
      </c>
      <c r="AF17" s="5448">
        <f>+'Maj Production Summ'!AG18</f>
        <v>227943.396226415</v>
      </c>
      <c r="AG17" s="5448">
        <f>+'Maj Production Summ'!AH18</f>
        <v>7935</v>
      </c>
      <c r="AH17" s="5448">
        <f>+'Maj Production Summ'!AI18</f>
        <v>1593265.8257166778</v>
      </c>
      <c r="AI17" s="1148">
        <f>+'Maj Production Summ'!AJ18</f>
        <v>1515219</v>
      </c>
      <c r="AJ17" s="5448">
        <f>+'Maj Production Summ'!AK18</f>
        <v>235490.56603773599</v>
      </c>
      <c r="AK17" s="5448">
        <f>+'Maj Production Summ'!AL18</f>
        <v>234930</v>
      </c>
      <c r="AL17" s="3135">
        <f>+'Maj Production Summ'!AM18</f>
        <v>698924.52830188698</v>
      </c>
      <c r="AM17" s="3135">
        <f>+'Maj Production Summ'!AN18</f>
        <v>465003</v>
      </c>
      <c r="AN17" s="3145">
        <f>+'Maj Production Summ'!AO18</f>
        <v>1828756.3917544137</v>
      </c>
      <c r="AO17" s="3145">
        <f>+'Maj Production Summ'!AP18</f>
        <v>1750149</v>
      </c>
      <c r="AP17" s="5448">
        <f>+'Maj Production Summ'!AQ18</f>
        <v>235490.56603773599</v>
      </c>
      <c r="AQ17" s="5448">
        <f>+'Maj Production Summ'!AR18</f>
        <v>246040</v>
      </c>
      <c r="AR17" s="3229">
        <f>+'Maj Production Summ'!AS18</f>
        <v>2064246.9577921496</v>
      </c>
      <c r="AS17" s="3229">
        <f>+'Maj Production Summ'!AT18</f>
        <v>1996189</v>
      </c>
      <c r="AT17" s="5448">
        <f>+'Maj Production Summ'!AU18</f>
        <v>211905.660377358</v>
      </c>
      <c r="AU17" s="5448">
        <f>+'Maj Production Summ'!AV18</f>
        <v>222895</v>
      </c>
      <c r="AV17" s="3229">
        <f>+'Maj Production Summ'!AW18</f>
        <v>2276152.6181695075</v>
      </c>
      <c r="AW17" s="3229">
        <f>+'Maj Production Summ'!AX18</f>
        <v>2219084</v>
      </c>
      <c r="AX17" s="5448">
        <f>+'Maj Production Summ'!AY18</f>
        <v>235490.56603773599</v>
      </c>
      <c r="AY17" s="5448">
        <f>+'Maj Production Summ'!AZ18</f>
        <v>243552</v>
      </c>
      <c r="AZ17" s="3135">
        <f>+'Maj Production Summ'!BA18</f>
        <v>682886.79245283001</v>
      </c>
      <c r="BA17" s="3135">
        <f>+'Maj Production Summ'!BB18</f>
        <v>712487</v>
      </c>
      <c r="BB17" s="6707">
        <f>+'Maj Production Summ'!BC18</f>
        <v>1381811.3207547171</v>
      </c>
      <c r="BC17" s="6707">
        <f>+'Maj Production Summ'!BD18</f>
        <v>1177490</v>
      </c>
      <c r="BD17" s="6323">
        <f>+'Maj Production Summ'!BA18</f>
        <v>682886.79245283001</v>
      </c>
      <c r="BE17" s="6323">
        <f>+'Maj Production Summ'!BB18</f>
        <v>712487</v>
      </c>
      <c r="BF17" s="26"/>
      <c r="BG17" s="26"/>
      <c r="BH17" s="1222"/>
      <c r="BI17" s="1222"/>
      <c r="BJ17" s="1222"/>
      <c r="BK17" s="3218"/>
      <c r="BL17" s="3218"/>
      <c r="BM17" s="26"/>
      <c r="BN17" s="26"/>
      <c r="BO17" s="1222"/>
      <c r="BP17" s="1222"/>
      <c r="BQ17" s="3218"/>
      <c r="BR17" s="3218"/>
      <c r="BS17" s="3218"/>
      <c r="BT17" s="3218"/>
      <c r="BU17" s="3218"/>
      <c r="BV17" s="3218"/>
      <c r="BW17" s="3218"/>
      <c r="BX17" s="3218"/>
      <c r="BY17" s="3218"/>
      <c r="BZ17" s="3218"/>
      <c r="CA17" s="3218"/>
      <c r="CB17" s="3218"/>
      <c r="CC17" s="3218"/>
      <c r="CD17" s="3218"/>
      <c r="CE17" s="3218"/>
      <c r="CF17" s="3218"/>
      <c r="CG17" s="3218"/>
      <c r="CH17" s="3218"/>
      <c r="CI17" s="3218"/>
      <c r="CJ17" s="3218"/>
      <c r="CK17" s="3218"/>
      <c r="CL17" s="3218"/>
      <c r="CM17" s="3218"/>
      <c r="CN17" s="3218"/>
      <c r="CO17" s="3218"/>
      <c r="CP17" s="3218"/>
      <c r="CQ17" s="3218"/>
      <c r="CR17" s="3218"/>
      <c r="CS17" s="3218"/>
      <c r="CT17" s="3218"/>
    </row>
    <row r="18" spans="1:98" ht="15.75" x14ac:dyDescent="0.25">
      <c r="A18" s="149"/>
      <c r="B18" s="3386" t="s">
        <v>1466</v>
      </c>
      <c r="C18" s="5587" t="s">
        <v>1465</v>
      </c>
      <c r="D18" s="5610">
        <f>+SMS!E94</f>
        <v>126</v>
      </c>
      <c r="E18" s="5611">
        <f>+SMS!F94</f>
        <v>129.64123277944162</v>
      </c>
      <c r="F18" s="5610">
        <f>+SMS!G94</f>
        <v>126</v>
      </c>
      <c r="G18" s="5611">
        <f>+SMS!H94</f>
        <v>127.96098023140831</v>
      </c>
      <c r="H18" s="5613">
        <f>+SMS!I94</f>
        <v>126</v>
      </c>
      <c r="I18" s="5613">
        <f>+SMS!J94</f>
        <v>128.74502082685314</v>
      </c>
      <c r="J18" s="5612">
        <f>+SMS!K94</f>
        <v>126</v>
      </c>
      <c r="K18" s="5611">
        <f>+SMS!L94</f>
        <v>146.37644173133873</v>
      </c>
      <c r="L18" s="5614">
        <f>+SMS!M94</f>
        <v>125.99999999999997</v>
      </c>
      <c r="M18" s="5614">
        <f>+SMS!N94</f>
        <v>133.06971236869458</v>
      </c>
      <c r="N18" s="5612">
        <f>+SMS!O94</f>
        <v>126</v>
      </c>
      <c r="O18" s="5611">
        <f>+SMS!P94</f>
        <v>134.42815051617603</v>
      </c>
      <c r="P18" s="5613">
        <f>+SMS!Q94</f>
        <v>125.99999999999997</v>
      </c>
      <c r="Q18" s="5613">
        <f>+SMS!R94</f>
        <v>133.45709916435624</v>
      </c>
      <c r="R18" s="5615">
        <f>+SMS!S94</f>
        <v>126</v>
      </c>
      <c r="S18" s="5616">
        <f>+SMS!T94</f>
        <v>140.23050022244584</v>
      </c>
      <c r="T18" s="5613">
        <f>+SMS!U94</f>
        <v>125.99999999999997</v>
      </c>
      <c r="U18" s="5613">
        <f>+SMS!V94</f>
        <v>134.94508826817551</v>
      </c>
      <c r="V18" s="5615">
        <f>+SMS!W94</f>
        <v>126</v>
      </c>
      <c r="W18" s="5616">
        <f>+SMS!X94</f>
        <v>128.68563575057618</v>
      </c>
      <c r="X18" s="5614">
        <f>+SMS!Y94</f>
        <v>126</v>
      </c>
      <c r="Y18" s="5614">
        <f>+SMS!Z94</f>
        <v>134.45005926639789</v>
      </c>
      <c r="Z18" s="5617">
        <f>+SMS!AA94</f>
        <v>125.99999999999997</v>
      </c>
      <c r="AA18" s="5617">
        <f>+SMS!AB94</f>
        <v>133.8186658038853</v>
      </c>
      <c r="AB18" s="5612">
        <f>+SMS!AC94</f>
        <v>126</v>
      </c>
      <c r="AC18" s="5611">
        <f>+SMS!AD94</f>
        <v>139.62283471625747</v>
      </c>
      <c r="AD18" s="5611">
        <f>+SMS!AE94</f>
        <v>126</v>
      </c>
      <c r="AE18" s="5611">
        <f>+SMS!AF94</f>
        <v>134.6740629777799</v>
      </c>
      <c r="AF18" s="5612">
        <f>+SMS!AG94</f>
        <v>126</v>
      </c>
      <c r="AG18" s="5611">
        <f>+SMS!AH94</f>
        <v>159.34728869565214</v>
      </c>
      <c r="AH18" s="5611">
        <f>+SMS!AI94</f>
        <v>126</v>
      </c>
      <c r="AI18" s="6777">
        <f>+SMS!AJ94</f>
        <v>134.80327337315595</v>
      </c>
      <c r="AJ18" s="5612">
        <f>+SMS!AK94</f>
        <v>126</v>
      </c>
      <c r="AK18" s="5611">
        <f>+SMS!AL94</f>
        <v>135.29075361724767</v>
      </c>
      <c r="AL18" s="3234">
        <f>+SMS!AM94</f>
        <v>126</v>
      </c>
      <c r="AM18" s="3234">
        <f>+SMS!AN94</f>
        <v>137.77075576136068</v>
      </c>
      <c r="AN18" s="3233">
        <f>+SMS!AO94</f>
        <v>126</v>
      </c>
      <c r="AO18" s="3233">
        <f>+SMS!AP94</f>
        <v>134.86870993526836</v>
      </c>
      <c r="AP18" s="5612">
        <f>+SMS!AQ94</f>
        <v>126</v>
      </c>
      <c r="AQ18" s="5611">
        <f>+SMS!AR94</f>
        <v>129.41255690131686</v>
      </c>
      <c r="AR18" s="6775">
        <f>+SMS!AS94</f>
        <v>126</v>
      </c>
      <c r="AS18" s="6775">
        <f>+SMS!AT94</f>
        <v>134.19621254525498</v>
      </c>
      <c r="AT18" s="5612">
        <f>+SMS!AU94</f>
        <v>126</v>
      </c>
      <c r="AU18" s="5611">
        <f>+SMS!AV94</f>
        <v>131.89629498194216</v>
      </c>
      <c r="AV18" s="6775">
        <f>+SMS!AW94</f>
        <v>126</v>
      </c>
      <c r="AW18" s="6775">
        <f>+SMS!AX94</f>
        <v>133.96519825049435</v>
      </c>
      <c r="AX18" s="5612">
        <f>+SMS!AY94</f>
        <v>126</v>
      </c>
      <c r="AY18" s="5611">
        <f>+SMS!AZ94</f>
        <v>133.45338063329393</v>
      </c>
      <c r="AZ18" s="3234">
        <f>+SMS!BA94</f>
        <v>125.99999999999997</v>
      </c>
      <c r="BA18" s="3234">
        <f>+SMS!BB94</f>
        <v>131.57086084377679</v>
      </c>
      <c r="BB18" s="3235">
        <f>+SMS!BC94</f>
        <v>126</v>
      </c>
      <c r="BC18" s="3235">
        <f>+SMS!BD94</f>
        <v>134.01926357871406</v>
      </c>
      <c r="BD18" s="3233">
        <f>+SMS!BA94</f>
        <v>125.99999999999997</v>
      </c>
      <c r="BE18" s="3233">
        <f>+SMS!BB94</f>
        <v>131.57086084377679</v>
      </c>
      <c r="BF18" s="26"/>
      <c r="BG18" s="26"/>
      <c r="BH18" s="1222"/>
      <c r="BI18" s="1222"/>
      <c r="BJ18" s="1222"/>
      <c r="BK18" s="3218"/>
      <c r="BL18" s="3218"/>
      <c r="BM18" s="26"/>
      <c r="BN18" s="26"/>
      <c r="BO18" s="1222"/>
      <c r="BP18" s="1222"/>
      <c r="BQ18" s="3218"/>
      <c r="BR18" s="3218"/>
      <c r="BS18" s="3218"/>
      <c r="BT18" s="3218"/>
      <c r="BU18" s="3218"/>
      <c r="BV18" s="3218"/>
      <c r="BW18" s="3218"/>
      <c r="BX18" s="3218"/>
      <c r="BY18" s="3218"/>
      <c r="BZ18" s="3218"/>
      <c r="CA18" s="3218"/>
      <c r="CB18" s="3218"/>
      <c r="CC18" s="3218"/>
      <c r="CD18" s="3218"/>
      <c r="CE18" s="3218"/>
      <c r="CF18" s="3218"/>
      <c r="CG18" s="3218"/>
      <c r="CH18" s="3218"/>
      <c r="CI18" s="3218"/>
      <c r="CJ18" s="3218"/>
      <c r="CK18" s="3218"/>
      <c r="CL18" s="3218"/>
      <c r="CM18" s="3218"/>
      <c r="CN18" s="3218"/>
      <c r="CO18" s="3218"/>
      <c r="CP18" s="3218"/>
      <c r="CQ18" s="3218"/>
      <c r="CR18" s="3218"/>
      <c r="CS18" s="3218"/>
      <c r="CT18" s="3218"/>
    </row>
    <row r="19" spans="1:98" ht="15.75" x14ac:dyDescent="0.25">
      <c r="A19" s="149"/>
      <c r="B19" s="3387"/>
      <c r="C19" s="5587"/>
      <c r="D19" s="5610"/>
      <c r="E19" s="5611"/>
      <c r="F19" s="5610"/>
      <c r="G19" s="5611"/>
      <c r="H19" s="5613"/>
      <c r="I19" s="5613"/>
      <c r="J19" s="5612"/>
      <c r="K19" s="5611"/>
      <c r="L19" s="5614"/>
      <c r="M19" s="5614"/>
      <c r="N19" s="5612"/>
      <c r="O19" s="5611"/>
      <c r="P19" s="5613"/>
      <c r="Q19" s="5613"/>
      <c r="R19" s="5615"/>
      <c r="S19" s="5616"/>
      <c r="T19" s="5613"/>
      <c r="U19" s="5613"/>
      <c r="V19" s="5615"/>
      <c r="W19" s="5616"/>
      <c r="X19" s="5614"/>
      <c r="Y19" s="5614"/>
      <c r="Z19" s="5617"/>
      <c r="AA19" s="5617"/>
      <c r="AB19" s="5612"/>
      <c r="AC19" s="5611"/>
      <c r="AD19" s="5611"/>
      <c r="AE19" s="5611"/>
      <c r="AF19" s="5612"/>
      <c r="AG19" s="5611"/>
      <c r="AH19" s="5611"/>
      <c r="AI19" s="6777"/>
      <c r="AJ19" s="5612"/>
      <c r="AK19" s="5611"/>
      <c r="AL19" s="3234"/>
      <c r="AM19" s="3234"/>
      <c r="AN19" s="3233"/>
      <c r="AO19" s="3233"/>
      <c r="AP19" s="5612"/>
      <c r="AQ19" s="5611"/>
      <c r="AR19" s="6775"/>
      <c r="AS19" s="6775"/>
      <c r="AT19" s="5612"/>
      <c r="AU19" s="5611"/>
      <c r="AV19" s="6775"/>
      <c r="AW19" s="6775"/>
      <c r="AX19" s="5612"/>
      <c r="AY19" s="5611"/>
      <c r="AZ19" s="3234"/>
      <c r="BA19" s="3234"/>
      <c r="BB19" s="3235"/>
      <c r="BC19" s="3235"/>
      <c r="BD19" s="3233"/>
      <c r="BE19" s="3233"/>
      <c r="BF19" s="26"/>
      <c r="BG19" s="26"/>
      <c r="BH19" s="1222"/>
      <c r="BI19" s="1222"/>
      <c r="BJ19" s="1222"/>
      <c r="BK19" s="3218"/>
      <c r="BL19" s="3218"/>
      <c r="BM19" s="26"/>
      <c r="BN19" s="26"/>
      <c r="BO19" s="1222"/>
      <c r="BP19" s="1222"/>
      <c r="BQ19" s="3218"/>
      <c r="BR19" s="3218"/>
      <c r="BS19" s="3218"/>
      <c r="BT19" s="3218"/>
      <c r="BU19" s="3218"/>
      <c r="BV19" s="3218"/>
      <c r="BW19" s="3218"/>
      <c r="BX19" s="3218"/>
      <c r="BY19" s="3218"/>
      <c r="BZ19" s="3218"/>
      <c r="CA19" s="3218"/>
      <c r="CB19" s="3218"/>
      <c r="CC19" s="3218"/>
      <c r="CD19" s="3218"/>
      <c r="CE19" s="3218"/>
      <c r="CF19" s="3218"/>
      <c r="CG19" s="3218"/>
      <c r="CH19" s="3218"/>
      <c r="CI19" s="3218"/>
      <c r="CJ19" s="3218"/>
      <c r="CK19" s="3218"/>
      <c r="CL19" s="3218"/>
      <c r="CM19" s="3218"/>
      <c r="CN19" s="3218"/>
      <c r="CO19" s="3218"/>
      <c r="CP19" s="3218"/>
      <c r="CQ19" s="3218"/>
      <c r="CR19" s="3218"/>
      <c r="CS19" s="3218"/>
      <c r="CT19" s="3218"/>
    </row>
    <row r="20" spans="1:98" s="149" customFormat="1" ht="15" customHeight="1" x14ac:dyDescent="0.25">
      <c r="B20" s="7288" t="s">
        <v>1467</v>
      </c>
      <c r="C20" s="7266" t="s">
        <v>354</v>
      </c>
      <c r="D20" s="7289"/>
      <c r="E20" s="7268">
        <f>+'Direct sales IPT details'!E107</f>
        <v>0</v>
      </c>
      <c r="F20" s="7289"/>
      <c r="G20" s="7268">
        <f>+'Direct sales IPT details'!G107</f>
        <v>0</v>
      </c>
      <c r="H20" s="7262"/>
      <c r="I20" s="7262">
        <f>+G20+E20</f>
        <v>0</v>
      </c>
      <c r="J20" s="5619"/>
      <c r="K20" s="5618">
        <f>+'Direct sales IPT details'!K107</f>
        <v>28859.160000000011</v>
      </c>
      <c r="L20" s="5620"/>
      <c r="M20" s="5582">
        <f>+E20+G20+K20</f>
        <v>28859.160000000011</v>
      </c>
      <c r="N20" s="5619"/>
      <c r="O20" s="5618">
        <f>+'Direct sales IPT details'!O107</f>
        <v>23299.129999999997</v>
      </c>
      <c r="P20" s="5447"/>
      <c r="Q20" s="5447">
        <f>+O20+M20</f>
        <v>52158.290000000008</v>
      </c>
      <c r="R20" s="5619"/>
      <c r="S20" s="5618">
        <f>+'Direct sales IPT details'!S107</f>
        <v>23126.94</v>
      </c>
      <c r="T20" s="5613"/>
      <c r="U20" s="5447">
        <f>+S20+Q20</f>
        <v>75285.23000000001</v>
      </c>
      <c r="V20" s="5619"/>
      <c r="W20" s="5618">
        <f>+'Direct sales IPT details'!W107</f>
        <v>0</v>
      </c>
      <c r="X20" s="5620"/>
      <c r="Y20" s="5582">
        <f>+O20+S20+W20</f>
        <v>46426.069999999992</v>
      </c>
      <c r="Z20" s="5617"/>
      <c r="AA20" s="5583">
        <f>+Y20+M20</f>
        <v>75285.23000000001</v>
      </c>
      <c r="AB20" s="5619"/>
      <c r="AC20" s="5618">
        <f>+'Direct sales IPT details'!AC107</f>
        <v>0</v>
      </c>
      <c r="AD20" s="5613"/>
      <c r="AE20" s="5447">
        <f>+AC20+AA20</f>
        <v>75285.23000000001</v>
      </c>
      <c r="AF20" s="5619"/>
      <c r="AG20" s="5618">
        <f>+'Direct sales IPT details'!AG107</f>
        <v>0</v>
      </c>
      <c r="AH20" s="5613"/>
      <c r="AI20" s="1184">
        <f>+AG20+AE20</f>
        <v>75285.23000000001</v>
      </c>
      <c r="AJ20" s="5619"/>
      <c r="AK20" s="5618">
        <f>+'Direct sales IPT details'!AK107</f>
        <v>0</v>
      </c>
      <c r="AL20" s="3237"/>
      <c r="AM20" s="3135">
        <f>+AC20+AG20+AK20</f>
        <v>0</v>
      </c>
      <c r="AN20" s="3233"/>
      <c r="AO20" s="3145">
        <f>+AK20+AI20</f>
        <v>75285.23000000001</v>
      </c>
      <c r="AP20" s="5619"/>
      <c r="AQ20" s="5618">
        <f>+'Direct sales IPT details'!AQ107</f>
        <v>0</v>
      </c>
      <c r="AR20" s="6775"/>
      <c r="AS20" s="3229">
        <f>+AQ20+AO20</f>
        <v>75285.23000000001</v>
      </c>
      <c r="AT20" s="5619"/>
      <c r="AU20" s="5618">
        <f>+'Direct sales IPT details'!AU107</f>
        <v>0</v>
      </c>
      <c r="AV20" s="6775"/>
      <c r="AW20" s="3229">
        <f>+AU20+AS20</f>
        <v>75285.23000000001</v>
      </c>
      <c r="AX20" s="5619"/>
      <c r="AY20" s="5618">
        <f>+'Direct sales IPT details'!AY107</f>
        <v>0</v>
      </c>
      <c r="AZ20" s="3237"/>
      <c r="BA20" s="3135">
        <f>+AQ20+AU20+AY20</f>
        <v>0</v>
      </c>
      <c r="BB20" s="3235"/>
      <c r="BC20" s="3136">
        <f t="shared" ref="BC20:BC34" si="50">+BA20+AM20</f>
        <v>0</v>
      </c>
      <c r="BD20" s="3233"/>
      <c r="BE20" s="3145">
        <f>+AY20+AW20</f>
        <v>75285.23000000001</v>
      </c>
      <c r="BF20" s="26"/>
      <c r="BG20" s="26"/>
      <c r="BH20" s="1222"/>
      <c r="BI20" s="1222"/>
      <c r="BJ20" s="1222"/>
      <c r="BK20" s="3218"/>
      <c r="BL20" s="3218"/>
      <c r="BM20" s="26"/>
      <c r="BN20" s="26"/>
      <c r="BO20" s="1222"/>
      <c r="BP20" s="1222"/>
      <c r="BQ20" s="3218"/>
      <c r="BR20" s="3218"/>
      <c r="BS20" s="3218"/>
      <c r="BT20" s="3218"/>
      <c r="BU20" s="3218"/>
      <c r="BV20" s="3218"/>
      <c r="BW20" s="3218"/>
      <c r="BX20" s="3218"/>
      <c r="BY20" s="3218"/>
      <c r="BZ20" s="3218"/>
      <c r="CA20" s="3218"/>
      <c r="CB20" s="3218"/>
      <c r="CC20" s="3218"/>
      <c r="CD20" s="3218"/>
      <c r="CE20" s="3218"/>
      <c r="CF20" s="3218"/>
      <c r="CG20" s="3218"/>
      <c r="CH20" s="3218"/>
      <c r="CI20" s="3218"/>
      <c r="CJ20" s="3218"/>
      <c r="CK20" s="3218"/>
      <c r="CL20" s="3218"/>
      <c r="CM20" s="3218"/>
      <c r="CN20" s="3218"/>
      <c r="CO20" s="3218"/>
      <c r="CP20" s="3218"/>
      <c r="CQ20" s="3218"/>
      <c r="CR20" s="3218"/>
      <c r="CS20" s="3218"/>
      <c r="CT20" s="3218"/>
    </row>
    <row r="21" spans="1:98" ht="15.75" x14ac:dyDescent="0.25">
      <c r="A21" s="149"/>
      <c r="B21" s="7288" t="s">
        <v>954</v>
      </c>
      <c r="C21" s="7266" t="s">
        <v>354</v>
      </c>
      <c r="D21" s="7870">
        <v>17399.384471259</v>
      </c>
      <c r="E21" s="7290">
        <f>+'Direct sales IPT details'!E109</f>
        <v>6176.57</v>
      </c>
      <c r="F21" s="7870">
        <v>17399.384471259</v>
      </c>
      <c r="G21" s="7290">
        <f>+'Direct sales IPT details'!G109</f>
        <v>6134.4500000000007</v>
      </c>
      <c r="H21" s="7875">
        <f t="shared" ref="H21" si="51">+F21+D21</f>
        <v>34798.768942518</v>
      </c>
      <c r="I21" s="7262">
        <f t="shared" ref="I21:I34" si="52">+G21+E21</f>
        <v>12311.02</v>
      </c>
      <c r="J21" s="7871">
        <v>9364.8369999999995</v>
      </c>
      <c r="K21" s="5448">
        <f>+'Direct sales IPT details'!K109</f>
        <v>4999.8999999999978</v>
      </c>
      <c r="L21" s="7873">
        <f>+D21+F21+J21</f>
        <v>44163.605942517999</v>
      </c>
      <c r="M21" s="5582">
        <f t="shared" ref="M21:M34" si="53">+E21+G21+K21</f>
        <v>17310.919999999998</v>
      </c>
      <c r="N21" s="7871">
        <v>3283.2671353291798</v>
      </c>
      <c r="O21" s="5448">
        <f>+'Direct sales IPT details'!O109</f>
        <v>4999.6400000000012</v>
      </c>
      <c r="P21" s="7863">
        <f t="shared" ref="P21" si="54">+N21+L21</f>
        <v>47446.87307784718</v>
      </c>
      <c r="Q21" s="5447">
        <f t="shared" ref="Q21:Q24" si="55">+O21+M21</f>
        <v>22310.559999999998</v>
      </c>
      <c r="R21" s="7853">
        <v>16803.6779876072</v>
      </c>
      <c r="S21" s="5442">
        <f>+'Direct sales IPT details'!S109</f>
        <v>0</v>
      </c>
      <c r="T21" s="7863">
        <f>+R21+P21</f>
        <v>64250.551065454376</v>
      </c>
      <c r="U21" s="5447">
        <f t="shared" ref="U21:U34" si="56">+S21+Q21</f>
        <v>22310.559999999998</v>
      </c>
      <c r="V21" s="7853">
        <v>16320.175759338401</v>
      </c>
      <c r="W21" s="5442">
        <f>+'Direct sales IPT details'!W109</f>
        <v>4998.6899999999996</v>
      </c>
      <c r="X21" s="7873">
        <f>N21+R21+V21</f>
        <v>36407.120882274779</v>
      </c>
      <c r="Y21" s="5582">
        <f t="shared" ref="Y21:Y34" si="57">+O21+S21+W21</f>
        <v>9998.3300000000017</v>
      </c>
      <c r="Z21" s="7877">
        <f>+X21+L21</f>
        <v>80570.726824792771</v>
      </c>
      <c r="AA21" s="5583">
        <f t="shared" ref="AA21:AA34" si="58">+Y21+M21</f>
        <v>27309.25</v>
      </c>
      <c r="AB21" s="7853">
        <v>17607.2740282825</v>
      </c>
      <c r="AC21" s="5442">
        <f>+'Direct sales IPT details'!AC109</f>
        <v>2499.8999999999996</v>
      </c>
      <c r="AD21" s="7863">
        <f>+AB21+Z21</f>
        <v>98178.000853075268</v>
      </c>
      <c r="AE21" s="5661">
        <f t="shared" ref="AE21:AE34" si="59">+AC21+AA21</f>
        <v>29809.15</v>
      </c>
      <c r="AF21" s="7853">
        <v>16990.9596297875</v>
      </c>
      <c r="AG21" s="5442">
        <f>+'Direct sales IPT details'!AG109</f>
        <v>2499.2099999999991</v>
      </c>
      <c r="AH21" s="7863">
        <f>+AF21+AD21</f>
        <v>115168.96048286276</v>
      </c>
      <c r="AI21" s="1184">
        <f t="shared" ref="AI21:AI24" si="60">+AG21+AE21</f>
        <v>32308.36</v>
      </c>
      <c r="AJ21" s="7853">
        <v>16990.9596297875</v>
      </c>
      <c r="AK21" s="5442">
        <f>+'Direct sales IPT details'!AK109</f>
        <v>4997.33</v>
      </c>
      <c r="AL21" s="7856">
        <f>AB21+AF21+AJ21</f>
        <v>51589.193287857503</v>
      </c>
      <c r="AM21" s="3135">
        <f t="shared" ref="AM21:AM34" si="61">+AC21+AG21+AK21</f>
        <v>9996.4399999999987</v>
      </c>
      <c r="AN21" s="7858">
        <f>+AJ21+AH21</f>
        <v>132159.92011265026</v>
      </c>
      <c r="AO21" s="3145">
        <f t="shared" ref="AO21:AO34" si="62">+AK21+AI21</f>
        <v>37305.69</v>
      </c>
      <c r="AP21" s="7853">
        <v>16990.9596297875</v>
      </c>
      <c r="AQ21" s="5442">
        <f>+'Direct sales IPT details'!AQ109</f>
        <v>7499.3</v>
      </c>
      <c r="AR21" s="7858">
        <f>+AP21+AN21</f>
        <v>149150.87974243777</v>
      </c>
      <c r="AS21" s="3145">
        <f t="shared" ref="AS21:AS34" si="63">+AQ21+AO21</f>
        <v>44804.990000000005</v>
      </c>
      <c r="AT21" s="7853">
        <v>16990.9596297875</v>
      </c>
      <c r="AU21" s="5442">
        <f>+'Direct sales IPT details'!AU109</f>
        <v>4999.6899999999996</v>
      </c>
      <c r="AV21" s="7858">
        <f>+AT21+AR21</f>
        <v>166141.83937222528</v>
      </c>
      <c r="AW21" s="6323">
        <f t="shared" ref="AW21:AW24" si="64">+AU21+AS21</f>
        <v>49804.680000000008</v>
      </c>
      <c r="AX21" s="7853">
        <v>16990.9596297875</v>
      </c>
      <c r="AY21" s="5442">
        <f>+'Direct sales IPT details'!AY109</f>
        <v>4242.38</v>
      </c>
      <c r="AZ21" s="7856">
        <f>AP21+AT21+AX21</f>
        <v>50972.878889362502</v>
      </c>
      <c r="BA21" s="3135">
        <f t="shared" ref="BA21:BA34" si="65">+AQ21+AU21+AY21</f>
        <v>16741.37</v>
      </c>
      <c r="BB21" s="7857">
        <f>+AZ21+AN21</f>
        <v>183132.79900201276</v>
      </c>
      <c r="BC21" s="3136">
        <f t="shared" si="50"/>
        <v>26737.809999999998</v>
      </c>
      <c r="BD21" s="7858">
        <f>+AX21+AV21</f>
        <v>183132.79900201279</v>
      </c>
      <c r="BE21" s="3145">
        <f t="shared" ref="BE21:BE34" si="66">+AY21+AW21</f>
        <v>54047.060000000005</v>
      </c>
      <c r="BF21" s="26"/>
      <c r="BG21" s="26"/>
      <c r="BH21" s="1222"/>
      <c r="BI21" s="1222"/>
      <c r="BJ21" s="1222"/>
      <c r="BK21" s="3218"/>
      <c r="BL21" s="3218"/>
      <c r="BM21" s="26"/>
      <c r="BN21" s="26"/>
      <c r="BO21" s="1222"/>
      <c r="BP21" s="1222"/>
      <c r="BQ21" s="3218"/>
      <c r="BR21" s="3218"/>
      <c r="BS21" s="3218"/>
      <c r="BT21" s="3218"/>
      <c r="BU21" s="3218"/>
      <c r="BV21" s="3218"/>
      <c r="BW21" s="3218"/>
      <c r="BX21" s="3218"/>
      <c r="BY21" s="3218"/>
      <c r="BZ21" s="3218"/>
      <c r="CA21" s="3218"/>
      <c r="CB21" s="3218"/>
      <c r="CC21" s="3218"/>
      <c r="CD21" s="3218"/>
      <c r="CE21" s="3218"/>
      <c r="CF21" s="3218"/>
      <c r="CG21" s="3218"/>
      <c r="CH21" s="3218"/>
      <c r="CI21" s="3218"/>
      <c r="CJ21" s="3218"/>
      <c r="CK21" s="3218"/>
      <c r="CL21" s="3218"/>
      <c r="CM21" s="3218"/>
      <c r="CN21" s="3218"/>
      <c r="CO21" s="3218"/>
      <c r="CP21" s="3218"/>
      <c r="CQ21" s="3218"/>
      <c r="CR21" s="3218"/>
      <c r="CS21" s="3218"/>
      <c r="CT21" s="3218"/>
    </row>
    <row r="22" spans="1:98" s="149" customFormat="1" ht="15.75" customHeight="1" x14ac:dyDescent="0.25">
      <c r="B22" s="7288" t="s">
        <v>1280</v>
      </c>
      <c r="C22" s="7266" t="s">
        <v>354</v>
      </c>
      <c r="D22" s="7870"/>
      <c r="E22" s="7290">
        <f>+'Direct sales IPT details'!E110</f>
        <v>0</v>
      </c>
      <c r="F22" s="7870"/>
      <c r="G22" s="7290">
        <f>+'Direct sales IPT details'!G110</f>
        <v>2999.8000000000011</v>
      </c>
      <c r="H22" s="7875"/>
      <c r="I22" s="7262">
        <f t="shared" si="52"/>
        <v>2999.8000000000011</v>
      </c>
      <c r="J22" s="7871"/>
      <c r="K22" s="5448">
        <f>+'Direct sales IPT details'!K110</f>
        <v>0</v>
      </c>
      <c r="L22" s="7873"/>
      <c r="M22" s="5582">
        <f t="shared" si="53"/>
        <v>2999.8000000000011</v>
      </c>
      <c r="N22" s="7871"/>
      <c r="O22" s="5448">
        <f>+'Direct sales IPT details'!O110</f>
        <v>0</v>
      </c>
      <c r="P22" s="7863"/>
      <c r="Q22" s="5447">
        <f t="shared" si="55"/>
        <v>2999.8000000000011</v>
      </c>
      <c r="R22" s="7853"/>
      <c r="S22" s="5442">
        <f>+'Direct sales IPT details'!S110</f>
        <v>0</v>
      </c>
      <c r="T22" s="7863"/>
      <c r="U22" s="5447">
        <f t="shared" si="56"/>
        <v>2999.8000000000011</v>
      </c>
      <c r="V22" s="7853"/>
      <c r="W22" s="5442">
        <f>+'Direct sales IPT details'!W110</f>
        <v>0</v>
      </c>
      <c r="X22" s="7873"/>
      <c r="Y22" s="5582">
        <f t="shared" si="57"/>
        <v>0</v>
      </c>
      <c r="Z22" s="7877"/>
      <c r="AA22" s="5583">
        <f t="shared" si="58"/>
        <v>2999.8000000000011</v>
      </c>
      <c r="AB22" s="7853"/>
      <c r="AC22" s="5442">
        <f>+'Direct sales IPT details'!AC110</f>
        <v>0</v>
      </c>
      <c r="AD22" s="7863"/>
      <c r="AE22" s="5661">
        <f t="shared" si="59"/>
        <v>2999.8000000000011</v>
      </c>
      <c r="AF22" s="7853"/>
      <c r="AG22" s="5442">
        <f>+'Direct sales IPT details'!AG110</f>
        <v>2979.7599999999998</v>
      </c>
      <c r="AH22" s="7863"/>
      <c r="AI22" s="1184">
        <f t="shared" si="60"/>
        <v>5979.5600000000013</v>
      </c>
      <c r="AJ22" s="7853"/>
      <c r="AK22" s="5442">
        <f>+'Direct sales IPT details'!AK110</f>
        <v>19.97</v>
      </c>
      <c r="AL22" s="7856"/>
      <c r="AM22" s="3135">
        <f t="shared" si="61"/>
        <v>2999.7299999999996</v>
      </c>
      <c r="AN22" s="7859"/>
      <c r="AO22" s="3145">
        <f t="shared" si="62"/>
        <v>5999.5300000000016</v>
      </c>
      <c r="AP22" s="7853"/>
      <c r="AQ22" s="5442">
        <f>+'Direct sales IPT details'!AQ110</f>
        <v>2998.77</v>
      </c>
      <c r="AR22" s="7859"/>
      <c r="AS22" s="3145">
        <f t="shared" si="63"/>
        <v>8998.3000000000011</v>
      </c>
      <c r="AT22" s="7853"/>
      <c r="AU22" s="5442">
        <f>+'Direct sales IPT details'!AU110</f>
        <v>0</v>
      </c>
      <c r="AV22" s="7859"/>
      <c r="AW22" s="6323">
        <f t="shared" si="64"/>
        <v>8998.3000000000011</v>
      </c>
      <c r="AX22" s="7853"/>
      <c r="AY22" s="5442">
        <f>+'Direct sales IPT details'!AY110</f>
        <v>2498.5300000000002</v>
      </c>
      <c r="AZ22" s="7856"/>
      <c r="BA22" s="3135">
        <f t="shared" si="65"/>
        <v>5497.3</v>
      </c>
      <c r="BB22" s="7857"/>
      <c r="BC22" s="3136">
        <f t="shared" si="50"/>
        <v>8497.0299999999988</v>
      </c>
      <c r="BD22" s="7859"/>
      <c r="BE22" s="3145">
        <f t="shared" si="66"/>
        <v>11496.830000000002</v>
      </c>
      <c r="BF22" s="26"/>
      <c r="BG22" s="26"/>
      <c r="BH22" s="1222"/>
      <c r="BI22" s="1222"/>
      <c r="BJ22" s="1222"/>
      <c r="BK22" s="3218"/>
      <c r="BL22" s="3218"/>
      <c r="BM22" s="26"/>
      <c r="BN22" s="26"/>
      <c r="BO22" s="1222"/>
      <c r="BP22" s="1222"/>
      <c r="BQ22" s="3218"/>
      <c r="BR22" s="3218"/>
      <c r="BS22" s="3218"/>
      <c r="BT22" s="3218"/>
      <c r="BU22" s="3218"/>
      <c r="BV22" s="3218"/>
      <c r="BW22" s="3218"/>
      <c r="BX22" s="3218"/>
      <c r="BY22" s="3218"/>
      <c r="BZ22" s="3218"/>
      <c r="CA22" s="3218"/>
      <c r="CB22" s="3218"/>
      <c r="CC22" s="3218"/>
      <c r="CD22" s="3218"/>
      <c r="CE22" s="3218"/>
      <c r="CF22" s="3218"/>
      <c r="CG22" s="3218"/>
      <c r="CH22" s="3218"/>
      <c r="CI22" s="3218"/>
      <c r="CJ22" s="3218"/>
      <c r="CK22" s="3218"/>
      <c r="CL22" s="3218"/>
      <c r="CM22" s="3218"/>
      <c r="CN22" s="3218"/>
      <c r="CO22" s="3218"/>
      <c r="CP22" s="3218"/>
      <c r="CQ22" s="3218"/>
      <c r="CR22" s="3218"/>
      <c r="CS22" s="3218"/>
      <c r="CT22" s="3218"/>
    </row>
    <row r="23" spans="1:98" s="149" customFormat="1" ht="15.75" customHeight="1" x14ac:dyDescent="0.25">
      <c r="B23" s="7288" t="s">
        <v>1375</v>
      </c>
      <c r="C23" s="7266" t="s">
        <v>354</v>
      </c>
      <c r="D23" s="7870"/>
      <c r="E23" s="7290">
        <f>+'Direct sales IPT details'!E111</f>
        <v>1535.66</v>
      </c>
      <c r="F23" s="7870"/>
      <c r="G23" s="7290">
        <f>+'Direct sales IPT details'!G111</f>
        <v>0</v>
      </c>
      <c r="H23" s="7875"/>
      <c r="I23" s="7262">
        <f t="shared" si="52"/>
        <v>1535.66</v>
      </c>
      <c r="J23" s="7871"/>
      <c r="K23" s="5448">
        <f>+'Direct sales IPT details'!K111</f>
        <v>0</v>
      </c>
      <c r="L23" s="7873"/>
      <c r="M23" s="5582">
        <f t="shared" si="53"/>
        <v>1535.66</v>
      </c>
      <c r="N23" s="7871"/>
      <c r="O23" s="5448">
        <f>+'Direct sales IPT details'!O111</f>
        <v>2499.2300000000009</v>
      </c>
      <c r="P23" s="7863"/>
      <c r="Q23" s="5447">
        <f t="shared" si="55"/>
        <v>4034.8900000000012</v>
      </c>
      <c r="R23" s="7853"/>
      <c r="S23" s="5442">
        <f>+'Direct sales IPT details'!S111</f>
        <v>0</v>
      </c>
      <c r="T23" s="7863"/>
      <c r="U23" s="5447">
        <f t="shared" si="56"/>
        <v>4034.8900000000012</v>
      </c>
      <c r="V23" s="7853"/>
      <c r="W23" s="5442">
        <f>+'Direct sales IPT details'!W111</f>
        <v>0</v>
      </c>
      <c r="X23" s="7873"/>
      <c r="Y23" s="5582">
        <f t="shared" si="57"/>
        <v>2499.2300000000009</v>
      </c>
      <c r="Z23" s="7877"/>
      <c r="AA23" s="5583">
        <f t="shared" si="58"/>
        <v>4034.8900000000012</v>
      </c>
      <c r="AB23" s="7853"/>
      <c r="AC23" s="5442">
        <f>+'Direct sales IPT details'!AC111</f>
        <v>0</v>
      </c>
      <c r="AD23" s="5661"/>
      <c r="AE23" s="5661">
        <f t="shared" si="59"/>
        <v>4034.8900000000012</v>
      </c>
      <c r="AF23" s="7853"/>
      <c r="AG23" s="5442">
        <f>+'Direct sales IPT details'!AG111</f>
        <v>0</v>
      </c>
      <c r="AH23" s="5447"/>
      <c r="AI23" s="1184">
        <f t="shared" si="60"/>
        <v>4034.8900000000012</v>
      </c>
      <c r="AJ23" s="7853"/>
      <c r="AK23" s="5442">
        <f>+'Direct sales IPT details'!AK111</f>
        <v>2499.9</v>
      </c>
      <c r="AL23" s="7856"/>
      <c r="AM23" s="3135">
        <f t="shared" si="61"/>
        <v>2499.9</v>
      </c>
      <c r="AN23" s="7859"/>
      <c r="AO23" s="3145">
        <f t="shared" si="62"/>
        <v>6534.7900000000009</v>
      </c>
      <c r="AP23" s="7853"/>
      <c r="AQ23" s="5442">
        <f>+'Direct sales IPT details'!AQ111</f>
        <v>0</v>
      </c>
      <c r="AR23" s="7859"/>
      <c r="AS23" s="3145">
        <f t="shared" si="63"/>
        <v>6534.7900000000009</v>
      </c>
      <c r="AT23" s="7853"/>
      <c r="AU23" s="5442">
        <f>+'Direct sales IPT details'!AU111</f>
        <v>2998.55</v>
      </c>
      <c r="AV23" s="7859"/>
      <c r="AW23" s="6323">
        <f t="shared" si="64"/>
        <v>9533.34</v>
      </c>
      <c r="AX23" s="7853"/>
      <c r="AY23" s="5442">
        <f>+'Direct sales IPT details'!AY111</f>
        <v>964.2</v>
      </c>
      <c r="AZ23" s="7856"/>
      <c r="BA23" s="3135">
        <f t="shared" si="65"/>
        <v>3962.75</v>
      </c>
      <c r="BB23" s="7857"/>
      <c r="BC23" s="3136">
        <f t="shared" si="50"/>
        <v>6462.65</v>
      </c>
      <c r="BD23" s="7859"/>
      <c r="BE23" s="3145">
        <f t="shared" si="66"/>
        <v>10497.54</v>
      </c>
      <c r="BF23" s="26"/>
      <c r="BG23" s="26"/>
      <c r="BH23" s="1222"/>
      <c r="BI23" s="1222"/>
      <c r="BJ23" s="1222"/>
      <c r="BK23" s="3218"/>
      <c r="BL23" s="3218"/>
      <c r="BM23" s="26"/>
      <c r="BN23" s="26"/>
      <c r="BO23" s="1222"/>
      <c r="BP23" s="1222"/>
      <c r="BQ23" s="3218"/>
      <c r="BR23" s="3218"/>
      <c r="BS23" s="3218"/>
      <c r="BT23" s="3218"/>
      <c r="BU23" s="3218"/>
      <c r="BV23" s="3218"/>
      <c r="BW23" s="3218"/>
      <c r="BX23" s="3218"/>
      <c r="BY23" s="3218"/>
      <c r="BZ23" s="3218"/>
      <c r="CA23" s="3218"/>
      <c r="CB23" s="3218"/>
      <c r="CC23" s="3218"/>
      <c r="CD23" s="3218"/>
      <c r="CE23" s="3218"/>
      <c r="CF23" s="3218"/>
      <c r="CG23" s="3218"/>
      <c r="CH23" s="3218"/>
      <c r="CI23" s="3218"/>
      <c r="CJ23" s="3218"/>
      <c r="CK23" s="3218"/>
      <c r="CL23" s="3218"/>
      <c r="CM23" s="3218"/>
      <c r="CN23" s="3218"/>
      <c r="CO23" s="3218"/>
      <c r="CP23" s="3218"/>
      <c r="CQ23" s="3218"/>
      <c r="CR23" s="3218"/>
      <c r="CS23" s="3218"/>
      <c r="CT23" s="3218"/>
    </row>
    <row r="24" spans="1:98" s="149" customFormat="1" ht="15.75" hidden="1" customHeight="1" thickBot="1" x14ac:dyDescent="0.3">
      <c r="B24" s="7288" t="str">
        <f>+'Direct sales IPT details'!B112</f>
        <v>NON MAGNETIC UNSCREEN WORK THROUGH SLAG</v>
      </c>
      <c r="C24" s="7266" t="s">
        <v>354</v>
      </c>
      <c r="D24" s="7870"/>
      <c r="E24" s="7290">
        <f>+'Direct sales IPT details'!E112</f>
        <v>0</v>
      </c>
      <c r="F24" s="7870"/>
      <c r="G24" s="7290">
        <f>+'Direct sales IPT details'!G112</f>
        <v>0</v>
      </c>
      <c r="H24" s="7875"/>
      <c r="I24" s="7262">
        <f t="shared" si="52"/>
        <v>0</v>
      </c>
      <c r="J24" s="7872"/>
      <c r="K24" s="5621">
        <f>+'Direct sales IPT details'!K112</f>
        <v>0</v>
      </c>
      <c r="L24" s="7874"/>
      <c r="M24" s="5415">
        <f t="shared" si="53"/>
        <v>0</v>
      </c>
      <c r="N24" s="7872"/>
      <c r="O24" s="5621">
        <f>+'Direct sales IPT details'!O112</f>
        <v>0</v>
      </c>
      <c r="P24" s="7864"/>
      <c r="Q24" s="5622">
        <f t="shared" si="55"/>
        <v>0</v>
      </c>
      <c r="R24" s="7876"/>
      <c r="S24" s="5623">
        <f>+'Direct sales IPT details'!S112</f>
        <v>0</v>
      </c>
      <c r="T24" s="7864"/>
      <c r="U24" s="5622">
        <f t="shared" si="56"/>
        <v>0</v>
      </c>
      <c r="V24" s="7876"/>
      <c r="W24" s="5623">
        <f>+'Direct sales IPT details'!W112</f>
        <v>0</v>
      </c>
      <c r="X24" s="7874"/>
      <c r="Y24" s="5415">
        <f t="shared" si="57"/>
        <v>0</v>
      </c>
      <c r="Z24" s="7878"/>
      <c r="AA24" s="5416">
        <f t="shared" si="58"/>
        <v>0</v>
      </c>
      <c r="AB24" s="7853"/>
      <c r="AC24" s="5442">
        <f>+'Direct sales IPT details'!AC112</f>
        <v>0</v>
      </c>
      <c r="AD24" s="5748"/>
      <c r="AE24" s="5661">
        <f t="shared" si="59"/>
        <v>0</v>
      </c>
      <c r="AF24" s="7853"/>
      <c r="AG24" s="5442">
        <f>+'Direct sales IPT details'!AG112</f>
        <v>0</v>
      </c>
      <c r="AH24" s="5624"/>
      <c r="AI24" s="3795">
        <f t="shared" si="60"/>
        <v>0</v>
      </c>
      <c r="AJ24" s="7853"/>
      <c r="AK24" s="5442">
        <f>+'Direct sales IPT details'!AK112</f>
        <v>0</v>
      </c>
      <c r="AL24" s="7856"/>
      <c r="AM24" s="3135">
        <f t="shared" si="61"/>
        <v>0</v>
      </c>
      <c r="AN24" s="7860"/>
      <c r="AO24" s="3145">
        <f t="shared" si="62"/>
        <v>0</v>
      </c>
      <c r="AP24" s="7853"/>
      <c r="AQ24" s="5442">
        <f>+'Direct sales IPT details'!AQ112</f>
        <v>0</v>
      </c>
      <c r="AR24" s="7860"/>
      <c r="AS24" s="3145">
        <f t="shared" si="63"/>
        <v>0</v>
      </c>
      <c r="AT24" s="7853"/>
      <c r="AU24" s="5442">
        <f>+'Direct sales IPT details'!AU112</f>
        <v>0</v>
      </c>
      <c r="AV24" s="7860"/>
      <c r="AW24" s="6323">
        <f t="shared" si="64"/>
        <v>0</v>
      </c>
      <c r="AX24" s="7853"/>
      <c r="AY24" s="5442">
        <f>+'Direct sales IPT details'!AY112</f>
        <v>0</v>
      </c>
      <c r="AZ24" s="7856"/>
      <c r="BA24" s="3135">
        <f t="shared" si="65"/>
        <v>0</v>
      </c>
      <c r="BB24" s="7857"/>
      <c r="BC24" s="3136">
        <f t="shared" si="50"/>
        <v>0</v>
      </c>
      <c r="BD24" s="7860"/>
      <c r="BE24" s="3145">
        <f t="shared" si="66"/>
        <v>0</v>
      </c>
      <c r="BF24" s="26"/>
      <c r="BG24" s="26"/>
      <c r="BH24" s="1222"/>
      <c r="BI24" s="1222"/>
      <c r="BJ24" s="1222"/>
      <c r="BK24" s="3218"/>
      <c r="BL24" s="3218"/>
      <c r="BM24" s="26"/>
      <c r="BN24" s="26"/>
      <c r="BO24" s="1222"/>
      <c r="BP24" s="1222"/>
      <c r="BQ24" s="3218"/>
      <c r="BR24" s="3218"/>
      <c r="BS24" s="3218"/>
      <c r="BT24" s="3218"/>
      <c r="BU24" s="3218"/>
      <c r="BV24" s="3218"/>
      <c r="BW24" s="3218"/>
      <c r="BX24" s="3218"/>
      <c r="BY24" s="3218"/>
      <c r="BZ24" s="3218"/>
      <c r="CA24" s="3218"/>
      <c r="CB24" s="3218"/>
      <c r="CC24" s="3218"/>
      <c r="CD24" s="3218"/>
      <c r="CE24" s="3218"/>
      <c r="CF24" s="3218"/>
      <c r="CG24" s="3218"/>
      <c r="CH24" s="3218"/>
      <c r="CI24" s="3218"/>
      <c r="CJ24" s="3218"/>
      <c r="CK24" s="3218"/>
      <c r="CL24" s="3218"/>
      <c r="CM24" s="3218"/>
      <c r="CN24" s="3218"/>
      <c r="CO24" s="3218"/>
      <c r="CP24" s="3218"/>
      <c r="CQ24" s="3218"/>
      <c r="CR24" s="3218"/>
      <c r="CS24" s="3218"/>
      <c r="CT24" s="3218"/>
    </row>
    <row r="25" spans="1:98" s="149" customFormat="1" ht="15.75" x14ac:dyDescent="0.25">
      <c r="B25" s="7287" t="s">
        <v>423</v>
      </c>
      <c r="H25" s="3218"/>
      <c r="I25" s="3218"/>
      <c r="L25" s="3218"/>
      <c r="M25" s="3218"/>
      <c r="P25" s="4712"/>
      <c r="Q25" s="4712"/>
      <c r="R25" s="3218"/>
      <c r="S25" s="3218"/>
      <c r="T25" s="3218"/>
      <c r="U25" s="3218"/>
      <c r="V25" s="5172"/>
      <c r="W25" s="5172"/>
      <c r="X25" s="3218"/>
      <c r="Y25" s="3218"/>
      <c r="Z25" s="3218"/>
      <c r="AA25" s="3218"/>
      <c r="AB25" s="5172"/>
      <c r="AC25" s="5172"/>
      <c r="AD25" s="3218"/>
      <c r="AE25" s="3218"/>
      <c r="AF25" s="5172"/>
      <c r="AG25" s="5172"/>
      <c r="AH25" s="5172"/>
      <c r="AI25" s="5172"/>
      <c r="AJ25" s="5172"/>
      <c r="AK25" s="5172"/>
      <c r="AL25" s="3218"/>
      <c r="AM25" s="3218"/>
      <c r="AN25" s="3218"/>
      <c r="AO25" s="3218"/>
      <c r="AP25" s="5172"/>
      <c r="AQ25" s="5172"/>
      <c r="AR25" s="3218"/>
      <c r="AS25" s="3218"/>
      <c r="AT25" s="5172"/>
      <c r="AU25" s="5172"/>
      <c r="AV25" s="5172"/>
      <c r="AW25" s="5172"/>
      <c r="AX25" s="5172"/>
      <c r="AY25" s="5172"/>
      <c r="AZ25" s="3218"/>
      <c r="BA25" s="3218"/>
      <c r="BB25" s="3218"/>
      <c r="BC25" s="3218"/>
      <c r="BD25" s="3218"/>
      <c r="BE25" s="3218"/>
      <c r="BF25" s="26"/>
      <c r="BG25" s="26"/>
      <c r="BH25" s="1222"/>
      <c r="BI25" s="1222"/>
      <c r="BJ25" s="1222"/>
      <c r="BK25" s="3218"/>
      <c r="BL25" s="3218"/>
      <c r="BM25" s="26"/>
      <c r="BN25" s="26"/>
      <c r="BO25" s="1222"/>
      <c r="BP25" s="1222"/>
      <c r="BQ25" s="3218"/>
      <c r="BR25" s="3218"/>
      <c r="BS25" s="3218"/>
      <c r="BT25" s="3218"/>
      <c r="BU25" s="3218"/>
      <c r="BV25" s="3218"/>
      <c r="BW25" s="3218"/>
      <c r="BX25" s="3218"/>
      <c r="BY25" s="3218"/>
      <c r="BZ25" s="3218"/>
      <c r="CA25" s="3218"/>
      <c r="CB25" s="3218"/>
      <c r="CC25" s="3218"/>
      <c r="CD25" s="3218"/>
      <c r="CE25" s="3218"/>
      <c r="CF25" s="3218"/>
      <c r="CG25" s="3218"/>
      <c r="CH25" s="3218"/>
      <c r="CI25" s="3218"/>
      <c r="CJ25" s="3218"/>
      <c r="CK25" s="3218"/>
      <c r="CL25" s="3218"/>
      <c r="CM25" s="3218"/>
      <c r="CN25" s="3218"/>
      <c r="CO25" s="3218"/>
      <c r="CP25" s="3218"/>
      <c r="CQ25" s="3218"/>
      <c r="CR25" s="3218"/>
      <c r="CS25" s="3218"/>
      <c r="CT25" s="3218"/>
    </row>
    <row r="26" spans="1:98" ht="15.75" x14ac:dyDescent="0.25">
      <c r="B26" s="3388" t="s">
        <v>1181</v>
      </c>
      <c r="C26" s="813" t="s">
        <v>354</v>
      </c>
      <c r="D26" s="3389"/>
      <c r="E26" s="3236"/>
      <c r="F26" s="3389"/>
      <c r="G26" s="3236">
        <v>104100</v>
      </c>
      <c r="H26" s="3240"/>
      <c r="I26" s="3145">
        <f t="shared" si="52"/>
        <v>104100</v>
      </c>
      <c r="J26" s="3389"/>
      <c r="K26" s="3236">
        <v>0</v>
      </c>
      <c r="L26" s="3241"/>
      <c r="M26" s="3135">
        <f t="shared" si="53"/>
        <v>104100</v>
      </c>
      <c r="N26" s="3389"/>
      <c r="O26" s="3236">
        <v>0</v>
      </c>
      <c r="P26" s="3240"/>
      <c r="Q26" s="4842">
        <f t="shared" ref="Q26:Q34" si="67">+O26+M26</f>
        <v>104100</v>
      </c>
      <c r="R26" s="3239"/>
      <c r="S26" s="3236">
        <v>0</v>
      </c>
      <c r="T26" s="3240"/>
      <c r="U26" s="3145">
        <f t="shared" si="56"/>
        <v>104100</v>
      </c>
      <c r="V26" s="5099"/>
      <c r="W26" s="3236"/>
      <c r="X26" s="3241"/>
      <c r="Y26" s="3135">
        <f t="shared" si="57"/>
        <v>0</v>
      </c>
      <c r="Z26" s="3242"/>
      <c r="AA26" s="3136">
        <f t="shared" si="58"/>
        <v>104100</v>
      </c>
      <c r="AB26" s="5438"/>
      <c r="AC26" s="3236"/>
      <c r="AD26" s="3240"/>
      <c r="AE26" s="3145">
        <f t="shared" si="59"/>
        <v>104100</v>
      </c>
      <c r="AF26" s="5574"/>
      <c r="AG26" s="3236"/>
      <c r="AH26" s="3240"/>
      <c r="AI26" s="5575">
        <f t="shared" ref="AI26:AI34" si="68">+AG26+AE26</f>
        <v>104100</v>
      </c>
      <c r="AJ26" s="5971"/>
      <c r="AK26" s="3236"/>
      <c r="AL26" s="3241"/>
      <c r="AM26" s="3135">
        <f t="shared" si="61"/>
        <v>0</v>
      </c>
      <c r="AN26" s="3240"/>
      <c r="AO26" s="3145">
        <f t="shared" si="62"/>
        <v>104100</v>
      </c>
      <c r="AP26" s="6143"/>
      <c r="AQ26" s="3236"/>
      <c r="AR26" s="3240"/>
      <c r="AS26" s="3145">
        <f t="shared" si="63"/>
        <v>104100</v>
      </c>
      <c r="AT26" s="6322"/>
      <c r="AU26" s="3236">
        <v>0</v>
      </c>
      <c r="AV26" s="3240"/>
      <c r="AW26" s="6323">
        <f t="shared" ref="AW26:AW34" si="69">+AU26+AS26</f>
        <v>104100</v>
      </c>
      <c r="AX26" s="6463"/>
      <c r="AY26" s="3236"/>
      <c r="AZ26" s="3241"/>
      <c r="BA26" s="3135">
        <f t="shared" si="65"/>
        <v>0</v>
      </c>
      <c r="BB26" s="3242"/>
      <c r="BC26" s="3136">
        <f t="shared" si="50"/>
        <v>0</v>
      </c>
      <c r="BD26" s="3240"/>
      <c r="BE26" s="3145">
        <f t="shared" si="66"/>
        <v>104100</v>
      </c>
      <c r="BF26" s="26"/>
      <c r="BG26" s="26"/>
      <c r="BH26" s="1222"/>
      <c r="BI26" s="1222"/>
      <c r="BJ26" s="1222"/>
      <c r="BK26" s="3218"/>
      <c r="BL26" s="3218"/>
      <c r="BM26" s="26"/>
      <c r="BN26" s="26"/>
      <c r="BO26" s="1222"/>
      <c r="BP26" s="1222"/>
      <c r="BQ26" s="3218"/>
      <c r="BR26" s="3218"/>
      <c r="BS26" s="3218"/>
      <c r="BT26" s="3218"/>
      <c r="BU26" s="3218"/>
      <c r="BV26" s="3218"/>
      <c r="BW26" s="3218"/>
      <c r="BX26" s="3218"/>
      <c r="BY26" s="3218"/>
      <c r="BZ26" s="3218"/>
      <c r="CA26" s="3218"/>
      <c r="CB26" s="3218"/>
      <c r="CC26" s="3218"/>
      <c r="CD26" s="3218"/>
      <c r="CE26" s="3218"/>
      <c r="CF26" s="3218"/>
      <c r="CG26" s="3218"/>
      <c r="CH26" s="3218"/>
      <c r="CI26" s="3218"/>
      <c r="CJ26" s="3218"/>
      <c r="CK26" s="3218"/>
      <c r="CL26" s="3218"/>
      <c r="CM26" s="3218"/>
      <c r="CN26" s="3218"/>
      <c r="CO26" s="3218"/>
      <c r="CP26" s="3218"/>
      <c r="CQ26" s="3218"/>
      <c r="CR26" s="3218"/>
      <c r="CS26" s="3218"/>
      <c r="CT26" s="3218"/>
    </row>
    <row r="27" spans="1:98" s="2909" customFormat="1" ht="15.75" x14ac:dyDescent="0.25">
      <c r="B27" s="3390" t="s">
        <v>1726</v>
      </c>
      <c r="C27" s="813" t="s">
        <v>354</v>
      </c>
      <c r="D27" s="3389"/>
      <c r="E27" s="3236">
        <v>80740.399999999994</v>
      </c>
      <c r="F27" s="3389"/>
      <c r="G27" s="3236"/>
      <c r="H27" s="3240"/>
      <c r="I27" s="3145">
        <f t="shared" si="52"/>
        <v>80740.399999999994</v>
      </c>
      <c r="J27" s="3389"/>
      <c r="K27" s="3236">
        <v>85900</v>
      </c>
      <c r="L27" s="3241"/>
      <c r="M27" s="3135">
        <f t="shared" si="53"/>
        <v>166640.4</v>
      </c>
      <c r="N27" s="3389"/>
      <c r="O27" s="3236">
        <v>80500</v>
      </c>
      <c r="P27" s="3240"/>
      <c r="Q27" s="4842">
        <f t="shared" si="67"/>
        <v>247140.4</v>
      </c>
      <c r="R27" s="3239"/>
      <c r="S27" s="3236">
        <v>40940</v>
      </c>
      <c r="T27" s="3240"/>
      <c r="U27" s="3145">
        <f t="shared" si="56"/>
        <v>288080.40000000002</v>
      </c>
      <c r="V27" s="5099"/>
      <c r="W27" s="3236">
        <v>50600</v>
      </c>
      <c r="X27" s="3241"/>
      <c r="Y27" s="3135">
        <f t="shared" si="57"/>
        <v>172040</v>
      </c>
      <c r="Z27" s="3242"/>
      <c r="AA27" s="3136">
        <f t="shared" si="58"/>
        <v>338680.4</v>
      </c>
      <c r="AB27" s="5438"/>
      <c r="AC27" s="3236">
        <v>55640.1</v>
      </c>
      <c r="AD27" s="3240"/>
      <c r="AE27" s="3145">
        <f t="shared" si="59"/>
        <v>394320.5</v>
      </c>
      <c r="AF27" s="5574"/>
      <c r="AG27" s="3236">
        <v>129020</v>
      </c>
      <c r="AH27" s="3240"/>
      <c r="AI27" s="5575">
        <f t="shared" si="68"/>
        <v>523340.5</v>
      </c>
      <c r="AJ27" s="5971"/>
      <c r="AK27" s="3236">
        <v>91380</v>
      </c>
      <c r="AL27" s="3241"/>
      <c r="AM27" s="3135">
        <f t="shared" si="61"/>
        <v>276040.09999999998</v>
      </c>
      <c r="AN27" s="3240"/>
      <c r="AO27" s="3145">
        <f t="shared" si="62"/>
        <v>614720.5</v>
      </c>
      <c r="AP27" s="6143"/>
      <c r="AQ27" s="3236">
        <v>86840</v>
      </c>
      <c r="AR27" s="3240"/>
      <c r="AS27" s="3145">
        <f t="shared" si="63"/>
        <v>701560.5</v>
      </c>
      <c r="AT27" s="6322"/>
      <c r="AU27" s="3236">
        <v>79520</v>
      </c>
      <c r="AV27" s="3240"/>
      <c r="AW27" s="6323">
        <f t="shared" si="69"/>
        <v>781080.5</v>
      </c>
      <c r="AX27" s="6463"/>
      <c r="AY27" s="3236">
        <v>78559.89</v>
      </c>
      <c r="AZ27" s="3241"/>
      <c r="BA27" s="3135">
        <f t="shared" si="65"/>
        <v>244919.89</v>
      </c>
      <c r="BB27" s="3242"/>
      <c r="BC27" s="3136">
        <f t="shared" si="50"/>
        <v>520959.99</v>
      </c>
      <c r="BD27" s="3240"/>
      <c r="BE27" s="3145">
        <f t="shared" si="66"/>
        <v>859640.39</v>
      </c>
      <c r="BF27" s="26"/>
      <c r="BG27" s="26"/>
      <c r="BH27" s="1222"/>
      <c r="BI27" s="1222"/>
      <c r="BJ27" s="1222"/>
      <c r="BK27" s="3218"/>
      <c r="BL27" s="3218"/>
      <c r="BM27" s="26"/>
      <c r="BN27" s="26"/>
      <c r="BO27" s="1222"/>
      <c r="BP27" s="1222"/>
      <c r="BQ27" s="3218"/>
      <c r="BR27" s="3218"/>
      <c r="BS27" s="3218"/>
      <c r="BT27" s="3218"/>
      <c r="BU27" s="3218"/>
      <c r="BV27" s="3218"/>
      <c r="BW27" s="3218"/>
      <c r="BX27" s="3218"/>
      <c r="BY27" s="3218"/>
      <c r="BZ27" s="3218"/>
      <c r="CA27" s="3218"/>
      <c r="CB27" s="3218"/>
      <c r="CC27" s="3218"/>
      <c r="CD27" s="3218"/>
      <c r="CE27" s="3218"/>
      <c r="CF27" s="3218"/>
      <c r="CG27" s="3218"/>
      <c r="CH27" s="3218"/>
      <c r="CI27" s="3218"/>
      <c r="CJ27" s="3218"/>
      <c r="CK27" s="3218"/>
      <c r="CL27" s="3218"/>
      <c r="CM27" s="3218"/>
      <c r="CN27" s="3218"/>
      <c r="CO27" s="3218"/>
      <c r="CP27" s="3218"/>
      <c r="CQ27" s="3218"/>
      <c r="CR27" s="3218"/>
      <c r="CS27" s="3218"/>
      <c r="CT27" s="3218"/>
    </row>
    <row r="28" spans="1:98" ht="15.75" x14ac:dyDescent="0.25">
      <c r="B28" s="3388" t="s">
        <v>1029</v>
      </c>
      <c r="C28" s="813" t="s">
        <v>354</v>
      </c>
      <c r="D28" s="3391"/>
      <c r="E28" s="3236">
        <f>+SINTER!F14</f>
        <v>0</v>
      </c>
      <c r="F28" s="3391"/>
      <c r="G28" s="3236">
        <f>+SINTER!H14</f>
        <v>0</v>
      </c>
      <c r="H28" s="3240"/>
      <c r="I28" s="3145">
        <f t="shared" si="52"/>
        <v>0</v>
      </c>
      <c r="J28" s="3391"/>
      <c r="K28" s="3236">
        <f>+SINTER!L14</f>
        <v>0</v>
      </c>
      <c r="L28" s="3241"/>
      <c r="M28" s="3135">
        <f t="shared" si="53"/>
        <v>0</v>
      </c>
      <c r="N28" s="3391"/>
      <c r="O28" s="3236">
        <f>+SINTER!P14</f>
        <v>0</v>
      </c>
      <c r="P28" s="3240"/>
      <c r="Q28" s="4842">
        <f t="shared" si="67"/>
        <v>0</v>
      </c>
      <c r="R28" s="3243"/>
      <c r="S28" s="3236">
        <f>+SINTER!T14</f>
        <v>0</v>
      </c>
      <c r="T28" s="3240"/>
      <c r="U28" s="3145">
        <f t="shared" si="56"/>
        <v>0</v>
      </c>
      <c r="V28" s="3243"/>
      <c r="W28" s="3236">
        <f>+SINTER!X14</f>
        <v>864</v>
      </c>
      <c r="X28" s="3241"/>
      <c r="Y28" s="3135">
        <f t="shared" si="57"/>
        <v>864</v>
      </c>
      <c r="Z28" s="3242"/>
      <c r="AA28" s="3136">
        <f t="shared" si="58"/>
        <v>864</v>
      </c>
      <c r="AB28" s="3243"/>
      <c r="AC28" s="3236">
        <f>+SINTER!AD14</f>
        <v>159</v>
      </c>
      <c r="AD28" s="3240"/>
      <c r="AE28" s="3145">
        <f t="shared" si="59"/>
        <v>1023</v>
      </c>
      <c r="AF28" s="3243"/>
      <c r="AG28" s="3236">
        <f>+SINTER!AH14</f>
        <v>0</v>
      </c>
      <c r="AH28" s="3240"/>
      <c r="AI28" s="5575">
        <f t="shared" si="68"/>
        <v>1023</v>
      </c>
      <c r="AJ28" s="3243"/>
      <c r="AK28" s="3236">
        <f>+SINTER!AL14</f>
        <v>469</v>
      </c>
      <c r="AL28" s="3241"/>
      <c r="AM28" s="3135">
        <f t="shared" si="61"/>
        <v>628</v>
      </c>
      <c r="AN28" s="3240"/>
      <c r="AO28" s="3145">
        <f t="shared" si="62"/>
        <v>1492</v>
      </c>
      <c r="AP28" s="3243"/>
      <c r="AQ28" s="3236">
        <f>+SINTER!AR14</f>
        <v>1474</v>
      </c>
      <c r="AR28" s="3240"/>
      <c r="AS28" s="3145">
        <f t="shared" si="63"/>
        <v>2966</v>
      </c>
      <c r="AT28" s="3243"/>
      <c r="AU28" s="3236">
        <f>+SINTER!AV14</f>
        <v>919</v>
      </c>
      <c r="AV28" s="3240"/>
      <c r="AW28" s="6323">
        <f t="shared" si="69"/>
        <v>3885</v>
      </c>
      <c r="AX28" s="3243"/>
      <c r="AY28" s="3236">
        <f>+SINTER!AZ14</f>
        <v>0</v>
      </c>
      <c r="AZ28" s="3241"/>
      <c r="BA28" s="3135">
        <f t="shared" si="65"/>
        <v>2393</v>
      </c>
      <c r="BB28" s="3242"/>
      <c r="BC28" s="3136">
        <f t="shared" si="50"/>
        <v>3021</v>
      </c>
      <c r="BD28" s="3240"/>
      <c r="BE28" s="3145">
        <f t="shared" si="66"/>
        <v>3885</v>
      </c>
      <c r="BF28" s="26"/>
      <c r="BG28" s="26"/>
      <c r="BH28" s="1222"/>
      <c r="BI28" s="1222"/>
      <c r="BJ28" s="1222"/>
      <c r="BK28" s="3218"/>
      <c r="BL28" s="3218"/>
      <c r="BM28" s="26"/>
      <c r="BN28" s="26"/>
      <c r="BO28" s="1222"/>
      <c r="BP28" s="1222"/>
      <c r="BQ28" s="3218"/>
      <c r="BR28" s="3218"/>
      <c r="BS28" s="3218"/>
      <c r="BT28" s="3218"/>
      <c r="BU28" s="3218"/>
      <c r="BV28" s="3218"/>
      <c r="BW28" s="3218"/>
      <c r="BX28" s="3218"/>
      <c r="BY28" s="3218"/>
      <c r="BZ28" s="3218"/>
      <c r="CA28" s="3218"/>
      <c r="CB28" s="3218"/>
      <c r="CC28" s="3218"/>
      <c r="CD28" s="3218"/>
      <c r="CE28" s="3218"/>
      <c r="CF28" s="3218"/>
      <c r="CG28" s="3218"/>
      <c r="CH28" s="3218"/>
      <c r="CI28" s="3218"/>
      <c r="CJ28" s="3218"/>
      <c r="CK28" s="3218"/>
      <c r="CL28" s="3218"/>
      <c r="CM28" s="3218"/>
      <c r="CN28" s="3218"/>
      <c r="CO28" s="3218"/>
      <c r="CP28" s="3218"/>
      <c r="CQ28" s="3218"/>
      <c r="CR28" s="3218"/>
      <c r="CS28" s="3218"/>
      <c r="CT28" s="3218"/>
    </row>
    <row r="29" spans="1:98" ht="15.75" x14ac:dyDescent="0.25">
      <c r="B29" s="3388" t="s">
        <v>1030</v>
      </c>
      <c r="C29" s="813" t="s">
        <v>354</v>
      </c>
      <c r="D29" s="3391"/>
      <c r="E29" s="3236">
        <f>+'B-FCE'!F29</f>
        <v>0</v>
      </c>
      <c r="F29" s="3391"/>
      <c r="G29" s="3236">
        <f>+'B-FCE'!H29</f>
        <v>0</v>
      </c>
      <c r="H29" s="3240"/>
      <c r="I29" s="3145">
        <f t="shared" si="52"/>
        <v>0</v>
      </c>
      <c r="J29" s="3391"/>
      <c r="K29" s="3236">
        <f>+'B-FCE'!L29</f>
        <v>3743.6160000000004</v>
      </c>
      <c r="L29" s="3241"/>
      <c r="M29" s="3135">
        <f t="shared" si="53"/>
        <v>3743.6160000000004</v>
      </c>
      <c r="N29" s="3391"/>
      <c r="O29" s="3236">
        <f>+'B-FCE'!P29</f>
        <v>0</v>
      </c>
      <c r="P29" s="3240"/>
      <c r="Q29" s="4842">
        <f t="shared" si="67"/>
        <v>3743.6160000000004</v>
      </c>
      <c r="R29" s="3243"/>
      <c r="S29" s="3236">
        <f>+'B-FCE'!T29</f>
        <v>0</v>
      </c>
      <c r="T29" s="3240"/>
      <c r="U29" s="3145">
        <f t="shared" si="56"/>
        <v>3743.6160000000004</v>
      </c>
      <c r="V29" s="3243"/>
      <c r="W29" s="3236">
        <f>+'B-FCE'!X29</f>
        <v>0</v>
      </c>
      <c r="X29" s="3241"/>
      <c r="Y29" s="3135">
        <f t="shared" si="57"/>
        <v>0</v>
      </c>
      <c r="Z29" s="3242"/>
      <c r="AA29" s="3136">
        <f t="shared" si="58"/>
        <v>3743.6160000000004</v>
      </c>
      <c r="AB29" s="3243"/>
      <c r="AC29" s="3236">
        <f>+'B-FCE'!AD29</f>
        <v>0</v>
      </c>
      <c r="AD29" s="3240"/>
      <c r="AE29" s="3145">
        <f t="shared" si="59"/>
        <v>3743.6160000000004</v>
      </c>
      <c r="AF29" s="3243"/>
      <c r="AG29" s="3236">
        <f>+'B-FCE'!AH29</f>
        <v>78.72</v>
      </c>
      <c r="AH29" s="3240"/>
      <c r="AI29" s="5575">
        <f t="shared" si="68"/>
        <v>3822.3360000000002</v>
      </c>
      <c r="AJ29" s="3243"/>
      <c r="AK29" s="3236">
        <f>+'B-FCE'!AL29</f>
        <v>52.991999999999997</v>
      </c>
      <c r="AL29" s="3241"/>
      <c r="AM29" s="3135">
        <f t="shared" si="61"/>
        <v>131.71199999999999</v>
      </c>
      <c r="AN29" s="3240"/>
      <c r="AO29" s="3145">
        <f t="shared" si="62"/>
        <v>3875.3280000000004</v>
      </c>
      <c r="AP29" s="3243"/>
      <c r="AQ29" s="3236">
        <f>+'B-FCE'!AR29</f>
        <v>0</v>
      </c>
      <c r="AR29" s="3240"/>
      <c r="AS29" s="3145">
        <f t="shared" si="63"/>
        <v>3875.3280000000004</v>
      </c>
      <c r="AT29" s="3243"/>
      <c r="AU29" s="3236">
        <f>+'B-FCE'!AV29</f>
        <v>0</v>
      </c>
      <c r="AV29" s="3240"/>
      <c r="AW29" s="6323">
        <f t="shared" si="69"/>
        <v>3875.3280000000004</v>
      </c>
      <c r="AX29" s="3243"/>
      <c r="AY29" s="3236">
        <f>+'B-FCE'!AZ29</f>
        <v>0</v>
      </c>
      <c r="AZ29" s="3241"/>
      <c r="BA29" s="3135">
        <f t="shared" si="65"/>
        <v>0</v>
      </c>
      <c r="BB29" s="3242"/>
      <c r="BC29" s="3136">
        <f t="shared" si="50"/>
        <v>131.71199999999999</v>
      </c>
      <c r="BD29" s="3240"/>
      <c r="BE29" s="3145">
        <f t="shared" si="66"/>
        <v>3875.3280000000004</v>
      </c>
      <c r="BF29" s="26"/>
      <c r="BG29" s="26"/>
      <c r="BH29" s="1222"/>
      <c r="BI29" s="1222"/>
      <c r="BJ29" s="1222"/>
      <c r="BK29" s="3218"/>
      <c r="BL29" s="3218"/>
      <c r="BM29" s="26"/>
      <c r="BN29" s="26"/>
      <c r="BO29" s="1222"/>
      <c r="BP29" s="1222"/>
      <c r="BQ29" s="3218"/>
      <c r="BR29" s="3218"/>
      <c r="BS29" s="3218"/>
      <c r="BT29" s="3218"/>
      <c r="BU29" s="3218"/>
      <c r="BV29" s="3218"/>
      <c r="BW29" s="3218"/>
      <c r="BX29" s="3218"/>
      <c r="BY29" s="3218"/>
      <c r="BZ29" s="3218"/>
      <c r="CA29" s="3218"/>
      <c r="CB29" s="3218"/>
      <c r="CC29" s="3218"/>
      <c r="CD29" s="3218"/>
    </row>
    <row r="30" spans="1:98" ht="15.75" x14ac:dyDescent="0.25">
      <c r="B30" s="3388" t="s">
        <v>1130</v>
      </c>
      <c r="C30" s="813" t="s">
        <v>354</v>
      </c>
      <c r="D30" s="3392"/>
      <c r="E30" s="3236">
        <f>+SMS!F122</f>
        <v>0</v>
      </c>
      <c r="F30" s="3392"/>
      <c r="G30" s="3236">
        <f>+SMS!H122</f>
        <v>0</v>
      </c>
      <c r="H30" s="3240"/>
      <c r="I30" s="3145">
        <f t="shared" si="52"/>
        <v>0</v>
      </c>
      <c r="J30" s="3392"/>
      <c r="K30" s="3236">
        <f>+SMS!L122</f>
        <v>0</v>
      </c>
      <c r="L30" s="3241"/>
      <c r="M30" s="3135">
        <f t="shared" si="53"/>
        <v>0</v>
      </c>
      <c r="N30" s="3392"/>
      <c r="O30" s="3236">
        <f>+SMS!P122</f>
        <v>1035</v>
      </c>
      <c r="P30" s="3240"/>
      <c r="Q30" s="4842">
        <f t="shared" si="67"/>
        <v>1035</v>
      </c>
      <c r="R30" s="3244"/>
      <c r="S30" s="3236">
        <f>+SMS!T122</f>
        <v>0</v>
      </c>
      <c r="T30" s="3238"/>
      <c r="U30" s="3145">
        <f t="shared" si="56"/>
        <v>1035</v>
      </c>
      <c r="V30" s="3244"/>
      <c r="W30" s="3236">
        <f>+SMS!X122</f>
        <v>0</v>
      </c>
      <c r="X30" s="3241"/>
      <c r="Y30" s="3135">
        <f t="shared" si="57"/>
        <v>1035</v>
      </c>
      <c r="Z30" s="3242"/>
      <c r="AA30" s="3136">
        <f t="shared" si="58"/>
        <v>1035</v>
      </c>
      <c r="AB30" s="3244"/>
      <c r="AC30" s="3236">
        <f>+SMS!AD122</f>
        <v>0</v>
      </c>
      <c r="AD30" s="3238"/>
      <c r="AE30" s="3145">
        <f t="shared" si="59"/>
        <v>1035</v>
      </c>
      <c r="AF30" s="3244"/>
      <c r="AG30" s="3236">
        <f>+SMS!AH122</f>
        <v>0</v>
      </c>
      <c r="AH30" s="3238"/>
      <c r="AI30" s="5575">
        <f t="shared" si="68"/>
        <v>1035</v>
      </c>
      <c r="AJ30" s="3244"/>
      <c r="AK30" s="3236">
        <f>+SMS!AL122</f>
        <v>0</v>
      </c>
      <c r="AL30" s="3241"/>
      <c r="AM30" s="3135">
        <f t="shared" si="61"/>
        <v>0</v>
      </c>
      <c r="AN30" s="3238"/>
      <c r="AO30" s="3145">
        <f t="shared" si="62"/>
        <v>1035</v>
      </c>
      <c r="AP30" s="3244"/>
      <c r="AQ30" s="3236">
        <f>+SMS!AR122</f>
        <v>0</v>
      </c>
      <c r="AR30" s="3238"/>
      <c r="AS30" s="3145">
        <f t="shared" si="63"/>
        <v>1035</v>
      </c>
      <c r="AT30" s="3244"/>
      <c r="AU30" s="3236">
        <f>+SMS!AV122</f>
        <v>0</v>
      </c>
      <c r="AV30" s="3238"/>
      <c r="AW30" s="6323">
        <f t="shared" si="69"/>
        <v>1035</v>
      </c>
      <c r="AX30" s="3244"/>
      <c r="AY30" s="3236">
        <f>+SMS!AZ122</f>
        <v>0</v>
      </c>
      <c r="AZ30" s="3241"/>
      <c r="BA30" s="3135">
        <f t="shared" si="65"/>
        <v>0</v>
      </c>
      <c r="BB30" s="3242"/>
      <c r="BC30" s="3136">
        <f t="shared" si="50"/>
        <v>0</v>
      </c>
      <c r="BD30" s="3238"/>
      <c r="BE30" s="3145">
        <f t="shared" si="66"/>
        <v>1035</v>
      </c>
      <c r="BF30" s="26"/>
      <c r="BG30" s="26"/>
      <c r="BH30" s="1222"/>
      <c r="BI30" s="1222"/>
      <c r="BJ30" s="1222"/>
      <c r="BM30" s="26"/>
      <c r="BN30" s="26"/>
      <c r="BO30" s="1222"/>
      <c r="BP30" s="1222"/>
    </row>
    <row r="31" spans="1:98" ht="15.75" x14ac:dyDescent="0.25">
      <c r="B31" s="3388" t="s">
        <v>1047</v>
      </c>
      <c r="C31" s="813" t="s">
        <v>354</v>
      </c>
      <c r="D31" s="3389"/>
      <c r="E31" s="3236">
        <f>+E21+E22+E24+E23</f>
        <v>7712.23</v>
      </c>
      <c r="F31" s="3389"/>
      <c r="G31" s="3236">
        <f>+G21+G22+G24+G23</f>
        <v>9134.2500000000018</v>
      </c>
      <c r="H31" s="3240"/>
      <c r="I31" s="3145">
        <f t="shared" si="52"/>
        <v>16846.480000000003</v>
      </c>
      <c r="J31" s="3389"/>
      <c r="K31" s="3236">
        <f>+K21+K22+K24+K23</f>
        <v>4999.8999999999978</v>
      </c>
      <c r="L31" s="3241"/>
      <c r="M31" s="3135">
        <f t="shared" si="53"/>
        <v>21846.38</v>
      </c>
      <c r="N31" s="3389"/>
      <c r="O31" s="3236">
        <f>+O21+O22+O24+O23</f>
        <v>7498.8700000000026</v>
      </c>
      <c r="P31" s="3240"/>
      <c r="Q31" s="4842">
        <f t="shared" si="67"/>
        <v>29345.250000000004</v>
      </c>
      <c r="R31" s="3239"/>
      <c r="S31" s="3236">
        <f>+S21+S22+S24+S23</f>
        <v>0</v>
      </c>
      <c r="T31" s="3240"/>
      <c r="U31" s="3145">
        <f t="shared" si="56"/>
        <v>29345.250000000004</v>
      </c>
      <c r="V31" s="5099"/>
      <c r="W31" s="3236">
        <f>+W21+W22+W24+W23</f>
        <v>4998.6899999999996</v>
      </c>
      <c r="X31" s="3241"/>
      <c r="Y31" s="3135">
        <f t="shared" si="57"/>
        <v>12497.560000000001</v>
      </c>
      <c r="Z31" s="3242"/>
      <c r="AA31" s="3136">
        <f t="shared" si="58"/>
        <v>34343.94</v>
      </c>
      <c r="AB31" s="5438"/>
      <c r="AC31" s="3236">
        <f>+AC21+AC22+AC24+AC23</f>
        <v>2499.8999999999996</v>
      </c>
      <c r="AD31" s="3240"/>
      <c r="AE31" s="3145">
        <f t="shared" si="59"/>
        <v>36843.840000000004</v>
      </c>
      <c r="AF31" s="5574"/>
      <c r="AG31" s="3236">
        <f>+AG21+AG22+AG24+AG23</f>
        <v>5478.9699999999993</v>
      </c>
      <c r="AH31" s="3240"/>
      <c r="AI31" s="5575">
        <f t="shared" si="68"/>
        <v>42322.810000000005</v>
      </c>
      <c r="AJ31" s="5971"/>
      <c r="AK31" s="3236">
        <f>+AK21+AK22+AK24+AK23</f>
        <v>7517.2000000000007</v>
      </c>
      <c r="AL31" s="3241"/>
      <c r="AM31" s="3135">
        <f t="shared" si="61"/>
        <v>15496.07</v>
      </c>
      <c r="AN31" s="3240"/>
      <c r="AO31" s="3145">
        <f t="shared" si="62"/>
        <v>49840.010000000009</v>
      </c>
      <c r="AP31" s="6143"/>
      <c r="AQ31" s="3236">
        <f>+AQ21+AQ22+AQ24+AQ23</f>
        <v>10498.07</v>
      </c>
      <c r="AR31" s="3240"/>
      <c r="AS31" s="3145">
        <f t="shared" si="63"/>
        <v>60338.080000000009</v>
      </c>
      <c r="AT31" s="6322"/>
      <c r="AU31" s="3236">
        <f>+AU21+AU22+AU24+AU23</f>
        <v>7998.24</v>
      </c>
      <c r="AV31" s="3240"/>
      <c r="AW31" s="6323">
        <f t="shared" si="69"/>
        <v>68336.320000000007</v>
      </c>
      <c r="AX31" s="6463"/>
      <c r="AY31" s="3236">
        <f>+AY21+AY22+AY24+AY23</f>
        <v>7705.11</v>
      </c>
      <c r="AZ31" s="3241"/>
      <c r="BA31" s="3135">
        <f t="shared" si="65"/>
        <v>26201.42</v>
      </c>
      <c r="BB31" s="3242"/>
      <c r="BC31" s="3136">
        <f t="shared" si="50"/>
        <v>41697.49</v>
      </c>
      <c r="BD31" s="3240"/>
      <c r="BE31" s="3145">
        <f t="shared" si="66"/>
        <v>76041.430000000008</v>
      </c>
      <c r="BF31" s="26"/>
      <c r="BG31" s="26"/>
      <c r="BH31" s="1222"/>
      <c r="BI31" s="1222"/>
      <c r="BJ31" s="1222"/>
      <c r="BM31" s="26"/>
      <c r="BN31" s="26"/>
      <c r="BO31" s="1222"/>
      <c r="BP31" s="1222"/>
    </row>
    <row r="32" spans="1:98" ht="15.75" x14ac:dyDescent="0.25">
      <c r="B32" s="3388" t="s">
        <v>1359</v>
      </c>
      <c r="C32" s="813" t="s">
        <v>354</v>
      </c>
      <c r="D32" s="3389"/>
      <c r="E32" s="3236"/>
      <c r="F32" s="3389"/>
      <c r="G32" s="3236"/>
      <c r="H32" s="3240"/>
      <c r="I32" s="3145">
        <f t="shared" si="52"/>
        <v>0</v>
      </c>
      <c r="J32" s="3389"/>
      <c r="K32" s="3236">
        <v>0</v>
      </c>
      <c r="L32" s="3241"/>
      <c r="M32" s="3135">
        <f t="shared" si="53"/>
        <v>0</v>
      </c>
      <c r="N32" s="3389"/>
      <c r="O32" s="3236">
        <v>0</v>
      </c>
      <c r="P32" s="3240"/>
      <c r="Q32" s="4842">
        <f t="shared" si="67"/>
        <v>0</v>
      </c>
      <c r="R32" s="3239"/>
      <c r="S32" s="3236">
        <v>0</v>
      </c>
      <c r="T32" s="3240"/>
      <c r="U32" s="3145">
        <f t="shared" si="56"/>
        <v>0</v>
      </c>
      <c r="V32" s="5099"/>
      <c r="W32" s="3236"/>
      <c r="X32" s="3241"/>
      <c r="Y32" s="3135">
        <f t="shared" si="57"/>
        <v>0</v>
      </c>
      <c r="Z32" s="3242"/>
      <c r="AA32" s="3136">
        <f t="shared" si="58"/>
        <v>0</v>
      </c>
      <c r="AB32" s="5438"/>
      <c r="AC32" s="3236"/>
      <c r="AD32" s="3240"/>
      <c r="AE32" s="3145">
        <f t="shared" si="59"/>
        <v>0</v>
      </c>
      <c r="AF32" s="5574"/>
      <c r="AG32" s="3236"/>
      <c r="AH32" s="3240"/>
      <c r="AI32" s="5575">
        <f t="shared" si="68"/>
        <v>0</v>
      </c>
      <c r="AJ32" s="5971"/>
      <c r="AK32" s="3236"/>
      <c r="AL32" s="3241"/>
      <c r="AM32" s="3135">
        <f t="shared" si="61"/>
        <v>0</v>
      </c>
      <c r="AN32" s="3240"/>
      <c r="AO32" s="3145">
        <f t="shared" si="62"/>
        <v>0</v>
      </c>
      <c r="AP32" s="6143"/>
      <c r="AQ32" s="3236"/>
      <c r="AR32" s="3240"/>
      <c r="AS32" s="3145">
        <f t="shared" si="63"/>
        <v>0</v>
      </c>
      <c r="AT32" s="6322"/>
      <c r="AU32" s="3236"/>
      <c r="AV32" s="3240"/>
      <c r="AW32" s="6323">
        <f t="shared" si="69"/>
        <v>0</v>
      </c>
      <c r="AX32" s="6463"/>
      <c r="AY32" s="3236"/>
      <c r="AZ32" s="3241"/>
      <c r="BA32" s="3135">
        <f t="shared" si="65"/>
        <v>0</v>
      </c>
      <c r="BB32" s="3242"/>
      <c r="BC32" s="3136">
        <f t="shared" si="50"/>
        <v>0</v>
      </c>
      <c r="BD32" s="3240"/>
      <c r="BE32" s="3145">
        <f t="shared" si="66"/>
        <v>0</v>
      </c>
      <c r="BF32" s="26"/>
      <c r="BG32" s="26"/>
      <c r="BH32" s="1222"/>
      <c r="BI32" s="1222"/>
      <c r="BJ32" s="1222"/>
      <c r="BM32" s="26"/>
      <c r="BN32" s="26"/>
      <c r="BO32" s="1222"/>
      <c r="BP32" s="1222"/>
    </row>
    <row r="33" spans="2:68" s="5172" customFormat="1" ht="15.75" x14ac:dyDescent="0.25">
      <c r="B33" s="7265" t="s">
        <v>2321</v>
      </c>
      <c r="C33" s="7266" t="s">
        <v>354</v>
      </c>
      <c r="D33" s="7267"/>
      <c r="E33" s="7268"/>
      <c r="F33" s="7267"/>
      <c r="G33" s="7268">
        <v>40</v>
      </c>
      <c r="H33" s="7269"/>
      <c r="I33" s="6323">
        <f t="shared" si="52"/>
        <v>40</v>
      </c>
      <c r="J33" s="7267"/>
      <c r="K33" s="7268"/>
      <c r="L33" s="7270"/>
      <c r="M33" s="7271"/>
      <c r="N33" s="7267"/>
      <c r="O33" s="7268"/>
      <c r="P33" s="7269"/>
      <c r="Q33" s="7262"/>
      <c r="R33" s="7272"/>
      <c r="S33" s="7268"/>
      <c r="T33" s="7269"/>
      <c r="U33" s="7262"/>
      <c r="V33" s="7272"/>
      <c r="W33" s="7268"/>
      <c r="X33" s="7270"/>
      <c r="Y33" s="7271"/>
      <c r="Z33" s="7273"/>
      <c r="AA33" s="7274"/>
      <c r="AB33" s="7272"/>
      <c r="AC33" s="7268"/>
      <c r="AD33" s="7269"/>
      <c r="AE33" s="7262"/>
      <c r="AF33" s="7272"/>
      <c r="AG33" s="7268"/>
      <c r="AH33" s="7269"/>
      <c r="AI33" s="7262"/>
      <c r="AJ33" s="7272"/>
      <c r="AK33" s="7268"/>
      <c r="AL33" s="7270"/>
      <c r="AM33" s="7271"/>
      <c r="AN33" s="7269"/>
      <c r="AO33" s="7262"/>
      <c r="AP33" s="7272"/>
      <c r="AQ33" s="7268"/>
      <c r="AR33" s="7269"/>
      <c r="AS33" s="7262"/>
      <c r="AT33" s="7272"/>
      <c r="AU33" s="7268"/>
      <c r="AV33" s="7269"/>
      <c r="AW33" s="7262"/>
      <c r="AX33" s="7272"/>
      <c r="AY33" s="7268"/>
      <c r="AZ33" s="7270"/>
      <c r="BA33" s="7271"/>
      <c r="BB33" s="7273"/>
      <c r="BC33" s="7274"/>
      <c r="BD33" s="7269"/>
      <c r="BE33" s="7262"/>
      <c r="BF33" s="26"/>
      <c r="BG33" s="26"/>
      <c r="BH33" s="1222"/>
      <c r="BI33" s="1222"/>
      <c r="BJ33" s="1222"/>
      <c r="BM33" s="26"/>
      <c r="BN33" s="26"/>
      <c r="BO33" s="1222"/>
      <c r="BP33" s="1222"/>
    </row>
    <row r="34" spans="2:68" ht="15.75" x14ac:dyDescent="0.25">
      <c r="B34" s="3388" t="s">
        <v>1131</v>
      </c>
      <c r="C34" s="813" t="s">
        <v>354</v>
      </c>
      <c r="D34" s="3389"/>
      <c r="E34" s="3236"/>
      <c r="F34" s="3389"/>
      <c r="G34" s="3236"/>
      <c r="H34" s="3240"/>
      <c r="I34" s="3145">
        <f t="shared" si="52"/>
        <v>0</v>
      </c>
      <c r="J34" s="3389"/>
      <c r="K34" s="3236">
        <v>0</v>
      </c>
      <c r="L34" s="3241"/>
      <c r="M34" s="3135">
        <f t="shared" si="53"/>
        <v>0</v>
      </c>
      <c r="N34" s="3389"/>
      <c r="O34" s="3236">
        <v>0</v>
      </c>
      <c r="P34" s="3240"/>
      <c r="Q34" s="4842">
        <f t="shared" si="67"/>
        <v>0</v>
      </c>
      <c r="R34" s="3239"/>
      <c r="S34" s="3236">
        <v>0</v>
      </c>
      <c r="T34" s="3240"/>
      <c r="U34" s="3145">
        <f t="shared" si="56"/>
        <v>0</v>
      </c>
      <c r="V34" s="5099"/>
      <c r="W34" s="3236"/>
      <c r="X34" s="3241"/>
      <c r="Y34" s="3135">
        <f t="shared" si="57"/>
        <v>0</v>
      </c>
      <c r="Z34" s="3242"/>
      <c r="AA34" s="3136">
        <f t="shared" si="58"/>
        <v>0</v>
      </c>
      <c r="AB34" s="5438"/>
      <c r="AC34" s="3236"/>
      <c r="AD34" s="3240"/>
      <c r="AE34" s="3145">
        <f t="shared" si="59"/>
        <v>0</v>
      </c>
      <c r="AF34" s="5574"/>
      <c r="AG34" s="3236"/>
      <c r="AH34" s="3240"/>
      <c r="AI34" s="5575">
        <f t="shared" si="68"/>
        <v>0</v>
      </c>
      <c r="AJ34" s="5971"/>
      <c r="AK34" s="3236"/>
      <c r="AL34" s="3241"/>
      <c r="AM34" s="3135">
        <f t="shared" si="61"/>
        <v>0</v>
      </c>
      <c r="AN34" s="3240"/>
      <c r="AO34" s="3145">
        <f t="shared" si="62"/>
        <v>0</v>
      </c>
      <c r="AP34" s="6143"/>
      <c r="AQ34" s="3236"/>
      <c r="AR34" s="3240"/>
      <c r="AS34" s="3145">
        <f t="shared" si="63"/>
        <v>0</v>
      </c>
      <c r="AT34" s="6322"/>
      <c r="AU34" s="3236"/>
      <c r="AV34" s="3240"/>
      <c r="AW34" s="6323">
        <f t="shared" si="69"/>
        <v>0</v>
      </c>
      <c r="AX34" s="6463"/>
      <c r="AY34" s="3236"/>
      <c r="AZ34" s="3241"/>
      <c r="BA34" s="3135">
        <f t="shared" si="65"/>
        <v>0</v>
      </c>
      <c r="BB34" s="3242"/>
      <c r="BC34" s="3136">
        <f t="shared" si="50"/>
        <v>0</v>
      </c>
      <c r="BD34" s="3240"/>
      <c r="BE34" s="3145">
        <f t="shared" si="66"/>
        <v>0</v>
      </c>
      <c r="BF34" s="26"/>
      <c r="BG34" s="26"/>
      <c r="BH34" s="1222"/>
      <c r="BI34" s="1222"/>
      <c r="BJ34" s="1222"/>
      <c r="BM34" s="26"/>
      <c r="BN34" s="26"/>
      <c r="BO34" s="1222"/>
      <c r="BP34" s="1222"/>
    </row>
    <row r="35" spans="2:68" ht="15.75" x14ac:dyDescent="0.25">
      <c r="B35" s="3388" t="s">
        <v>2</v>
      </c>
      <c r="C35" s="3393" t="s">
        <v>354</v>
      </c>
      <c r="D35" s="3394"/>
      <c r="E35" s="3236">
        <f>SUM(E26:E34)+E20</f>
        <v>88452.62999999999</v>
      </c>
      <c r="F35" s="3394"/>
      <c r="G35" s="3236">
        <f>SUM(G26:G34)+G20</f>
        <v>113274.25</v>
      </c>
      <c r="H35" s="3250"/>
      <c r="I35" s="3250">
        <f t="shared" ref="I35:BE35" si="70">SUM(I26:I34)+I20</f>
        <v>201726.88</v>
      </c>
      <c r="J35" s="3389"/>
      <c r="K35" s="3236">
        <f>SUM(K26:K34)+K20</f>
        <v>123502.67600000001</v>
      </c>
      <c r="L35" s="3241"/>
      <c r="M35" s="3135">
        <f t="shared" si="70"/>
        <v>325189.55600000004</v>
      </c>
      <c r="N35" s="3389"/>
      <c r="O35" s="3236">
        <f>SUM(O26:O34)+O20</f>
        <v>112333</v>
      </c>
      <c r="P35" s="3240"/>
      <c r="Q35" s="4855">
        <f t="shared" ref="Q35" si="71">SUM(Q26:Q34)+Q20</f>
        <v>437522.55599999998</v>
      </c>
      <c r="R35" s="3250"/>
      <c r="S35" s="3250">
        <f t="shared" si="70"/>
        <v>64066.94</v>
      </c>
      <c r="T35" s="3250"/>
      <c r="U35" s="3250">
        <f t="shared" si="70"/>
        <v>501589.49600000004</v>
      </c>
      <c r="V35" s="3250"/>
      <c r="W35" s="3250">
        <f t="shared" ref="W35" si="72">SUM(W26:W34)+W20</f>
        <v>56462.69</v>
      </c>
      <c r="X35" s="3250"/>
      <c r="Y35" s="3250">
        <f t="shared" si="70"/>
        <v>232862.63</v>
      </c>
      <c r="Z35" s="3250"/>
      <c r="AA35" s="3250">
        <f t="shared" si="70"/>
        <v>558052.18599999999</v>
      </c>
      <c r="AB35" s="3250"/>
      <c r="AC35" s="3250">
        <f t="shared" ref="AC35" si="73">SUM(AC26:AC34)+AC20</f>
        <v>58299</v>
      </c>
      <c r="AD35" s="3250"/>
      <c r="AE35" s="3250">
        <f t="shared" si="70"/>
        <v>616351.18599999999</v>
      </c>
      <c r="AF35" s="3250"/>
      <c r="AG35" s="3250">
        <f t="shared" ref="AG35" si="74">SUM(AG26:AG34)+AG20</f>
        <v>134577.69</v>
      </c>
      <c r="AH35" s="3250"/>
      <c r="AI35" s="3250">
        <f t="shared" ref="AI35" si="75">SUM(AI26:AI34)+AI20</f>
        <v>750928.87600000005</v>
      </c>
      <c r="AJ35" s="3250"/>
      <c r="AK35" s="3250">
        <f t="shared" ref="AK35" si="76">SUM(AK26:AK34)+AK20</f>
        <v>99419.191999999995</v>
      </c>
      <c r="AL35" s="3250"/>
      <c r="AM35" s="3250">
        <f t="shared" si="70"/>
        <v>292295.88199999998</v>
      </c>
      <c r="AN35" s="3250"/>
      <c r="AO35" s="3250">
        <f t="shared" si="70"/>
        <v>850348.06799999997</v>
      </c>
      <c r="AP35" s="3250"/>
      <c r="AQ35" s="3250">
        <f t="shared" ref="AQ35" si="77">SUM(AQ26:AQ34)+AQ20</f>
        <v>98812.07</v>
      </c>
      <c r="AR35" s="3250"/>
      <c r="AS35" s="3250">
        <f t="shared" si="70"/>
        <v>949160.13799999992</v>
      </c>
      <c r="AT35" s="3250"/>
      <c r="AU35" s="3250">
        <f t="shared" ref="AU35" si="78">SUM(AU26:AU34)+AU20</f>
        <v>88437.24</v>
      </c>
      <c r="AV35" s="3250"/>
      <c r="AW35" s="3250">
        <f t="shared" ref="AW35" si="79">SUM(AW26:AW34)+AW20</f>
        <v>1037597.378</v>
      </c>
      <c r="AX35" s="3250"/>
      <c r="AY35" s="3250">
        <f t="shared" ref="AY35" si="80">SUM(AY26:AY34)+AY20</f>
        <v>86265</v>
      </c>
      <c r="AZ35" s="3250"/>
      <c r="BA35" s="3250">
        <f t="shared" si="70"/>
        <v>273514.31</v>
      </c>
      <c r="BB35" s="3250"/>
      <c r="BC35" s="3250">
        <f t="shared" si="70"/>
        <v>565810.19200000004</v>
      </c>
      <c r="BD35" s="3250"/>
      <c r="BE35" s="3250">
        <f t="shared" si="70"/>
        <v>1123862.378</v>
      </c>
      <c r="BH35" s="1222"/>
      <c r="BI35" s="1222"/>
      <c r="BJ35" s="1222"/>
      <c r="BM35" s="26"/>
      <c r="BN35" s="26"/>
      <c r="BO35" s="1222"/>
      <c r="BP35" s="1222"/>
    </row>
    <row r="36" spans="2:68" x14ac:dyDescent="0.25">
      <c r="D36"/>
      <c r="E36"/>
      <c r="F36"/>
      <c r="G36"/>
      <c r="AB36" s="5172"/>
      <c r="AC36" s="5172"/>
      <c r="AT36" s="5172"/>
      <c r="AU36" s="5172"/>
    </row>
    <row r="37" spans="2:68" x14ac:dyDescent="0.25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5747"/>
      <c r="AS37" s="5172"/>
      <c r="AT37" s="5172"/>
      <c r="AU37" s="5747"/>
      <c r="AY37" s="6593"/>
      <c r="BE37" s="5172"/>
    </row>
    <row r="38" spans="2:68" x14ac:dyDescent="0.25">
      <c r="D38"/>
      <c r="E38"/>
      <c r="F38"/>
      <c r="G38"/>
      <c r="AC38" s="26"/>
      <c r="AG38" s="5747"/>
      <c r="AT38" s="5172"/>
      <c r="AU38" s="5172"/>
      <c r="BE38" s="5172"/>
    </row>
    <row r="39" spans="2:68" x14ac:dyDescent="0.25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25">
      <c r="G41" s="117"/>
      <c r="K41" s="117"/>
    </row>
    <row r="42" spans="2:68" x14ac:dyDescent="0.25">
      <c r="AU42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S26:S27">
    <cfRule type="expression" dxfId="56" priority="37">
      <formula>ISBLANK($S$26)</formula>
    </cfRule>
  </conditionalFormatting>
  <conditionalFormatting sqref="S34">
    <cfRule type="expression" dxfId="55" priority="36">
      <formula>ISBLANK($S$34)</formula>
    </cfRule>
  </conditionalFormatting>
  <conditionalFormatting sqref="W26:W27">
    <cfRule type="expression" dxfId="54" priority="19">
      <formula>ISBLANK($S$26)</formula>
    </cfRule>
  </conditionalFormatting>
  <conditionalFormatting sqref="W34">
    <cfRule type="expression" dxfId="53" priority="18">
      <formula>ISBLANK($S$34)</formula>
    </cfRule>
  </conditionalFormatting>
  <conditionalFormatting sqref="AC26:AC27">
    <cfRule type="expression" dxfId="52" priority="17">
      <formula>ISBLANK($S$26)</formula>
    </cfRule>
  </conditionalFormatting>
  <conditionalFormatting sqref="AC34">
    <cfRule type="expression" dxfId="51" priority="16">
      <formula>ISBLANK($S$34)</formula>
    </cfRule>
  </conditionalFormatting>
  <conditionalFormatting sqref="AG26:AG27">
    <cfRule type="expression" dxfId="50" priority="15">
      <formula>ISBLANK($S$26)</formula>
    </cfRule>
  </conditionalFormatting>
  <conditionalFormatting sqref="AG34">
    <cfRule type="expression" dxfId="49" priority="14">
      <formula>ISBLANK($S$34)</formula>
    </cfRule>
  </conditionalFormatting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4">
    <cfRule type="expression" dxfId="46" priority="10">
      <formula>ISBLANK($S$34)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4">
    <cfRule type="expression" dxfId="43" priority="7">
      <formula>ISBLANK($S$34)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4">
    <cfRule type="expression" dxfId="40" priority="4">
      <formula>ISBLANK($S$34)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4">
    <cfRule type="expression" dxfId="37" priority="1">
      <formula>ISBLANK($S$34)</formula>
    </cfRule>
  </conditionalFormatting>
  <printOptions horizontalCentered="1" verticalCentered="1"/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1"/>
  <sheetViews>
    <sheetView topLeftCell="A3" zoomScale="85" zoomScaleNormal="85" workbookViewId="0">
      <pane xSplit="3" topLeftCell="D1" activePane="topRight" state="frozen"/>
      <selection activeCell="N21" sqref="N21:N24"/>
      <selection pane="topRight" activeCell="BL33" sqref="BL33"/>
    </sheetView>
  </sheetViews>
  <sheetFormatPr defaultRowHeight="15" x14ac:dyDescent="0.25"/>
  <cols>
    <col min="1" max="1" width="16.28515625" bestFit="1" customWidth="1"/>
    <col min="2" max="2" width="38" customWidth="1"/>
    <col min="3" max="3" width="18.85546875" customWidth="1"/>
    <col min="4" max="9" width="9.85546875" customWidth="1"/>
    <col min="10" max="10" width="11" hidden="1" customWidth="1"/>
    <col min="11" max="11" width="9.85546875" hidden="1" customWidth="1"/>
    <col min="12" max="12" width="12" hidden="1" customWidth="1"/>
    <col min="13" max="13" width="9.85546875" hidden="1" customWidth="1"/>
    <col min="14" max="14" width="11" hidden="1" customWidth="1"/>
    <col min="15" max="15" width="9.85546875" hidden="1" customWidth="1"/>
    <col min="16" max="17" width="11.28515625" hidden="1" customWidth="1"/>
    <col min="18" max="18" width="11" style="4712" hidden="1" customWidth="1"/>
    <col min="19" max="19" width="9.85546875" style="4712" hidden="1" customWidth="1"/>
    <col min="20" max="21" width="11.28515625" style="4712" hidden="1" customWidth="1"/>
    <col min="22" max="22" width="11" hidden="1" customWidth="1"/>
    <col min="23" max="23" width="9.85546875" hidden="1" customWidth="1"/>
    <col min="24" max="24" width="12" hidden="1" customWidth="1"/>
    <col min="25" max="27" width="11.28515625" hidden="1" customWidth="1"/>
    <col min="28" max="28" width="11" style="5172" hidden="1" customWidth="1"/>
    <col min="29" max="29" width="9.85546875" style="5172" hidden="1" customWidth="1"/>
    <col min="30" max="31" width="11.28515625" hidden="1" customWidth="1"/>
    <col min="32" max="33" width="9.85546875" hidden="1" customWidth="1"/>
    <col min="34" max="35" width="11.28515625" hidden="1" customWidth="1"/>
    <col min="36" max="37" width="9.85546875" hidden="1" customWidth="1"/>
    <col min="38" max="39" width="11.28515625" style="2749" hidden="1" customWidth="1"/>
    <col min="40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69" hidden="1" customWidth="1"/>
    <col min="56" max="57" width="11.28515625" hidden="1" customWidth="1"/>
    <col min="58" max="58" width="18.5703125" customWidth="1"/>
    <col min="59" max="59" width="12.85546875" customWidth="1"/>
  </cols>
  <sheetData>
    <row r="1" spans="1:62" ht="22.5" x14ac:dyDescent="0.3">
      <c r="B1" s="1010" t="s">
        <v>322</v>
      </c>
      <c r="C1" s="1011"/>
      <c r="D1" s="1012"/>
      <c r="E1" s="1011"/>
      <c r="F1" s="1012"/>
      <c r="G1" s="1011"/>
      <c r="H1" s="1011"/>
      <c r="I1" s="1011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s="5172" customFormat="1" ht="22.5" hidden="1" x14ac:dyDescent="0.3">
      <c r="B2" s="6612"/>
      <c r="C2" s="6613" t="s">
        <v>2184</v>
      </c>
      <c r="D2" s="6526">
        <f>+'B-FCE'!E50</f>
        <v>29</v>
      </c>
      <c r="E2" s="6526">
        <f>+'B-FCE'!F50</f>
        <v>26.666666666666664</v>
      </c>
      <c r="F2" s="6526">
        <f>+'B-FCE'!G50</f>
        <v>30.000000000000004</v>
      </c>
      <c r="G2" s="6526">
        <f>+'B-FCE'!H50</f>
        <v>29.791666666666664</v>
      </c>
      <c r="H2" s="6526">
        <f>+'B-FCE'!I50</f>
        <v>59</v>
      </c>
      <c r="I2" s="6526">
        <f>+'B-FCE'!J50</f>
        <v>56.458333333333329</v>
      </c>
      <c r="J2" s="6526">
        <f>+'B-FCE'!K50</f>
        <v>18.999999999999996</v>
      </c>
      <c r="K2" s="6526">
        <f>+'B-FCE'!L50</f>
        <v>25.093750000000004</v>
      </c>
      <c r="L2" s="6526">
        <f>+'B-FCE'!M50</f>
        <v>78</v>
      </c>
      <c r="M2" s="6526">
        <f>+'B-FCE'!N50</f>
        <v>81.552083333333343</v>
      </c>
      <c r="N2" s="6526">
        <f>+'B-FCE'!O50</f>
        <v>9.4999999999999982</v>
      </c>
      <c r="O2" s="6526">
        <f>+'B-FCE'!P50</f>
        <v>30.25001209836914</v>
      </c>
      <c r="P2" s="6526">
        <f>+'B-FCE'!Q50</f>
        <v>87.5</v>
      </c>
      <c r="Q2" s="6526">
        <f>+'B-FCE'!R50</f>
        <v>111.80209543170248</v>
      </c>
      <c r="R2" s="6526">
        <f>+'B-FCE'!S50</f>
        <v>30</v>
      </c>
      <c r="S2" s="6526">
        <f>+'B-FCE'!T50</f>
        <v>29.583333333333336</v>
      </c>
      <c r="T2" s="6526">
        <f>+'B-FCE'!U50</f>
        <v>117.5</v>
      </c>
      <c r="U2" s="6526">
        <f>+'B-FCE'!V50</f>
        <v>141.38542876503581</v>
      </c>
      <c r="V2" s="6526">
        <f>+'B-FCE'!W50</f>
        <v>29</v>
      </c>
      <c r="W2" s="6526">
        <f>+'B-FCE'!X50</f>
        <v>29.916666666666671</v>
      </c>
      <c r="X2" s="6526">
        <f>+'B-FCE'!Y50</f>
        <v>68.5</v>
      </c>
      <c r="Y2" s="6526">
        <f>+'B-FCE'!Z50</f>
        <v>89.750012098369155</v>
      </c>
      <c r="Z2" s="6526">
        <f>+'B-FCE'!AA50</f>
        <v>146.5</v>
      </c>
      <c r="AA2" s="6526">
        <f>+'B-FCE'!AB50</f>
        <v>171.3020954317025</v>
      </c>
      <c r="AB2" s="6526">
        <f>+'B-FCE'!AC50</f>
        <v>29.999999999999996</v>
      </c>
      <c r="AC2" s="6526">
        <f>+'B-FCE'!AD50</f>
        <v>29.965277777777771</v>
      </c>
      <c r="AD2" s="6526">
        <f>+'B-FCE'!AE50</f>
        <v>176.5</v>
      </c>
      <c r="AE2" s="6526">
        <f>+'B-FCE'!AF50</f>
        <v>201.26737320948027</v>
      </c>
      <c r="AF2" s="6526">
        <f>+'B-FCE'!AG50</f>
        <v>29</v>
      </c>
      <c r="AG2" s="6526">
        <f>+'B-FCE'!AH50</f>
        <v>2.8778901789705245</v>
      </c>
      <c r="AH2" s="6526">
        <f>+'B-FCE'!AI50</f>
        <v>205.5</v>
      </c>
      <c r="AI2" s="6526">
        <f>+'B-FCE'!AJ50</f>
        <v>204.14526338845079</v>
      </c>
      <c r="AJ2" s="6526">
        <f>+'B-FCE'!AK50</f>
        <v>29.999999999999996</v>
      </c>
      <c r="AK2" s="6526">
        <f>+'B-FCE'!AL50</f>
        <v>30.753472222222221</v>
      </c>
      <c r="AL2" s="6526">
        <f>+'B-FCE'!AM50</f>
        <v>89</v>
      </c>
      <c r="AM2" s="6526">
        <f>+'B-FCE'!AN50</f>
        <v>63.596640178970517</v>
      </c>
      <c r="AN2" s="6526">
        <f>+'B-FCE'!AO50</f>
        <v>235.5</v>
      </c>
      <c r="AO2" s="6526">
        <f>+'B-FCE'!AP50</f>
        <v>234.89873561067301</v>
      </c>
      <c r="AP2" s="6526">
        <f>+'B-FCE'!AQ50</f>
        <v>29.999999999999996</v>
      </c>
      <c r="AQ2" s="6526">
        <f>+'B-FCE'!AR50</f>
        <v>29.628472222222221</v>
      </c>
      <c r="AR2" s="6526">
        <f>+'B-FCE'!AS50</f>
        <v>265.5</v>
      </c>
      <c r="AS2" s="6526">
        <f>+'B-FCE'!AT50</f>
        <v>264.52720783289521</v>
      </c>
      <c r="AT2" s="6526">
        <f>+'B-FCE'!AU50</f>
        <v>26.999999999999996</v>
      </c>
      <c r="AU2" s="6526">
        <f>+'B-FCE'!AV50</f>
        <v>27.1875</v>
      </c>
      <c r="AV2" s="6526">
        <f>+'B-FCE'!AW50</f>
        <v>292.5</v>
      </c>
      <c r="AW2" s="6526">
        <f>+'B-FCE'!AX50</f>
        <v>291.71470783289521</v>
      </c>
      <c r="AX2" s="6526">
        <f>+'B-FCE'!AY50</f>
        <v>29.999999999999996</v>
      </c>
      <c r="AY2" s="6526">
        <f>+'B-FCE'!AZ50</f>
        <v>30.22569444444445</v>
      </c>
      <c r="AZ2" s="6526">
        <f>+'B-FCE'!BA50</f>
        <v>86.999999999999986</v>
      </c>
      <c r="BA2" s="6526">
        <f>+'B-FCE'!BB50</f>
        <v>87.041666666666671</v>
      </c>
      <c r="BB2" s="6526">
        <f>+'B-FCE'!BC50</f>
        <v>176</v>
      </c>
      <c r="BC2" s="6526">
        <f>+'B-FCE'!BD50</f>
        <v>150.6383068456372</v>
      </c>
      <c r="BD2" s="6526">
        <f>+'B-FCE'!BE50</f>
        <v>322.5</v>
      </c>
      <c r="BE2" s="6526">
        <f>+'B-FCE'!BF50</f>
        <v>321.94040227733967</v>
      </c>
    </row>
    <row r="3" spans="1:62" x14ac:dyDescent="0.25">
      <c r="A3" s="93"/>
      <c r="B3" s="1011"/>
      <c r="C3" s="1013" t="s">
        <v>500</v>
      </c>
      <c r="D3" s="1014">
        <v>30</v>
      </c>
      <c r="E3" s="1015">
        <v>30</v>
      </c>
      <c r="F3" s="1014">
        <v>31</v>
      </c>
      <c r="G3" s="1015">
        <v>31</v>
      </c>
      <c r="H3" s="1015">
        <f>+D3+F3</f>
        <v>61</v>
      </c>
      <c r="I3" s="1015">
        <f>+E3+G3</f>
        <v>61</v>
      </c>
      <c r="J3" s="1014">
        <v>30</v>
      </c>
      <c r="K3" s="1015">
        <v>30</v>
      </c>
      <c r="L3" s="1015">
        <f>+H3+J3</f>
        <v>91</v>
      </c>
      <c r="M3" s="1015">
        <f>+I3+K3</f>
        <v>91</v>
      </c>
      <c r="N3" s="1014">
        <v>31</v>
      </c>
      <c r="O3" s="1015">
        <v>31</v>
      </c>
      <c r="P3" s="1015">
        <f>+L3+N3</f>
        <v>122</v>
      </c>
      <c r="Q3" s="1015">
        <f>+M3+O3</f>
        <v>122</v>
      </c>
      <c r="R3" s="1014">
        <v>31</v>
      </c>
      <c r="S3" s="1015">
        <v>31</v>
      </c>
      <c r="T3" s="1015">
        <f>+P3+R3</f>
        <v>153</v>
      </c>
      <c r="U3" s="1015">
        <f>+Q3+S3</f>
        <v>153</v>
      </c>
      <c r="V3" s="1014">
        <v>30</v>
      </c>
      <c r="W3" s="1015">
        <v>30</v>
      </c>
      <c r="X3" s="1015">
        <f>+N3+R3+V3</f>
        <v>92</v>
      </c>
      <c r="Y3" s="1015">
        <f>+O3+S3+W3</f>
        <v>92</v>
      </c>
      <c r="Z3" s="1015">
        <f>+T3+V3</f>
        <v>183</v>
      </c>
      <c r="AA3" s="1015">
        <f>+U3+W3</f>
        <v>183</v>
      </c>
      <c r="AB3" s="1014">
        <v>31</v>
      </c>
      <c r="AC3" s="1015">
        <v>31</v>
      </c>
      <c r="AD3" s="1015">
        <f>+Z3+AB3</f>
        <v>214</v>
      </c>
      <c r="AE3" s="1015">
        <f>+AA3+AC3</f>
        <v>214</v>
      </c>
      <c r="AF3" s="1014">
        <v>30</v>
      </c>
      <c r="AG3" s="1015">
        <v>30</v>
      </c>
      <c r="AH3" s="1015">
        <f>+AD3+AF3</f>
        <v>244</v>
      </c>
      <c r="AI3" s="1015">
        <f>+AE3+AG3</f>
        <v>244</v>
      </c>
      <c r="AJ3" s="1014">
        <v>31</v>
      </c>
      <c r="AK3" s="1015">
        <v>31</v>
      </c>
      <c r="AL3" s="1015">
        <f>+AB3+AF3+AJ3</f>
        <v>92</v>
      </c>
      <c r="AM3" s="1015">
        <f>+AC3+AG3+AK3</f>
        <v>92</v>
      </c>
      <c r="AN3" s="1015">
        <f>+AH3+AJ3</f>
        <v>275</v>
      </c>
      <c r="AO3" s="1015">
        <f>+AI3+AK3</f>
        <v>275</v>
      </c>
      <c r="AP3" s="1014">
        <v>31</v>
      </c>
      <c r="AQ3" s="1015">
        <v>31</v>
      </c>
      <c r="AR3" s="1015">
        <f>+AN3+AP3</f>
        <v>306</v>
      </c>
      <c r="AS3" s="1015">
        <f>+AO3+AQ3</f>
        <v>306</v>
      </c>
      <c r="AT3" s="1014">
        <v>28</v>
      </c>
      <c r="AU3" s="1015">
        <v>28</v>
      </c>
      <c r="AV3" s="1015">
        <f>+AR3+AT3</f>
        <v>334</v>
      </c>
      <c r="AW3" s="1015">
        <f>+AS3+AU3</f>
        <v>334</v>
      </c>
      <c r="AX3" s="1014">
        <v>31</v>
      </c>
      <c r="AY3" s="1015">
        <v>31</v>
      </c>
      <c r="AZ3" s="1015">
        <f>+AP3+AT3+AX3</f>
        <v>90</v>
      </c>
      <c r="BA3" s="1015">
        <f>+AQ3+AU3+AY3</f>
        <v>90</v>
      </c>
      <c r="BB3" s="1015">
        <f>+AL3+AZ3</f>
        <v>182</v>
      </c>
      <c r="BC3" s="1015">
        <f>+AM3+BA3</f>
        <v>182</v>
      </c>
      <c r="BD3" s="1015">
        <f>+AV3+AX3</f>
        <v>365</v>
      </c>
      <c r="BE3" s="1015">
        <f>+AW3+AY3</f>
        <v>365</v>
      </c>
    </row>
    <row r="4" spans="1:62" x14ac:dyDescent="0.25">
      <c r="A4" s="93"/>
      <c r="B4" s="7544" t="s">
        <v>171</v>
      </c>
      <c r="C4" s="7512" t="s">
        <v>172</v>
      </c>
      <c r="D4" s="7512" t="s">
        <v>2254</v>
      </c>
      <c r="E4" s="7512"/>
      <c r="F4" s="7512" t="s">
        <v>2306</v>
      </c>
      <c r="G4" s="7512"/>
      <c r="H4" s="7513" t="s">
        <v>14</v>
      </c>
      <c r="I4" s="7513"/>
      <c r="J4" s="7512" t="s">
        <v>1903</v>
      </c>
      <c r="K4" s="7512"/>
      <c r="L4" s="7541" t="s">
        <v>637</v>
      </c>
      <c r="M4" s="7541"/>
      <c r="N4" s="7512" t="s">
        <v>1937</v>
      </c>
      <c r="O4" s="7512"/>
      <c r="P4" s="7513" t="s">
        <v>17</v>
      </c>
      <c r="Q4" s="7513"/>
      <c r="R4" s="7512" t="s">
        <v>1961</v>
      </c>
      <c r="S4" s="7512"/>
      <c r="T4" s="7513" t="s">
        <v>18</v>
      </c>
      <c r="U4" s="7513"/>
      <c r="V4" s="7512" t="s">
        <v>1983</v>
      </c>
      <c r="W4" s="7512"/>
      <c r="X4" s="7541" t="s">
        <v>660</v>
      </c>
      <c r="Y4" s="7541"/>
      <c r="Z4" s="7881" t="s">
        <v>657</v>
      </c>
      <c r="AA4" s="7881"/>
      <c r="AB4" s="7512" t="s">
        <v>2002</v>
      </c>
      <c r="AC4" s="7512"/>
      <c r="AD4" s="7513" t="s">
        <v>24</v>
      </c>
      <c r="AE4" s="7513"/>
      <c r="AF4" s="7512" t="s">
        <v>2018</v>
      </c>
      <c r="AG4" s="7512"/>
      <c r="AH4" s="7513" t="s">
        <v>27</v>
      </c>
      <c r="AI4" s="7513"/>
      <c r="AJ4" s="7512" t="s">
        <v>2033</v>
      </c>
      <c r="AK4" s="7512"/>
      <c r="AL4" s="7541" t="s">
        <v>662</v>
      </c>
      <c r="AM4" s="7541"/>
      <c r="AN4" s="7513" t="s">
        <v>1683</v>
      </c>
      <c r="AO4" s="7513"/>
      <c r="AP4" s="7512" t="s">
        <v>2137</v>
      </c>
      <c r="AQ4" s="7512"/>
      <c r="AR4" s="7513" t="s">
        <v>28</v>
      </c>
      <c r="AS4" s="7513"/>
      <c r="AT4" s="7512" t="s">
        <v>2151</v>
      </c>
      <c r="AU4" s="7512"/>
      <c r="AV4" s="7513" t="s">
        <v>30</v>
      </c>
      <c r="AW4" s="7513"/>
      <c r="AX4" s="7512" t="s">
        <v>2163</v>
      </c>
      <c r="AY4" s="7512"/>
      <c r="AZ4" s="7541" t="s">
        <v>663</v>
      </c>
      <c r="BA4" s="7541"/>
      <c r="BB4" s="7881" t="s">
        <v>671</v>
      </c>
      <c r="BC4" s="7881"/>
      <c r="BD4" s="7513" t="s">
        <v>1765</v>
      </c>
      <c r="BE4" s="7513"/>
    </row>
    <row r="5" spans="1:62" ht="15.75" thickBot="1" x14ac:dyDescent="0.3">
      <c r="A5" s="93"/>
      <c r="B5" s="7882"/>
      <c r="C5" s="7883"/>
      <c r="D5" s="3531" t="s">
        <v>173</v>
      </c>
      <c r="E5" s="3532" t="s">
        <v>174</v>
      </c>
      <c r="F5" s="3531" t="s">
        <v>173</v>
      </c>
      <c r="G5" s="3532" t="s">
        <v>174</v>
      </c>
      <c r="H5" s="3533" t="s">
        <v>173</v>
      </c>
      <c r="I5" s="3533" t="s">
        <v>174</v>
      </c>
      <c r="J5" s="814" t="s">
        <v>173</v>
      </c>
      <c r="K5" s="707" t="s">
        <v>174</v>
      </c>
      <c r="L5" s="709" t="s">
        <v>173</v>
      </c>
      <c r="M5" s="709" t="s">
        <v>174</v>
      </c>
      <c r="N5" s="814" t="s">
        <v>173</v>
      </c>
      <c r="O5" s="707" t="s">
        <v>174</v>
      </c>
      <c r="P5" s="708" t="s">
        <v>173</v>
      </c>
      <c r="Q5" s="708" t="s">
        <v>174</v>
      </c>
      <c r="R5" s="814" t="s">
        <v>173</v>
      </c>
      <c r="S5" s="4957" t="s">
        <v>174</v>
      </c>
      <c r="T5" s="4955" t="s">
        <v>173</v>
      </c>
      <c r="U5" s="4955" t="s">
        <v>174</v>
      </c>
      <c r="V5" s="814" t="s">
        <v>173</v>
      </c>
      <c r="W5" s="707" t="s">
        <v>174</v>
      </c>
      <c r="X5" s="709" t="s">
        <v>173</v>
      </c>
      <c r="Y5" s="709" t="s">
        <v>174</v>
      </c>
      <c r="Z5" s="801" t="s">
        <v>173</v>
      </c>
      <c r="AA5" s="801" t="s">
        <v>174</v>
      </c>
      <c r="AB5" s="814" t="s">
        <v>173</v>
      </c>
      <c r="AC5" s="5430" t="s">
        <v>174</v>
      </c>
      <c r="AD5" s="2639" t="s">
        <v>173</v>
      </c>
      <c r="AE5" s="2639" t="s">
        <v>174</v>
      </c>
      <c r="AF5" s="814" t="s">
        <v>173</v>
      </c>
      <c r="AG5" s="2675" t="s">
        <v>174</v>
      </c>
      <c r="AH5" s="2678" t="s">
        <v>173</v>
      </c>
      <c r="AI5" s="2678" t="s">
        <v>174</v>
      </c>
      <c r="AJ5" s="814" t="s">
        <v>173</v>
      </c>
      <c r="AK5" s="2750" t="s">
        <v>174</v>
      </c>
      <c r="AL5" s="2752" t="s">
        <v>173</v>
      </c>
      <c r="AM5" s="2752" t="s">
        <v>174</v>
      </c>
      <c r="AN5" s="2753" t="s">
        <v>173</v>
      </c>
      <c r="AO5" s="2753" t="s">
        <v>174</v>
      </c>
      <c r="AP5" s="814" t="s">
        <v>173</v>
      </c>
      <c r="AQ5" s="2815" t="s">
        <v>174</v>
      </c>
      <c r="AR5" s="2817" t="s">
        <v>173</v>
      </c>
      <c r="AS5" s="2817" t="s">
        <v>174</v>
      </c>
      <c r="AT5" s="814" t="s">
        <v>173</v>
      </c>
      <c r="AU5" s="2850" t="s">
        <v>174</v>
      </c>
      <c r="AV5" s="2851" t="s">
        <v>173</v>
      </c>
      <c r="AW5" s="2851" t="s">
        <v>174</v>
      </c>
      <c r="AX5" s="814" t="s">
        <v>173</v>
      </c>
      <c r="AY5" s="3070" t="s">
        <v>174</v>
      </c>
      <c r="AZ5" s="3072" t="s">
        <v>173</v>
      </c>
      <c r="BA5" s="3072" t="s">
        <v>174</v>
      </c>
      <c r="BB5" s="3073" t="s">
        <v>173</v>
      </c>
      <c r="BC5" s="3073" t="s">
        <v>174</v>
      </c>
      <c r="BD5" s="3071" t="s">
        <v>173</v>
      </c>
      <c r="BE5" s="3071" t="s">
        <v>174</v>
      </c>
    </row>
    <row r="6" spans="1:62" ht="20.25" x14ac:dyDescent="0.25">
      <c r="A6" s="154"/>
      <c r="B6" s="3534" t="s">
        <v>323</v>
      </c>
      <c r="C6" s="3535" t="s">
        <v>501</v>
      </c>
      <c r="D6" s="3536"/>
      <c r="E6" s="3536">
        <f>+'B-FCE'!F50</f>
        <v>26.666666666666664</v>
      </c>
      <c r="F6" s="3536"/>
      <c r="G6" s="3536">
        <f>+'B-FCE'!H50</f>
        <v>29.791666666666664</v>
      </c>
      <c r="H6" s="3536"/>
      <c r="I6" s="3537">
        <f>+'B-FCE'!J50</f>
        <v>56.458333333333329</v>
      </c>
      <c r="J6" s="3536"/>
      <c r="K6" s="3536">
        <f>+'B-FCE'!L50</f>
        <v>25.093750000000004</v>
      </c>
      <c r="L6" s="1017"/>
      <c r="M6" s="1017">
        <f>+'B-FCE'!N50</f>
        <v>81.552083333333343</v>
      </c>
      <c r="N6" s="3536"/>
      <c r="O6" s="3536">
        <f>+'B-FCE'!P50</f>
        <v>30.25001209836914</v>
      </c>
      <c r="P6" s="1017"/>
      <c r="Q6" s="1017">
        <f>+M6+O6</f>
        <v>111.80209543170248</v>
      </c>
      <c r="R6" s="3536"/>
      <c r="S6" s="3536">
        <f>+'B-FCE'!T50</f>
        <v>29.583333333333336</v>
      </c>
      <c r="T6" s="1017"/>
      <c r="U6" s="1017">
        <f>+Q6+S6</f>
        <v>141.38542876503581</v>
      </c>
      <c r="V6" s="3536"/>
      <c r="W6" s="3536">
        <f>+'B-FCE'!X50</f>
        <v>29.916666666666671</v>
      </c>
      <c r="X6" s="1017"/>
      <c r="Y6" s="1017">
        <f>+'B-FCE'!Z50</f>
        <v>89.750012098369155</v>
      </c>
      <c r="Z6" s="1017"/>
      <c r="AA6" s="1017">
        <f>+U6+W6</f>
        <v>171.30209543170247</v>
      </c>
      <c r="AB6" s="3536"/>
      <c r="AC6" s="3536">
        <f>+'B-FCE'!AD50</f>
        <v>29.965277777777771</v>
      </c>
      <c r="AD6" s="1017"/>
      <c r="AE6" s="1017">
        <f>+AA6+AC6</f>
        <v>201.26737320948024</v>
      </c>
      <c r="AF6" s="3536"/>
      <c r="AG6" s="3536">
        <f>+'B-FCE'!AH50</f>
        <v>2.8778901789705245</v>
      </c>
      <c r="AH6" s="1017"/>
      <c r="AI6" s="1017">
        <f>+AE6+AG6</f>
        <v>204.14526338845076</v>
      </c>
      <c r="AJ6" s="3536"/>
      <c r="AK6" s="3536">
        <f>+'B-FCE'!AL50</f>
        <v>30.753472222222221</v>
      </c>
      <c r="AL6" s="1017"/>
      <c r="AM6" s="1017">
        <f>+'B-FCE'!AN50</f>
        <v>63.596640178970517</v>
      </c>
      <c r="AN6" s="1017"/>
      <c r="AO6" s="1017">
        <f>+AI6+AK6</f>
        <v>234.89873561067299</v>
      </c>
      <c r="AP6" s="3536"/>
      <c r="AQ6" s="3536">
        <f>+'B-FCE'!AR50</f>
        <v>29.628472222222221</v>
      </c>
      <c r="AR6" s="1017"/>
      <c r="AS6" s="1017">
        <f>+AO6+AQ6</f>
        <v>264.52720783289521</v>
      </c>
      <c r="AT6" s="3536"/>
      <c r="AU6" s="3536">
        <f>+'B-FCE'!AV50</f>
        <v>27.1875</v>
      </c>
      <c r="AV6" s="1017"/>
      <c r="AW6" s="1017">
        <f>+AS6+AU6</f>
        <v>291.71470783289521</v>
      </c>
      <c r="AX6" s="3536"/>
      <c r="AY6" s="3536">
        <f>+'B-FCE'!AZ50</f>
        <v>30.22569444444445</v>
      </c>
      <c r="AZ6" s="1017"/>
      <c r="BA6" s="1017">
        <f>+'B-FCE'!BB50</f>
        <v>87.041666666666671</v>
      </c>
      <c r="BB6" s="1017"/>
      <c r="BC6" s="3079">
        <f>+AM6+BA6</f>
        <v>150.6383068456372</v>
      </c>
      <c r="BD6" s="1017"/>
      <c r="BE6" s="1017">
        <f>+AW6+AY6</f>
        <v>321.94040227733967</v>
      </c>
    </row>
    <row r="7" spans="1:62" ht="15.75" thickBot="1" x14ac:dyDescent="0.3">
      <c r="A7" s="154"/>
      <c r="B7" s="3521" t="s">
        <v>330</v>
      </c>
      <c r="C7" s="3142" t="s">
        <v>329</v>
      </c>
      <c r="D7" s="3538">
        <v>4225</v>
      </c>
      <c r="E7" s="3262">
        <v>4249.6664147778565</v>
      </c>
      <c r="F7" s="3538">
        <v>4225</v>
      </c>
      <c r="G7" s="3262">
        <v>4249.6948738243291</v>
      </c>
      <c r="H7" s="3133">
        <v>4225</v>
      </c>
      <c r="I7" s="39">
        <f>+((E7*E$3*E13)+(G$3*G7*G13))/(I$3*I13)</f>
        <v>4249.680878760415</v>
      </c>
      <c r="J7" s="3538">
        <v>4225</v>
      </c>
      <c r="K7" s="3262">
        <v>4249.1833363804672</v>
      </c>
      <c r="L7" s="782">
        <v>4225</v>
      </c>
      <c r="M7" s="782">
        <f>+((I7*I$3*I13)+(K$3*K7*K13))/(M$3*M13)</f>
        <v>4249.5191666156315</v>
      </c>
      <c r="N7" s="3538">
        <v>4225</v>
      </c>
      <c r="O7" s="3262">
        <v>4250.4713977513138</v>
      </c>
      <c r="P7" s="783">
        <v>4225</v>
      </c>
      <c r="Q7" s="783">
        <f>+((M7*M$3*M13)+(O$3*O7*O13))/(Q$3*Q13)</f>
        <v>4249.7627943321804</v>
      </c>
      <c r="R7" s="3538">
        <v>4225</v>
      </c>
      <c r="S7" s="3262">
        <v>4248.8714848940208</v>
      </c>
      <c r="T7" s="4953"/>
      <c r="U7" s="4953">
        <f>+((Q7*Q$3*Q13)+(S$3*S7*S13))/(U$3*U13)</f>
        <v>4249.5794670094883</v>
      </c>
      <c r="V7" s="3538">
        <v>4225</v>
      </c>
      <c r="W7" s="3262">
        <v>4252.1953363632956</v>
      </c>
      <c r="X7" s="782">
        <v>4225</v>
      </c>
      <c r="Y7" s="782">
        <f>+((O7*O$3*O13)+(S7*S$3*S13)+(W$3*W7*W13))/(Y$3*Y13)</f>
        <v>4250.4966365699474</v>
      </c>
      <c r="Z7" s="465">
        <v>4225</v>
      </c>
      <c r="AA7" s="465">
        <f>+((M7*M$3*M13)+(Y$3*Y7*Y13))/(AA$3*AA13)</f>
        <v>4250.0150767769865</v>
      </c>
      <c r="AB7" s="3538">
        <v>4225</v>
      </c>
      <c r="AC7" s="3262">
        <v>4248.3304023727469</v>
      </c>
      <c r="AD7" s="2399">
        <v>4225</v>
      </c>
      <c r="AE7" s="2399">
        <f>+((AA7*AA$3*AA13)+(AC$3*AC7*AC13))/(AE$3*AE13)</f>
        <v>4249.7682507072304</v>
      </c>
      <c r="AF7" s="3538">
        <v>4225</v>
      </c>
      <c r="AG7" s="3262">
        <v>4240.0672773491769</v>
      </c>
      <c r="AH7" s="5568">
        <v>4225</v>
      </c>
      <c r="AI7" s="5568">
        <f>+((AE7*AE$3*AE13)+(AG$3*AG7*AG13))/(AI$3*AI13)</f>
        <v>4248.6473022595983</v>
      </c>
      <c r="AJ7" s="3538">
        <v>4225</v>
      </c>
      <c r="AK7" s="3262">
        <v>4251.5786167176348</v>
      </c>
      <c r="AL7" s="2746">
        <v>4225</v>
      </c>
      <c r="AM7" s="2746">
        <f>+((AC7*AC$3*AC13)+(AG7*AG$3*AG13)+(AK$3*AK7*AK13))/(AM$3*AM13)</f>
        <v>4246.9057345139272</v>
      </c>
      <c r="AN7" s="2399">
        <v>4225</v>
      </c>
      <c r="AO7" s="2399">
        <f>+((AI7*AI$3*AI13)+(AK$3*AK7*AK13))/(AO$3*AO13)</f>
        <v>4248.9835978438932</v>
      </c>
      <c r="AP7" s="3538">
        <v>4225</v>
      </c>
      <c r="AQ7" s="3262">
        <v>4250.05</v>
      </c>
      <c r="AR7" s="2399">
        <v>4225</v>
      </c>
      <c r="AS7" s="2399">
        <f>+((AO7*AO$3*AO13)+(AQ$3*AQ7*AQ13))/(AS$3*AS13)</f>
        <v>4249.0931998534143</v>
      </c>
      <c r="AT7" s="3538">
        <v>4225</v>
      </c>
      <c r="AU7" s="3262">
        <v>4250.588328855566</v>
      </c>
      <c r="AV7" s="6315">
        <v>4225</v>
      </c>
      <c r="AW7" s="6315">
        <f>+((AS7*AS$3*AS13)+(AU$3*AU7*AU13))/(AW$3*AW13)</f>
        <v>4249.2194712234068</v>
      </c>
      <c r="AX7" s="3538">
        <v>4225</v>
      </c>
      <c r="AY7" s="3262">
        <v>4252.3013512785337</v>
      </c>
      <c r="AZ7" s="3066">
        <v>4225</v>
      </c>
      <c r="BA7" s="3066">
        <f>+((AQ7*AQ$3*AQ13)+(AU7*AU$3*AU13)+(AY$3*AY7*AY13))/(BA$3*BA13)</f>
        <v>4250.9932921074751</v>
      </c>
      <c r="BB7" s="3064">
        <v>4225</v>
      </c>
      <c r="BC7" s="3064">
        <f>+((AM7*AM$3*AM13)+(BA$3*BA7*BA13))/(BC$3*BC13)</f>
        <v>4248.9497119384887</v>
      </c>
      <c r="BD7" s="2399">
        <v>4225</v>
      </c>
      <c r="BE7" s="6584">
        <f>+((AW7*AW$3*AW13)+(AY$3*AY7*AY13))/(BE$3*BE13)</f>
        <v>4249.4842859367373</v>
      </c>
      <c r="BF7" s="26"/>
      <c r="BG7" s="26"/>
      <c r="BH7" s="26"/>
      <c r="BI7" s="1222"/>
      <c r="BJ7" s="1222"/>
    </row>
    <row r="8" spans="1:62" ht="15.75" hidden="1" customHeight="1" thickBot="1" x14ac:dyDescent="0.3">
      <c r="A8" s="154"/>
      <c r="B8" s="3539" t="s">
        <v>331</v>
      </c>
      <c r="C8" s="3515" t="s">
        <v>997</v>
      </c>
      <c r="D8" s="3516">
        <v>21.772333333333332</v>
      </c>
      <c r="E8" s="3517"/>
      <c r="F8" s="3516">
        <v>21.772333333333332</v>
      </c>
      <c r="G8" s="3517"/>
      <c r="H8" s="3478"/>
      <c r="I8" s="165"/>
      <c r="J8" s="3516">
        <v>21.651622777777774</v>
      </c>
      <c r="K8" s="3517"/>
      <c r="L8" s="782"/>
      <c r="M8" s="782"/>
      <c r="N8" s="3516">
        <v>21.327999999999999</v>
      </c>
      <c r="O8" s="3517"/>
      <c r="P8" s="783"/>
      <c r="Q8" s="783"/>
      <c r="R8" s="3516">
        <v>21.327999999999999</v>
      </c>
      <c r="S8" s="3517"/>
      <c r="T8" s="4953"/>
      <c r="U8" s="4953"/>
      <c r="V8" s="3516">
        <v>21.327999999999999</v>
      </c>
      <c r="W8" s="3517"/>
      <c r="X8" s="782"/>
      <c r="Y8" s="782"/>
      <c r="Z8" s="465"/>
      <c r="AA8" s="465"/>
      <c r="AB8" s="3516">
        <v>21.327999999999999</v>
      </c>
      <c r="AC8" s="3517"/>
      <c r="AD8" s="2399"/>
      <c r="AE8" s="2399"/>
      <c r="AF8" s="3516">
        <v>21.327999999999999</v>
      </c>
      <c r="AG8" s="3517"/>
      <c r="AH8" s="5568"/>
      <c r="AI8" s="5568"/>
      <c r="AJ8" s="3516">
        <v>21.327999999999999</v>
      </c>
      <c r="AK8" s="3517"/>
      <c r="AL8" s="2746"/>
      <c r="AM8" s="2746"/>
      <c r="AN8" s="2399"/>
      <c r="AO8" s="2399"/>
      <c r="AP8" s="3516">
        <v>21.327999999999999</v>
      </c>
      <c r="AQ8" s="3517"/>
      <c r="AR8" s="2399"/>
      <c r="AS8" s="2399"/>
      <c r="AT8" s="3516">
        <v>21.327999999999999</v>
      </c>
      <c r="AU8" s="3517"/>
      <c r="AV8" s="6315"/>
      <c r="AW8" s="6315"/>
      <c r="AX8" s="3516">
        <v>21.327999999999999</v>
      </c>
      <c r="AY8" s="3517"/>
      <c r="AZ8" s="3066"/>
      <c r="BA8" s="3066"/>
      <c r="BB8" s="3064"/>
      <c r="BC8" s="3064"/>
      <c r="BD8" s="2399"/>
      <c r="BE8" s="2399"/>
      <c r="BF8" s="26"/>
      <c r="BG8" s="26"/>
      <c r="BH8" s="26"/>
      <c r="BI8" s="1222"/>
      <c r="BJ8" s="1222"/>
    </row>
    <row r="9" spans="1:62" x14ac:dyDescent="0.25">
      <c r="A9" s="154"/>
      <c r="B9" s="3519" t="s">
        <v>331</v>
      </c>
      <c r="C9" s="820" t="s">
        <v>326</v>
      </c>
      <c r="D9" s="275">
        <f>+D8*24*D3</f>
        <v>15676.079999999998</v>
      </c>
      <c r="E9" s="3520">
        <v>15580.930000000004</v>
      </c>
      <c r="F9" s="275">
        <f>+F8*24*F3</f>
        <v>16198.615999999998</v>
      </c>
      <c r="G9" s="3520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15589.168399999997</v>
      </c>
      <c r="K9" s="3520">
        <v>15680.077700000005</v>
      </c>
      <c r="L9" s="782">
        <f>+H9+J9</f>
        <v>47463.864399999991</v>
      </c>
      <c r="M9" s="782">
        <f>+I9+K9</f>
        <v>47426.267700000011</v>
      </c>
      <c r="N9" s="275">
        <f>+N8*24*N3</f>
        <v>15868.031999999999</v>
      </c>
      <c r="O9" s="3520">
        <v>16123.679999999997</v>
      </c>
      <c r="P9" s="783">
        <f>+L9+N9</f>
        <v>63331.896399999991</v>
      </c>
      <c r="Q9" s="783">
        <f>+M9+O9</f>
        <v>63549.947700000004</v>
      </c>
      <c r="R9" s="275">
        <f>+R8*24*R3</f>
        <v>15868.031999999999</v>
      </c>
      <c r="S9" s="3520">
        <v>16255.430000000004</v>
      </c>
      <c r="T9" s="4953">
        <f>+P9+R9</f>
        <v>79199.92839999999</v>
      </c>
      <c r="U9" s="4953">
        <f>+Q9+S9</f>
        <v>79805.377700000012</v>
      </c>
      <c r="V9" s="275">
        <f>+V8*24*V3</f>
        <v>15356.159999999998</v>
      </c>
      <c r="W9" s="3520">
        <v>15733.509192805273</v>
      </c>
      <c r="X9" s="782">
        <f>+V9+R9+N9</f>
        <v>47092.223999999995</v>
      </c>
      <c r="Y9" s="782">
        <f>+W9+S9+O9</f>
        <v>48112.619192805272</v>
      </c>
      <c r="Z9" s="465">
        <f>+L9+X9</f>
        <v>94556.088399999979</v>
      </c>
      <c r="AA9" s="465">
        <f>+Y9+M9</f>
        <v>95538.886892805283</v>
      </c>
      <c r="AB9" s="275">
        <f>+AB8*24*AB3</f>
        <v>15868.031999999999</v>
      </c>
      <c r="AC9" s="3520">
        <v>16240.02</v>
      </c>
      <c r="AD9" s="2399">
        <f>+Z9+AB9</f>
        <v>110424.12039999999</v>
      </c>
      <c r="AE9" s="2399">
        <f>+AA9+AC9</f>
        <v>111778.90689280529</v>
      </c>
      <c r="AF9" s="275">
        <f>+AF8*24*AF3</f>
        <v>15356.159999999998</v>
      </c>
      <c r="AG9" s="3520">
        <v>14741.710000000003</v>
      </c>
      <c r="AH9" s="5568">
        <f>+AD9+AF9</f>
        <v>125780.28039999999</v>
      </c>
      <c r="AI9" s="5568">
        <f>+AE9+AG9</f>
        <v>126520.61689280529</v>
      </c>
      <c r="AJ9" s="275">
        <f>+AJ8*24*AJ3</f>
        <v>15868.031999999999</v>
      </c>
      <c r="AK9" s="3520">
        <v>16225.960000000003</v>
      </c>
      <c r="AL9" s="2746">
        <f>+AJ9+AF9+AB9</f>
        <v>47092.223999999995</v>
      </c>
      <c r="AM9" s="2746">
        <f>+AK9+AG9+AC9</f>
        <v>47207.69</v>
      </c>
      <c r="AN9" s="2399">
        <f>+AH9+AJ9</f>
        <v>141648.3124</v>
      </c>
      <c r="AO9" s="2399">
        <f>+AI9+AK9</f>
        <v>142746.57689280529</v>
      </c>
      <c r="AP9" s="275">
        <f>+AP8*24*AP3</f>
        <v>15868.031999999999</v>
      </c>
      <c r="AQ9" s="3520">
        <v>16214.94</v>
      </c>
      <c r="AR9" s="2399">
        <f>+AN9+AP9</f>
        <v>157516.3444</v>
      </c>
      <c r="AS9" s="2399">
        <f>+AO9+AQ9</f>
        <v>158961.51689280529</v>
      </c>
      <c r="AT9" s="275">
        <f>+AT8*24*AT3</f>
        <v>14332.415999999999</v>
      </c>
      <c r="AU9" s="3520">
        <v>14603.014000000003</v>
      </c>
      <c r="AV9" s="6315">
        <f>+AR9+AT9</f>
        <v>171848.7604</v>
      </c>
      <c r="AW9" s="6315">
        <f>+AS9+AU9</f>
        <v>173564.53089280528</v>
      </c>
      <c r="AX9" s="275">
        <f>+AX8*24*AX3</f>
        <v>15868.031999999999</v>
      </c>
      <c r="AY9" s="3520">
        <v>16202.27</v>
      </c>
      <c r="AZ9" s="3066">
        <f>+AX9+AT9+AP9</f>
        <v>46068.479999999996</v>
      </c>
      <c r="BA9" s="3066">
        <f>+AY9+AU9+AQ9</f>
        <v>47020.224000000002</v>
      </c>
      <c r="BB9" s="3064">
        <f>+AL9+AZ9</f>
        <v>93160.703999999998</v>
      </c>
      <c r="BC9" s="3074">
        <f t="shared" ref="BC9:BC11" si="0">+AM9+BA9</f>
        <v>94227.914000000004</v>
      </c>
      <c r="BD9" s="2399">
        <f>+AV9+AX9</f>
        <v>187716.79240000001</v>
      </c>
      <c r="BE9" s="2399">
        <f>+AW9+AY9</f>
        <v>189766.80089280527</v>
      </c>
      <c r="BF9" s="26"/>
      <c r="BG9" s="26"/>
      <c r="BH9" s="26"/>
      <c r="BI9" s="26"/>
      <c r="BJ9" s="1222"/>
    </row>
    <row r="10" spans="1:62" ht="15" hidden="1" customHeight="1" x14ac:dyDescent="0.25">
      <c r="A10" s="154"/>
      <c r="B10" s="3521" t="s">
        <v>332</v>
      </c>
      <c r="C10" s="3142" t="s">
        <v>997</v>
      </c>
      <c r="D10" s="3202">
        <v>43.801916666666671</v>
      </c>
      <c r="E10" s="3262"/>
      <c r="F10" s="7230">
        <v>43.801916666666671</v>
      </c>
      <c r="G10" s="3262"/>
      <c r="H10" s="3133"/>
      <c r="I10" s="39"/>
      <c r="J10" s="4617">
        <v>42.91097972222223</v>
      </c>
      <c r="K10" s="3262"/>
      <c r="L10" s="782"/>
      <c r="M10" s="782"/>
      <c r="N10" s="4812">
        <v>42.042919354838709</v>
      </c>
      <c r="O10" s="3262"/>
      <c r="P10" s="783"/>
      <c r="Q10" s="783"/>
      <c r="R10" s="4962">
        <v>44.248875000000005</v>
      </c>
      <c r="S10" s="3262"/>
      <c r="T10" s="4953"/>
      <c r="U10" s="4953"/>
      <c r="V10" s="5178">
        <v>44.248875000000005</v>
      </c>
      <c r="W10" s="3262"/>
      <c r="X10" s="782"/>
      <c r="Y10" s="782"/>
      <c r="Z10" s="465"/>
      <c r="AA10" s="465"/>
      <c r="AB10" s="5431">
        <v>44.248875000000005</v>
      </c>
      <c r="AC10" s="3262"/>
      <c r="AD10" s="2399"/>
      <c r="AE10" s="2399"/>
      <c r="AF10" s="5571">
        <v>44.248875000000005</v>
      </c>
      <c r="AG10" s="3262"/>
      <c r="AH10" s="5568"/>
      <c r="AI10" s="5568"/>
      <c r="AJ10" s="5995">
        <v>44.248875000000005</v>
      </c>
      <c r="AK10" s="3262"/>
      <c r="AL10" s="2746"/>
      <c r="AM10" s="2746"/>
      <c r="AN10" s="2399"/>
      <c r="AO10" s="2399"/>
      <c r="AP10" s="6140">
        <v>44.248875000000005</v>
      </c>
      <c r="AQ10" s="3262"/>
      <c r="AR10" s="2399"/>
      <c r="AS10" s="2399"/>
      <c r="AT10" s="6320">
        <v>44.248875000000005</v>
      </c>
      <c r="AU10" s="3262"/>
      <c r="AV10" s="6315"/>
      <c r="AW10" s="6315"/>
      <c r="AX10" s="6591">
        <v>44.248875000000005</v>
      </c>
      <c r="AY10" s="3262"/>
      <c r="AZ10" s="3066"/>
      <c r="BA10" s="3066"/>
      <c r="BB10" s="3074">
        <f t="shared" ref="BB10:BB11" si="1">+AL10+AZ10</f>
        <v>0</v>
      </c>
      <c r="BC10" s="3074">
        <f t="shared" si="0"/>
        <v>0</v>
      </c>
      <c r="BD10" s="2399"/>
      <c r="BE10" s="2399"/>
      <c r="BF10" s="26"/>
      <c r="BG10" s="26"/>
      <c r="BH10" s="26"/>
      <c r="BI10" s="26"/>
      <c r="BJ10" s="1222"/>
    </row>
    <row r="11" spans="1:62" x14ac:dyDescent="0.25">
      <c r="A11" s="154"/>
      <c r="B11" s="3521" t="s">
        <v>332</v>
      </c>
      <c r="C11" s="3142" t="s">
        <v>326</v>
      </c>
      <c r="D11" s="3202">
        <f>+D10*D3*24</f>
        <v>31537.380000000005</v>
      </c>
      <c r="E11" s="3262">
        <v>31261.599999999999</v>
      </c>
      <c r="F11" s="7230">
        <f>+F10*F3*24</f>
        <v>32588.626</v>
      </c>
      <c r="G11" s="3262">
        <v>32246.775915850627</v>
      </c>
      <c r="H11" s="3133">
        <f>+D11+F11</f>
        <v>64126.006000000008</v>
      </c>
      <c r="I11" s="39">
        <f>+E11+G11</f>
        <v>63508.375915850629</v>
      </c>
      <c r="J11" s="4617">
        <f>+J10*J3*24</f>
        <v>30895.905400000003</v>
      </c>
      <c r="K11" s="3262">
        <v>30187.800000000007</v>
      </c>
      <c r="L11" s="782">
        <f>+H11+J11</f>
        <v>95021.911400000012</v>
      </c>
      <c r="M11" s="782">
        <f>+I11+K11</f>
        <v>93696.175915850632</v>
      </c>
      <c r="N11" s="4812">
        <f>+N10*N3*24</f>
        <v>31279.932000000001</v>
      </c>
      <c r="O11" s="3262">
        <v>32396.180000000004</v>
      </c>
      <c r="P11" s="783">
        <f>+L11+N11</f>
        <v>126301.84340000001</v>
      </c>
      <c r="Q11" s="783">
        <f>+M11+O11</f>
        <v>126092.35591585064</v>
      </c>
      <c r="R11" s="4962">
        <f>+R10*R3*24</f>
        <v>32921.163</v>
      </c>
      <c r="S11" s="3262">
        <v>32851.200000000012</v>
      </c>
      <c r="T11" s="4953">
        <f>+P11+R11</f>
        <v>159223.00640000001</v>
      </c>
      <c r="U11" s="4953">
        <f>+Q11+S11</f>
        <v>158943.55591585065</v>
      </c>
      <c r="V11" s="5178">
        <f>+V10*V3*24</f>
        <v>31859.190000000002</v>
      </c>
      <c r="W11" s="3262">
        <v>31967.860000000011</v>
      </c>
      <c r="X11" s="782">
        <f>+V11+R11+N11</f>
        <v>96060.285000000003</v>
      </c>
      <c r="Y11" s="782">
        <f>+W11+S11+O11</f>
        <v>97215.240000000034</v>
      </c>
      <c r="Z11" s="465">
        <f>+L11+X11</f>
        <v>191082.19640000002</v>
      </c>
      <c r="AA11" s="465">
        <f>+Y11+M11</f>
        <v>190911.41591585067</v>
      </c>
      <c r="AB11" s="5431">
        <f>+AB10*AB3*24</f>
        <v>32921.163</v>
      </c>
      <c r="AC11" s="3262">
        <v>32933.039999999986</v>
      </c>
      <c r="AD11" s="2399">
        <f>+Z11+AB11</f>
        <v>224003.35940000002</v>
      </c>
      <c r="AE11" s="2399">
        <f>+AA11+AC11</f>
        <v>223844.45591585065</v>
      </c>
      <c r="AF11" s="5571">
        <f>+AF10*AF3*24</f>
        <v>31859.190000000002</v>
      </c>
      <c r="AG11" s="3262">
        <v>29106.238165355266</v>
      </c>
      <c r="AH11" s="5568">
        <f>+AD11+AF11</f>
        <v>255862.54940000002</v>
      </c>
      <c r="AI11" s="5568">
        <f>+AE11+AG11</f>
        <v>252950.6940812059</v>
      </c>
      <c r="AJ11" s="5995">
        <f>+AJ10*AJ3*24</f>
        <v>32921.163</v>
      </c>
      <c r="AK11" s="3262">
        <v>32950.763737421148</v>
      </c>
      <c r="AL11" s="2746">
        <f>+AJ11+AF11+AB11</f>
        <v>97701.516000000003</v>
      </c>
      <c r="AM11" s="2746">
        <f>+AK11+AG11+AC11</f>
        <v>94990.0419027764</v>
      </c>
      <c r="AN11" s="2399">
        <f>+AH11+AJ11</f>
        <v>288783.71240000002</v>
      </c>
      <c r="AO11" s="2399">
        <f>+AI11+AK11</f>
        <v>285901.45781862707</v>
      </c>
      <c r="AP11" s="6140">
        <f>+AP10*AP3*24</f>
        <v>32921.163</v>
      </c>
      <c r="AQ11" s="3262">
        <v>32886.94</v>
      </c>
      <c r="AR11" s="2399">
        <f>+AN11+AP11</f>
        <v>321704.87540000002</v>
      </c>
      <c r="AS11" s="2399">
        <f>+AO11+AQ11</f>
        <v>318788.39781862707</v>
      </c>
      <c r="AT11" s="6320">
        <f>+AT10*AT3*24</f>
        <v>29735.244000000006</v>
      </c>
      <c r="AU11" s="3262">
        <v>29467.409999999993</v>
      </c>
      <c r="AV11" s="6315">
        <f>+AR11+AT11</f>
        <v>351440.11940000003</v>
      </c>
      <c r="AW11" s="6315">
        <f>+AS11+AU11</f>
        <v>348255.80781862704</v>
      </c>
      <c r="AX11" s="6591">
        <f>+AX10*AX3*24</f>
        <v>32921.163</v>
      </c>
      <c r="AY11" s="3262">
        <v>32850.799999999988</v>
      </c>
      <c r="AZ11" s="3066">
        <f>+AX11+AT11+AP11</f>
        <v>95577.57</v>
      </c>
      <c r="BA11" s="3066">
        <f>+AY11+AU11+AQ11</f>
        <v>95205.14999999998</v>
      </c>
      <c r="BB11" s="3074">
        <f t="shared" si="1"/>
        <v>193279.08600000001</v>
      </c>
      <c r="BC11" s="3074">
        <f t="shared" si="0"/>
        <v>190195.19190277637</v>
      </c>
      <c r="BD11" s="2399">
        <f>+AV11+AX11</f>
        <v>384361.28240000003</v>
      </c>
      <c r="BE11" s="2399">
        <f>+AW11+AY11</f>
        <v>381106.60781862703</v>
      </c>
      <c r="BF11" s="26"/>
      <c r="BG11" s="26"/>
      <c r="BH11" s="26"/>
      <c r="BI11" s="26"/>
      <c r="BJ11" s="1222"/>
    </row>
    <row r="12" spans="1:62" ht="19.5" thickBot="1" x14ac:dyDescent="0.3">
      <c r="B12" s="3522" t="s">
        <v>333</v>
      </c>
      <c r="C12" s="2586" t="s">
        <v>326</v>
      </c>
      <c r="D12" s="2587">
        <f t="shared" ref="D12:E12" si="2">+D9+D11</f>
        <v>47213.460000000006</v>
      </c>
      <c r="E12" s="3523">
        <f t="shared" si="2"/>
        <v>46842.53</v>
      </c>
      <c r="F12" s="2587">
        <f t="shared" ref="F12:G12" si="3">+F9+F11</f>
        <v>48787.241999999998</v>
      </c>
      <c r="G12" s="3523">
        <f t="shared" si="3"/>
        <v>48412.035915850633</v>
      </c>
      <c r="H12" s="2588">
        <f t="shared" ref="H12:K12" si="4">+H9+H11</f>
        <v>96000.702000000005</v>
      </c>
      <c r="I12" s="3524">
        <f t="shared" si="4"/>
        <v>95254.565915850631</v>
      </c>
      <c r="J12" s="2587">
        <f t="shared" si="4"/>
        <v>46485.073799999998</v>
      </c>
      <c r="K12" s="3523">
        <f t="shared" si="4"/>
        <v>45867.877700000012</v>
      </c>
      <c r="L12" s="650">
        <f t="shared" ref="L12:Q12" si="5">+L9+L11</f>
        <v>142485.7758</v>
      </c>
      <c r="M12" s="650">
        <f t="shared" si="5"/>
        <v>141122.44361585064</v>
      </c>
      <c r="N12" s="2587">
        <f t="shared" si="5"/>
        <v>47147.964</v>
      </c>
      <c r="O12" s="3523">
        <f t="shared" si="5"/>
        <v>48519.86</v>
      </c>
      <c r="P12" s="649">
        <f t="shared" si="5"/>
        <v>189633.73980000001</v>
      </c>
      <c r="Q12" s="649">
        <f t="shared" si="5"/>
        <v>189642.30361585063</v>
      </c>
      <c r="R12" s="2587">
        <f t="shared" ref="R12:U12" si="6">+R9+R11</f>
        <v>48789.195</v>
      </c>
      <c r="S12" s="3523">
        <f t="shared" si="6"/>
        <v>49106.630000000019</v>
      </c>
      <c r="T12" s="3705">
        <f t="shared" si="6"/>
        <v>238422.93479999999</v>
      </c>
      <c r="U12" s="3705">
        <f t="shared" si="6"/>
        <v>238748.93361585066</v>
      </c>
      <c r="V12" s="2587">
        <f t="shared" ref="V12:W12" si="7">+V9+V11</f>
        <v>47215.35</v>
      </c>
      <c r="W12" s="3523">
        <f t="shared" si="7"/>
        <v>47701.369192805287</v>
      </c>
      <c r="X12" s="621">
        <f t="shared" ref="X12:AE12" si="8">+X9+X11</f>
        <v>143152.50899999999</v>
      </c>
      <c r="Y12" s="621">
        <f t="shared" si="8"/>
        <v>145327.85919280531</v>
      </c>
      <c r="Z12" s="621">
        <f t="shared" si="8"/>
        <v>285638.28480000002</v>
      </c>
      <c r="AA12" s="621">
        <f t="shared" si="8"/>
        <v>286450.30280865595</v>
      </c>
      <c r="AB12" s="2587">
        <f t="shared" si="8"/>
        <v>48789.195</v>
      </c>
      <c r="AC12" s="3523">
        <f t="shared" si="8"/>
        <v>49173.059999999983</v>
      </c>
      <c r="AD12" s="2638">
        <f t="shared" si="8"/>
        <v>334427.47979999997</v>
      </c>
      <c r="AE12" s="2638">
        <f t="shared" si="8"/>
        <v>335623.36280865595</v>
      </c>
      <c r="AF12" s="2587">
        <f t="shared" ref="AF12:AI12" si="9">+AF9+AF11</f>
        <v>47215.35</v>
      </c>
      <c r="AG12" s="3523">
        <f t="shared" si="9"/>
        <v>43847.948165355265</v>
      </c>
      <c r="AH12" s="3705">
        <f t="shared" si="9"/>
        <v>381642.82980000001</v>
      </c>
      <c r="AI12" s="3705">
        <f t="shared" si="9"/>
        <v>379471.3109740112</v>
      </c>
      <c r="AJ12" s="2587">
        <f t="shared" ref="AJ12:AK12" si="10">+AJ9+AJ11</f>
        <v>48789.195</v>
      </c>
      <c r="AK12" s="3523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2747">
        <f t="shared" si="11"/>
        <v>430432.02480000001</v>
      </c>
      <c r="AO12" s="2747">
        <f t="shared" si="11"/>
        <v>428648.03471143235</v>
      </c>
      <c r="AP12" s="2587">
        <f t="shared" si="11"/>
        <v>48789.195</v>
      </c>
      <c r="AQ12" s="3523">
        <f t="shared" si="11"/>
        <v>49101.880000000005</v>
      </c>
      <c r="AR12" s="2814">
        <f t="shared" ref="AR12:AU12" si="12">+AR9+AR11</f>
        <v>479221.21980000002</v>
      </c>
      <c r="AS12" s="2814">
        <f t="shared" si="12"/>
        <v>477749.91471143236</v>
      </c>
      <c r="AT12" s="2587">
        <f t="shared" si="12"/>
        <v>44067.66</v>
      </c>
      <c r="AU12" s="3523">
        <f t="shared" si="12"/>
        <v>44070.423999999999</v>
      </c>
      <c r="AV12" s="3705">
        <f t="shared" ref="AV12:AY12" si="13">+AV9+AV11</f>
        <v>523288.8798</v>
      </c>
      <c r="AW12" s="3705">
        <f t="shared" si="13"/>
        <v>521820.3387114323</v>
      </c>
      <c r="AX12" s="2587">
        <f t="shared" si="13"/>
        <v>48789.195</v>
      </c>
      <c r="AY12" s="3523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3067">
        <f t="shared" si="14"/>
        <v>572078.07480000006</v>
      </c>
      <c r="BE12" s="3067">
        <f t="shared" si="14"/>
        <v>570873.40871143225</v>
      </c>
      <c r="BF12" s="26"/>
      <c r="BG12" s="26"/>
      <c r="BH12" s="26"/>
      <c r="BI12" s="26"/>
      <c r="BJ12" s="1222"/>
    </row>
    <row r="13" spans="1:62" ht="15.75" x14ac:dyDescent="0.25">
      <c r="B13" s="3540" t="s">
        <v>334</v>
      </c>
      <c r="C13" s="3518" t="s">
        <v>328</v>
      </c>
      <c r="D13" s="3485">
        <f t="shared" ref="D13:E13" si="15">+D12/(D3*24)</f>
        <v>65.574250000000006</v>
      </c>
      <c r="E13" s="3485">
        <f t="shared" si="15"/>
        <v>65.059069444444447</v>
      </c>
      <c r="F13" s="3485">
        <f t="shared" ref="F13:G13" si="16">+F12/(F3*24)</f>
        <v>65.574249999999992</v>
      </c>
      <c r="G13" s="3485">
        <f t="shared" si="16"/>
        <v>65.069940747111062</v>
      </c>
      <c r="H13" s="2510">
        <f t="shared" ref="H13:K13" si="17">+H12/(H3*24)</f>
        <v>65.574250000000006</v>
      </c>
      <c r="I13" s="3541">
        <f t="shared" si="17"/>
        <v>65.064594204816004</v>
      </c>
      <c r="J13" s="3485">
        <f t="shared" si="17"/>
        <v>64.562602499999997</v>
      </c>
      <c r="K13" s="3485">
        <f t="shared" si="17"/>
        <v>63.705385694444459</v>
      </c>
      <c r="L13" s="817">
        <f t="shared" ref="L13:Q13" si="18">+L12/(L3*24)</f>
        <v>65.240739835164831</v>
      </c>
      <c r="M13" s="817">
        <f t="shared" si="18"/>
        <v>64.616503487111103</v>
      </c>
      <c r="N13" s="3485">
        <f t="shared" si="18"/>
        <v>63.370919354838712</v>
      </c>
      <c r="O13" s="3485">
        <f t="shared" si="18"/>
        <v>65.214865591397853</v>
      </c>
      <c r="P13" s="816">
        <f t="shared" si="18"/>
        <v>64.765621516393452</v>
      </c>
      <c r="Q13" s="816">
        <f t="shared" si="18"/>
        <v>64.768546316888873</v>
      </c>
      <c r="R13" s="3485">
        <f t="shared" ref="R13:U13" si="19">+R12/(R3*24)</f>
        <v>65.576875000000001</v>
      </c>
      <c r="S13" s="3485">
        <f t="shared" si="19"/>
        <v>66.003534946236584</v>
      </c>
      <c r="T13" s="816">
        <f t="shared" si="19"/>
        <v>64.929993137254897</v>
      </c>
      <c r="U13" s="816">
        <f t="shared" si="19"/>
        <v>65.018772771201157</v>
      </c>
      <c r="V13" s="3485">
        <f t="shared" ref="V13:W13" si="20">+V12/(V3*24)</f>
        <v>65.576875000000001</v>
      </c>
      <c r="W13" s="3485">
        <f t="shared" si="20"/>
        <v>66.251901656674008</v>
      </c>
      <c r="X13" s="817">
        <f t="shared" ref="X13:AE13" si="21">+X12/(X3*24)</f>
        <v>64.833563858695655</v>
      </c>
      <c r="Y13" s="817">
        <f t="shared" si="21"/>
        <v>65.818776808335741</v>
      </c>
      <c r="Z13" s="815">
        <f t="shared" si="21"/>
        <v>65.036039344262306</v>
      </c>
      <c r="AA13" s="815">
        <f t="shared" si="21"/>
        <v>65.220925047508189</v>
      </c>
      <c r="AB13" s="3485">
        <f t="shared" si="21"/>
        <v>65.576875000000001</v>
      </c>
      <c r="AC13" s="3485">
        <f t="shared" si="21"/>
        <v>66.092822580645134</v>
      </c>
      <c r="AD13" s="816">
        <f t="shared" si="21"/>
        <v>65.114384696261681</v>
      </c>
      <c r="AE13" s="816">
        <f t="shared" si="21"/>
        <v>65.347227961186903</v>
      </c>
      <c r="AF13" s="3485">
        <f t="shared" ref="AF13:AI13" si="22">+AF12/(AF3*24)</f>
        <v>65.576875000000001</v>
      </c>
      <c r="AG13" s="3485">
        <f t="shared" si="22"/>
        <v>60.899928007437865</v>
      </c>
      <c r="AH13" s="816">
        <f t="shared" si="22"/>
        <v>65.171248258196727</v>
      </c>
      <c r="AI13" s="816">
        <f t="shared" si="22"/>
        <v>64.800428786545623</v>
      </c>
      <c r="AJ13" s="3485">
        <f t="shared" ref="AJ13:AK13" si="23">+AJ12/(AJ3*24)</f>
        <v>65.576875000000001</v>
      </c>
      <c r="AK13" s="3485">
        <f t="shared" si="23"/>
        <v>66.097746958899407</v>
      </c>
      <c r="AL13" s="817">
        <f t="shared" ref="AL13:AQ13" si="24">+AL12/(AL3*24)</f>
        <v>65.576875000000001</v>
      </c>
      <c r="AM13" s="817">
        <f t="shared" si="24"/>
        <v>64.401146695098006</v>
      </c>
      <c r="AN13" s="816">
        <f t="shared" si="24"/>
        <v>65.216973454545453</v>
      </c>
      <c r="AO13" s="816">
        <f t="shared" si="24"/>
        <v>64.946671925974599</v>
      </c>
      <c r="AP13" s="3485">
        <f t="shared" si="24"/>
        <v>65.576875000000001</v>
      </c>
      <c r="AQ13" s="3485">
        <f t="shared" si="24"/>
        <v>65.997150537634411</v>
      </c>
      <c r="AR13" s="816">
        <f t="shared" ref="AR13:AU13" si="25">+AR12/(AR3*24)</f>
        <v>65.253434068627456</v>
      </c>
      <c r="AS13" s="816">
        <f t="shared" si="25"/>
        <v>65.053092961796338</v>
      </c>
      <c r="AT13" s="3485">
        <f t="shared" si="25"/>
        <v>65.576875000000001</v>
      </c>
      <c r="AU13" s="3485">
        <f t="shared" si="25"/>
        <v>65.580988095238098</v>
      </c>
      <c r="AV13" s="816">
        <f t="shared" ref="AV13:AY13" si="26">+AV12/(AV3*24)</f>
        <v>65.280548877245508</v>
      </c>
      <c r="AW13" s="816">
        <f t="shared" si="26"/>
        <v>65.097347643641754</v>
      </c>
      <c r="AX13" s="3485">
        <f t="shared" si="26"/>
        <v>65.576875000000001</v>
      </c>
      <c r="AY13" s="3485">
        <f t="shared" si="26"/>
        <v>65.931545698924722</v>
      </c>
      <c r="AZ13" s="817">
        <f t="shared" ref="AZ13:BE13" si="27">+AZ12/(AZ3*24)</f>
        <v>65.576875000000001</v>
      </c>
      <c r="BA13" s="817">
        <f t="shared" si="27"/>
        <v>65.845080555555541</v>
      </c>
      <c r="BB13" s="815">
        <f t="shared" si="27"/>
        <v>65.576875000000015</v>
      </c>
      <c r="BC13" s="815">
        <f t="shared" si="27"/>
        <v>65.115179922796784</v>
      </c>
      <c r="BD13" s="816">
        <f t="shared" si="27"/>
        <v>65.30571630136987</v>
      </c>
      <c r="BE13" s="816">
        <f t="shared" si="27"/>
        <v>65.168197341487698</v>
      </c>
      <c r="BF13" s="26"/>
      <c r="BG13" s="26"/>
      <c r="BH13" s="26"/>
      <c r="BI13" s="26"/>
      <c r="BJ13" s="1222"/>
    </row>
    <row r="14" spans="1:62" ht="15.75" hidden="1" customHeight="1" x14ac:dyDescent="0.25">
      <c r="B14" s="3542" t="s">
        <v>54</v>
      </c>
      <c r="C14" s="3543" t="s">
        <v>998</v>
      </c>
      <c r="D14" s="3544">
        <v>0.52433675000000002</v>
      </c>
      <c r="E14" s="3545"/>
      <c r="F14" s="3544">
        <v>0.52433675000000002</v>
      </c>
      <c r="G14" s="3545"/>
      <c r="H14" s="3546"/>
      <c r="I14" s="1895"/>
      <c r="J14" s="3544">
        <v>0.51689308583333338</v>
      </c>
      <c r="K14" s="3545"/>
      <c r="L14" s="817"/>
      <c r="M14" s="817"/>
      <c r="N14" s="3544">
        <v>0.50758043548387088</v>
      </c>
      <c r="O14" s="3545"/>
      <c r="P14" s="816"/>
      <c r="Q14" s="816"/>
      <c r="R14" s="3544">
        <v>0.523022125</v>
      </c>
      <c r="S14" s="3545"/>
      <c r="T14" s="816"/>
      <c r="U14" s="816"/>
      <c r="V14" s="3544">
        <v>0.523022125</v>
      </c>
      <c r="W14" s="3545"/>
      <c r="X14" s="817"/>
      <c r="Y14" s="817"/>
      <c r="Z14" s="815"/>
      <c r="AA14" s="815"/>
      <c r="AB14" s="3544">
        <v>0.523022125</v>
      </c>
      <c r="AC14" s="3545"/>
      <c r="AD14" s="816"/>
      <c r="AE14" s="816"/>
      <c r="AF14" s="3544">
        <v>0.523022125</v>
      </c>
      <c r="AG14" s="3545"/>
      <c r="AH14" s="816"/>
      <c r="AI14" s="816"/>
      <c r="AJ14" s="3544">
        <v>0.523022125</v>
      </c>
      <c r="AK14" s="3545"/>
      <c r="AL14" s="817"/>
      <c r="AM14" s="817"/>
      <c r="AN14" s="816"/>
      <c r="AO14" s="816"/>
      <c r="AP14" s="3544">
        <v>0.523022125</v>
      </c>
      <c r="AQ14" s="3545"/>
      <c r="AR14" s="816"/>
      <c r="AS14" s="816"/>
      <c r="AT14" s="3544">
        <v>0.523022125</v>
      </c>
      <c r="AU14" s="3545"/>
      <c r="AV14" s="816"/>
      <c r="AW14" s="816"/>
      <c r="AX14" s="3544">
        <v>0.523022125</v>
      </c>
      <c r="AY14" s="3545"/>
      <c r="AZ14" s="817"/>
      <c r="BA14" s="817"/>
      <c r="BB14" s="815"/>
      <c r="BC14" s="815"/>
      <c r="BD14" s="816"/>
      <c r="BE14" s="816"/>
      <c r="BF14" s="26"/>
      <c r="BG14" s="26"/>
      <c r="BH14" s="26"/>
      <c r="BI14" s="26"/>
      <c r="BJ14" s="1222"/>
    </row>
    <row r="15" spans="1:62" x14ac:dyDescent="0.25">
      <c r="B15" s="3542" t="s">
        <v>54</v>
      </c>
      <c r="C15" s="3142" t="s">
        <v>326</v>
      </c>
      <c r="D15" s="3202">
        <f>+D14*D3*24</f>
        <v>377.52246000000002</v>
      </c>
      <c r="E15" s="3265">
        <v>193.65939752789848</v>
      </c>
      <c r="F15" s="7230">
        <f>+F14*F3*24</f>
        <v>390.10654199999999</v>
      </c>
      <c r="G15" s="3265">
        <v>104.0840639053433</v>
      </c>
      <c r="H15" s="3133">
        <f>+D15+F15</f>
        <v>767.62900200000001</v>
      </c>
      <c r="I15" s="39">
        <f>+E15+G15</f>
        <v>297.74346143324181</v>
      </c>
      <c r="J15" s="4617">
        <f>+J14*J3*24</f>
        <v>372.16302180000002</v>
      </c>
      <c r="K15" s="3265">
        <v>700.88949507869609</v>
      </c>
      <c r="L15" s="782">
        <f>+H15+J15</f>
        <v>1139.7920238000002</v>
      </c>
      <c r="M15" s="782">
        <f>+I15+K15</f>
        <v>998.63295651193789</v>
      </c>
      <c r="N15" s="4812">
        <f>+N14*N3*24</f>
        <v>377.63984399999993</v>
      </c>
      <c r="O15" s="3265">
        <v>142.4093672134575</v>
      </c>
      <c r="P15" s="783">
        <f>+L15+N15</f>
        <v>1517.4318678</v>
      </c>
      <c r="Q15" s="783">
        <f>+M15+O15</f>
        <v>1141.0423237253954</v>
      </c>
      <c r="R15" s="4962">
        <f>+R14*R3*24</f>
        <v>389.12846100000002</v>
      </c>
      <c r="S15" s="3265">
        <v>183.92891633415729</v>
      </c>
      <c r="T15" s="4953">
        <f>+P15+R15</f>
        <v>1906.5603288</v>
      </c>
      <c r="U15" s="4953">
        <f>+Q15+S15</f>
        <v>1324.9712400595527</v>
      </c>
      <c r="V15" s="5178">
        <f>+V14*V3*24</f>
        <v>376.57593000000003</v>
      </c>
      <c r="W15" s="3265">
        <v>111.42867526912444</v>
      </c>
      <c r="X15" s="782">
        <f>+V15+R15+N15</f>
        <v>1143.344235</v>
      </c>
      <c r="Y15" s="782">
        <f>+W15+S15+O15</f>
        <v>437.76695881673925</v>
      </c>
      <c r="Z15" s="465">
        <f>+L15+X15</f>
        <v>2283.1362588000002</v>
      </c>
      <c r="AA15" s="465">
        <f>+Y15+M15</f>
        <v>1436.3999153286773</v>
      </c>
      <c r="AB15" s="5431">
        <f>+AB14*AB3*24</f>
        <v>389.12846100000002</v>
      </c>
      <c r="AC15" s="3265">
        <v>161.76431993802242</v>
      </c>
      <c r="AD15" s="2399">
        <f>+Z15+AB15</f>
        <v>2672.2647198000004</v>
      </c>
      <c r="AE15" s="2399">
        <f>+AA15+AC15</f>
        <v>1598.1642352666997</v>
      </c>
      <c r="AF15" s="5571">
        <f>+AF14*AF3*24</f>
        <v>376.57593000000003</v>
      </c>
      <c r="AG15" s="3265">
        <v>1791.9807181997844</v>
      </c>
      <c r="AH15" s="5568">
        <f>+AD15+AF15</f>
        <v>3048.8406498000004</v>
      </c>
      <c r="AI15" s="5568">
        <f>+AE15+AG15</f>
        <v>3390.1449534664844</v>
      </c>
      <c r="AJ15" s="5995">
        <f>+AJ14*AJ3*24</f>
        <v>389.12846100000002</v>
      </c>
      <c r="AK15" s="3265">
        <v>102.36601889905916</v>
      </c>
      <c r="AL15" s="2746">
        <f>+AJ15+AF15+AB15</f>
        <v>1154.832852</v>
      </c>
      <c r="AM15" s="2746">
        <f>+AK15+AG15+AC15</f>
        <v>2056.111057036866</v>
      </c>
      <c r="AN15" s="2399">
        <f>+AH15+AJ15</f>
        <v>3437.9691108000006</v>
      </c>
      <c r="AO15" s="2399">
        <f>+AI15+AK15</f>
        <v>3492.5109723655437</v>
      </c>
      <c r="AP15" s="6140">
        <f>+AP14*AP3*24</f>
        <v>389.12846100000002</v>
      </c>
      <c r="AQ15" s="3265">
        <v>127.79</v>
      </c>
      <c r="AR15" s="2399">
        <f>+AN15+AP15</f>
        <v>3827.0975718000009</v>
      </c>
      <c r="AS15" s="2399">
        <f>+AO15+AQ15</f>
        <v>3620.3009723655437</v>
      </c>
      <c r="AT15" s="6320">
        <f>+AT14*AT3*24</f>
        <v>351.470868</v>
      </c>
      <c r="AU15" s="3265">
        <v>117.61388811374481</v>
      </c>
      <c r="AV15" s="6315">
        <f>+AR15+AT15</f>
        <v>4178.5684398000012</v>
      </c>
      <c r="AW15" s="6315">
        <f>+AS15+AU15</f>
        <v>3737.9148604792886</v>
      </c>
      <c r="AX15" s="6591">
        <f>+AX14*AX3*24</f>
        <v>389.12846100000002</v>
      </c>
      <c r="AY15" s="3265">
        <v>110.37717544814615</v>
      </c>
      <c r="AZ15" s="3066">
        <f>+AX15+AT15+AP15</f>
        <v>1129.7277899999999</v>
      </c>
      <c r="BA15" s="3066">
        <f>+AY15+AU15+AQ15</f>
        <v>355.78106356189096</v>
      </c>
      <c r="BB15" s="3074">
        <f t="shared" ref="BB15:BB17" si="28">+AL15+AZ15</f>
        <v>2284.5606419999999</v>
      </c>
      <c r="BC15" s="3074">
        <f t="shared" ref="BC15:BC17" si="29">+AM15+BA15</f>
        <v>2411.8921205987572</v>
      </c>
      <c r="BD15" s="2399">
        <f>+AV15+AX15</f>
        <v>4567.6969008000015</v>
      </c>
      <c r="BE15" s="2399">
        <f>+AW15+AY15</f>
        <v>3848.2920359274349</v>
      </c>
      <c r="BF15" s="26"/>
      <c r="BG15" s="26"/>
      <c r="BH15" s="26"/>
      <c r="BI15" s="26"/>
      <c r="BJ15" s="1222"/>
    </row>
    <row r="16" spans="1:62" ht="15" hidden="1" customHeight="1" x14ac:dyDescent="0.25">
      <c r="B16" s="3542" t="s">
        <v>378</v>
      </c>
      <c r="C16" s="3142" t="s">
        <v>997</v>
      </c>
      <c r="D16" s="3473">
        <v>0.34912908333333331</v>
      </c>
      <c r="E16" s="3262"/>
      <c r="F16" s="3473">
        <v>0.34912908333333331</v>
      </c>
      <c r="G16" s="3262"/>
      <c r="H16" s="3133"/>
      <c r="I16" s="39"/>
      <c r="J16" s="3221">
        <v>0.6456260250000001</v>
      </c>
      <c r="K16" s="3262"/>
      <c r="L16" s="782"/>
      <c r="M16" s="782"/>
      <c r="N16" s="3221">
        <v>0.63370919354838706</v>
      </c>
      <c r="O16" s="3262"/>
      <c r="P16" s="783"/>
      <c r="Q16" s="783"/>
      <c r="R16" s="3473">
        <v>0.3902755</v>
      </c>
      <c r="S16" s="3262"/>
      <c r="T16" s="4953"/>
      <c r="U16" s="4953"/>
      <c r="V16" s="3473">
        <v>0.3902755</v>
      </c>
      <c r="W16" s="3262"/>
      <c r="X16" s="782"/>
      <c r="Y16" s="782"/>
      <c r="Z16" s="465"/>
      <c r="AA16" s="465"/>
      <c r="AB16" s="3473">
        <v>0.3902755</v>
      </c>
      <c r="AC16" s="3262"/>
      <c r="AD16" s="2399"/>
      <c r="AE16" s="2399"/>
      <c r="AF16" s="3473">
        <v>0.3902755</v>
      </c>
      <c r="AG16" s="3262"/>
      <c r="AH16" s="5568"/>
      <c r="AI16" s="5568"/>
      <c r="AJ16" s="3473">
        <v>0.3902755</v>
      </c>
      <c r="AK16" s="3262"/>
      <c r="AL16" s="2746"/>
      <c r="AM16" s="2746"/>
      <c r="AN16" s="2399"/>
      <c r="AO16" s="2399"/>
      <c r="AP16" s="3473">
        <v>0.3902755</v>
      </c>
      <c r="AQ16" s="3262"/>
      <c r="AR16" s="2399"/>
      <c r="AS16" s="2399"/>
      <c r="AT16" s="3473">
        <v>0.3902755</v>
      </c>
      <c r="AU16" s="3262"/>
      <c r="AV16" s="6315"/>
      <c r="AW16" s="6315"/>
      <c r="AX16" s="3473">
        <v>0.3902755</v>
      </c>
      <c r="AY16" s="3262"/>
      <c r="AZ16" s="3066"/>
      <c r="BA16" s="3066"/>
      <c r="BB16" s="3074">
        <f t="shared" si="28"/>
        <v>0</v>
      </c>
      <c r="BC16" s="3074">
        <f t="shared" si="29"/>
        <v>0</v>
      </c>
      <c r="BD16" s="2399"/>
      <c r="BE16" s="2399"/>
      <c r="BF16" s="26"/>
      <c r="BG16" s="26"/>
      <c r="BH16" s="26"/>
      <c r="BI16" s="26"/>
      <c r="BJ16" s="1222"/>
    </row>
    <row r="17" spans="2:62" x14ac:dyDescent="0.25">
      <c r="B17" s="3542" t="s">
        <v>378</v>
      </c>
      <c r="C17" s="3142" t="s">
        <v>326</v>
      </c>
      <c r="D17" s="3202">
        <f>+D16*D3*24</f>
        <v>251.37293999999997</v>
      </c>
      <c r="E17" s="3262">
        <v>393.13859423176302</v>
      </c>
      <c r="F17" s="7230">
        <f>+F16*F3*24</f>
        <v>259.75203799999997</v>
      </c>
      <c r="G17" s="3262">
        <v>242.86281577913434</v>
      </c>
      <c r="H17" s="3133">
        <f>+D17+F17</f>
        <v>511.12497799999994</v>
      </c>
      <c r="I17" s="39">
        <f>+E17+G17</f>
        <v>636.00141001089742</v>
      </c>
      <c r="J17" s="4617">
        <f>+J16*J3*24</f>
        <v>464.85073800000009</v>
      </c>
      <c r="K17" s="3262">
        <v>492.64333961678761</v>
      </c>
      <c r="L17" s="782">
        <f>+H17+J17</f>
        <v>975.97571600000003</v>
      </c>
      <c r="M17" s="782">
        <f>+I17+K17</f>
        <v>1128.6447496276851</v>
      </c>
      <c r="N17" s="4812">
        <f>+N16*N3*24</f>
        <v>471.47963999999996</v>
      </c>
      <c r="O17" s="3262">
        <v>332.28852349806738</v>
      </c>
      <c r="P17" s="783">
        <f>+L17+N17</f>
        <v>1447.4553559999999</v>
      </c>
      <c r="Q17" s="783">
        <f>+M17+O17</f>
        <v>1460.9332731257525</v>
      </c>
      <c r="R17" s="4962">
        <f>+R16*R3*24</f>
        <v>290.36497200000002</v>
      </c>
      <c r="S17" s="3262">
        <v>429.16747144636702</v>
      </c>
      <c r="T17" s="4953">
        <f>+P17+R17</f>
        <v>1737.820328</v>
      </c>
      <c r="U17" s="4953">
        <f>+Q17+S17</f>
        <v>1890.1007445721195</v>
      </c>
      <c r="V17" s="5178">
        <f>+V16*V3*24</f>
        <v>280.99836000000005</v>
      </c>
      <c r="W17" s="3262">
        <v>260.00024229462201</v>
      </c>
      <c r="X17" s="782">
        <f>+V17+R17+N17</f>
        <v>1042.8429720000001</v>
      </c>
      <c r="Y17" s="782">
        <f>+W17+S17+O17</f>
        <v>1021.4562372390565</v>
      </c>
      <c r="Z17" s="465">
        <f>+L17+X17</f>
        <v>2018.8186880000003</v>
      </c>
      <c r="AA17" s="465">
        <f>+Y17+M17</f>
        <v>2150.1009868667416</v>
      </c>
      <c r="AB17" s="5431">
        <f>+AB16*AB3*24</f>
        <v>290.36497200000002</v>
      </c>
      <c r="AC17" s="3262">
        <v>377.45007985538564</v>
      </c>
      <c r="AD17" s="2399">
        <f>+Z17+AB17</f>
        <v>2309.1836600000001</v>
      </c>
      <c r="AE17" s="2399">
        <f>+AA17+AC17</f>
        <v>2527.551066722127</v>
      </c>
      <c r="AF17" s="5571">
        <f>+AF16*AF3*24</f>
        <v>280.99836000000005</v>
      </c>
      <c r="AG17" s="3262">
        <v>4181.2883424661632</v>
      </c>
      <c r="AH17" s="5568">
        <f>+AD17+AF17</f>
        <v>2590.1820200000002</v>
      </c>
      <c r="AI17" s="5568">
        <f>+AE17+AG17</f>
        <v>6708.8394091882901</v>
      </c>
      <c r="AJ17" s="5995">
        <f>+AJ16*AJ3*24</f>
        <v>290.36497200000002</v>
      </c>
      <c r="AK17" s="3262">
        <v>238.8540440978046</v>
      </c>
      <c r="AL17" s="2746">
        <f>+AJ17+AF17+AB17</f>
        <v>861.72830400000021</v>
      </c>
      <c r="AM17" s="2746">
        <f>+AK17+AG17+AC17</f>
        <v>4797.5924664193535</v>
      </c>
      <c r="AN17" s="2399">
        <f>+AH17+AJ17</f>
        <v>2880.546992</v>
      </c>
      <c r="AO17" s="2399">
        <f>+AI17+AK17</f>
        <v>6947.6934532860951</v>
      </c>
      <c r="AP17" s="6140">
        <f>+AP16*AP3*24</f>
        <v>290.36497200000002</v>
      </c>
      <c r="AQ17" s="3262">
        <v>298.18</v>
      </c>
      <c r="AR17" s="2399">
        <f>+AN17+AP17</f>
        <v>3170.9119639999999</v>
      </c>
      <c r="AS17" s="2399">
        <f>+AO17+AQ17</f>
        <v>7245.8734532860954</v>
      </c>
      <c r="AT17" s="6320">
        <f>+AT16*AT3*24</f>
        <v>262.26513599999998</v>
      </c>
      <c r="AU17" s="3262">
        <v>274.43240559873783</v>
      </c>
      <c r="AV17" s="6315">
        <f>+AR17+AT17</f>
        <v>3433.1770999999999</v>
      </c>
      <c r="AW17" s="6315">
        <f>+AS17+AU17</f>
        <v>7520.3058588848335</v>
      </c>
      <c r="AX17" s="6591">
        <f>+AX16*AX3*24</f>
        <v>290.36497200000002</v>
      </c>
      <c r="AY17" s="3262">
        <v>257.54674271234103</v>
      </c>
      <c r="AZ17" s="3066">
        <f>+AX17+AT17+AP17</f>
        <v>842.99508000000014</v>
      </c>
      <c r="BA17" s="3066">
        <f>+AY17+AU17+AQ17</f>
        <v>830.15914831107898</v>
      </c>
      <c r="BB17" s="3074">
        <f t="shared" si="28"/>
        <v>1704.7233840000004</v>
      </c>
      <c r="BC17" s="3074">
        <f t="shared" si="29"/>
        <v>5627.7516147304323</v>
      </c>
      <c r="BD17" s="2399">
        <f>+AV17+AX17</f>
        <v>3723.5420719999997</v>
      </c>
      <c r="BE17" s="2399">
        <f>+AW17+AY17</f>
        <v>7777.8526015971747</v>
      </c>
      <c r="BF17" s="26"/>
      <c r="BG17" s="26"/>
      <c r="BH17" s="26"/>
      <c r="BI17" s="26"/>
      <c r="BJ17" s="1222"/>
    </row>
    <row r="18" spans="2:62" x14ac:dyDescent="0.25">
      <c r="B18" s="3547" t="s">
        <v>73</v>
      </c>
      <c r="C18" s="3142" t="s">
        <v>49</v>
      </c>
      <c r="D18" s="3548">
        <f>+(+D17)*100/D12</f>
        <v>0.5324179587770097</v>
      </c>
      <c r="E18" s="3530">
        <f>+E17/E12*100</f>
        <v>0.83927702929744197</v>
      </c>
      <c r="F18" s="3548">
        <f>+(+F17)*100/F12</f>
        <v>0.5324179587770097</v>
      </c>
      <c r="G18" s="3530">
        <f>+G17/G12*100</f>
        <v>0.50165792696939315</v>
      </c>
      <c r="H18" s="3549">
        <f>+H17/H12*100</f>
        <v>0.5324179587770097</v>
      </c>
      <c r="I18" s="3482">
        <f>+I17/I12*100</f>
        <v>0.66768600947985113</v>
      </c>
      <c r="J18" s="3548">
        <f>+(+J17)*100/J12</f>
        <v>1.0000000000000002</v>
      </c>
      <c r="K18" s="3530">
        <f>+K17/K12*100</f>
        <v>1.0740486901071238</v>
      </c>
      <c r="L18" s="377">
        <f>+L17/L12*100</f>
        <v>0.68496361164494568</v>
      </c>
      <c r="M18" s="377">
        <f>+M17/M12*100</f>
        <v>0.79976275970671862</v>
      </c>
      <c r="N18" s="3548">
        <f>+(+N17)*100/N12</f>
        <v>0.99999999999999989</v>
      </c>
      <c r="O18" s="3530">
        <f>+O17/O12*100</f>
        <v>0.68485054057878025</v>
      </c>
      <c r="P18" s="375">
        <f>+P17/P12*100</f>
        <v>0.76328999128877584</v>
      </c>
      <c r="Q18" s="375">
        <f>+Q17/Q12*100</f>
        <v>0.77036254320401809</v>
      </c>
      <c r="R18" s="3548">
        <f>+(+R17)*100/R12</f>
        <v>0.59514196124777219</v>
      </c>
      <c r="S18" s="3530">
        <f>+S17/S12*100</f>
        <v>0.87395015998118153</v>
      </c>
      <c r="T18" s="2206">
        <f>+T17/T12*100</f>
        <v>0.72888135927768982</v>
      </c>
      <c r="U18" s="2206">
        <f>+U17/U12*100</f>
        <v>0.79166876934131558</v>
      </c>
      <c r="V18" s="3548">
        <f>+(+V17)*100/V12</f>
        <v>0.5951419612477723</v>
      </c>
      <c r="W18" s="3530">
        <f>+W17/W12*100</f>
        <v>0.54505823772839923</v>
      </c>
      <c r="X18" s="377">
        <f>+X17/X12*100</f>
        <v>0.72848389405455705</v>
      </c>
      <c r="Y18" s="377">
        <f>+Y17/Y12*100</f>
        <v>0.70286333460943551</v>
      </c>
      <c r="Z18" s="493">
        <f>+Z17/Z12*100</f>
        <v>0.70677454509067272</v>
      </c>
      <c r="AA18" s="493">
        <f>+AA17/AA12*100</f>
        <v>0.75060175038564136</v>
      </c>
      <c r="AB18" s="3548">
        <f>+(+AB17)*100/AB12</f>
        <v>0.59514196124777219</v>
      </c>
      <c r="AC18" s="3530">
        <f>+AC17/AC12*100</f>
        <v>0.76759526426743785</v>
      </c>
      <c r="AD18" s="2206">
        <f>+AD17/AD12*100</f>
        <v>0.69048861097807446</v>
      </c>
      <c r="AE18" s="2206">
        <f>+AE17/AE12*100</f>
        <v>0.75309151471768154</v>
      </c>
      <c r="AF18" s="3548">
        <f>+(+AF17)*100/AF12</f>
        <v>0.5951419612477723</v>
      </c>
      <c r="AG18" s="3530">
        <f>+AG17/AG12*100</f>
        <v>9.5358814207179794</v>
      </c>
      <c r="AH18" s="2206">
        <f>+AH17/AH12*100</f>
        <v>0.6786926984472329</v>
      </c>
      <c r="AI18" s="2206">
        <f>+AI17/AI12*100</f>
        <v>1.7679437720781368</v>
      </c>
      <c r="AJ18" s="3548">
        <f>+(+AJ17)*100/AJ12</f>
        <v>0.59514196124777219</v>
      </c>
      <c r="AK18" s="3530">
        <f>+AK17/AK12*100</f>
        <v>0.48570548410903591</v>
      </c>
      <c r="AL18" s="2258">
        <f>+AL17/AL12*100</f>
        <v>0.5951419612477723</v>
      </c>
      <c r="AM18" s="2258">
        <f>+AM17/AM12*100</f>
        <v>3.3738881782584054</v>
      </c>
      <c r="AN18" s="2206">
        <f>+AN17/AN12*100</f>
        <v>0.66922227576780435</v>
      </c>
      <c r="AO18" s="2206">
        <f>+AO17/AO12*100</f>
        <v>1.6208387512993756</v>
      </c>
      <c r="AP18" s="3548">
        <f>+(+AP17)*100/AP12</f>
        <v>0.59514196124777219</v>
      </c>
      <c r="AQ18" s="3530">
        <f>+AQ17/AQ12*100</f>
        <v>0.60726799055351854</v>
      </c>
      <c r="AR18" s="2206">
        <f>+AR17/AR12*100</f>
        <v>0.66168020800985405</v>
      </c>
      <c r="AS18" s="2206">
        <f>+AS17/AS12*100</f>
        <v>1.5166666136743749</v>
      </c>
      <c r="AT18" s="3548">
        <f>+(+AT17)*100/AT12</f>
        <v>0.59514196124777208</v>
      </c>
      <c r="AU18" s="3530">
        <f>+AU17/AU12*100</f>
        <v>0.62271333173181598</v>
      </c>
      <c r="AV18" s="2206">
        <f>+AV17/AV12*100</f>
        <v>0.65607683108270021</v>
      </c>
      <c r="AW18" s="2206">
        <f>+AW17/AW12*100</f>
        <v>1.4411676397005251</v>
      </c>
      <c r="AX18" s="3548">
        <f>+(+AX17)*100/AX12</f>
        <v>0.59514196124777219</v>
      </c>
      <c r="AY18" s="3530">
        <f>+AY17/AY12*100</f>
        <v>0.5250369502099278</v>
      </c>
      <c r="AZ18" s="2258">
        <f t="shared" ref="AZ18:BE18" si="30">+AZ17/AZ12*100</f>
        <v>0.5951419612477723</v>
      </c>
      <c r="BA18" s="2258">
        <f t="shared" si="30"/>
        <v>0.58369271597842942</v>
      </c>
      <c r="BB18" s="2257">
        <f t="shared" si="30"/>
        <v>0.5951419612477723</v>
      </c>
      <c r="BC18" s="2257">
        <f t="shared" si="30"/>
        <v>1.97865486239861</v>
      </c>
      <c r="BD18" s="2206">
        <f t="shared" si="30"/>
        <v>0.65088005222045253</v>
      </c>
      <c r="BE18" s="2206">
        <f t="shared" si="30"/>
        <v>1.3624478707377943</v>
      </c>
      <c r="BF18" s="26"/>
      <c r="BG18" s="26"/>
      <c r="BH18" s="26"/>
      <c r="BI18" s="26"/>
      <c r="BJ18" s="1222"/>
    </row>
    <row r="19" spans="2:62" ht="18.75" x14ac:dyDescent="0.25">
      <c r="B19" s="1365" t="s">
        <v>55</v>
      </c>
      <c r="C19" s="3550" t="s">
        <v>326</v>
      </c>
      <c r="D19" s="3144">
        <f t="shared" ref="D19:E19" si="31">+D12-D15-D17</f>
        <v>46584.564600000005</v>
      </c>
      <c r="E19" s="3551">
        <f t="shared" si="31"/>
        <v>46255.732008240338</v>
      </c>
      <c r="F19" s="3144">
        <f t="shared" ref="F19:G19" si="32">+F12-F15-F17</f>
        <v>48137.383419999998</v>
      </c>
      <c r="G19" s="3551">
        <f t="shared" si="32"/>
        <v>48065.089036166159</v>
      </c>
      <c r="H19" s="3552">
        <f t="shared" ref="H19:K19" si="33">+H12-H15-H17</f>
        <v>94721.948019999996</v>
      </c>
      <c r="I19" s="1695">
        <f t="shared" si="33"/>
        <v>94320.82104440649</v>
      </c>
      <c r="J19" s="3144">
        <f t="shared" si="33"/>
        <v>45648.060040199998</v>
      </c>
      <c r="K19" s="3551">
        <f t="shared" si="33"/>
        <v>44674.344865304534</v>
      </c>
      <c r="L19" s="650">
        <f t="shared" ref="L19:Q19" si="34">+L12-L15-L17</f>
        <v>140370.00806020002</v>
      </c>
      <c r="M19" s="650">
        <f t="shared" si="34"/>
        <v>138995.16590971101</v>
      </c>
      <c r="N19" s="3144">
        <f t="shared" si="34"/>
        <v>46298.844516000005</v>
      </c>
      <c r="O19" s="3551">
        <f t="shared" si="34"/>
        <v>48045.162109288482</v>
      </c>
      <c r="P19" s="649">
        <f t="shared" si="34"/>
        <v>186668.85257620001</v>
      </c>
      <c r="Q19" s="649">
        <f t="shared" si="34"/>
        <v>187040.32801899948</v>
      </c>
      <c r="R19" s="3144">
        <f t="shared" ref="R19:U19" si="35">+R12-R15-R17</f>
        <v>48109.701566999996</v>
      </c>
      <c r="S19" s="3551">
        <f t="shared" si="35"/>
        <v>48493.533612219493</v>
      </c>
      <c r="T19" s="3705">
        <f t="shared" si="35"/>
        <v>234778.55414319999</v>
      </c>
      <c r="U19" s="3705">
        <f t="shared" si="35"/>
        <v>235533.86163121898</v>
      </c>
      <c r="V19" s="3144">
        <f t="shared" ref="V19:W19" si="36">+V12-V15-V17</f>
        <v>46557.775710000002</v>
      </c>
      <c r="W19" s="3551">
        <f t="shared" si="36"/>
        <v>47329.940275241541</v>
      </c>
      <c r="X19" s="621">
        <f t="shared" ref="X19:AE19" si="37">+X12-X15-X17</f>
        <v>140966.32179299998</v>
      </c>
      <c r="Y19" s="621">
        <f t="shared" si="37"/>
        <v>143868.63599674951</v>
      </c>
      <c r="Z19" s="621">
        <f t="shared" si="37"/>
        <v>281336.3298532</v>
      </c>
      <c r="AA19" s="621">
        <f t="shared" si="37"/>
        <v>282863.80190646055</v>
      </c>
      <c r="AB19" s="3144">
        <f t="shared" si="37"/>
        <v>48109.701566999996</v>
      </c>
      <c r="AC19" s="3551">
        <f t="shared" si="37"/>
        <v>48633.845600206572</v>
      </c>
      <c r="AD19" s="2638">
        <f t="shared" si="37"/>
        <v>329446.03142020002</v>
      </c>
      <c r="AE19" s="2638">
        <f t="shared" si="37"/>
        <v>331497.64750666713</v>
      </c>
      <c r="AF19" s="3144">
        <f t="shared" ref="AF19:AI19" si="38">+AF12-AF15-AF17</f>
        <v>46557.775710000002</v>
      </c>
      <c r="AG19" s="3551">
        <f t="shared" si="38"/>
        <v>37874.67910468932</v>
      </c>
      <c r="AH19" s="3705">
        <f t="shared" si="38"/>
        <v>376003.80713019997</v>
      </c>
      <c r="AI19" s="3705">
        <f t="shared" si="38"/>
        <v>369372.3266113564</v>
      </c>
      <c r="AJ19" s="3144">
        <f t="shared" ref="AJ19:AK19" si="39">+AJ12-AJ15-AJ17</f>
        <v>48109.701566999996</v>
      </c>
      <c r="AK19" s="3551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2747">
        <f t="shared" si="40"/>
        <v>424113.50869719998</v>
      </c>
      <c r="AO19" s="2747">
        <f t="shared" si="40"/>
        <v>418207.83028578071</v>
      </c>
      <c r="AP19" s="3144">
        <f t="shared" si="40"/>
        <v>48109.701566999996</v>
      </c>
      <c r="AQ19" s="3551">
        <f t="shared" si="40"/>
        <v>48675.91</v>
      </c>
      <c r="AR19" s="2814">
        <f t="shared" ref="AR19:AU19" si="41">+AR12-AR15-AR17</f>
        <v>472223.2102642</v>
      </c>
      <c r="AS19" s="2814">
        <f t="shared" si="41"/>
        <v>466883.74028578075</v>
      </c>
      <c r="AT19" s="3144">
        <f t="shared" si="41"/>
        <v>43453.923996000005</v>
      </c>
      <c r="AU19" s="3551">
        <f t="shared" si="41"/>
        <v>43678.377706287516</v>
      </c>
      <c r="AV19" s="3705">
        <f t="shared" ref="AV19:AY19" si="42">+AV12-AV15-AV17</f>
        <v>515677.13426020002</v>
      </c>
      <c r="AW19" s="3705">
        <f t="shared" si="42"/>
        <v>510562.11799206818</v>
      </c>
      <c r="AX19" s="3144">
        <f t="shared" si="42"/>
        <v>48109.701566999996</v>
      </c>
      <c r="AY19" s="3551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3067">
        <f t="shared" ref="BD19:BE19" si="44">+BD12-BD15-BD17</f>
        <v>563786.83582720009</v>
      </c>
      <c r="BE19" s="3067">
        <f t="shared" si="44"/>
        <v>559247.26407390763</v>
      </c>
      <c r="BF19" s="26"/>
      <c r="BG19" s="26"/>
      <c r="BH19" s="26"/>
      <c r="BI19" s="26"/>
      <c r="BJ19" s="1222"/>
    </row>
    <row r="20" spans="2:62" ht="16.5" thickBot="1" x14ac:dyDescent="0.3">
      <c r="B20" s="1354" t="s">
        <v>335</v>
      </c>
      <c r="C20" s="3525"/>
      <c r="D20" s="3476"/>
      <c r="E20" s="3526"/>
      <c r="F20" s="3476"/>
      <c r="G20" s="3526"/>
      <c r="H20" s="3525"/>
      <c r="I20" s="3553"/>
      <c r="J20" s="3476"/>
      <c r="K20" s="3526"/>
      <c r="L20" s="812"/>
      <c r="M20" s="812"/>
      <c r="N20" s="3476"/>
      <c r="O20" s="3526"/>
      <c r="P20" s="812"/>
      <c r="Q20" s="812"/>
      <c r="R20" s="3476"/>
      <c r="S20" s="3526"/>
      <c r="T20" s="812"/>
      <c r="U20" s="812"/>
      <c r="V20" s="3476"/>
      <c r="W20" s="3526"/>
      <c r="X20" s="812"/>
      <c r="Y20" s="812"/>
      <c r="Z20" s="812"/>
      <c r="AA20" s="812"/>
      <c r="AB20" s="3476"/>
      <c r="AC20" s="3526"/>
      <c r="AD20" s="812"/>
      <c r="AE20" s="812"/>
      <c r="AF20" s="3476"/>
      <c r="AG20" s="3526"/>
      <c r="AH20" s="812"/>
      <c r="AI20" s="812"/>
      <c r="AJ20" s="3476"/>
      <c r="AK20" s="3526"/>
      <c r="AL20" s="812"/>
      <c r="AM20" s="812"/>
      <c r="AN20" s="812"/>
      <c r="AO20" s="812"/>
      <c r="AP20" s="3476"/>
      <c r="AQ20" s="3526"/>
      <c r="AR20" s="812"/>
      <c r="AS20" s="812"/>
      <c r="AT20" s="3476"/>
      <c r="AU20" s="3526"/>
      <c r="AV20" s="812"/>
      <c r="AW20" s="812"/>
      <c r="AX20" s="3476"/>
      <c r="AY20" s="3526"/>
      <c r="AZ20" s="812"/>
      <c r="BA20" s="812"/>
      <c r="BB20" s="812"/>
      <c r="BC20" s="812"/>
      <c r="BD20" s="812"/>
      <c r="BE20" s="812"/>
      <c r="BF20" s="26"/>
      <c r="BG20" s="26"/>
      <c r="BH20" s="26"/>
      <c r="BI20" s="26"/>
      <c r="BJ20" s="1222"/>
    </row>
    <row r="21" spans="2:62" x14ac:dyDescent="0.25">
      <c r="B21" s="3529" t="s">
        <v>106</v>
      </c>
      <c r="C21" s="820" t="s">
        <v>326</v>
      </c>
      <c r="D21" s="275">
        <f>D22*D$3*24</f>
        <v>10250.5584</v>
      </c>
      <c r="E21" s="3520">
        <v>9371.7999999999993</v>
      </c>
      <c r="F21" s="275">
        <f>F22*F$3*24</f>
        <v>10592.24368</v>
      </c>
      <c r="G21" s="3520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9353.5010399999974</v>
      </c>
      <c r="K21" s="3520">
        <v>9592.4000000000015</v>
      </c>
      <c r="L21" s="782">
        <f t="shared" ref="L21:L43" si="46">+H21+J21</f>
        <v>30196.303119999997</v>
      </c>
      <c r="M21" s="782">
        <f t="shared" ref="M21:M43" si="47">+I21+K21</f>
        <v>28696.380000000005</v>
      </c>
      <c r="N21" s="275">
        <f>N22*N$3*24</f>
        <v>9520.8191999999981</v>
      </c>
      <c r="O21" s="3520">
        <v>9697.4999999999945</v>
      </c>
      <c r="P21" s="783">
        <f t="shared" ref="P21:P43" si="48">+L21+N21</f>
        <v>39717.122319999995</v>
      </c>
      <c r="Q21" s="783">
        <f t="shared" ref="Q21:Q43" si="49">+M21+O21</f>
        <v>38393.879999999997</v>
      </c>
      <c r="R21" s="275">
        <f>R22*R$3*24</f>
        <v>9520.8191999999981</v>
      </c>
      <c r="S21" s="3520">
        <v>9729.9000000000015</v>
      </c>
      <c r="T21" s="4953">
        <f t="shared" ref="T21" si="50">+P21+R21</f>
        <v>49237.941519999993</v>
      </c>
      <c r="U21" s="4953">
        <f t="shared" ref="U21" si="51">+Q21+S21</f>
        <v>48123.78</v>
      </c>
      <c r="V21" s="275">
        <f>V22*V$3*24</f>
        <v>9213.6959999999999</v>
      </c>
      <c r="W21" s="3520">
        <v>9412.0399999999954</v>
      </c>
      <c r="X21" s="782">
        <f>+V21+R21+N21</f>
        <v>28255.334399999996</v>
      </c>
      <c r="Y21" s="782">
        <f>+W21+S21+O21</f>
        <v>28839.439999999988</v>
      </c>
      <c r="Z21" s="465">
        <f t="shared" ref="Z21:Z43" si="52">+L21+X21</f>
        <v>58451.637519999989</v>
      </c>
      <c r="AA21" s="465">
        <f t="shared" ref="AA21:AA43" si="53">+Y21+M21</f>
        <v>57535.819999999992</v>
      </c>
      <c r="AB21" s="275">
        <f>AB22*AB$3*24</f>
        <v>9520.8191999999981</v>
      </c>
      <c r="AC21" s="3520">
        <v>9742.59</v>
      </c>
      <c r="AD21" s="2399">
        <f t="shared" ref="AD21" si="54">+Z21+AB21</f>
        <v>67972.456719999987</v>
      </c>
      <c r="AE21" s="2399">
        <f t="shared" ref="AE21" si="55">+AA21+AC21</f>
        <v>67278.409999999989</v>
      </c>
      <c r="AF21" s="275">
        <f>AF22*AF$3*24</f>
        <v>9213.6959999999999</v>
      </c>
      <c r="AG21" s="3520">
        <v>9569.0400000000009</v>
      </c>
      <c r="AH21" s="5568">
        <f t="shared" ref="AH21" si="56">+AD21+AF21</f>
        <v>77186.152719999984</v>
      </c>
      <c r="AI21" s="5568">
        <f t="shared" ref="AI21" si="57">+AE21+AG21</f>
        <v>76847.449999999983</v>
      </c>
      <c r="AJ21" s="275">
        <f>AJ22*AJ$3*24</f>
        <v>9520.8191999999981</v>
      </c>
      <c r="AK21" s="3520">
        <v>9777.25</v>
      </c>
      <c r="AL21" s="2746">
        <f>+AJ21+AF21+AB21</f>
        <v>28255.334399999996</v>
      </c>
      <c r="AM21" s="2746">
        <f>+AK21+AG21+AC21</f>
        <v>29088.880000000001</v>
      </c>
      <c r="AN21" s="2399">
        <f t="shared" ref="AN21" si="58">+AH21+AJ21</f>
        <v>86706.971919999982</v>
      </c>
      <c r="AO21" s="2399">
        <f t="shared" ref="AO21" si="59">+AI21+AK21</f>
        <v>86624.699999999983</v>
      </c>
      <c r="AP21" s="275">
        <f>AP22*AP$3*24</f>
        <v>9520.8191999999981</v>
      </c>
      <c r="AQ21" s="3520">
        <v>9798.89</v>
      </c>
      <c r="AR21" s="2399">
        <f t="shared" ref="AR21" si="60">+AN21+AP21</f>
        <v>96227.79111999998</v>
      </c>
      <c r="AS21" s="2399">
        <f t="shared" ref="AS21" si="61">+AO21+AQ21</f>
        <v>96423.589999999982</v>
      </c>
      <c r="AT21" s="275">
        <f>AT22*AT$3*24</f>
        <v>8599.4495999999999</v>
      </c>
      <c r="AU21" s="3520">
        <v>8783.3900000000012</v>
      </c>
      <c r="AV21" s="6315">
        <f t="shared" ref="AV21" si="62">+AR21+AT21</f>
        <v>104827.24071999997</v>
      </c>
      <c r="AW21" s="6315">
        <f t="shared" ref="AW21" si="63">+AS21+AU21</f>
        <v>105206.97999999998</v>
      </c>
      <c r="AX21" s="275">
        <f>AX22*AX$3*24</f>
        <v>9520.8191999999981</v>
      </c>
      <c r="AY21" s="3520">
        <v>9732.7799999999988</v>
      </c>
      <c r="AZ21" s="3066">
        <f>+AX21+AT21+AP21</f>
        <v>27641.087999999996</v>
      </c>
      <c r="BA21" s="3066">
        <f>+AY21+AU21+AQ21</f>
        <v>28315.059999999998</v>
      </c>
      <c r="BB21" s="3074">
        <f t="shared" ref="BB21:BB43" si="64">+AL21+AZ21</f>
        <v>55896.422399999996</v>
      </c>
      <c r="BC21" s="3074">
        <f t="shared" ref="BC21:BC43" si="65">+AM21+BA21</f>
        <v>57403.94</v>
      </c>
      <c r="BD21" s="2399">
        <f t="shared" ref="BD21" si="66">+AV21+AX21</f>
        <v>114348.05991999997</v>
      </c>
      <c r="BE21" s="2399">
        <f t="shared" ref="BE21" si="67">+AW21+AY21</f>
        <v>114939.75999999998</v>
      </c>
      <c r="BF21" s="26"/>
      <c r="BG21" s="26"/>
      <c r="BH21" s="26"/>
      <c r="BI21" s="26"/>
      <c r="BJ21" s="1222"/>
    </row>
    <row r="22" spans="2:62" ht="15" hidden="1" customHeight="1" x14ac:dyDescent="0.25">
      <c r="B22" s="8"/>
      <c r="C22" s="3142"/>
      <c r="D22" s="3221">
        <v>14.236886666666667</v>
      </c>
      <c r="E22" s="3530"/>
      <c r="F22" s="3221">
        <v>14.236886666666667</v>
      </c>
      <c r="G22" s="3530"/>
      <c r="H22" s="3133"/>
      <c r="I22" s="39"/>
      <c r="J22" s="3221">
        <v>12.990973666666664</v>
      </c>
      <c r="K22" s="3530"/>
      <c r="L22" s="782"/>
      <c r="M22" s="782"/>
      <c r="N22" s="3221">
        <v>12.796799999999999</v>
      </c>
      <c r="O22" s="3530"/>
      <c r="P22" s="783"/>
      <c r="Q22" s="783"/>
      <c r="R22" s="3221">
        <v>12.796799999999999</v>
      </c>
      <c r="S22" s="3530"/>
      <c r="T22" s="4953"/>
      <c r="U22" s="4953"/>
      <c r="V22" s="3221">
        <v>12.796799999999999</v>
      </c>
      <c r="W22" s="3530"/>
      <c r="X22" s="782"/>
      <c r="Y22" s="782"/>
      <c r="Z22" s="465"/>
      <c r="AA22" s="465"/>
      <c r="AB22" s="3221">
        <v>12.796799999999999</v>
      </c>
      <c r="AC22" s="3530"/>
      <c r="AD22" s="2399"/>
      <c r="AE22" s="2399"/>
      <c r="AF22" s="3221">
        <v>12.796799999999999</v>
      </c>
      <c r="AG22" s="3530"/>
      <c r="AH22" s="5568"/>
      <c r="AI22" s="5568"/>
      <c r="AJ22" s="3221">
        <v>12.796799999999999</v>
      </c>
      <c r="AK22" s="3530"/>
      <c r="AL22" s="2746"/>
      <c r="AM22" s="2746"/>
      <c r="AN22" s="2399"/>
      <c r="AO22" s="2399"/>
      <c r="AP22" s="3221">
        <v>12.796799999999999</v>
      </c>
      <c r="AQ22" s="3530"/>
      <c r="AR22" s="2399"/>
      <c r="AS22" s="2399"/>
      <c r="AT22" s="3221">
        <v>12.796799999999999</v>
      </c>
      <c r="AU22" s="3530"/>
      <c r="AV22" s="6315"/>
      <c r="AW22" s="6315"/>
      <c r="AX22" s="3221">
        <v>12.796799999999999</v>
      </c>
      <c r="AY22" s="3530"/>
      <c r="AZ22" s="3066"/>
      <c r="BA22" s="3066"/>
      <c r="BB22" s="3074">
        <f t="shared" si="64"/>
        <v>0</v>
      </c>
      <c r="BC22" s="3074">
        <f t="shared" si="65"/>
        <v>0</v>
      </c>
      <c r="BD22" s="2399"/>
      <c r="BE22" s="2399"/>
      <c r="BF22" s="26"/>
      <c r="BG22" s="26"/>
      <c r="BH22" s="26"/>
      <c r="BI22" s="26"/>
      <c r="BJ22" s="1222"/>
    </row>
    <row r="23" spans="2:62" x14ac:dyDescent="0.25">
      <c r="B23" s="8" t="s">
        <v>107</v>
      </c>
      <c r="C23" s="3142" t="s">
        <v>326</v>
      </c>
      <c r="D23" s="3202">
        <f>D24*D$3*24</f>
        <v>2176.5514792899367</v>
      </c>
      <c r="E23" s="3262">
        <v>3538.8914659252328</v>
      </c>
      <c r="F23" s="7230">
        <f>F24*F$3*24</f>
        <v>2249.1031952662674</v>
      </c>
      <c r="G23" s="3262">
        <v>2404.0740098619704</v>
      </c>
      <c r="H23" s="3133">
        <f t="shared" si="45"/>
        <v>4425.6546745562046</v>
      </c>
      <c r="I23" s="39">
        <f t="shared" si="45"/>
        <v>5942.9654757872031</v>
      </c>
      <c r="J23" s="4617">
        <f>J24*J$3*24</f>
        <v>7285.5085225886414</v>
      </c>
      <c r="K23" s="3262">
        <v>3964.4199999999996</v>
      </c>
      <c r="L23" s="782">
        <f t="shared" si="46"/>
        <v>11711.163197144846</v>
      </c>
      <c r="M23" s="782">
        <f t="shared" si="47"/>
        <v>9907.3854757872032</v>
      </c>
      <c r="N23" s="4812">
        <f>N24*N$3*24</f>
        <v>12796.8</v>
      </c>
      <c r="O23" s="3262">
        <v>1991.1</v>
      </c>
      <c r="P23" s="783">
        <f t="shared" si="48"/>
        <v>24507.963197144847</v>
      </c>
      <c r="Q23" s="783">
        <f t="shared" si="49"/>
        <v>11898.485475787204</v>
      </c>
      <c r="R23" s="4962">
        <f>R24*R$3*24</f>
        <v>2253.8687573964498</v>
      </c>
      <c r="S23" s="3262">
        <v>2304.5</v>
      </c>
      <c r="T23" s="4953">
        <f t="shared" ref="T23" si="68">+P23+R23</f>
        <v>26761.831954541296</v>
      </c>
      <c r="U23" s="4953">
        <f t="shared" ref="U23" si="69">+Q23+S23</f>
        <v>14202.985475787204</v>
      </c>
      <c r="V23" s="5178">
        <f>V24*V$3*24</f>
        <v>2181.1633136094679</v>
      </c>
      <c r="W23" s="3262">
        <v>1674.5199999999998</v>
      </c>
      <c r="X23" s="782">
        <f t="shared" ref="X23:X43" si="70">+V23+R23+N23</f>
        <v>17231.832071005916</v>
      </c>
      <c r="Y23" s="782">
        <f t="shared" ref="Y23:Y43" si="71">+W23+S23+O23</f>
        <v>5970.119999999999</v>
      </c>
      <c r="Z23" s="465">
        <f t="shared" si="52"/>
        <v>28942.995268150764</v>
      </c>
      <c r="AA23" s="465">
        <f t="shared" si="53"/>
        <v>15877.505475787202</v>
      </c>
      <c r="AB23" s="5431">
        <f>AB24*AB$3*24</f>
        <v>2253.8687573964498</v>
      </c>
      <c r="AC23" s="3262">
        <v>2228.6299999999997</v>
      </c>
      <c r="AD23" s="2399">
        <f t="shared" ref="AD23" si="72">+Z23+AB23</f>
        <v>31196.864025547213</v>
      </c>
      <c r="AE23" s="2399">
        <f t="shared" ref="AE23" si="73">+AA23+AC23</f>
        <v>18106.135475787203</v>
      </c>
      <c r="AF23" s="5571">
        <f>AF24*AF$3*24</f>
        <v>2181.1633136094679</v>
      </c>
      <c r="AG23" s="3262">
        <v>13079.099999999997</v>
      </c>
      <c r="AH23" s="5568">
        <f t="shared" ref="AH23" si="74">+AD23+AF23</f>
        <v>33378.027339156681</v>
      </c>
      <c r="AI23" s="5568">
        <f t="shared" ref="AI23" si="75">+AE23+AG23</f>
        <v>31185.235475787202</v>
      </c>
      <c r="AJ23" s="5995">
        <f>AJ24*AJ$3*24</f>
        <v>2253.8687573964498</v>
      </c>
      <c r="AK23" s="3262">
        <v>2849.8771807966314</v>
      </c>
      <c r="AL23" s="2746">
        <f t="shared" ref="AL23" si="76">+AJ23+AF23+AB23</f>
        <v>6688.9008284023676</v>
      </c>
      <c r="AM23" s="2746">
        <f t="shared" ref="AM23" si="77">+AK23+AG23+AC23</f>
        <v>18157.607180796629</v>
      </c>
      <c r="AN23" s="2399">
        <f t="shared" ref="AN23" si="78">+AH23+AJ23</f>
        <v>35631.89609655313</v>
      </c>
      <c r="AO23" s="2399">
        <f t="shared" ref="AO23" si="79">+AI23+AK23</f>
        <v>34035.112656583835</v>
      </c>
      <c r="AP23" s="6140">
        <f>AP24*AP$3*24</f>
        <v>2253.8687573964498</v>
      </c>
      <c r="AQ23" s="3262">
        <v>2582.48</v>
      </c>
      <c r="AR23" s="2399">
        <f t="shared" ref="AR23" si="80">+AN23+AP23</f>
        <v>37885.764853949579</v>
      </c>
      <c r="AS23" s="2399">
        <f t="shared" ref="AS23" si="81">+AO23+AQ23</f>
        <v>36617.592656583838</v>
      </c>
      <c r="AT23" s="6320">
        <f>AT24*AT$3*24</f>
        <v>2035.752426035499</v>
      </c>
      <c r="AU23" s="3262">
        <v>2389.0826815761511</v>
      </c>
      <c r="AV23" s="6315">
        <f t="shared" ref="AV23" si="82">+AR23+AT23</f>
        <v>39921.517279985077</v>
      </c>
      <c r="AW23" s="6315">
        <f t="shared" ref="AW23" si="83">+AS23+AU23</f>
        <v>39006.675338159992</v>
      </c>
      <c r="AX23" s="6591">
        <f>AX24*AX$3*24</f>
        <v>2253.8687573964498</v>
      </c>
      <c r="AY23" s="3262">
        <v>2469.1717970140808</v>
      </c>
      <c r="AZ23" s="3066">
        <f t="shared" ref="AZ23" si="84">+AX23+AT23+AP23</f>
        <v>6543.4899408283991</v>
      </c>
      <c r="BA23" s="3066">
        <f t="shared" ref="BA23" si="85">+AY23+AU23+AQ23</f>
        <v>7440.7344785902314</v>
      </c>
      <c r="BB23" s="3074">
        <f t="shared" si="64"/>
        <v>13232.390769230766</v>
      </c>
      <c r="BC23" s="3074">
        <f t="shared" si="65"/>
        <v>25598.341659386861</v>
      </c>
      <c r="BD23" s="2399">
        <f t="shared" ref="BD23" si="86">+AV23+AX23</f>
        <v>42175.386037381526</v>
      </c>
      <c r="BE23" s="2399">
        <f t="shared" ref="BE23" si="87">+AW23+AY23</f>
        <v>41475.847135174074</v>
      </c>
      <c r="BF23" s="26"/>
      <c r="BG23" s="26"/>
      <c r="BH23" s="26"/>
      <c r="BI23" s="26"/>
      <c r="BJ23" s="1222"/>
    </row>
    <row r="24" spans="2:62" ht="15" hidden="1" customHeight="1" x14ac:dyDescent="0.25">
      <c r="B24" s="8"/>
      <c r="C24" s="3142"/>
      <c r="D24" s="3221">
        <v>3.0229881656804674</v>
      </c>
      <c r="E24" s="3530"/>
      <c r="F24" s="3221">
        <v>3.0229881656804674</v>
      </c>
      <c r="G24" s="3530"/>
      <c r="H24" s="3133"/>
      <c r="I24" s="39"/>
      <c r="J24" s="3221">
        <v>10.11876183692867</v>
      </c>
      <c r="K24" s="3530"/>
      <c r="L24" s="782"/>
      <c r="M24" s="782"/>
      <c r="N24" s="3221">
        <v>17.2</v>
      </c>
      <c r="O24" s="3530"/>
      <c r="P24" s="783"/>
      <c r="Q24" s="783"/>
      <c r="R24" s="3221">
        <v>3.029393491124261</v>
      </c>
      <c r="S24" s="3530"/>
      <c r="T24" s="4953"/>
      <c r="U24" s="4953"/>
      <c r="V24" s="3221">
        <v>3.029393491124261</v>
      </c>
      <c r="W24" s="3530"/>
      <c r="X24" s="782"/>
      <c r="Y24" s="782"/>
      <c r="Z24" s="465"/>
      <c r="AA24" s="465"/>
      <c r="AB24" s="3221">
        <v>3.029393491124261</v>
      </c>
      <c r="AC24" s="3530"/>
      <c r="AD24" s="2399"/>
      <c r="AE24" s="2399"/>
      <c r="AF24" s="3221">
        <v>3.029393491124261</v>
      </c>
      <c r="AG24" s="3530"/>
      <c r="AH24" s="5568"/>
      <c r="AI24" s="5568"/>
      <c r="AJ24" s="3221">
        <v>3.029393491124261</v>
      </c>
      <c r="AK24" s="3530"/>
      <c r="AL24" s="2746"/>
      <c r="AM24" s="2746"/>
      <c r="AN24" s="2399"/>
      <c r="AO24" s="2399"/>
      <c r="AP24" s="3221">
        <v>3.029393491124261</v>
      </c>
      <c r="AQ24" s="3530"/>
      <c r="AR24" s="2399"/>
      <c r="AS24" s="2399"/>
      <c r="AT24" s="3221">
        <v>3.0293934911242544</v>
      </c>
      <c r="AU24" s="3530"/>
      <c r="AV24" s="6315"/>
      <c r="AW24" s="6315"/>
      <c r="AX24" s="3221">
        <v>3.029393491124261</v>
      </c>
      <c r="AY24" s="3530"/>
      <c r="AZ24" s="3066"/>
      <c r="BA24" s="3066"/>
      <c r="BB24" s="3074">
        <f t="shared" si="64"/>
        <v>0</v>
      </c>
      <c r="BC24" s="3074">
        <f t="shared" si="65"/>
        <v>0</v>
      </c>
      <c r="BD24" s="2399"/>
      <c r="BE24" s="2399"/>
      <c r="BF24" s="26"/>
      <c r="BG24" s="26"/>
      <c r="BH24" s="26"/>
      <c r="BI24" s="26"/>
      <c r="BJ24" s="1222"/>
    </row>
    <row r="25" spans="2:62" x14ac:dyDescent="0.25">
      <c r="B25" s="8" t="s">
        <v>80</v>
      </c>
      <c r="C25" s="3142" t="s">
        <v>326</v>
      </c>
      <c r="D25" s="3202">
        <f>D26*D$3*24</f>
        <v>4320</v>
      </c>
      <c r="E25" s="3262">
        <v>4903.0520311830642</v>
      </c>
      <c r="F25" s="7230">
        <f>F26*F$3*24</f>
        <v>4464</v>
      </c>
      <c r="G25" s="3262">
        <v>5873.498959055366</v>
      </c>
      <c r="H25" s="3133">
        <f t="shared" si="45"/>
        <v>8784</v>
      </c>
      <c r="I25" s="39">
        <f t="shared" si="45"/>
        <v>10776.550990238429</v>
      </c>
      <c r="J25" s="4617">
        <f>J26*J$3*24</f>
        <v>5760</v>
      </c>
      <c r="K25" s="3262">
        <v>4938.8600000000024</v>
      </c>
      <c r="L25" s="782">
        <f t="shared" si="46"/>
        <v>14544</v>
      </c>
      <c r="M25" s="782">
        <f t="shared" si="47"/>
        <v>15715.410990238432</v>
      </c>
      <c r="N25" s="4812">
        <f>N26*N$3*24</f>
        <v>7440</v>
      </c>
      <c r="O25" s="3262">
        <v>5223.79</v>
      </c>
      <c r="P25" s="783">
        <f t="shared" si="48"/>
        <v>21984</v>
      </c>
      <c r="Q25" s="783">
        <f t="shared" si="49"/>
        <v>20939.200990238431</v>
      </c>
      <c r="R25" s="4962">
        <f>R26*R$3*24</f>
        <v>5952</v>
      </c>
      <c r="S25" s="3262">
        <v>4786.6000000000004</v>
      </c>
      <c r="T25" s="4953">
        <f t="shared" ref="T25" si="88">+P25+R25</f>
        <v>27936</v>
      </c>
      <c r="U25" s="4953">
        <f t="shared" ref="U25" si="89">+Q25+S25</f>
        <v>25725.800990238429</v>
      </c>
      <c r="V25" s="5178">
        <f>V26*V$3*24</f>
        <v>5760</v>
      </c>
      <c r="W25" s="3262">
        <v>5551.4704616955396</v>
      </c>
      <c r="X25" s="782">
        <f t="shared" si="70"/>
        <v>19152</v>
      </c>
      <c r="Y25" s="782">
        <f t="shared" si="71"/>
        <v>15561.860461695542</v>
      </c>
      <c r="Z25" s="465">
        <f t="shared" si="52"/>
        <v>33696</v>
      </c>
      <c r="AA25" s="465">
        <f t="shared" si="53"/>
        <v>31277.271451933972</v>
      </c>
      <c r="AB25" s="5431">
        <f>AB26*AB$3*24</f>
        <v>5952</v>
      </c>
      <c r="AC25" s="3262">
        <v>5639.3462370586758</v>
      </c>
      <c r="AD25" s="2399">
        <f t="shared" ref="AD25" si="90">+Z25+AB25</f>
        <v>39648</v>
      </c>
      <c r="AE25" s="2399">
        <f t="shared" ref="AE25" si="91">+AA25+AC25</f>
        <v>36916.61768899265</v>
      </c>
      <c r="AF25" s="5571">
        <f>AF26*AF$3*24</f>
        <v>5760</v>
      </c>
      <c r="AG25" s="3262">
        <v>3666.1000000000004</v>
      </c>
      <c r="AH25" s="5568">
        <f t="shared" ref="AH25" si="92">+AD25+AF25</f>
        <v>45408</v>
      </c>
      <c r="AI25" s="5568">
        <f t="shared" ref="AI25" si="93">+AE25+AG25</f>
        <v>40582.717688992649</v>
      </c>
      <c r="AJ25" s="5995">
        <f>AJ26*AJ$3*24</f>
        <v>5952</v>
      </c>
      <c r="AK25" s="3262">
        <v>5597.7852298392436</v>
      </c>
      <c r="AL25" s="2746">
        <f t="shared" ref="AL25" si="94">+AJ25+AF25+AB25</f>
        <v>17664</v>
      </c>
      <c r="AM25" s="2746">
        <f t="shared" ref="AM25" si="95">+AK25+AG25+AC25</f>
        <v>14903.23146689792</v>
      </c>
      <c r="AN25" s="2399">
        <f t="shared" ref="AN25" si="96">+AH25+AJ25</f>
        <v>51360</v>
      </c>
      <c r="AO25" s="2399">
        <f t="shared" ref="AO25" si="97">+AI25+AK25</f>
        <v>46180.502918831895</v>
      </c>
      <c r="AP25" s="6140">
        <f>AP26*AP$3*24</f>
        <v>5952</v>
      </c>
      <c r="AQ25" s="3262">
        <v>5946.93</v>
      </c>
      <c r="AR25" s="2399">
        <f t="shared" ref="AR25" si="98">+AN25+AP25</f>
        <v>57312</v>
      </c>
      <c r="AS25" s="2399">
        <f t="shared" ref="AS25" si="99">+AO25+AQ25</f>
        <v>52127.432918831895</v>
      </c>
      <c r="AT25" s="6320">
        <f>AT26*AT$3*24</f>
        <v>5376</v>
      </c>
      <c r="AU25" s="3262">
        <v>5072.5567838810139</v>
      </c>
      <c r="AV25" s="6315">
        <f t="shared" ref="AV25" si="100">+AR25+AT25</f>
        <v>62688</v>
      </c>
      <c r="AW25" s="6315">
        <f t="shared" ref="AW25" si="101">+AS25+AU25</f>
        <v>57199.989702712912</v>
      </c>
      <c r="AX25" s="6591">
        <f>AX26*AX$3*24</f>
        <v>5952</v>
      </c>
      <c r="AY25" s="3262">
        <v>5270.0762620006035</v>
      </c>
      <c r="AZ25" s="3066">
        <f t="shared" ref="AZ25" si="102">+AX25+AT25+AP25</f>
        <v>17280</v>
      </c>
      <c r="BA25" s="3066">
        <f t="shared" ref="BA25" si="103">+AY25+AU25+AQ25</f>
        <v>16289.563045881618</v>
      </c>
      <c r="BB25" s="3074">
        <f t="shared" si="64"/>
        <v>34944</v>
      </c>
      <c r="BC25" s="3074">
        <f t="shared" si="65"/>
        <v>31192.794512779539</v>
      </c>
      <c r="BD25" s="2399">
        <f t="shared" ref="BD25" si="104">+AV25+AX25</f>
        <v>68640</v>
      </c>
      <c r="BE25" s="2399">
        <f t="shared" ref="BE25" si="105">+AW25+AY25</f>
        <v>62470.065964713518</v>
      </c>
      <c r="BF25" s="26"/>
      <c r="BG25" s="26"/>
      <c r="BH25" s="26"/>
      <c r="BI25" s="26"/>
      <c r="BJ25" s="1222"/>
    </row>
    <row r="26" spans="2:62" ht="15" hidden="1" customHeight="1" x14ac:dyDescent="0.25">
      <c r="B26" s="8"/>
      <c r="C26" s="3142"/>
      <c r="D26" s="3221">
        <v>6</v>
      </c>
      <c r="E26" s="3530"/>
      <c r="F26" s="3221">
        <v>6</v>
      </c>
      <c r="G26" s="3530"/>
      <c r="H26" s="3133"/>
      <c r="I26" s="39"/>
      <c r="J26" s="3221">
        <v>8</v>
      </c>
      <c r="K26" s="3530"/>
      <c r="L26" s="782"/>
      <c r="M26" s="782"/>
      <c r="N26" s="3221">
        <v>10</v>
      </c>
      <c r="O26" s="3530"/>
      <c r="P26" s="783"/>
      <c r="Q26" s="783"/>
      <c r="R26" s="3221">
        <v>8</v>
      </c>
      <c r="S26" s="3530"/>
      <c r="T26" s="4953"/>
      <c r="U26" s="4953"/>
      <c r="V26" s="3221">
        <v>8</v>
      </c>
      <c r="W26" s="3530"/>
      <c r="X26" s="782"/>
      <c r="Y26" s="782"/>
      <c r="Z26" s="465"/>
      <c r="AA26" s="465"/>
      <c r="AB26" s="3221">
        <v>8</v>
      </c>
      <c r="AC26" s="3530"/>
      <c r="AD26" s="2399"/>
      <c r="AE26" s="2399"/>
      <c r="AF26" s="3221">
        <v>8</v>
      </c>
      <c r="AG26" s="3530"/>
      <c r="AH26" s="5568"/>
      <c r="AI26" s="5568"/>
      <c r="AJ26" s="3221">
        <v>8</v>
      </c>
      <c r="AK26" s="3530"/>
      <c r="AL26" s="2746"/>
      <c r="AM26" s="2746"/>
      <c r="AN26" s="2399"/>
      <c r="AO26" s="2399"/>
      <c r="AP26" s="3221">
        <v>8</v>
      </c>
      <c r="AQ26" s="3530"/>
      <c r="AR26" s="2399"/>
      <c r="AS26" s="2399"/>
      <c r="AT26" s="3221">
        <v>8</v>
      </c>
      <c r="AU26" s="3530"/>
      <c r="AV26" s="6315"/>
      <c r="AW26" s="6315"/>
      <c r="AX26" s="3221">
        <v>8</v>
      </c>
      <c r="AY26" s="3530"/>
      <c r="AZ26" s="3066"/>
      <c r="BA26" s="3066"/>
      <c r="BB26" s="3074">
        <f t="shared" si="64"/>
        <v>0</v>
      </c>
      <c r="BC26" s="3074">
        <f t="shared" si="65"/>
        <v>0</v>
      </c>
      <c r="BD26" s="2399"/>
      <c r="BE26" s="2399"/>
      <c r="BF26" s="26"/>
      <c r="BG26" s="26"/>
      <c r="BH26" s="26"/>
      <c r="BI26" s="26"/>
      <c r="BJ26" s="1222"/>
    </row>
    <row r="27" spans="2:62" x14ac:dyDescent="0.25">
      <c r="B27" s="8" t="s">
        <v>108</v>
      </c>
      <c r="C27" s="3142" t="s">
        <v>326</v>
      </c>
      <c r="D27" s="3202">
        <f>D28*D$3*24</f>
        <v>2160</v>
      </c>
      <c r="E27" s="3262">
        <v>2849.78</v>
      </c>
      <c r="F27" s="7230">
        <f>F28*F$3*24</f>
        <v>0</v>
      </c>
      <c r="G27" s="3262">
        <v>2860.0800000000004</v>
      </c>
      <c r="H27" s="3133">
        <f t="shared" si="45"/>
        <v>2160</v>
      </c>
      <c r="I27" s="39">
        <f t="shared" si="45"/>
        <v>5709.8600000000006</v>
      </c>
      <c r="J27" s="4617">
        <f>J28*J$3*24</f>
        <v>2736</v>
      </c>
      <c r="K27" s="3262">
        <v>2637.3777000000005</v>
      </c>
      <c r="L27" s="782">
        <f t="shared" si="46"/>
        <v>4896</v>
      </c>
      <c r="M27" s="782">
        <f t="shared" si="47"/>
        <v>8347.2377000000015</v>
      </c>
      <c r="N27" s="4812">
        <f>N28*N$3*24</f>
        <v>2827.2</v>
      </c>
      <c r="O27" s="3262">
        <v>2792.12</v>
      </c>
      <c r="P27" s="783">
        <f t="shared" si="48"/>
        <v>7723.2</v>
      </c>
      <c r="Q27" s="783">
        <f t="shared" si="49"/>
        <v>11139.3577</v>
      </c>
      <c r="R27" s="4962">
        <f>R28*R$3*24</f>
        <v>2827.2</v>
      </c>
      <c r="S27" s="3262">
        <v>2877.5000000000018</v>
      </c>
      <c r="T27" s="4953">
        <f t="shared" ref="T27" si="106">+P27+R27</f>
        <v>10550.4</v>
      </c>
      <c r="U27" s="4953">
        <f t="shared" ref="U27" si="107">+Q27+S27</f>
        <v>14016.857700000002</v>
      </c>
      <c r="V27" s="5178">
        <f>V28*V$3*24</f>
        <v>2736</v>
      </c>
      <c r="W27" s="3262">
        <v>2844.6342810698857</v>
      </c>
      <c r="X27" s="782">
        <f>+V27+R27+N27</f>
        <v>8390.4</v>
      </c>
      <c r="Y27" s="782">
        <f t="shared" si="71"/>
        <v>8514.2542810698869</v>
      </c>
      <c r="Z27" s="465">
        <f t="shared" si="52"/>
        <v>13286.4</v>
      </c>
      <c r="AA27" s="465">
        <f t="shared" si="53"/>
        <v>16861.491981069888</v>
      </c>
      <c r="AB27" s="5431">
        <f>AB28*AB$3*24</f>
        <v>2827.2</v>
      </c>
      <c r="AC27" s="3262">
        <v>3161.9019915347162</v>
      </c>
      <c r="AD27" s="2399">
        <f t="shared" ref="AD27" si="108">+Z27+AB27</f>
        <v>16113.599999999999</v>
      </c>
      <c r="AE27" s="2399">
        <f t="shared" ref="AE27" si="109">+AA27+AC27</f>
        <v>20023.393972604605</v>
      </c>
      <c r="AF27" s="5571">
        <f>AF28*AF$3*24</f>
        <v>2736</v>
      </c>
      <c r="AG27" s="3262">
        <v>2126.0799999999986</v>
      </c>
      <c r="AH27" s="5568">
        <f t="shared" ref="AH27" si="110">+AD27+AF27</f>
        <v>18849.599999999999</v>
      </c>
      <c r="AI27" s="5568">
        <f t="shared" ref="AI27" si="111">+AE27+AG27</f>
        <v>22149.473972604603</v>
      </c>
      <c r="AJ27" s="5995">
        <f>AJ28*AJ$3*24</f>
        <v>2827.2</v>
      </c>
      <c r="AK27" s="3262">
        <v>3144.7247738404553</v>
      </c>
      <c r="AL27" s="2746">
        <f>+AJ27+AF27+AB27</f>
        <v>8390.4</v>
      </c>
      <c r="AM27" s="2746">
        <f t="shared" ref="AM27" si="112">+AK27+AG27+AC27</f>
        <v>8432.7067653751692</v>
      </c>
      <c r="AN27" s="2399">
        <f t="shared" ref="AN27" si="113">+AH27+AJ27</f>
        <v>21676.799999999999</v>
      </c>
      <c r="AO27" s="2399">
        <f t="shared" ref="AO27" si="114">+AI27+AK27</f>
        <v>25294.198746445058</v>
      </c>
      <c r="AP27" s="6140">
        <f>AP28*AP$3*24</f>
        <v>2827.2</v>
      </c>
      <c r="AQ27" s="3262">
        <v>3428.53</v>
      </c>
      <c r="AR27" s="2399">
        <f t="shared" ref="AR27" si="115">+AN27+AP27</f>
        <v>24504</v>
      </c>
      <c r="AS27" s="2399">
        <f t="shared" ref="AS27" si="116">+AO27+AQ27</f>
        <v>28722.728746445056</v>
      </c>
      <c r="AT27" s="6320">
        <f>AT28*AT$3*24</f>
        <v>2553.6</v>
      </c>
      <c r="AU27" s="3262">
        <v>2666.4360493833824</v>
      </c>
      <c r="AV27" s="6315">
        <f t="shared" ref="AV27" si="117">+AR27+AT27</f>
        <v>27057.599999999999</v>
      </c>
      <c r="AW27" s="6315">
        <f t="shared" ref="AW27" si="118">+AS27+AU27</f>
        <v>31389.164795828437</v>
      </c>
      <c r="AX27" s="6591">
        <f>AX28*AX$3*24</f>
        <v>2827.2</v>
      </c>
      <c r="AY27" s="3262">
        <v>2809.4399999999996</v>
      </c>
      <c r="AZ27" s="3066">
        <f>+AX27+AT27+AP27</f>
        <v>8208</v>
      </c>
      <c r="BA27" s="3066">
        <f t="shared" ref="BA27" si="119">+AY27+AU27+AQ27</f>
        <v>8904.4060493833822</v>
      </c>
      <c r="BB27" s="3074">
        <f t="shared" si="64"/>
        <v>16598.400000000001</v>
      </c>
      <c r="BC27" s="3074">
        <f t="shared" si="65"/>
        <v>17337.112814758551</v>
      </c>
      <c r="BD27" s="2399">
        <f t="shared" ref="BD27" si="120">+AV27+AX27</f>
        <v>29884.799999999999</v>
      </c>
      <c r="BE27" s="2399">
        <f t="shared" ref="BE27" si="121">+AW27+AY27</f>
        <v>34198.60479582844</v>
      </c>
      <c r="BF27" s="26"/>
      <c r="BG27" s="26"/>
      <c r="BH27" s="26"/>
      <c r="BI27" s="26"/>
      <c r="BJ27" s="1222"/>
    </row>
    <row r="28" spans="2:62" ht="15" hidden="1" customHeight="1" x14ac:dyDescent="0.25">
      <c r="B28" s="8"/>
      <c r="C28" s="3142"/>
      <c r="D28" s="3221">
        <v>3</v>
      </c>
      <c r="E28" s="3530"/>
      <c r="F28" s="3221">
        <v>0</v>
      </c>
      <c r="G28" s="3530"/>
      <c r="H28" s="3133"/>
      <c r="I28" s="39"/>
      <c r="J28" s="3221">
        <v>3.8</v>
      </c>
      <c r="K28" s="3530"/>
      <c r="L28" s="782"/>
      <c r="M28" s="782"/>
      <c r="N28" s="3221">
        <v>3.8</v>
      </c>
      <c r="O28" s="3530"/>
      <c r="P28" s="783"/>
      <c r="Q28" s="783"/>
      <c r="R28" s="3221">
        <v>3.8</v>
      </c>
      <c r="S28" s="3530"/>
      <c r="T28" s="4953"/>
      <c r="U28" s="4953"/>
      <c r="V28" s="3221">
        <v>3.8</v>
      </c>
      <c r="W28" s="3530"/>
      <c r="X28" s="782"/>
      <c r="Y28" s="782"/>
      <c r="Z28" s="465"/>
      <c r="AA28" s="465"/>
      <c r="AB28" s="3221">
        <v>3.8</v>
      </c>
      <c r="AC28" s="3530"/>
      <c r="AD28" s="2399"/>
      <c r="AE28" s="2399"/>
      <c r="AF28" s="3221">
        <v>3.8</v>
      </c>
      <c r="AG28" s="3530"/>
      <c r="AH28" s="5568"/>
      <c r="AI28" s="5568"/>
      <c r="AJ28" s="3221">
        <v>3.8</v>
      </c>
      <c r="AK28" s="3530"/>
      <c r="AL28" s="2746"/>
      <c r="AM28" s="2746"/>
      <c r="AN28" s="2399"/>
      <c r="AO28" s="2399"/>
      <c r="AP28" s="3221">
        <v>3.8</v>
      </c>
      <c r="AQ28" s="3530"/>
      <c r="AR28" s="2399"/>
      <c r="AS28" s="2399"/>
      <c r="AT28" s="3221">
        <v>3.8</v>
      </c>
      <c r="AU28" s="3530"/>
      <c r="AV28" s="6315"/>
      <c r="AW28" s="6315"/>
      <c r="AX28" s="3221">
        <v>3.8</v>
      </c>
      <c r="AY28" s="3530"/>
      <c r="AZ28" s="3066"/>
      <c r="BA28" s="3066"/>
      <c r="BB28" s="3074">
        <f t="shared" si="64"/>
        <v>0</v>
      </c>
      <c r="BC28" s="3074">
        <f t="shared" si="65"/>
        <v>0</v>
      </c>
      <c r="BD28" s="2399"/>
      <c r="BE28" s="2399"/>
      <c r="BF28" s="26"/>
      <c r="BG28" s="26"/>
      <c r="BH28" s="26"/>
      <c r="BI28" s="26"/>
      <c r="BJ28" s="1222"/>
    </row>
    <row r="29" spans="2:62" x14ac:dyDescent="0.25">
      <c r="B29" s="8" t="s">
        <v>81</v>
      </c>
      <c r="C29" s="3142" t="s">
        <v>326</v>
      </c>
      <c r="D29" s="3202">
        <f>D30*D$3*24</f>
        <v>10031.440544004065</v>
      </c>
      <c r="E29" s="3262">
        <v>9457.5649782267046</v>
      </c>
      <c r="F29" s="7230">
        <f>F30*F$3*24</f>
        <v>10169.32580362149</v>
      </c>
      <c r="G29" s="3262">
        <v>10172.221038753694</v>
      </c>
      <c r="H29" s="3133">
        <f t="shared" si="45"/>
        <v>20200.766347625555</v>
      </c>
      <c r="I29" s="39">
        <f t="shared" si="45"/>
        <v>19629.786016980397</v>
      </c>
      <c r="J29" s="4617">
        <f>J30*J$3*24</f>
        <v>8375.1559680806349</v>
      </c>
      <c r="K29" s="3262">
        <v>8751.9199999999928</v>
      </c>
      <c r="L29" s="782">
        <f t="shared" si="46"/>
        <v>28575.92231570619</v>
      </c>
      <c r="M29" s="782">
        <f t="shared" si="47"/>
        <v>28381.706016980388</v>
      </c>
      <c r="N29" s="4812">
        <f>N30*N$3*24</f>
        <v>6804.9363156591799</v>
      </c>
      <c r="O29" s="3262">
        <v>9362.7900000000009</v>
      </c>
      <c r="P29" s="783">
        <f t="shared" si="48"/>
        <v>35380.858631365372</v>
      </c>
      <c r="Q29" s="783">
        <f t="shared" si="49"/>
        <v>37744.496016980389</v>
      </c>
      <c r="R29" s="4962">
        <f>R30*R$3*24</f>
        <v>11098.39710123152</v>
      </c>
      <c r="S29" s="3262">
        <v>9577.0499999999993</v>
      </c>
      <c r="T29" s="4953">
        <f t="shared" ref="T29" si="122">+P29+R29</f>
        <v>46479.255732596896</v>
      </c>
      <c r="U29" s="4953">
        <f t="shared" ref="U29" si="123">+Q29+S29</f>
        <v>47321.546016980385</v>
      </c>
      <c r="V29" s="5178">
        <f>V30*V$3*24</f>
        <v>10781.619989563551</v>
      </c>
      <c r="W29" s="3262">
        <v>9657.4900000000034</v>
      </c>
      <c r="X29" s="782">
        <f t="shared" si="70"/>
        <v>28684.953406454249</v>
      </c>
      <c r="Y29" s="782">
        <f t="shared" si="71"/>
        <v>28597.33</v>
      </c>
      <c r="Z29" s="465">
        <f t="shared" si="52"/>
        <v>57260.875722160439</v>
      </c>
      <c r="AA29" s="465">
        <f t="shared" si="53"/>
        <v>56979.03601698039</v>
      </c>
      <c r="AB29" s="5431">
        <f>AB30*AB$3*24</f>
        <v>10595.762572359146</v>
      </c>
      <c r="AC29" s="3262">
        <v>9786.4699999999975</v>
      </c>
      <c r="AD29" s="2399">
        <f t="shared" ref="AD29" si="124">+Z29+AB29</f>
        <v>67856.63829451958</v>
      </c>
      <c r="AE29" s="2399">
        <f t="shared" ref="AE29" si="125">+AA29+AC29</f>
        <v>66765.506016980391</v>
      </c>
      <c r="AF29" s="5571">
        <f>AF30*AF$3*24</f>
        <v>10234.170426087781</v>
      </c>
      <c r="AG29" s="3262">
        <v>6303.0300000000007</v>
      </c>
      <c r="AH29" s="5568">
        <f t="shared" ref="AH29" si="126">+AD29+AF29</f>
        <v>78090.808720607369</v>
      </c>
      <c r="AI29" s="5568">
        <f t="shared" ref="AI29" si="127">+AE29+AG29</f>
        <v>73068.53601698039</v>
      </c>
      <c r="AJ29" s="5995">
        <f>AJ30*AJ$3*24</f>
        <v>10595.762572359146</v>
      </c>
      <c r="AK29" s="3262">
        <v>11324.401142331399</v>
      </c>
      <c r="AL29" s="2746">
        <f t="shared" ref="AL29" si="128">+AJ29+AF29+AB29</f>
        <v>31425.695570806078</v>
      </c>
      <c r="AM29" s="2746">
        <f t="shared" ref="AM29" si="129">+AK29+AG29+AC29</f>
        <v>27413.901142331397</v>
      </c>
      <c r="AN29" s="2399">
        <f t="shared" ref="AN29" si="130">+AH29+AJ29</f>
        <v>88686.571292966517</v>
      </c>
      <c r="AO29" s="2399">
        <f t="shared" ref="AO29" si="131">+AI29+AK29</f>
        <v>84392.937159311783</v>
      </c>
      <c r="AP29" s="6140">
        <f>AP30*AP$3*24</f>
        <v>10595.762572359146</v>
      </c>
      <c r="AQ29" s="3262">
        <v>10709.73</v>
      </c>
      <c r="AR29" s="2399">
        <f t="shared" ref="AR29" si="132">+AN29+AP29</f>
        <v>99282.333865325665</v>
      </c>
      <c r="AS29" s="2399">
        <f t="shared" ref="AS29" si="133">+AO29+AQ29</f>
        <v>95102.667159311779</v>
      </c>
      <c r="AT29" s="6320">
        <f>AT30*AT$3*24</f>
        <v>9594.113945141451</v>
      </c>
      <c r="AU29" s="3262">
        <v>9353.8741919054373</v>
      </c>
      <c r="AV29" s="6315">
        <f t="shared" ref="AV29" si="134">+AR29+AT29</f>
        <v>108876.44781046711</v>
      </c>
      <c r="AW29" s="6315">
        <f t="shared" ref="AW29" si="135">+AS29+AU29</f>
        <v>104456.54135121722</v>
      </c>
      <c r="AX29" s="6591">
        <f>AX30*AX$3*24</f>
        <v>10595.762572359146</v>
      </c>
      <c r="AY29" s="3262">
        <v>10141.914385331263</v>
      </c>
      <c r="AZ29" s="3066">
        <f t="shared" ref="AZ29" si="136">+AX29+AT29+AP29</f>
        <v>30785.639089859746</v>
      </c>
      <c r="BA29" s="3066">
        <f t="shared" ref="BA29" si="137">+AY29+AU29+AQ29</f>
        <v>30205.5185772367</v>
      </c>
      <c r="BB29" s="3074">
        <f t="shared" si="64"/>
        <v>62211.334660665823</v>
      </c>
      <c r="BC29" s="3074">
        <f t="shared" si="65"/>
        <v>57619.419719568097</v>
      </c>
      <c r="BD29" s="2399">
        <f t="shared" ref="BD29" si="138">+AV29+AX29</f>
        <v>119472.21038282626</v>
      </c>
      <c r="BE29" s="2399">
        <f t="shared" ref="BE29" si="139">+AW29+AY29</f>
        <v>114598.45573654849</v>
      </c>
      <c r="BF29" s="26"/>
      <c r="BG29" s="26"/>
      <c r="BH29" s="26"/>
      <c r="BI29" s="26"/>
      <c r="BJ29" s="1222"/>
    </row>
    <row r="30" spans="2:62" ht="15" hidden="1" customHeight="1" x14ac:dyDescent="0.25">
      <c r="B30" s="8"/>
      <c r="C30" s="3142"/>
      <c r="D30" s="3202">
        <v>13.932556311116755</v>
      </c>
      <c r="E30" s="3262"/>
      <c r="F30" s="7230">
        <v>13.668448660781571</v>
      </c>
      <c r="G30" s="3262"/>
      <c r="H30" s="3133"/>
      <c r="I30" s="39"/>
      <c r="J30" s="4617">
        <v>11.632161066778659</v>
      </c>
      <c r="K30" s="3262"/>
      <c r="L30" s="782"/>
      <c r="M30" s="782"/>
      <c r="N30" s="4812">
        <v>9.1464197791118007</v>
      </c>
      <c r="O30" s="3262"/>
      <c r="P30" s="783"/>
      <c r="Q30" s="783"/>
      <c r="R30" s="4962">
        <v>14.917200404881076</v>
      </c>
      <c r="S30" s="3262"/>
      <c r="T30" s="4953"/>
      <c r="U30" s="4953"/>
      <c r="V30" s="5178">
        <v>14.974472207727153</v>
      </c>
      <c r="W30" s="3262"/>
      <c r="X30" s="782"/>
      <c r="Y30" s="782"/>
      <c r="Z30" s="465"/>
      <c r="AA30" s="465"/>
      <c r="AB30" s="5431">
        <v>14.241616360697778</v>
      </c>
      <c r="AC30" s="3262"/>
      <c r="AD30" s="2399"/>
      <c r="AE30" s="2399"/>
      <c r="AF30" s="5571">
        <v>14.214125591788585</v>
      </c>
      <c r="AG30" s="3262"/>
      <c r="AH30" s="5568"/>
      <c r="AI30" s="5568"/>
      <c r="AJ30" s="3473">
        <v>14.241616360697778</v>
      </c>
      <c r="AK30" s="3262"/>
      <c r="AL30" s="2746"/>
      <c r="AM30" s="2746"/>
      <c r="AN30" s="2399"/>
      <c r="AO30" s="2399"/>
      <c r="AP30" s="3473">
        <v>14.241616360697778</v>
      </c>
      <c r="AQ30" s="3262"/>
      <c r="AR30" s="2399"/>
      <c r="AS30" s="2399"/>
      <c r="AT30" s="3473">
        <v>14.276955275508111</v>
      </c>
      <c r="AU30" s="3262"/>
      <c r="AV30" s="6315"/>
      <c r="AW30" s="6315"/>
      <c r="AX30" s="3473">
        <v>14.241616360697778</v>
      </c>
      <c r="AY30" s="3262"/>
      <c r="AZ30" s="3066"/>
      <c r="BA30" s="3066"/>
      <c r="BB30" s="3074">
        <f t="shared" si="64"/>
        <v>0</v>
      </c>
      <c r="BC30" s="3074">
        <f t="shared" si="65"/>
        <v>0</v>
      </c>
      <c r="BD30" s="2399"/>
      <c r="BE30" s="2399"/>
      <c r="BF30" s="26"/>
      <c r="BG30" s="26"/>
      <c r="BH30" s="26"/>
      <c r="BI30" s="26"/>
      <c r="BJ30" s="1222"/>
    </row>
    <row r="31" spans="2:62" x14ac:dyDescent="0.25">
      <c r="B31" s="8" t="s">
        <v>57</v>
      </c>
      <c r="C31" s="3142" t="s">
        <v>326</v>
      </c>
      <c r="D31" s="3202">
        <f>D32*D$3*24</f>
        <v>2590.1918789593333</v>
      </c>
      <c r="E31" s="3262">
        <v>2498.5</v>
      </c>
      <c r="F31" s="7230">
        <f>F32*F$3*24</f>
        <v>2672.7149177155043</v>
      </c>
      <c r="G31" s="3262">
        <v>2613.1999999999998</v>
      </c>
      <c r="H31" s="3133">
        <f t="shared" si="45"/>
        <v>5262.9067966748371</v>
      </c>
      <c r="I31" s="39">
        <f t="shared" si="45"/>
        <v>5111.7</v>
      </c>
      <c r="J31" s="4617">
        <f>J32*J$3*24</f>
        <v>1398.7102180060751</v>
      </c>
      <c r="K31" s="3262">
        <v>1993.5</v>
      </c>
      <c r="L31" s="782">
        <f t="shared" si="46"/>
        <v>6661.6170146809127</v>
      </c>
      <c r="M31" s="782">
        <f t="shared" si="47"/>
        <v>7105.2</v>
      </c>
      <c r="N31" s="4812">
        <f>N32*N$3*24</f>
        <v>637.06437054932564</v>
      </c>
      <c r="O31" s="3262">
        <v>2604</v>
      </c>
      <c r="P31" s="783">
        <f t="shared" si="48"/>
        <v>7298.6813852302384</v>
      </c>
      <c r="Q31" s="783">
        <f t="shared" si="49"/>
        <v>9709.2000000000007</v>
      </c>
      <c r="R31" s="4962">
        <f>R32*R$3*24</f>
        <v>2261.5313254967323</v>
      </c>
      <c r="S31" s="3262">
        <v>2605.5</v>
      </c>
      <c r="T31" s="4953">
        <f t="shared" ref="T31" si="140">+P31+R31</f>
        <v>9560.2127107269698</v>
      </c>
      <c r="U31" s="4953">
        <f t="shared" ref="U31" si="141">+Q31+S31</f>
        <v>12314.7</v>
      </c>
      <c r="V31" s="5178">
        <f>V32*V$3*24</f>
        <v>2186.0274000982936</v>
      </c>
      <c r="W31" s="3262">
        <v>2655.1872689042589</v>
      </c>
      <c r="X31" s="782">
        <f t="shared" si="70"/>
        <v>5084.6230961443516</v>
      </c>
      <c r="Y31" s="782">
        <f t="shared" si="71"/>
        <v>7864.6872689042593</v>
      </c>
      <c r="Z31" s="465">
        <f t="shared" si="52"/>
        <v>11746.240110825263</v>
      </c>
      <c r="AA31" s="465">
        <f t="shared" si="53"/>
        <v>14969.887268904258</v>
      </c>
      <c r="AB31" s="5431">
        <f>AB32*AB$3*24</f>
        <v>2355.91123224478</v>
      </c>
      <c r="AC31" s="3262">
        <v>2593.3732936844058</v>
      </c>
      <c r="AD31" s="2399">
        <f t="shared" ref="AD31" si="142">+Z31+AB31</f>
        <v>14102.151343070043</v>
      </c>
      <c r="AE31" s="2399">
        <f t="shared" ref="AE31" si="143">+AA31+AC31</f>
        <v>17563.260562588664</v>
      </c>
      <c r="AF31" s="5571">
        <f>AF32*AF$3*24</f>
        <v>2280.4073068463422</v>
      </c>
      <c r="AG31" s="3262">
        <v>189.00000000000009</v>
      </c>
      <c r="AH31" s="5568">
        <f t="shared" ref="AH31" si="144">+AD31+AF31</f>
        <v>16382.558649916386</v>
      </c>
      <c r="AI31" s="5568">
        <f t="shared" ref="AI31" si="145">+AE31+AG31</f>
        <v>17752.260562588664</v>
      </c>
      <c r="AJ31" s="5995">
        <f>AJ32*AJ$3*24</f>
        <v>2355.91123224478</v>
      </c>
      <c r="AK31" s="3262">
        <v>2492.0536064585071</v>
      </c>
      <c r="AL31" s="2746">
        <f t="shared" ref="AL31" si="146">+AJ31+AF31+AB31</f>
        <v>6992.2297713359021</v>
      </c>
      <c r="AM31" s="2746">
        <f t="shared" ref="AM31" si="147">+AK31+AG31+AC31</f>
        <v>5274.4269001429129</v>
      </c>
      <c r="AN31" s="2399">
        <f t="shared" ref="AN31" si="148">+AH31+AJ31</f>
        <v>18738.469882161167</v>
      </c>
      <c r="AO31" s="2399">
        <f t="shared" ref="AO31" si="149">+AI31+AK31</f>
        <v>20244.314169047171</v>
      </c>
      <c r="AP31" s="6140">
        <f>AP32*AP$3*24</f>
        <v>2355.91123224478</v>
      </c>
      <c r="AQ31" s="3262">
        <v>2677.98</v>
      </c>
      <c r="AR31" s="2399">
        <f t="shared" ref="AR31" si="150">+AN31+AP31</f>
        <v>21094.381114405947</v>
      </c>
      <c r="AS31" s="2399">
        <f t="shared" ref="AS31" si="151">+AO31+AQ31</f>
        <v>22922.294169047171</v>
      </c>
      <c r="AT31" s="6320">
        <f>AT32*AT$3*24</f>
        <v>2119.9614653746594</v>
      </c>
      <c r="AU31" s="3262">
        <v>2352</v>
      </c>
      <c r="AV31" s="6315">
        <f t="shared" ref="AV31" si="152">+AR31+AT31</f>
        <v>23214.342579780605</v>
      </c>
      <c r="AW31" s="6315">
        <f t="shared" ref="AW31" si="153">+AS31+AU31</f>
        <v>25274.294169047171</v>
      </c>
      <c r="AX31" s="6591">
        <f>AX32*AX$3*24</f>
        <v>2355.91123224478</v>
      </c>
      <c r="AY31" s="3262">
        <v>2592.04</v>
      </c>
      <c r="AZ31" s="3066">
        <f t="shared" ref="AZ31" si="154">+AX31+AT31+AP31</f>
        <v>6831.7839298642193</v>
      </c>
      <c r="BA31" s="3066">
        <f t="shared" ref="BA31" si="155">+AY31+AU31+AQ31</f>
        <v>7622.02</v>
      </c>
      <c r="BB31" s="3074">
        <f t="shared" si="64"/>
        <v>13824.013701200121</v>
      </c>
      <c r="BC31" s="3074">
        <f t="shared" si="65"/>
        <v>12896.446900142913</v>
      </c>
      <c r="BD31" s="2399">
        <f t="shared" ref="BD31" si="156">+AV31+AX31</f>
        <v>25570.253812025385</v>
      </c>
      <c r="BE31" s="2399">
        <f t="shared" ref="BE31" si="157">+AW31+AY31</f>
        <v>27866.334169047172</v>
      </c>
      <c r="BF31" s="26"/>
      <c r="BG31" s="26"/>
      <c r="BH31" s="26"/>
      <c r="BI31" s="26"/>
      <c r="BJ31" s="1222"/>
    </row>
    <row r="32" spans="2:62" ht="15" hidden="1" customHeight="1" x14ac:dyDescent="0.25">
      <c r="B32" s="8"/>
      <c r="C32" s="3142"/>
      <c r="D32" s="3221">
        <v>3.5974887207768518</v>
      </c>
      <c r="E32" s="3530"/>
      <c r="F32" s="3221">
        <v>3.5923587603703018</v>
      </c>
      <c r="G32" s="3530"/>
      <c r="H32" s="3133"/>
      <c r="I32" s="39"/>
      <c r="J32" s="3221">
        <v>1.9426530805639932</v>
      </c>
      <c r="K32" s="3530"/>
      <c r="L32" s="782"/>
      <c r="M32" s="782"/>
      <c r="N32" s="3221">
        <v>0.85626931525446992</v>
      </c>
      <c r="O32" s="3530"/>
      <c r="P32" s="783"/>
      <c r="Q32" s="783"/>
      <c r="R32" s="3221">
        <v>3.039692641796683</v>
      </c>
      <c r="S32" s="3530"/>
      <c r="T32" s="4953"/>
      <c r="U32" s="4953"/>
      <c r="V32" s="3221">
        <v>3.0361491668031855</v>
      </c>
      <c r="W32" s="3530"/>
      <c r="X32" s="782"/>
      <c r="Y32" s="782"/>
      <c r="Z32" s="465"/>
      <c r="AA32" s="465"/>
      <c r="AB32" s="3221">
        <v>3.1665473551677152</v>
      </c>
      <c r="AC32" s="3530"/>
      <c r="AD32" s="2399"/>
      <c r="AE32" s="2399"/>
      <c r="AF32" s="3221">
        <v>3.1672323706199195</v>
      </c>
      <c r="AG32" s="3530"/>
      <c r="AH32" s="5568"/>
      <c r="AI32" s="5568"/>
      <c r="AJ32" s="3221">
        <v>3.1665473551677152</v>
      </c>
      <c r="AK32" s="3530"/>
      <c r="AL32" s="2746"/>
      <c r="AM32" s="2746"/>
      <c r="AN32" s="2399"/>
      <c r="AO32" s="2399"/>
      <c r="AP32" s="3221">
        <v>3.1665473551677152</v>
      </c>
      <c r="AQ32" s="3530"/>
      <c r="AR32" s="2399"/>
      <c r="AS32" s="2399"/>
      <c r="AT32" s="3221">
        <v>3.1547045615694338</v>
      </c>
      <c r="AU32" s="3530"/>
      <c r="AV32" s="6315"/>
      <c r="AW32" s="6315"/>
      <c r="AX32" s="3221">
        <v>3.1665473551677152</v>
      </c>
      <c r="AY32" s="3530"/>
      <c r="AZ32" s="3066"/>
      <c r="BA32" s="3066"/>
      <c r="BB32" s="3074">
        <f t="shared" si="64"/>
        <v>0</v>
      </c>
      <c r="BC32" s="3074">
        <f t="shared" si="65"/>
        <v>0</v>
      </c>
      <c r="BD32" s="2399"/>
      <c r="BE32" s="2399"/>
      <c r="BF32" s="26"/>
      <c r="BG32" s="26"/>
      <c r="BH32" s="26"/>
      <c r="BI32" s="26"/>
      <c r="BJ32" s="1222"/>
    </row>
    <row r="33" spans="2:62" x14ac:dyDescent="0.25">
      <c r="B33" s="8" t="s">
        <v>58</v>
      </c>
      <c r="C33" s="3142" t="s">
        <v>326</v>
      </c>
      <c r="D33" s="3202">
        <f>D34*D$3*24</f>
        <v>1123.6233803241867</v>
      </c>
      <c r="E33" s="3262">
        <v>1084.5</v>
      </c>
      <c r="F33" s="7230">
        <f>F34*F$3*24</f>
        <v>1157.85238949327</v>
      </c>
      <c r="G33" s="3262">
        <v>1127.8000000000002</v>
      </c>
      <c r="H33" s="3133">
        <f t="shared" si="45"/>
        <v>2281.4757698174567</v>
      </c>
      <c r="I33" s="39">
        <f t="shared" si="45"/>
        <v>2212.3000000000002</v>
      </c>
      <c r="J33" s="4617">
        <f>J34*J$3*24</f>
        <v>544.01250418666984</v>
      </c>
      <c r="K33" s="3262">
        <v>917.20000000000016</v>
      </c>
      <c r="L33" s="782">
        <f t="shared" si="46"/>
        <v>2825.4882740041267</v>
      </c>
      <c r="M33" s="782">
        <f t="shared" si="47"/>
        <v>3129.5000000000005</v>
      </c>
      <c r="N33" s="4812">
        <f>N34*N$3*24</f>
        <v>219.8745115552083</v>
      </c>
      <c r="O33" s="3262">
        <v>1116.1999999999998</v>
      </c>
      <c r="P33" s="783">
        <f t="shared" si="48"/>
        <v>3045.362785559335</v>
      </c>
      <c r="Q33" s="783">
        <f t="shared" si="49"/>
        <v>4245.7000000000007</v>
      </c>
      <c r="R33" s="4962">
        <f>R34*R$3*24</f>
        <v>1052.7962487439995</v>
      </c>
      <c r="S33" s="3262">
        <v>1121.5</v>
      </c>
      <c r="T33" s="4953">
        <f t="shared" ref="T33" si="158">+P33+R33</f>
        <v>4098.1590343033349</v>
      </c>
      <c r="U33" s="4953">
        <f t="shared" ref="U33" si="159">+Q33+S33</f>
        <v>5367.2000000000007</v>
      </c>
      <c r="V33" s="5178">
        <f>V34*V$3*24</f>
        <v>1016.4206765658146</v>
      </c>
      <c r="W33" s="3262">
        <v>1106.31</v>
      </c>
      <c r="X33" s="782">
        <f t="shared" si="70"/>
        <v>2289.0914368650224</v>
      </c>
      <c r="Y33" s="782">
        <f t="shared" si="71"/>
        <v>3344.0099999999998</v>
      </c>
      <c r="Z33" s="465">
        <f t="shared" si="52"/>
        <v>5114.5797108691495</v>
      </c>
      <c r="AA33" s="465">
        <f t="shared" si="53"/>
        <v>6473.51</v>
      </c>
      <c r="AB33" s="5431">
        <f>AB34*AB$3*24</f>
        <v>1142.1118678128837</v>
      </c>
      <c r="AC33" s="3262">
        <v>1111.2200000000003</v>
      </c>
      <c r="AD33" s="2399">
        <f t="shared" ref="AD33" si="160">+Z33+AB33</f>
        <v>6256.6915786820337</v>
      </c>
      <c r="AE33" s="2399">
        <f t="shared" ref="AE33" si="161">+AA33+AC33</f>
        <v>7584.7300000000005</v>
      </c>
      <c r="AF33" s="5571">
        <f>AF34*AF$3*24</f>
        <v>1105.7362956346997</v>
      </c>
      <c r="AG33" s="3262">
        <v>78</v>
      </c>
      <c r="AH33" s="5568">
        <f t="shared" ref="AH33" si="162">+AD33+AF33</f>
        <v>7362.4278743167333</v>
      </c>
      <c r="AI33" s="5568">
        <f t="shared" ref="AI33" si="163">+AE33+AG33</f>
        <v>7662.7300000000005</v>
      </c>
      <c r="AJ33" s="5995">
        <f>AJ34*AJ$3*24</f>
        <v>1142.1118678128837</v>
      </c>
      <c r="AK33" s="3262">
        <v>1054</v>
      </c>
      <c r="AL33" s="2746">
        <f t="shared" ref="AL33" si="164">+AJ33+AF33+AB33</f>
        <v>3389.9600312604671</v>
      </c>
      <c r="AM33" s="2746">
        <f t="shared" ref="AM33" si="165">+AK33+AG33+AC33</f>
        <v>2243.2200000000003</v>
      </c>
      <c r="AN33" s="2399">
        <f t="shared" ref="AN33" si="166">+AH33+AJ33</f>
        <v>8504.5397421296166</v>
      </c>
      <c r="AO33" s="2399">
        <f t="shared" ref="AO33" si="167">+AI33+AK33</f>
        <v>8716.73</v>
      </c>
      <c r="AP33" s="6140">
        <f>AP34*AP$3*24</f>
        <v>1142.1118678128837</v>
      </c>
      <c r="AQ33" s="3262">
        <v>1142.81</v>
      </c>
      <c r="AR33" s="2399">
        <f t="shared" ref="AR33" si="168">+AN33+AP33</f>
        <v>9646.6516099425007</v>
      </c>
      <c r="AS33" s="2399">
        <f t="shared" ref="AS33" si="169">+AO33+AQ33</f>
        <v>9859.5399999999991</v>
      </c>
      <c r="AT33" s="6320">
        <f>AT34*AT$3*24</f>
        <v>1024.0535893714411</v>
      </c>
      <c r="AU33" s="3262">
        <v>1008.0400000000001</v>
      </c>
      <c r="AV33" s="6315">
        <f t="shared" ref="AV33" si="170">+AR33+AT33</f>
        <v>10670.705199313941</v>
      </c>
      <c r="AW33" s="6315">
        <f t="shared" ref="AW33" si="171">+AS33+AU33</f>
        <v>10867.58</v>
      </c>
      <c r="AX33" s="6591">
        <f>AX34*AX$3*24</f>
        <v>1142.1118678128837</v>
      </c>
      <c r="AY33" s="3262">
        <v>1116</v>
      </c>
      <c r="AZ33" s="3066">
        <f t="shared" ref="AZ33" si="172">+AX33+AT33+AP33</f>
        <v>3308.2773249972083</v>
      </c>
      <c r="BA33" s="3066">
        <f t="shared" ref="BA33" si="173">+AY33+AU33+AQ33</f>
        <v>3266.85</v>
      </c>
      <c r="BB33" s="3074">
        <f t="shared" si="64"/>
        <v>6698.2373562576759</v>
      </c>
      <c r="BC33" s="3074">
        <f t="shared" si="65"/>
        <v>5510.07</v>
      </c>
      <c r="BD33" s="2399">
        <f t="shared" ref="BD33" si="174">+AV33+AX33</f>
        <v>11812.817067126825</v>
      </c>
      <c r="BE33" s="2399">
        <f t="shared" ref="BE33" si="175">+AW33+AY33</f>
        <v>11983.58</v>
      </c>
      <c r="BF33" s="26"/>
      <c r="BG33" s="26"/>
      <c r="BH33" s="26"/>
      <c r="BI33" s="26"/>
      <c r="BJ33" s="1222"/>
    </row>
    <row r="34" spans="2:62" ht="15" hidden="1" customHeight="1" x14ac:dyDescent="0.25">
      <c r="B34" s="8"/>
      <c r="C34" s="3142"/>
      <c r="D34" s="3221">
        <v>1.5605880282280371</v>
      </c>
      <c r="E34" s="3530"/>
      <c r="F34" s="3221">
        <v>1.5562532116845027</v>
      </c>
      <c r="G34" s="3530"/>
      <c r="H34" s="3133"/>
      <c r="I34" s="39"/>
      <c r="J34" s="3221">
        <v>0.75557292248148589</v>
      </c>
      <c r="K34" s="3530"/>
      <c r="L34" s="782"/>
      <c r="M34" s="782"/>
      <c r="N34" s="3221">
        <v>0.29553025746667783</v>
      </c>
      <c r="O34" s="3530"/>
      <c r="P34" s="783"/>
      <c r="Q34" s="783"/>
      <c r="R34" s="3221">
        <v>1.4150487214301066</v>
      </c>
      <c r="S34" s="3530"/>
      <c r="T34" s="4953"/>
      <c r="U34" s="4953"/>
      <c r="V34" s="3221">
        <v>1.411695384119187</v>
      </c>
      <c r="W34" s="3530"/>
      <c r="X34" s="782"/>
      <c r="Y34" s="782"/>
      <c r="Z34" s="465"/>
      <c r="AA34" s="465"/>
      <c r="AB34" s="3221">
        <v>1.5350965965226933</v>
      </c>
      <c r="AC34" s="3530"/>
      <c r="AD34" s="2399"/>
      <c r="AE34" s="2399"/>
      <c r="AF34" s="3221">
        <v>1.5357448550481938</v>
      </c>
      <c r="AG34" s="3530"/>
      <c r="AH34" s="5568"/>
      <c r="AI34" s="5568"/>
      <c r="AJ34" s="3221">
        <v>1.5350965965226933</v>
      </c>
      <c r="AK34" s="3530"/>
      <c r="AL34" s="2746"/>
      <c r="AM34" s="2746"/>
      <c r="AN34" s="2399"/>
      <c r="AO34" s="2399"/>
      <c r="AP34" s="3221">
        <v>1.5350965965226933</v>
      </c>
      <c r="AQ34" s="3530"/>
      <c r="AR34" s="2399"/>
      <c r="AS34" s="2399"/>
      <c r="AT34" s="3221">
        <v>1.523889269897978</v>
      </c>
      <c r="AU34" s="3530"/>
      <c r="AV34" s="6315"/>
      <c r="AW34" s="6315"/>
      <c r="AX34" s="3221">
        <v>1.5350965965226933</v>
      </c>
      <c r="AY34" s="3530"/>
      <c r="AZ34" s="3066"/>
      <c r="BA34" s="3066"/>
      <c r="BB34" s="3074">
        <f t="shared" si="64"/>
        <v>0</v>
      </c>
      <c r="BC34" s="3074">
        <f t="shared" si="65"/>
        <v>0</v>
      </c>
      <c r="BD34" s="2399"/>
      <c r="BE34" s="2399"/>
      <c r="BF34" s="26"/>
      <c r="BG34" s="26"/>
      <c r="BH34" s="26"/>
      <c r="BI34" s="26"/>
      <c r="BJ34" s="1222"/>
    </row>
    <row r="35" spans="2:62" x14ac:dyDescent="0.25">
      <c r="B35" s="8" t="s">
        <v>59</v>
      </c>
      <c r="C35" s="3142" t="s">
        <v>326</v>
      </c>
      <c r="D35" s="3202">
        <f>D36*D$3*24</f>
        <v>918.53654458402048</v>
      </c>
      <c r="E35" s="3262">
        <v>1237.6782628054548</v>
      </c>
      <c r="F35" s="7230">
        <f>F36*F$3*24</f>
        <v>1427.9339305750007</v>
      </c>
      <c r="G35" s="3262">
        <v>1042.0188628037854</v>
      </c>
      <c r="H35" s="3133">
        <f t="shared" si="45"/>
        <v>2346.4704751590211</v>
      </c>
      <c r="I35" s="39">
        <f t="shared" si="45"/>
        <v>2279.6971256092402</v>
      </c>
      <c r="J35" s="4617">
        <f>J36*J$3*24</f>
        <v>1312.7906988810614</v>
      </c>
      <c r="K35" s="3262">
        <v>1843.6991614628546</v>
      </c>
      <c r="L35" s="782">
        <f t="shared" si="46"/>
        <v>3659.2611740400826</v>
      </c>
      <c r="M35" s="782">
        <f t="shared" si="47"/>
        <v>4123.3962870720952</v>
      </c>
      <c r="N35" s="4812">
        <f>N36*N$3*24</f>
        <v>1154.4534980420424</v>
      </c>
      <c r="O35" s="3262">
        <v>1511.0670763052983</v>
      </c>
      <c r="P35" s="783">
        <f t="shared" si="48"/>
        <v>4813.7146720821247</v>
      </c>
      <c r="Q35" s="783">
        <f t="shared" si="49"/>
        <v>5634.4633633773938</v>
      </c>
      <c r="R35" s="4962">
        <f>R36*R$3*24</f>
        <v>1313.8986334745887</v>
      </c>
      <c r="S35" s="3262">
        <v>1714.6044200539532</v>
      </c>
      <c r="T35" s="4953">
        <f t="shared" ref="T35" si="176">+P35+R35</f>
        <v>6127.6133055567134</v>
      </c>
      <c r="U35" s="4953">
        <f t="shared" ref="U35" si="177">+Q35+S35</f>
        <v>7349.0677834313465</v>
      </c>
      <c r="V35" s="5178">
        <f>V36*V$3*24</f>
        <v>1265.6204963625844</v>
      </c>
      <c r="W35" s="3262">
        <v>1263.300591122267</v>
      </c>
      <c r="X35" s="782">
        <f t="shared" si="70"/>
        <v>3733.972627879215</v>
      </c>
      <c r="Y35" s="782">
        <f t="shared" si="71"/>
        <v>4488.9720874815184</v>
      </c>
      <c r="Z35" s="465">
        <f t="shared" si="52"/>
        <v>7393.2338019192975</v>
      </c>
      <c r="AA35" s="465">
        <f t="shared" si="53"/>
        <v>8612.3683745536146</v>
      </c>
      <c r="AB35" s="5431">
        <f>AB36*AB$3*24</f>
        <v>1274.6963075978933</v>
      </c>
      <c r="AC35" s="3262">
        <v>1350.5871015835003</v>
      </c>
      <c r="AD35" s="2399">
        <f t="shared" ref="AD35" si="178">+Z35+AB35</f>
        <v>8667.9301095171904</v>
      </c>
      <c r="AE35" s="2399">
        <f t="shared" ref="AE35" si="179">+AA35+AC35</f>
        <v>9962.9554761371146</v>
      </c>
      <c r="AF35" s="5571">
        <f>AF36*AF$3*24</f>
        <v>1234.3612733195541</v>
      </c>
      <c r="AG35" s="3262">
        <v>1235.4677400534083</v>
      </c>
      <c r="AH35" s="5568">
        <f t="shared" ref="AH35" si="180">+AD35+AF35</f>
        <v>9902.2913828367455</v>
      </c>
      <c r="AI35" s="5568">
        <f t="shared" ref="AI35" si="181">+AE35+AG35</f>
        <v>11198.423216190524</v>
      </c>
      <c r="AJ35" s="5995">
        <f>AJ36*AJ$3*24</f>
        <v>1274.6963075978933</v>
      </c>
      <c r="AK35" s="3262">
        <v>1084.0109573695499</v>
      </c>
      <c r="AL35" s="2746">
        <f t="shared" ref="AL35" si="182">+AJ35+AF35+AB35</f>
        <v>3783.7538885153408</v>
      </c>
      <c r="AM35" s="2746">
        <f t="shared" ref="AM35" si="183">+AK35+AG35+AC35</f>
        <v>3670.0657990064583</v>
      </c>
      <c r="AN35" s="2399">
        <f t="shared" ref="AN35" si="184">+AH35+AJ35</f>
        <v>11176.987690434638</v>
      </c>
      <c r="AO35" s="2399">
        <f t="shared" ref="AO35" si="185">+AI35+AK35</f>
        <v>12282.434173560074</v>
      </c>
      <c r="AP35" s="6140">
        <f>AP36*AP$3*24</f>
        <v>1274.6963075978933</v>
      </c>
      <c r="AQ35" s="3262">
        <v>836.94</v>
      </c>
      <c r="AR35" s="2399">
        <f t="shared" ref="AR35" si="186">+AN35+AP35</f>
        <v>12451.683998032531</v>
      </c>
      <c r="AS35" s="2399">
        <f t="shared" ref="AS35" si="187">+AO35+AQ35</f>
        <v>13119.374173560074</v>
      </c>
      <c r="AT35" s="6320">
        <f>AT36*AT$3*24</f>
        <v>1143.4260102480669</v>
      </c>
      <c r="AU35" s="3262">
        <v>946.59303774050181</v>
      </c>
      <c r="AV35" s="6315">
        <f t="shared" ref="AV35" si="188">+AR35+AT35</f>
        <v>13595.110008280599</v>
      </c>
      <c r="AW35" s="6315">
        <f t="shared" ref="AW35" si="189">+AS35+AU35</f>
        <v>14065.967211300576</v>
      </c>
      <c r="AX35" s="6591">
        <f>AX36*AX$3*24</f>
        <v>1230.634696295273</v>
      </c>
      <c r="AY35" s="3262">
        <v>1418.3838297286961</v>
      </c>
      <c r="AZ35" s="3066">
        <f t="shared" ref="AZ35" si="190">+AX35+AT35+AP35</f>
        <v>3648.757014141233</v>
      </c>
      <c r="BA35" s="3066">
        <f t="shared" ref="BA35" si="191">+AY35+AU35+AQ35</f>
        <v>3201.9168674691978</v>
      </c>
      <c r="BB35" s="3074">
        <f t="shared" si="64"/>
        <v>7432.5109026565733</v>
      </c>
      <c r="BC35" s="3074">
        <f t="shared" si="65"/>
        <v>6871.9826664756565</v>
      </c>
      <c r="BD35" s="2399">
        <f t="shared" ref="BD35" si="192">+AV35+AX35</f>
        <v>14825.744704575871</v>
      </c>
      <c r="BE35" s="2399">
        <f t="shared" ref="BE35" si="193">+AW35+AY35</f>
        <v>15484.351041029273</v>
      </c>
      <c r="BF35" s="26"/>
      <c r="BG35" s="26"/>
      <c r="BH35" s="26"/>
      <c r="BI35" s="26"/>
      <c r="BJ35" s="1222"/>
    </row>
    <row r="36" spans="2:62" ht="15" hidden="1" customHeight="1" x14ac:dyDescent="0.25">
      <c r="B36" s="8"/>
      <c r="C36" s="3142"/>
      <c r="D36" s="3221">
        <v>1.2757452008111396</v>
      </c>
      <c r="E36" s="3530"/>
      <c r="F36" s="3221">
        <v>1.9192660357190869</v>
      </c>
      <c r="G36" s="3530"/>
      <c r="H36" s="3133"/>
      <c r="I36" s="39"/>
      <c r="J36" s="3221">
        <v>1.823320415112585</v>
      </c>
      <c r="K36" s="3530"/>
      <c r="L36" s="782"/>
      <c r="M36" s="782"/>
      <c r="N36" s="3221">
        <v>1.5516848091962936</v>
      </c>
      <c r="O36" s="3530"/>
      <c r="P36" s="783"/>
      <c r="Q36" s="783"/>
      <c r="R36" s="3221">
        <v>1.7659927869282104</v>
      </c>
      <c r="S36" s="3530"/>
      <c r="T36" s="4953"/>
      <c r="U36" s="4953"/>
      <c r="V36" s="3221">
        <v>1.7578062449480341</v>
      </c>
      <c r="W36" s="3530"/>
      <c r="X36" s="782"/>
      <c r="Y36" s="782"/>
      <c r="Z36" s="465"/>
      <c r="AA36" s="465"/>
      <c r="AB36" s="3221">
        <v>1.7133014887068461</v>
      </c>
      <c r="AC36" s="3530"/>
      <c r="AD36" s="2399"/>
      <c r="AE36" s="2399"/>
      <c r="AF36" s="3221">
        <v>1.7143906573882695</v>
      </c>
      <c r="AG36" s="3530"/>
      <c r="AH36" s="5568"/>
      <c r="AI36" s="5568"/>
      <c r="AJ36" s="3221">
        <v>1.7133014887068461</v>
      </c>
      <c r="AK36" s="3530"/>
      <c r="AL36" s="2746"/>
      <c r="AM36" s="2746"/>
      <c r="AN36" s="2399"/>
      <c r="AO36" s="2399"/>
      <c r="AP36" s="3221">
        <v>1.7133014887068461</v>
      </c>
      <c r="AQ36" s="3530"/>
      <c r="AR36" s="2399"/>
      <c r="AS36" s="2399"/>
      <c r="AT36" s="3221">
        <v>1.7015268009643854</v>
      </c>
      <c r="AU36" s="3530"/>
      <c r="AV36" s="6315"/>
      <c r="AW36" s="6315"/>
      <c r="AX36" s="3221">
        <v>1.6540788928699905</v>
      </c>
      <c r="AY36" s="3530"/>
      <c r="AZ36" s="3066"/>
      <c r="BA36" s="3066"/>
      <c r="BB36" s="3074">
        <f t="shared" si="64"/>
        <v>0</v>
      </c>
      <c r="BC36" s="3074">
        <f t="shared" si="65"/>
        <v>0</v>
      </c>
      <c r="BD36" s="2399"/>
      <c r="BE36" s="2399"/>
      <c r="BF36" s="26"/>
      <c r="BG36" s="26"/>
      <c r="BH36" s="26"/>
      <c r="BI36" s="26"/>
      <c r="BJ36" s="1222"/>
    </row>
    <row r="37" spans="2:62" x14ac:dyDescent="0.25">
      <c r="B37" s="8" t="s">
        <v>91</v>
      </c>
      <c r="C37" s="3142" t="s">
        <v>326</v>
      </c>
      <c r="D37" s="3202">
        <f>D38*D$3*24</f>
        <v>1395.7500142267886</v>
      </c>
      <c r="E37" s="3262">
        <v>1626.5732933015192</v>
      </c>
      <c r="F37" s="7230">
        <f>F38*F$3*24</f>
        <v>2178.5577018994009</v>
      </c>
      <c r="G37" s="3262">
        <v>1511.2833702499265</v>
      </c>
      <c r="H37" s="3133">
        <f t="shared" si="45"/>
        <v>3574.3077161261895</v>
      </c>
      <c r="I37" s="39">
        <f t="shared" si="45"/>
        <v>3137.8566635514458</v>
      </c>
      <c r="J37" s="4617">
        <f>J38*J$3*24</f>
        <v>1784.8511885305206</v>
      </c>
      <c r="K37" s="3262">
        <v>1841.8771086619058</v>
      </c>
      <c r="L37" s="782">
        <f t="shared" si="46"/>
        <v>5359.1589046567096</v>
      </c>
      <c r="M37" s="782">
        <f t="shared" si="47"/>
        <v>4979.7337722133516</v>
      </c>
      <c r="N37" s="4812">
        <f>N38*N$3*24</f>
        <v>1471.4795881779401</v>
      </c>
      <c r="O37" s="3262">
        <v>2127.5822220430127</v>
      </c>
      <c r="P37" s="783">
        <f t="shared" si="48"/>
        <v>6830.6384928346497</v>
      </c>
      <c r="Q37" s="783">
        <f t="shared" si="49"/>
        <v>7107.3159942563643</v>
      </c>
      <c r="R37" s="4962">
        <f>R38*R$3*24</f>
        <v>1963.0302421211186</v>
      </c>
      <c r="S37" s="3262">
        <v>2344.5805523552681</v>
      </c>
      <c r="T37" s="4953">
        <f t="shared" ref="T37" si="194">+P37+R37</f>
        <v>8793.6687349557687</v>
      </c>
      <c r="U37" s="4953">
        <f t="shared" ref="U37" si="195">+Q37+S37</f>
        <v>9451.8965466116315</v>
      </c>
      <c r="V37" s="5178">
        <f>V38*V$3*24</f>
        <v>1894.2577141743345</v>
      </c>
      <c r="W37" s="3262">
        <v>1886.9145759595212</v>
      </c>
      <c r="X37" s="782">
        <f t="shared" si="70"/>
        <v>5328.7675444733932</v>
      </c>
      <c r="Y37" s="782">
        <f t="shared" si="71"/>
        <v>6359.0773503578021</v>
      </c>
      <c r="Z37" s="465">
        <f t="shared" si="52"/>
        <v>10687.926449130104</v>
      </c>
      <c r="AA37" s="465">
        <f t="shared" si="53"/>
        <v>11338.811122571155</v>
      </c>
      <c r="AB37" s="5431">
        <f>AB38*AB$3*24</f>
        <v>1904.4600074798568</v>
      </c>
      <c r="AC37" s="3262">
        <v>1909.022000124211</v>
      </c>
      <c r="AD37" s="2399">
        <f t="shared" ref="AD37" si="196">+Z37+AB37</f>
        <v>12592.38645660996</v>
      </c>
      <c r="AE37" s="2399">
        <f t="shared" ref="AE37" si="197">+AA37+AC37</f>
        <v>13247.833122695365</v>
      </c>
      <c r="AF37" s="5571">
        <f>AF38*AF$3*24</f>
        <v>1847.4719481737557</v>
      </c>
      <c r="AG37" s="3262">
        <v>338.43214673084026</v>
      </c>
      <c r="AH37" s="5568">
        <f t="shared" ref="AH37" si="198">+AD37+AF37</f>
        <v>14439.858404783716</v>
      </c>
      <c r="AI37" s="5568">
        <f t="shared" ref="AI37" si="199">+AE37+AG37</f>
        <v>13586.265269426205</v>
      </c>
      <c r="AJ37" s="5995">
        <f>AJ38*AJ$3*24</f>
        <v>1904.4600074798568</v>
      </c>
      <c r="AK37" s="3262">
        <v>1774.6920224247453</v>
      </c>
      <c r="AL37" s="2746">
        <f t="shared" ref="AL37" si="200">+AJ37+AF37+AB37</f>
        <v>5656.3919631334693</v>
      </c>
      <c r="AM37" s="2746">
        <f t="shared" ref="AM37" si="201">+AK37+AG37+AC37</f>
        <v>4022.1461692797966</v>
      </c>
      <c r="AN37" s="2399">
        <f t="shared" ref="AN37" si="202">+AH37+AJ37</f>
        <v>16344.318412263572</v>
      </c>
      <c r="AO37" s="2399">
        <f t="shared" ref="AO37" si="203">+AI37+AK37</f>
        <v>15360.957291850951</v>
      </c>
      <c r="AP37" s="6140">
        <f>AP38*AP$3*24</f>
        <v>1904.4600074798568</v>
      </c>
      <c r="AQ37" s="3262">
        <v>1165.77</v>
      </c>
      <c r="AR37" s="2399">
        <f t="shared" ref="AR37" si="204">+AN37+AP37</f>
        <v>18248.77841974343</v>
      </c>
      <c r="AS37" s="2399">
        <f t="shared" ref="AS37" si="205">+AO37+AQ37</f>
        <v>16526.727291850952</v>
      </c>
      <c r="AT37" s="6320">
        <f>AT38*AT$3*24</f>
        <v>1739.3123855753233</v>
      </c>
      <c r="AU37" s="3262">
        <v>1402.9724335582637</v>
      </c>
      <c r="AV37" s="6315">
        <f t="shared" ref="AV37" si="206">+AR37+AT37</f>
        <v>19988.090805318752</v>
      </c>
      <c r="AW37" s="6315">
        <f t="shared" ref="AW37" si="207">+AS37+AU37</f>
        <v>17929.699725409217</v>
      </c>
      <c r="AX37" s="6591">
        <f>AX38*AX$3*24</f>
        <v>1838.6297574894929</v>
      </c>
      <c r="AY37" s="3262">
        <v>1696.8587316215296</v>
      </c>
      <c r="AZ37" s="3066">
        <f t="shared" ref="AZ37" si="208">+AX37+AT37+AP37</f>
        <v>5482.4021505446726</v>
      </c>
      <c r="BA37" s="3066">
        <f t="shared" ref="BA37" si="209">+AY37+AU37+AQ37</f>
        <v>4265.6011651797926</v>
      </c>
      <c r="BB37" s="3074">
        <f t="shared" si="64"/>
        <v>11138.794113678141</v>
      </c>
      <c r="BC37" s="3074">
        <f t="shared" si="65"/>
        <v>8287.7473344595892</v>
      </c>
      <c r="BD37" s="2399">
        <f t="shared" ref="BD37" si="210">+AV37+AX37</f>
        <v>21826.720562808245</v>
      </c>
      <c r="BE37" s="2399">
        <f t="shared" ref="BE37" si="211">+AW37+AY37</f>
        <v>19626.558457030747</v>
      </c>
      <c r="BF37" s="26"/>
      <c r="BG37" s="26"/>
      <c r="BH37" s="26"/>
      <c r="BI37" s="26"/>
      <c r="BJ37" s="1222"/>
    </row>
    <row r="38" spans="2:62" ht="15" hidden="1" customHeight="1" x14ac:dyDescent="0.25">
      <c r="B38" s="8"/>
      <c r="C38" s="3142"/>
      <c r="D38" s="3221">
        <v>1.9385416864260954</v>
      </c>
      <c r="E38" s="3530"/>
      <c r="F38" s="3221">
        <v>2.9281689541658609</v>
      </c>
      <c r="G38" s="3530"/>
      <c r="H38" s="3133"/>
      <c r="I38" s="39"/>
      <c r="J38" s="3221">
        <v>2.4789599840701673</v>
      </c>
      <c r="K38" s="3530"/>
      <c r="L38" s="782"/>
      <c r="M38" s="782"/>
      <c r="N38" s="3221">
        <v>1.9777951454004572</v>
      </c>
      <c r="O38" s="3530"/>
      <c r="P38" s="783"/>
      <c r="Q38" s="783"/>
      <c r="R38" s="3221">
        <v>2.6384815082273101</v>
      </c>
      <c r="S38" s="3530"/>
      <c r="T38" s="4953"/>
      <c r="U38" s="4953"/>
      <c r="V38" s="3221">
        <v>2.6309134919087982</v>
      </c>
      <c r="W38" s="3530"/>
      <c r="X38" s="782"/>
      <c r="Y38" s="782"/>
      <c r="Z38" s="465"/>
      <c r="AA38" s="465"/>
      <c r="AB38" s="3221">
        <v>2.5597580745697002</v>
      </c>
      <c r="AC38" s="3530"/>
      <c r="AD38" s="2399"/>
      <c r="AE38" s="2399"/>
      <c r="AF38" s="3221">
        <v>2.5659332613524386</v>
      </c>
      <c r="AG38" s="3530"/>
      <c r="AH38" s="5568"/>
      <c r="AI38" s="5568"/>
      <c r="AJ38" s="3221">
        <v>2.5597580745697002</v>
      </c>
      <c r="AK38" s="3530"/>
      <c r="AL38" s="2746"/>
      <c r="AM38" s="2746"/>
      <c r="AN38" s="2399"/>
      <c r="AO38" s="2399"/>
      <c r="AP38" s="3221">
        <v>2.5597580745697002</v>
      </c>
      <c r="AQ38" s="3530"/>
      <c r="AR38" s="2399"/>
      <c r="AS38" s="2399"/>
      <c r="AT38" s="3221">
        <v>2.5882624785347077</v>
      </c>
      <c r="AU38" s="3530"/>
      <c r="AV38" s="6315"/>
      <c r="AW38" s="6315"/>
      <c r="AX38" s="3221">
        <v>2.4712765557654475</v>
      </c>
      <c r="AY38" s="3530"/>
      <c r="AZ38" s="3066"/>
      <c r="BA38" s="3066"/>
      <c r="BB38" s="3074">
        <f t="shared" si="64"/>
        <v>0</v>
      </c>
      <c r="BC38" s="3074">
        <f t="shared" si="65"/>
        <v>0</v>
      </c>
      <c r="BD38" s="2399"/>
      <c r="BE38" s="2399"/>
      <c r="BF38" s="26"/>
      <c r="BG38" s="26"/>
      <c r="BH38" s="26"/>
      <c r="BI38" s="26"/>
      <c r="BJ38" s="1222"/>
    </row>
    <row r="39" spans="2:62" x14ac:dyDescent="0.25">
      <c r="B39" s="8" t="s">
        <v>109</v>
      </c>
      <c r="C39" s="3142" t="s">
        <v>326</v>
      </c>
      <c r="D39" s="3202">
        <f>D40*D$3*24</f>
        <v>2293.7134411891893</v>
      </c>
      <c r="E39" s="3262">
        <v>2050.9860430370882</v>
      </c>
      <c r="F39" s="7230">
        <f>F40*F$3*24</f>
        <v>3610.3083675255994</v>
      </c>
      <c r="G39" s="3262">
        <v>2091.9133019239598</v>
      </c>
      <c r="H39" s="3133">
        <f t="shared" si="45"/>
        <v>5904.0218087147887</v>
      </c>
      <c r="I39" s="39">
        <f t="shared" si="45"/>
        <v>4142.899344961048</v>
      </c>
      <c r="J39" s="4617">
        <f>J40*J$3*24</f>
        <v>1530.2421045884194</v>
      </c>
      <c r="K39" s="3262">
        <v>1914.023729875239</v>
      </c>
      <c r="L39" s="782">
        <f t="shared" si="46"/>
        <v>7434.263913303208</v>
      </c>
      <c r="M39" s="782">
        <f t="shared" si="47"/>
        <v>6056.923074836287</v>
      </c>
      <c r="N39" s="4812">
        <f>N40*N$3*24</f>
        <v>576.71907378001777</v>
      </c>
      <c r="O39" s="3262">
        <v>2747.3507016516887</v>
      </c>
      <c r="P39" s="783">
        <f t="shared" si="48"/>
        <v>8010.9829870832255</v>
      </c>
      <c r="Q39" s="783">
        <f t="shared" si="49"/>
        <v>8804.2737764879748</v>
      </c>
      <c r="R39" s="4962">
        <f>R40*R$3*24</f>
        <v>1413.7232844042928</v>
      </c>
      <c r="S39" s="3262">
        <v>2674.345027590778</v>
      </c>
      <c r="T39" s="4953">
        <f t="shared" ref="T39" si="212">+P39+R39</f>
        <v>9424.7062714875174</v>
      </c>
      <c r="U39" s="4953">
        <f t="shared" ref="U39" si="213">+Q39+S39</f>
        <v>11478.618804078753</v>
      </c>
      <c r="V39" s="5178">
        <f>V40*V$3*24</f>
        <v>1379.462589463081</v>
      </c>
      <c r="W39" s="3262">
        <v>2327.5920140538101</v>
      </c>
      <c r="X39" s="782">
        <f t="shared" si="70"/>
        <v>3369.9049476473915</v>
      </c>
      <c r="Y39" s="782">
        <f t="shared" si="71"/>
        <v>7749.2877432962769</v>
      </c>
      <c r="Z39" s="465">
        <f t="shared" si="52"/>
        <v>10804.1688609506</v>
      </c>
      <c r="AA39" s="465">
        <f t="shared" si="53"/>
        <v>13806.210818132564</v>
      </c>
      <c r="AB39" s="5431">
        <f>AB40*AB$3*24</f>
        <v>1511.4958449222493</v>
      </c>
      <c r="AC39" s="3262">
        <v>2518.4493760144933</v>
      </c>
      <c r="AD39" s="2399">
        <f t="shared" ref="AD39" si="214">+Z39+AB39</f>
        <v>12315.664705872849</v>
      </c>
      <c r="AE39" s="2399">
        <f t="shared" ref="AE39" si="215">+AA39+AC39</f>
        <v>16324.660194147058</v>
      </c>
      <c r="AF39" s="5571">
        <f>AF40*AF$3*24</f>
        <v>1457.5075785066902</v>
      </c>
      <c r="AG39" s="3262">
        <v>778.62446646234207</v>
      </c>
      <c r="AH39" s="5568">
        <f t="shared" ref="AH39" si="216">+AD39+AF39</f>
        <v>13773.17228437954</v>
      </c>
      <c r="AI39" s="5568">
        <f t="shared" ref="AI39" si="217">+AE39+AG39</f>
        <v>17103.284660609399</v>
      </c>
      <c r="AJ39" s="5995">
        <f>AJ40*AJ$3*24</f>
        <v>1511.4958449222493</v>
      </c>
      <c r="AK39" s="3262">
        <v>1929.7850869394656</v>
      </c>
      <c r="AL39" s="2746">
        <f t="shared" ref="AL39" si="218">+AJ39+AF39+AB39</f>
        <v>4480.4992683511891</v>
      </c>
      <c r="AM39" s="2746">
        <f t="shared" ref="AM39" si="219">+AK39+AG39+AC39</f>
        <v>5226.8589294163012</v>
      </c>
      <c r="AN39" s="2399">
        <f t="shared" ref="AN39" si="220">+AH39+AJ39</f>
        <v>15284.668129301788</v>
      </c>
      <c r="AO39" s="2399">
        <f t="shared" ref="AO39" si="221">+AI39+AK39</f>
        <v>19033.069747548863</v>
      </c>
      <c r="AP39" s="6140">
        <f>AP40*AP$3*24</f>
        <v>1511.4958449222493</v>
      </c>
      <c r="AQ39" s="3262">
        <v>1854.35</v>
      </c>
      <c r="AR39" s="2399">
        <f t="shared" ref="AR39" si="222">+AN39+AP39</f>
        <v>16796.163974224037</v>
      </c>
      <c r="AS39" s="2399">
        <f t="shared" ref="AS39" si="223">+AO39+AQ39</f>
        <v>20887.419747548862</v>
      </c>
      <c r="AT39" s="6320">
        <f>AT40*AT$3*24</f>
        <v>1353.9796841766097</v>
      </c>
      <c r="AU39" s="3262">
        <v>1823.6208131749841</v>
      </c>
      <c r="AV39" s="6315">
        <f t="shared" ref="AV39" si="224">+AR39+AT39</f>
        <v>18150.143658400648</v>
      </c>
      <c r="AW39" s="6315">
        <f t="shared" ref="AW39" si="225">+AS39+AU39</f>
        <v>22711.040560723846</v>
      </c>
      <c r="AX39" s="6591">
        <f>AX40*AX$3*24</f>
        <v>1621.3877062152337</v>
      </c>
      <c r="AY39" s="3262">
        <v>2537.9474988778302</v>
      </c>
      <c r="AZ39" s="3066">
        <f t="shared" ref="AZ39" si="226">+AX39+AT39+AP39</f>
        <v>4486.8632353140929</v>
      </c>
      <c r="BA39" s="3066">
        <f t="shared" ref="BA39" si="227">+AY39+AU39+AQ39</f>
        <v>6215.9183120528141</v>
      </c>
      <c r="BB39" s="3074">
        <f t="shared" si="64"/>
        <v>8967.3625036652811</v>
      </c>
      <c r="BC39" s="3074">
        <f t="shared" si="65"/>
        <v>11442.777241469115</v>
      </c>
      <c r="BD39" s="2399">
        <f t="shared" ref="BD39" si="228">+AV39+AX39</f>
        <v>19771.531364615883</v>
      </c>
      <c r="BE39" s="2399">
        <f t="shared" ref="BE39" si="229">+AW39+AY39</f>
        <v>25248.988059601677</v>
      </c>
      <c r="BF39" s="26"/>
      <c r="BG39" s="26"/>
      <c r="BH39" s="26"/>
      <c r="BI39" s="26"/>
      <c r="BJ39" s="1222"/>
    </row>
    <row r="40" spans="2:62" ht="15" hidden="1" customHeight="1" x14ac:dyDescent="0.25">
      <c r="B40" s="8"/>
      <c r="C40" s="3142"/>
      <c r="D40" s="3221">
        <v>3.1857131127627629</v>
      </c>
      <c r="E40" s="3530"/>
      <c r="F40" s="3221">
        <v>4.852565010115053</v>
      </c>
      <c r="G40" s="3530"/>
      <c r="H40" s="3133"/>
      <c r="I40" s="39"/>
      <c r="J40" s="3221">
        <v>2.1253362563728047</v>
      </c>
      <c r="K40" s="3530"/>
      <c r="L40" s="782"/>
      <c r="M40" s="782"/>
      <c r="N40" s="3221">
        <v>0.77516004540324968</v>
      </c>
      <c r="O40" s="3530"/>
      <c r="P40" s="783"/>
      <c r="Q40" s="783"/>
      <c r="R40" s="3221">
        <v>1.9001657048444796</v>
      </c>
      <c r="S40" s="3530"/>
      <c r="T40" s="4953"/>
      <c r="U40" s="4953"/>
      <c r="V40" s="3221">
        <v>1.915920263143168</v>
      </c>
      <c r="W40" s="3530"/>
      <c r="X40" s="782"/>
      <c r="Y40" s="782"/>
      <c r="Z40" s="465"/>
      <c r="AA40" s="465"/>
      <c r="AB40" s="3221">
        <v>2.0315804367234533</v>
      </c>
      <c r="AC40" s="3530"/>
      <c r="AD40" s="2399"/>
      <c r="AE40" s="2399"/>
      <c r="AF40" s="3221">
        <v>2.024316081259292</v>
      </c>
      <c r="AG40" s="3530"/>
      <c r="AH40" s="5568"/>
      <c r="AI40" s="5568"/>
      <c r="AJ40" s="3221">
        <v>2.0315804367234533</v>
      </c>
      <c r="AK40" s="3530"/>
      <c r="AL40" s="2746"/>
      <c r="AM40" s="2746"/>
      <c r="AN40" s="2399"/>
      <c r="AO40" s="2399"/>
      <c r="AP40" s="3221">
        <v>2.0315804367234533</v>
      </c>
      <c r="AQ40" s="3530"/>
      <c r="AR40" s="2399"/>
      <c r="AS40" s="2399"/>
      <c r="AT40" s="3221">
        <v>2.014850720500907</v>
      </c>
      <c r="AU40" s="3530"/>
      <c r="AV40" s="6315"/>
      <c r="AW40" s="6315"/>
      <c r="AX40" s="3221">
        <v>2.1792845513645616</v>
      </c>
      <c r="AY40" s="3530"/>
      <c r="AZ40" s="3066"/>
      <c r="BA40" s="3066"/>
      <c r="BB40" s="3074">
        <f t="shared" si="64"/>
        <v>0</v>
      </c>
      <c r="BC40" s="3074">
        <f t="shared" si="65"/>
        <v>0</v>
      </c>
      <c r="BD40" s="2399"/>
      <c r="BE40" s="2399"/>
      <c r="BF40" s="26"/>
      <c r="BG40" s="26"/>
      <c r="BH40" s="26"/>
      <c r="BI40" s="26"/>
      <c r="BJ40" s="1222"/>
    </row>
    <row r="41" spans="2:62" x14ac:dyDescent="0.25">
      <c r="B41" s="8" t="s">
        <v>82</v>
      </c>
      <c r="C41" s="3142" t="s">
        <v>326</v>
      </c>
      <c r="D41" s="3202">
        <f>D42*D$3*24</f>
        <v>8091.5080748940563</v>
      </c>
      <c r="E41" s="3262">
        <v>6688.0859337612847</v>
      </c>
      <c r="F41" s="7230">
        <f>F42*F$3*24</f>
        <v>8345.6234277820495</v>
      </c>
      <c r="G41" s="3262">
        <v>7559.6794935174457</v>
      </c>
      <c r="H41" s="3133">
        <f t="shared" si="45"/>
        <v>16437.131502676108</v>
      </c>
      <c r="I41" s="39">
        <f t="shared" si="45"/>
        <v>14247.765427278729</v>
      </c>
      <c r="J41" s="4617">
        <f>J42*J$3*24</f>
        <v>4614.7887239648335</v>
      </c>
      <c r="K41" s="3262">
        <v>5461.5071653045161</v>
      </c>
      <c r="L41" s="782">
        <f t="shared" si="46"/>
        <v>21051.920226640941</v>
      </c>
      <c r="M41" s="782">
        <f t="shared" si="47"/>
        <v>19709.272592583246</v>
      </c>
      <c r="N41" s="4812">
        <f>N42*N$3*24</f>
        <v>2276.4582304021037</v>
      </c>
      <c r="O41" s="3262">
        <v>7794.3421092884746</v>
      </c>
      <c r="P41" s="783">
        <f t="shared" si="48"/>
        <v>23328.378457043043</v>
      </c>
      <c r="Q41" s="783">
        <f t="shared" si="49"/>
        <v>27503.61470187172</v>
      </c>
      <c r="R41" s="4962">
        <f>R42*R$3*24</f>
        <v>7155.9893600137175</v>
      </c>
      <c r="S41" s="3262">
        <v>7696.5536122194781</v>
      </c>
      <c r="T41" s="4953">
        <f t="shared" ref="T41" si="230">+P41+R41</f>
        <v>30484.367817056762</v>
      </c>
      <c r="U41" s="4953">
        <f t="shared" ref="U41" si="231">+Q41+S41</f>
        <v>35200.168314091199</v>
      </c>
      <c r="V41" s="5178">
        <f>V42*V$3*24</f>
        <v>6902.204023932054</v>
      </c>
      <c r="W41" s="3262">
        <v>7907.0210824362484</v>
      </c>
      <c r="X41" s="782">
        <f t="shared" si="70"/>
        <v>16334.651614347875</v>
      </c>
      <c r="Y41" s="782">
        <f t="shared" si="71"/>
        <v>23397.916803944201</v>
      </c>
      <c r="Z41" s="465">
        <f t="shared" si="52"/>
        <v>37386.571840988814</v>
      </c>
      <c r="AA41" s="465">
        <f t="shared" si="53"/>
        <v>43107.18939652745</v>
      </c>
      <c r="AB41" s="5431">
        <f>AB42*AB$3*24</f>
        <v>7435.8209634178056</v>
      </c>
      <c r="AC41" s="3262">
        <v>7508.4956002065874</v>
      </c>
      <c r="AD41" s="2399">
        <f t="shared" ref="AD41" si="232">+Z41+AB41</f>
        <v>44822.39280440662</v>
      </c>
      <c r="AE41" s="2399">
        <f t="shared" ref="AE41" si="233">+AA41+AC41</f>
        <v>50615.684996734039</v>
      </c>
      <c r="AF41" s="5571">
        <f>AF42*AF$3*24</f>
        <v>7206.9690051348034</v>
      </c>
      <c r="AG41" s="3262">
        <v>356.30475144272998</v>
      </c>
      <c r="AH41" s="5568">
        <f t="shared" ref="AH41" si="234">+AD41+AF41</f>
        <v>52029.36180954142</v>
      </c>
      <c r="AI41" s="5568">
        <f t="shared" ref="AI41" si="235">+AE41+AG41</f>
        <v>50971.989748176769</v>
      </c>
      <c r="AJ41" s="5995">
        <f>AJ42*AJ$3*24</f>
        <v>7435.8209634178056</v>
      </c>
      <c r="AK41" s="3262">
        <v>6723.0236744242848</v>
      </c>
      <c r="AL41" s="2746">
        <f t="shared" ref="AL41" si="236">+AJ41+AF41+AB41</f>
        <v>22078.610931970416</v>
      </c>
      <c r="AM41" s="2746">
        <f t="shared" ref="AM41" si="237">+AK41+AG41+AC41</f>
        <v>14587.824026073602</v>
      </c>
      <c r="AN41" s="2399">
        <f t="shared" ref="AN41" si="238">+AH41+AJ41</f>
        <v>59465.182772959226</v>
      </c>
      <c r="AO41" s="2399">
        <f t="shared" ref="AO41" si="239">+AI41+AK41</f>
        <v>57695.013422601056</v>
      </c>
      <c r="AP41" s="6140">
        <f>AP42*AP$3*24</f>
        <v>7435.8209634178056</v>
      </c>
      <c r="AQ41" s="3262">
        <v>7489.2</v>
      </c>
      <c r="AR41" s="2399">
        <f t="shared" ref="AR41" si="240">+AN41+AP41</f>
        <v>66901.003736377024</v>
      </c>
      <c r="AS41" s="2399">
        <f t="shared" ref="AS41" si="241">+AO41+AQ41</f>
        <v>65184.213422601053</v>
      </c>
      <c r="AT41" s="6320">
        <f>AT42*AT$3*24</f>
        <v>6702.9974511760356</v>
      </c>
      <c r="AU41" s="3262">
        <v>6901.6117150677819</v>
      </c>
      <c r="AV41" s="6315">
        <f t="shared" ref="AV41" si="242">+AR41+AT41</f>
        <v>73604.001187553062</v>
      </c>
      <c r="AW41" s="6315">
        <f t="shared" ref="AW41" si="243">+AS41+AU41</f>
        <v>72085.825137668842</v>
      </c>
      <c r="AX41" s="6591">
        <f>AX42*AX$3*24</f>
        <v>7435.8209634178056</v>
      </c>
      <c r="AY41" s="3262">
        <v>7797.0335772655053</v>
      </c>
      <c r="AZ41" s="3066">
        <f t="shared" ref="AZ41" si="244">+AX41+AT41+AP41</f>
        <v>21574.639378011649</v>
      </c>
      <c r="BA41" s="3066">
        <f t="shared" ref="BA41" si="245">+AY41+AU41+AQ41</f>
        <v>22187.845292333288</v>
      </c>
      <c r="BB41" s="3074">
        <f t="shared" si="64"/>
        <v>43653.250309982061</v>
      </c>
      <c r="BC41" s="3074">
        <f t="shared" si="65"/>
        <v>36775.669318406886</v>
      </c>
      <c r="BD41" s="2399">
        <f t="shared" ref="BD41" si="246">+AV41+AX41</f>
        <v>81039.822150970867</v>
      </c>
      <c r="BE41" s="2399">
        <f t="shared" ref="BE41" si="247">+AW41+AY41</f>
        <v>79882.858714934351</v>
      </c>
      <c r="BF41" s="26"/>
      <c r="BG41" s="26"/>
      <c r="BH41" s="26"/>
      <c r="BI41" s="26"/>
      <c r="BJ41" s="1222"/>
    </row>
    <row r="42" spans="2:62" ht="15" hidden="1" customHeight="1" x14ac:dyDescent="0.25">
      <c r="B42" s="8"/>
      <c r="C42" s="3142"/>
      <c r="D42" s="3221">
        <v>11.238205659575078</v>
      </c>
      <c r="E42" s="3530"/>
      <c r="F42" s="3221">
        <v>11.217235790029637</v>
      </c>
      <c r="G42" s="3530"/>
      <c r="H42" s="3133"/>
      <c r="I42" s="39"/>
      <c r="J42" s="3221">
        <v>6.4094287832844916</v>
      </c>
      <c r="K42" s="3530"/>
      <c r="L42" s="782"/>
      <c r="M42" s="782"/>
      <c r="N42" s="3221">
        <v>3.0597556860243329</v>
      </c>
      <c r="O42" s="3530"/>
      <c r="P42" s="783"/>
      <c r="Q42" s="783"/>
      <c r="R42" s="3221">
        <v>9.6182652688356427</v>
      </c>
      <c r="S42" s="3530"/>
      <c r="T42" s="4953"/>
      <c r="U42" s="4953"/>
      <c r="V42" s="3221">
        <v>9.5863944776834078</v>
      </c>
      <c r="W42" s="3530"/>
      <c r="X42" s="782"/>
      <c r="Y42" s="782"/>
      <c r="Z42" s="465"/>
      <c r="AA42" s="465"/>
      <c r="AB42" s="3221">
        <v>9.9943830153465125</v>
      </c>
      <c r="AC42" s="3530"/>
      <c r="AD42" s="2399"/>
      <c r="AE42" s="2399"/>
      <c r="AF42" s="3221">
        <v>10.009679173798338</v>
      </c>
      <c r="AG42" s="3530"/>
      <c r="AH42" s="5568"/>
      <c r="AI42" s="5568"/>
      <c r="AJ42" s="3221">
        <v>9.9943830153465125</v>
      </c>
      <c r="AK42" s="3530"/>
      <c r="AL42" s="2746"/>
      <c r="AM42" s="2746"/>
      <c r="AN42" s="2399"/>
      <c r="AO42" s="2399"/>
      <c r="AP42" s="3221">
        <v>9.9943830153465125</v>
      </c>
      <c r="AQ42" s="3530"/>
      <c r="AR42" s="2399"/>
      <c r="AS42" s="2399"/>
      <c r="AT42" s="3221">
        <v>9.974698588059578</v>
      </c>
      <c r="AU42" s="3530"/>
      <c r="AV42" s="6315"/>
      <c r="AW42" s="6315"/>
      <c r="AX42" s="3221">
        <v>9.9943830153465125</v>
      </c>
      <c r="AY42" s="3530"/>
      <c r="AZ42" s="3066"/>
      <c r="BA42" s="3066"/>
      <c r="BB42" s="3074">
        <f t="shared" si="64"/>
        <v>0</v>
      </c>
      <c r="BC42" s="3074">
        <f t="shared" si="65"/>
        <v>0</v>
      </c>
      <c r="BD42" s="2399"/>
      <c r="BE42" s="2399"/>
      <c r="BF42" s="26"/>
      <c r="BG42" s="26"/>
      <c r="BH42" s="26"/>
      <c r="BI42" s="26"/>
      <c r="BJ42" s="1222"/>
    </row>
    <row r="43" spans="2:62" x14ac:dyDescent="0.25">
      <c r="B43" s="8" t="s">
        <v>60</v>
      </c>
      <c r="C43" s="3142" t="s">
        <v>326</v>
      </c>
      <c r="D43" s="3202">
        <f>D44*D$3*24</f>
        <v>1232.6908425284214</v>
      </c>
      <c r="E43" s="3262">
        <v>948.31999999999994</v>
      </c>
      <c r="F43" s="7230">
        <f>F44*F$3*24</f>
        <v>1269.7200061214151</v>
      </c>
      <c r="G43" s="3262">
        <v>1077.1399999999994</v>
      </c>
      <c r="H43" s="3133">
        <f t="shared" si="45"/>
        <v>2502.4108486498362</v>
      </c>
      <c r="I43" s="39">
        <f t="shared" si="45"/>
        <v>2025.4599999999994</v>
      </c>
      <c r="J43" s="4617">
        <f>J44*J$3*24</f>
        <v>952.49907137314972</v>
      </c>
      <c r="K43" s="3262">
        <v>817.56</v>
      </c>
      <c r="L43" s="782">
        <f t="shared" si="46"/>
        <v>3454.9099200229857</v>
      </c>
      <c r="M43" s="782">
        <f t="shared" si="47"/>
        <v>2843.0199999999995</v>
      </c>
      <c r="N43" s="4812">
        <f>N44*N$3*24</f>
        <v>573.03972783418476</v>
      </c>
      <c r="O43" s="3262">
        <v>1077.3199999999997</v>
      </c>
      <c r="P43" s="783">
        <f t="shared" si="48"/>
        <v>4027.9496478571705</v>
      </c>
      <c r="Q43" s="783">
        <f t="shared" si="49"/>
        <v>3920.3399999999992</v>
      </c>
      <c r="R43" s="4962">
        <f>R44*R$3*24</f>
        <v>1296.4474141175867</v>
      </c>
      <c r="S43" s="3262">
        <v>1060.9000000000003</v>
      </c>
      <c r="T43" s="4953">
        <f t="shared" ref="T43" si="248">+P43+R43</f>
        <v>5324.397061974757</v>
      </c>
      <c r="U43" s="4953">
        <f t="shared" ref="U43" si="249">+Q43+S43</f>
        <v>4981.24</v>
      </c>
      <c r="V43" s="5178">
        <f>V44*V$3*24</f>
        <v>1241.3035062308268</v>
      </c>
      <c r="W43" s="3262">
        <v>1043.4599999999998</v>
      </c>
      <c r="X43" s="782">
        <f t="shared" si="70"/>
        <v>3110.790648182598</v>
      </c>
      <c r="Y43" s="782">
        <f t="shared" si="71"/>
        <v>3181.68</v>
      </c>
      <c r="Z43" s="465">
        <f t="shared" si="52"/>
        <v>6565.7005682055842</v>
      </c>
      <c r="AA43" s="465">
        <f t="shared" si="53"/>
        <v>6024.6999999999989</v>
      </c>
      <c r="AB43" s="5431">
        <f>AB44*AB$3*24</f>
        <v>1335.5548137689357</v>
      </c>
      <c r="AC43" s="3262">
        <v>1083.7599999999993</v>
      </c>
      <c r="AD43" s="2399">
        <f t="shared" ref="AD43" si="250">+Z43+AB43</f>
        <v>7901.2553819745199</v>
      </c>
      <c r="AE43" s="2399">
        <f t="shared" ref="AE43" si="251">+AA43+AC43</f>
        <v>7108.4599999999982</v>
      </c>
      <c r="AF43" s="5571">
        <f>AF44*AF$3*24</f>
        <v>1300.2925626869094</v>
      </c>
      <c r="AG43" s="3262">
        <v>155.5</v>
      </c>
      <c r="AH43" s="5568">
        <f t="shared" ref="AH43" si="252">+AD43+AF43</f>
        <v>9201.5479446614299</v>
      </c>
      <c r="AI43" s="5568">
        <f t="shared" ref="AI43" si="253">+AE43+AG43</f>
        <v>7263.9599999999982</v>
      </c>
      <c r="AJ43" s="5995">
        <f>AJ44*AJ$3*24</f>
        <v>1335.5548137689357</v>
      </c>
      <c r="AK43" s="3262">
        <v>1083.8999999999999</v>
      </c>
      <c r="AL43" s="2746">
        <f t="shared" ref="AL43" si="254">+AJ43+AF43+AB43</f>
        <v>3971.4021902247805</v>
      </c>
      <c r="AM43" s="2746">
        <f t="shared" ref="AM43" si="255">+AK43+AG43+AC43</f>
        <v>2323.1599999999989</v>
      </c>
      <c r="AN43" s="2399">
        <f t="shared" ref="AN43" si="256">+AH43+AJ43</f>
        <v>10537.102758430367</v>
      </c>
      <c r="AO43" s="2399">
        <f t="shared" ref="AO43" si="257">+AI43+AK43</f>
        <v>8347.8599999999988</v>
      </c>
      <c r="AP43" s="6140">
        <f>AP44*AP$3*24</f>
        <v>1335.5548137689357</v>
      </c>
      <c r="AQ43" s="3262">
        <v>1042.3</v>
      </c>
      <c r="AR43" s="2399">
        <f t="shared" ref="AR43" si="258">+AN43+AP43</f>
        <v>11872.657572199303</v>
      </c>
      <c r="AS43" s="2399">
        <f t="shared" ref="AS43" si="259">+AO43+AQ43</f>
        <v>9390.159999999998</v>
      </c>
      <c r="AT43" s="6320">
        <f>AT44*AT$3*24</f>
        <v>1211.2774389009178</v>
      </c>
      <c r="AU43" s="3262">
        <v>978.20000000000027</v>
      </c>
      <c r="AV43" s="6315">
        <f t="shared" ref="AV43" si="260">+AR43+AT43</f>
        <v>13083.93501110022</v>
      </c>
      <c r="AW43" s="6315">
        <f t="shared" ref="AW43" si="261">+AS43+AU43</f>
        <v>10368.359999999999</v>
      </c>
      <c r="AX43" s="6591">
        <f>AX44*AX$3*24</f>
        <v>1335.5548137689357</v>
      </c>
      <c r="AY43" s="3262">
        <v>1103.4999999999993</v>
      </c>
      <c r="AZ43" s="3066">
        <f t="shared" ref="AZ43" si="262">+AX43+AT43+AP43</f>
        <v>3882.3870664387891</v>
      </c>
      <c r="BA43" s="3066">
        <f t="shared" ref="BA43" si="263">+AY43+AU43+AQ43</f>
        <v>3124</v>
      </c>
      <c r="BB43" s="3074">
        <f t="shared" si="64"/>
        <v>7853.7892566635692</v>
      </c>
      <c r="BC43" s="3074">
        <f t="shared" si="65"/>
        <v>5447.1599999999989</v>
      </c>
      <c r="BD43" s="2399">
        <f t="shared" ref="BD43" si="264">+AV43+AX43</f>
        <v>14419.489824869157</v>
      </c>
      <c r="BE43" s="2399">
        <f t="shared" ref="BE43" si="265">+AW43+AY43</f>
        <v>11471.859999999999</v>
      </c>
      <c r="BF43" s="26"/>
      <c r="BG43" s="26"/>
      <c r="BH43" s="26"/>
      <c r="BI43" s="26"/>
      <c r="BJ43" s="1222"/>
    </row>
    <row r="44" spans="2:62" ht="15" hidden="1" customHeight="1" x14ac:dyDescent="0.25">
      <c r="B44" s="8"/>
      <c r="C44" s="3142"/>
      <c r="D44" s="3221">
        <v>1.7120706146228075</v>
      </c>
      <c r="E44" s="3530"/>
      <c r="F44" s="3221">
        <v>1.7066129114535147</v>
      </c>
      <c r="G44" s="3530"/>
      <c r="H44" s="3133"/>
      <c r="I44" s="39"/>
      <c r="J44" s="3221">
        <v>1.3229153769071522</v>
      </c>
      <c r="K44" s="3530"/>
      <c r="L44" s="782"/>
      <c r="M44" s="782"/>
      <c r="N44" s="3221">
        <v>0.77021468794917314</v>
      </c>
      <c r="O44" s="3530"/>
      <c r="P44" s="783"/>
      <c r="Q44" s="783"/>
      <c r="R44" s="3221">
        <v>1.7425368469322402</v>
      </c>
      <c r="S44" s="3530"/>
      <c r="T44" s="4953"/>
      <c r="U44" s="4953"/>
      <c r="V44" s="3221">
        <v>1.7240326475428147</v>
      </c>
      <c r="W44" s="3530"/>
      <c r="X44" s="782"/>
      <c r="Y44" s="782"/>
      <c r="Z44" s="465"/>
      <c r="AA44" s="465"/>
      <c r="AB44" s="3221">
        <v>1.7951005561410425</v>
      </c>
      <c r="AC44" s="3530"/>
      <c r="AD44" s="2399"/>
      <c r="AE44" s="2399"/>
      <c r="AF44" s="3221">
        <v>1.8059618926207075</v>
      </c>
      <c r="AG44" s="3530"/>
      <c r="AH44" s="5568"/>
      <c r="AI44" s="5568"/>
      <c r="AJ44" s="3221">
        <v>1.7951005561410425</v>
      </c>
      <c r="AK44" s="3530"/>
      <c r="AL44" s="2746"/>
      <c r="AM44" s="2746"/>
      <c r="AN44" s="2399"/>
      <c r="AO44" s="2399"/>
      <c r="AP44" s="3221">
        <v>1.7951005561410425</v>
      </c>
      <c r="AQ44" s="3530"/>
      <c r="AR44" s="2399"/>
      <c r="AS44" s="2399"/>
      <c r="AT44" s="3221">
        <v>1.8024961888406514</v>
      </c>
      <c r="AU44" s="3530"/>
      <c r="AV44" s="6315"/>
      <c r="AW44" s="6315"/>
      <c r="AX44" s="3221">
        <v>1.7951005561410425</v>
      </c>
      <c r="AY44" s="3530"/>
      <c r="AZ44" s="3066"/>
      <c r="BA44" s="3066"/>
      <c r="BB44" s="3064"/>
      <c r="BC44" s="3064"/>
      <c r="BD44" s="2399"/>
      <c r="BE44" s="2399"/>
      <c r="BF44" s="26"/>
      <c r="BG44" s="26"/>
      <c r="BH44" s="26"/>
      <c r="BI44" s="26"/>
      <c r="BJ44" s="1222"/>
    </row>
    <row r="45" spans="2:62" ht="16.5" thickBot="1" x14ac:dyDescent="0.3">
      <c r="B45" s="2450" t="s">
        <v>61</v>
      </c>
      <c r="C45" s="3432" t="s">
        <v>326</v>
      </c>
      <c r="D45" s="2452">
        <f>D21+D23+D25+D27+D29+D31+D33+D35+D37+D39+D41+D43</f>
        <v>46584.564599999998</v>
      </c>
      <c r="E45" s="2452">
        <f t="shared" ref="E45:I45" si="266">E21+E23+E25+E27+E29+E31+E33+E35+E37+E39+E41+E43</f>
        <v>46255.732008240353</v>
      </c>
      <c r="F45" s="2452">
        <f>F21+F23+F25+F27+F29+F31+F33+F35+F37+F39+F41+F43</f>
        <v>48137.383419999998</v>
      </c>
      <c r="G45" s="2452">
        <f t="shared" ref="G45" si="267">G21+G23+G25+G27+G29+G31+G33+G35+G37+G39+G41+G43</f>
        <v>48065.089036166159</v>
      </c>
      <c r="H45" s="2437">
        <f t="shared" si="266"/>
        <v>94721.948020000011</v>
      </c>
      <c r="I45" s="2031">
        <f t="shared" si="266"/>
        <v>94320.821044406504</v>
      </c>
      <c r="J45" s="2452">
        <f>J21+J23+J25+J27+J29+J31+J33+J35+J37+J39+J41+J43</f>
        <v>45648.060040200005</v>
      </c>
      <c r="K45" s="2452">
        <f t="shared" ref="K45" si="268">K21+K23+K25+K27+K29+K31+K33+K35+K37+K39+K41+K43</f>
        <v>44674.344865304512</v>
      </c>
      <c r="L45" s="802">
        <f t="shared" ref="L45:Q45" si="269">SUM(L21:L43)</f>
        <v>140370.00806019999</v>
      </c>
      <c r="M45" s="802">
        <f t="shared" si="269"/>
        <v>138995.16590971101</v>
      </c>
      <c r="N45" s="2452">
        <f>N21+N23+N25+N27+N29+N31+N33+N35+N37+N39+N41+N43</f>
        <v>46298.844516000005</v>
      </c>
      <c r="O45" s="2452">
        <f t="shared" ref="O45" si="270">O21+O23+O25+O27+O29+O31+O33+O35+O37+O39+O41+O43</f>
        <v>48045.162109288467</v>
      </c>
      <c r="P45" s="256">
        <f t="shared" si="269"/>
        <v>186668.85257619998</v>
      </c>
      <c r="Q45" s="256">
        <f t="shared" si="269"/>
        <v>187040.32801899945</v>
      </c>
      <c r="R45" s="2452">
        <f>R21+R23+R25+R27+R29+R31+R33+R35+R37+R39+R41+R43</f>
        <v>48109.701567000004</v>
      </c>
      <c r="S45" s="2452">
        <f t="shared" ref="S45" si="271">S21+S23+S25+S27+S29+S31+S33+S35+S37+S39+S41+S43</f>
        <v>48493.533612219479</v>
      </c>
      <c r="T45" s="256">
        <f t="shared" ref="T45:U45" si="272">SUM(T21:T43)</f>
        <v>234778.55414320005</v>
      </c>
      <c r="U45" s="256">
        <f t="shared" si="272"/>
        <v>235533.86163121896</v>
      </c>
      <c r="V45" s="2452">
        <f>V21+V23+V25+V27+V29+V31+V33+V35+V37+V39+V41+V43</f>
        <v>46557.775710000009</v>
      </c>
      <c r="W45" s="2452">
        <f t="shared" ref="W45" si="273">W21+W23+W25+W27+W29+W31+W33+W35+W37+W39+W41+W43</f>
        <v>47329.940275241519</v>
      </c>
      <c r="X45" s="802">
        <f t="shared" ref="X45:AA45" si="274">SUM(X21:X43)</f>
        <v>140966.32179299998</v>
      </c>
      <c r="Y45" s="802">
        <f t="shared" si="274"/>
        <v>143868.63599674945</v>
      </c>
      <c r="Z45" s="522">
        <f t="shared" si="274"/>
        <v>281336.32985319995</v>
      </c>
      <c r="AA45" s="522">
        <f t="shared" si="274"/>
        <v>282863.80190646049</v>
      </c>
      <c r="AB45" s="2452">
        <f>AB21+AB23+AB25+AB27+AB29+AB31+AB33+AB35+AB37+AB39+AB41+AB43</f>
        <v>48109.701566999996</v>
      </c>
      <c r="AC45" s="2452">
        <f t="shared" ref="AC45" si="275">AC21+AC23+AC25+AC27+AC29+AC31+AC33+AC35+AC37+AC39+AC41+AC43</f>
        <v>48633.845600206587</v>
      </c>
      <c r="AD45" s="256">
        <f t="shared" ref="AD45:AE45" si="276">SUM(AD21:AD43)</f>
        <v>329446.03142019996</v>
      </c>
      <c r="AE45" s="256">
        <f t="shared" si="276"/>
        <v>331497.64750666707</v>
      </c>
      <c r="AF45" s="2452">
        <f>AF21+AF23+AF25+AF27+AF29+AF31+AF33+AF35+AF37+AF39+AF41+AF43</f>
        <v>46557.775710000002</v>
      </c>
      <c r="AG45" s="2452">
        <f t="shared" ref="AG45" si="277">AG21+AG23+AG25+AG27+AG29+AG31+AG33+AG35+AG37+AG39+AG41+AG43</f>
        <v>37874.67910468932</v>
      </c>
      <c r="AH45" s="256">
        <f t="shared" ref="AH45:AI45" si="278">SUM(AH21:AH43)</f>
        <v>376003.80713020003</v>
      </c>
      <c r="AI45" s="256">
        <f t="shared" si="278"/>
        <v>369372.3266113564</v>
      </c>
      <c r="AJ45" s="2452">
        <f>AJ21+AJ23+AJ25+AJ27+AJ29+AJ31+AJ33+AJ35+AJ37+AJ39+AJ41+AJ43</f>
        <v>48109.701566999996</v>
      </c>
      <c r="AK45" s="2452">
        <f t="shared" ref="AK45" si="279">AK21+AK23+AK25+AK27+AK29+AK31+AK33+AK35+AK37+AK39+AK41+AK43</f>
        <v>48835.50367442429</v>
      </c>
      <c r="AL45" s="802">
        <f t="shared" ref="AL45:AM45" si="280">SUM(AL21:AL43)</f>
        <v>142777.17884400004</v>
      </c>
      <c r="AM45" s="802">
        <f t="shared" si="280"/>
        <v>135344.0283793202</v>
      </c>
      <c r="AN45" s="256">
        <f t="shared" ref="AN45:AO45" si="281">SUM(AN21:AN43)</f>
        <v>424113.50869720004</v>
      </c>
      <c r="AO45" s="256">
        <f t="shared" si="281"/>
        <v>418207.8302857806</v>
      </c>
      <c r="AP45" s="2452">
        <f>AP21+AP23+AP25+AP27+AP29+AP31+AP33+AP35+AP37+AP39+AP41+AP43</f>
        <v>48109.701566999996</v>
      </c>
      <c r="AQ45" s="2452">
        <f t="shared" ref="AQ45" si="282">AQ21+AQ23+AQ25+AQ27+AQ29+AQ31+AQ33+AQ35+AQ37+AQ39+AQ41+AQ43</f>
        <v>48675.909999999996</v>
      </c>
      <c r="AR45" s="256">
        <f t="shared" ref="AR45:AS45" si="283">SUM(AR21:AR43)</f>
        <v>472223.21026419994</v>
      </c>
      <c r="AS45" s="256">
        <f t="shared" si="283"/>
        <v>466883.74028578063</v>
      </c>
      <c r="AT45" s="2452">
        <f>AT21+AT23+AT25+AT27+AT29+AT31+AT33+AT35+AT37+AT39+AT41+AT43</f>
        <v>43453.923996000005</v>
      </c>
      <c r="AU45" s="2452">
        <f t="shared" ref="AU45" si="284">AU21+AU23+AU25+AU27+AU29+AU31+AU33+AU35+AU37+AU39+AU41+AU43</f>
        <v>43678.377706287509</v>
      </c>
      <c r="AV45" s="256">
        <f t="shared" ref="AV45:AW45" si="285">SUM(AV21:AV43)</f>
        <v>515677.13426019991</v>
      </c>
      <c r="AW45" s="256">
        <f t="shared" si="285"/>
        <v>510562.11799206818</v>
      </c>
      <c r="AX45" s="2452">
        <f>AX21+AX23+AX25+AX27+AX29+AX31+AX33+AX35+AX37+AX39+AX41+AX43</f>
        <v>48109.701566999996</v>
      </c>
      <c r="AY45" s="2452">
        <f t="shared" ref="AY45" si="286">AY21+AY23+AY25+AY27+AY29+AY31+AY33+AY35+AY37+AY39+AY41+AY43</f>
        <v>48685.146081839499</v>
      </c>
      <c r="AZ45" s="802">
        <f t="shared" ref="AZ45:BC45" si="287">SUM(AZ21:AZ43)</f>
        <v>139673.32712999999</v>
      </c>
      <c r="BA45" s="802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563786.83582719998</v>
      </c>
      <c r="BE45" s="256">
        <f t="shared" si="288"/>
        <v>559247.26407390775</v>
      </c>
      <c r="BF45" s="26"/>
      <c r="BG45" s="26"/>
      <c r="BH45" s="26"/>
      <c r="BI45" s="26"/>
      <c r="BJ45" s="1222"/>
    </row>
    <row r="46" spans="2:62" ht="20.25" x14ac:dyDescent="0.25">
      <c r="B46" s="3554" t="s">
        <v>127</v>
      </c>
      <c r="C46" s="3555"/>
      <c r="D46" s="3556"/>
      <c r="E46" s="3555"/>
      <c r="F46" s="3556"/>
      <c r="G46" s="3555"/>
      <c r="H46" s="3555"/>
      <c r="I46" s="3557"/>
      <c r="J46" s="3556"/>
      <c r="K46" s="3555"/>
      <c r="L46" s="1021"/>
      <c r="M46" s="1021"/>
      <c r="N46" s="3556"/>
      <c r="O46" s="3555"/>
      <c r="P46" s="1021"/>
      <c r="Q46" s="1021"/>
      <c r="R46" s="3556"/>
      <c r="S46" s="3555"/>
      <c r="T46" s="1021"/>
      <c r="U46" s="1021"/>
      <c r="V46" s="3556"/>
      <c r="W46" s="3555"/>
      <c r="X46" s="1021"/>
      <c r="Y46" s="1021"/>
      <c r="Z46" s="1021"/>
      <c r="AA46" s="1021"/>
      <c r="AB46" s="3556"/>
      <c r="AC46" s="3555"/>
      <c r="AD46" s="1021"/>
      <c r="AE46" s="1021"/>
      <c r="AF46" s="3556"/>
      <c r="AG46" s="3555"/>
      <c r="AH46" s="1021"/>
      <c r="AI46" s="1021"/>
      <c r="AJ46" s="3556"/>
      <c r="AK46" s="3555"/>
      <c r="AL46" s="1021"/>
      <c r="AM46" s="1021"/>
      <c r="AN46" s="1021"/>
      <c r="AO46" s="1021"/>
      <c r="AP46" s="3556"/>
      <c r="AQ46" s="3555"/>
      <c r="AR46" s="1021"/>
      <c r="AS46" s="1021"/>
      <c r="AT46" s="3556"/>
      <c r="AU46" s="3555"/>
      <c r="AV46" s="1021"/>
      <c r="AW46" s="1021"/>
      <c r="AX46" s="3556"/>
      <c r="AY46" s="3555"/>
      <c r="AZ46" s="1021"/>
      <c r="BA46" s="1021"/>
      <c r="BB46" s="1021"/>
      <c r="BC46" s="1021"/>
      <c r="BD46" s="1021"/>
      <c r="BE46" s="1021"/>
      <c r="BF46" s="26"/>
      <c r="BG46" s="26"/>
      <c r="BH46" s="26"/>
      <c r="BI46" s="26"/>
      <c r="BJ46" s="1222"/>
    </row>
    <row r="47" spans="2:62" x14ac:dyDescent="0.25">
      <c r="B47" s="3521" t="s">
        <v>330</v>
      </c>
      <c r="C47" s="3142" t="s">
        <v>329</v>
      </c>
      <c r="D47" s="3538">
        <v>880</v>
      </c>
      <c r="E47" s="3132">
        <v>919.02170003961578</v>
      </c>
      <c r="F47" s="3538">
        <v>880</v>
      </c>
      <c r="G47" s="7231">
        <v>916.02929177382873</v>
      </c>
      <c r="H47" s="3558">
        <v>880</v>
      </c>
      <c r="I47" s="39">
        <f>+((E47*E51*E3)+(G3*G51*G47))/(I51*I3)</f>
        <v>917.43082451472105</v>
      </c>
      <c r="J47" s="3538">
        <v>880</v>
      </c>
      <c r="K47" s="4618">
        <v>911.19913739383639</v>
      </c>
      <c r="L47" s="948">
        <v>880</v>
      </c>
      <c r="M47" s="782">
        <f>+((I47*I51*I3)+(K3*K51*K47))/(M51*M3)</f>
        <v>915.66011038028284</v>
      </c>
      <c r="N47" s="3538">
        <v>880</v>
      </c>
      <c r="O47" s="4813">
        <v>918.518740881751</v>
      </c>
      <c r="P47" s="590">
        <v>880</v>
      </c>
      <c r="Q47" s="783">
        <f>+((M47*M51*M3)+(O3*O51*O47))/(Q51*Q3)</f>
        <v>916.42898222134045</v>
      </c>
      <c r="R47" s="3538">
        <v>880</v>
      </c>
      <c r="S47" s="4963">
        <v>919.77894579887402</v>
      </c>
      <c r="T47" s="4954">
        <v>880</v>
      </c>
      <c r="U47" s="4953">
        <f>+((Q47*Q51*Q3)+(S3*S51*S47))/(U51*U3)</f>
        <v>917.13637912006368</v>
      </c>
      <c r="V47" s="3538">
        <v>880</v>
      </c>
      <c r="W47" s="5180">
        <v>908.12589373637263</v>
      </c>
      <c r="X47" s="948">
        <v>880</v>
      </c>
      <c r="Y47" s="782">
        <f>+((O47*O51*O3)+(S47*S51*S3)+(W3*W51*W47))/(Y51*Y3)</f>
        <v>915.4810618546079</v>
      </c>
      <c r="Z47" s="465">
        <v>880</v>
      </c>
      <c r="AA47" s="465">
        <f>+((M47*M51*M3)+(Y3*Y51*Y47))/(AA51*AA3)</f>
        <v>915.56632168371891</v>
      </c>
      <c r="AB47" s="3538">
        <v>880</v>
      </c>
      <c r="AC47" s="5432">
        <v>904.83729471319486</v>
      </c>
      <c r="AD47" s="590">
        <v>880</v>
      </c>
      <c r="AE47" s="2399">
        <f>+((AA47*AA51*AA3)+(AC3*AC51*AC47))/(AE51*AE3)</f>
        <v>913.96685668385624</v>
      </c>
      <c r="AF47" s="3538">
        <v>880</v>
      </c>
      <c r="AG47" s="5572">
        <v>905.28388852218131</v>
      </c>
      <c r="AH47" s="5567">
        <v>880</v>
      </c>
      <c r="AI47" s="5568">
        <f>+((AE47*AE51*AE3)+(AG3*AG51*AG47))/(AI51*AI3)</f>
        <v>913.89751228125544</v>
      </c>
      <c r="AJ47" s="3538">
        <v>880</v>
      </c>
      <c r="AK47" s="5996">
        <v>920.88453219942392</v>
      </c>
      <c r="AL47" s="948">
        <v>880</v>
      </c>
      <c r="AM47" s="2746">
        <f>+((AC47*AC51*AC3)+(AG47*AG51*AG3)+(AK3*AK51*AK47))/(AM51*AM3)</f>
        <v>912.72191884543179</v>
      </c>
      <c r="AN47" s="590">
        <v>880</v>
      </c>
      <c r="AO47" s="2399">
        <f>+((AI47*AI51*AI3)+(AK3*AK51*AK47))/(AO51*AO3)</f>
        <v>914.80954161299076</v>
      </c>
      <c r="AP47" s="3538">
        <v>880</v>
      </c>
      <c r="AQ47" s="6141">
        <v>919.79</v>
      </c>
      <c r="AR47" s="590">
        <v>880</v>
      </c>
      <c r="AS47" s="2399">
        <f>+((AO47*AO51*AO3)+(AQ3*AQ51*AQ47))/(AS51*AS3)</f>
        <v>915.38735591279953</v>
      </c>
      <c r="AT47" s="3538">
        <v>880</v>
      </c>
      <c r="AU47" s="6321">
        <v>918.8491487886813</v>
      </c>
      <c r="AV47" s="6314">
        <v>880</v>
      </c>
      <c r="AW47" s="6315">
        <f>+((AS47*AS51*AS3)+(AU3*AU51*AU47))/(AW51*AW3)</f>
        <v>915.71927892192207</v>
      </c>
      <c r="AX47" s="3538">
        <v>880</v>
      </c>
      <c r="AY47" s="6585">
        <v>918.08041967436793</v>
      </c>
      <c r="AZ47" s="948">
        <v>880</v>
      </c>
      <c r="BA47" s="3066">
        <f>+((AQ47*AQ51*AQ3)+(AU47*AU51*AU3)+(AY3*AY51*AY47))/(BA51*BA3)</f>
        <v>918.89988751896271</v>
      </c>
      <c r="BB47" s="3064">
        <v>880</v>
      </c>
      <c r="BC47" s="3064">
        <f>+((AM47*AM51*AM3)+(BA3*BA51*BA47))/(BC51*BC3)</f>
        <v>916.38040706199638</v>
      </c>
      <c r="BD47" s="590">
        <v>880</v>
      </c>
      <c r="BE47" s="2399">
        <f>+((AW47*AW51*AW3)+(AY3*AY51*AY47))/(BE51*BE3)</f>
        <v>915.94942297001296</v>
      </c>
      <c r="BF47" s="26"/>
      <c r="BG47" s="26"/>
      <c r="BH47" s="26"/>
      <c r="BI47" s="26"/>
      <c r="BJ47" s="1222"/>
    </row>
    <row r="48" spans="2:62" x14ac:dyDescent="0.25">
      <c r="B48" s="3521" t="s">
        <v>336</v>
      </c>
      <c r="C48" s="3142" t="s">
        <v>326</v>
      </c>
      <c r="D48" s="3202">
        <f>D49*D$3*24</f>
        <v>388080</v>
      </c>
      <c r="E48" s="3132">
        <v>338280.68159999995</v>
      </c>
      <c r="F48" s="7230">
        <f>F49*F$3*24</f>
        <v>401700.00000000012</v>
      </c>
      <c r="G48" s="7231">
        <v>383981.3664</v>
      </c>
      <c r="H48" s="3133">
        <f>+D48+F48</f>
        <v>789780.00000000012</v>
      </c>
      <c r="I48" s="39">
        <f>+E48+G48</f>
        <v>722262.04799999995</v>
      </c>
      <c r="J48" s="4617">
        <f>J49*J$3*24</f>
        <v>260750.00000000006</v>
      </c>
      <c r="K48" s="4618">
        <v>286690.73340000003</v>
      </c>
      <c r="L48" s="782">
        <f>+H48+J48</f>
        <v>1050530.0000000002</v>
      </c>
      <c r="M48" s="782">
        <f>+I48+K48</f>
        <v>1008952.7814</v>
      </c>
      <c r="N48" s="4812">
        <f>N49*N$3*24</f>
        <v>129499.99999999997</v>
      </c>
      <c r="O48" s="4813">
        <v>371217.69000000006</v>
      </c>
      <c r="P48" s="783">
        <f>+L48+N48</f>
        <v>1180030.0000000002</v>
      </c>
      <c r="Q48" s="783">
        <f>+M48+O48</f>
        <v>1380170.4714000002</v>
      </c>
      <c r="R48" s="4962">
        <f>R49*R$3*24</f>
        <v>372000</v>
      </c>
      <c r="S48" s="4963">
        <v>369462.12900000007</v>
      </c>
      <c r="T48" s="4953">
        <f>+P48+R48</f>
        <v>1552030.0000000002</v>
      </c>
      <c r="U48" s="4953">
        <f>+Q48+S48</f>
        <v>1749632.6004000003</v>
      </c>
      <c r="V48" s="5178">
        <f>V49*V$3*24</f>
        <v>359600</v>
      </c>
      <c r="W48" s="5180">
        <v>369202.37579999992</v>
      </c>
      <c r="X48" s="782">
        <f>+V48+R48+N48</f>
        <v>861100</v>
      </c>
      <c r="Y48" s="782">
        <f>+W48+S48+O48</f>
        <v>1109882.1948000002</v>
      </c>
      <c r="Z48" s="465">
        <f>+L48+X48</f>
        <v>1911630.0000000002</v>
      </c>
      <c r="AA48" s="465">
        <f>+Y48+M48</f>
        <v>2118834.9762000004</v>
      </c>
      <c r="AB48" s="5431">
        <f>AB49*AB$3*24</f>
        <v>387500</v>
      </c>
      <c r="AC48" s="5432">
        <v>371211.93719999999</v>
      </c>
      <c r="AD48" s="2399">
        <f>+Z48+AB48</f>
        <v>2299130</v>
      </c>
      <c r="AE48" s="2399">
        <f>+AA48+AC48</f>
        <v>2490046.9134000004</v>
      </c>
      <c r="AF48" s="5571">
        <f>AF49*AF$3*24</f>
        <v>375099.99999999994</v>
      </c>
      <c r="AG48" s="5572">
        <v>20046.2454</v>
      </c>
      <c r="AH48" s="5568">
        <f>+AD48+AF48</f>
        <v>2674230</v>
      </c>
      <c r="AI48" s="5568">
        <f>+AE48+AG48</f>
        <v>2510093.1588000003</v>
      </c>
      <c r="AJ48" s="5995">
        <f>AJ49*AJ$3*24</f>
        <v>387500</v>
      </c>
      <c r="AK48" s="5996">
        <v>376836.56520000001</v>
      </c>
      <c r="AL48" s="2746">
        <f>+AJ48+AF48+AB48</f>
        <v>1150100</v>
      </c>
      <c r="AM48" s="2746">
        <f>+AK48+AG48+AC48</f>
        <v>768094.74780000001</v>
      </c>
      <c r="AN48" s="2399">
        <f>+AH48+AJ48</f>
        <v>3061730</v>
      </c>
      <c r="AO48" s="2399">
        <f>+AI48+AK48</f>
        <v>2886929.7240000004</v>
      </c>
      <c r="AP48" s="6140">
        <f>AP49*AP$3*24</f>
        <v>387500</v>
      </c>
      <c r="AQ48" s="6141">
        <v>378888.06</v>
      </c>
      <c r="AR48" s="2399">
        <f>+AN48+AP48</f>
        <v>3449230</v>
      </c>
      <c r="AS48" s="2399">
        <f>+AO48+AQ48</f>
        <v>3265817.7840000005</v>
      </c>
      <c r="AT48" s="6320">
        <f>AT49*AT$3*24</f>
        <v>348749.99999999994</v>
      </c>
      <c r="AU48" s="6321">
        <v>346340.29920000001</v>
      </c>
      <c r="AV48" s="6315">
        <f>+AR48+AT48</f>
        <v>3797980</v>
      </c>
      <c r="AW48" s="6315">
        <f>+AS48+AU48</f>
        <v>3612158.0832000002</v>
      </c>
      <c r="AX48" s="6591">
        <f>AX49*AX$3*24</f>
        <v>387500</v>
      </c>
      <c r="AY48" s="6585">
        <v>390106.97759999998</v>
      </c>
      <c r="AZ48" s="3066">
        <f>+AX48+AT48+AP48</f>
        <v>1123750</v>
      </c>
      <c r="BA48" s="3066">
        <f>+AY48+AU48+AQ48</f>
        <v>1115335.3367999999</v>
      </c>
      <c r="BB48" s="3074">
        <f t="shared" ref="BB48" si="289">+AL48+AZ48</f>
        <v>2273850</v>
      </c>
      <c r="BC48" s="3074">
        <f t="shared" ref="BC48" si="290">+AM48+BA48</f>
        <v>1883430.0845999999</v>
      </c>
      <c r="BD48" s="2399">
        <f>+AV48+AX48</f>
        <v>4185480</v>
      </c>
      <c r="BE48" s="2399">
        <f>+AW48+AY48</f>
        <v>4002265.0608000001</v>
      </c>
      <c r="BF48" s="26"/>
      <c r="BG48" s="26"/>
      <c r="BH48" s="26"/>
      <c r="BI48" s="26"/>
      <c r="BJ48" s="1222"/>
    </row>
    <row r="49" spans="2:62" ht="15" hidden="1" customHeight="1" x14ac:dyDescent="0.25">
      <c r="B49" s="3521"/>
      <c r="C49" s="3142"/>
      <c r="D49" s="3202">
        <v>539</v>
      </c>
      <c r="E49" s="3132"/>
      <c r="F49" s="7230">
        <v>539.91935483870975</v>
      </c>
      <c r="G49" s="7231"/>
      <c r="H49" s="3133"/>
      <c r="I49" s="39"/>
      <c r="J49" s="4617">
        <v>362.15277777777783</v>
      </c>
      <c r="K49" s="4618"/>
      <c r="L49" s="782"/>
      <c r="M49" s="782"/>
      <c r="N49" s="4812">
        <v>174.05913978494621</v>
      </c>
      <c r="O49" s="4813"/>
      <c r="P49" s="783"/>
      <c r="Q49" s="783"/>
      <c r="R49" s="4962">
        <v>500</v>
      </c>
      <c r="S49" s="4963"/>
      <c r="T49" s="4953"/>
      <c r="U49" s="4953"/>
      <c r="V49" s="5178">
        <v>499.44444444444446</v>
      </c>
      <c r="W49" s="5180"/>
      <c r="X49" s="782"/>
      <c r="Y49" s="782"/>
      <c r="Z49" s="465"/>
      <c r="AA49" s="465"/>
      <c r="AB49" s="5431">
        <v>520.83333333333337</v>
      </c>
      <c r="AC49" s="5432"/>
      <c r="AD49" s="2399"/>
      <c r="AE49" s="2399"/>
      <c r="AF49" s="5571">
        <v>520.97222222222217</v>
      </c>
      <c r="AG49" s="5572"/>
      <c r="AH49" s="5568"/>
      <c r="AI49" s="5568"/>
      <c r="AJ49" s="5995">
        <v>520.83333333333337</v>
      </c>
      <c r="AK49" s="5996"/>
      <c r="AL49" s="2746"/>
      <c r="AM49" s="2746"/>
      <c r="AN49" s="2399"/>
      <c r="AO49" s="2399"/>
      <c r="AP49" s="6140">
        <v>520.83333333333337</v>
      </c>
      <c r="AQ49" s="6141"/>
      <c r="AR49" s="2399"/>
      <c r="AS49" s="2399"/>
      <c r="AT49" s="6320">
        <v>518.97321428571422</v>
      </c>
      <c r="AU49" s="6321"/>
      <c r="AV49" s="6315"/>
      <c r="AW49" s="6315"/>
      <c r="AX49" s="6591">
        <v>520.83333333333337</v>
      </c>
      <c r="AY49" s="6585"/>
      <c r="AZ49" s="3066"/>
      <c r="BA49" s="3066"/>
      <c r="BB49" s="3064"/>
      <c r="BC49" s="3064"/>
      <c r="BD49" s="2399"/>
      <c r="BE49" s="2399"/>
      <c r="BF49" s="26"/>
      <c r="BG49" s="26"/>
      <c r="BH49" s="26"/>
      <c r="BI49" s="26"/>
      <c r="BJ49" s="1222"/>
    </row>
    <row r="50" spans="2:62" ht="18.75" x14ac:dyDescent="0.25">
      <c r="B50" s="3559" t="s">
        <v>333</v>
      </c>
      <c r="C50" s="3550" t="s">
        <v>326</v>
      </c>
      <c r="D50" s="3144">
        <f t="shared" ref="D50:E50" si="291">SUM(D48)</f>
        <v>388080</v>
      </c>
      <c r="E50" s="3560">
        <f t="shared" si="291"/>
        <v>338280.68159999995</v>
      </c>
      <c r="F50" s="3144">
        <f t="shared" ref="F50:G50" si="292">SUM(F48)</f>
        <v>401700.00000000012</v>
      </c>
      <c r="G50" s="3560">
        <f t="shared" si="292"/>
        <v>383981.3664</v>
      </c>
      <c r="H50" s="3552">
        <f t="shared" ref="H50:K50" si="293">SUM(H48)</f>
        <v>789780.00000000012</v>
      </c>
      <c r="I50" s="1695">
        <f t="shared" si="293"/>
        <v>722262.04799999995</v>
      </c>
      <c r="J50" s="3144">
        <f t="shared" si="293"/>
        <v>260750.00000000006</v>
      </c>
      <c r="K50" s="3560">
        <f t="shared" si="293"/>
        <v>286690.73340000003</v>
      </c>
      <c r="L50" s="650">
        <f t="shared" ref="L50:Q50" si="294">SUM(L48)</f>
        <v>1050530.0000000002</v>
      </c>
      <c r="M50" s="650">
        <f t="shared" si="294"/>
        <v>1008952.7814</v>
      </c>
      <c r="N50" s="3144">
        <f t="shared" si="294"/>
        <v>129499.99999999997</v>
      </c>
      <c r="O50" s="3560">
        <f t="shared" si="294"/>
        <v>371217.69000000006</v>
      </c>
      <c r="P50" s="649">
        <f t="shared" si="294"/>
        <v>1180030.0000000002</v>
      </c>
      <c r="Q50" s="649">
        <f t="shared" si="294"/>
        <v>1380170.4714000002</v>
      </c>
      <c r="R50" s="3144">
        <f t="shared" ref="R50:U50" si="295">SUM(R48)</f>
        <v>372000</v>
      </c>
      <c r="S50" s="3560">
        <f t="shared" si="295"/>
        <v>369462.12900000007</v>
      </c>
      <c r="T50" s="3705">
        <f t="shared" si="295"/>
        <v>1552030.0000000002</v>
      </c>
      <c r="U50" s="3705">
        <f t="shared" si="295"/>
        <v>1749632.6004000003</v>
      </c>
      <c r="V50" s="3144">
        <f t="shared" ref="V50:W50" si="296">SUM(V48)</f>
        <v>359600</v>
      </c>
      <c r="W50" s="3560">
        <f t="shared" si="296"/>
        <v>369202.37579999992</v>
      </c>
      <c r="X50" s="650">
        <f t="shared" ref="X50:AE50" si="297">SUM(X48)</f>
        <v>861100</v>
      </c>
      <c r="Y50" s="650">
        <f t="shared" si="297"/>
        <v>1109882.1948000002</v>
      </c>
      <c r="Z50" s="651">
        <f t="shared" si="297"/>
        <v>1911630.0000000002</v>
      </c>
      <c r="AA50" s="651">
        <f t="shared" si="297"/>
        <v>2118834.9762000004</v>
      </c>
      <c r="AB50" s="3144">
        <f t="shared" si="297"/>
        <v>387500</v>
      </c>
      <c r="AC50" s="3560">
        <f t="shared" si="297"/>
        <v>371211.93719999999</v>
      </c>
      <c r="AD50" s="2638">
        <f t="shared" si="297"/>
        <v>2299130</v>
      </c>
      <c r="AE50" s="2638">
        <f t="shared" si="297"/>
        <v>2490046.9134000004</v>
      </c>
      <c r="AF50" s="3144">
        <f t="shared" ref="AF50:AI50" si="298">SUM(AF48)</f>
        <v>375099.99999999994</v>
      </c>
      <c r="AG50" s="3560">
        <f t="shared" si="298"/>
        <v>20046.2454</v>
      </c>
      <c r="AH50" s="3705">
        <f t="shared" si="298"/>
        <v>2674230</v>
      </c>
      <c r="AI50" s="3705">
        <f t="shared" si="298"/>
        <v>2510093.1588000003</v>
      </c>
      <c r="AJ50" s="3144">
        <f t="shared" ref="AJ50:AK50" si="299">SUM(AJ48)</f>
        <v>387500</v>
      </c>
      <c r="AK50" s="3560">
        <f t="shared" si="299"/>
        <v>376836.56520000001</v>
      </c>
      <c r="AL50" s="2748">
        <f t="shared" ref="AL50:AQ50" si="300">SUM(AL48)</f>
        <v>1150100</v>
      </c>
      <c r="AM50" s="2748">
        <f t="shared" si="300"/>
        <v>768094.74780000001</v>
      </c>
      <c r="AN50" s="2747">
        <f t="shared" si="300"/>
        <v>3061730</v>
      </c>
      <c r="AO50" s="2747">
        <f t="shared" si="300"/>
        <v>2886929.7240000004</v>
      </c>
      <c r="AP50" s="3144">
        <f t="shared" si="300"/>
        <v>387500</v>
      </c>
      <c r="AQ50" s="3560">
        <f t="shared" si="300"/>
        <v>378888.06</v>
      </c>
      <c r="AR50" s="2814">
        <f t="shared" ref="AR50:AU50" si="301">SUM(AR48)</f>
        <v>3449230</v>
      </c>
      <c r="AS50" s="2814">
        <f t="shared" si="301"/>
        <v>3265817.7840000005</v>
      </c>
      <c r="AT50" s="3144">
        <f t="shared" si="301"/>
        <v>348749.99999999994</v>
      </c>
      <c r="AU50" s="3560">
        <f t="shared" si="301"/>
        <v>346340.29920000001</v>
      </c>
      <c r="AV50" s="3705">
        <f t="shared" ref="AV50:AY50" si="302">SUM(AV48)</f>
        <v>3797980</v>
      </c>
      <c r="AW50" s="3705">
        <f t="shared" si="302"/>
        <v>3612158.0832000002</v>
      </c>
      <c r="AX50" s="3144">
        <f t="shared" si="302"/>
        <v>387500</v>
      </c>
      <c r="AY50" s="3560">
        <f t="shared" si="302"/>
        <v>390106.97759999998</v>
      </c>
      <c r="AZ50" s="3068">
        <f t="shared" ref="AZ50:BE50" si="303">SUM(AZ48)</f>
        <v>1123750</v>
      </c>
      <c r="BA50" s="3068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3067">
        <f t="shared" si="303"/>
        <v>4185480</v>
      </c>
      <c r="BE50" s="3067">
        <f t="shared" si="303"/>
        <v>4002265.0608000001</v>
      </c>
      <c r="BF50" s="26"/>
      <c r="BG50" s="26"/>
      <c r="BH50" s="26"/>
      <c r="BI50" s="26"/>
      <c r="BJ50" s="1222"/>
    </row>
    <row r="51" spans="2:62" ht="15.75" x14ac:dyDescent="0.25">
      <c r="B51" s="3561" t="s">
        <v>334</v>
      </c>
      <c r="C51" s="3562" t="s">
        <v>328</v>
      </c>
      <c r="D51" s="3544">
        <f t="shared" ref="D51:E51" si="304">+D50/(D3*24)</f>
        <v>539</v>
      </c>
      <c r="E51" s="3563">
        <f t="shared" si="304"/>
        <v>469.83427999999992</v>
      </c>
      <c r="F51" s="3544">
        <f t="shared" ref="F51:G51" si="305">+F50/(F3*24)</f>
        <v>539.91935483870986</v>
      </c>
      <c r="G51" s="3563">
        <f t="shared" si="305"/>
        <v>516.10398709677418</v>
      </c>
      <c r="H51" s="3546">
        <f t="shared" ref="H51:AE51" si="306">+H50/(H3*24)</f>
        <v>539.46721311475414</v>
      </c>
      <c r="I51" s="1895">
        <f t="shared" si="306"/>
        <v>493.34839344262292</v>
      </c>
      <c r="J51" s="3544">
        <f t="shared" si="306"/>
        <v>362.15277777777789</v>
      </c>
      <c r="K51" s="3563">
        <f t="shared" si="306"/>
        <v>398.18157416666668</v>
      </c>
      <c r="L51" s="817">
        <f t="shared" ref="L51:Q51" si="307">+L50/(L3*24)</f>
        <v>481.01190476190487</v>
      </c>
      <c r="M51" s="817">
        <f t="shared" si="307"/>
        <v>461.97471675824175</v>
      </c>
      <c r="N51" s="3544">
        <f t="shared" si="307"/>
        <v>174.05913978494621</v>
      </c>
      <c r="O51" s="3563">
        <f t="shared" si="307"/>
        <v>498.9485080645162</v>
      </c>
      <c r="P51" s="816">
        <f t="shared" si="307"/>
        <v>403.01571038251376</v>
      </c>
      <c r="Q51" s="816">
        <f t="shared" si="307"/>
        <v>471.3696965163935</v>
      </c>
      <c r="R51" s="3544">
        <f t="shared" ref="R51:U51" si="308">+R50/(R3*24)</f>
        <v>500</v>
      </c>
      <c r="S51" s="3563">
        <f t="shared" si="308"/>
        <v>496.58888306451621</v>
      </c>
      <c r="T51" s="816">
        <f t="shared" si="308"/>
        <v>422.66612200435736</v>
      </c>
      <c r="U51" s="816">
        <f t="shared" si="308"/>
        <v>476.47946633986936</v>
      </c>
      <c r="V51" s="3544">
        <f t="shared" ref="V51:W51" si="309">+V50/(V3*24)</f>
        <v>499.44444444444446</v>
      </c>
      <c r="W51" s="3563">
        <f t="shared" si="309"/>
        <v>512.78107749999992</v>
      </c>
      <c r="X51" s="817">
        <f t="shared" si="306"/>
        <v>389.9909420289855</v>
      </c>
      <c r="Y51" s="817">
        <f t="shared" si="306"/>
        <v>502.66403750000006</v>
      </c>
      <c r="Z51" s="818">
        <f t="shared" si="306"/>
        <v>435.25273224043724</v>
      </c>
      <c r="AA51" s="818">
        <f t="shared" si="306"/>
        <v>482.43055013661211</v>
      </c>
      <c r="AB51" s="3544">
        <f t="shared" si="306"/>
        <v>520.83333333333337</v>
      </c>
      <c r="AC51" s="3563">
        <f t="shared" si="306"/>
        <v>498.9407758064516</v>
      </c>
      <c r="AD51" s="816">
        <f t="shared" si="306"/>
        <v>447.64992211838006</v>
      </c>
      <c r="AE51" s="816">
        <f t="shared" si="306"/>
        <v>484.82221834112158</v>
      </c>
      <c r="AF51" s="3544">
        <f t="shared" ref="AF51:AI51" si="310">+AF50/(AF3*24)</f>
        <v>520.97222222222217</v>
      </c>
      <c r="AG51" s="3563">
        <f t="shared" si="310"/>
        <v>27.842007500000001</v>
      </c>
      <c r="AH51" s="816">
        <f t="shared" si="310"/>
        <v>456.66495901639342</v>
      </c>
      <c r="AI51" s="816">
        <f t="shared" si="310"/>
        <v>428.63612684426238</v>
      </c>
      <c r="AJ51" s="3544">
        <f t="shared" ref="AJ51:AK51" si="311">+AJ50/(AJ3*24)</f>
        <v>520.83333333333337</v>
      </c>
      <c r="AK51" s="3563">
        <f t="shared" si="311"/>
        <v>506.50075967741935</v>
      </c>
      <c r="AL51" s="817">
        <f t="shared" ref="AL51:AQ51" si="312">+AL50/(AL3*24)</f>
        <v>520.87862318840575</v>
      </c>
      <c r="AM51" s="817">
        <f t="shared" si="312"/>
        <v>347.86899809782608</v>
      </c>
      <c r="AN51" s="816">
        <f t="shared" si="312"/>
        <v>463.89848484848483</v>
      </c>
      <c r="AO51" s="816">
        <f t="shared" si="312"/>
        <v>437.4135945454546</v>
      </c>
      <c r="AP51" s="3544">
        <f t="shared" si="312"/>
        <v>520.83333333333337</v>
      </c>
      <c r="AQ51" s="3563">
        <f t="shared" si="312"/>
        <v>509.25814516129032</v>
      </c>
      <c r="AR51" s="816">
        <f t="shared" ref="AR51:AU51" si="313">+AR50/(AR3*24)</f>
        <v>469.666394335512</v>
      </c>
      <c r="AS51" s="816">
        <f t="shared" si="313"/>
        <v>444.69196405228763</v>
      </c>
      <c r="AT51" s="3544">
        <f t="shared" si="313"/>
        <v>518.97321428571422</v>
      </c>
      <c r="AU51" s="3563">
        <f t="shared" si="313"/>
        <v>515.38734999999997</v>
      </c>
      <c r="AV51" s="816">
        <f t="shared" ref="AV51:AY51" si="314">+AV50/(AV3*24)</f>
        <v>473.79990019960081</v>
      </c>
      <c r="AW51" s="816">
        <f t="shared" si="314"/>
        <v>450.61852335329343</v>
      </c>
      <c r="AX51" s="3544">
        <f t="shared" si="314"/>
        <v>520.83333333333337</v>
      </c>
      <c r="AY51" s="3563">
        <f t="shared" si="314"/>
        <v>524.3373354838709</v>
      </c>
      <c r="AZ51" s="817">
        <f t="shared" ref="AZ51:BE51" si="315">+AZ50/(AZ3*24)</f>
        <v>520.25462962962968</v>
      </c>
      <c r="BA51" s="817">
        <f t="shared" si="315"/>
        <v>516.35895222222223</v>
      </c>
      <c r="BB51" s="818">
        <f t="shared" si="315"/>
        <v>520.57005494505495</v>
      </c>
      <c r="BC51" s="818">
        <f t="shared" si="315"/>
        <v>431.18820618131866</v>
      </c>
      <c r="BD51" s="816">
        <f t="shared" si="315"/>
        <v>477.79452054794518</v>
      </c>
      <c r="BE51" s="816">
        <f t="shared" si="315"/>
        <v>456.87957315068496</v>
      </c>
      <c r="BF51" s="26"/>
      <c r="BG51" s="26"/>
      <c r="BH51" s="26"/>
      <c r="BI51" s="26"/>
      <c r="BJ51" s="1222"/>
    </row>
    <row r="52" spans="2:62" ht="15.75" x14ac:dyDescent="0.25">
      <c r="B52" s="3564" t="s">
        <v>54</v>
      </c>
      <c r="C52" s="3428" t="s">
        <v>326</v>
      </c>
      <c r="D52" s="3202">
        <f>D53*D$3*24</f>
        <v>3600</v>
      </c>
      <c r="E52" s="3161">
        <v>3432.8800077603019</v>
      </c>
      <c r="F52" s="7230">
        <f>F53*F$3*24</f>
        <v>3720</v>
      </c>
      <c r="G52" s="3161">
        <v>3791.466625819447</v>
      </c>
      <c r="H52" s="3133">
        <f>+D52+F52</f>
        <v>7320</v>
      </c>
      <c r="I52" s="39">
        <f>+E52+G52</f>
        <v>7224.3466335797493</v>
      </c>
      <c r="J52" s="4617">
        <f>J53*J$3*24</f>
        <v>4320</v>
      </c>
      <c r="K52" s="3161">
        <v>2710.6290336772945</v>
      </c>
      <c r="L52" s="782">
        <f t="shared" ref="L52:L54" si="316">+H52+J52</f>
        <v>11640</v>
      </c>
      <c r="M52" s="782">
        <f>+I52+K52</f>
        <v>9934.9756672570438</v>
      </c>
      <c r="N52" s="4812">
        <f>N53*N$3*24</f>
        <v>4464</v>
      </c>
      <c r="O52" s="3161">
        <v>3421.0214499633898</v>
      </c>
      <c r="P52" s="2147">
        <f t="shared" ref="P52:P54" si="317">+L52+N52</f>
        <v>16104</v>
      </c>
      <c r="Q52" s="783">
        <f>+M52+O52</f>
        <v>13355.997117220433</v>
      </c>
      <c r="R52" s="4962">
        <f>R53*R$3*24</f>
        <v>4464</v>
      </c>
      <c r="S52" s="3161">
        <v>3454.0954221760157</v>
      </c>
      <c r="T52" s="4953">
        <f t="shared" ref="T52:T54" si="318">+P52+R52</f>
        <v>20568</v>
      </c>
      <c r="U52" s="4953">
        <f>+Q52+S52</f>
        <v>16810.09253939645</v>
      </c>
      <c r="V52" s="5178">
        <f>V53*V$3*24</f>
        <v>4320</v>
      </c>
      <c r="W52" s="3161">
        <v>3354.6363290824775</v>
      </c>
      <c r="X52" s="2657">
        <f t="shared" ref="X52:X54" si="319">+V52+R52+N52</f>
        <v>13248</v>
      </c>
      <c r="Y52" s="782">
        <f>+W52+S52+O52</f>
        <v>10229.753201221884</v>
      </c>
      <c r="Z52" s="2658">
        <f t="shared" ref="Z52:Z54" si="320">+L52+X52</f>
        <v>24888</v>
      </c>
      <c r="AA52" s="465">
        <f>+Y52+M52</f>
        <v>20164.728868478927</v>
      </c>
      <c r="AB52" s="5431">
        <f>AB53*AB$3*24</f>
        <v>4464</v>
      </c>
      <c r="AC52" s="3161">
        <v>3679.912412034505</v>
      </c>
      <c r="AD52" s="2399">
        <f>+Z52+AB52</f>
        <v>29352</v>
      </c>
      <c r="AE52" s="2399">
        <f>+AA52+AC52</f>
        <v>23844.641280513431</v>
      </c>
      <c r="AF52" s="5571">
        <f>AF53*AF$3*24</f>
        <v>4320</v>
      </c>
      <c r="AG52" s="3161">
        <v>430.54282816361706</v>
      </c>
      <c r="AH52" s="5568">
        <f>+AD52+AF52</f>
        <v>33672</v>
      </c>
      <c r="AI52" s="5568">
        <f>+AE52+AG52</f>
        <v>24275.184108677047</v>
      </c>
      <c r="AJ52" s="5995">
        <f>AJ53*AJ$3*24</f>
        <v>4464</v>
      </c>
      <c r="AK52" s="3161">
        <v>3191.2131256393714</v>
      </c>
      <c r="AL52" s="2746">
        <f t="shared" ref="AL52:AL54" si="321">+AJ52+AF52+AB52</f>
        <v>13248</v>
      </c>
      <c r="AM52" s="2746">
        <f>+AK52+AG52+AC52</f>
        <v>7301.6683658374932</v>
      </c>
      <c r="AN52" s="2399">
        <f>+AH52+AJ52</f>
        <v>38136</v>
      </c>
      <c r="AO52" s="2399">
        <f>+AI52+AK52</f>
        <v>27466.397234316421</v>
      </c>
      <c r="AP52" s="6140">
        <f>AP53*AP$3*24</f>
        <v>4464</v>
      </c>
      <c r="AQ52" s="3161">
        <v>3250.23</v>
      </c>
      <c r="AR52" s="2399">
        <f>+AN52+AP52</f>
        <v>42600</v>
      </c>
      <c r="AS52" s="2399">
        <f>+AO52+AQ52</f>
        <v>30716.62723431642</v>
      </c>
      <c r="AT52" s="6320">
        <f>AT53*AT$3*24</f>
        <v>4032</v>
      </c>
      <c r="AU52" s="3161">
        <v>2781.9923330243282</v>
      </c>
      <c r="AV52" s="6315">
        <f>+AR52+AT52</f>
        <v>46632</v>
      </c>
      <c r="AW52" s="6315">
        <f>+AS52+AU52</f>
        <v>33498.619567340749</v>
      </c>
      <c r="AX52" s="6591">
        <f>AX53*AX$3*24</f>
        <v>4464</v>
      </c>
      <c r="AY52" s="3161">
        <v>4142.1058090833058</v>
      </c>
      <c r="AZ52" s="3066">
        <f t="shared" ref="AZ52:AZ54" si="322">+AX52+AT52+AP52</f>
        <v>12960</v>
      </c>
      <c r="BA52" s="3066">
        <f>+AY52+AU52+AQ52</f>
        <v>10174.328142107634</v>
      </c>
      <c r="BB52" s="3074">
        <f t="shared" ref="BB52:BB54" si="323">+AL52+AZ52</f>
        <v>26208</v>
      </c>
      <c r="BC52" s="3074">
        <f t="shared" ref="BC52:BC54" si="324">+AM52+BA52</f>
        <v>17475.996507945129</v>
      </c>
      <c r="BD52" s="2399">
        <f>+AV52+AX52</f>
        <v>51096</v>
      </c>
      <c r="BE52" s="2399">
        <f>+AW52+AY52</f>
        <v>37640.725376424052</v>
      </c>
      <c r="BF52" s="26"/>
      <c r="BG52" s="26"/>
      <c r="BH52" s="26"/>
      <c r="BI52" s="26"/>
      <c r="BJ52" s="1222"/>
    </row>
    <row r="53" spans="2:62" ht="15.75" hidden="1" customHeight="1" x14ac:dyDescent="0.25">
      <c r="B53" s="3564"/>
      <c r="C53" s="3428"/>
      <c r="D53" s="3473">
        <v>5</v>
      </c>
      <c r="E53" s="3161"/>
      <c r="F53" s="3473">
        <v>5</v>
      </c>
      <c r="G53" s="3161"/>
      <c r="H53" s="3133">
        <f t="shared" ref="H53:H54" si="325">+D53+F53</f>
        <v>10</v>
      </c>
      <c r="I53" s="39"/>
      <c r="J53" s="3473">
        <v>6</v>
      </c>
      <c r="K53" s="3161"/>
      <c r="L53" s="782">
        <f t="shared" si="316"/>
        <v>16</v>
      </c>
      <c r="M53" s="782"/>
      <c r="N53" s="3473">
        <v>6</v>
      </c>
      <c r="O53" s="3161"/>
      <c r="P53" s="2147">
        <f t="shared" si="317"/>
        <v>22</v>
      </c>
      <c r="Q53" s="783"/>
      <c r="R53" s="3473">
        <v>6</v>
      </c>
      <c r="S53" s="3161"/>
      <c r="T53" s="4953">
        <f t="shared" si="318"/>
        <v>28</v>
      </c>
      <c r="U53" s="4953"/>
      <c r="V53" s="3473">
        <v>6</v>
      </c>
      <c r="W53" s="3161"/>
      <c r="X53" s="2657">
        <f t="shared" si="319"/>
        <v>18</v>
      </c>
      <c r="Y53" s="782"/>
      <c r="Z53" s="2658">
        <f t="shared" si="320"/>
        <v>34</v>
      </c>
      <c r="AA53" s="465"/>
      <c r="AB53" s="3473">
        <v>6</v>
      </c>
      <c r="AC53" s="3161"/>
      <c r="AD53" s="2399">
        <f t="shared" ref="AD53:AD54" si="326">+Z53+AB53</f>
        <v>40</v>
      </c>
      <c r="AE53" s="2399"/>
      <c r="AF53" s="3473">
        <v>6</v>
      </c>
      <c r="AG53" s="3161"/>
      <c r="AH53" s="5568">
        <f t="shared" ref="AH53:AH54" si="327">+AD53+AF53</f>
        <v>46</v>
      </c>
      <c r="AI53" s="5568"/>
      <c r="AJ53" s="3473">
        <v>6</v>
      </c>
      <c r="AK53" s="3161"/>
      <c r="AL53" s="2746">
        <f t="shared" si="321"/>
        <v>18</v>
      </c>
      <c r="AM53" s="2746"/>
      <c r="AN53" s="2399">
        <f t="shared" ref="AN53:AN54" si="328">+AH53+AJ53</f>
        <v>52</v>
      </c>
      <c r="AO53" s="2399"/>
      <c r="AP53" s="3473">
        <v>6</v>
      </c>
      <c r="AQ53" s="3161"/>
      <c r="AR53" s="2399">
        <f t="shared" ref="AR53:AR54" si="329">+AN53+AP53</f>
        <v>58</v>
      </c>
      <c r="AS53" s="2399"/>
      <c r="AT53" s="3473">
        <v>6</v>
      </c>
      <c r="AU53" s="3161"/>
      <c r="AV53" s="6315">
        <f t="shared" ref="AV53:AV54" si="330">+AR53+AT53</f>
        <v>64</v>
      </c>
      <c r="AW53" s="6315"/>
      <c r="AX53" s="3473">
        <v>6</v>
      </c>
      <c r="AY53" s="3161"/>
      <c r="AZ53" s="3066">
        <f t="shared" si="322"/>
        <v>18</v>
      </c>
      <c r="BA53" s="3066"/>
      <c r="BB53" s="3074">
        <f t="shared" si="323"/>
        <v>36</v>
      </c>
      <c r="BC53" s="3074">
        <f t="shared" si="324"/>
        <v>0</v>
      </c>
      <c r="BD53" s="2399">
        <f t="shared" ref="BD53:BD54" si="331">+AV53+AX53</f>
        <v>70</v>
      </c>
      <c r="BE53" s="2399"/>
      <c r="BF53" s="26"/>
      <c r="BG53" s="26"/>
      <c r="BH53" s="26"/>
      <c r="BI53" s="26"/>
      <c r="BJ53" s="1222"/>
    </row>
    <row r="54" spans="2:62" x14ac:dyDescent="0.25">
      <c r="B54" s="3542" t="s">
        <v>474</v>
      </c>
      <c r="C54" s="3142" t="s">
        <v>326</v>
      </c>
      <c r="D54" s="3202">
        <f>D55*D$3*24</f>
        <v>10866.24</v>
      </c>
      <c r="E54" s="3132">
        <v>10088.106763821897</v>
      </c>
      <c r="F54" s="7230">
        <f>F55*F$3*24</f>
        <v>11247.6</v>
      </c>
      <c r="G54" s="7231">
        <v>11587.557559102774</v>
      </c>
      <c r="H54" s="3133">
        <f t="shared" si="325"/>
        <v>22113.84</v>
      </c>
      <c r="I54" s="39">
        <f>+E54+G54</f>
        <v>21675.664322924669</v>
      </c>
      <c r="J54" s="4617">
        <f>J55*J$3*24</f>
        <v>7822.5000000000018</v>
      </c>
      <c r="K54" s="4618">
        <v>8916.5202595872306</v>
      </c>
      <c r="L54" s="782">
        <f t="shared" si="316"/>
        <v>29936.340000000004</v>
      </c>
      <c r="M54" s="782">
        <f>+I54+K54</f>
        <v>30592.184582511902</v>
      </c>
      <c r="N54" s="4812">
        <f>N55*N$3*24</f>
        <v>3885</v>
      </c>
      <c r="O54" s="4813">
        <v>11258.192879049901</v>
      </c>
      <c r="P54" s="2147">
        <f t="shared" si="317"/>
        <v>33821.340000000004</v>
      </c>
      <c r="Q54" s="783">
        <f>+M54+O54</f>
        <v>41850.377461561802</v>
      </c>
      <c r="R54" s="4962">
        <f>R55*R$3*24</f>
        <v>11160</v>
      </c>
      <c r="S54" s="4963">
        <v>11817.797629533794</v>
      </c>
      <c r="T54" s="4953">
        <f t="shared" si="318"/>
        <v>44981.340000000004</v>
      </c>
      <c r="U54" s="4953">
        <f>+Q54+S54</f>
        <v>53668.175091095596</v>
      </c>
      <c r="V54" s="5178">
        <f>V55*V$3*24</f>
        <v>10788</v>
      </c>
      <c r="W54" s="5180">
        <v>11564.688400158464</v>
      </c>
      <c r="X54" s="2657">
        <f t="shared" si="319"/>
        <v>25833</v>
      </c>
      <c r="Y54" s="782">
        <f>+W54+S54+O54</f>
        <v>34640.678908742157</v>
      </c>
      <c r="Z54" s="2658">
        <f t="shared" si="320"/>
        <v>55769.340000000004</v>
      </c>
      <c r="AA54" s="465">
        <f>+Y54+M54</f>
        <v>65232.863491254058</v>
      </c>
      <c r="AB54" s="5431">
        <f>AB55*AB$3*24</f>
        <v>11625</v>
      </c>
      <c r="AC54" s="5432">
        <v>13166.559392524696</v>
      </c>
      <c r="AD54" s="2399">
        <f t="shared" si="326"/>
        <v>67394.34</v>
      </c>
      <c r="AE54" s="2399">
        <f>+AA54+AC54</f>
        <v>78399.422883778752</v>
      </c>
      <c r="AF54" s="5571">
        <f>AF55*AF$3*24</f>
        <v>11252.999999999998</v>
      </c>
      <c r="AG54" s="5572">
        <v>3225.1363410948861</v>
      </c>
      <c r="AH54" s="5568">
        <f t="shared" si="327"/>
        <v>78647.34</v>
      </c>
      <c r="AI54" s="5568">
        <f>+AE54+AG54</f>
        <v>81624.559224873636</v>
      </c>
      <c r="AJ54" s="5995">
        <f>AJ55*AJ$3*24</f>
        <v>11625</v>
      </c>
      <c r="AK54" s="5996">
        <v>10305.578683643347</v>
      </c>
      <c r="AL54" s="2746">
        <f t="shared" si="321"/>
        <v>34503</v>
      </c>
      <c r="AM54" s="2746">
        <f>+AK54+AG54+AC54</f>
        <v>26697.274417262932</v>
      </c>
      <c r="AN54" s="2399">
        <f t="shared" si="328"/>
        <v>90272.34</v>
      </c>
      <c r="AO54" s="2399">
        <f>+AI54+AK54</f>
        <v>91930.137908516976</v>
      </c>
      <c r="AP54" s="6140">
        <f>AP55*AP$3*24</f>
        <v>11625</v>
      </c>
      <c r="AQ54" s="6141">
        <v>10704.9</v>
      </c>
      <c r="AR54" s="2399">
        <f t="shared" si="329"/>
        <v>101897.34</v>
      </c>
      <c r="AS54" s="2399">
        <f>+AO54+AQ54</f>
        <v>102635.03790851697</v>
      </c>
      <c r="AT54" s="6320">
        <f>AT55*AT$3*24</f>
        <v>10462.499999999998</v>
      </c>
      <c r="AU54" s="6321">
        <v>10109.448796082894</v>
      </c>
      <c r="AV54" s="6315">
        <f t="shared" si="330"/>
        <v>112359.84</v>
      </c>
      <c r="AW54" s="6315">
        <f>+AS54+AU54</f>
        <v>112744.48670459987</v>
      </c>
      <c r="AX54" s="6591">
        <f>AX55*AX$3*24</f>
        <v>11625</v>
      </c>
      <c r="AY54" s="6585">
        <v>11585.599149231368</v>
      </c>
      <c r="AZ54" s="3066">
        <f t="shared" si="322"/>
        <v>33712.5</v>
      </c>
      <c r="BA54" s="3066">
        <f>+AY54+AU54+AQ54</f>
        <v>32399.947945314263</v>
      </c>
      <c r="BB54" s="3074">
        <f t="shared" si="323"/>
        <v>68215.5</v>
      </c>
      <c r="BC54" s="3074">
        <f t="shared" si="324"/>
        <v>59097.222362577195</v>
      </c>
      <c r="BD54" s="2399">
        <f t="shared" si="331"/>
        <v>123984.84</v>
      </c>
      <c r="BE54" s="2399">
        <f>+AW54+AY54</f>
        <v>124330.08585383123</v>
      </c>
      <c r="BF54" s="26"/>
      <c r="BG54" s="26"/>
      <c r="BH54" s="26"/>
      <c r="BI54" s="26"/>
      <c r="BJ54" s="1222"/>
    </row>
    <row r="55" spans="2:62" ht="15.75" hidden="1" customHeight="1" x14ac:dyDescent="0.25">
      <c r="B55" s="3542"/>
      <c r="C55" s="3142"/>
      <c r="D55" s="3473">
        <v>15.091999999999999</v>
      </c>
      <c r="E55" s="3132"/>
      <c r="F55" s="3473">
        <v>15.117741935483872</v>
      </c>
      <c r="G55" s="7231"/>
      <c r="H55" s="3429"/>
      <c r="I55" s="39"/>
      <c r="J55" s="3473">
        <v>10.864583333333336</v>
      </c>
      <c r="K55" s="4618"/>
      <c r="L55" s="575"/>
      <c r="M55" s="782"/>
      <c r="N55" s="3473">
        <v>5.221774193548387</v>
      </c>
      <c r="O55" s="4813"/>
      <c r="P55" s="587"/>
      <c r="Q55" s="783"/>
      <c r="R55" s="3473">
        <v>15</v>
      </c>
      <c r="S55" s="4963"/>
      <c r="T55" s="2608"/>
      <c r="U55" s="4953"/>
      <c r="V55" s="3473">
        <v>14.983333333333334</v>
      </c>
      <c r="W55" s="5180"/>
      <c r="X55" s="575"/>
      <c r="Y55" s="782"/>
      <c r="Z55" s="1615"/>
      <c r="AA55" s="465"/>
      <c r="AB55" s="3473">
        <v>15.625</v>
      </c>
      <c r="AC55" s="5432"/>
      <c r="AD55" s="2608"/>
      <c r="AE55" s="2399"/>
      <c r="AF55" s="3473">
        <v>15.629166666666665</v>
      </c>
      <c r="AG55" s="5572"/>
      <c r="AH55" s="2608"/>
      <c r="AI55" s="5568"/>
      <c r="AJ55" s="3473">
        <v>15.625</v>
      </c>
      <c r="AK55" s="5996"/>
      <c r="AL55" s="2636"/>
      <c r="AM55" s="2746"/>
      <c r="AN55" s="2608"/>
      <c r="AO55" s="2399"/>
      <c r="AP55" s="3473">
        <v>15.625</v>
      </c>
      <c r="AQ55" s="6141"/>
      <c r="AR55" s="2608"/>
      <c r="AS55" s="2399"/>
      <c r="AT55" s="3473">
        <v>15.569196428571427</v>
      </c>
      <c r="AU55" s="6321"/>
      <c r="AV55" s="2608"/>
      <c r="AW55" s="6315"/>
      <c r="AX55" s="3473">
        <v>15.625</v>
      </c>
      <c r="AY55" s="6585"/>
      <c r="AZ55" s="2636"/>
      <c r="BA55" s="3066"/>
      <c r="BB55" s="3065"/>
      <c r="BC55" s="3064"/>
      <c r="BD55" s="2608"/>
      <c r="BE55" s="2399"/>
      <c r="BF55" s="26"/>
      <c r="BG55" s="26"/>
      <c r="BH55" s="26"/>
      <c r="BI55" s="26"/>
      <c r="BJ55" s="1222"/>
    </row>
    <row r="56" spans="2:62" x14ac:dyDescent="0.25">
      <c r="B56" s="3542" t="s">
        <v>73</v>
      </c>
      <c r="C56" s="3142" t="s">
        <v>49</v>
      </c>
      <c r="D56" s="3548">
        <f>+D54*100/D50</f>
        <v>2.8</v>
      </c>
      <c r="E56" s="3548">
        <f>+E54/E50*100</f>
        <v>2.9821705206774358</v>
      </c>
      <c r="F56" s="3548">
        <f>+F54*100/F50</f>
        <v>2.7999999999999994</v>
      </c>
      <c r="G56" s="3548">
        <f>+G54/G50*100</f>
        <v>3.0177395501613522</v>
      </c>
      <c r="H56" s="3565">
        <f>+H54*100/H50</f>
        <v>2.7999999999999994</v>
      </c>
      <c r="I56" s="39">
        <f>+I54/I50*100</f>
        <v>3.0010803396006027</v>
      </c>
      <c r="J56" s="3548">
        <f>+J54*100/J50</f>
        <v>3.0000000000000004</v>
      </c>
      <c r="K56" s="3548">
        <f>+K54/K50*100</f>
        <v>3.1101529351304906</v>
      </c>
      <c r="L56" s="1032">
        <f>+L54*100/L50</f>
        <v>2.8496416094733132</v>
      </c>
      <c r="M56" s="782">
        <f>+M54/M50*100</f>
        <v>3.0320729717462971</v>
      </c>
      <c r="N56" s="3548">
        <f>+N54*100/N50</f>
        <v>3.0000000000000009</v>
      </c>
      <c r="O56" s="3548">
        <f>+O54/O50*100</f>
        <v>3.0327738096344219</v>
      </c>
      <c r="P56" s="1022">
        <f>+P54*100/P50</f>
        <v>2.86614238621052</v>
      </c>
      <c r="Q56" s="783">
        <f>+Q54/Q50*100</f>
        <v>3.0322614726795405</v>
      </c>
      <c r="R56" s="3548">
        <f>+R54*100/R50</f>
        <v>3</v>
      </c>
      <c r="S56" s="3548">
        <f>+S54/S50*100</f>
        <v>3.1986492530426016</v>
      </c>
      <c r="T56" s="1022">
        <f>+T54*100/T50</f>
        <v>2.8982261940812997</v>
      </c>
      <c r="U56" s="4953">
        <f>+U54/U50*100</f>
        <v>3.0673968397037186</v>
      </c>
      <c r="V56" s="3548">
        <f>+V54*100/V50</f>
        <v>3</v>
      </c>
      <c r="W56" s="3548">
        <f>+W54/W50*100</f>
        <v>3.132343982104588</v>
      </c>
      <c r="X56" s="782">
        <f>+X54/X50*100</f>
        <v>3</v>
      </c>
      <c r="Y56" s="782">
        <f>+Y54/Y50*100</f>
        <v>3.1211131299375765</v>
      </c>
      <c r="Z56" s="493">
        <f>+Z54/Z50*100</f>
        <v>2.9173710393747743</v>
      </c>
      <c r="AA56" s="493">
        <f>+AA54/AA50*100</f>
        <v>3.078713737690189</v>
      </c>
      <c r="AB56" s="3548">
        <f>+AB54*100/AB50</f>
        <v>3</v>
      </c>
      <c r="AC56" s="3548">
        <f>+AC54/AC50*100</f>
        <v>3.5469116353957317</v>
      </c>
      <c r="AD56" s="1022">
        <f>+AD54*100/AD50</f>
        <v>2.9312974907899947</v>
      </c>
      <c r="AE56" s="2206">
        <f>+AE54/AE50*100</f>
        <v>3.1485118799119061</v>
      </c>
      <c r="AF56" s="3548">
        <f>+AF54*100/AF50</f>
        <v>3</v>
      </c>
      <c r="AG56" s="3548">
        <f>+AG54/AG50*100</f>
        <v>16.088480793988914</v>
      </c>
      <c r="AH56" s="1022">
        <f>+AH54*100/AH50</f>
        <v>2.9409340258691286</v>
      </c>
      <c r="AI56" s="2206">
        <f>+AI54/AI50*100</f>
        <v>3.2518537783631856</v>
      </c>
      <c r="AJ56" s="3548">
        <f>+AJ54*100/AJ50</f>
        <v>3</v>
      </c>
      <c r="AK56" s="3548">
        <f>+AK54/AK50*100</f>
        <v>2.7347608049059215</v>
      </c>
      <c r="AL56" s="2746">
        <f>+AL54/AL50*100</f>
        <v>3</v>
      </c>
      <c r="AM56" s="2746">
        <f>+AM54/AM50*100</f>
        <v>3.4757788012130102</v>
      </c>
      <c r="AN56" s="1022">
        <f>+AN54*100/AN50</f>
        <v>2.9484095593014406</v>
      </c>
      <c r="AO56" s="2206">
        <f>+AO54/AO50*100</f>
        <v>3.1843566244190629</v>
      </c>
      <c r="AP56" s="3548">
        <f>+AP54*100/AP50</f>
        <v>3</v>
      </c>
      <c r="AQ56" s="3548">
        <f>+AQ54/AQ50*100</f>
        <v>2.8253463569160768</v>
      </c>
      <c r="AR56" s="1022">
        <f>+AR54*100/AR50</f>
        <v>2.9542054313571433</v>
      </c>
      <c r="AS56" s="2206">
        <f>+AS54/AS50*100</f>
        <v>3.1427055854539665</v>
      </c>
      <c r="AT56" s="3548">
        <f>+AT54*100/AT50</f>
        <v>3</v>
      </c>
      <c r="AU56" s="3548">
        <f>+AU54/AU50*100</f>
        <v>2.9189351685132725</v>
      </c>
      <c r="AV56" s="1022">
        <f>+AV54*100/AV50</f>
        <v>2.9584105234888018</v>
      </c>
      <c r="AW56" s="2206">
        <f>+AW54/AW50*100</f>
        <v>3.1212500701165284</v>
      </c>
      <c r="AX56" s="3548">
        <f>+AX54*100/AX50</f>
        <v>3</v>
      </c>
      <c r="AY56" s="3548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2257">
        <f>+BB54/BB50*100</f>
        <v>3</v>
      </c>
      <c r="BC56" s="2257">
        <f>+BC54/BC50*100</f>
        <v>3.1377444188552492</v>
      </c>
      <c r="BD56" s="1022">
        <f>+BD54*100/BD50</f>
        <v>2.9622609593164944</v>
      </c>
      <c r="BE56" s="2206">
        <f>+BE54/BE50*100</f>
        <v>3.106493047438974</v>
      </c>
      <c r="BF56" s="26"/>
      <c r="BG56" s="26"/>
      <c r="BH56" s="26"/>
      <c r="BI56" s="26"/>
      <c r="BJ56" s="1222"/>
    </row>
    <row r="57" spans="2:62" ht="18.75" x14ac:dyDescent="0.25">
      <c r="B57" s="1365" t="s">
        <v>55</v>
      </c>
      <c r="C57" s="3550" t="s">
        <v>326</v>
      </c>
      <c r="D57" s="3144">
        <f>+D50-D52-D54</f>
        <v>373613.76</v>
      </c>
      <c r="E57" s="3144">
        <f>+E50-E52-E54</f>
        <v>324759.69482841773</v>
      </c>
      <c r="F57" s="3144">
        <f>+F50-F52-F54</f>
        <v>386732.40000000014</v>
      </c>
      <c r="G57" s="3144">
        <f>+G50-G52-G54</f>
        <v>368602.34221507778</v>
      </c>
      <c r="H57" s="3552">
        <f>+D57+F57</f>
        <v>760346.16000000015</v>
      </c>
      <c r="I57" s="1695">
        <f>+I50-I52-I54</f>
        <v>693362.03704349557</v>
      </c>
      <c r="J57" s="3144">
        <f>+J50-J52-J54</f>
        <v>248607.50000000006</v>
      </c>
      <c r="K57" s="3144">
        <f>+K50-K52-K54</f>
        <v>275063.58410673554</v>
      </c>
      <c r="L57" s="650">
        <f>+H57+J57</f>
        <v>1008953.6600000001</v>
      </c>
      <c r="M57" s="650">
        <f>+M50-M52-M54</f>
        <v>968425.62115023099</v>
      </c>
      <c r="N57" s="3144">
        <f>+N50-N52-N54</f>
        <v>121150.99999999997</v>
      </c>
      <c r="O57" s="3144">
        <f>+O50-O52-O54</f>
        <v>356538.47567098675</v>
      </c>
      <c r="P57" s="649">
        <f>+L57+N57</f>
        <v>1130104.6600000001</v>
      </c>
      <c r="Q57" s="649">
        <f>+Q50-Q52-Q54</f>
        <v>1324964.096821218</v>
      </c>
      <c r="R57" s="3144">
        <f>+R50-R52-R54</f>
        <v>356376</v>
      </c>
      <c r="S57" s="3144">
        <f>+S50-S52-S54</f>
        <v>354190.23594829027</v>
      </c>
      <c r="T57" s="3705">
        <f>+P57+R57</f>
        <v>1486480.6600000001</v>
      </c>
      <c r="U57" s="3705">
        <f>+U50-U52-U54</f>
        <v>1679154.3327695085</v>
      </c>
      <c r="V57" s="3144">
        <f>+V50-V52-V54</f>
        <v>344492</v>
      </c>
      <c r="W57" s="3144">
        <f>+W50-W52-W54</f>
        <v>354283.05107075896</v>
      </c>
      <c r="X57" s="650">
        <f>+V57+R57+N57</f>
        <v>822019</v>
      </c>
      <c r="Y57" s="650">
        <f>+W57+S57+O57</f>
        <v>1065011.7626900361</v>
      </c>
      <c r="Z57" s="651">
        <f>+L57+X57</f>
        <v>1830972.6600000001</v>
      </c>
      <c r="AA57" s="651">
        <f>+Y57+M57</f>
        <v>2033437.3838402671</v>
      </c>
      <c r="AB57" s="3144">
        <f>+AB50-AB52-AB54</f>
        <v>371411</v>
      </c>
      <c r="AC57" s="3144">
        <f>+AC50-AC52-AC54</f>
        <v>354365.46539544075</v>
      </c>
      <c r="AD57" s="2638">
        <f>+Z57+AB57</f>
        <v>2202383.66</v>
      </c>
      <c r="AE57" s="2638">
        <f>+AE50-AE52-AE54</f>
        <v>2387802.8492357084</v>
      </c>
      <c r="AF57" s="3144">
        <f>+AF50-AF52-AF54</f>
        <v>359526.99999999994</v>
      </c>
      <c r="AG57" s="3144">
        <f>+AG50-AG52-AG54</f>
        <v>16390.566230741497</v>
      </c>
      <c r="AH57" s="3705">
        <f>+AD57+AF57</f>
        <v>2561910.66</v>
      </c>
      <c r="AI57" s="3705">
        <f>+AI50-AI52-AI54</f>
        <v>2404193.4154664497</v>
      </c>
      <c r="AJ57" s="3144">
        <f>+AJ50-AJ52-AJ54</f>
        <v>371411</v>
      </c>
      <c r="AK57" s="3144">
        <f>+AK50-AK52-AK54</f>
        <v>363339.77339071728</v>
      </c>
      <c r="AL57" s="2748">
        <f>+AJ57+AF57+AB57</f>
        <v>1102349</v>
      </c>
      <c r="AM57" s="2748">
        <f>+AK57+AG57+AC57</f>
        <v>734095.80501689948</v>
      </c>
      <c r="AN57" s="2747">
        <f>+AH57+AJ57</f>
        <v>2933321.66</v>
      </c>
      <c r="AO57" s="2747">
        <f>+AO50-AO52-AO54</f>
        <v>2767533.188857167</v>
      </c>
      <c r="AP57" s="3144">
        <f>+AP50-AP52-AP54</f>
        <v>371411</v>
      </c>
      <c r="AQ57" s="3144">
        <f>+AQ50-AQ52-AQ54</f>
        <v>364932.93</v>
      </c>
      <c r="AR57" s="2814">
        <f>+AN57+AP57</f>
        <v>3304732.66</v>
      </c>
      <c r="AS57" s="2814">
        <f>+AS50-AS52-AS54</f>
        <v>3132466.1188571672</v>
      </c>
      <c r="AT57" s="3144">
        <f>+AT50-AT52-AT54</f>
        <v>334255.49999999994</v>
      </c>
      <c r="AU57" s="3144">
        <f>+AU50-AU52-AU54</f>
        <v>333448.85807089281</v>
      </c>
      <c r="AV57" s="3705">
        <f>+AR57+AT57</f>
        <v>3638988.16</v>
      </c>
      <c r="AW57" s="3705">
        <f>+AW50-AW52-AW54</f>
        <v>3465914.9769280595</v>
      </c>
      <c r="AX57" s="3144">
        <f>+AX50-AX52-AX54</f>
        <v>371411</v>
      </c>
      <c r="AY57" s="3144">
        <f>+AY50-AY52-AY54</f>
        <v>374379.27264168527</v>
      </c>
      <c r="AZ57" s="3068">
        <f>+AX57+AT57+AP57</f>
        <v>1077077.5</v>
      </c>
      <c r="BA57" s="3068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3067">
        <f>+AV57+AX57</f>
        <v>4010399.16</v>
      </c>
      <c r="BE57" s="3067">
        <f>+BE50-BE52-BE54</f>
        <v>3840294.2495697448</v>
      </c>
      <c r="BF57" s="26"/>
      <c r="BG57" s="26"/>
      <c r="BH57" s="26"/>
      <c r="BI57" s="26"/>
      <c r="BJ57" s="1222"/>
    </row>
    <row r="58" spans="2:62" ht="15.75" x14ac:dyDescent="0.25">
      <c r="B58" s="1355" t="s">
        <v>337</v>
      </c>
      <c r="C58" s="3566"/>
      <c r="D58" s="3567"/>
      <c r="E58" s="3567"/>
      <c r="F58" s="3567"/>
      <c r="G58" s="3567"/>
      <c r="H58" s="3567"/>
      <c r="I58" s="263"/>
      <c r="J58" s="3567"/>
      <c r="K58" s="3567"/>
      <c r="L58" s="1140"/>
      <c r="M58" s="1140"/>
      <c r="N58" s="3567"/>
      <c r="O58" s="3567"/>
      <c r="P58" s="1140"/>
      <c r="Q58" s="1140"/>
      <c r="R58" s="3567"/>
      <c r="S58" s="3567"/>
      <c r="T58" s="1140"/>
      <c r="U58" s="1140"/>
      <c r="V58" s="3567"/>
      <c r="W58" s="3567"/>
      <c r="X58" s="1140"/>
      <c r="Y58" s="1140"/>
      <c r="Z58" s="1140"/>
      <c r="AA58" s="1140"/>
      <c r="AB58" s="3567"/>
      <c r="AC58" s="3567"/>
      <c r="AD58" s="1140"/>
      <c r="AE58" s="1140"/>
      <c r="AF58" s="3567"/>
      <c r="AG58" s="3567"/>
      <c r="AH58" s="1140"/>
      <c r="AI58" s="1140"/>
      <c r="AJ58" s="3567"/>
      <c r="AK58" s="3567"/>
      <c r="AL58" s="1140"/>
      <c r="AM58" s="1140"/>
      <c r="AN58" s="1140"/>
      <c r="AO58" s="1140"/>
      <c r="AP58" s="3567"/>
      <c r="AQ58" s="3567"/>
      <c r="AR58" s="1140"/>
      <c r="AS58" s="1140"/>
      <c r="AT58" s="3567"/>
      <c r="AU58" s="3567"/>
      <c r="AV58" s="1140"/>
      <c r="AW58" s="1140"/>
      <c r="AX58" s="3567"/>
      <c r="AY58" s="3567"/>
      <c r="AZ58" s="1140"/>
      <c r="BA58" s="1140"/>
      <c r="BB58" s="1140"/>
      <c r="BC58" s="1140"/>
      <c r="BD58" s="1140"/>
      <c r="BE58" s="1140"/>
      <c r="BF58" s="26"/>
      <c r="BG58" s="26"/>
      <c r="BH58" s="26"/>
      <c r="BI58" s="26"/>
      <c r="BJ58" s="1222"/>
    </row>
    <row r="59" spans="2:62" x14ac:dyDescent="0.25">
      <c r="B59" s="8" t="s">
        <v>80</v>
      </c>
      <c r="C59" s="3142" t="s">
        <v>326</v>
      </c>
      <c r="D59" s="3202">
        <f>D60*D$3*24</f>
        <v>173178.40909090912</v>
      </c>
      <c r="E59" s="3132">
        <v>141838.50000000006</v>
      </c>
      <c r="F59" s="7230">
        <f>F60*F$3*24</f>
        <v>178641.13636363635</v>
      </c>
      <c r="G59" s="7231">
        <v>163016</v>
      </c>
      <c r="H59" s="3133">
        <f t="shared" ref="H59:I73" si="332">+D59+F59</f>
        <v>351819.54545454547</v>
      </c>
      <c r="I59" s="39">
        <f t="shared" si="332"/>
        <v>304854.50000000006</v>
      </c>
      <c r="J59" s="4617">
        <f>J60*J$3*24</f>
        <v>117337.50000000003</v>
      </c>
      <c r="K59" s="4618">
        <v>115809.99999999997</v>
      </c>
      <c r="L59" s="782">
        <f t="shared" ref="L59:L73" si="333">+H59+J59</f>
        <v>469157.04545454553</v>
      </c>
      <c r="M59" s="782">
        <f t="shared" ref="M59:M73" si="334">+I59+K59</f>
        <v>420664.5</v>
      </c>
      <c r="N59" s="4812">
        <f>N60*N$3*24</f>
        <v>58274.999999999985</v>
      </c>
      <c r="O59" s="4813">
        <v>147992.99999999991</v>
      </c>
      <c r="P59" s="783">
        <f t="shared" ref="P59:P73" si="335">+L59+N59</f>
        <v>527432.04545454553</v>
      </c>
      <c r="Q59" s="783">
        <f t="shared" ref="Q59:Q73" si="336">+M59+O59</f>
        <v>568657.49999999988</v>
      </c>
      <c r="R59" s="4962">
        <f>R60*R$3*24</f>
        <v>163696.36363636365</v>
      </c>
      <c r="S59" s="4963">
        <v>151458</v>
      </c>
      <c r="T59" s="4953">
        <f t="shared" ref="T59" si="337">+P59+R59</f>
        <v>691128.40909090918</v>
      </c>
      <c r="U59" s="4953">
        <f t="shared" ref="U59" si="338">+Q59+S59</f>
        <v>720115.49999999988</v>
      </c>
      <c r="V59" s="5178">
        <f>V60*V$3*24</f>
        <v>158209.09090909091</v>
      </c>
      <c r="W59" s="5180">
        <v>151488.00000000006</v>
      </c>
      <c r="X59" s="782">
        <f t="shared" ref="X59:X73" si="339">+V59+R59+N59</f>
        <v>380180.45454545459</v>
      </c>
      <c r="Y59" s="782">
        <f t="shared" ref="Y59:Y74" si="340">+W59+S59+O59</f>
        <v>450939</v>
      </c>
      <c r="Z59" s="465">
        <f t="shared" ref="Z59:Z73" si="341">+L59+X59</f>
        <v>849337.50000000012</v>
      </c>
      <c r="AA59" s="465">
        <f t="shared" ref="AA59:AA73" si="342">+Y59+M59</f>
        <v>871603.5</v>
      </c>
      <c r="AB59" s="5431">
        <f>AB60*AB$3*24</f>
        <v>171707.72727272729</v>
      </c>
      <c r="AC59" s="5432">
        <v>152140</v>
      </c>
      <c r="AD59" s="2399">
        <f t="shared" ref="AD59" si="343">+Z59+AB59</f>
        <v>1021045.2272727274</v>
      </c>
      <c r="AE59" s="2399">
        <f t="shared" ref="AE59" si="344">+AA59+AC59</f>
        <v>1023743.5</v>
      </c>
      <c r="AF59" s="5571">
        <f>AF60*AF$3*24</f>
        <v>166220.45454545459</v>
      </c>
      <c r="AG59" s="5572">
        <v>8237.0000000000073</v>
      </c>
      <c r="AH59" s="5568">
        <f t="shared" ref="AH59" si="345">+AD59+AF59</f>
        <v>1187265.6818181821</v>
      </c>
      <c r="AI59" s="5568">
        <f t="shared" ref="AI59" si="346">+AE59+AG59</f>
        <v>1031980.5</v>
      </c>
      <c r="AJ59" s="5995">
        <f>AJ60*AJ$3*24</f>
        <v>171707.72727272729</v>
      </c>
      <c r="AK59" s="5996">
        <v>154998</v>
      </c>
      <c r="AL59" s="2746">
        <f t="shared" ref="AL59" si="347">+AJ59+AF59+AB59</f>
        <v>509635.90909090918</v>
      </c>
      <c r="AM59" s="2746">
        <f t="shared" ref="AM59:AM74" si="348">+AK59+AG59+AC59</f>
        <v>315375</v>
      </c>
      <c r="AN59" s="2399">
        <f t="shared" ref="AN59" si="349">+AH59+AJ59</f>
        <v>1358973.4090909094</v>
      </c>
      <c r="AO59" s="2399">
        <f t="shared" ref="AO59" si="350">+AI59+AK59</f>
        <v>1186978.5</v>
      </c>
      <c r="AP59" s="6140">
        <f>AP60*AP$3*24</f>
        <v>171707.72727272729</v>
      </c>
      <c r="AQ59" s="6141">
        <v>158814</v>
      </c>
      <c r="AR59" s="2399">
        <f t="shared" ref="AR59" si="351">+AN59+AP59</f>
        <v>1530681.1363636367</v>
      </c>
      <c r="AS59" s="2399">
        <f t="shared" ref="AS59" si="352">+AO59+AQ59</f>
        <v>1345792.5</v>
      </c>
      <c r="AT59" s="6320">
        <f>AT60*AT$3*24</f>
        <v>154444.77272727271</v>
      </c>
      <c r="AU59" s="6321">
        <v>146288</v>
      </c>
      <c r="AV59" s="6315">
        <f t="shared" ref="AV59" si="353">+AR59+AT59</f>
        <v>1685125.9090909094</v>
      </c>
      <c r="AW59" s="6315">
        <f t="shared" ref="AW59" si="354">+AS59+AU59</f>
        <v>1492080.5</v>
      </c>
      <c r="AX59" s="6591">
        <f>AX60*AX$3*24</f>
        <v>171707.72727272729</v>
      </c>
      <c r="AY59" s="6585">
        <v>162862.99999999997</v>
      </c>
      <c r="AZ59" s="3066">
        <f t="shared" ref="AZ59" si="355">+AX59+AT59+AP59</f>
        <v>497860.22727272729</v>
      </c>
      <c r="BA59" s="3066">
        <f t="shared" ref="BA59:BA74" si="356">+AY59+AU59+AQ59</f>
        <v>467965</v>
      </c>
      <c r="BB59" s="3074">
        <f t="shared" ref="BB59:BB73" si="357">+AL59+AZ59</f>
        <v>1007496.1363636365</v>
      </c>
      <c r="BC59" s="3074">
        <f t="shared" ref="BC59:BC73" si="358">+AM59+BA59</f>
        <v>783340</v>
      </c>
      <c r="BD59" s="2399">
        <f t="shared" ref="BD59" si="359">+AV59+AX59</f>
        <v>1856833.6363636367</v>
      </c>
      <c r="BE59" s="2399">
        <f t="shared" ref="BE59" si="360">+AW59+AY59</f>
        <v>1654943.5</v>
      </c>
      <c r="BF59" s="26"/>
      <c r="BG59" s="26"/>
      <c r="BH59" s="26"/>
      <c r="BI59" s="26"/>
      <c r="BJ59" s="1222"/>
    </row>
    <row r="60" spans="2:62" ht="15" hidden="1" customHeight="1" x14ac:dyDescent="0.25">
      <c r="B60" s="8"/>
      <c r="C60" s="3142"/>
      <c r="D60" s="3221">
        <v>240.52556818181819</v>
      </c>
      <c r="E60" s="3132"/>
      <c r="F60" s="3221">
        <v>240.10905425219943</v>
      </c>
      <c r="G60" s="7231"/>
      <c r="H60" s="3133"/>
      <c r="I60" s="39"/>
      <c r="J60" s="3221">
        <v>162.96875000000003</v>
      </c>
      <c r="K60" s="4618"/>
      <c r="L60" s="782"/>
      <c r="M60" s="782"/>
      <c r="N60" s="3221">
        <v>78.326612903225794</v>
      </c>
      <c r="O60" s="4813"/>
      <c r="P60" s="783"/>
      <c r="Q60" s="783"/>
      <c r="R60" s="3221">
        <v>220.02199413489737</v>
      </c>
      <c r="S60" s="4963"/>
      <c r="T60" s="4953"/>
      <c r="U60" s="4953"/>
      <c r="V60" s="3221">
        <v>219.7348484848485</v>
      </c>
      <c r="W60" s="5180"/>
      <c r="X60" s="782"/>
      <c r="Y60" s="2267">
        <f t="shared" si="340"/>
        <v>0</v>
      </c>
      <c r="Z60" s="465"/>
      <c r="AA60" s="465"/>
      <c r="AB60" s="3221">
        <v>230.78995601173023</v>
      </c>
      <c r="AC60" s="5432"/>
      <c r="AD60" s="2399"/>
      <c r="AE60" s="2399"/>
      <c r="AF60" s="3221">
        <v>230.86174242424246</v>
      </c>
      <c r="AG60" s="5572"/>
      <c r="AH60" s="5568"/>
      <c r="AI60" s="5568"/>
      <c r="AJ60" s="3221">
        <v>230.78995601173023</v>
      </c>
      <c r="AK60" s="5996"/>
      <c r="AL60" s="2746"/>
      <c r="AM60" s="2746">
        <f t="shared" si="348"/>
        <v>0</v>
      </c>
      <c r="AN60" s="2399"/>
      <c r="AO60" s="2399"/>
      <c r="AP60" s="3221">
        <v>230.78995601173023</v>
      </c>
      <c r="AQ60" s="6141"/>
      <c r="AR60" s="2399"/>
      <c r="AS60" s="2399"/>
      <c r="AT60" s="3221">
        <v>229.82853084415581</v>
      </c>
      <c r="AU60" s="6321"/>
      <c r="AV60" s="6315"/>
      <c r="AW60" s="6315"/>
      <c r="AX60" s="3221">
        <v>230.78995601173023</v>
      </c>
      <c r="AY60" s="6585"/>
      <c r="AZ60" s="3066"/>
      <c r="BA60" s="3066">
        <f t="shared" si="356"/>
        <v>0</v>
      </c>
      <c r="BB60" s="3074">
        <f t="shared" si="357"/>
        <v>0</v>
      </c>
      <c r="BC60" s="3074">
        <f t="shared" si="358"/>
        <v>0</v>
      </c>
      <c r="BD60" s="2399"/>
      <c r="BE60" s="2399"/>
      <c r="BF60" s="26"/>
      <c r="BG60" s="26"/>
      <c r="BH60" s="26"/>
      <c r="BI60" s="26"/>
      <c r="BJ60" s="1222"/>
    </row>
    <row r="61" spans="2:62" x14ac:dyDescent="0.25">
      <c r="B61" s="8" t="s">
        <v>107</v>
      </c>
      <c r="C61" s="3142" t="s">
        <v>326</v>
      </c>
      <c r="D61" s="3202">
        <f>D62*D$3*24</f>
        <v>62280</v>
      </c>
      <c r="E61" s="3132">
        <v>56777</v>
      </c>
      <c r="F61" s="7230">
        <f>F62*F$3*24</f>
        <v>64356</v>
      </c>
      <c r="G61" s="7231">
        <v>64672</v>
      </c>
      <c r="H61" s="3133">
        <f t="shared" si="332"/>
        <v>126636</v>
      </c>
      <c r="I61" s="39">
        <f t="shared" si="332"/>
        <v>121449</v>
      </c>
      <c r="J61" s="4617">
        <f>J62*J$3*24</f>
        <v>36288</v>
      </c>
      <c r="K61" s="4618">
        <v>49983</v>
      </c>
      <c r="L61" s="782">
        <f t="shared" si="333"/>
        <v>162924</v>
      </c>
      <c r="M61" s="782">
        <f t="shared" si="334"/>
        <v>171432</v>
      </c>
      <c r="N61" s="4812">
        <f>N62*N$3*24</f>
        <v>0</v>
      </c>
      <c r="O61" s="4813">
        <v>66375.666666666672</v>
      </c>
      <c r="P61" s="783">
        <f t="shared" si="335"/>
        <v>162924</v>
      </c>
      <c r="Q61" s="783">
        <f t="shared" si="336"/>
        <v>237807.66666666669</v>
      </c>
      <c r="R61" s="4962">
        <f>R62*R$3*24</f>
        <v>65100</v>
      </c>
      <c r="S61" s="4963">
        <v>64093</v>
      </c>
      <c r="T61" s="4953">
        <f t="shared" ref="T61" si="361">+P61+R61</f>
        <v>228024</v>
      </c>
      <c r="U61" s="4953">
        <f t="shared" ref="U61" si="362">+Q61+S61</f>
        <v>301900.66666666669</v>
      </c>
      <c r="V61" s="5178">
        <f>V62*V$3*24</f>
        <v>63000</v>
      </c>
      <c r="W61" s="5180">
        <v>64433.0072</v>
      </c>
      <c r="X61" s="782">
        <f t="shared" si="339"/>
        <v>128100</v>
      </c>
      <c r="Y61" s="2267">
        <f t="shared" si="340"/>
        <v>194901.67386666668</v>
      </c>
      <c r="Z61" s="465">
        <f t="shared" si="341"/>
        <v>291024</v>
      </c>
      <c r="AA61" s="465">
        <f t="shared" si="342"/>
        <v>366333.67386666668</v>
      </c>
      <c r="AB61" s="5431">
        <f>AB62*AB$3*24</f>
        <v>65100</v>
      </c>
      <c r="AC61" s="5432">
        <v>63922</v>
      </c>
      <c r="AD61" s="2399">
        <f t="shared" ref="AD61" si="363">+Z61+AB61</f>
        <v>356124</v>
      </c>
      <c r="AE61" s="2399">
        <f t="shared" ref="AE61" si="364">+AA61+AC61</f>
        <v>430255.67386666668</v>
      </c>
      <c r="AF61" s="5571">
        <f>AF62*AF$3*24</f>
        <v>63000</v>
      </c>
      <c r="AG61" s="5572">
        <v>2014.9999999999993</v>
      </c>
      <c r="AH61" s="5568">
        <f t="shared" ref="AH61" si="365">+AD61+AF61</f>
        <v>419124</v>
      </c>
      <c r="AI61" s="5568">
        <f t="shared" ref="AI61" si="366">+AE61+AG61</f>
        <v>432270.67386666668</v>
      </c>
      <c r="AJ61" s="5995">
        <f>AJ62*AJ$3*24</f>
        <v>65100</v>
      </c>
      <c r="AK61" s="5996">
        <v>62711</v>
      </c>
      <c r="AL61" s="2746">
        <f t="shared" ref="AL61" si="367">+AJ61+AF61+AB61</f>
        <v>193200</v>
      </c>
      <c r="AM61" s="2746">
        <f t="shared" si="348"/>
        <v>128648</v>
      </c>
      <c r="AN61" s="2399">
        <f t="shared" ref="AN61" si="368">+AH61+AJ61</f>
        <v>484224</v>
      </c>
      <c r="AO61" s="2399">
        <f t="shared" ref="AO61" si="369">+AI61+AK61</f>
        <v>494981.67386666668</v>
      </c>
      <c r="AP61" s="6140">
        <f>AP62*AP$3*24</f>
        <v>65100</v>
      </c>
      <c r="AQ61" s="6141">
        <v>64426</v>
      </c>
      <c r="AR61" s="2399">
        <f t="shared" ref="AR61" si="370">+AN61+AP61</f>
        <v>549324</v>
      </c>
      <c r="AS61" s="2399">
        <f t="shared" ref="AS61" si="371">+AO61+AQ61</f>
        <v>559407.67386666662</v>
      </c>
      <c r="AT61" s="6320">
        <f>AT62*AT$3*24</f>
        <v>58800</v>
      </c>
      <c r="AU61" s="6321">
        <v>58481</v>
      </c>
      <c r="AV61" s="6315">
        <f t="shared" ref="AV61" si="372">+AR61+AT61</f>
        <v>608124</v>
      </c>
      <c r="AW61" s="6315">
        <f t="shared" ref="AW61" si="373">+AS61+AU61</f>
        <v>617888.67386666662</v>
      </c>
      <c r="AX61" s="6591">
        <f>AX62*AX$3*24</f>
        <v>65100</v>
      </c>
      <c r="AY61" s="6585">
        <v>65853.2</v>
      </c>
      <c r="AZ61" s="3066">
        <f t="shared" ref="AZ61" si="374">+AX61+AT61+AP61</f>
        <v>189000</v>
      </c>
      <c r="BA61" s="3066">
        <f t="shared" si="356"/>
        <v>188760.2</v>
      </c>
      <c r="BB61" s="3074">
        <f t="shared" si="357"/>
        <v>382200</v>
      </c>
      <c r="BC61" s="3074">
        <f t="shared" si="358"/>
        <v>317408.2</v>
      </c>
      <c r="BD61" s="2399">
        <f t="shared" ref="BD61" si="375">+AV61+AX61</f>
        <v>673224</v>
      </c>
      <c r="BE61" s="2399">
        <f t="shared" ref="BE61" si="376">+AW61+AY61</f>
        <v>683741.87386666657</v>
      </c>
      <c r="BF61" s="26"/>
      <c r="BG61" s="26"/>
      <c r="BH61" s="26"/>
      <c r="BI61" s="26"/>
      <c r="BJ61" s="1222"/>
    </row>
    <row r="62" spans="2:62" ht="15" hidden="1" customHeight="1" x14ac:dyDescent="0.25">
      <c r="B62" s="8"/>
      <c r="C62" s="3142"/>
      <c r="D62" s="3221">
        <v>86.5</v>
      </c>
      <c r="E62" s="3132"/>
      <c r="F62" s="3221">
        <v>86.5</v>
      </c>
      <c r="G62" s="7231"/>
      <c r="H62" s="3133"/>
      <c r="I62" s="39"/>
      <c r="J62" s="3221">
        <v>50.4</v>
      </c>
      <c r="K62" s="4618"/>
      <c r="L62" s="782"/>
      <c r="M62" s="782"/>
      <c r="N62" s="3221">
        <v>0</v>
      </c>
      <c r="O62" s="4813"/>
      <c r="P62" s="783"/>
      <c r="Q62" s="783"/>
      <c r="R62" s="3221">
        <v>87.5</v>
      </c>
      <c r="S62" s="4963"/>
      <c r="T62" s="4953"/>
      <c r="U62" s="4953"/>
      <c r="V62" s="3221">
        <v>87.5</v>
      </c>
      <c r="W62" s="5180"/>
      <c r="X62" s="782"/>
      <c r="Y62" s="2267">
        <f t="shared" si="340"/>
        <v>0</v>
      </c>
      <c r="Z62" s="465"/>
      <c r="AA62" s="465"/>
      <c r="AB62" s="3221">
        <v>87.5</v>
      </c>
      <c r="AC62" s="5432"/>
      <c r="AD62" s="2399"/>
      <c r="AE62" s="2399"/>
      <c r="AF62" s="3221">
        <v>87.5</v>
      </c>
      <c r="AG62" s="5572"/>
      <c r="AH62" s="5568"/>
      <c r="AI62" s="5568"/>
      <c r="AJ62" s="3221">
        <v>87.5</v>
      </c>
      <c r="AK62" s="5996"/>
      <c r="AL62" s="2746"/>
      <c r="AM62" s="2746">
        <f t="shared" si="348"/>
        <v>0</v>
      </c>
      <c r="AN62" s="2399"/>
      <c r="AO62" s="2399"/>
      <c r="AP62" s="3221">
        <v>87.5</v>
      </c>
      <c r="AQ62" s="6141"/>
      <c r="AR62" s="2399"/>
      <c r="AS62" s="2399"/>
      <c r="AT62" s="3221">
        <v>87.5</v>
      </c>
      <c r="AU62" s="6321"/>
      <c r="AV62" s="6315"/>
      <c r="AW62" s="6315"/>
      <c r="AX62" s="3221">
        <v>87.5</v>
      </c>
      <c r="AY62" s="6585"/>
      <c r="AZ62" s="3066"/>
      <c r="BA62" s="3066">
        <f t="shared" si="356"/>
        <v>0</v>
      </c>
      <c r="BB62" s="3074">
        <f t="shared" si="357"/>
        <v>0</v>
      </c>
      <c r="BC62" s="3074">
        <f t="shared" si="358"/>
        <v>0</v>
      </c>
      <c r="BD62" s="2399"/>
      <c r="BE62" s="2399"/>
      <c r="BF62" s="26"/>
      <c r="BG62" s="26"/>
      <c r="BH62" s="26"/>
      <c r="BI62" s="26"/>
      <c r="BJ62" s="1222"/>
    </row>
    <row r="63" spans="2:62" x14ac:dyDescent="0.25">
      <c r="B63" s="8" t="s">
        <v>90</v>
      </c>
      <c r="C63" s="3142" t="s">
        <v>326</v>
      </c>
      <c r="D63" s="3202">
        <f>D64*D$3*24</f>
        <v>128992.02602301195</v>
      </c>
      <c r="E63" s="3132">
        <v>117320.6</v>
      </c>
      <c r="F63" s="7230">
        <f>F64*F$3*24</f>
        <v>130573.11180132374</v>
      </c>
      <c r="G63" s="7231">
        <v>132037.49999999997</v>
      </c>
      <c r="H63" s="3133">
        <f t="shared" si="332"/>
        <v>259565.13782433569</v>
      </c>
      <c r="I63" s="39">
        <f t="shared" si="332"/>
        <v>249358.09999999998</v>
      </c>
      <c r="J63" s="4617">
        <f>J64*J$3*24</f>
        <v>87341.38431737994</v>
      </c>
      <c r="K63" s="4618">
        <v>99544.999999999942</v>
      </c>
      <c r="L63" s="782">
        <f t="shared" si="333"/>
        <v>346906.52214171563</v>
      </c>
      <c r="M63" s="782">
        <f t="shared" si="334"/>
        <v>348903.09999999992</v>
      </c>
      <c r="N63" s="4812">
        <f>N64*N$3*24</f>
        <v>57954.286770939856</v>
      </c>
      <c r="O63" s="4813">
        <v>128299.99999999999</v>
      </c>
      <c r="P63" s="783">
        <f t="shared" si="335"/>
        <v>404860.80891265546</v>
      </c>
      <c r="Q63" s="783">
        <f t="shared" si="336"/>
        <v>477203.09999999992</v>
      </c>
      <c r="R63" s="4962">
        <f>R64*R$3*24</f>
        <v>114562.34856004975</v>
      </c>
      <c r="S63" s="4963">
        <v>124895.99999999997</v>
      </c>
      <c r="T63" s="4953">
        <f t="shared" ref="T63" si="377">+P63+R63</f>
        <v>519423.15747270524</v>
      </c>
      <c r="U63" s="4953">
        <f t="shared" ref="U63" si="378">+Q63+S63</f>
        <v>602099.09999999986</v>
      </c>
      <c r="V63" s="5178">
        <f>V64*V$3*24</f>
        <v>110626.69909696339</v>
      </c>
      <c r="W63" s="5180">
        <v>126143</v>
      </c>
      <c r="X63" s="782">
        <f t="shared" si="339"/>
        <v>283143.334427953</v>
      </c>
      <c r="Y63" s="2267">
        <f t="shared" si="340"/>
        <v>379338.99999999994</v>
      </c>
      <c r="Z63" s="465">
        <f t="shared" si="341"/>
        <v>630049.85656966863</v>
      </c>
      <c r="AA63" s="465">
        <f t="shared" si="342"/>
        <v>728242.09999999986</v>
      </c>
      <c r="AB63" s="5431">
        <f>AB64*AB$3*24</f>
        <v>121109.16320273542</v>
      </c>
      <c r="AC63" s="5432">
        <v>127550.09090909084</v>
      </c>
      <c r="AD63" s="2399">
        <f t="shared" ref="AD63" si="379">+Z63+AB63</f>
        <v>751159.01977240411</v>
      </c>
      <c r="AE63" s="2399">
        <f t="shared" ref="AE63" si="380">+AA63+AC63</f>
        <v>855792.19090909068</v>
      </c>
      <c r="AF63" s="5571">
        <f>AF64*AF$3*24</f>
        <v>117268.87808383917</v>
      </c>
      <c r="AG63" s="5572">
        <v>5686.0000000000091</v>
      </c>
      <c r="AH63" s="5568">
        <f t="shared" ref="AH63" si="381">+AD63+AF63</f>
        <v>868427.8978562433</v>
      </c>
      <c r="AI63" s="5568">
        <f t="shared" ref="AI63" si="382">+AE63+AG63</f>
        <v>861478.19090909068</v>
      </c>
      <c r="AJ63" s="5995">
        <f>AJ64*AJ$3*24</f>
        <v>121109.16320273542</v>
      </c>
      <c r="AK63" s="5996">
        <v>134485</v>
      </c>
      <c r="AL63" s="2746">
        <f t="shared" ref="AL63" si="383">+AJ63+AF63+AB63</f>
        <v>359487.20448931004</v>
      </c>
      <c r="AM63" s="2746">
        <f t="shared" si="348"/>
        <v>267721.09090909082</v>
      </c>
      <c r="AN63" s="2399">
        <f t="shared" ref="AN63" si="384">+AH63+AJ63</f>
        <v>989537.06105897878</v>
      </c>
      <c r="AO63" s="2399">
        <f t="shared" ref="AO63" si="385">+AI63+AK63</f>
        <v>995963.19090909068</v>
      </c>
      <c r="AP63" s="6140">
        <f>AP64*AP$3*24</f>
        <v>121109.16320273542</v>
      </c>
      <c r="AQ63" s="6141">
        <v>130892</v>
      </c>
      <c r="AR63" s="2399">
        <f t="shared" ref="AR63" si="386">+AN63+AP63</f>
        <v>1110646.2242617141</v>
      </c>
      <c r="AS63" s="2399">
        <f t="shared" ref="AS63" si="387">+AO63+AQ63</f>
        <v>1126855.1909090907</v>
      </c>
      <c r="AT63" s="6320">
        <f>AT64*AT$3*24</f>
        <v>108933.6683555214</v>
      </c>
      <c r="AU63" s="6321">
        <v>118831.99999999991</v>
      </c>
      <c r="AV63" s="6315">
        <f t="shared" ref="AV63" si="388">+AR63+AT63</f>
        <v>1219579.8926172354</v>
      </c>
      <c r="AW63" s="6315">
        <f t="shared" ref="AW63" si="389">+AS63+AU63</f>
        <v>1245687.1909090907</v>
      </c>
      <c r="AX63" s="6591">
        <f>AX64*AX$3*24</f>
        <v>120536.9771375946</v>
      </c>
      <c r="AY63" s="6585">
        <v>133533.99999999994</v>
      </c>
      <c r="AZ63" s="3066">
        <f t="shared" ref="AZ63" si="390">+AX63+AT63+AP63</f>
        <v>350579.80869585142</v>
      </c>
      <c r="BA63" s="3066">
        <f t="shared" si="356"/>
        <v>383257.99999999988</v>
      </c>
      <c r="BB63" s="3074">
        <f t="shared" si="357"/>
        <v>710067.0131851614</v>
      </c>
      <c r="BC63" s="3074">
        <f t="shared" si="358"/>
        <v>650979.09090909071</v>
      </c>
      <c r="BD63" s="2399">
        <f t="shared" ref="BD63" si="391">+AV63+AX63</f>
        <v>1340116.8697548299</v>
      </c>
      <c r="BE63" s="2399">
        <f t="shared" ref="BE63" si="392">+AW63+AY63</f>
        <v>1379221.1909090907</v>
      </c>
      <c r="BF63" s="26"/>
      <c r="BG63" s="26"/>
      <c r="BH63" s="26"/>
      <c r="BI63" s="26"/>
      <c r="BJ63" s="1222"/>
    </row>
    <row r="64" spans="2:62" ht="15" hidden="1" customHeight="1" x14ac:dyDescent="0.25">
      <c r="B64" s="8"/>
      <c r="C64" s="3142"/>
      <c r="D64" s="3221">
        <v>179.15559169862769</v>
      </c>
      <c r="E64" s="3132"/>
      <c r="F64" s="3221">
        <v>175.50149435661791</v>
      </c>
      <c r="G64" s="7231"/>
      <c r="H64" s="3133"/>
      <c r="I64" s="39"/>
      <c r="J64" s="3221">
        <v>121.30747821858324</v>
      </c>
      <c r="K64" s="4618"/>
      <c r="L64" s="782"/>
      <c r="M64" s="782"/>
      <c r="N64" s="3221">
        <v>77.895546735134218</v>
      </c>
      <c r="O64" s="4813"/>
      <c r="P64" s="783"/>
      <c r="Q64" s="783"/>
      <c r="R64" s="3221">
        <v>153.98165129038944</v>
      </c>
      <c r="S64" s="4963"/>
      <c r="T64" s="4953"/>
      <c r="U64" s="4953"/>
      <c r="V64" s="3221">
        <v>153.64819319022695</v>
      </c>
      <c r="W64" s="5180"/>
      <c r="X64" s="782"/>
      <c r="Y64" s="2267">
        <f t="shared" si="340"/>
        <v>0</v>
      </c>
      <c r="Z64" s="465"/>
      <c r="AA64" s="465"/>
      <c r="AB64" s="3221">
        <v>162.78113333700998</v>
      </c>
      <c r="AC64" s="5432"/>
      <c r="AD64" s="2399"/>
      <c r="AE64" s="2399"/>
      <c r="AF64" s="3221">
        <v>162.87344178310997</v>
      </c>
      <c r="AG64" s="5572"/>
      <c r="AH64" s="5568"/>
      <c r="AI64" s="5568"/>
      <c r="AJ64" s="3221">
        <v>162.78113333700998</v>
      </c>
      <c r="AK64" s="5996"/>
      <c r="AL64" s="2746"/>
      <c r="AM64" s="2746">
        <f t="shared" si="348"/>
        <v>0</v>
      </c>
      <c r="AN64" s="2399"/>
      <c r="AO64" s="2399"/>
      <c r="AP64" s="3221">
        <v>162.78113333700998</v>
      </c>
      <c r="AQ64" s="6141"/>
      <c r="AR64" s="2399"/>
      <c r="AS64" s="2399"/>
      <c r="AT64" s="3221">
        <v>162.10367314809733</v>
      </c>
      <c r="AU64" s="6321"/>
      <c r="AV64" s="6315"/>
      <c r="AW64" s="6315"/>
      <c r="AX64" s="3221">
        <v>162.01206604515403</v>
      </c>
      <c r="AY64" s="6585"/>
      <c r="AZ64" s="3066"/>
      <c r="BA64" s="3066">
        <f t="shared" si="356"/>
        <v>0</v>
      </c>
      <c r="BB64" s="3074">
        <f t="shared" si="357"/>
        <v>0</v>
      </c>
      <c r="BC64" s="3074">
        <f t="shared" si="358"/>
        <v>0</v>
      </c>
      <c r="BD64" s="2399"/>
      <c r="BE64" s="2399"/>
      <c r="BF64" s="26"/>
      <c r="BG64" s="26"/>
      <c r="BH64" s="26"/>
      <c r="BI64" s="26"/>
      <c r="BJ64" s="1222"/>
    </row>
    <row r="65" spans="1:62" x14ac:dyDescent="0.25">
      <c r="B65" s="8" t="s">
        <v>59</v>
      </c>
      <c r="C65" s="3142" t="s">
        <v>326</v>
      </c>
      <c r="D65" s="3202">
        <f>D66*D$3*24</f>
        <v>1826.5730854513331</v>
      </c>
      <c r="E65" s="3132">
        <v>2057.7302956490353</v>
      </c>
      <c r="F65" s="7230">
        <f>F66*F$3*24</f>
        <v>2604.295976697917</v>
      </c>
      <c r="G65" s="7231">
        <v>2012.0675056975531</v>
      </c>
      <c r="H65" s="3133">
        <f t="shared" si="332"/>
        <v>4430.8690621492497</v>
      </c>
      <c r="I65" s="39">
        <f t="shared" si="332"/>
        <v>4069.7978013465881</v>
      </c>
      <c r="J65" s="4617">
        <f>J66*J$3*24</f>
        <v>2167.4115468770797</v>
      </c>
      <c r="K65" s="4618">
        <v>2350.0860661619545</v>
      </c>
      <c r="L65" s="782">
        <f t="shared" si="333"/>
        <v>6598.2806090263293</v>
      </c>
      <c r="M65" s="782">
        <f t="shared" si="334"/>
        <v>6419.8838675085426</v>
      </c>
      <c r="N65" s="4812">
        <f>N66*N$3*24</f>
        <v>1774.1199386599201</v>
      </c>
      <c r="O65" s="4813">
        <v>3235.5129366270394</v>
      </c>
      <c r="P65" s="783">
        <f t="shared" si="335"/>
        <v>8372.4005476862494</v>
      </c>
      <c r="Q65" s="783">
        <f t="shared" si="336"/>
        <v>9655.396804135582</v>
      </c>
      <c r="R65" s="4962">
        <f>R66*R$3*24</f>
        <v>3646.2726446716288</v>
      </c>
      <c r="S65" s="4963">
        <v>3394.9616679472642</v>
      </c>
      <c r="T65" s="4953">
        <f t="shared" ref="T65" si="393">+P65+R65</f>
        <v>12018.673192357877</v>
      </c>
      <c r="U65" s="4953">
        <f t="shared" ref="U65" si="394">+Q65+S65</f>
        <v>13050.358472082846</v>
      </c>
      <c r="V65" s="5178">
        <f>V66*V$3*24</f>
        <v>3528.6971127187876</v>
      </c>
      <c r="W65" s="5180">
        <v>2813.2168576040344</v>
      </c>
      <c r="X65" s="782">
        <f t="shared" si="339"/>
        <v>8949.089696050336</v>
      </c>
      <c r="Y65" s="2267">
        <f t="shared" si="340"/>
        <v>9443.691462178338</v>
      </c>
      <c r="Z65" s="465">
        <f t="shared" si="341"/>
        <v>15547.370305076665</v>
      </c>
      <c r="AA65" s="465">
        <f t="shared" si="342"/>
        <v>15863.575329686881</v>
      </c>
      <c r="AB65" s="5431">
        <f>AB66*AB$3*24</f>
        <v>3667.0575857087811</v>
      </c>
      <c r="AC65" s="5432">
        <v>2418.7498395562943</v>
      </c>
      <c r="AD65" s="2399">
        <f t="shared" ref="AD65" si="395">+Z65+AB65</f>
        <v>19214.427890785446</v>
      </c>
      <c r="AE65" s="2399">
        <f t="shared" ref="AE65" si="396">+AA65+AC65</f>
        <v>18282.325169243173</v>
      </c>
      <c r="AF65" s="5571">
        <f>AF66*AF$3*24</f>
        <v>3545.2706474080351</v>
      </c>
      <c r="AG65" s="5572">
        <v>129.26503245907827</v>
      </c>
      <c r="AH65" s="5568">
        <f t="shared" ref="AH65" si="397">+AD65+AF65</f>
        <v>22759.698538193479</v>
      </c>
      <c r="AI65" s="5568">
        <f t="shared" ref="AI65" si="398">+AE65+AG65</f>
        <v>18411.590201702253</v>
      </c>
      <c r="AJ65" s="5995">
        <f>AJ66*AJ$3*24</f>
        <v>3667.0575857087811</v>
      </c>
      <c r="AK65" s="5996">
        <v>2430.7422244970644</v>
      </c>
      <c r="AL65" s="2746">
        <f t="shared" ref="AL65" si="399">+AJ65+AF65+AB65</f>
        <v>10879.385818825596</v>
      </c>
      <c r="AM65" s="2746">
        <f t="shared" si="348"/>
        <v>4978.7570965124369</v>
      </c>
      <c r="AN65" s="2399">
        <f t="shared" ref="AN65" si="400">+AH65+AJ65</f>
        <v>26426.756123902262</v>
      </c>
      <c r="AO65" s="2399">
        <f t="shared" ref="AO65" si="401">+AI65+AK65</f>
        <v>20842.332426199318</v>
      </c>
      <c r="AP65" s="6140">
        <f>AP66*AP$3*24</f>
        <v>3667.0575857087811</v>
      </c>
      <c r="AQ65" s="6141">
        <v>2495.38</v>
      </c>
      <c r="AR65" s="2399">
        <f t="shared" ref="AR65" si="402">+AN65+AP65</f>
        <v>30093.813709611044</v>
      </c>
      <c r="AS65" s="2399">
        <f t="shared" ref="AS65" si="403">+AO65+AQ65</f>
        <v>23337.712426199319</v>
      </c>
      <c r="AT65" s="6320">
        <f>AT66*AT$3*24</f>
        <v>3259.4151964984053</v>
      </c>
      <c r="AU65" s="6321">
        <v>2246.2610101268133</v>
      </c>
      <c r="AV65" s="6315">
        <f t="shared" ref="AV65" si="404">+AR65+AT65</f>
        <v>33353.228906109449</v>
      </c>
      <c r="AW65" s="6315">
        <f t="shared" ref="AW65" si="405">+AS65+AU65</f>
        <v>25583.973436326134</v>
      </c>
      <c r="AX65" s="6591">
        <f>AX66*AX$3*24</f>
        <v>3690.418903499145</v>
      </c>
      <c r="AY65" s="6585">
        <v>2959.9231302318121</v>
      </c>
      <c r="AZ65" s="3066">
        <f t="shared" ref="AZ65" si="406">+AX65+AT65+AP65</f>
        <v>10616.89168570633</v>
      </c>
      <c r="BA65" s="3066">
        <f t="shared" si="356"/>
        <v>7701.564140358626</v>
      </c>
      <c r="BB65" s="3074">
        <f t="shared" si="357"/>
        <v>21496.277504531929</v>
      </c>
      <c r="BC65" s="3074">
        <f t="shared" si="358"/>
        <v>12680.321236871063</v>
      </c>
      <c r="BD65" s="2399">
        <f t="shared" ref="BD65" si="407">+AV65+AX65</f>
        <v>37043.647809608592</v>
      </c>
      <c r="BE65" s="2399">
        <f t="shared" ref="BE65" si="408">+AW65+AY65</f>
        <v>28543.896566557945</v>
      </c>
      <c r="BF65" s="26"/>
      <c r="BG65" s="26"/>
      <c r="BH65" s="26"/>
      <c r="BI65" s="26"/>
      <c r="BJ65" s="1222"/>
    </row>
    <row r="66" spans="1:62" ht="15" hidden="1" customHeight="1" x14ac:dyDescent="0.25">
      <c r="B66" s="8"/>
      <c r="C66" s="3142"/>
      <c r="D66" s="3221">
        <v>2.5369070631268515</v>
      </c>
      <c r="E66" s="3132"/>
      <c r="F66" s="3221">
        <v>3.5003978181423614</v>
      </c>
      <c r="G66" s="7231"/>
      <c r="H66" s="3133"/>
      <c r="I66" s="39"/>
      <c r="J66" s="3221">
        <v>3.0102938151070551</v>
      </c>
      <c r="K66" s="4618"/>
      <c r="L66" s="782"/>
      <c r="M66" s="782"/>
      <c r="N66" s="3221">
        <v>2.3845698100267745</v>
      </c>
      <c r="O66" s="4813"/>
      <c r="P66" s="783"/>
      <c r="Q66" s="783"/>
      <c r="R66" s="3221">
        <v>4.9009040923005767</v>
      </c>
      <c r="S66" s="4963"/>
      <c r="T66" s="4953"/>
      <c r="U66" s="4953"/>
      <c r="V66" s="3221">
        <v>4.9009682121094276</v>
      </c>
      <c r="W66" s="5180"/>
      <c r="X66" s="782"/>
      <c r="Y66" s="2267">
        <f t="shared" si="340"/>
        <v>0</v>
      </c>
      <c r="Z66" s="465"/>
      <c r="AA66" s="465"/>
      <c r="AB66" s="3221">
        <v>4.9288408410064264</v>
      </c>
      <c r="AC66" s="5432"/>
      <c r="AD66" s="2399"/>
      <c r="AE66" s="2399"/>
      <c r="AF66" s="3221">
        <v>4.923987010288938</v>
      </c>
      <c r="AG66" s="5572"/>
      <c r="AH66" s="5568"/>
      <c r="AI66" s="5568"/>
      <c r="AJ66" s="3221">
        <v>4.9288408410064264</v>
      </c>
      <c r="AK66" s="5996"/>
      <c r="AL66" s="2746"/>
      <c r="AM66" s="2746">
        <f t="shared" si="348"/>
        <v>0</v>
      </c>
      <c r="AN66" s="2399"/>
      <c r="AO66" s="2399"/>
      <c r="AP66" s="3221">
        <v>4.9288408410064264</v>
      </c>
      <c r="AQ66" s="6141"/>
      <c r="AR66" s="2399"/>
      <c r="AS66" s="2399"/>
      <c r="AT66" s="3221">
        <v>4.8503202328845321</v>
      </c>
      <c r="AU66" s="6321"/>
      <c r="AV66" s="6315"/>
      <c r="AW66" s="6315"/>
      <c r="AX66" s="3221">
        <v>4.9602404616923987</v>
      </c>
      <c r="AY66" s="6585"/>
      <c r="AZ66" s="3066"/>
      <c r="BA66" s="3066">
        <f t="shared" si="356"/>
        <v>0</v>
      </c>
      <c r="BB66" s="3074">
        <f t="shared" si="357"/>
        <v>0</v>
      </c>
      <c r="BC66" s="3074">
        <f t="shared" si="358"/>
        <v>0</v>
      </c>
      <c r="BD66" s="2399"/>
      <c r="BE66" s="2399"/>
      <c r="BF66" s="26"/>
      <c r="BG66" s="26"/>
      <c r="BH66" s="26"/>
      <c r="BI66" s="26"/>
      <c r="BJ66" s="1222"/>
    </row>
    <row r="67" spans="1:62" x14ac:dyDescent="0.25">
      <c r="B67" s="8" t="s">
        <v>91</v>
      </c>
      <c r="C67" s="3142" t="s">
        <v>326</v>
      </c>
      <c r="D67" s="3202">
        <f>D68*D$3*24</f>
        <v>2775.544887176522</v>
      </c>
      <c r="E67" s="3132">
        <v>2815.4250397146393</v>
      </c>
      <c r="F67" s="7230">
        <f>F68*F$3*24</f>
        <v>3973.2994199361992</v>
      </c>
      <c r="G67" s="7231">
        <v>2888.2165205590927</v>
      </c>
      <c r="H67" s="3133">
        <f t="shared" si="332"/>
        <v>6748.8443071127213</v>
      </c>
      <c r="I67" s="39">
        <f t="shared" si="332"/>
        <v>5703.6415602737325</v>
      </c>
      <c r="J67" s="4617">
        <f>J68*J$3*24</f>
        <v>2946.7812948214805</v>
      </c>
      <c r="K67" s="4618">
        <v>3562.3943566401681</v>
      </c>
      <c r="L67" s="782">
        <f t="shared" si="333"/>
        <v>9695.6256019342018</v>
      </c>
      <c r="M67" s="782">
        <f t="shared" si="334"/>
        <v>9266.035916913901</v>
      </c>
      <c r="N67" s="4812">
        <f>N68*N$3*24</f>
        <v>2261.3134969447688</v>
      </c>
      <c r="O67" s="4813">
        <v>4628.9331127859923</v>
      </c>
      <c r="P67" s="783">
        <f t="shared" si="335"/>
        <v>11956.939098878971</v>
      </c>
      <c r="Q67" s="783">
        <f t="shared" si="336"/>
        <v>13894.969029699892</v>
      </c>
      <c r="R67" s="4962">
        <f>R68*R$3*24</f>
        <v>5447.7136136299914</v>
      </c>
      <c r="S67" s="4963">
        <v>4778.944703688634</v>
      </c>
      <c r="T67" s="4953">
        <f t="shared" ref="T67" si="409">+P67+R67</f>
        <v>17404.652712508963</v>
      </c>
      <c r="U67" s="4953">
        <f t="shared" ref="U67" si="410">+Q67+S67</f>
        <v>18673.913733388526</v>
      </c>
      <c r="V67" s="5178">
        <f>V68*V$3*24</f>
        <v>5281.4107751596548</v>
      </c>
      <c r="W67" s="5180">
        <v>4227.6594659737239</v>
      </c>
      <c r="X67" s="782">
        <f t="shared" si="339"/>
        <v>12990.437885734415</v>
      </c>
      <c r="Y67" s="2267">
        <f t="shared" si="340"/>
        <v>13635.537282448349</v>
      </c>
      <c r="Z67" s="465">
        <f t="shared" si="341"/>
        <v>22686.063487668616</v>
      </c>
      <c r="AA67" s="465">
        <f t="shared" si="342"/>
        <v>22901.57319936225</v>
      </c>
      <c r="AB67" s="5431">
        <f>AB68*AB$3*24</f>
        <v>5478.7673546090318</v>
      </c>
      <c r="AC67" s="5432">
        <v>3580.3775520644003</v>
      </c>
      <c r="AD67" s="2399">
        <f t="shared" ref="AD67" si="411">+Z67+AB67</f>
        <v>28164.830842277646</v>
      </c>
      <c r="AE67" s="2399">
        <f t="shared" ref="AE67" si="412">+AA67+AC67</f>
        <v>26481.950751426652</v>
      </c>
      <c r="AF67" s="5571">
        <f>AF68*AF$3*24</f>
        <v>5306.2164305883316</v>
      </c>
      <c r="AG67" s="5572">
        <v>104.89007638078083</v>
      </c>
      <c r="AH67" s="5568">
        <f t="shared" ref="AH67" si="413">+AD67+AF67</f>
        <v>33471.047272865981</v>
      </c>
      <c r="AI67" s="5568">
        <f t="shared" ref="AI67" si="414">+AE67+AG67</f>
        <v>26586.840827807431</v>
      </c>
      <c r="AJ67" s="5995">
        <f>AJ68*AJ$3*24</f>
        <v>5478.7673546090318</v>
      </c>
      <c r="AK67" s="5996">
        <v>4042.1722246268318</v>
      </c>
      <c r="AL67" s="2746">
        <f t="shared" ref="AL67" si="415">+AJ67+AF67+AB67</f>
        <v>16263.751139806396</v>
      </c>
      <c r="AM67" s="2746">
        <f t="shared" si="348"/>
        <v>7727.4398530720127</v>
      </c>
      <c r="AN67" s="2399">
        <f t="shared" ref="AN67" si="416">+AH67+AJ67</f>
        <v>38949.814627475011</v>
      </c>
      <c r="AO67" s="2399">
        <f t="shared" ref="AO67" si="417">+AI67+AK67</f>
        <v>30629.013052434264</v>
      </c>
      <c r="AP67" s="6140">
        <f>AP68*AP$3*24</f>
        <v>5478.7673546090318</v>
      </c>
      <c r="AQ67" s="6141">
        <v>3452.39</v>
      </c>
      <c r="AR67" s="2399">
        <f t="shared" ref="AR67" si="418">+AN67+AP67</f>
        <v>44428.581982084041</v>
      </c>
      <c r="AS67" s="2399">
        <f t="shared" ref="AS67" si="419">+AO67+AQ67</f>
        <v>34081.403052434267</v>
      </c>
      <c r="AT67" s="6320">
        <f>AT68*AT$3*24</f>
        <v>4958.0306641548059</v>
      </c>
      <c r="AU67" s="6321">
        <v>3273.160669562239</v>
      </c>
      <c r="AV67" s="6315">
        <f t="shared" ref="AV67" si="420">+AR67+AT67</f>
        <v>49386.612646238849</v>
      </c>
      <c r="AW67" s="6315">
        <f t="shared" ref="AW67" si="421">+AS67+AU67</f>
        <v>37354.563721996507</v>
      </c>
      <c r="AX67" s="6591">
        <f>AX68*AX$3*24</f>
        <v>5513.6703312542031</v>
      </c>
      <c r="AY67" s="6585">
        <v>3678.403252831974</v>
      </c>
      <c r="AZ67" s="3066">
        <f t="shared" ref="AZ67" si="422">+AX67+AT67+AP67</f>
        <v>15950.468350018042</v>
      </c>
      <c r="BA67" s="3066">
        <f t="shared" si="356"/>
        <v>10403.953922394212</v>
      </c>
      <c r="BB67" s="3074">
        <f t="shared" si="357"/>
        <v>32214.219489824438</v>
      </c>
      <c r="BC67" s="3074">
        <f t="shared" si="358"/>
        <v>18131.393775466226</v>
      </c>
      <c r="BD67" s="2399">
        <f t="shared" ref="BD67" si="423">+AV67+AX67</f>
        <v>54900.282977493051</v>
      </c>
      <c r="BE67" s="2399">
        <f t="shared" ref="BE67" si="424">+AW67+AY67</f>
        <v>41032.96697482848</v>
      </c>
      <c r="BF67" s="26"/>
      <c r="BG67" s="26"/>
      <c r="BH67" s="26"/>
      <c r="BI67" s="26"/>
      <c r="BJ67" s="1222"/>
    </row>
    <row r="68" spans="1:62" ht="15" hidden="1" customHeight="1" x14ac:dyDescent="0.25">
      <c r="B68" s="8"/>
      <c r="C68" s="3142"/>
      <c r="D68" s="3221">
        <v>3.8549234544118356</v>
      </c>
      <c r="E68" s="3132"/>
      <c r="F68" s="3221">
        <v>5.3404562095916663</v>
      </c>
      <c r="G68" s="7231"/>
      <c r="H68" s="3133"/>
      <c r="I68" s="39"/>
      <c r="J68" s="3221">
        <v>4.0927517983631674</v>
      </c>
      <c r="K68" s="4618"/>
      <c r="L68" s="782"/>
      <c r="M68" s="782"/>
      <c r="N68" s="3221">
        <v>3.0393998614849043</v>
      </c>
      <c r="O68" s="4813"/>
      <c r="P68" s="783"/>
      <c r="Q68" s="783"/>
      <c r="R68" s="3221">
        <v>7.3221957172446128</v>
      </c>
      <c r="S68" s="4963"/>
      <c r="T68" s="4953"/>
      <c r="U68" s="4953"/>
      <c r="V68" s="3221">
        <v>7.3352927432772974</v>
      </c>
      <c r="W68" s="5180"/>
      <c r="X68" s="782"/>
      <c r="Y68" s="2267">
        <f t="shared" si="340"/>
        <v>0</v>
      </c>
      <c r="Z68" s="465"/>
      <c r="AA68" s="465"/>
      <c r="AB68" s="3221">
        <v>7.3639346164099884</v>
      </c>
      <c r="AC68" s="5432"/>
      <c r="AD68" s="2399"/>
      <c r="AE68" s="2399"/>
      <c r="AF68" s="3221">
        <v>7.3697450424837943</v>
      </c>
      <c r="AG68" s="5572"/>
      <c r="AH68" s="5568"/>
      <c r="AI68" s="5568"/>
      <c r="AJ68" s="3221">
        <v>7.3639346164099884</v>
      </c>
      <c r="AK68" s="5996"/>
      <c r="AL68" s="2746"/>
      <c r="AM68" s="2746">
        <f t="shared" si="348"/>
        <v>0</v>
      </c>
      <c r="AN68" s="2399"/>
      <c r="AO68" s="2399"/>
      <c r="AP68" s="3221">
        <v>7.3639346164099884</v>
      </c>
      <c r="AQ68" s="6141"/>
      <c r="AR68" s="2399"/>
      <c r="AS68" s="2399"/>
      <c r="AT68" s="3221">
        <v>7.3780218216589377</v>
      </c>
      <c r="AU68" s="6321"/>
      <c r="AV68" s="6315"/>
      <c r="AW68" s="6315"/>
      <c r="AX68" s="3221">
        <v>7.4108472194276924</v>
      </c>
      <c r="AY68" s="6585"/>
      <c r="AZ68" s="3066"/>
      <c r="BA68" s="3066">
        <f t="shared" si="356"/>
        <v>0</v>
      </c>
      <c r="BB68" s="3074">
        <f t="shared" si="357"/>
        <v>0</v>
      </c>
      <c r="BC68" s="3074">
        <f t="shared" si="358"/>
        <v>0</v>
      </c>
      <c r="BD68" s="2399"/>
      <c r="BE68" s="2399"/>
      <c r="BF68" s="26"/>
      <c r="BG68" s="26"/>
      <c r="BH68" s="26"/>
      <c r="BI68" s="26"/>
      <c r="BJ68" s="1222"/>
    </row>
    <row r="69" spans="1:62" x14ac:dyDescent="0.25">
      <c r="B69" s="8" t="s">
        <v>109</v>
      </c>
      <c r="C69" s="3142" t="s">
        <v>326</v>
      </c>
      <c r="D69" s="3202">
        <f>D70*D$3*24</f>
        <v>4561.2069134511157</v>
      </c>
      <c r="E69" s="3132">
        <v>3950.4394930540789</v>
      </c>
      <c r="F69" s="7230">
        <f>F70*F$3*24</f>
        <v>6584.5564384058143</v>
      </c>
      <c r="G69" s="7231">
        <v>3976.5581888211391</v>
      </c>
      <c r="H69" s="3133">
        <f t="shared" si="332"/>
        <v>11145.763351856931</v>
      </c>
      <c r="I69" s="39">
        <f t="shared" si="332"/>
        <v>7926.9976818752184</v>
      </c>
      <c r="J69" s="4617">
        <f>J70*J$3*24</f>
        <v>2526.4228409215089</v>
      </c>
      <c r="K69" s="4618">
        <v>3813.1036839334261</v>
      </c>
      <c r="L69" s="782">
        <f t="shared" si="333"/>
        <v>13672.186192778439</v>
      </c>
      <c r="M69" s="782">
        <f t="shared" si="334"/>
        <v>11740.101365808645</v>
      </c>
      <c r="N69" s="4812">
        <f>N70*N$3*24</f>
        <v>886.27979345543986</v>
      </c>
      <c r="O69" s="4813">
        <v>6005.3629549070611</v>
      </c>
      <c r="P69" s="783">
        <f t="shared" si="335"/>
        <v>14558.465986233879</v>
      </c>
      <c r="Q69" s="783">
        <f t="shared" si="336"/>
        <v>17745.464320715706</v>
      </c>
      <c r="R69" s="4962">
        <f>R70*R$3*24</f>
        <v>3923.3015452849986</v>
      </c>
      <c r="S69" s="4963">
        <v>5569.3295766543033</v>
      </c>
      <c r="T69" s="4953">
        <f t="shared" ref="T69" si="425">+P69+R69</f>
        <v>18481.767531518879</v>
      </c>
      <c r="U69" s="4953">
        <f t="shared" ref="U69" si="426">+Q69+S69</f>
        <v>23314.793897370007</v>
      </c>
      <c r="V69" s="5178">
        <f>V70*V$3*24</f>
        <v>3846.1021060672037</v>
      </c>
      <c r="W69" s="5180">
        <v>5178.1675471812214</v>
      </c>
      <c r="X69" s="782">
        <f t="shared" si="339"/>
        <v>8655.6834448076424</v>
      </c>
      <c r="Y69" s="2267">
        <f t="shared" si="340"/>
        <v>16752.860078742586</v>
      </c>
      <c r="Z69" s="465">
        <f t="shared" si="341"/>
        <v>22327.869637586082</v>
      </c>
      <c r="AA69" s="465">
        <f t="shared" si="342"/>
        <v>28492.961444551231</v>
      </c>
      <c r="AB69" s="5431">
        <f>AB70*AB$3*24</f>
        <v>4348.2845842194984</v>
      </c>
      <c r="AC69" s="5432">
        <v>4754.2470947292695</v>
      </c>
      <c r="AD69" s="2399">
        <f t="shared" ref="AD69" si="427">+Z69+AB69</f>
        <v>26676.15422180558</v>
      </c>
      <c r="AE69" s="2399">
        <f t="shared" ref="AE69" si="428">+AA69+AC69</f>
        <v>33247.208539280502</v>
      </c>
      <c r="AF69" s="5571">
        <f>AF70*AF$3*24</f>
        <v>4186.1802927098297</v>
      </c>
      <c r="AG69" s="5572">
        <v>218.41112190162039</v>
      </c>
      <c r="AH69" s="5568">
        <f t="shared" ref="AH69" si="429">+AD69+AF69</f>
        <v>30862.334514515409</v>
      </c>
      <c r="AI69" s="5568">
        <f t="shared" ref="AI69" si="430">+AE69+AG69</f>
        <v>33465.619661182121</v>
      </c>
      <c r="AJ69" s="5995">
        <f>AJ70*AJ$3*24</f>
        <v>4348.2845842194984</v>
      </c>
      <c r="AK69" s="5996">
        <v>4672.8589415934248</v>
      </c>
      <c r="AL69" s="2746">
        <f t="shared" ref="AL69" si="431">+AJ69+AF69+AB69</f>
        <v>12882.749461148826</v>
      </c>
      <c r="AM69" s="2746">
        <f t="shared" si="348"/>
        <v>9645.5171582243147</v>
      </c>
      <c r="AN69" s="2399">
        <f t="shared" ref="AN69" si="432">+AH69+AJ69</f>
        <v>35210.619098734911</v>
      </c>
      <c r="AO69" s="2399">
        <f t="shared" ref="AO69" si="433">+AI69+AK69</f>
        <v>38138.478602775547</v>
      </c>
      <c r="AP69" s="6140">
        <f>AP70*AP$3*24</f>
        <v>4348.2845842194984</v>
      </c>
      <c r="AQ69" s="6141">
        <v>4853.17</v>
      </c>
      <c r="AR69" s="2399">
        <f t="shared" ref="AR69" si="434">+AN69+AP69</f>
        <v>39558.903682954406</v>
      </c>
      <c r="AS69" s="2399">
        <f t="shared" ref="AS69" si="435">+AO69+AQ69</f>
        <v>42991.648602775545</v>
      </c>
      <c r="AT69" s="6320">
        <f>AT70*AT$3*24</f>
        <v>3859.6130565526569</v>
      </c>
      <c r="AU69" s="6321">
        <v>4328.4363912038289</v>
      </c>
      <c r="AV69" s="6315">
        <f t="shared" ref="AV69" si="436">+AR69+AT69</f>
        <v>43418.51673950706</v>
      </c>
      <c r="AW69" s="6315">
        <f t="shared" ref="AW69" si="437">+AS69+AU69</f>
        <v>47320.084993979377</v>
      </c>
      <c r="AX69" s="6591">
        <f>AX70*AX$3*24</f>
        <v>4862.2063549247914</v>
      </c>
      <c r="AY69" s="6585">
        <v>5490.7462586215997</v>
      </c>
      <c r="AZ69" s="3066">
        <f t="shared" ref="AZ69" si="438">+AX69+AT69+AP69</f>
        <v>13070.103995696947</v>
      </c>
      <c r="BA69" s="3066">
        <f t="shared" si="356"/>
        <v>14672.352649825429</v>
      </c>
      <c r="BB69" s="3074">
        <f t="shared" si="357"/>
        <v>25952.853456845773</v>
      </c>
      <c r="BC69" s="3074">
        <f t="shared" si="358"/>
        <v>24317.869808049742</v>
      </c>
      <c r="BD69" s="2399">
        <f t="shared" ref="BD69" si="439">+AV69+AX69</f>
        <v>48280.723094431851</v>
      </c>
      <c r="BE69" s="2399">
        <f t="shared" ref="BE69" si="440">+AW69+AY69</f>
        <v>52810.831252600976</v>
      </c>
      <c r="BF69" s="26"/>
      <c r="BG69" s="26"/>
      <c r="BH69" s="26"/>
      <c r="BI69" s="26"/>
      <c r="BJ69" s="1222"/>
    </row>
    <row r="70" spans="1:62" ht="15" hidden="1" customHeight="1" x14ac:dyDescent="0.25">
      <c r="B70" s="8"/>
      <c r="C70" s="3142"/>
      <c r="D70" s="3221">
        <v>6.3350096020154378</v>
      </c>
      <c r="E70" s="3132"/>
      <c r="F70" s="3221">
        <v>8.8502102666744822</v>
      </c>
      <c r="G70" s="7231"/>
      <c r="H70" s="3133"/>
      <c r="I70" s="39"/>
      <c r="J70" s="3221">
        <v>3.5089206123909849</v>
      </c>
      <c r="K70" s="4618"/>
      <c r="L70" s="782"/>
      <c r="M70" s="782"/>
      <c r="N70" s="3221">
        <v>1.1912362815261288</v>
      </c>
      <c r="O70" s="4813"/>
      <c r="P70" s="783"/>
      <c r="Q70" s="783"/>
      <c r="R70" s="3221">
        <v>5.2732547651680095</v>
      </c>
      <c r="S70" s="4963"/>
      <c r="T70" s="4953"/>
      <c r="U70" s="4953"/>
      <c r="V70" s="3221">
        <v>5.3418084806488944</v>
      </c>
      <c r="W70" s="5180"/>
      <c r="X70" s="782"/>
      <c r="Y70" s="2267">
        <f t="shared" si="340"/>
        <v>0</v>
      </c>
      <c r="Z70" s="465"/>
      <c r="AA70" s="465"/>
      <c r="AB70" s="3221">
        <v>5.8444685271767458</v>
      </c>
      <c r="AC70" s="5432"/>
      <c r="AD70" s="2399"/>
      <c r="AE70" s="2399"/>
      <c r="AF70" s="3221">
        <v>5.8141392954303193</v>
      </c>
      <c r="AG70" s="5572"/>
      <c r="AH70" s="5568"/>
      <c r="AI70" s="5568"/>
      <c r="AJ70" s="3221">
        <v>5.8444685271767458</v>
      </c>
      <c r="AK70" s="5996"/>
      <c r="AL70" s="2746"/>
      <c r="AM70" s="2746">
        <f t="shared" si="348"/>
        <v>0</v>
      </c>
      <c r="AN70" s="2399"/>
      <c r="AO70" s="2399"/>
      <c r="AP70" s="3221">
        <v>5.8444685271767458</v>
      </c>
      <c r="AQ70" s="6141"/>
      <c r="AR70" s="2399"/>
      <c r="AS70" s="2399"/>
      <c r="AT70" s="3221">
        <v>5.7434718103462155</v>
      </c>
      <c r="AU70" s="6321"/>
      <c r="AV70" s="6315"/>
      <c r="AW70" s="6315"/>
      <c r="AX70" s="3221">
        <v>6.535223595329021</v>
      </c>
      <c r="AY70" s="6585"/>
      <c r="AZ70" s="3066"/>
      <c r="BA70" s="3066">
        <f t="shared" si="356"/>
        <v>0</v>
      </c>
      <c r="BB70" s="3074">
        <f t="shared" si="357"/>
        <v>0</v>
      </c>
      <c r="BC70" s="3074">
        <f t="shared" si="358"/>
        <v>0</v>
      </c>
      <c r="BD70" s="2399"/>
      <c r="BE70" s="2399"/>
      <c r="BF70" s="26"/>
      <c r="BG70" s="26"/>
      <c r="BH70" s="26"/>
      <c r="BI70" s="26"/>
      <c r="BJ70" s="1222"/>
    </row>
    <row r="71" spans="1:62" x14ac:dyDescent="0.25">
      <c r="B71" s="8" t="s">
        <v>82</v>
      </c>
      <c r="C71" s="3142" t="s">
        <v>326</v>
      </c>
      <c r="D71" s="3202">
        <f>D72*D$3*24</f>
        <v>0</v>
      </c>
      <c r="E71" s="3132">
        <v>0</v>
      </c>
      <c r="F71" s="7230">
        <f>F72*F$3*24</f>
        <v>0</v>
      </c>
      <c r="G71" s="7231">
        <v>0</v>
      </c>
      <c r="H71" s="3133">
        <f t="shared" si="332"/>
        <v>0</v>
      </c>
      <c r="I71" s="39">
        <f t="shared" si="332"/>
        <v>0</v>
      </c>
      <c r="J71" s="4617">
        <f>J72*J$3*24</f>
        <v>0</v>
      </c>
      <c r="K71" s="4618">
        <v>0</v>
      </c>
      <c r="L71" s="782">
        <f t="shared" si="333"/>
        <v>0</v>
      </c>
      <c r="M71" s="782">
        <f t="shared" si="334"/>
        <v>0</v>
      </c>
      <c r="N71" s="4812">
        <f>N72*N$3*24</f>
        <v>0</v>
      </c>
      <c r="O71" s="4813">
        <v>0</v>
      </c>
      <c r="P71" s="783">
        <f t="shared" si="335"/>
        <v>0</v>
      </c>
      <c r="Q71" s="783">
        <f t="shared" si="336"/>
        <v>0</v>
      </c>
      <c r="R71" s="4962">
        <f>R72*R$3*24</f>
        <v>0</v>
      </c>
      <c r="S71" s="4963">
        <v>0</v>
      </c>
      <c r="T71" s="4953">
        <f t="shared" ref="T71" si="441">+P71+R71</f>
        <v>0</v>
      </c>
      <c r="U71" s="4953">
        <f t="shared" ref="U71" si="442">+Q71+S71</f>
        <v>0</v>
      </c>
      <c r="V71" s="5178">
        <f>V72*V$3*24</f>
        <v>0</v>
      </c>
      <c r="W71" s="5180">
        <v>0</v>
      </c>
      <c r="X71" s="782">
        <f t="shared" si="339"/>
        <v>0</v>
      </c>
      <c r="Y71" s="2267">
        <f t="shared" si="340"/>
        <v>0</v>
      </c>
      <c r="Z71" s="465">
        <f t="shared" si="341"/>
        <v>0</v>
      </c>
      <c r="AA71" s="465">
        <f t="shared" si="342"/>
        <v>0</v>
      </c>
      <c r="AB71" s="5431">
        <f>AB72*AB$3*24</f>
        <v>0</v>
      </c>
      <c r="AC71" s="5432">
        <v>0</v>
      </c>
      <c r="AD71" s="2399">
        <f t="shared" ref="AD71" si="443">+Z71+AB71</f>
        <v>0</v>
      </c>
      <c r="AE71" s="2399">
        <f t="shared" ref="AE71" si="444">+AA71+AC71</f>
        <v>0</v>
      </c>
      <c r="AF71" s="5571">
        <f>AF72*AF$3*24</f>
        <v>0</v>
      </c>
      <c r="AG71" s="5572">
        <v>0</v>
      </c>
      <c r="AH71" s="5568">
        <f t="shared" ref="AH71" si="445">+AD71+AF71</f>
        <v>0</v>
      </c>
      <c r="AI71" s="5568">
        <f t="shared" ref="AI71" si="446">+AE71+AG71</f>
        <v>0</v>
      </c>
      <c r="AJ71" s="5995">
        <f>AJ72*AJ$3*24</f>
        <v>0</v>
      </c>
      <c r="AK71" s="5996">
        <v>0</v>
      </c>
      <c r="AL71" s="2746">
        <f t="shared" ref="AL71" si="447">+AJ71+AF71+AB71</f>
        <v>0</v>
      </c>
      <c r="AM71" s="2746">
        <f t="shared" si="348"/>
        <v>0</v>
      </c>
      <c r="AN71" s="2399">
        <f t="shared" ref="AN71" si="448">+AH71+AJ71</f>
        <v>0</v>
      </c>
      <c r="AO71" s="2399">
        <f t="shared" ref="AO71" si="449">+AI71+AK71</f>
        <v>0</v>
      </c>
      <c r="AP71" s="6140">
        <f>AP72*AP$3*24</f>
        <v>0</v>
      </c>
      <c r="AQ71" s="6141">
        <v>0</v>
      </c>
      <c r="AR71" s="2399">
        <f t="shared" ref="AR71" si="450">+AN71+AP71</f>
        <v>0</v>
      </c>
      <c r="AS71" s="2399">
        <f t="shared" ref="AS71" si="451">+AO71+AQ71</f>
        <v>0</v>
      </c>
      <c r="AT71" s="6320">
        <f>AT72*AT$3*24</f>
        <v>0</v>
      </c>
      <c r="AU71" s="6321">
        <v>0</v>
      </c>
      <c r="AV71" s="6315">
        <f t="shared" ref="AV71" si="452">+AR71+AT71</f>
        <v>0</v>
      </c>
      <c r="AW71" s="6315">
        <f t="shared" ref="AW71" si="453">+AS71+AU71</f>
        <v>0</v>
      </c>
      <c r="AX71" s="6591">
        <f>AX72*AX$3*24</f>
        <v>0</v>
      </c>
      <c r="AY71" s="6585">
        <v>0</v>
      </c>
      <c r="AZ71" s="3066">
        <f t="shared" ref="AZ71" si="454">+AX71+AT71+AP71</f>
        <v>0</v>
      </c>
      <c r="BA71" s="3066">
        <f t="shared" si="356"/>
        <v>0</v>
      </c>
      <c r="BB71" s="3074">
        <f t="shared" si="357"/>
        <v>0</v>
      </c>
      <c r="BC71" s="3074">
        <f t="shared" si="358"/>
        <v>0</v>
      </c>
      <c r="BD71" s="2399">
        <f t="shared" ref="BD71" si="455">+AV71+AX71</f>
        <v>0</v>
      </c>
      <c r="BE71" s="2399">
        <f t="shared" ref="BE71" si="456">+AW71+AY71</f>
        <v>0</v>
      </c>
      <c r="BF71" s="26"/>
      <c r="BG71" s="26"/>
      <c r="BH71" s="26"/>
      <c r="BI71" s="26"/>
      <c r="BJ71" s="1222"/>
    </row>
    <row r="72" spans="1:62" ht="15" hidden="1" customHeight="1" x14ac:dyDescent="0.25">
      <c r="B72" s="8"/>
      <c r="C72" s="3142"/>
      <c r="D72" s="3202">
        <v>0</v>
      </c>
      <c r="E72" s="3132"/>
      <c r="F72" s="7230">
        <v>0</v>
      </c>
      <c r="G72" s="7231">
        <v>0</v>
      </c>
      <c r="H72" s="3133"/>
      <c r="I72" s="39"/>
      <c r="J72" s="4617">
        <v>0</v>
      </c>
      <c r="K72" s="4618"/>
      <c r="L72" s="782"/>
      <c r="M72" s="782"/>
      <c r="N72" s="4812">
        <v>0</v>
      </c>
      <c r="O72" s="4813"/>
      <c r="P72" s="783"/>
      <c r="Q72" s="783"/>
      <c r="R72" s="4962">
        <v>0</v>
      </c>
      <c r="S72" s="4963"/>
      <c r="T72" s="4953"/>
      <c r="U72" s="4953"/>
      <c r="V72" s="5178">
        <v>0</v>
      </c>
      <c r="W72" s="5180"/>
      <c r="X72" s="782"/>
      <c r="Y72" s="2267">
        <f t="shared" si="340"/>
        <v>0</v>
      </c>
      <c r="Z72" s="465"/>
      <c r="AA72" s="465"/>
      <c r="AB72" s="5431">
        <v>0</v>
      </c>
      <c r="AC72" s="5432"/>
      <c r="AD72" s="2399"/>
      <c r="AE72" s="2399"/>
      <c r="AF72" s="5571">
        <v>0</v>
      </c>
      <c r="AG72" s="5572"/>
      <c r="AH72" s="5568"/>
      <c r="AI72" s="5568"/>
      <c r="AJ72" s="5995">
        <v>0</v>
      </c>
      <c r="AK72" s="5996"/>
      <c r="AL72" s="2746"/>
      <c r="AM72" s="2746">
        <f t="shared" si="348"/>
        <v>0</v>
      </c>
      <c r="AN72" s="2399"/>
      <c r="AO72" s="2399"/>
      <c r="AP72" s="6140">
        <v>0</v>
      </c>
      <c r="AQ72" s="6141"/>
      <c r="AR72" s="2399"/>
      <c r="AS72" s="2399"/>
      <c r="AT72" s="6320">
        <v>0</v>
      </c>
      <c r="AU72" s="6321"/>
      <c r="AV72" s="6315"/>
      <c r="AW72" s="6315"/>
      <c r="AX72" s="6591">
        <v>0</v>
      </c>
      <c r="AY72" s="6585"/>
      <c r="AZ72" s="3066"/>
      <c r="BA72" s="3066">
        <f t="shared" si="356"/>
        <v>0</v>
      </c>
      <c r="BB72" s="3074">
        <f t="shared" si="357"/>
        <v>0</v>
      </c>
      <c r="BC72" s="3074">
        <f t="shared" si="358"/>
        <v>0</v>
      </c>
      <c r="BD72" s="2399"/>
      <c r="BE72" s="2399"/>
      <c r="BF72" s="26"/>
      <c r="BG72" s="26"/>
      <c r="BH72" s="26"/>
      <c r="BI72" s="26"/>
      <c r="BJ72" s="1222"/>
    </row>
    <row r="73" spans="1:62" x14ac:dyDescent="0.25">
      <c r="B73" s="8" t="s">
        <v>466</v>
      </c>
      <c r="C73" s="3142" t="s">
        <v>326</v>
      </c>
      <c r="D73" s="3202">
        <f>D74*D$3*24</f>
        <v>0</v>
      </c>
      <c r="E73" s="3132">
        <v>0</v>
      </c>
      <c r="F73" s="7230">
        <f>F74*F$3*24</f>
        <v>0</v>
      </c>
      <c r="G73" s="7231">
        <v>0</v>
      </c>
      <c r="H73" s="3133">
        <f t="shared" si="332"/>
        <v>0</v>
      </c>
      <c r="I73" s="39">
        <f t="shared" si="332"/>
        <v>0</v>
      </c>
      <c r="J73" s="4617">
        <f>J74*J$3*24</f>
        <v>0</v>
      </c>
      <c r="K73" s="4618">
        <v>0</v>
      </c>
      <c r="L73" s="782">
        <f t="shared" si="333"/>
        <v>0</v>
      </c>
      <c r="M73" s="782">
        <f t="shared" si="334"/>
        <v>0</v>
      </c>
      <c r="N73" s="4812">
        <f>N74*N$3*24</f>
        <v>0</v>
      </c>
      <c r="O73" s="4813">
        <v>0</v>
      </c>
      <c r="P73" s="783">
        <f t="shared" si="335"/>
        <v>0</v>
      </c>
      <c r="Q73" s="783">
        <f t="shared" si="336"/>
        <v>0</v>
      </c>
      <c r="R73" s="4962">
        <f>R74*R$3*24</f>
        <v>0</v>
      </c>
      <c r="S73" s="4963">
        <v>0</v>
      </c>
      <c r="T73" s="4953">
        <f t="shared" ref="T73" si="457">+P73+R73</f>
        <v>0</v>
      </c>
      <c r="U73" s="4953">
        <f t="shared" ref="U73" si="458">+Q73+S73</f>
        <v>0</v>
      </c>
      <c r="V73" s="5178">
        <f>V74*V$3*24</f>
        <v>0</v>
      </c>
      <c r="W73" s="5180">
        <v>0</v>
      </c>
      <c r="X73" s="782">
        <f t="shared" si="339"/>
        <v>0</v>
      </c>
      <c r="Y73" s="2267">
        <f t="shared" si="340"/>
        <v>0</v>
      </c>
      <c r="Z73" s="465">
        <f t="shared" si="341"/>
        <v>0</v>
      </c>
      <c r="AA73" s="465">
        <f t="shared" si="342"/>
        <v>0</v>
      </c>
      <c r="AB73" s="5431">
        <f>AB74*AB$3*24</f>
        <v>0</v>
      </c>
      <c r="AC73" s="5432">
        <v>0</v>
      </c>
      <c r="AD73" s="2399">
        <f t="shared" ref="AD73" si="459">+Z73+AB73</f>
        <v>0</v>
      </c>
      <c r="AE73" s="2399">
        <f t="shared" ref="AE73" si="460">+AA73+AC73</f>
        <v>0</v>
      </c>
      <c r="AF73" s="5571">
        <f>AF74*AF$3*24</f>
        <v>0</v>
      </c>
      <c r="AG73" s="5572">
        <v>0</v>
      </c>
      <c r="AH73" s="5568">
        <f t="shared" ref="AH73" si="461">+AD73+AF73</f>
        <v>0</v>
      </c>
      <c r="AI73" s="5568">
        <f t="shared" ref="AI73" si="462">+AE73+AG73</f>
        <v>0</v>
      </c>
      <c r="AJ73" s="5995">
        <f>AJ74*AJ$3*24</f>
        <v>0</v>
      </c>
      <c r="AK73" s="5996">
        <v>0</v>
      </c>
      <c r="AL73" s="2746">
        <f t="shared" ref="AL73" si="463">+AJ73+AF73+AB73</f>
        <v>0</v>
      </c>
      <c r="AM73" s="2746">
        <f t="shared" si="348"/>
        <v>0</v>
      </c>
      <c r="AN73" s="2399">
        <f t="shared" ref="AN73" si="464">+AH73+AJ73</f>
        <v>0</v>
      </c>
      <c r="AO73" s="2399">
        <f t="shared" ref="AO73" si="465">+AI73+AK73</f>
        <v>0</v>
      </c>
      <c r="AP73" s="6140">
        <f>AP74*AP$3*24</f>
        <v>0</v>
      </c>
      <c r="AQ73" s="6141">
        <v>0</v>
      </c>
      <c r="AR73" s="2399">
        <f t="shared" ref="AR73" si="466">+AN73+AP73</f>
        <v>0</v>
      </c>
      <c r="AS73" s="2399">
        <f t="shared" ref="AS73" si="467">+AO73+AQ73</f>
        <v>0</v>
      </c>
      <c r="AT73" s="6320">
        <f>AT74*AT$3*24</f>
        <v>0</v>
      </c>
      <c r="AU73" s="6321">
        <v>0</v>
      </c>
      <c r="AV73" s="6315">
        <f t="shared" ref="AV73" si="468">+AR73+AT73</f>
        <v>0</v>
      </c>
      <c r="AW73" s="6315">
        <f t="shared" ref="AW73" si="469">+AS73+AU73</f>
        <v>0</v>
      </c>
      <c r="AX73" s="6591">
        <f>AX74*AX$3*24</f>
        <v>0</v>
      </c>
      <c r="AY73" s="6585">
        <v>0</v>
      </c>
      <c r="AZ73" s="3066">
        <f t="shared" ref="AZ73" si="470">+AX73+AT73+AP73</f>
        <v>0</v>
      </c>
      <c r="BA73" s="3066">
        <f t="shared" si="356"/>
        <v>0</v>
      </c>
      <c r="BB73" s="3074">
        <f t="shared" si="357"/>
        <v>0</v>
      </c>
      <c r="BC73" s="3074">
        <f t="shared" si="358"/>
        <v>0</v>
      </c>
      <c r="BD73" s="2399">
        <f t="shared" ref="BD73" si="471">+AV73+AX73</f>
        <v>0</v>
      </c>
      <c r="BE73" s="2399">
        <f t="shared" ref="BE73" si="472">+AW73+AY73</f>
        <v>0</v>
      </c>
      <c r="BF73" s="26"/>
      <c r="BG73" s="26"/>
      <c r="BH73" s="26"/>
      <c r="BI73" s="26"/>
      <c r="BJ73" s="1222"/>
    </row>
    <row r="74" spans="1:62" ht="15" hidden="1" customHeight="1" x14ac:dyDescent="0.25">
      <c r="B74" s="8"/>
      <c r="C74" s="3142"/>
      <c r="D74" s="3202">
        <v>0</v>
      </c>
      <c r="E74" s="3132"/>
      <c r="F74" s="7230">
        <v>0</v>
      </c>
      <c r="G74" s="7231"/>
      <c r="H74" s="3133"/>
      <c r="I74" s="39"/>
      <c r="J74" s="4617"/>
      <c r="K74" s="4618"/>
      <c r="L74" s="782"/>
      <c r="M74" s="782"/>
      <c r="N74" s="4812"/>
      <c r="O74" s="4813"/>
      <c r="P74" s="783"/>
      <c r="Q74" s="783"/>
      <c r="R74" s="4962"/>
      <c r="S74" s="4963"/>
      <c r="T74" s="4953"/>
      <c r="U74" s="4953"/>
      <c r="V74" s="5178"/>
      <c r="W74" s="5180"/>
      <c r="X74" s="782"/>
      <c r="Y74" s="2267">
        <f t="shared" si="340"/>
        <v>0</v>
      </c>
      <c r="Z74" s="465"/>
      <c r="AA74" s="465"/>
      <c r="AB74" s="5431">
        <v>0</v>
      </c>
      <c r="AC74" s="5432"/>
      <c r="AD74" s="2399"/>
      <c r="AE74" s="2399"/>
      <c r="AF74" s="5571">
        <v>0</v>
      </c>
      <c r="AG74" s="5572"/>
      <c r="AH74" s="5568"/>
      <c r="AI74" s="5568"/>
      <c r="AJ74" s="5995">
        <v>0</v>
      </c>
      <c r="AK74" s="5996"/>
      <c r="AL74" s="2746"/>
      <c r="AM74" s="2746">
        <f t="shared" si="348"/>
        <v>0</v>
      </c>
      <c r="AN74" s="2399"/>
      <c r="AO74" s="2399"/>
      <c r="AP74" s="6140">
        <v>0</v>
      </c>
      <c r="AQ74" s="6141"/>
      <c r="AR74" s="2399"/>
      <c r="AS74" s="2399"/>
      <c r="AT74" s="6320">
        <v>0</v>
      </c>
      <c r="AU74" s="6321"/>
      <c r="AV74" s="6315"/>
      <c r="AW74" s="6315"/>
      <c r="AX74" s="6591">
        <v>0</v>
      </c>
      <c r="AY74" s="6585"/>
      <c r="AZ74" s="3066"/>
      <c r="BA74" s="3066">
        <f t="shared" si="356"/>
        <v>0</v>
      </c>
      <c r="BB74" s="3064"/>
      <c r="BC74" s="3064"/>
      <c r="BD74" s="2399"/>
      <c r="BE74" s="2399"/>
      <c r="BF74" s="26"/>
      <c r="BG74" s="26"/>
      <c r="BH74" s="26"/>
      <c r="BI74" s="26"/>
      <c r="BJ74" s="1222"/>
    </row>
    <row r="75" spans="1:62" ht="16.5" thickBot="1" x14ac:dyDescent="0.3">
      <c r="B75" s="2450" t="s">
        <v>61</v>
      </c>
      <c r="C75" s="3432" t="s">
        <v>326</v>
      </c>
      <c r="D75" s="2452">
        <f>D59+D61+D63+D65+D67+D69+D71+D73</f>
        <v>373613.76000000007</v>
      </c>
      <c r="E75" s="2452">
        <f t="shared" ref="E75:I75" si="473">E59+E61+E63+E65+E67+E69+E71+E73</f>
        <v>324759.69482841785</v>
      </c>
      <c r="F75" s="2452">
        <f>F59+F61+F63+F65+F67+F69+F71+F73</f>
        <v>386732.4</v>
      </c>
      <c r="G75" s="2452">
        <f t="shared" ref="G75" si="474">G59+G61+G63+G65+G67+G69+G71+G73</f>
        <v>368602.34221507778</v>
      </c>
      <c r="H75" s="2437">
        <f t="shared" si="473"/>
        <v>760346.16</v>
      </c>
      <c r="I75" s="2031">
        <f t="shared" si="473"/>
        <v>693362.03704349569</v>
      </c>
      <c r="J75" s="2452">
        <f>J59+J61+J63+J65+J67+J69+J71+J73</f>
        <v>248607.50000000003</v>
      </c>
      <c r="K75" s="2452">
        <f t="shared" ref="K75" si="475">K59+K61+K63+K65+K67+K69+K71+K73</f>
        <v>275063.58410673548</v>
      </c>
      <c r="L75" s="802">
        <f t="shared" ref="L75:Q75" si="476">SUM(L59:L73)</f>
        <v>1008953.66</v>
      </c>
      <c r="M75" s="802">
        <f t="shared" si="476"/>
        <v>968425.62115023087</v>
      </c>
      <c r="N75" s="2452">
        <f>N59+N61+N63+N65+N67+N69+N71+N73</f>
        <v>121150.99999999997</v>
      </c>
      <c r="O75" s="2452">
        <f t="shared" ref="O75" si="477">O59+O61+O63+O65+O67+O69+O71+O73</f>
        <v>356538.47567098663</v>
      </c>
      <c r="P75" s="256">
        <f t="shared" si="476"/>
        <v>1130104.6600000001</v>
      </c>
      <c r="Q75" s="256">
        <f t="shared" si="476"/>
        <v>1324964.0968212176</v>
      </c>
      <c r="R75" s="2452">
        <f>R59+R61+R63+R65+R67+R69+R71+R73</f>
        <v>356376</v>
      </c>
      <c r="S75" s="2452">
        <f t="shared" ref="S75" si="478">S59+S61+S63+S65+S67+S69+S71+S73</f>
        <v>354190.23594829015</v>
      </c>
      <c r="T75" s="256">
        <f t="shared" ref="T75:U75" si="479">SUM(T59:T73)</f>
        <v>1486480.6600000001</v>
      </c>
      <c r="U75" s="256">
        <f t="shared" si="479"/>
        <v>1679154.3327695078</v>
      </c>
      <c r="V75" s="2452">
        <f>V59+V61+V63+V65+V67+V69+V71+V73</f>
        <v>344491.99999999994</v>
      </c>
      <c r="W75" s="2452">
        <f t="shared" ref="W75" si="480">W59+W61+W63+W65+W67+W69+W71+W73</f>
        <v>354283.05107075907</v>
      </c>
      <c r="X75" s="802">
        <f t="shared" ref="X75:AA75" si="481">SUM(X59:X73)</f>
        <v>822019</v>
      </c>
      <c r="Y75" s="802">
        <f t="shared" si="481"/>
        <v>1065011.7626900359</v>
      </c>
      <c r="Z75" s="522">
        <f t="shared" si="481"/>
        <v>1830972.6600000001</v>
      </c>
      <c r="AA75" s="522">
        <f t="shared" si="481"/>
        <v>2033437.3838402668</v>
      </c>
      <c r="AB75" s="2452">
        <f>AB59+AB61+AB63+AB65+AB67+AB69+AB71+AB73</f>
        <v>371411.00000000006</v>
      </c>
      <c r="AC75" s="2452">
        <f t="shared" ref="AC75" si="482">AC59+AC61+AC63+AC65+AC67+AC69+AC71+AC73</f>
        <v>354365.46539544081</v>
      </c>
      <c r="AD75" s="256">
        <f t="shared" ref="AD75:AE75" si="483">SUM(AD59:AD73)</f>
        <v>2202383.66</v>
      </c>
      <c r="AE75" s="256">
        <f t="shared" si="483"/>
        <v>2387802.8492357079</v>
      </c>
      <c r="AF75" s="2452">
        <f>AF59+AF61+AF63+AF65+AF67+AF69+AF71+AF73</f>
        <v>359527</v>
      </c>
      <c r="AG75" s="2452">
        <f t="shared" ref="AG75" si="484">AG59+AG61+AG63+AG65+AG67+AG69+AG71+AG73</f>
        <v>16390.566230741497</v>
      </c>
      <c r="AH75" s="256">
        <f t="shared" ref="AH75:AI75" si="485">SUM(AH59:AH73)</f>
        <v>2561910.6600000006</v>
      </c>
      <c r="AI75" s="256">
        <f t="shared" si="485"/>
        <v>2404193.4154664492</v>
      </c>
      <c r="AJ75" s="2452">
        <f>AJ59+AJ61+AJ63+AJ65+AJ67+AJ69+AJ71+AJ73</f>
        <v>371411.00000000006</v>
      </c>
      <c r="AK75" s="2452">
        <f t="shared" ref="AK75" si="486">AK59+AK61+AK63+AK65+AK67+AK69+AK71+AK73</f>
        <v>363339.77339071734</v>
      </c>
      <c r="AL75" s="802">
        <f t="shared" ref="AL75:AM75" si="487">SUM(AL59:AL73)</f>
        <v>1102349</v>
      </c>
      <c r="AM75" s="802">
        <f t="shared" si="487"/>
        <v>734095.80501689971</v>
      </c>
      <c r="AN75" s="256">
        <f t="shared" ref="AN75:AO75" si="488">SUM(AN59:AN73)</f>
        <v>2933321.6600000006</v>
      </c>
      <c r="AO75" s="256">
        <f t="shared" si="488"/>
        <v>2767533.1888571661</v>
      </c>
      <c r="AP75" s="2452">
        <f>AP59+AP61+AP63+AP65+AP67+AP69+AP71+AP73</f>
        <v>371411.00000000006</v>
      </c>
      <c r="AQ75" s="2452">
        <f t="shared" ref="AQ75" si="489">AQ59+AQ61+AQ63+AQ65+AQ67+AQ69+AQ71+AQ73</f>
        <v>364932.94</v>
      </c>
      <c r="AR75" s="256">
        <f t="shared" ref="AR75:AS75" si="490">SUM(AR59:AR73)</f>
        <v>3304732.6600000006</v>
      </c>
      <c r="AS75" s="256">
        <f t="shared" si="490"/>
        <v>3132466.1288571665</v>
      </c>
      <c r="AT75" s="2452">
        <f>AT59+AT61+AT63+AT65+AT67+AT69+AT71+AT73</f>
        <v>334255.49999999994</v>
      </c>
      <c r="AU75" s="2452">
        <f t="shared" ref="AU75" si="491">AU59+AU61+AU63+AU65+AU67+AU69+AU71+AU73</f>
        <v>333448.85807089275</v>
      </c>
      <c r="AV75" s="256">
        <f t="shared" ref="AV75:AW75" si="492">SUM(AV59:AV73)</f>
        <v>3638988.16</v>
      </c>
      <c r="AW75" s="256">
        <f t="shared" si="492"/>
        <v>3465914.9869280597</v>
      </c>
      <c r="AX75" s="2452">
        <f>AX59+AX61+AX63+AX65+AX67+AX69+AX71+AX73</f>
        <v>371411</v>
      </c>
      <c r="AY75" s="2452">
        <f t="shared" ref="AY75" si="493">AY59+AY61+AY63+AY65+AY67+AY69+AY71+AY73</f>
        <v>374379.27264168527</v>
      </c>
      <c r="AZ75" s="802">
        <f t="shared" ref="AZ75:BC75" si="494">SUM(AZ59:AZ73)</f>
        <v>1077077.5</v>
      </c>
      <c r="BA75" s="802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4010399.1599999997</v>
      </c>
      <c r="BE75" s="256">
        <f t="shared" si="495"/>
        <v>3840294.259569745</v>
      </c>
      <c r="BF75" s="26"/>
      <c r="BG75" s="26"/>
      <c r="BH75" s="26"/>
      <c r="BI75" s="26"/>
      <c r="BJ75" s="1222"/>
    </row>
    <row r="76" spans="1:62" ht="20.25" x14ac:dyDescent="0.25">
      <c r="A76" s="93"/>
      <c r="B76" s="3527" t="s">
        <v>465</v>
      </c>
      <c r="C76" s="3527"/>
      <c r="D76" s="3528"/>
      <c r="E76" s="3527"/>
      <c r="F76" s="3528"/>
      <c r="G76" s="3527"/>
      <c r="H76" s="3527"/>
      <c r="I76" s="3527"/>
      <c r="J76" s="3528"/>
      <c r="K76" s="3527"/>
      <c r="L76" s="1021"/>
      <c r="M76" s="1021"/>
      <c r="N76" s="3528"/>
      <c r="O76" s="3527"/>
      <c r="P76" s="1021"/>
      <c r="Q76" s="1021"/>
      <c r="R76" s="3528"/>
      <c r="S76" s="3527"/>
      <c r="T76" s="1021"/>
      <c r="U76" s="1021"/>
      <c r="V76" s="3528"/>
      <c r="W76" s="3527"/>
      <c r="X76" s="1021"/>
      <c r="Y76" s="1021"/>
      <c r="Z76" s="1021"/>
      <c r="AA76" s="1021"/>
      <c r="AB76" s="3528"/>
      <c r="AC76" s="3527"/>
      <c r="AD76" s="1021"/>
      <c r="AE76" s="1021"/>
      <c r="AF76" s="3528"/>
      <c r="AG76" s="3527"/>
      <c r="AH76" s="1021"/>
      <c r="AI76" s="1021"/>
      <c r="AJ76" s="3528"/>
      <c r="AK76" s="3527"/>
      <c r="AL76" s="1021"/>
      <c r="AM76" s="1021"/>
      <c r="AN76" s="1021"/>
      <c r="AO76" s="1021"/>
      <c r="AP76" s="3528"/>
      <c r="AQ76" s="3527"/>
      <c r="AR76" s="1021"/>
      <c r="AS76" s="1021"/>
      <c r="AT76" s="3528"/>
      <c r="AU76" s="3527"/>
      <c r="AV76" s="1021"/>
      <c r="AW76" s="1021"/>
      <c r="AX76" s="3528"/>
      <c r="AY76" s="3527"/>
      <c r="AZ76" s="1021"/>
      <c r="BA76" s="1021"/>
      <c r="BB76" s="1021"/>
      <c r="BC76" s="1021"/>
      <c r="BD76" s="1021"/>
      <c r="BE76" s="1021"/>
      <c r="BF76" s="26"/>
      <c r="BG76" s="26"/>
      <c r="BH76" s="26"/>
      <c r="BI76" s="26"/>
      <c r="BJ76" s="1222"/>
    </row>
    <row r="77" spans="1:62" ht="15.75" x14ac:dyDescent="0.25">
      <c r="B77" s="1018" t="s">
        <v>330</v>
      </c>
      <c r="C77" s="159" t="s">
        <v>329</v>
      </c>
      <c r="D77" s="1137">
        <v>1850</v>
      </c>
      <c r="E77" s="1023">
        <v>1900.6193542974252</v>
      </c>
      <c r="F77" s="7226">
        <v>1850</v>
      </c>
      <c r="G77" s="1023">
        <v>1904.8524287013684</v>
      </c>
      <c r="H77" s="783">
        <v>1850</v>
      </c>
      <c r="I77" s="1024">
        <f>+((E77*E78)+(G78*G77))/I78</f>
        <v>1902.8841215536117</v>
      </c>
      <c r="J77" s="4616">
        <v>1850</v>
      </c>
      <c r="K77" s="1023">
        <v>1903.0046102949732</v>
      </c>
      <c r="L77" s="782">
        <v>1850</v>
      </c>
      <c r="M77" s="1031">
        <f>+((I77*I78)+(K78*K77))/M78</f>
        <v>1902.9150818972753</v>
      </c>
      <c r="N77" s="4811">
        <v>1850</v>
      </c>
      <c r="O77" s="1023">
        <v>1902.3892892547137</v>
      </c>
      <c r="P77" s="783">
        <v>1850</v>
      </c>
      <c r="Q77" s="1024">
        <f>+((M77*M78)+(O78*O77))/Q78</f>
        <v>1902.7921103913191</v>
      </c>
      <c r="R77" s="4956">
        <v>1850</v>
      </c>
      <c r="S77" s="1023">
        <v>1905.2883873117064</v>
      </c>
      <c r="T77" s="4953">
        <v>1850</v>
      </c>
      <c r="U77" s="1024">
        <f>+((Q77*Q78)+(S78*S77))/U78</f>
        <v>1903.4065741410229</v>
      </c>
      <c r="V77" s="5176">
        <v>1850</v>
      </c>
      <c r="W77" s="1023">
        <v>1904.9410863866322</v>
      </c>
      <c r="X77" s="782">
        <v>1850</v>
      </c>
      <c r="Y77" s="1025">
        <f>+((O77*O78)+(S77*S78)+(W78*W77))/Y78</f>
        <v>1904.4009338014594</v>
      </c>
      <c r="Z77" s="1026">
        <v>1850</v>
      </c>
      <c r="AA77" s="1026">
        <f>+((M77*M78)+(Y78*Y77))/AA78</f>
        <v>1903.7156250828707</v>
      </c>
      <c r="AB77" s="5429">
        <v>1850</v>
      </c>
      <c r="AC77" s="1023">
        <v>1906.8202333899969</v>
      </c>
      <c r="AD77" s="2399">
        <v>1850</v>
      </c>
      <c r="AE77" s="1024">
        <f>+((AA77*AA78)+(AC78*AC77))/AE78</f>
        <v>1904.1986984191165</v>
      </c>
      <c r="AF77" s="5566">
        <v>1850</v>
      </c>
      <c r="AG77" s="1023">
        <v>1916.9105463614655</v>
      </c>
      <c r="AH77" s="5568">
        <v>1850</v>
      </c>
      <c r="AI77" s="1024">
        <f>+((AE77*AE78)+(AG78*AG77))/AI78</f>
        <v>1904.2553498197487</v>
      </c>
      <c r="AJ77" s="5994">
        <v>1850</v>
      </c>
      <c r="AK77" s="1023">
        <v>1899.0199363037768</v>
      </c>
      <c r="AL77" s="2746">
        <v>1850</v>
      </c>
      <c r="AM77" s="1025">
        <f>+((AC77*AC78)+(AG77*AG78)+(AK78*AK77))/AM78</f>
        <v>1902.9981948739014</v>
      </c>
      <c r="AN77" s="2399">
        <v>1850</v>
      </c>
      <c r="AO77" s="1024">
        <f>+((AI77*AI78)+(AK78*AK77))/AO78</f>
        <v>1903.5161399229351</v>
      </c>
      <c r="AP77" s="6136">
        <v>1850</v>
      </c>
      <c r="AQ77" s="1023">
        <v>1904.57</v>
      </c>
      <c r="AR77" s="2399">
        <v>1850</v>
      </c>
      <c r="AS77" s="1024">
        <f>+((AO77*AO78)+(AQ78*AQ77))/AS78</f>
        <v>1903.6600865396019</v>
      </c>
      <c r="AT77" s="6312">
        <v>1850</v>
      </c>
      <c r="AU77" s="1023">
        <v>1898.3730622623448</v>
      </c>
      <c r="AV77" s="6315">
        <v>1850</v>
      </c>
      <c r="AW77" s="1024">
        <f>+((AS77*AS78)+(AU78*AU77))/AW78</f>
        <v>1903.0878541881318</v>
      </c>
      <c r="AX77" s="6588">
        <v>1850</v>
      </c>
      <c r="AY77" s="1023">
        <v>1907.7195944879957</v>
      </c>
      <c r="AZ77" s="3066">
        <v>1850</v>
      </c>
      <c r="BA77" s="1025">
        <f>+((AQ77*AQ78)+(AU77*AU78)+(AY78*AY77))/BA78</f>
        <v>1903.7677016151431</v>
      </c>
      <c r="BB77" s="1026">
        <v>1850</v>
      </c>
      <c r="BC77" s="1026">
        <f>+((AM77*AM78)+(BA78*BA77))/BC78</f>
        <v>1903.4772229035971</v>
      </c>
      <c r="BD77" s="2399">
        <v>1850</v>
      </c>
      <c r="BE77" s="1024">
        <f>+((AW77*AW78)+(AY78*AY77))/BE78</f>
        <v>1903.5952266516538</v>
      </c>
      <c r="BF77" s="26"/>
      <c r="BG77" s="26"/>
      <c r="BH77" s="26"/>
      <c r="BI77" s="26"/>
      <c r="BJ77" s="1222"/>
    </row>
    <row r="78" spans="1:62" ht="16.5" customHeight="1" x14ac:dyDescent="0.25">
      <c r="B78" s="1027" t="s">
        <v>467</v>
      </c>
      <c r="C78" s="806" t="s">
        <v>326</v>
      </c>
      <c r="D78" s="457">
        <f>D79*D$3*24</f>
        <v>14226.628895184138</v>
      </c>
      <c r="E78" s="1028">
        <v>11375.146000000002</v>
      </c>
      <c r="F78" s="1971">
        <f>F79*F$3*24</f>
        <v>14679.886685552407</v>
      </c>
      <c r="G78" s="1028">
        <v>13088.434000000001</v>
      </c>
      <c r="H78" s="256">
        <f>+D78+F78</f>
        <v>28906.515580736545</v>
      </c>
      <c r="I78" s="1029">
        <f>+E78+G78</f>
        <v>24463.58</v>
      </c>
      <c r="J78" s="1971">
        <f>J79*J$3*24</f>
        <v>8388.6792452830196</v>
      </c>
      <c r="K78" s="1028">
        <v>8459.8950000000004</v>
      </c>
      <c r="L78" s="802">
        <f>+H78+J78</f>
        <v>37295.194826019564</v>
      </c>
      <c r="M78" s="1025">
        <f>+I78+K78</f>
        <v>32923.475000000006</v>
      </c>
      <c r="N78" s="1971">
        <f>N79*N$3*24</f>
        <v>3820.754716981131</v>
      </c>
      <c r="O78" s="1028">
        <v>10050.737000000001</v>
      </c>
      <c r="P78" s="256">
        <f>+L78+N78</f>
        <v>41115.949543000694</v>
      </c>
      <c r="Q78" s="1029">
        <f>+M78+O78</f>
        <v>42974.212000000007</v>
      </c>
      <c r="R78" s="1971">
        <f>R79*R$3*24</f>
        <v>13563.396226415098</v>
      </c>
      <c r="S78" s="1028">
        <v>14032.262000000001</v>
      </c>
      <c r="T78" s="256">
        <f>+P78+R78</f>
        <v>54679.345769415791</v>
      </c>
      <c r="U78" s="1029">
        <f>+Q78+S78</f>
        <v>57006.474000000009</v>
      </c>
      <c r="V78" s="1971">
        <f>V79*V$3*24</f>
        <v>13110.566037735851</v>
      </c>
      <c r="W78" s="1028">
        <v>14376.548999999997</v>
      </c>
      <c r="X78" s="802">
        <f>+V78+R78+N78</f>
        <v>30494.716981132078</v>
      </c>
      <c r="Y78" s="802">
        <f>+W78+S78+O78</f>
        <v>38459.547999999995</v>
      </c>
      <c r="Z78" s="522">
        <f>+L78+X78</f>
        <v>67789.911807151642</v>
      </c>
      <c r="AA78" s="522">
        <f>+Y78+M78</f>
        <v>71383.023000000001</v>
      </c>
      <c r="AB78" s="1971">
        <f>AB79*AB$3*24</f>
        <v>14129.433962264153</v>
      </c>
      <c r="AC78" s="1028">
        <v>13153.833710000003</v>
      </c>
      <c r="AD78" s="256">
        <f>+Z78+AB78</f>
        <v>81919.345769415799</v>
      </c>
      <c r="AE78" s="1029">
        <f>+AA78+AC78</f>
        <v>84536.856710000007</v>
      </c>
      <c r="AF78" s="1971">
        <f>AF79*AF$3*24</f>
        <v>13676.603773584906</v>
      </c>
      <c r="AG78" s="1028">
        <v>378.4319999999999</v>
      </c>
      <c r="AH78" s="256">
        <f>+AD78+AF78</f>
        <v>95595.949543000708</v>
      </c>
      <c r="AI78" s="1029">
        <f>+AE78+AG78</f>
        <v>84915.288710000008</v>
      </c>
      <c r="AJ78" s="1971">
        <f>AJ79*AJ$3*24</f>
        <v>14129.433962264153</v>
      </c>
      <c r="AK78" s="1028">
        <v>13960.716000000004</v>
      </c>
      <c r="AL78" s="802">
        <f>+AJ78+AF78+AB78</f>
        <v>41935.471698113208</v>
      </c>
      <c r="AM78" s="802">
        <f>+AK78+AG78+AC78</f>
        <v>27492.981710000007</v>
      </c>
      <c r="AN78" s="256">
        <f>+AH78+AJ78</f>
        <v>109725.38350526486</v>
      </c>
      <c r="AO78" s="1029">
        <f>+AI78+AK78</f>
        <v>98876.004710000008</v>
      </c>
      <c r="AP78" s="1971">
        <f>AP79*AP$3*24</f>
        <v>14129.433962264153</v>
      </c>
      <c r="AQ78" s="1028">
        <v>15642</v>
      </c>
      <c r="AR78" s="256">
        <f>+AN78+AP78</f>
        <v>123854.81746752902</v>
      </c>
      <c r="AS78" s="1029">
        <f>+AO78+AQ78</f>
        <v>114518.00471000001</v>
      </c>
      <c r="AT78" s="1971">
        <f>AT79*AT$3*24</f>
        <v>12714.339622641512</v>
      </c>
      <c r="AU78" s="1028">
        <v>13899.003000000001</v>
      </c>
      <c r="AV78" s="256">
        <f>+AR78+AT78</f>
        <v>136569.15709017054</v>
      </c>
      <c r="AW78" s="1029">
        <f>+AS78+AU78</f>
        <v>128417.00771000001</v>
      </c>
      <c r="AX78" s="1971">
        <f>AX79*AX$3*24</f>
        <v>14129.433962264153</v>
      </c>
      <c r="AY78" s="1028">
        <v>15797.633999999998</v>
      </c>
      <c r="AZ78" s="802">
        <f>+AX78+AT78+AP78</f>
        <v>40973.207547169819</v>
      </c>
      <c r="BA78" s="802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150698.5910524347</v>
      </c>
      <c r="BE78" s="1029">
        <f>+AW78+AY78</f>
        <v>144214.64171</v>
      </c>
      <c r="BF78" s="26"/>
      <c r="BG78" s="26"/>
      <c r="BH78" s="26"/>
      <c r="BI78" s="26"/>
      <c r="BJ78" s="1222"/>
    </row>
    <row r="79" spans="1:62" ht="15.75" hidden="1" customHeight="1" x14ac:dyDescent="0.25">
      <c r="B79" s="1027"/>
      <c r="C79" s="806"/>
      <c r="D79" s="1139">
        <v>19.759206798866856</v>
      </c>
      <c r="E79" s="1028"/>
      <c r="F79" s="1139">
        <v>19.731030491333879</v>
      </c>
      <c r="G79" s="1028"/>
      <c r="H79" s="256"/>
      <c r="I79" s="1029"/>
      <c r="J79" s="1139">
        <v>11.650943396226415</v>
      </c>
      <c r="K79" s="1028"/>
      <c r="L79" s="802"/>
      <c r="M79" s="1025"/>
      <c r="N79" s="1139">
        <v>5.1354230066950688</v>
      </c>
      <c r="O79" s="1028"/>
      <c r="P79" s="256"/>
      <c r="Q79" s="1029"/>
      <c r="R79" s="1139">
        <v>18.230371272063302</v>
      </c>
      <c r="S79" s="1028"/>
      <c r="T79" s="256"/>
      <c r="U79" s="1029"/>
      <c r="V79" s="1139">
        <v>18.209119496855347</v>
      </c>
      <c r="W79" s="1028"/>
      <c r="X79" s="802"/>
      <c r="Y79" s="802"/>
      <c r="Z79" s="522"/>
      <c r="AA79" s="522"/>
      <c r="AB79" s="1139">
        <v>18.991174680462571</v>
      </c>
      <c r="AC79" s="1028"/>
      <c r="AD79" s="256"/>
      <c r="AE79" s="1029"/>
      <c r="AF79" s="1139">
        <v>18.995283018867926</v>
      </c>
      <c r="AG79" s="1028"/>
      <c r="AH79" s="256"/>
      <c r="AI79" s="1029"/>
      <c r="AJ79" s="1139">
        <v>18.991174680462571</v>
      </c>
      <c r="AK79" s="1028"/>
      <c r="AL79" s="802"/>
      <c r="AM79" s="802"/>
      <c r="AN79" s="256"/>
      <c r="AO79" s="1029"/>
      <c r="AP79" s="1139">
        <v>18.991174680462571</v>
      </c>
      <c r="AQ79" s="1028"/>
      <c r="AR79" s="256"/>
      <c r="AS79" s="1029"/>
      <c r="AT79" s="1139">
        <v>18.920148247978439</v>
      </c>
      <c r="AU79" s="1028"/>
      <c r="AV79" s="256"/>
      <c r="AW79" s="1029"/>
      <c r="AX79" s="1139">
        <v>18.991174680462571</v>
      </c>
      <c r="AY79" s="1028"/>
      <c r="AZ79" s="802"/>
      <c r="BA79" s="802"/>
      <c r="BB79" s="522"/>
      <c r="BC79" s="522"/>
      <c r="BD79" s="256"/>
      <c r="BE79" s="1029"/>
      <c r="BF79" s="26"/>
      <c r="BG79" s="26"/>
      <c r="BH79" s="26"/>
      <c r="BI79" s="26"/>
      <c r="BJ79" s="1222"/>
    </row>
    <row r="80" spans="1:62" x14ac:dyDescent="0.25">
      <c r="B80" s="777" t="s">
        <v>474</v>
      </c>
      <c r="C80" s="159" t="s">
        <v>326</v>
      </c>
      <c r="D80" s="1137">
        <f>D81*D$3*24</f>
        <v>0</v>
      </c>
      <c r="E80" s="1023">
        <v>0</v>
      </c>
      <c r="F80" s="7226">
        <f>F81*F$3*24</f>
        <v>0</v>
      </c>
      <c r="G80" s="1023">
        <v>0</v>
      </c>
      <c r="H80" s="783">
        <f>+D80+F80</f>
        <v>0</v>
      </c>
      <c r="I80" s="1024">
        <f>+E80+G80</f>
        <v>0</v>
      </c>
      <c r="J80" s="4616">
        <f>J81*J$3*24</f>
        <v>0</v>
      </c>
      <c r="K80" s="1023">
        <v>0</v>
      </c>
      <c r="L80" s="782">
        <f>+H80+J80</f>
        <v>0</v>
      </c>
      <c r="M80" s="1031">
        <f>+I80+K80</f>
        <v>0</v>
      </c>
      <c r="N80" s="4811">
        <f>N81*N$3*24</f>
        <v>0</v>
      </c>
      <c r="O80" s="1023">
        <v>0</v>
      </c>
      <c r="P80" s="783">
        <f>+L80+N80</f>
        <v>0</v>
      </c>
      <c r="Q80" s="1024">
        <f>+M80+O80</f>
        <v>0</v>
      </c>
      <c r="R80" s="4956">
        <f>R81*R$3*24</f>
        <v>0</v>
      </c>
      <c r="S80" s="1023">
        <v>0</v>
      </c>
      <c r="T80" s="4953">
        <f>+P80+R80</f>
        <v>0</v>
      </c>
      <c r="U80" s="1024">
        <f>+Q80+S80</f>
        <v>0</v>
      </c>
      <c r="V80" s="5176">
        <f>V81*V$3*24</f>
        <v>0</v>
      </c>
      <c r="W80" s="1023">
        <v>0</v>
      </c>
      <c r="X80" s="782">
        <f>+V80+R80+N80</f>
        <v>0</v>
      </c>
      <c r="Y80" s="782">
        <f>+W80+S80+O80</f>
        <v>0</v>
      </c>
      <c r="Z80" s="465">
        <f>+L80+X80</f>
        <v>0</v>
      </c>
      <c r="AA80" s="465">
        <f>+Y80+M80</f>
        <v>0</v>
      </c>
      <c r="AB80" s="5429">
        <f>AB81*AB$3*24</f>
        <v>0</v>
      </c>
      <c r="AC80" s="1023"/>
      <c r="AD80" s="2399">
        <f>+Z80+AB80</f>
        <v>0</v>
      </c>
      <c r="AE80" s="1024">
        <f>+AA80+AC80</f>
        <v>0</v>
      </c>
      <c r="AF80" s="5566">
        <f>AF81*AF$3*24</f>
        <v>0</v>
      </c>
      <c r="AG80" s="1023">
        <v>0</v>
      </c>
      <c r="AH80" s="5568">
        <f>+AD80+AF80</f>
        <v>0</v>
      </c>
      <c r="AI80" s="1024">
        <f>+AE80+AG80</f>
        <v>0</v>
      </c>
      <c r="AJ80" s="5994">
        <f>AJ81*AJ$3*24</f>
        <v>0</v>
      </c>
      <c r="AK80" s="1023">
        <v>0</v>
      </c>
      <c r="AL80" s="2746">
        <f>+AJ80+AF80+AB80</f>
        <v>0</v>
      </c>
      <c r="AM80" s="2746">
        <f>+AK80+AG80+AC80</f>
        <v>0</v>
      </c>
      <c r="AN80" s="2399">
        <f>+AH80+AJ80</f>
        <v>0</v>
      </c>
      <c r="AO80" s="1024">
        <f>+AI80+AK80</f>
        <v>0</v>
      </c>
      <c r="AP80" s="6136">
        <f>AP81*AP$3*24</f>
        <v>0</v>
      </c>
      <c r="AQ80" s="1023">
        <v>0</v>
      </c>
      <c r="AR80" s="2399">
        <f>+AN80+AP80</f>
        <v>0</v>
      </c>
      <c r="AS80" s="1024">
        <f>+AO80+AQ80</f>
        <v>0</v>
      </c>
      <c r="AT80" s="6312">
        <f>AT81*AT$3*24</f>
        <v>0</v>
      </c>
      <c r="AU80" s="1023">
        <v>0</v>
      </c>
      <c r="AV80" s="6315">
        <f>+AR80+AT80</f>
        <v>0</v>
      </c>
      <c r="AW80" s="1024">
        <f>+AS80+AU80</f>
        <v>0</v>
      </c>
      <c r="AX80" s="6588">
        <f>AX81*AX$3*24</f>
        <v>0</v>
      </c>
      <c r="AY80" s="1023"/>
      <c r="AZ80" s="3066">
        <f>+AX80+AT80+AP80</f>
        <v>0</v>
      </c>
      <c r="BA80" s="3066">
        <f>+AY80+AU80+AQ80</f>
        <v>0</v>
      </c>
      <c r="BB80" s="3074">
        <f t="shared" ref="BB80" si="496">+AL80+AZ80</f>
        <v>0</v>
      </c>
      <c r="BC80" s="3074">
        <f t="shared" ref="BC80" si="497">+AM80+BA80</f>
        <v>0</v>
      </c>
      <c r="BD80" s="2399">
        <f>+AV80+AX80</f>
        <v>0</v>
      </c>
      <c r="BE80" s="1024">
        <f>+AW80+AY80</f>
        <v>0</v>
      </c>
      <c r="BF80" s="26"/>
      <c r="BG80" s="26"/>
      <c r="BH80" s="26"/>
      <c r="BI80" s="26"/>
      <c r="BJ80" s="1222"/>
    </row>
    <row r="81" spans="1:62" ht="15" hidden="1" customHeight="1" x14ac:dyDescent="0.25">
      <c r="B81" s="777"/>
      <c r="C81" s="159"/>
      <c r="D81" s="1137"/>
      <c r="E81" s="1023"/>
      <c r="F81" s="7226"/>
      <c r="G81" s="1023"/>
      <c r="H81" s="783"/>
      <c r="I81" s="1024"/>
      <c r="J81" s="4616"/>
      <c r="K81" s="1023"/>
      <c r="L81" s="782"/>
      <c r="M81" s="1031"/>
      <c r="N81" s="4811"/>
      <c r="O81" s="1023"/>
      <c r="P81" s="783"/>
      <c r="Q81" s="1024"/>
      <c r="R81" s="4956"/>
      <c r="S81" s="1023"/>
      <c r="T81" s="4953"/>
      <c r="U81" s="1024"/>
      <c r="V81" s="5176"/>
      <c r="W81" s="1023"/>
      <c r="X81" s="782"/>
      <c r="Y81" s="782"/>
      <c r="Z81" s="465"/>
      <c r="AA81" s="465"/>
      <c r="AB81" s="5429"/>
      <c r="AC81" s="1023"/>
      <c r="AD81" s="2399"/>
      <c r="AE81" s="1024"/>
      <c r="AF81" s="5566"/>
      <c r="AG81" s="1023"/>
      <c r="AH81" s="5568"/>
      <c r="AI81" s="1024"/>
      <c r="AJ81" s="5994"/>
      <c r="AK81" s="1023"/>
      <c r="AL81" s="2746"/>
      <c r="AM81" s="2746"/>
      <c r="AN81" s="2399"/>
      <c r="AO81" s="1024"/>
      <c r="AP81" s="6136"/>
      <c r="AQ81" s="1023"/>
      <c r="AR81" s="2399"/>
      <c r="AS81" s="1024"/>
      <c r="AT81" s="6312"/>
      <c r="AU81" s="1023"/>
      <c r="AV81" s="6315"/>
      <c r="AW81" s="1024"/>
      <c r="AX81" s="6588"/>
      <c r="AY81" s="1023"/>
      <c r="AZ81" s="3066"/>
      <c r="BA81" s="3066"/>
      <c r="BB81" s="3064"/>
      <c r="BC81" s="3064"/>
      <c r="BD81" s="2399"/>
      <c r="BE81" s="1024"/>
      <c r="BF81" s="26"/>
      <c r="BG81" s="26"/>
      <c r="BH81" s="26"/>
      <c r="BI81" s="26"/>
      <c r="BJ81" s="1222"/>
    </row>
    <row r="82" spans="1:62" x14ac:dyDescent="0.25">
      <c r="B82" s="777" t="s">
        <v>73</v>
      </c>
      <c r="C82" s="159" t="s">
        <v>49</v>
      </c>
      <c r="D82" s="1137">
        <f t="shared" ref="D82:E82" si="498">+D80/D78*100</f>
        <v>0</v>
      </c>
      <c r="E82" s="1023">
        <f t="shared" si="498"/>
        <v>0</v>
      </c>
      <c r="F82" s="7226">
        <f t="shared" ref="F82:G82" si="499">+F80/F78*100</f>
        <v>0</v>
      </c>
      <c r="G82" s="1023">
        <f t="shared" si="499"/>
        <v>0</v>
      </c>
      <c r="H82" s="783">
        <f t="shared" ref="H82:K82" si="500">+H80/H78*100</f>
        <v>0</v>
      </c>
      <c r="I82" s="1022">
        <f t="shared" si="500"/>
        <v>0</v>
      </c>
      <c r="J82" s="4616">
        <f t="shared" si="500"/>
        <v>0</v>
      </c>
      <c r="K82" s="1023">
        <f t="shared" si="500"/>
        <v>0</v>
      </c>
      <c r="L82" s="782">
        <f t="shared" ref="L82:Q82" si="501">+L80/L78*100</f>
        <v>0</v>
      </c>
      <c r="M82" s="1032">
        <f t="shared" si="501"/>
        <v>0</v>
      </c>
      <c r="N82" s="4811">
        <f t="shared" si="501"/>
        <v>0</v>
      </c>
      <c r="O82" s="1023">
        <f t="shared" si="501"/>
        <v>0</v>
      </c>
      <c r="P82" s="783">
        <f t="shared" si="501"/>
        <v>0</v>
      </c>
      <c r="Q82" s="1022">
        <f t="shared" si="501"/>
        <v>0</v>
      </c>
      <c r="R82" s="4956">
        <f t="shared" ref="R82:U82" si="502">+R80/R78*100</f>
        <v>0</v>
      </c>
      <c r="S82" s="1023">
        <f t="shared" si="502"/>
        <v>0</v>
      </c>
      <c r="T82" s="4953">
        <f t="shared" si="502"/>
        <v>0</v>
      </c>
      <c r="U82" s="1022">
        <f t="shared" si="502"/>
        <v>0</v>
      </c>
      <c r="V82" s="5176">
        <f t="shared" ref="V82:W82" si="503">+V80/V78*100</f>
        <v>0</v>
      </c>
      <c r="W82" s="1023">
        <f t="shared" si="503"/>
        <v>0</v>
      </c>
      <c r="X82" s="782">
        <f t="shared" ref="X82:AE82" si="504">+X80/X78*100</f>
        <v>0</v>
      </c>
      <c r="Y82" s="1032">
        <f t="shared" si="504"/>
        <v>0</v>
      </c>
      <c r="Z82" s="465">
        <f t="shared" si="504"/>
        <v>0</v>
      </c>
      <c r="AA82" s="1033">
        <f t="shared" si="504"/>
        <v>0</v>
      </c>
      <c r="AB82" s="5429">
        <f t="shared" si="504"/>
        <v>0</v>
      </c>
      <c r="AC82" s="1023">
        <f t="shared" si="504"/>
        <v>0</v>
      </c>
      <c r="AD82" s="2399">
        <f t="shared" si="504"/>
        <v>0</v>
      </c>
      <c r="AE82" s="1024">
        <f t="shared" si="504"/>
        <v>0</v>
      </c>
      <c r="AF82" s="5566">
        <f t="shared" ref="AF82:AI82" si="505">+AF80/AF78*100</f>
        <v>0</v>
      </c>
      <c r="AG82" s="1023">
        <f t="shared" si="505"/>
        <v>0</v>
      </c>
      <c r="AH82" s="5568">
        <f t="shared" si="505"/>
        <v>0</v>
      </c>
      <c r="AI82" s="1024">
        <f t="shared" si="505"/>
        <v>0</v>
      </c>
      <c r="AJ82" s="5994">
        <f t="shared" ref="AJ82:AK82" si="506">+AJ80/AJ78*100</f>
        <v>0</v>
      </c>
      <c r="AK82" s="1023">
        <f t="shared" si="506"/>
        <v>0</v>
      </c>
      <c r="AL82" s="2746">
        <f t="shared" ref="AL82:AQ82" si="507">+AL80/AL78*100</f>
        <v>0</v>
      </c>
      <c r="AM82" s="1032">
        <f t="shared" si="507"/>
        <v>0</v>
      </c>
      <c r="AN82" s="2399">
        <f t="shared" si="507"/>
        <v>0</v>
      </c>
      <c r="AO82" s="1024">
        <f t="shared" si="507"/>
        <v>0</v>
      </c>
      <c r="AP82" s="6136">
        <f t="shared" si="507"/>
        <v>0</v>
      </c>
      <c r="AQ82" s="1023">
        <f t="shared" si="507"/>
        <v>0</v>
      </c>
      <c r="AR82" s="2399">
        <f t="shared" ref="AR82:AU82" si="508">+AR80/AR78*100</f>
        <v>0</v>
      </c>
      <c r="AS82" s="1024">
        <f t="shared" si="508"/>
        <v>0</v>
      </c>
      <c r="AT82" s="6312">
        <f t="shared" si="508"/>
        <v>0</v>
      </c>
      <c r="AU82" s="1023">
        <f t="shared" si="508"/>
        <v>0</v>
      </c>
      <c r="AV82" s="6315">
        <f t="shared" ref="AV82:AY82" si="509">+AV80/AV78*100</f>
        <v>0</v>
      </c>
      <c r="AW82" s="1024">
        <f t="shared" si="509"/>
        <v>0</v>
      </c>
      <c r="AX82" s="6588">
        <f t="shared" si="509"/>
        <v>0</v>
      </c>
      <c r="AY82" s="1023">
        <f t="shared" si="509"/>
        <v>0</v>
      </c>
      <c r="AZ82" s="3066">
        <f t="shared" ref="AZ82:BE82" si="510">+AZ80/AZ78*100</f>
        <v>0</v>
      </c>
      <c r="BA82" s="1032">
        <f t="shared" si="510"/>
        <v>0</v>
      </c>
      <c r="BB82" s="3064">
        <f t="shared" si="510"/>
        <v>0</v>
      </c>
      <c r="BC82" s="1033">
        <f t="shared" si="510"/>
        <v>0</v>
      </c>
      <c r="BD82" s="2399">
        <f t="shared" si="510"/>
        <v>0</v>
      </c>
      <c r="BE82" s="1024">
        <f t="shared" si="510"/>
        <v>0</v>
      </c>
      <c r="BF82" s="26"/>
      <c r="BG82" s="26"/>
      <c r="BH82" s="26"/>
      <c r="BI82" s="26"/>
      <c r="BJ82" s="1222"/>
    </row>
    <row r="83" spans="1:62" ht="18.75" x14ac:dyDescent="0.25">
      <c r="A83" s="93"/>
      <c r="B83" s="584" t="s">
        <v>55</v>
      </c>
      <c r="C83" s="1019" t="s">
        <v>326</v>
      </c>
      <c r="D83" s="1140">
        <f t="shared" ref="D83:E83" si="511">+D78-D80</f>
        <v>14226.628895184138</v>
      </c>
      <c r="E83" s="1140">
        <f t="shared" si="511"/>
        <v>11375.146000000002</v>
      </c>
      <c r="F83" s="1140">
        <f t="shared" ref="F83:G83" si="512">+F78-F80</f>
        <v>14679.886685552407</v>
      </c>
      <c r="G83" s="1140">
        <f t="shared" si="512"/>
        <v>13088.434000000001</v>
      </c>
      <c r="H83" s="256">
        <f t="shared" ref="H83:K83" si="513">+H78-H80</f>
        <v>28906.515580736545</v>
      </c>
      <c r="I83" s="1029">
        <f t="shared" si="513"/>
        <v>24463.58</v>
      </c>
      <c r="J83" s="1140">
        <f t="shared" si="513"/>
        <v>8388.6792452830196</v>
      </c>
      <c r="K83" s="1140">
        <f t="shared" si="513"/>
        <v>8459.8950000000004</v>
      </c>
      <c r="L83" s="802">
        <f t="shared" ref="L83:Q83" si="514">+L78-L80</f>
        <v>37295.194826019564</v>
      </c>
      <c r="M83" s="1025">
        <f t="shared" si="514"/>
        <v>32923.475000000006</v>
      </c>
      <c r="N83" s="1140">
        <f t="shared" si="514"/>
        <v>3820.754716981131</v>
      </c>
      <c r="O83" s="1140">
        <f t="shared" si="514"/>
        <v>10050.737000000001</v>
      </c>
      <c r="P83" s="256">
        <f t="shared" si="514"/>
        <v>41115.949543000694</v>
      </c>
      <c r="Q83" s="1029">
        <f t="shared" si="514"/>
        <v>42974.212000000007</v>
      </c>
      <c r="R83" s="1140">
        <f t="shared" ref="R83:U83" si="515">+R78-R80</f>
        <v>13563.396226415098</v>
      </c>
      <c r="S83" s="1140">
        <f t="shared" si="515"/>
        <v>14032.262000000001</v>
      </c>
      <c r="T83" s="256">
        <f t="shared" si="515"/>
        <v>54679.345769415791</v>
      </c>
      <c r="U83" s="1029">
        <f t="shared" si="515"/>
        <v>57006.474000000009</v>
      </c>
      <c r="V83" s="1140">
        <f t="shared" ref="V83:W83" si="516">+V78-V80</f>
        <v>13110.566037735851</v>
      </c>
      <c r="W83" s="1140">
        <f t="shared" si="516"/>
        <v>14376.548999999997</v>
      </c>
      <c r="X83" s="802">
        <f t="shared" ref="X83:AE83" si="517">+X78-X80</f>
        <v>30494.716981132078</v>
      </c>
      <c r="Y83" s="1025">
        <f t="shared" si="517"/>
        <v>38459.547999999995</v>
      </c>
      <c r="Z83" s="1030">
        <f t="shared" si="517"/>
        <v>67789.911807151642</v>
      </c>
      <c r="AA83" s="1030">
        <f t="shared" si="517"/>
        <v>71383.023000000001</v>
      </c>
      <c r="AB83" s="1140">
        <f t="shared" si="517"/>
        <v>14129.433962264153</v>
      </c>
      <c r="AC83" s="1140">
        <f t="shared" si="517"/>
        <v>13153.833710000003</v>
      </c>
      <c r="AD83" s="256">
        <f t="shared" si="517"/>
        <v>81919.345769415799</v>
      </c>
      <c r="AE83" s="1029">
        <f t="shared" si="517"/>
        <v>84536.856710000007</v>
      </c>
      <c r="AF83" s="1140">
        <f t="shared" ref="AF83:AI83" si="518">+AF78-AF80</f>
        <v>13676.603773584906</v>
      </c>
      <c r="AG83" s="1140">
        <f t="shared" si="518"/>
        <v>378.4319999999999</v>
      </c>
      <c r="AH83" s="256">
        <f t="shared" si="518"/>
        <v>95595.949543000708</v>
      </c>
      <c r="AI83" s="1029">
        <f t="shared" si="518"/>
        <v>84915.288710000008</v>
      </c>
      <c r="AJ83" s="1140">
        <f t="shared" ref="AJ83:AK83" si="519">+AJ78-AJ80</f>
        <v>14129.433962264153</v>
      </c>
      <c r="AK83" s="1140">
        <f t="shared" si="519"/>
        <v>13960.716000000004</v>
      </c>
      <c r="AL83" s="802">
        <f t="shared" ref="AL83:AQ83" si="520">+AL78-AL80</f>
        <v>41935.471698113208</v>
      </c>
      <c r="AM83" s="1025">
        <f t="shared" si="520"/>
        <v>27492.981710000007</v>
      </c>
      <c r="AN83" s="256">
        <f t="shared" si="520"/>
        <v>109725.38350526486</v>
      </c>
      <c r="AO83" s="1029">
        <f t="shared" si="520"/>
        <v>98876.004710000008</v>
      </c>
      <c r="AP83" s="1140">
        <f t="shared" si="520"/>
        <v>14129.433962264153</v>
      </c>
      <c r="AQ83" s="1140">
        <f t="shared" si="520"/>
        <v>15642</v>
      </c>
      <c r="AR83" s="256">
        <f t="shared" ref="AR83:AU83" si="521">+AR78-AR80</f>
        <v>123854.81746752902</v>
      </c>
      <c r="AS83" s="1029">
        <f t="shared" si="521"/>
        <v>114518.00471000001</v>
      </c>
      <c r="AT83" s="1140">
        <f t="shared" si="521"/>
        <v>12714.339622641512</v>
      </c>
      <c r="AU83" s="1140">
        <f t="shared" si="521"/>
        <v>13899.003000000001</v>
      </c>
      <c r="AV83" s="256">
        <f t="shared" ref="AV83:AY83" si="522">+AV78-AV80</f>
        <v>136569.15709017054</v>
      </c>
      <c r="AW83" s="1029">
        <f t="shared" si="522"/>
        <v>128417.00771000001</v>
      </c>
      <c r="AX83" s="1140">
        <f t="shared" si="522"/>
        <v>14129.433962264153</v>
      </c>
      <c r="AY83" s="1140">
        <f t="shared" si="522"/>
        <v>15797.633999999998</v>
      </c>
      <c r="AZ83" s="802">
        <f t="shared" ref="AZ83:BE83" si="523">+AZ78-AZ80</f>
        <v>40973.207547169819</v>
      </c>
      <c r="BA83" s="1025">
        <f t="shared" si="523"/>
        <v>45338.637000000002</v>
      </c>
      <c r="BB83" s="1030">
        <f t="shared" si="523"/>
        <v>82908.679245283027</v>
      </c>
      <c r="BC83" s="1030">
        <f t="shared" si="523"/>
        <v>72831.61871000001</v>
      </c>
      <c r="BD83" s="256">
        <f t="shared" si="523"/>
        <v>150698.5910524347</v>
      </c>
      <c r="BE83" s="1029">
        <f t="shared" si="523"/>
        <v>144214.64171</v>
      </c>
      <c r="BF83" s="26"/>
      <c r="BG83" s="26"/>
      <c r="BH83" s="26"/>
      <c r="BI83" s="26"/>
      <c r="BJ83" s="1222"/>
    </row>
    <row r="84" spans="1:62" ht="15.75" x14ac:dyDescent="0.25">
      <c r="A84" s="93"/>
      <c r="B84" s="1027" t="s">
        <v>468</v>
      </c>
      <c r="C84" s="1027"/>
      <c r="D84" s="852"/>
      <c r="E84" s="1027"/>
      <c r="F84" s="852"/>
      <c r="G84" s="1027"/>
      <c r="H84" s="1027"/>
      <c r="I84" s="1027"/>
      <c r="J84" s="852"/>
      <c r="K84" s="1027"/>
      <c r="L84" s="1027"/>
      <c r="M84" s="1027"/>
      <c r="N84" s="852"/>
      <c r="O84" s="1027"/>
      <c r="P84" s="1027"/>
      <c r="Q84" s="1027"/>
      <c r="R84" s="852"/>
      <c r="S84" s="1027"/>
      <c r="T84" s="1027"/>
      <c r="U84" s="1027"/>
      <c r="V84" s="852"/>
      <c r="W84" s="1027"/>
      <c r="X84" s="1027"/>
      <c r="Y84" s="1027"/>
      <c r="Z84" s="1027"/>
      <c r="AA84" s="1027"/>
      <c r="AB84" s="852"/>
      <c r="AC84" s="1027"/>
      <c r="AD84" s="1027"/>
      <c r="AE84" s="1027"/>
      <c r="AF84" s="852"/>
      <c r="AG84" s="1027"/>
      <c r="AH84" s="1027"/>
      <c r="AI84" s="1027"/>
      <c r="AJ84" s="852"/>
      <c r="AK84" s="1027"/>
      <c r="AL84" s="1027"/>
      <c r="AM84" s="1027"/>
      <c r="AN84" s="1027"/>
      <c r="AO84" s="1027"/>
      <c r="AP84" s="852"/>
      <c r="AQ84" s="1027"/>
      <c r="AR84" s="1027"/>
      <c r="AS84" s="1027"/>
      <c r="AT84" s="852"/>
      <c r="AU84" s="1027"/>
      <c r="AV84" s="1027"/>
      <c r="AW84" s="1027"/>
      <c r="AX84" s="852"/>
      <c r="AY84" s="1027"/>
      <c r="AZ84" s="1027"/>
      <c r="BA84" s="1027"/>
      <c r="BB84" s="1027"/>
      <c r="BC84" s="1027"/>
      <c r="BD84" s="1027"/>
      <c r="BE84" s="1027"/>
      <c r="BF84" s="26"/>
      <c r="BG84" s="26"/>
      <c r="BH84" s="26"/>
      <c r="BI84" s="26"/>
      <c r="BJ84" s="1222"/>
    </row>
    <row r="85" spans="1:62" ht="15.75" x14ac:dyDescent="0.25">
      <c r="A85" s="93"/>
      <c r="B85" s="1020" t="s">
        <v>122</v>
      </c>
      <c r="C85" s="159" t="s">
        <v>326</v>
      </c>
      <c r="D85" s="7054">
        <f>D86*D$3*24</f>
        <v>6666.628895184137</v>
      </c>
      <c r="E85" s="1204">
        <v>5181.6839999999993</v>
      </c>
      <c r="F85" s="7230">
        <f>F86*F$3*24</f>
        <v>12447.886685552407</v>
      </c>
      <c r="G85" s="1970">
        <v>4467.5640000000003</v>
      </c>
      <c r="H85" s="783">
        <f>+D85+F85</f>
        <v>19114.515580736545</v>
      </c>
      <c r="I85" s="783">
        <f>+E85+G85</f>
        <v>9649.2479999999996</v>
      </c>
      <c r="J85" s="1140">
        <f>+J78</f>
        <v>8388.6792452830196</v>
      </c>
      <c r="K85" s="1970">
        <v>7887.0540000000019</v>
      </c>
      <c r="L85" s="782">
        <f>+H85+J85</f>
        <v>27503.194826019564</v>
      </c>
      <c r="M85" s="782">
        <f>+I85+K85</f>
        <v>17536.302000000003</v>
      </c>
      <c r="N85" s="1140">
        <f>+N78</f>
        <v>3820.754716981131</v>
      </c>
      <c r="O85" s="1970">
        <v>9176.6110000000008</v>
      </c>
      <c r="P85" s="783">
        <f>+L85+N85</f>
        <v>31323.949543000694</v>
      </c>
      <c r="Q85" s="783">
        <f>+M85+O85</f>
        <v>26712.913000000004</v>
      </c>
      <c r="R85" s="1140">
        <f>+R78</f>
        <v>13563.396226415098</v>
      </c>
      <c r="S85" s="1970">
        <v>11975.303</v>
      </c>
      <c r="T85" s="4953">
        <f>+P85+R85</f>
        <v>44887.345769415791</v>
      </c>
      <c r="U85" s="4953">
        <f>+Q85+S85</f>
        <v>38688.216</v>
      </c>
      <c r="V85" s="1140">
        <f>+V78</f>
        <v>13110.566037735851</v>
      </c>
      <c r="W85" s="1970">
        <v>8361.3868000000002</v>
      </c>
      <c r="X85" s="782">
        <f>+V85+R85+N85</f>
        <v>30494.716981132078</v>
      </c>
      <c r="Y85" s="782">
        <f>+W85+S85+O85</f>
        <v>29513.300800000001</v>
      </c>
      <c r="Z85" s="465">
        <f>+L85+X85</f>
        <v>57997.911807151642</v>
      </c>
      <c r="AA85" s="465">
        <f>+Y85+M85</f>
        <v>47049.602800000008</v>
      </c>
      <c r="AB85" s="1140">
        <f>+AB78</f>
        <v>14129.433962264153</v>
      </c>
      <c r="AC85" s="1970">
        <v>6450.5885899999994</v>
      </c>
      <c r="AD85" s="2399">
        <f>+Z85+AB85</f>
        <v>72127.345769415799</v>
      </c>
      <c r="AE85" s="2399">
        <f>+AA85+AC85</f>
        <v>53500.191390000007</v>
      </c>
      <c r="AF85" s="1140">
        <f>+AF78</f>
        <v>13676.603773584906</v>
      </c>
      <c r="AG85" s="1970">
        <v>111.10599999999999</v>
      </c>
      <c r="AH85" s="5568">
        <f>+AD85+AF85</f>
        <v>85803.949543000708</v>
      </c>
      <c r="AI85" s="5568">
        <f>+AE85+AG85</f>
        <v>53611.297390000007</v>
      </c>
      <c r="AJ85" s="1140">
        <f>+AJ78</f>
        <v>14129.433962264153</v>
      </c>
      <c r="AK85" s="1970">
        <v>10872.523000000003</v>
      </c>
      <c r="AL85" s="2746">
        <f>+AJ85+AF85+AB85</f>
        <v>41935.471698113208</v>
      </c>
      <c r="AM85" s="2746">
        <f>+AK85+AG85+AC85</f>
        <v>17434.21759</v>
      </c>
      <c r="AN85" s="2399">
        <f>+AH85+AJ85</f>
        <v>99933.383505264865</v>
      </c>
      <c r="AO85" s="2399">
        <f>+AI85+AK85</f>
        <v>64483.820390000008</v>
      </c>
      <c r="AP85" s="1140">
        <f>+AP78</f>
        <v>14129.433962264153</v>
      </c>
      <c r="AQ85" s="1970">
        <v>9681.2000000000007</v>
      </c>
      <c r="AR85" s="2399">
        <f>+AN85+AP85</f>
        <v>114062.81746752902</v>
      </c>
      <c r="AS85" s="2399">
        <f>+AO85+AQ85</f>
        <v>74165.020390000005</v>
      </c>
      <c r="AT85" s="1140">
        <f>+AT78</f>
        <v>12714.339622641512</v>
      </c>
      <c r="AU85" s="1970">
        <v>7004.5199999999995</v>
      </c>
      <c r="AV85" s="6315">
        <f>+AR85+AT85</f>
        <v>126777.15709017053</v>
      </c>
      <c r="AW85" s="6315">
        <f>+AS85+AU85</f>
        <v>81169.540390000009</v>
      </c>
      <c r="AX85" s="1140">
        <f>+AX78</f>
        <v>14129.433962264153</v>
      </c>
      <c r="AY85" s="1970">
        <v>9846.5879999999979</v>
      </c>
      <c r="AZ85" s="3066">
        <f>+AX85+AT85+AP85</f>
        <v>40973.207547169819</v>
      </c>
      <c r="BA85" s="3066">
        <f>+AY85+AU85+AQ85</f>
        <v>26532.307999999997</v>
      </c>
      <c r="BB85" s="3074">
        <f t="shared" ref="BB85:BB93" si="524">+AL85+AZ85</f>
        <v>82908.679245283027</v>
      </c>
      <c r="BC85" s="3074">
        <f t="shared" ref="BC85:BC93" si="525">+AM85+BA85</f>
        <v>43966.525589999997</v>
      </c>
      <c r="BD85" s="2399">
        <f>+AV85+AX85</f>
        <v>140906.59105243467</v>
      </c>
      <c r="BE85" s="2399">
        <f>+AW85+AY85</f>
        <v>91016.128390000013</v>
      </c>
      <c r="BF85" s="26"/>
      <c r="BG85" s="26"/>
      <c r="BH85" s="26"/>
      <c r="BI85" s="26"/>
      <c r="BJ85" s="1222"/>
    </row>
    <row r="86" spans="1:62" s="5172" customFormat="1" ht="15.75" hidden="1" x14ac:dyDescent="0.25">
      <c r="A86" s="93"/>
      <c r="B86" s="7056"/>
      <c r="C86" s="7053"/>
      <c r="D86" s="7057">
        <v>9.2592067988668578</v>
      </c>
      <c r="E86" s="6679"/>
      <c r="F86" s="7057">
        <v>16.731030491333879</v>
      </c>
      <c r="G86" s="6679"/>
      <c r="H86" s="6672"/>
      <c r="I86" s="6672"/>
      <c r="J86" s="7057"/>
      <c r="K86" s="6679"/>
      <c r="L86" s="6680"/>
      <c r="M86" s="6680"/>
      <c r="N86" s="7057"/>
      <c r="O86" s="6679"/>
      <c r="P86" s="6672"/>
      <c r="Q86" s="6672"/>
      <c r="R86" s="7057"/>
      <c r="S86" s="6679"/>
      <c r="T86" s="6672"/>
      <c r="U86" s="6672"/>
      <c r="V86" s="7057"/>
      <c r="W86" s="6679"/>
      <c r="X86" s="6680"/>
      <c r="Y86" s="6680"/>
      <c r="Z86" s="6848"/>
      <c r="AA86" s="6848"/>
      <c r="AB86" s="7057"/>
      <c r="AC86" s="6679"/>
      <c r="AD86" s="6672"/>
      <c r="AE86" s="6672"/>
      <c r="AF86" s="7057"/>
      <c r="AG86" s="6679"/>
      <c r="AH86" s="6672"/>
      <c r="AI86" s="6672"/>
      <c r="AJ86" s="7057"/>
      <c r="AK86" s="6679"/>
      <c r="AL86" s="6680"/>
      <c r="AM86" s="6680"/>
      <c r="AN86" s="6672"/>
      <c r="AO86" s="6672"/>
      <c r="AP86" s="7057"/>
      <c r="AQ86" s="6679"/>
      <c r="AR86" s="6672"/>
      <c r="AS86" s="6672"/>
      <c r="AT86" s="7057"/>
      <c r="AU86" s="6679"/>
      <c r="AV86" s="6672"/>
      <c r="AW86" s="6672"/>
      <c r="AX86" s="7057"/>
      <c r="AY86" s="6679"/>
      <c r="AZ86" s="6680"/>
      <c r="BA86" s="6680"/>
      <c r="BB86" s="6848"/>
      <c r="BC86" s="6848"/>
      <c r="BD86" s="6672"/>
      <c r="BE86" s="6672"/>
      <c r="BF86" s="26"/>
      <c r="BG86" s="26"/>
      <c r="BH86" s="26"/>
      <c r="BI86" s="26"/>
      <c r="BJ86" s="1222"/>
    </row>
    <row r="87" spans="1:62" ht="15.75" x14ac:dyDescent="0.25">
      <c r="A87" s="93"/>
      <c r="B87" s="1020" t="s">
        <v>1357</v>
      </c>
      <c r="C87" s="159" t="s">
        <v>326</v>
      </c>
      <c r="D87" s="7054">
        <f>D88*D$3*24</f>
        <v>3763.1236144510149</v>
      </c>
      <c r="E87" s="1204">
        <v>2871.9149238493778</v>
      </c>
      <c r="F87" s="7230">
        <f>F88*F$3*24</f>
        <v>1116.5902167604945</v>
      </c>
      <c r="G87" s="1970">
        <v>3828.6043275515049</v>
      </c>
      <c r="H87" s="783">
        <f>+D87+F87</f>
        <v>4879.7138312115094</v>
      </c>
      <c r="I87" s="783">
        <f>+E87+G87</f>
        <v>6700.5192514008831</v>
      </c>
      <c r="J87" s="1140"/>
      <c r="K87" s="1970">
        <v>212.71693885690868</v>
      </c>
      <c r="L87" s="782">
        <f t="shared" ref="L87:L91" si="526">+H87+J87</f>
        <v>4879.7138312115094</v>
      </c>
      <c r="M87" s="782">
        <f t="shared" ref="M87:M91" si="527">+I87+K87</f>
        <v>6913.2361902577923</v>
      </c>
      <c r="N87" s="1140"/>
      <c r="O87" s="1970">
        <v>373.75597150701032</v>
      </c>
      <c r="P87" s="783"/>
      <c r="Q87" s="1727">
        <f t="shared" ref="Q87:Q91" si="528">+M87+O87</f>
        <v>7286.9921617648024</v>
      </c>
      <c r="R87" s="1140"/>
      <c r="S87" s="1970">
        <v>878.36731005028878</v>
      </c>
      <c r="T87" s="4953"/>
      <c r="U87" s="4953">
        <f t="shared" ref="U87:U91" si="529">+Q87+S87</f>
        <v>8165.3594718150907</v>
      </c>
      <c r="V87" s="1140"/>
      <c r="W87" s="1970">
        <v>2642.1519790228094</v>
      </c>
      <c r="X87" s="782"/>
      <c r="Y87" s="2267">
        <f t="shared" ref="Y87:Y93" si="530">+W87+S87+O87</f>
        <v>3894.2752605801084</v>
      </c>
      <c r="Z87" s="465">
        <f t="shared" ref="Z87:Z91" si="531">+L87+X87</f>
        <v>4879.7138312115094</v>
      </c>
      <c r="AA87" s="465">
        <f t="shared" ref="AA87:AA93" si="532">+Y87+M87</f>
        <v>10807.511450837901</v>
      </c>
      <c r="AB87" s="1140"/>
      <c r="AC87" s="1970">
        <v>3019.3516235706343</v>
      </c>
      <c r="AD87" s="2399"/>
      <c r="AE87" s="2399">
        <f t="shared" ref="AE87:AE91" si="533">+AA87+AC87</f>
        <v>13826.863074408535</v>
      </c>
      <c r="AF87" s="1140"/>
      <c r="AG87" s="1970">
        <v>132.37758355994754</v>
      </c>
      <c r="AH87" s="5568"/>
      <c r="AI87" s="5568">
        <f t="shared" ref="AI87:AI91" si="534">+AE87+AG87</f>
        <v>13959.240657968483</v>
      </c>
      <c r="AJ87" s="1140"/>
      <c r="AK87" s="1970">
        <v>1395.6334968423807</v>
      </c>
      <c r="AL87" s="2746"/>
      <c r="AM87" s="2746">
        <f t="shared" ref="AM87:AM93" si="535">+AK87+AG87+AC87</f>
        <v>4547.3627039729627</v>
      </c>
      <c r="AN87" s="2399"/>
      <c r="AO87" s="2399">
        <f t="shared" ref="AO87:AO91" si="536">+AI87+AK87</f>
        <v>15354.874154810863</v>
      </c>
      <c r="AP87" s="1140"/>
      <c r="AQ87" s="1970">
        <v>2751.2</v>
      </c>
      <c r="AR87" s="2399"/>
      <c r="AS87" s="2399">
        <f t="shared" ref="AS87:AS91" si="537">+AO87+AQ87</f>
        <v>18106.074154810864</v>
      </c>
      <c r="AT87" s="1140"/>
      <c r="AU87" s="1970">
        <v>3071.6810124780718</v>
      </c>
      <c r="AV87" s="6315"/>
      <c r="AW87" s="6315">
        <f t="shared" ref="AW87:AW91" si="538">+AS87+AU87</f>
        <v>21177.755167288935</v>
      </c>
      <c r="AX87" s="1140"/>
      <c r="AY87" s="1970">
        <v>2718.2397458248502</v>
      </c>
      <c r="AZ87" s="3066"/>
      <c r="BA87" s="3066">
        <f t="shared" ref="BA87:BA93" si="539">+AY87+AU87+AQ87</f>
        <v>8541.1207583029209</v>
      </c>
      <c r="BB87" s="3074">
        <f t="shared" si="524"/>
        <v>0</v>
      </c>
      <c r="BC87" s="3074">
        <f t="shared" si="525"/>
        <v>13088.483462275883</v>
      </c>
      <c r="BD87" s="2399"/>
      <c r="BE87" s="2399">
        <f t="shared" ref="BE87:BE91" si="540">+AW87+AY87</f>
        <v>23895.994913113784</v>
      </c>
      <c r="BF87" s="26"/>
      <c r="BG87" s="26"/>
      <c r="BH87" s="26"/>
      <c r="BI87" s="26"/>
      <c r="BJ87" s="1222"/>
    </row>
    <row r="88" spans="1:62" s="5172" customFormat="1" ht="15.75" hidden="1" x14ac:dyDescent="0.25">
      <c r="A88" s="93"/>
      <c r="B88" s="7056"/>
      <c r="C88" s="7053"/>
      <c r="D88" s="7057">
        <v>5.2265605756264097</v>
      </c>
      <c r="E88" s="6679"/>
      <c r="F88" s="7057">
        <v>1.5007933020974389</v>
      </c>
      <c r="G88" s="6679"/>
      <c r="H88" s="6672"/>
      <c r="I88" s="6672"/>
      <c r="J88" s="7057"/>
      <c r="K88" s="6679"/>
      <c r="L88" s="6680"/>
      <c r="M88" s="6680"/>
      <c r="N88" s="7057"/>
      <c r="O88" s="6679"/>
      <c r="P88" s="6672"/>
      <c r="Q88" s="6672"/>
      <c r="R88" s="7057"/>
      <c r="S88" s="6679"/>
      <c r="T88" s="6672"/>
      <c r="U88" s="6672"/>
      <c r="V88" s="7057"/>
      <c r="W88" s="6679"/>
      <c r="X88" s="6680"/>
      <c r="Y88" s="6680"/>
      <c r="Z88" s="6848"/>
      <c r="AA88" s="6848"/>
      <c r="AB88" s="7057"/>
      <c r="AC88" s="6679"/>
      <c r="AD88" s="6672"/>
      <c r="AE88" s="6672"/>
      <c r="AF88" s="7057"/>
      <c r="AG88" s="6679"/>
      <c r="AH88" s="6672"/>
      <c r="AI88" s="6672"/>
      <c r="AJ88" s="7057"/>
      <c r="AK88" s="6679"/>
      <c r="AL88" s="6680"/>
      <c r="AM88" s="6680"/>
      <c r="AN88" s="6672"/>
      <c r="AO88" s="6672"/>
      <c r="AP88" s="7057"/>
      <c r="AQ88" s="6679"/>
      <c r="AR88" s="6672"/>
      <c r="AS88" s="6672"/>
      <c r="AT88" s="7057"/>
      <c r="AU88" s="6679"/>
      <c r="AV88" s="6672"/>
      <c r="AW88" s="6672"/>
      <c r="AX88" s="7057"/>
      <c r="AY88" s="6679"/>
      <c r="AZ88" s="6680"/>
      <c r="BA88" s="6680"/>
      <c r="BB88" s="6848"/>
      <c r="BC88" s="6848"/>
      <c r="BD88" s="6672"/>
      <c r="BE88" s="6672"/>
      <c r="BF88" s="26"/>
      <c r="BG88" s="26"/>
      <c r="BH88" s="26"/>
      <c r="BI88" s="26"/>
      <c r="BJ88" s="1222"/>
    </row>
    <row r="89" spans="1:62" ht="15.75" x14ac:dyDescent="0.25">
      <c r="A89" s="93"/>
      <c r="B89" s="1020" t="s">
        <v>91</v>
      </c>
      <c r="C89" s="159" t="s">
        <v>326</v>
      </c>
      <c r="D89" s="7054">
        <f>D90*D$3*24</f>
        <v>2289.9023670908255</v>
      </c>
      <c r="E89" s="1204">
        <v>1919.7050625478087</v>
      </c>
      <c r="F89" s="7230">
        <f>F90*F$3*24</f>
        <v>673.78073254620631</v>
      </c>
      <c r="G89" s="1970">
        <v>2845.3154649731773</v>
      </c>
      <c r="H89" s="783">
        <f t="shared" ref="H89:H93" si="541">+D89+F89</f>
        <v>2963.6830996370318</v>
      </c>
      <c r="I89" s="783">
        <f t="shared" ref="I89:I93" si="542">+E89+G89</f>
        <v>4765.0205275209864</v>
      </c>
      <c r="J89" s="1140"/>
      <c r="K89" s="1970">
        <v>234.55217809855819</v>
      </c>
      <c r="L89" s="782">
        <f t="shared" si="526"/>
        <v>2963.6830996370318</v>
      </c>
      <c r="M89" s="782">
        <f t="shared" si="527"/>
        <v>4999.5727056195446</v>
      </c>
      <c r="N89" s="1140"/>
      <c r="O89" s="1970">
        <v>311.62151003811886</v>
      </c>
      <c r="P89" s="783"/>
      <c r="Q89" s="1727">
        <f t="shared" si="528"/>
        <v>5311.1942156576633</v>
      </c>
      <c r="R89" s="1140"/>
      <c r="S89" s="1970">
        <v>712.24775263725485</v>
      </c>
      <c r="T89" s="4953"/>
      <c r="U89" s="4953">
        <f t="shared" si="529"/>
        <v>6023.4419682949183</v>
      </c>
      <c r="V89" s="1140"/>
      <c r="W89" s="1970">
        <v>2002.5943099809901</v>
      </c>
      <c r="X89" s="782"/>
      <c r="Y89" s="2267">
        <f t="shared" si="530"/>
        <v>3026.4635726563638</v>
      </c>
      <c r="Z89" s="465">
        <f t="shared" si="531"/>
        <v>2963.6830996370318</v>
      </c>
      <c r="AA89" s="2268">
        <f t="shared" si="532"/>
        <v>8026.0362782759084</v>
      </c>
      <c r="AB89" s="1140"/>
      <c r="AC89" s="1970">
        <v>2207.0267424974254</v>
      </c>
      <c r="AD89" s="2399"/>
      <c r="AE89" s="2399">
        <f t="shared" si="533"/>
        <v>10233.063020773334</v>
      </c>
      <c r="AF89" s="1140"/>
      <c r="AG89" s="1970">
        <v>56.879831283514164</v>
      </c>
      <c r="AH89" s="5568"/>
      <c r="AI89" s="5568">
        <f t="shared" si="534"/>
        <v>10289.942852056847</v>
      </c>
      <c r="AJ89" s="1140"/>
      <c r="AK89" s="1970">
        <v>1052.2775728507202</v>
      </c>
      <c r="AL89" s="2746"/>
      <c r="AM89" s="2746">
        <f t="shared" si="535"/>
        <v>3316.18414663166</v>
      </c>
      <c r="AN89" s="2399"/>
      <c r="AO89" s="2399">
        <f t="shared" si="536"/>
        <v>11342.220424907568</v>
      </c>
      <c r="AP89" s="1140"/>
      <c r="AQ89" s="1970">
        <v>1863.2</v>
      </c>
      <c r="AR89" s="2399"/>
      <c r="AS89" s="2399">
        <f t="shared" si="537"/>
        <v>13205.420424907568</v>
      </c>
      <c r="AT89" s="1140"/>
      <c r="AU89" s="1970">
        <v>2313.9897118753702</v>
      </c>
      <c r="AV89" s="6315"/>
      <c r="AW89" s="6315">
        <f t="shared" si="538"/>
        <v>15519.410136782939</v>
      </c>
      <c r="AX89" s="1140"/>
      <c r="AY89" s="1970">
        <v>1797.9179919972617</v>
      </c>
      <c r="AZ89" s="3066"/>
      <c r="BA89" s="3066">
        <f t="shared" si="539"/>
        <v>5975.1077038726316</v>
      </c>
      <c r="BB89" s="3074">
        <f t="shared" si="524"/>
        <v>0</v>
      </c>
      <c r="BC89" s="3074">
        <f t="shared" si="525"/>
        <v>9291.2918505042908</v>
      </c>
      <c r="BD89" s="2399"/>
      <c r="BE89" s="2399">
        <f t="shared" si="540"/>
        <v>17317.328128780202</v>
      </c>
      <c r="BF89" s="26"/>
      <c r="BG89" s="26"/>
      <c r="BH89" s="26"/>
      <c r="BI89" s="26"/>
      <c r="BJ89" s="1222"/>
    </row>
    <row r="90" spans="1:62" s="5172" customFormat="1" ht="15.75" hidden="1" x14ac:dyDescent="0.25">
      <c r="A90" s="93"/>
      <c r="B90" s="7056"/>
      <c r="C90" s="7053"/>
      <c r="D90" s="7057">
        <v>3.1804199542928133</v>
      </c>
      <c r="E90" s="6679"/>
      <c r="F90" s="7057">
        <v>0.90561926417500849</v>
      </c>
      <c r="G90" s="6679"/>
      <c r="H90" s="6672"/>
      <c r="I90" s="6672"/>
      <c r="J90" s="7057"/>
      <c r="K90" s="6679"/>
      <c r="L90" s="6680"/>
      <c r="M90" s="6680"/>
      <c r="N90" s="7057"/>
      <c r="O90" s="6679"/>
      <c r="P90" s="6672"/>
      <c r="Q90" s="6672"/>
      <c r="R90" s="7057"/>
      <c r="S90" s="6679"/>
      <c r="T90" s="6672"/>
      <c r="U90" s="6672"/>
      <c r="V90" s="7057"/>
      <c r="W90" s="6679"/>
      <c r="X90" s="6680"/>
      <c r="Y90" s="6680"/>
      <c r="Z90" s="6848"/>
      <c r="AA90" s="6848"/>
      <c r="AB90" s="7057"/>
      <c r="AC90" s="6679"/>
      <c r="AD90" s="6672"/>
      <c r="AE90" s="6672"/>
      <c r="AF90" s="7057"/>
      <c r="AG90" s="6679"/>
      <c r="AH90" s="6672"/>
      <c r="AI90" s="6672"/>
      <c r="AJ90" s="7057"/>
      <c r="AK90" s="6679"/>
      <c r="AL90" s="6680"/>
      <c r="AM90" s="6680"/>
      <c r="AN90" s="6672"/>
      <c r="AO90" s="6672"/>
      <c r="AP90" s="7057"/>
      <c r="AQ90" s="6679"/>
      <c r="AR90" s="6672"/>
      <c r="AS90" s="6672"/>
      <c r="AT90" s="7057"/>
      <c r="AU90" s="6679"/>
      <c r="AV90" s="6672"/>
      <c r="AW90" s="6672"/>
      <c r="AX90" s="7057"/>
      <c r="AY90" s="6679"/>
      <c r="AZ90" s="6680"/>
      <c r="BA90" s="6680"/>
      <c r="BB90" s="6848"/>
      <c r="BC90" s="6848"/>
      <c r="BD90" s="6672"/>
      <c r="BE90" s="6672"/>
      <c r="BF90" s="26"/>
      <c r="BG90" s="26"/>
      <c r="BH90" s="26"/>
      <c r="BI90" s="26"/>
      <c r="BJ90" s="1222"/>
    </row>
    <row r="91" spans="1:62" ht="15.75" x14ac:dyDescent="0.25">
      <c r="A91" s="93"/>
      <c r="B91" s="1020" t="s">
        <v>1358</v>
      </c>
      <c r="C91" s="159" t="s">
        <v>326</v>
      </c>
      <c r="D91" s="7054">
        <f>D92*D$3*24</f>
        <v>1506.9740184581592</v>
      </c>
      <c r="E91" s="1204">
        <v>1401.8420136028144</v>
      </c>
      <c r="F91" s="7230">
        <f>F92*F$3*24</f>
        <v>441.62905069329918</v>
      </c>
      <c r="G91" s="1970">
        <v>1946.9502074753182</v>
      </c>
      <c r="H91" s="783">
        <f t="shared" si="541"/>
        <v>1948.6030691514584</v>
      </c>
      <c r="I91" s="783">
        <f t="shared" si="542"/>
        <v>3348.7922210781326</v>
      </c>
      <c r="J91" s="1140"/>
      <c r="K91" s="1970">
        <v>125.57188304453311</v>
      </c>
      <c r="L91" s="782">
        <f t="shared" si="526"/>
        <v>1948.6030691514584</v>
      </c>
      <c r="M91" s="782">
        <f t="shared" si="527"/>
        <v>3474.3641041226656</v>
      </c>
      <c r="N91" s="1140"/>
      <c r="O91" s="1970">
        <v>188.74851845487098</v>
      </c>
      <c r="P91" s="783"/>
      <c r="Q91" s="1727">
        <f t="shared" si="528"/>
        <v>3663.1126225775365</v>
      </c>
      <c r="R91" s="1140"/>
      <c r="S91" s="1970">
        <v>466.34393731245621</v>
      </c>
      <c r="T91" s="4953"/>
      <c r="U91" s="4953">
        <f t="shared" si="529"/>
        <v>4129.4565598899926</v>
      </c>
      <c r="V91" s="1140"/>
      <c r="W91" s="1970">
        <v>1370.4159109961997</v>
      </c>
      <c r="X91" s="782"/>
      <c r="Y91" s="2267">
        <f t="shared" si="530"/>
        <v>2025.5083667635267</v>
      </c>
      <c r="Z91" s="465">
        <f t="shared" si="531"/>
        <v>1948.6030691514584</v>
      </c>
      <c r="AA91" s="2268">
        <f t="shared" si="532"/>
        <v>5499.8724708861919</v>
      </c>
      <c r="AB91" s="1140"/>
      <c r="AC91" s="1970">
        <v>1476.866753931941</v>
      </c>
      <c r="AD91" s="2399"/>
      <c r="AE91" s="2399">
        <f t="shared" si="533"/>
        <v>6976.7392248181332</v>
      </c>
      <c r="AF91" s="1140"/>
      <c r="AG91" s="1970">
        <v>78.068585156538234</v>
      </c>
      <c r="AH91" s="5568"/>
      <c r="AI91" s="5568">
        <f t="shared" si="534"/>
        <v>7054.8078099746717</v>
      </c>
      <c r="AJ91" s="1140"/>
      <c r="AK91" s="1970">
        <v>640.28193030689863</v>
      </c>
      <c r="AL91" s="2746"/>
      <c r="AM91" s="2746">
        <f t="shared" si="535"/>
        <v>2195.217269395378</v>
      </c>
      <c r="AN91" s="2399"/>
      <c r="AO91" s="2399">
        <f t="shared" si="536"/>
        <v>7695.0897402815699</v>
      </c>
      <c r="AP91" s="1140"/>
      <c r="AQ91" s="1970">
        <v>1346.4</v>
      </c>
      <c r="AR91" s="2399"/>
      <c r="AS91" s="2399">
        <f t="shared" si="537"/>
        <v>9041.4897402815695</v>
      </c>
      <c r="AT91" s="1140"/>
      <c r="AU91" s="1970">
        <v>1508.8122756465575</v>
      </c>
      <c r="AV91" s="6315"/>
      <c r="AW91" s="6315">
        <f t="shared" si="538"/>
        <v>10550.302015928128</v>
      </c>
      <c r="AX91" s="1140"/>
      <c r="AY91" s="1970">
        <v>1434.8882621778878</v>
      </c>
      <c r="AZ91" s="3066"/>
      <c r="BA91" s="3066">
        <f t="shared" si="539"/>
        <v>4290.1005378244454</v>
      </c>
      <c r="BB91" s="3074">
        <f t="shared" si="524"/>
        <v>0</v>
      </c>
      <c r="BC91" s="3074">
        <f t="shared" si="525"/>
        <v>6485.3178072198234</v>
      </c>
      <c r="BD91" s="2399"/>
      <c r="BE91" s="2399">
        <f t="shared" si="540"/>
        <v>11985.190278106016</v>
      </c>
      <c r="BF91" s="26"/>
      <c r="BG91" s="26"/>
      <c r="BH91" s="26"/>
      <c r="BI91" s="26"/>
      <c r="BJ91" s="1222"/>
    </row>
    <row r="92" spans="1:62" s="5172" customFormat="1" ht="15.75" hidden="1" x14ac:dyDescent="0.25">
      <c r="A92" s="93"/>
      <c r="B92" s="7056"/>
      <c r="C92" s="7053"/>
      <c r="D92" s="7057">
        <v>2.0930194700807765</v>
      </c>
      <c r="E92" s="6679"/>
      <c r="F92" s="7057">
        <v>0.59358743372755263</v>
      </c>
      <c r="G92" s="6679"/>
      <c r="H92" s="6672"/>
      <c r="I92" s="6672"/>
      <c r="J92" s="7057"/>
      <c r="K92" s="6679"/>
      <c r="L92" s="6680"/>
      <c r="M92" s="6680"/>
      <c r="N92" s="7057"/>
      <c r="O92" s="6679"/>
      <c r="P92" s="6672"/>
      <c r="Q92" s="6672"/>
      <c r="R92" s="7057"/>
      <c r="S92" s="6679"/>
      <c r="T92" s="6672"/>
      <c r="U92" s="6672"/>
      <c r="V92" s="7057"/>
      <c r="W92" s="6679"/>
      <c r="X92" s="6680"/>
      <c r="Y92" s="6680"/>
      <c r="Z92" s="6848"/>
      <c r="AA92" s="6848"/>
      <c r="AB92" s="7057"/>
      <c r="AC92" s="6679"/>
      <c r="AD92" s="6672"/>
      <c r="AE92" s="6672"/>
      <c r="AF92" s="7057"/>
      <c r="AG92" s="6679"/>
      <c r="AH92" s="6672"/>
      <c r="AI92" s="6672"/>
      <c r="AJ92" s="7057"/>
      <c r="AK92" s="6679"/>
      <c r="AL92" s="6680"/>
      <c r="AM92" s="6680"/>
      <c r="AN92" s="6672"/>
      <c r="AO92" s="6672"/>
      <c r="AP92" s="7057"/>
      <c r="AQ92" s="6679"/>
      <c r="AR92" s="6672"/>
      <c r="AS92" s="6672"/>
      <c r="AT92" s="7057"/>
      <c r="AU92" s="6679"/>
      <c r="AV92" s="6672"/>
      <c r="AW92" s="6672"/>
      <c r="AX92" s="7057"/>
      <c r="AY92" s="6679"/>
      <c r="AZ92" s="6680"/>
      <c r="BA92" s="6680"/>
      <c r="BB92" s="6848"/>
      <c r="BC92" s="6848"/>
      <c r="BD92" s="6672"/>
      <c r="BE92" s="6672"/>
      <c r="BF92" s="26"/>
      <c r="BG92" s="26"/>
      <c r="BH92" s="26"/>
      <c r="BI92" s="26"/>
      <c r="BJ92" s="1222"/>
    </row>
    <row r="93" spans="1:62" x14ac:dyDescent="0.25">
      <c r="A93" s="93"/>
      <c r="B93" s="1020" t="s">
        <v>54</v>
      </c>
      <c r="C93" s="159" t="s">
        <v>326</v>
      </c>
      <c r="D93" s="1137"/>
      <c r="E93" s="1204"/>
      <c r="F93" s="7226"/>
      <c r="G93" s="1970"/>
      <c r="H93" s="783">
        <f t="shared" si="541"/>
        <v>0</v>
      </c>
      <c r="I93" s="783">
        <f t="shared" si="542"/>
        <v>0</v>
      </c>
      <c r="J93" s="4616"/>
      <c r="K93" s="1970">
        <v>0</v>
      </c>
      <c r="L93" s="782">
        <f>+H93+J93</f>
        <v>0</v>
      </c>
      <c r="M93" s="948">
        <f>+I93+K93</f>
        <v>0</v>
      </c>
      <c r="N93" s="4811"/>
      <c r="O93" s="1970">
        <v>0</v>
      </c>
      <c r="P93" s="783">
        <f>+L93+N93</f>
        <v>0</v>
      </c>
      <c r="Q93" s="590">
        <f>+M93+O93</f>
        <v>0</v>
      </c>
      <c r="R93" s="4956"/>
      <c r="S93" s="1970">
        <v>0</v>
      </c>
      <c r="T93" s="4953">
        <f>+P93+R93</f>
        <v>0</v>
      </c>
      <c r="U93" s="4954">
        <f>+Q93+S93</f>
        <v>0</v>
      </c>
      <c r="V93" s="5176"/>
      <c r="W93" s="1970"/>
      <c r="X93" s="782">
        <f>+V93+R93+N93</f>
        <v>0</v>
      </c>
      <c r="Y93" s="2267">
        <f t="shared" si="530"/>
        <v>0</v>
      </c>
      <c r="Z93" s="465">
        <f>+L93+X93</f>
        <v>0</v>
      </c>
      <c r="AA93" s="2268">
        <f t="shared" si="532"/>
        <v>0</v>
      </c>
      <c r="AB93" s="5429"/>
      <c r="AC93" s="1970">
        <v>0</v>
      </c>
      <c r="AD93" s="2399">
        <f>+Z93+AB93</f>
        <v>0</v>
      </c>
      <c r="AE93" s="590">
        <f>+AA93+AC93</f>
        <v>0</v>
      </c>
      <c r="AF93" s="5566"/>
      <c r="AG93" s="1970"/>
      <c r="AH93" s="5568">
        <f>+AD93+AF93</f>
        <v>0</v>
      </c>
      <c r="AI93" s="5567">
        <f>+AE93+AG93</f>
        <v>0</v>
      </c>
      <c r="AJ93" s="5994"/>
      <c r="AK93" s="1970"/>
      <c r="AL93" s="2746">
        <f>+AJ93+AF93+AB93</f>
        <v>0</v>
      </c>
      <c r="AM93" s="2746">
        <f t="shared" si="535"/>
        <v>0</v>
      </c>
      <c r="AN93" s="2399">
        <f>+AH93+AJ93</f>
        <v>0</v>
      </c>
      <c r="AO93" s="590">
        <f>+AI93+AK93</f>
        <v>0</v>
      </c>
      <c r="AP93" s="6136"/>
      <c r="AQ93" s="1970"/>
      <c r="AR93" s="2399">
        <f>+AN93+AP93</f>
        <v>0</v>
      </c>
      <c r="AS93" s="590">
        <f>+AO93+AQ93</f>
        <v>0</v>
      </c>
      <c r="AT93" s="6312"/>
      <c r="AU93" s="1970"/>
      <c r="AV93" s="6315">
        <f>+AR93+AT93</f>
        <v>0</v>
      </c>
      <c r="AW93" s="6314">
        <f>+AS93+AU93</f>
        <v>0</v>
      </c>
      <c r="AX93" s="6588"/>
      <c r="AY93" s="1970"/>
      <c r="AZ93" s="3066">
        <f>+AX93+AT93+AP93</f>
        <v>0</v>
      </c>
      <c r="BA93" s="3066">
        <f t="shared" si="539"/>
        <v>0</v>
      </c>
      <c r="BB93" s="3074">
        <f t="shared" si="524"/>
        <v>0</v>
      </c>
      <c r="BC93" s="3074">
        <f t="shared" si="525"/>
        <v>0</v>
      </c>
      <c r="BD93" s="2399">
        <f>+AV93+AX93</f>
        <v>0</v>
      </c>
      <c r="BE93" s="590">
        <f>+AW93+AY93</f>
        <v>0</v>
      </c>
      <c r="BF93" s="26"/>
      <c r="BG93" s="26"/>
      <c r="BH93" s="26"/>
      <c r="BI93" s="26"/>
      <c r="BJ93" s="1222"/>
    </row>
    <row r="94" spans="1:62" ht="18.75" x14ac:dyDescent="0.25">
      <c r="A94" s="93"/>
      <c r="B94" s="1034" t="s">
        <v>61</v>
      </c>
      <c r="C94" s="1019" t="s">
        <v>326</v>
      </c>
      <c r="D94" s="621">
        <f>D85+D87+D89+D91+D93</f>
        <v>14226.628895184136</v>
      </c>
      <c r="E94" s="648">
        <f t="shared" ref="E94:G94" si="543">SUM(E85:E93)</f>
        <v>11375.146000000001</v>
      </c>
      <c r="F94" s="621">
        <f>F85+F87+F89+F91+F93</f>
        <v>14679.886685552407</v>
      </c>
      <c r="G94" s="3417">
        <f t="shared" si="543"/>
        <v>13088.434000000001</v>
      </c>
      <c r="H94" s="649">
        <f t="shared" ref="H94:AE94" si="544">SUM(H85:H93)</f>
        <v>28906.515580736541</v>
      </c>
      <c r="I94" s="649">
        <f t="shared" si="544"/>
        <v>24463.58</v>
      </c>
      <c r="J94" s="621">
        <f t="shared" si="544"/>
        <v>8388.6792452830196</v>
      </c>
      <c r="K94" s="3417">
        <f t="shared" si="544"/>
        <v>8459.8950000000023</v>
      </c>
      <c r="L94" s="650">
        <f t="shared" si="544"/>
        <v>37295.194826019564</v>
      </c>
      <c r="M94" s="650">
        <f t="shared" si="544"/>
        <v>32923.475000000006</v>
      </c>
      <c r="N94" s="621">
        <f t="shared" ref="N94:O94" si="545">SUM(N85:N93)</f>
        <v>3820.754716981131</v>
      </c>
      <c r="O94" s="3417">
        <f t="shared" si="545"/>
        <v>10050.737000000003</v>
      </c>
      <c r="P94" s="649">
        <f t="shared" si="544"/>
        <v>31323.949543000694</v>
      </c>
      <c r="Q94" s="649">
        <f t="shared" si="544"/>
        <v>42974.212000000007</v>
      </c>
      <c r="R94" s="621">
        <f t="shared" si="544"/>
        <v>13563.396226415098</v>
      </c>
      <c r="S94" s="3417">
        <f t="shared" si="544"/>
        <v>14032.262000000001</v>
      </c>
      <c r="T94" s="3705">
        <f t="shared" ref="T94:W94" si="546">SUM(T85:T93)</f>
        <v>44887.345769415791</v>
      </c>
      <c r="U94" s="3705">
        <f t="shared" si="546"/>
        <v>57006.474000000002</v>
      </c>
      <c r="V94" s="621">
        <f t="shared" si="546"/>
        <v>13110.566037735851</v>
      </c>
      <c r="W94" s="3417">
        <f t="shared" si="546"/>
        <v>14376.548999999999</v>
      </c>
      <c r="X94" s="650">
        <f t="shared" si="544"/>
        <v>30494.716981132078</v>
      </c>
      <c r="Y94" s="650">
        <f t="shared" si="544"/>
        <v>38459.548000000003</v>
      </c>
      <c r="Z94" s="651">
        <f t="shared" si="544"/>
        <v>67789.911807151642</v>
      </c>
      <c r="AA94" s="651">
        <f t="shared" si="544"/>
        <v>71383.023000000016</v>
      </c>
      <c r="AB94" s="621">
        <f t="shared" si="544"/>
        <v>14129.433962264153</v>
      </c>
      <c r="AC94" s="3417">
        <f t="shared" si="544"/>
        <v>13153.833710000001</v>
      </c>
      <c r="AD94" s="2638">
        <f t="shared" si="544"/>
        <v>72127.345769415799</v>
      </c>
      <c r="AE94" s="2638">
        <f t="shared" si="544"/>
        <v>84536.856710000007</v>
      </c>
      <c r="AF94" s="621">
        <f t="shared" ref="AF94:AI94" si="547">SUM(AF85:AF93)</f>
        <v>13676.603773584906</v>
      </c>
      <c r="AG94" s="3417">
        <f t="shared" si="547"/>
        <v>378.4319999999999</v>
      </c>
      <c r="AH94" s="3705">
        <f t="shared" si="547"/>
        <v>85803.949543000708</v>
      </c>
      <c r="AI94" s="3705">
        <f t="shared" si="547"/>
        <v>84915.288710000023</v>
      </c>
      <c r="AJ94" s="621">
        <f t="shared" ref="AJ94:AK94" si="548">SUM(AJ85:AJ93)</f>
        <v>14129.433962264153</v>
      </c>
      <c r="AK94" s="3417">
        <f t="shared" si="548"/>
        <v>13960.716000000004</v>
      </c>
      <c r="AL94" s="2748">
        <f t="shared" ref="AL94:AQ94" si="549">SUM(AL85:AL93)</f>
        <v>41935.471698113208</v>
      </c>
      <c r="AM94" s="2748">
        <f t="shared" si="549"/>
        <v>27492.98171</v>
      </c>
      <c r="AN94" s="2747">
        <f t="shared" si="549"/>
        <v>99933.383505264865</v>
      </c>
      <c r="AO94" s="2747">
        <f t="shared" si="549"/>
        <v>98876.004710000023</v>
      </c>
      <c r="AP94" s="621">
        <f t="shared" si="549"/>
        <v>14129.433962264153</v>
      </c>
      <c r="AQ94" s="3417">
        <f t="shared" si="549"/>
        <v>15642.000000000002</v>
      </c>
      <c r="AR94" s="2814">
        <f t="shared" ref="AR94:AU94" si="550">SUM(AR85:AR93)</f>
        <v>114062.81746752902</v>
      </c>
      <c r="AS94" s="2814">
        <f t="shared" si="550"/>
        <v>114518.00471000001</v>
      </c>
      <c r="AT94" s="621">
        <f t="shared" si="550"/>
        <v>12714.339622641512</v>
      </c>
      <c r="AU94" s="3417">
        <f t="shared" si="550"/>
        <v>13899.003000000001</v>
      </c>
      <c r="AV94" s="3705">
        <f t="shared" ref="AV94:AY94" si="551">SUM(AV85:AV93)</f>
        <v>126777.15709017053</v>
      </c>
      <c r="AW94" s="3705">
        <f t="shared" si="551"/>
        <v>128417.00771000002</v>
      </c>
      <c r="AX94" s="621">
        <f t="shared" si="551"/>
        <v>14129.433962264153</v>
      </c>
      <c r="AY94" s="3417">
        <f t="shared" si="551"/>
        <v>15797.633999999998</v>
      </c>
      <c r="AZ94" s="3068">
        <f t="shared" ref="AZ94:BE94" si="552">SUM(AZ85:AZ93)</f>
        <v>40973.207547169819</v>
      </c>
      <c r="BA94" s="3068">
        <f t="shared" si="552"/>
        <v>45338.636999999995</v>
      </c>
      <c r="BB94" s="651">
        <f t="shared" si="552"/>
        <v>82908.679245283027</v>
      </c>
      <c r="BC94" s="651">
        <f t="shared" si="552"/>
        <v>72831.618709999995</v>
      </c>
      <c r="BD94" s="3067">
        <f t="shared" si="552"/>
        <v>140906.59105243467</v>
      </c>
      <c r="BE94" s="3067">
        <f t="shared" si="552"/>
        <v>144214.64171000003</v>
      </c>
      <c r="BF94" s="26"/>
      <c r="BG94" s="26"/>
      <c r="BH94" s="26"/>
      <c r="BI94" s="26"/>
      <c r="BJ94" s="1222"/>
    </row>
    <row r="95" spans="1:62" ht="20.25" x14ac:dyDescent="0.25">
      <c r="A95" s="93"/>
      <c r="B95" s="1021" t="s">
        <v>128</v>
      </c>
      <c r="C95" s="1021"/>
      <c r="D95" s="1016"/>
      <c r="E95" s="1021"/>
      <c r="F95" s="1016"/>
      <c r="G95" s="1021"/>
      <c r="H95" s="1021"/>
      <c r="I95" s="1021"/>
      <c r="J95" s="1016"/>
      <c r="K95" s="1021"/>
      <c r="L95" s="1021"/>
      <c r="M95" s="1021"/>
      <c r="N95" s="1016"/>
      <c r="O95" s="1021"/>
      <c r="P95" s="1021"/>
      <c r="Q95" s="1021"/>
      <c r="R95" s="1016"/>
      <c r="S95" s="1021"/>
      <c r="T95" s="1021"/>
      <c r="U95" s="1021"/>
      <c r="V95" s="1016"/>
      <c r="W95" s="1021"/>
      <c r="X95" s="1021"/>
      <c r="Y95" s="1021"/>
      <c r="Z95" s="1021"/>
      <c r="AA95" s="1021"/>
      <c r="AB95" s="1016"/>
      <c r="AC95" s="1021"/>
      <c r="AD95" s="1021"/>
      <c r="AE95" s="1021"/>
      <c r="AF95" s="1016"/>
      <c r="AG95" s="1021"/>
      <c r="AH95" s="1021"/>
      <c r="AI95" s="1021"/>
      <c r="AJ95" s="1016"/>
      <c r="AK95" s="1021"/>
      <c r="AL95" s="1021"/>
      <c r="AM95" s="1021"/>
      <c r="AN95" s="1021"/>
      <c r="AO95" s="1021"/>
      <c r="AP95" s="1016"/>
      <c r="AQ95" s="1021"/>
      <c r="AR95" s="1021"/>
      <c r="AS95" s="1021"/>
      <c r="AT95" s="1016"/>
      <c r="AU95" s="1021"/>
      <c r="AV95" s="1021"/>
      <c r="AW95" s="1021"/>
      <c r="AX95" s="1016"/>
      <c r="AY95" s="1021"/>
      <c r="AZ95" s="1021"/>
      <c r="BA95" s="1021"/>
      <c r="BB95" s="1021"/>
      <c r="BC95" s="1021"/>
      <c r="BD95" s="1021"/>
      <c r="BE95" s="1021"/>
      <c r="BF95" s="26"/>
      <c r="BG95" s="26"/>
      <c r="BH95" s="26"/>
      <c r="BI95" s="26"/>
      <c r="BJ95" s="1222"/>
    </row>
    <row r="96" spans="1:62" x14ac:dyDescent="0.25">
      <c r="B96" s="1018" t="s">
        <v>330</v>
      </c>
      <c r="C96" s="159" t="s">
        <v>329</v>
      </c>
      <c r="D96" s="205">
        <v>8000</v>
      </c>
      <c r="E96" s="1204">
        <v>8036.5204192648926</v>
      </c>
      <c r="F96" s="205">
        <v>8000</v>
      </c>
      <c r="G96" s="1970">
        <v>8037.7</v>
      </c>
      <c r="H96" s="590">
        <v>8000</v>
      </c>
      <c r="I96" s="783">
        <f>+((E96*E114)+(G96*G114))/I114</f>
        <v>8037.1209645087602</v>
      </c>
      <c r="J96" s="205">
        <v>8000</v>
      </c>
      <c r="K96" s="1970">
        <v>8028.4059999999999</v>
      </c>
      <c r="L96" s="948">
        <v>8000</v>
      </c>
      <c r="M96" s="782">
        <f>+((I96*I114)+(K96*K114))/M114</f>
        <v>8034.2572885173267</v>
      </c>
      <c r="N96" s="205">
        <v>8000</v>
      </c>
      <c r="O96" s="1970">
        <v>8028.527</v>
      </c>
      <c r="P96" s="590">
        <v>8000</v>
      </c>
      <c r="Q96" s="783">
        <f>+((M96*M114)+(O96*O114))/Q114</f>
        <v>8032.8065034269985</v>
      </c>
      <c r="R96" s="205">
        <v>8000</v>
      </c>
      <c r="S96" s="1970">
        <v>8028.6629999999996</v>
      </c>
      <c r="T96" s="4954">
        <v>8000</v>
      </c>
      <c r="U96" s="4953">
        <f>+((Q96*Q114)+(S96*S114))/U114</f>
        <v>8031.9669400903995</v>
      </c>
      <c r="V96" s="205">
        <v>8000</v>
      </c>
      <c r="W96" s="1970">
        <v>8028.7690000000002</v>
      </c>
      <c r="X96" s="948">
        <v>8000</v>
      </c>
      <c r="Y96" s="782">
        <f>+((O96*O114)+(S96*S114)+(W96*W114))/Y114</f>
        <v>8028.6522305847657</v>
      </c>
      <c r="Z96" s="465">
        <v>8000</v>
      </c>
      <c r="AA96" s="465">
        <f>+((M96*M114)+(Y96*Y114))/AA114</f>
        <v>8031.43880063085</v>
      </c>
      <c r="AB96" s="205">
        <v>8000</v>
      </c>
      <c r="AC96" s="1970">
        <v>8027.4870000000001</v>
      </c>
      <c r="AD96" s="590">
        <v>8000</v>
      </c>
      <c r="AE96" s="2399">
        <f>+((AA96*AA114)+(AC96*AC114))/AE114</f>
        <v>8030.857091662303</v>
      </c>
      <c r="AF96" s="205">
        <v>8000</v>
      </c>
      <c r="AG96" s="1970">
        <v>8031.1270000000004</v>
      </c>
      <c r="AH96" s="5567">
        <v>8000</v>
      </c>
      <c r="AI96" s="5749">
        <f>+((AE96*AE114)+(AG96*AG114))/AI114</f>
        <v>8030.8902935442111</v>
      </c>
      <c r="AJ96" s="205">
        <v>8000</v>
      </c>
      <c r="AK96" s="1970">
        <v>8034.3110443877404</v>
      </c>
      <c r="AL96" s="948">
        <v>8000</v>
      </c>
      <c r="AM96" s="2746">
        <f>+((AC96*AC114)+(AG96*AG114)+(AK96*AK114))/AM114</f>
        <v>8030.9496200274534</v>
      </c>
      <c r="AN96" s="590">
        <v>8000</v>
      </c>
      <c r="AO96" s="2399">
        <f>+((AI96*AI114)+(AK96*AK114))/AO114</f>
        <v>8031.2743952508936</v>
      </c>
      <c r="AP96" s="205">
        <v>8000</v>
      </c>
      <c r="AQ96" s="1970">
        <v>8031.9</v>
      </c>
      <c r="AR96" s="590">
        <v>8000</v>
      </c>
      <c r="AS96" s="2399">
        <f>+((AO96*AO114)+(AQ96*AQ114))/AS114</f>
        <v>8031.3381282556074</v>
      </c>
      <c r="AT96" s="205">
        <v>8000</v>
      </c>
      <c r="AU96" s="1970">
        <v>8028.8387157418047</v>
      </c>
      <c r="AV96" s="6314">
        <v>8000</v>
      </c>
      <c r="AW96" s="6315">
        <f>+((AS96*AS114)+(AU96*AU114))/AW114</f>
        <v>8031.1293894667451</v>
      </c>
      <c r="AX96" s="205">
        <v>8000</v>
      </c>
      <c r="AY96" s="1970">
        <v>8032.4817889469914</v>
      </c>
      <c r="AZ96" s="948">
        <v>8000</v>
      </c>
      <c r="BA96" s="3066">
        <f>+((AQ96*AQ114)+(AU96*AU114)+(AY96*AY114))/BA114</f>
        <v>8031.1483248820323</v>
      </c>
      <c r="BB96" s="3064">
        <v>8000</v>
      </c>
      <c r="BC96" s="3064">
        <f>+((AM96*AM114)+(BA96*BA114))/BC114</f>
        <v>8031.0475638944818</v>
      </c>
      <c r="BD96" s="590">
        <v>8000</v>
      </c>
      <c r="BE96" s="2399">
        <f>+((AW96*AW114)+(AY96*AY114))/BE114</f>
        <v>8031.2433513539154</v>
      </c>
      <c r="BF96" s="26"/>
      <c r="BG96" s="26"/>
      <c r="BH96" s="26"/>
      <c r="BI96" s="26"/>
      <c r="BJ96" s="1222"/>
    </row>
    <row r="97" spans="2:62" ht="18.75" x14ac:dyDescent="0.25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1222"/>
    </row>
    <row r="98" spans="2:62" x14ac:dyDescent="0.25">
      <c r="B98" s="1020" t="s">
        <v>122</v>
      </c>
      <c r="C98" s="159" t="s">
        <v>327</v>
      </c>
      <c r="D98" s="1137">
        <f>D99*D$3*24</f>
        <v>74.488776007516861</v>
      </c>
      <c r="E98" s="1204">
        <v>594.75273784974695</v>
      </c>
      <c r="F98" s="7226">
        <f>F99*F$3*24</f>
        <v>412.23387887463844</v>
      </c>
      <c r="G98" s="1970">
        <v>291.92941536766227</v>
      </c>
      <c r="H98" s="783">
        <f>+D98+F98</f>
        <v>486.72265488215533</v>
      </c>
      <c r="I98" s="783">
        <f>+E98+G98</f>
        <v>886.68215321740922</v>
      </c>
      <c r="J98" s="4616">
        <f>J99*J$3*24</f>
        <v>2342.6896331687358</v>
      </c>
      <c r="K98" s="1970">
        <v>1054.1198125637591</v>
      </c>
      <c r="L98" s="782">
        <f>+H98+J98</f>
        <v>2829.4122880508912</v>
      </c>
      <c r="M98" s="782">
        <f>+I98+K98</f>
        <v>1940.8019657811683</v>
      </c>
      <c r="N98" s="4811">
        <f>N99*N$3*24</f>
        <v>2980.0032097974045</v>
      </c>
      <c r="O98" s="1970">
        <v>271.5453377306589</v>
      </c>
      <c r="P98" s="783">
        <f>+L98+N98</f>
        <v>5809.4154978482957</v>
      </c>
      <c r="Q98" s="783">
        <f>+M98+O98</f>
        <v>2212.3473035118272</v>
      </c>
      <c r="R98" s="4956">
        <f>R99*R$3*24</f>
        <v>793.79562745387432</v>
      </c>
      <c r="S98" s="1970">
        <v>217.10940886416981</v>
      </c>
      <c r="T98" s="4953">
        <f>+P98+R98</f>
        <v>6603.2111253021703</v>
      </c>
      <c r="U98" s="4953">
        <f>+Q98+S98</f>
        <v>2429.4567123759971</v>
      </c>
      <c r="V98" s="5176">
        <f>V99*V$3*24</f>
        <v>751.54598729825693</v>
      </c>
      <c r="W98" s="1970">
        <v>58.113558106063678</v>
      </c>
      <c r="X98" s="782">
        <f t="shared" ref="X98:X112" si="553">+V98+R98+N98</f>
        <v>4525.3448245495356</v>
      </c>
      <c r="Y98" s="782">
        <f t="shared" ref="Y98:Y112" si="554">+W98+S98+O98</f>
        <v>546.76830470089237</v>
      </c>
      <c r="Z98" s="465">
        <f t="shared" ref="Z98:Z112" si="555">+L98+X98</f>
        <v>7354.7571126004268</v>
      </c>
      <c r="AA98" s="465">
        <f t="shared" ref="AA98:AA112" si="556">+Y98+M98</f>
        <v>2487.5702704820606</v>
      </c>
      <c r="AB98" s="5429">
        <f>AB99*AB$3*24</f>
        <v>658.91092441016519</v>
      </c>
      <c r="AC98" s="1970">
        <v>460.22640577526175</v>
      </c>
      <c r="AD98" s="2399">
        <f>+Z98+AB98</f>
        <v>8013.6680370105923</v>
      </c>
      <c r="AE98" s="2399">
        <f>+AA98+AC98</f>
        <v>2947.7966762573224</v>
      </c>
      <c r="AF98" s="5566">
        <f>AF99*AF$3*24</f>
        <v>643.63822486329082</v>
      </c>
      <c r="AG98" s="1970">
        <v>2767.4195944229614</v>
      </c>
      <c r="AH98" s="5568">
        <f>+AD98+AF98</f>
        <v>8657.3062618738841</v>
      </c>
      <c r="AI98" s="5568">
        <f>+AE98+AG98</f>
        <v>5715.2162706802837</v>
      </c>
      <c r="AJ98" s="5994">
        <f>AJ99*AJ$3*24</f>
        <v>658.91092441016519</v>
      </c>
      <c r="AK98" s="1970">
        <v>373.85034675559257</v>
      </c>
      <c r="AL98" s="2746">
        <f t="shared" ref="AL98" si="557">+AJ98+AF98+AB98</f>
        <v>1961.460073683621</v>
      </c>
      <c r="AM98" s="2746">
        <f t="shared" ref="AM98" si="558">+AK98+AG98+AC98</f>
        <v>3601.4963469538156</v>
      </c>
      <c r="AN98" s="2399">
        <f>+AH98+AJ98</f>
        <v>9316.2171862840496</v>
      </c>
      <c r="AO98" s="2399">
        <f>+AI98+AK98</f>
        <v>6089.0666174358767</v>
      </c>
      <c r="AP98" s="6136">
        <f>AP99*AP$3*24</f>
        <v>658.91092441016519</v>
      </c>
      <c r="AQ98" s="1970">
        <v>163.852</v>
      </c>
      <c r="AR98" s="2399">
        <f>+AN98+AP98</f>
        <v>9975.1281106942151</v>
      </c>
      <c r="AS98" s="2399">
        <f>+AO98+AQ98</f>
        <v>6252.9186174358765</v>
      </c>
      <c r="AT98" s="6312">
        <f>AT99*AT$3*24</f>
        <v>626.59316972734746</v>
      </c>
      <c r="AU98" s="1970">
        <v>115.31085070903681</v>
      </c>
      <c r="AV98" s="6315">
        <f>+AR98+AT98</f>
        <v>10601.721280421563</v>
      </c>
      <c r="AW98" s="6315">
        <f>+AS98+AU98</f>
        <v>6368.229468144913</v>
      </c>
      <c r="AX98" s="6588">
        <f>AX99*AX$3*24</f>
        <v>497.04928075771431</v>
      </c>
      <c r="AY98" s="1970">
        <v>94.311730352475649</v>
      </c>
      <c r="AZ98" s="3066">
        <f t="shared" ref="AZ98" si="559">+AX98+AT98+AP98</f>
        <v>1782.5533748952271</v>
      </c>
      <c r="BA98" s="3066">
        <f t="shared" ref="BA98" si="560">+AY98+AU98+AQ98</f>
        <v>373.47458106151248</v>
      </c>
      <c r="BB98" s="3074">
        <f t="shared" ref="BB98:BB112" si="561">+AL98+AZ98</f>
        <v>3744.0134485788481</v>
      </c>
      <c r="BC98" s="3074">
        <f t="shared" ref="BC98:BC112" si="562">+AM98+BA98</f>
        <v>3974.9709280153284</v>
      </c>
      <c r="BD98" s="2399">
        <f>+AV98+AX98</f>
        <v>11098.770561179277</v>
      </c>
      <c r="BE98" s="2399">
        <f>+AW98+AY98</f>
        <v>6462.5411984973889</v>
      </c>
      <c r="BF98" s="26"/>
      <c r="BG98" s="26"/>
      <c r="BH98" s="26"/>
      <c r="BI98" s="26"/>
      <c r="BJ98" s="1222"/>
    </row>
    <row r="99" spans="2:62" ht="15.75" hidden="1" customHeight="1" x14ac:dyDescent="0.25">
      <c r="B99" s="1020"/>
      <c r="C99" s="159"/>
      <c r="D99" s="1693">
        <v>0.10345663334377342</v>
      </c>
      <c r="E99" s="1204"/>
      <c r="F99" s="1693">
        <v>0.55407779418634195</v>
      </c>
      <c r="G99" s="1970"/>
      <c r="H99" s="783"/>
      <c r="I99" s="783"/>
      <c r="J99" s="1693">
        <v>3.2537356016232444</v>
      </c>
      <c r="K99" s="1970"/>
      <c r="L99" s="782"/>
      <c r="M99" s="782"/>
      <c r="N99" s="1693">
        <v>4.0053806583298446</v>
      </c>
      <c r="O99" s="1970"/>
      <c r="P99" s="783"/>
      <c r="Q99" s="783"/>
      <c r="R99" s="1693">
        <v>1.0669296067928418</v>
      </c>
      <c r="S99" s="1970"/>
      <c r="T99" s="4953"/>
      <c r="U99" s="4953"/>
      <c r="V99" s="1693">
        <v>1.0438138712475791</v>
      </c>
      <c r="W99" s="1970"/>
      <c r="X99" s="782"/>
      <c r="Y99" s="782"/>
      <c r="Z99" s="465"/>
      <c r="AA99" s="465"/>
      <c r="AB99" s="1693">
        <v>0.88563296291688864</v>
      </c>
      <c r="AC99" s="1970"/>
      <c r="AD99" s="2399"/>
      <c r="AE99" s="2399"/>
      <c r="AF99" s="1693">
        <v>0.89394197897679284</v>
      </c>
      <c r="AG99" s="1970"/>
      <c r="AH99" s="5568"/>
      <c r="AI99" s="5568"/>
      <c r="AJ99" s="1693">
        <v>0.88563296291688864</v>
      </c>
      <c r="AK99" s="1970"/>
      <c r="AL99" s="2746"/>
      <c r="AM99" s="2746"/>
      <c r="AN99" s="2399"/>
      <c r="AO99" s="2399"/>
      <c r="AP99" s="1693">
        <v>0.88563296291688864</v>
      </c>
      <c r="AQ99" s="1970"/>
      <c r="AR99" s="2399"/>
      <c r="AS99" s="2399"/>
      <c r="AT99" s="1693">
        <v>0.93243031209426697</v>
      </c>
      <c r="AU99" s="1970"/>
      <c r="AV99" s="6315"/>
      <c r="AW99" s="6315"/>
      <c r="AX99" s="1693">
        <v>0.66807699026574507</v>
      </c>
      <c r="AY99" s="1970"/>
      <c r="AZ99" s="3066"/>
      <c r="BA99" s="3066"/>
      <c r="BB99" s="3074">
        <f t="shared" si="561"/>
        <v>0</v>
      </c>
      <c r="BC99" s="3074">
        <f t="shared" si="562"/>
        <v>0</v>
      </c>
      <c r="BD99" s="2399"/>
      <c r="BE99" s="2399"/>
      <c r="BF99" s="26"/>
      <c r="BG99" s="26"/>
      <c r="BH99" s="26"/>
      <c r="BI99" s="26"/>
      <c r="BJ99" s="1222"/>
    </row>
    <row r="100" spans="2:62" x14ac:dyDescent="0.25">
      <c r="B100" s="1020" t="s">
        <v>514</v>
      </c>
      <c r="C100" s="159" t="s">
        <v>1100</v>
      </c>
      <c r="D100" s="1137">
        <f>D101*D$3*24</f>
        <v>144</v>
      </c>
      <c r="E100" s="1204">
        <v>132.76955602536992</v>
      </c>
      <c r="F100" s="7226">
        <f>F101*F$3*24</f>
        <v>148.80000000000001</v>
      </c>
      <c r="G100" s="1970">
        <v>150.31712473572932</v>
      </c>
      <c r="H100" s="783">
        <f>+D100+F100</f>
        <v>292.8</v>
      </c>
      <c r="I100" s="783">
        <f>+E100+G100</f>
        <v>283.08668076109927</v>
      </c>
      <c r="J100" s="4616">
        <f>J101*J$3*24</f>
        <v>144</v>
      </c>
      <c r="K100" s="1970">
        <v>116.91331923890058</v>
      </c>
      <c r="L100" s="782">
        <f>+H100+J100</f>
        <v>436.8</v>
      </c>
      <c r="M100" s="782">
        <f>+I100+K100</f>
        <v>399.99999999999989</v>
      </c>
      <c r="N100" s="4811">
        <f>N101*N$3*24</f>
        <v>148.80000000000001</v>
      </c>
      <c r="O100" s="1970">
        <v>152.95983086680752</v>
      </c>
      <c r="P100" s="783">
        <f>+L100+N100</f>
        <v>585.6</v>
      </c>
      <c r="Q100" s="783">
        <f>+M100+O100</f>
        <v>552.95983086680735</v>
      </c>
      <c r="R100" s="4956">
        <f>R101*R$3*24</f>
        <v>148.80000000000001</v>
      </c>
      <c r="S100" s="1970">
        <v>149.04862579281178</v>
      </c>
      <c r="T100" s="4953">
        <f>+P100+R100</f>
        <v>734.40000000000009</v>
      </c>
      <c r="U100" s="4953">
        <f>+Q100+S100</f>
        <v>702.00845665961913</v>
      </c>
      <c r="V100" s="5176">
        <f>V101*V$3*24</f>
        <v>144</v>
      </c>
      <c r="W100" s="1970">
        <v>152.2198731501056</v>
      </c>
      <c r="X100" s="782">
        <f t="shared" si="553"/>
        <v>441.6</v>
      </c>
      <c r="Y100" s="782">
        <f t="shared" si="554"/>
        <v>454.22832980972493</v>
      </c>
      <c r="Z100" s="465">
        <f t="shared" si="555"/>
        <v>878.40000000000009</v>
      </c>
      <c r="AA100" s="465">
        <f t="shared" si="556"/>
        <v>854.22832980972476</v>
      </c>
      <c r="AB100" s="5429">
        <f>AB101*AB$3*24</f>
        <v>148.80000000000001</v>
      </c>
      <c r="AC100" s="1970">
        <v>152.64270613107814</v>
      </c>
      <c r="AD100" s="2399">
        <f>+Z100+AB100</f>
        <v>1027.2</v>
      </c>
      <c r="AE100" s="2399">
        <f>+AA100+AC100</f>
        <v>1006.8710359408029</v>
      </c>
      <c r="AF100" s="5566">
        <f>AF101*AF$3*24</f>
        <v>144</v>
      </c>
      <c r="AG100" s="1970">
        <v>5.0739957716701909</v>
      </c>
      <c r="AH100" s="5568">
        <f>+AD100+AF100</f>
        <v>1171.2</v>
      </c>
      <c r="AI100" s="5568">
        <f>+AE100+AG100</f>
        <v>1011.9450317124731</v>
      </c>
      <c r="AJ100" s="5994">
        <f>AJ101*AJ$3*24</f>
        <v>148.80000000000001</v>
      </c>
      <c r="AK100" s="1970">
        <v>157.29386892177578</v>
      </c>
      <c r="AL100" s="2746">
        <f t="shared" ref="AL100" si="563">+AJ100+AF100+AB100</f>
        <v>441.6</v>
      </c>
      <c r="AM100" s="2746">
        <f t="shared" ref="AM100" si="564">+AK100+AG100+AC100</f>
        <v>315.01057082452411</v>
      </c>
      <c r="AN100" s="2399">
        <f>+AH100+AJ100</f>
        <v>1320</v>
      </c>
      <c r="AO100" s="2399">
        <f>+AI100+AK100</f>
        <v>1169.2389006342489</v>
      </c>
      <c r="AP100" s="6136">
        <f>AP101*AP$3*24</f>
        <v>148.80000000000001</v>
      </c>
      <c r="AQ100" s="1970">
        <v>147.512</v>
      </c>
      <c r="AR100" s="2399">
        <f>+AN100+AP100</f>
        <v>1468.8</v>
      </c>
      <c r="AS100" s="2399">
        <f>+AO100+AQ100</f>
        <v>1316.7509006342489</v>
      </c>
      <c r="AT100" s="6312">
        <f>AT101*AT$3*24</f>
        <v>134.4</v>
      </c>
      <c r="AU100" s="1970">
        <v>137.57928118393227</v>
      </c>
      <c r="AV100" s="6315">
        <f>+AR100+AT100</f>
        <v>1603.2</v>
      </c>
      <c r="AW100" s="6315">
        <f>+AS100+AU100</f>
        <v>1454.3301818181812</v>
      </c>
      <c r="AX100" s="6588">
        <f>AX101*AX$3*24</f>
        <v>148.80000000000001</v>
      </c>
      <c r="AY100" s="1970">
        <v>152.21987315010563</v>
      </c>
      <c r="AZ100" s="3066">
        <f t="shared" ref="AZ100" si="565">+AX100+AT100+AP100</f>
        <v>432.00000000000006</v>
      </c>
      <c r="BA100" s="3066">
        <f t="shared" ref="BA100" si="566">+AY100+AU100+AQ100</f>
        <v>437.31115433403789</v>
      </c>
      <c r="BB100" s="3074">
        <f t="shared" si="561"/>
        <v>873.60000000000014</v>
      </c>
      <c r="BC100" s="3074">
        <f t="shared" si="562"/>
        <v>752.321725158562</v>
      </c>
      <c r="BD100" s="2399">
        <f>+AV100+AX100</f>
        <v>1752</v>
      </c>
      <c r="BE100" s="2399">
        <f>+AW100+AY100</f>
        <v>1606.550054968287</v>
      </c>
      <c r="BF100" s="26"/>
      <c r="BG100" s="26"/>
      <c r="BH100" s="26"/>
      <c r="BI100" s="26"/>
      <c r="BJ100" s="1222"/>
    </row>
    <row r="101" spans="2:62" ht="15.75" hidden="1" customHeight="1" x14ac:dyDescent="0.25">
      <c r="B101" s="1020"/>
      <c r="C101" s="159"/>
      <c r="D101" s="1693">
        <v>0.2</v>
      </c>
      <c r="E101" s="1204"/>
      <c r="F101" s="1693">
        <v>0.2</v>
      </c>
      <c r="G101" s="1970"/>
      <c r="H101" s="783"/>
      <c r="I101" s="783"/>
      <c r="J101" s="1693">
        <v>0.2</v>
      </c>
      <c r="K101" s="1970"/>
      <c r="L101" s="782"/>
      <c r="M101" s="782"/>
      <c r="N101" s="1693">
        <v>0.2</v>
      </c>
      <c r="O101" s="1970"/>
      <c r="P101" s="783"/>
      <c r="Q101" s="783"/>
      <c r="R101" s="1693">
        <v>0.2</v>
      </c>
      <c r="S101" s="1970"/>
      <c r="T101" s="4953"/>
      <c r="U101" s="4953"/>
      <c r="V101" s="1693">
        <v>0.2</v>
      </c>
      <c r="W101" s="1970"/>
      <c r="X101" s="782"/>
      <c r="Y101" s="782"/>
      <c r="Z101" s="465"/>
      <c r="AA101" s="465"/>
      <c r="AB101" s="1693">
        <v>0.2</v>
      </c>
      <c r="AC101" s="1970"/>
      <c r="AD101" s="2399"/>
      <c r="AE101" s="2399"/>
      <c r="AF101" s="1693">
        <v>0.2</v>
      </c>
      <c r="AG101" s="1970"/>
      <c r="AH101" s="5568"/>
      <c r="AI101" s="5568"/>
      <c r="AJ101" s="1693">
        <v>0.2</v>
      </c>
      <c r="AK101" s="1970"/>
      <c r="AL101" s="2746"/>
      <c r="AM101" s="2746"/>
      <c r="AN101" s="2399"/>
      <c r="AO101" s="2399"/>
      <c r="AP101" s="1693">
        <v>0.2</v>
      </c>
      <c r="AQ101" s="1970"/>
      <c r="AR101" s="2399"/>
      <c r="AS101" s="2399"/>
      <c r="AT101" s="1693">
        <v>0.2</v>
      </c>
      <c r="AU101" s="1970"/>
      <c r="AV101" s="6315"/>
      <c r="AW101" s="6315"/>
      <c r="AX101" s="1693">
        <v>0.2</v>
      </c>
      <c r="AY101" s="1970"/>
      <c r="AZ101" s="3066"/>
      <c r="BA101" s="3066"/>
      <c r="BB101" s="3074">
        <f t="shared" si="561"/>
        <v>0</v>
      </c>
      <c r="BC101" s="3074">
        <f t="shared" si="562"/>
        <v>0</v>
      </c>
      <c r="BD101" s="2399"/>
      <c r="BE101" s="2399"/>
      <c r="BF101" s="26"/>
      <c r="BG101" s="26"/>
      <c r="BH101" s="26"/>
      <c r="BI101" s="26"/>
      <c r="BJ101" s="1222"/>
    </row>
    <row r="102" spans="2:62" x14ac:dyDescent="0.25">
      <c r="B102" s="1020" t="s">
        <v>123</v>
      </c>
      <c r="C102" s="159" t="s">
        <v>327</v>
      </c>
      <c r="D102" s="1137">
        <f>D103*D$3*24</f>
        <v>432</v>
      </c>
      <c r="E102" s="1204">
        <v>453.27695560253682</v>
      </c>
      <c r="F102" s="7226">
        <f>F103*F$3*24</f>
        <v>446.4</v>
      </c>
      <c r="G102" s="1970">
        <v>468.07610993657488</v>
      </c>
      <c r="H102" s="783">
        <f t="shared" ref="H102:I112" si="567">+D102+F102</f>
        <v>878.4</v>
      </c>
      <c r="I102" s="783">
        <f t="shared" si="567"/>
        <v>921.35306553911164</v>
      </c>
      <c r="J102" s="4616">
        <f>J103*J$3*24</f>
        <v>288</v>
      </c>
      <c r="K102" s="1970">
        <v>377.37843551797033</v>
      </c>
      <c r="L102" s="782">
        <f t="shared" ref="L102:L112" si="568">+H102+J102</f>
        <v>1166.4000000000001</v>
      </c>
      <c r="M102" s="782">
        <f t="shared" ref="M102:M112" si="569">+I102+K102</f>
        <v>1298.7315010570819</v>
      </c>
      <c r="N102" s="4811">
        <f>N103*N$3*24</f>
        <v>74.400000000000006</v>
      </c>
      <c r="O102" s="1970">
        <v>471.94208045598884</v>
      </c>
      <c r="P102" s="783">
        <f t="shared" ref="P102:P112" si="570">+L102+N102</f>
        <v>1240.8000000000002</v>
      </c>
      <c r="Q102" s="783">
        <f t="shared" ref="Q102:Q112" si="571">+M102+O102</f>
        <v>1770.6735815130708</v>
      </c>
      <c r="R102" s="4956">
        <f>R103*R$3*24</f>
        <v>446.4</v>
      </c>
      <c r="S102" s="1970">
        <v>471.88160676532749</v>
      </c>
      <c r="T102" s="4953">
        <f t="shared" ref="T102" si="572">+P102+R102</f>
        <v>1687.2000000000003</v>
      </c>
      <c r="U102" s="4953">
        <f t="shared" ref="U102" si="573">+Q102+S102</f>
        <v>2242.5551882783984</v>
      </c>
      <c r="V102" s="5176">
        <f>V103*V$3*24</f>
        <v>432</v>
      </c>
      <c r="W102" s="1970">
        <v>461.39298827166976</v>
      </c>
      <c r="X102" s="782">
        <f t="shared" si="553"/>
        <v>952.8</v>
      </c>
      <c r="Y102" s="782">
        <f t="shared" si="554"/>
        <v>1405.216675492986</v>
      </c>
      <c r="Z102" s="465">
        <f t="shared" si="555"/>
        <v>2119.1999999999998</v>
      </c>
      <c r="AA102" s="465">
        <f t="shared" si="556"/>
        <v>2703.9481765500677</v>
      </c>
      <c r="AB102" s="5429">
        <f>AB103*AB$3*24</f>
        <v>446.4</v>
      </c>
      <c r="AC102" s="1970">
        <v>471.88160676532749</v>
      </c>
      <c r="AD102" s="2399">
        <f t="shared" ref="AD102" si="574">+Z102+AB102</f>
        <v>2565.6</v>
      </c>
      <c r="AE102" s="2399">
        <f t="shared" ref="AE102" si="575">+AA102+AC102</f>
        <v>3175.8297833153952</v>
      </c>
      <c r="AF102" s="5566">
        <f>AF103*AF$3*24</f>
        <v>432</v>
      </c>
      <c r="AG102" s="1970">
        <v>34.480972515856195</v>
      </c>
      <c r="AH102" s="5568">
        <f t="shared" ref="AH102" si="576">+AD102+AF102</f>
        <v>2997.6</v>
      </c>
      <c r="AI102" s="5568">
        <f t="shared" ref="AI102" si="577">+AE102+AG102</f>
        <v>3210.3107558312513</v>
      </c>
      <c r="AJ102" s="5994">
        <f>AJ103*AJ$3*24</f>
        <v>446.4</v>
      </c>
      <c r="AK102" s="1970">
        <v>471.88160676532743</v>
      </c>
      <c r="AL102" s="2746">
        <f t="shared" ref="AL102" si="578">+AJ102+AF102+AB102</f>
        <v>1324.8</v>
      </c>
      <c r="AM102" s="2746">
        <f t="shared" ref="AM102" si="579">+AK102+AG102+AC102</f>
        <v>978.24418604651112</v>
      </c>
      <c r="AN102" s="2399">
        <f t="shared" ref="AN102" si="580">+AH102+AJ102</f>
        <v>3444</v>
      </c>
      <c r="AO102" s="2399">
        <f t="shared" ref="AO102" si="581">+AI102+AK102</f>
        <v>3682.1923625965787</v>
      </c>
      <c r="AP102" s="6136">
        <f>AP103*AP$3*24</f>
        <v>446.4</v>
      </c>
      <c r="AQ102" s="1970">
        <v>456.66</v>
      </c>
      <c r="AR102" s="2399">
        <f t="shared" ref="AR102" si="582">+AN102+AP102</f>
        <v>3890.4</v>
      </c>
      <c r="AS102" s="2399">
        <f t="shared" ref="AS102" si="583">+AO102+AQ102</f>
        <v>4138.852362596579</v>
      </c>
      <c r="AT102" s="6312">
        <f>AT103*AT$3*24</f>
        <v>403.20000000000005</v>
      </c>
      <c r="AU102" s="1970">
        <v>429.66114799154315</v>
      </c>
      <c r="AV102" s="6315">
        <f t="shared" ref="AV102" si="584">+AR102+AT102</f>
        <v>4293.6000000000004</v>
      </c>
      <c r="AW102" s="6315">
        <f t="shared" ref="AW102" si="585">+AS102+AU102</f>
        <v>4568.5135105881218</v>
      </c>
      <c r="AX102" s="6588">
        <f>AX103*AX$3*24</f>
        <v>446.4</v>
      </c>
      <c r="AY102" s="1970">
        <v>472.57844186046492</v>
      </c>
      <c r="AZ102" s="3066">
        <f t="shared" ref="AZ102" si="586">+AX102+AT102+AP102</f>
        <v>1296</v>
      </c>
      <c r="BA102" s="3066">
        <f t="shared" ref="BA102" si="587">+AY102+AU102+AQ102</f>
        <v>1358.8995898520081</v>
      </c>
      <c r="BB102" s="3074">
        <f t="shared" si="561"/>
        <v>2620.8000000000002</v>
      </c>
      <c r="BC102" s="3074">
        <f t="shared" si="562"/>
        <v>2337.1437758985194</v>
      </c>
      <c r="BD102" s="2399">
        <f t="shared" ref="BD102" si="588">+AV102+AX102</f>
        <v>4740</v>
      </c>
      <c r="BE102" s="2399">
        <f t="shared" ref="BE102" si="589">+AW102+AY102</f>
        <v>5041.0919524485871</v>
      </c>
      <c r="BF102" s="26"/>
      <c r="BG102" s="26"/>
      <c r="BH102" s="26"/>
      <c r="BI102" s="26"/>
      <c r="BJ102" s="1222"/>
    </row>
    <row r="103" spans="2:62" ht="15" hidden="1" customHeight="1" x14ac:dyDescent="0.25">
      <c r="B103" s="1020"/>
      <c r="C103" s="159"/>
      <c r="D103" s="191">
        <v>0.6</v>
      </c>
      <c r="E103" s="102"/>
      <c r="F103" s="191">
        <v>0.6</v>
      </c>
      <c r="G103" s="102"/>
      <c r="H103" s="783"/>
      <c r="I103" s="783"/>
      <c r="J103" s="191">
        <v>0.4</v>
      </c>
      <c r="K103" s="102"/>
      <c r="L103" s="782"/>
      <c r="M103" s="782"/>
      <c r="N103" s="191">
        <v>0.1</v>
      </c>
      <c r="O103" s="102"/>
      <c r="P103" s="783"/>
      <c r="Q103" s="783"/>
      <c r="R103" s="191">
        <v>0.6</v>
      </c>
      <c r="S103" s="102"/>
      <c r="T103" s="4953"/>
      <c r="U103" s="4953"/>
      <c r="V103" s="191">
        <v>0.6</v>
      </c>
      <c r="W103" s="102"/>
      <c r="X103" s="782"/>
      <c r="Y103" s="782"/>
      <c r="Z103" s="465"/>
      <c r="AA103" s="465"/>
      <c r="AB103" s="191">
        <v>0.6</v>
      </c>
      <c r="AC103" s="102"/>
      <c r="AD103" s="2399"/>
      <c r="AE103" s="2399"/>
      <c r="AF103" s="191">
        <v>0.6</v>
      </c>
      <c r="AG103" s="102"/>
      <c r="AH103" s="5568"/>
      <c r="AI103" s="5568"/>
      <c r="AJ103" s="191">
        <v>0.6</v>
      </c>
      <c r="AK103" s="102"/>
      <c r="AL103" s="2746"/>
      <c r="AM103" s="2746"/>
      <c r="AN103" s="2399"/>
      <c r="AO103" s="2399"/>
      <c r="AP103" s="191">
        <v>0.6</v>
      </c>
      <c r="AQ103" s="102"/>
      <c r="AR103" s="2399"/>
      <c r="AS103" s="2399"/>
      <c r="AT103" s="191">
        <v>0.6</v>
      </c>
      <c r="AU103" s="102"/>
      <c r="AV103" s="6315"/>
      <c r="AW103" s="6315"/>
      <c r="AX103" s="191">
        <v>0.6</v>
      </c>
      <c r="AY103" s="102"/>
      <c r="AZ103" s="3066"/>
      <c r="BA103" s="3066"/>
      <c r="BB103" s="3074">
        <f t="shared" si="561"/>
        <v>0</v>
      </c>
      <c r="BC103" s="3074">
        <f t="shared" si="562"/>
        <v>0</v>
      </c>
      <c r="BD103" s="2399"/>
      <c r="BE103" s="2399"/>
      <c r="BF103" s="26"/>
      <c r="BG103" s="26"/>
      <c r="BH103" s="26"/>
      <c r="BI103" s="26"/>
      <c r="BJ103" s="1222"/>
    </row>
    <row r="104" spans="2:62" x14ac:dyDescent="0.25">
      <c r="B104" s="1020" t="s">
        <v>16</v>
      </c>
      <c r="C104" s="159" t="s">
        <v>327</v>
      </c>
      <c r="D104" s="1137">
        <f>D105*D$3*24</f>
        <v>559.23710622346823</v>
      </c>
      <c r="E104" s="1204">
        <v>524.79251339210316</v>
      </c>
      <c r="F104" s="7226">
        <f>F105*F$3*24</f>
        <v>507.27311750548159</v>
      </c>
      <c r="G104" s="1970">
        <v>612.35377962225061</v>
      </c>
      <c r="H104" s="783">
        <f t="shared" si="567"/>
        <v>1066.5102237289498</v>
      </c>
      <c r="I104" s="783">
        <f t="shared" si="567"/>
        <v>1137.1462930143539</v>
      </c>
      <c r="J104" s="4616">
        <f>J105*J$3*24</f>
        <v>193.26714199696107</v>
      </c>
      <c r="K104" s="1970">
        <v>457.54777248299479</v>
      </c>
      <c r="L104" s="782">
        <f t="shared" si="568"/>
        <v>1259.7773657259108</v>
      </c>
      <c r="M104" s="782">
        <f t="shared" si="569"/>
        <v>1594.6940654973487</v>
      </c>
      <c r="N104" s="4811">
        <f>N105*N$3*24</f>
        <v>132.65105309395503</v>
      </c>
      <c r="O104" s="1970">
        <v>626.30620968336393</v>
      </c>
      <c r="P104" s="783">
        <f t="shared" si="570"/>
        <v>1392.4284188198658</v>
      </c>
      <c r="Q104" s="783">
        <f t="shared" si="571"/>
        <v>2221.0002751807124</v>
      </c>
      <c r="R104" s="4956">
        <f>R105*R$3*24</f>
        <v>611.25729328235343</v>
      </c>
      <c r="S104" s="1970">
        <v>680.00900691277843</v>
      </c>
      <c r="T104" s="4953">
        <f t="shared" ref="T104" si="590">+P104+R104</f>
        <v>2003.6857121022192</v>
      </c>
      <c r="U104" s="4953">
        <f t="shared" ref="U104" si="591">+Q104+S104</f>
        <v>2901.0092820934906</v>
      </c>
      <c r="V104" s="5176">
        <f>V105*V$3*24</f>
        <v>593.43749295944303</v>
      </c>
      <c r="W104" s="1970">
        <v>654.58999132520705</v>
      </c>
      <c r="X104" s="782">
        <f t="shared" si="553"/>
        <v>1337.3458393357514</v>
      </c>
      <c r="Y104" s="782">
        <f t="shared" si="554"/>
        <v>1960.9052079213495</v>
      </c>
      <c r="Z104" s="465">
        <f t="shared" si="555"/>
        <v>2597.1232050616622</v>
      </c>
      <c r="AA104" s="465">
        <f t="shared" si="556"/>
        <v>3555.5992734186984</v>
      </c>
      <c r="AB104" s="5429">
        <f>AB105*AB$3*24</f>
        <v>629.67467812189625</v>
      </c>
      <c r="AC104" s="1970">
        <v>577.4221564455803</v>
      </c>
      <c r="AD104" s="2399">
        <f t="shared" ref="AD104" si="592">+Z104+AB104</f>
        <v>3226.7978831835585</v>
      </c>
      <c r="AE104" s="2399">
        <f t="shared" ref="AE104" si="593">+AA104+AC104</f>
        <v>4133.0214298642786</v>
      </c>
      <c r="AF104" s="5566">
        <f>AF105*AF$3*24</f>
        <v>608.12318131322559</v>
      </c>
      <c r="AG104" s="1970">
        <v>270.05057241884566</v>
      </c>
      <c r="AH104" s="5568">
        <f t="shared" ref="AH104" si="594">+AD104+AF104</f>
        <v>3834.9210644967843</v>
      </c>
      <c r="AI104" s="5568">
        <f t="shared" ref="AI104" si="595">+AE104+AG104</f>
        <v>4403.0720022831247</v>
      </c>
      <c r="AJ104" s="5994">
        <f>AJ105*AJ$3*24</f>
        <v>629.67467812189625</v>
      </c>
      <c r="AK104" s="1970">
        <v>550.65098175045318</v>
      </c>
      <c r="AL104" s="2746">
        <f t="shared" ref="AL104" si="596">+AJ104+AF104+AB104</f>
        <v>1867.4725375570181</v>
      </c>
      <c r="AM104" s="2746">
        <f t="shared" ref="AM104" si="597">+AK104+AG104+AC104</f>
        <v>1398.1237106148792</v>
      </c>
      <c r="AN104" s="2399">
        <f t="shared" ref="AN104" si="598">+AH104+AJ104</f>
        <v>4464.5957426186806</v>
      </c>
      <c r="AO104" s="2399">
        <f t="shared" ref="AO104" si="599">+AI104+AK104</f>
        <v>4953.7229840335776</v>
      </c>
      <c r="AP104" s="6136">
        <f>AP105*AP$3*24</f>
        <v>629.67467812189625</v>
      </c>
      <c r="AQ104" s="1970">
        <v>665.53399999999999</v>
      </c>
      <c r="AR104" s="2399">
        <f t="shared" ref="AR104" si="600">+AN104+AP104</f>
        <v>5094.2704207405768</v>
      </c>
      <c r="AS104" s="2399">
        <f t="shared" ref="AS104" si="601">+AO104+AQ104</f>
        <v>5619.2569840335773</v>
      </c>
      <c r="AT104" s="6312">
        <f>AT105*AT$3*24</f>
        <v>556.34246672291488</v>
      </c>
      <c r="AU104" s="1970">
        <v>580.91780457701202</v>
      </c>
      <c r="AV104" s="6315">
        <f t="shared" ref="AV104" si="602">+AR104+AT104</f>
        <v>5650.6128874634915</v>
      </c>
      <c r="AW104" s="6315">
        <f t="shared" ref="AW104" si="603">+AS104+AU104</f>
        <v>6200.1747886105895</v>
      </c>
      <c r="AX104" s="6588">
        <f>AX105*AX$3*24</f>
        <v>650.37497163415333</v>
      </c>
      <c r="AY104" s="1970">
        <v>694.49345001079189</v>
      </c>
      <c r="AZ104" s="3066">
        <f t="shared" ref="AZ104" si="604">+AX104+AT104+AP104</f>
        <v>1836.3921164789645</v>
      </c>
      <c r="BA104" s="3066">
        <f t="shared" ref="BA104" si="605">+AY104+AU104+AQ104</f>
        <v>1940.9452545878039</v>
      </c>
      <c r="BB104" s="3074">
        <f t="shared" si="561"/>
        <v>3703.8646540359823</v>
      </c>
      <c r="BC104" s="3074">
        <f t="shared" si="562"/>
        <v>3339.0689652026831</v>
      </c>
      <c r="BD104" s="2399">
        <f t="shared" ref="BD104" si="606">+AV104+AX104</f>
        <v>6300.987859097645</v>
      </c>
      <c r="BE104" s="2399">
        <f t="shared" ref="BE104" si="607">+AW104+AY104</f>
        <v>6894.6682386213815</v>
      </c>
      <c r="BF104" s="26"/>
      <c r="BG104" s="26"/>
      <c r="BH104" s="26"/>
      <c r="BI104" s="26"/>
      <c r="BJ104" s="1222"/>
    </row>
    <row r="105" spans="2:62" ht="15" hidden="1" customHeight="1" x14ac:dyDescent="0.25">
      <c r="B105" s="1020"/>
      <c r="C105" s="159"/>
      <c r="D105" s="1139">
        <v>0.77671820308815032</v>
      </c>
      <c r="E105" s="1347"/>
      <c r="F105" s="1139">
        <v>0.68181870632457198</v>
      </c>
      <c r="G105" s="1347"/>
      <c r="H105" s="783"/>
      <c r="I105" s="783"/>
      <c r="J105" s="1139">
        <v>0.26842658610689041</v>
      </c>
      <c r="K105" s="1347"/>
      <c r="L105" s="782"/>
      <c r="M105" s="782"/>
      <c r="N105" s="1139">
        <v>0.17829442620155245</v>
      </c>
      <c r="O105" s="1347"/>
      <c r="P105" s="783"/>
      <c r="Q105" s="783"/>
      <c r="R105" s="1139">
        <v>0.82158238344402346</v>
      </c>
      <c r="S105" s="1347"/>
      <c r="T105" s="4953"/>
      <c r="U105" s="4953"/>
      <c r="V105" s="1139">
        <v>0.8242187402214487</v>
      </c>
      <c r="W105" s="1347"/>
      <c r="X105" s="782"/>
      <c r="Y105" s="782"/>
      <c r="Z105" s="465"/>
      <c r="AA105" s="465"/>
      <c r="AB105" s="1139">
        <v>0.84633693295953805</v>
      </c>
      <c r="AC105" s="1347"/>
      <c r="AD105" s="2399"/>
      <c r="AE105" s="2399"/>
      <c r="AF105" s="1139">
        <v>0.84461552960170216</v>
      </c>
      <c r="AG105" s="1347"/>
      <c r="AH105" s="5568"/>
      <c r="AI105" s="5568"/>
      <c r="AJ105" s="1139">
        <v>0.84633693295953805</v>
      </c>
      <c r="AK105" s="1347"/>
      <c r="AL105" s="2746"/>
      <c r="AM105" s="2746"/>
      <c r="AN105" s="2399"/>
      <c r="AO105" s="2399"/>
      <c r="AP105" s="1139">
        <v>0.84633693295953805</v>
      </c>
      <c r="AQ105" s="1347"/>
      <c r="AR105" s="2399"/>
      <c r="AS105" s="2399"/>
      <c r="AT105" s="1139">
        <v>0.82789057548052813</v>
      </c>
      <c r="AU105" s="1347"/>
      <c r="AV105" s="6315"/>
      <c r="AW105" s="6315"/>
      <c r="AX105" s="1139">
        <v>0.87415990811042121</v>
      </c>
      <c r="AY105" s="1347"/>
      <c r="AZ105" s="3066"/>
      <c r="BA105" s="3066"/>
      <c r="BB105" s="3074">
        <f t="shared" si="561"/>
        <v>0</v>
      </c>
      <c r="BC105" s="3074">
        <f t="shared" si="562"/>
        <v>0</v>
      </c>
      <c r="BD105" s="2399"/>
      <c r="BE105" s="2399"/>
      <c r="BF105" s="26"/>
      <c r="BG105" s="26"/>
      <c r="BH105" s="26"/>
      <c r="BI105" s="26"/>
      <c r="BJ105" s="1222"/>
    </row>
    <row r="106" spans="2:62" x14ac:dyDescent="0.25">
      <c r="B106" s="1020" t="s">
        <v>91</v>
      </c>
      <c r="C106" s="159" t="s">
        <v>327</v>
      </c>
      <c r="D106" s="1137">
        <f>D107*D$3*24</f>
        <v>849.78132178839496</v>
      </c>
      <c r="E106" s="1204">
        <v>720.83784167913507</v>
      </c>
      <c r="F106" s="7226">
        <f>F107*F$3*24</f>
        <v>773.931996043455</v>
      </c>
      <c r="G106" s="1970">
        <v>860.77619452684939</v>
      </c>
      <c r="H106" s="783">
        <f t="shared" si="567"/>
        <v>1623.71331783185</v>
      </c>
      <c r="I106" s="783">
        <f t="shared" si="567"/>
        <v>1581.6140362059846</v>
      </c>
      <c r="J106" s="4616">
        <f>J107*J$3*24</f>
        <v>262.76320238343288</v>
      </c>
      <c r="K106" s="1970">
        <v>694.76933679173123</v>
      </c>
      <c r="L106" s="782">
        <f t="shared" si="568"/>
        <v>1886.4765202152828</v>
      </c>
      <c r="M106" s="782">
        <f t="shared" si="569"/>
        <v>2276.3833729977159</v>
      </c>
      <c r="N106" s="4811">
        <f>N107*N$3*24</f>
        <v>169.07854435809838</v>
      </c>
      <c r="O106" s="1970">
        <v>883.25376022082105</v>
      </c>
      <c r="P106" s="783">
        <f t="shared" si="570"/>
        <v>2055.5550645733811</v>
      </c>
      <c r="Q106" s="783">
        <f t="shared" si="571"/>
        <v>3159.6371332185372</v>
      </c>
      <c r="R106" s="4956">
        <f>R107*R$3*24</f>
        <v>913.24895380794658</v>
      </c>
      <c r="S106" s="1970">
        <v>936.98660798625042</v>
      </c>
      <c r="T106" s="4953">
        <f t="shared" ref="T106" si="608">+P106+R106</f>
        <v>2968.8040183813278</v>
      </c>
      <c r="U106" s="4953">
        <f t="shared" ref="U106" si="609">+Q106+S106</f>
        <v>4096.6237412047876</v>
      </c>
      <c r="V106" s="5176">
        <f>V107*V$3*24</f>
        <v>888.19954492634633</v>
      </c>
      <c r="W106" s="1970">
        <v>957.9817361027749</v>
      </c>
      <c r="X106" s="782">
        <f t="shared" si="553"/>
        <v>1970.5270430923915</v>
      </c>
      <c r="Y106" s="782">
        <f t="shared" si="554"/>
        <v>2778.2221043098461</v>
      </c>
      <c r="Z106" s="465">
        <f t="shared" si="555"/>
        <v>3857.0035633076741</v>
      </c>
      <c r="AA106" s="465">
        <f t="shared" si="556"/>
        <v>5054.6054773075621</v>
      </c>
      <c r="AB106" s="5429">
        <f>AB107*AB$3*24</f>
        <v>940.76544747016862</v>
      </c>
      <c r="AC106" s="1970">
        <v>849.08542321058337</v>
      </c>
      <c r="AD106" s="2399">
        <f t="shared" ref="AD106" si="610">+Z106+AB106</f>
        <v>4797.7690107778426</v>
      </c>
      <c r="AE106" s="2399">
        <f t="shared" ref="AE106" si="611">+AA106+AC106</f>
        <v>5903.6909005181451</v>
      </c>
      <c r="AF106" s="5566">
        <f>AF107*AF$3*24</f>
        <v>910.17965549824658</v>
      </c>
      <c r="AG106" s="1970">
        <v>39.35101326129562</v>
      </c>
      <c r="AH106" s="5568">
        <f t="shared" ref="AH106" si="612">+AD106+AF106</f>
        <v>5707.9486662760892</v>
      </c>
      <c r="AI106" s="5568">
        <f t="shared" ref="AI106" si="613">+AE106+AG106</f>
        <v>5943.0419137794406</v>
      </c>
      <c r="AJ106" s="5994">
        <f>AJ107*AJ$3*24</f>
        <v>940.76544747016862</v>
      </c>
      <c r="AK106" s="1970">
        <v>894.94054601972368</v>
      </c>
      <c r="AL106" s="2746">
        <f t="shared" ref="AL106" si="614">+AJ106+AF106+AB106</f>
        <v>2791.7105504385836</v>
      </c>
      <c r="AM106" s="2746">
        <f t="shared" ref="AM106" si="615">+AK106+AG106+AC106</f>
        <v>1783.3769824916026</v>
      </c>
      <c r="AN106" s="2399">
        <f t="shared" ref="AN106" si="616">+AH106+AJ106</f>
        <v>6648.7141137462577</v>
      </c>
      <c r="AO106" s="2399">
        <f t="shared" ref="AO106" si="617">+AI106+AK106</f>
        <v>6837.9824597991646</v>
      </c>
      <c r="AP106" s="6136">
        <f>AP107*AP$3*24</f>
        <v>940.76544747016862</v>
      </c>
      <c r="AQ106" s="1970">
        <v>901.65499999999997</v>
      </c>
      <c r="AR106" s="2399">
        <f t="shared" ref="AR106" si="618">+AN106+AP106</f>
        <v>7589.4795612164262</v>
      </c>
      <c r="AS106" s="2399">
        <f t="shared" ref="AS106" si="619">+AO106+AQ106</f>
        <v>7739.6374597991644</v>
      </c>
      <c r="AT106" s="6312">
        <f>AT107*AT$3*24</f>
        <v>846.2754339327654</v>
      </c>
      <c r="AU106" s="1970">
        <v>836.36145022695655</v>
      </c>
      <c r="AV106" s="6315">
        <f t="shared" ref="AV106" si="620">+AR106+AT106</f>
        <v>8435.754995149191</v>
      </c>
      <c r="AW106" s="6315">
        <f t="shared" ref="AW106" si="621">+AS106+AU106</f>
        <v>8575.9989100261209</v>
      </c>
      <c r="AX106" s="6588">
        <f>AX107*AX$3*24</f>
        <v>971.69272081536099</v>
      </c>
      <c r="AY106" s="1970">
        <v>855.9784426412516</v>
      </c>
      <c r="AZ106" s="3066">
        <f t="shared" ref="AZ106" si="622">+AX106+AT106+AP106</f>
        <v>2758.7336022182949</v>
      </c>
      <c r="BA106" s="3066">
        <f t="shared" ref="BA106" si="623">+AY106+AU106+AQ106</f>
        <v>2593.9948928682079</v>
      </c>
      <c r="BB106" s="3074">
        <f t="shared" si="561"/>
        <v>5550.4441526568789</v>
      </c>
      <c r="BC106" s="3074">
        <f t="shared" si="562"/>
        <v>4377.3718753598105</v>
      </c>
      <c r="BD106" s="2399">
        <f t="shared" ref="BD106" si="624">+AV106+AX106</f>
        <v>9407.4477159645521</v>
      </c>
      <c r="BE106" s="2399">
        <f t="shared" ref="BE106" si="625">+AW106+AY106</f>
        <v>9431.9773526673725</v>
      </c>
      <c r="BF106" s="26"/>
      <c r="BG106" s="26"/>
      <c r="BH106" s="26"/>
      <c r="BI106" s="26"/>
      <c r="BJ106" s="1222"/>
    </row>
    <row r="107" spans="2:62" ht="15" hidden="1" customHeight="1" x14ac:dyDescent="0.25">
      <c r="B107" s="1020"/>
      <c r="C107" s="159"/>
      <c r="D107" s="1139">
        <v>1.1802518358172154</v>
      </c>
      <c r="E107" s="1347"/>
      <c r="F107" s="1139">
        <v>1.0402311774777622</v>
      </c>
      <c r="G107" s="1347"/>
      <c r="H107" s="783"/>
      <c r="I107" s="783"/>
      <c r="J107" s="1139">
        <v>0.36494889219921234</v>
      </c>
      <c r="K107" s="1347"/>
      <c r="L107" s="782"/>
      <c r="M107" s="782"/>
      <c r="N107" s="1139">
        <v>0.22725610800819673</v>
      </c>
      <c r="O107" s="1347"/>
      <c r="P107" s="783"/>
      <c r="Q107" s="783"/>
      <c r="R107" s="1139">
        <v>1.2274851529676702</v>
      </c>
      <c r="S107" s="1347"/>
      <c r="T107" s="4953"/>
      <c r="U107" s="4953"/>
      <c r="V107" s="1139">
        <v>1.23361047906437</v>
      </c>
      <c r="W107" s="1347"/>
      <c r="X107" s="782"/>
      <c r="Y107" s="782"/>
      <c r="Z107" s="465"/>
      <c r="AA107" s="465"/>
      <c r="AB107" s="1139">
        <v>1.2644696874599042</v>
      </c>
      <c r="AC107" s="1347"/>
      <c r="AD107" s="2399"/>
      <c r="AE107" s="2399"/>
      <c r="AF107" s="1139">
        <v>1.2641384104142315</v>
      </c>
      <c r="AG107" s="1347"/>
      <c r="AH107" s="5568"/>
      <c r="AI107" s="5568"/>
      <c r="AJ107" s="1139">
        <v>1.2644696874599042</v>
      </c>
      <c r="AK107" s="1347"/>
      <c r="AL107" s="2746"/>
      <c r="AM107" s="2746"/>
      <c r="AN107" s="2399"/>
      <c r="AO107" s="2399"/>
      <c r="AP107" s="1139">
        <v>1.2644696874599042</v>
      </c>
      <c r="AQ107" s="1347"/>
      <c r="AR107" s="2399"/>
      <c r="AS107" s="2399"/>
      <c r="AT107" s="1139">
        <v>1.2593384433523296</v>
      </c>
      <c r="AU107" s="1347"/>
      <c r="AV107" s="6315"/>
      <c r="AW107" s="6315"/>
      <c r="AX107" s="1139">
        <v>1.3060386032464528</v>
      </c>
      <c r="AY107" s="1347"/>
      <c r="AZ107" s="3066"/>
      <c r="BA107" s="3066"/>
      <c r="BB107" s="3074">
        <f t="shared" si="561"/>
        <v>0</v>
      </c>
      <c r="BC107" s="3074">
        <f t="shared" si="562"/>
        <v>0</v>
      </c>
      <c r="BD107" s="2399"/>
      <c r="BE107" s="2399"/>
      <c r="BF107" s="26"/>
      <c r="BG107" s="26"/>
      <c r="BH107" s="26"/>
      <c r="BI107" s="26"/>
      <c r="BJ107" s="1222"/>
    </row>
    <row r="108" spans="2:62" x14ac:dyDescent="0.25">
      <c r="B108" s="1020" t="s">
        <v>109</v>
      </c>
      <c r="C108" s="159" t="s">
        <v>327</v>
      </c>
      <c r="D108" s="1137">
        <f>D109*D$3*24</f>
        <v>1396.4927959806196</v>
      </c>
      <c r="E108" s="1204">
        <v>1010.0231882629473</v>
      </c>
      <c r="F108" s="7226">
        <f>F109*F$3*24</f>
        <v>1282.5610075764243</v>
      </c>
      <c r="G108" s="1970">
        <v>1180.3595068891568</v>
      </c>
      <c r="H108" s="783">
        <f t="shared" si="567"/>
        <v>2679.0538035570439</v>
      </c>
      <c r="I108" s="783">
        <f t="shared" si="567"/>
        <v>2190.3826951521041</v>
      </c>
      <c r="J108" s="4616">
        <f>J109*J$3*24</f>
        <v>225.28002245086986</v>
      </c>
      <c r="K108" s="1970">
        <v>709.5247124109859</v>
      </c>
      <c r="L108" s="782">
        <f t="shared" si="568"/>
        <v>2904.3338260079136</v>
      </c>
      <c r="M108" s="782">
        <f t="shared" si="569"/>
        <v>2899.9074075630901</v>
      </c>
      <c r="N108" s="4811">
        <f>N109*N$3*24</f>
        <v>66.26719275054208</v>
      </c>
      <c r="O108" s="1970">
        <v>1127.1671945511798</v>
      </c>
      <c r="P108" s="783">
        <f t="shared" si="570"/>
        <v>2970.6010187584557</v>
      </c>
      <c r="Q108" s="783">
        <f t="shared" si="571"/>
        <v>4027.07460211427</v>
      </c>
      <c r="R108" s="4956">
        <f>R109*R$3*24</f>
        <v>657.69812545582556</v>
      </c>
      <c r="S108" s="1970">
        <v>1091.6838747568859</v>
      </c>
      <c r="T108" s="4953">
        <f t="shared" ref="T108" si="626">+P108+R108</f>
        <v>3628.2991442142811</v>
      </c>
      <c r="U108" s="4953">
        <f t="shared" ref="U108" si="627">+Q108+S108</f>
        <v>5118.7584768711558</v>
      </c>
      <c r="V108" s="5176">
        <f>V109*V$3*24</f>
        <v>646.81697481595347</v>
      </c>
      <c r="W108" s="1970">
        <v>1179.7159798940731</v>
      </c>
      <c r="X108" s="782">
        <f t="shared" si="553"/>
        <v>1370.782293022321</v>
      </c>
      <c r="Y108" s="782">
        <f t="shared" si="554"/>
        <v>3398.5670492021391</v>
      </c>
      <c r="Z108" s="465">
        <f t="shared" si="555"/>
        <v>4275.1161190302346</v>
      </c>
      <c r="AA108" s="465">
        <f t="shared" si="556"/>
        <v>6298.4744567652288</v>
      </c>
      <c r="AB108" s="5429">
        <f>AB109*AB$3*24</f>
        <v>746.64894999776993</v>
      </c>
      <c r="AC108" s="1970">
        <v>1110.7631329618091</v>
      </c>
      <c r="AD108" s="2399">
        <f t="shared" ref="AD108" si="628">+Z108+AB108</f>
        <v>5021.7650690280043</v>
      </c>
      <c r="AE108" s="2399">
        <f t="shared" ref="AE108" si="629">+AA108+AC108</f>
        <v>7409.2375897270376</v>
      </c>
      <c r="AF108" s="5566">
        <f>AF109*AF$3*24</f>
        <v>718.05893832523691</v>
      </c>
      <c r="AG108" s="1970">
        <v>300.35197084827143</v>
      </c>
      <c r="AH108" s="5568">
        <f t="shared" ref="AH108" si="630">+AD108+AF108</f>
        <v>5739.8240073532415</v>
      </c>
      <c r="AI108" s="5568">
        <f t="shared" ref="AI108" si="631">+AE108+AG108</f>
        <v>7709.5895605753094</v>
      </c>
      <c r="AJ108" s="5994">
        <f>AJ109*AJ$3*24</f>
        <v>746.64894999776993</v>
      </c>
      <c r="AK108" s="1970">
        <v>1034.4960767703262</v>
      </c>
      <c r="AL108" s="2746">
        <f t="shared" ref="AL108" si="632">+AJ108+AF108+AB108</f>
        <v>2211.3568383207767</v>
      </c>
      <c r="AM108" s="2746">
        <f t="shared" ref="AM108" si="633">+AK108+AG108+AC108</f>
        <v>2445.6111805804067</v>
      </c>
      <c r="AN108" s="2399">
        <f t="shared" ref="AN108" si="634">+AH108+AJ108</f>
        <v>6486.4729573510112</v>
      </c>
      <c r="AO108" s="2399">
        <f t="shared" ref="AO108" si="635">+AI108+AK108</f>
        <v>8744.0856373456354</v>
      </c>
      <c r="AP108" s="6136">
        <f>AP109*AP$3*24</f>
        <v>746.64894999776993</v>
      </c>
      <c r="AQ108" s="1970">
        <v>1248.528</v>
      </c>
      <c r="AR108" s="2399">
        <f t="shared" ref="AR108" si="636">+AN108+AP108</f>
        <v>7233.121907348781</v>
      </c>
      <c r="AS108" s="2399">
        <f t="shared" ref="AS108" si="637">+AO108+AQ108</f>
        <v>9992.6136373456357</v>
      </c>
      <c r="AT108" s="6312">
        <f>AT109*AT$3*24</f>
        <v>658.78892961697215</v>
      </c>
      <c r="AU108" s="1970">
        <v>1104.4165837047537</v>
      </c>
      <c r="AV108" s="6315">
        <f t="shared" ref="AV108" si="638">+AR108+AT108</f>
        <v>7891.9108369657533</v>
      </c>
      <c r="AW108" s="6315">
        <f t="shared" ref="AW108" si="639">+AS108+AU108</f>
        <v>11097.030221050389</v>
      </c>
      <c r="AX108" s="6588">
        <f>AX109*AX$3*24</f>
        <v>856.88302679277126</v>
      </c>
      <c r="AY108" s="1970">
        <v>1260.2471930631336</v>
      </c>
      <c r="AZ108" s="3066">
        <f t="shared" ref="AZ108" si="640">+AX108+AT108+AP108</f>
        <v>2262.3209064075136</v>
      </c>
      <c r="BA108" s="3066">
        <f t="shared" ref="BA108" si="641">+AY108+AU108+AQ108</f>
        <v>3613.1917767678879</v>
      </c>
      <c r="BB108" s="3074">
        <f t="shared" si="561"/>
        <v>4473.6777447282902</v>
      </c>
      <c r="BC108" s="3074">
        <f t="shared" si="562"/>
        <v>6058.8029573482945</v>
      </c>
      <c r="BD108" s="2399">
        <f t="shared" ref="BD108" si="642">+AV108+AX108</f>
        <v>8748.7938637585248</v>
      </c>
      <c r="BE108" s="2399">
        <f t="shared" ref="BE108" si="643">+AW108+AY108</f>
        <v>12357.277414113523</v>
      </c>
      <c r="BF108" s="26"/>
      <c r="BG108" s="26"/>
      <c r="BH108" s="26"/>
      <c r="BI108" s="26"/>
      <c r="BJ108" s="1222"/>
    </row>
    <row r="109" spans="2:62" ht="15" hidden="1" customHeight="1" x14ac:dyDescent="0.25">
      <c r="B109" s="1020"/>
      <c r="C109" s="159"/>
      <c r="D109" s="1139">
        <v>1.9395733277508604</v>
      </c>
      <c r="E109" s="1347"/>
      <c r="F109" s="1139">
        <v>1.7238723220113232</v>
      </c>
      <c r="G109" s="1347"/>
      <c r="H109" s="783"/>
      <c r="I109" s="783"/>
      <c r="J109" s="1139">
        <v>0.31288892007065261</v>
      </c>
      <c r="K109" s="1347"/>
      <c r="L109" s="782"/>
      <c r="M109" s="782"/>
      <c r="N109" s="1139">
        <v>8.9068807460406019E-2</v>
      </c>
      <c r="O109" s="1347"/>
      <c r="P109" s="783"/>
      <c r="Q109" s="783"/>
      <c r="R109" s="1139">
        <v>0.88400285679546453</v>
      </c>
      <c r="S109" s="1347"/>
      <c r="T109" s="4953"/>
      <c r="U109" s="4953"/>
      <c r="V109" s="1139">
        <v>0.89835690946660218</v>
      </c>
      <c r="W109" s="1347"/>
      <c r="X109" s="782"/>
      <c r="Y109" s="782"/>
      <c r="Z109" s="465"/>
      <c r="AA109" s="465"/>
      <c r="AB109" s="1139">
        <v>1.0035604166636691</v>
      </c>
      <c r="AC109" s="1347"/>
      <c r="AD109" s="2399"/>
      <c r="AE109" s="2399"/>
      <c r="AF109" s="1139">
        <v>0.99730408100727352</v>
      </c>
      <c r="AG109" s="1347"/>
      <c r="AH109" s="5568"/>
      <c r="AI109" s="5568"/>
      <c r="AJ109" s="1139">
        <v>1.0035604166636691</v>
      </c>
      <c r="AK109" s="1347"/>
      <c r="AL109" s="2746"/>
      <c r="AM109" s="2746"/>
      <c r="AN109" s="2399"/>
      <c r="AO109" s="2399"/>
      <c r="AP109" s="1139">
        <v>1.0035604166636691</v>
      </c>
      <c r="AQ109" s="1347"/>
      <c r="AR109" s="2399"/>
      <c r="AS109" s="2399"/>
      <c r="AT109" s="1139">
        <v>0.98034066907287531</v>
      </c>
      <c r="AU109" s="1347"/>
      <c r="AV109" s="6315"/>
      <c r="AW109" s="6315"/>
      <c r="AX109" s="1139">
        <v>1.1517244983773809</v>
      </c>
      <c r="AY109" s="1347"/>
      <c r="AZ109" s="3066"/>
      <c r="BA109" s="3066"/>
      <c r="BB109" s="3074">
        <f t="shared" si="561"/>
        <v>0</v>
      </c>
      <c r="BC109" s="3074">
        <f t="shared" si="562"/>
        <v>0</v>
      </c>
      <c r="BD109" s="2399"/>
      <c r="BE109" s="2399"/>
      <c r="BF109" s="26"/>
      <c r="BG109" s="26"/>
      <c r="BH109" s="26"/>
      <c r="BI109" s="26"/>
      <c r="BJ109" s="1222"/>
    </row>
    <row r="110" spans="2:62" x14ac:dyDescent="0.25">
      <c r="B110" s="1020" t="s">
        <v>82</v>
      </c>
      <c r="C110" s="159" t="s">
        <v>327</v>
      </c>
      <c r="D110" s="1137">
        <f>D111*D$3*24</f>
        <v>0</v>
      </c>
      <c r="E110" s="1204">
        <v>0</v>
      </c>
      <c r="F110" s="7226">
        <f>F111*F$3*24</f>
        <v>0</v>
      </c>
      <c r="G110" s="1970">
        <v>0</v>
      </c>
      <c r="H110" s="783">
        <f t="shared" si="567"/>
        <v>0</v>
      </c>
      <c r="I110" s="783">
        <f t="shared" si="567"/>
        <v>0</v>
      </c>
      <c r="J110" s="4616">
        <f>J111*J$3*24</f>
        <v>0</v>
      </c>
      <c r="K110" s="1970">
        <v>14.587737843551791</v>
      </c>
      <c r="L110" s="782">
        <f t="shared" si="568"/>
        <v>0</v>
      </c>
      <c r="M110" s="782">
        <f t="shared" si="569"/>
        <v>14.587737843551791</v>
      </c>
      <c r="N110" s="4811">
        <f>N111*N$3*24</f>
        <v>0</v>
      </c>
      <c r="O110" s="1970">
        <v>0</v>
      </c>
      <c r="P110" s="783">
        <f t="shared" si="570"/>
        <v>0</v>
      </c>
      <c r="Q110" s="783">
        <f t="shared" si="571"/>
        <v>14.587737843551791</v>
      </c>
      <c r="R110" s="4956">
        <f>R111*R$3*24</f>
        <v>0</v>
      </c>
      <c r="S110" s="1970">
        <v>0</v>
      </c>
      <c r="T110" s="4953">
        <f t="shared" ref="T110" si="644">+P110+R110</f>
        <v>0</v>
      </c>
      <c r="U110" s="4953">
        <f t="shared" ref="U110" si="645">+Q110+S110</f>
        <v>14.587737843551791</v>
      </c>
      <c r="V110" s="5176">
        <f>V111*V$3*24</f>
        <v>0</v>
      </c>
      <c r="W110" s="1970">
        <v>0</v>
      </c>
      <c r="X110" s="782">
        <f t="shared" si="553"/>
        <v>0</v>
      </c>
      <c r="Y110" s="782">
        <f t="shared" si="554"/>
        <v>0</v>
      </c>
      <c r="Z110" s="465">
        <f t="shared" si="555"/>
        <v>0</v>
      </c>
      <c r="AA110" s="465">
        <f t="shared" si="556"/>
        <v>14.587737843551791</v>
      </c>
      <c r="AB110" s="5429">
        <f>AB111*AB$3*24</f>
        <v>0</v>
      </c>
      <c r="AC110" s="1970">
        <v>0</v>
      </c>
      <c r="AD110" s="2399">
        <f t="shared" ref="AD110" si="646">+Z110+AB110</f>
        <v>0</v>
      </c>
      <c r="AE110" s="2399">
        <f t="shared" ref="AE110" si="647">+AA110+AC110</f>
        <v>14.587737843551791</v>
      </c>
      <c r="AF110" s="5566">
        <f>AF111*AF$3*24</f>
        <v>0</v>
      </c>
      <c r="AG110" s="1970">
        <v>46.088663002114224</v>
      </c>
      <c r="AH110" s="5568">
        <f t="shared" ref="AH110" si="648">+AD110+AF110</f>
        <v>0</v>
      </c>
      <c r="AI110" s="5568">
        <f t="shared" ref="AI110" si="649">+AE110+AG110</f>
        <v>60.676400845666016</v>
      </c>
      <c r="AJ110" s="5994">
        <f>AJ111*AJ$3*24</f>
        <v>0</v>
      </c>
      <c r="AK110" s="1970">
        <v>65.15261952842873</v>
      </c>
      <c r="AL110" s="2746">
        <f t="shared" ref="AL110" si="650">+AJ110+AF110+AB110</f>
        <v>0</v>
      </c>
      <c r="AM110" s="2746">
        <f t="shared" ref="AM110" si="651">+AK110+AG110+AC110</f>
        <v>111.24128253054295</v>
      </c>
      <c r="AN110" s="2399">
        <f t="shared" ref="AN110" si="652">+AH110+AJ110</f>
        <v>0</v>
      </c>
      <c r="AO110" s="2399">
        <f t="shared" ref="AO110" si="653">+AI110+AK110</f>
        <v>125.82902037409474</v>
      </c>
      <c r="AP110" s="6136">
        <f>AP111*AP$3*24</f>
        <v>0</v>
      </c>
      <c r="AQ110" s="1970">
        <v>0</v>
      </c>
      <c r="AR110" s="2399">
        <f t="shared" ref="AR110" si="654">+AN110+AP110</f>
        <v>0</v>
      </c>
      <c r="AS110" s="2399">
        <f t="shared" ref="AS110" si="655">+AO110+AQ110</f>
        <v>125.82902037409474</v>
      </c>
      <c r="AT110" s="6312">
        <f>AT111*AT$3*24</f>
        <v>0</v>
      </c>
      <c r="AU110" s="1970">
        <v>0</v>
      </c>
      <c r="AV110" s="6315">
        <f t="shared" ref="AV110" si="656">+AR110+AT110</f>
        <v>0</v>
      </c>
      <c r="AW110" s="6315">
        <f t="shared" ref="AW110" si="657">+AS110+AU110</f>
        <v>125.82902037409474</v>
      </c>
      <c r="AX110" s="6588">
        <f>AX111*AX$3*24</f>
        <v>0</v>
      </c>
      <c r="AY110" s="1970"/>
      <c r="AZ110" s="3066">
        <f t="shared" ref="AZ110" si="658">+AX110+AT110+AP110</f>
        <v>0</v>
      </c>
      <c r="BA110" s="3066">
        <f t="shared" ref="BA110" si="659">+AY110+AU110+AQ110</f>
        <v>0</v>
      </c>
      <c r="BB110" s="3074">
        <f t="shared" si="561"/>
        <v>0</v>
      </c>
      <c r="BC110" s="3074">
        <f t="shared" si="562"/>
        <v>111.24128253054295</v>
      </c>
      <c r="BD110" s="2399">
        <f t="shared" ref="BD110" si="660">+AV110+AX110</f>
        <v>0</v>
      </c>
      <c r="BE110" s="2399">
        <f t="shared" ref="BE110" si="661">+AW110+AY110</f>
        <v>125.82902037409474</v>
      </c>
      <c r="BF110" s="26"/>
      <c r="BG110" s="26"/>
      <c r="BH110" s="26"/>
      <c r="BI110" s="26"/>
      <c r="BJ110" s="1222"/>
    </row>
    <row r="111" spans="2:62" ht="15" hidden="1" customHeight="1" x14ac:dyDescent="0.25">
      <c r="B111" s="1020"/>
      <c r="C111" s="159"/>
      <c r="D111" s="1137">
        <v>0</v>
      </c>
      <c r="E111" s="1204"/>
      <c r="F111" s="7226">
        <v>0</v>
      </c>
      <c r="G111" s="1970"/>
      <c r="H111" s="783"/>
      <c r="I111" s="783"/>
      <c r="J111" s="4616">
        <v>0</v>
      </c>
      <c r="K111" s="1970"/>
      <c r="L111" s="782"/>
      <c r="M111" s="782"/>
      <c r="N111" s="4811">
        <v>0</v>
      </c>
      <c r="O111" s="1970"/>
      <c r="P111" s="783"/>
      <c r="Q111" s="783"/>
      <c r="R111" s="4956">
        <v>0</v>
      </c>
      <c r="S111" s="1970"/>
      <c r="T111" s="4953"/>
      <c r="U111" s="4953"/>
      <c r="V111" s="5176">
        <v>0</v>
      </c>
      <c r="W111" s="1970"/>
      <c r="X111" s="782"/>
      <c r="Y111" s="782"/>
      <c r="Z111" s="465"/>
      <c r="AA111" s="465"/>
      <c r="AB111" s="5429"/>
      <c r="AC111" s="1970"/>
      <c r="AD111" s="2399"/>
      <c r="AE111" s="2399"/>
      <c r="AF111" s="5566"/>
      <c r="AG111" s="1970"/>
      <c r="AH111" s="5568"/>
      <c r="AI111" s="5568"/>
      <c r="AJ111" s="5994"/>
      <c r="AK111" s="1970"/>
      <c r="AL111" s="2746"/>
      <c r="AM111" s="2746"/>
      <c r="AN111" s="2399"/>
      <c r="AO111" s="2399"/>
      <c r="AP111" s="6136">
        <v>0</v>
      </c>
      <c r="AQ111" s="1970"/>
      <c r="AR111" s="2399"/>
      <c r="AS111" s="2399"/>
      <c r="AT111" s="6312">
        <v>0</v>
      </c>
      <c r="AU111" s="1970"/>
      <c r="AV111" s="6315"/>
      <c r="AW111" s="6315"/>
      <c r="AX111" s="6588">
        <v>0</v>
      </c>
      <c r="AY111" s="1970"/>
      <c r="AZ111" s="3066"/>
      <c r="BA111" s="3066"/>
      <c r="BB111" s="3074">
        <f t="shared" si="561"/>
        <v>0</v>
      </c>
      <c r="BC111" s="3074">
        <f t="shared" si="562"/>
        <v>0</v>
      </c>
      <c r="BD111" s="2399"/>
      <c r="BE111" s="2399"/>
      <c r="BF111" s="26"/>
      <c r="BG111" s="26"/>
      <c r="BH111" s="26"/>
      <c r="BI111" s="26"/>
      <c r="BJ111" s="1222"/>
    </row>
    <row r="112" spans="2:62" x14ac:dyDescent="0.25">
      <c r="B112" s="1020" t="s">
        <v>559</v>
      </c>
      <c r="C112" s="159" t="s">
        <v>327</v>
      </c>
      <c r="D112" s="1137">
        <f>D113*D$3*24</f>
        <v>144</v>
      </c>
      <c r="E112" s="1204">
        <v>151.3742071881606</v>
      </c>
      <c r="F112" s="7226">
        <f>F113*F$3*24</f>
        <v>148.80000000000001</v>
      </c>
      <c r="G112" s="1970">
        <v>157.29386892177578</v>
      </c>
      <c r="H112" s="783">
        <f t="shared" si="567"/>
        <v>292.8</v>
      </c>
      <c r="I112" s="783">
        <f t="shared" si="567"/>
        <v>308.66807610993635</v>
      </c>
      <c r="J112" s="4616">
        <f>J113*J$3*24</f>
        <v>144</v>
      </c>
      <c r="K112" s="1970">
        <v>152.2198731501056</v>
      </c>
      <c r="L112" s="782">
        <f t="shared" si="568"/>
        <v>436.8</v>
      </c>
      <c r="M112" s="782">
        <f t="shared" si="569"/>
        <v>460.88794926004198</v>
      </c>
      <c r="N112" s="4811">
        <f>N113*N$3*24</f>
        <v>148.80000000000001</v>
      </c>
      <c r="O112" s="1970">
        <v>157.26258649117949</v>
      </c>
      <c r="P112" s="783">
        <f t="shared" si="570"/>
        <v>585.6</v>
      </c>
      <c r="Q112" s="783">
        <f t="shared" si="571"/>
        <v>618.15053575122147</v>
      </c>
      <c r="R112" s="4956">
        <f>R113*R$3*24</f>
        <v>148.80000000000001</v>
      </c>
      <c r="S112" s="1970">
        <v>157.29386892177578</v>
      </c>
      <c r="T112" s="4953">
        <f t="shared" ref="T112" si="662">+P112+R112</f>
        <v>734.40000000000009</v>
      </c>
      <c r="U112" s="4953">
        <f t="shared" ref="U112" si="663">+Q112+S112</f>
        <v>775.44440467299728</v>
      </c>
      <c r="V112" s="5176">
        <f>V113*V$3*24</f>
        <v>144</v>
      </c>
      <c r="W112" s="1970">
        <v>152.21987315010549</v>
      </c>
      <c r="X112" s="782">
        <f t="shared" si="553"/>
        <v>441.6</v>
      </c>
      <c r="Y112" s="782">
        <f t="shared" si="554"/>
        <v>466.77632856306076</v>
      </c>
      <c r="Z112" s="465">
        <f t="shared" si="555"/>
        <v>878.40000000000009</v>
      </c>
      <c r="AA112" s="465">
        <f t="shared" si="556"/>
        <v>927.66427782310279</v>
      </c>
      <c r="AB112" s="5429">
        <f>AB113*AB$3*24</f>
        <v>148.80000000000001</v>
      </c>
      <c r="AC112" s="1970">
        <v>157.54756871035931</v>
      </c>
      <c r="AD112" s="2399">
        <f t="shared" ref="AD112" si="664">+Z112+AB112</f>
        <v>1027.2</v>
      </c>
      <c r="AE112" s="2399">
        <f t="shared" ref="AE112" si="665">+AA112+AC112</f>
        <v>1085.211846533462</v>
      </c>
      <c r="AF112" s="5566">
        <f>AF113*AF$3*24</f>
        <v>144</v>
      </c>
      <c r="AG112" s="1970">
        <v>138.68921775898525</v>
      </c>
      <c r="AH112" s="5568">
        <f t="shared" ref="AH112" si="666">+AD112+AF112</f>
        <v>1171.2</v>
      </c>
      <c r="AI112" s="5568">
        <f t="shared" ref="AI112" si="667">+AE112+AG112</f>
        <v>1223.9010642924472</v>
      </c>
      <c r="AJ112" s="5994">
        <f>AJ113*AJ$3*24</f>
        <v>148.80000000000001</v>
      </c>
      <c r="AK112" s="1970">
        <v>155.03795348837193</v>
      </c>
      <c r="AL112" s="2746">
        <f t="shared" ref="AL112" si="668">+AJ112+AF112+AB112</f>
        <v>441.6</v>
      </c>
      <c r="AM112" s="2746">
        <f t="shared" ref="AM112" si="669">+AK112+AG112+AC112</f>
        <v>451.27473995771652</v>
      </c>
      <c r="AN112" s="2399">
        <f t="shared" ref="AN112" si="670">+AH112+AJ112</f>
        <v>1320</v>
      </c>
      <c r="AO112" s="2399">
        <f t="shared" ref="AO112" si="671">+AI112+AK112</f>
        <v>1378.9390177808191</v>
      </c>
      <c r="AP112" s="6136">
        <f>AP113*AP$3*24</f>
        <v>148.80000000000001</v>
      </c>
      <c r="AQ112" s="1970">
        <v>157.29400000000001</v>
      </c>
      <c r="AR112" s="2399">
        <f t="shared" ref="AR112" si="672">+AN112+AP112</f>
        <v>1468.8</v>
      </c>
      <c r="AS112" s="2399">
        <f t="shared" ref="AS112" si="673">+AO112+AQ112</f>
        <v>1536.2330177808192</v>
      </c>
      <c r="AT112" s="6312">
        <f>AT113*AT$3*24</f>
        <v>134.4</v>
      </c>
      <c r="AU112" s="1970">
        <v>142.07188160676523</v>
      </c>
      <c r="AV112" s="6315">
        <f t="shared" ref="AV112" si="674">+AR112+AT112</f>
        <v>1603.2</v>
      </c>
      <c r="AW112" s="6315">
        <f t="shared" ref="AW112" si="675">+AS112+AU112</f>
        <v>1678.3048993875843</v>
      </c>
      <c r="AX112" s="6588">
        <f>AX113*AX$3*24</f>
        <v>148.80000000000001</v>
      </c>
      <c r="AY112" s="1970">
        <v>157.29386892177578</v>
      </c>
      <c r="AZ112" s="3066">
        <f t="shared" ref="AZ112" si="676">+AX112+AT112+AP112</f>
        <v>432.00000000000006</v>
      </c>
      <c r="BA112" s="3066">
        <f t="shared" ref="BA112" si="677">+AY112+AU112+AQ112</f>
        <v>456.65975052854105</v>
      </c>
      <c r="BB112" s="3074">
        <f t="shared" si="561"/>
        <v>873.60000000000014</v>
      </c>
      <c r="BC112" s="3074">
        <f t="shared" si="562"/>
        <v>907.93449048625757</v>
      </c>
      <c r="BD112" s="2399">
        <f t="shared" ref="BD112" si="678">+AV112+AX112</f>
        <v>1752</v>
      </c>
      <c r="BE112" s="2399">
        <f t="shared" ref="BE112" si="679">+AW112+AY112</f>
        <v>1835.5987683093601</v>
      </c>
      <c r="BF112" s="26"/>
      <c r="BG112" s="26"/>
      <c r="BH112" s="26"/>
      <c r="BI112" s="26"/>
      <c r="BJ112" s="1222"/>
    </row>
    <row r="113" spans="1:62" ht="15" hidden="1" customHeight="1" x14ac:dyDescent="0.25">
      <c r="B113" s="1020"/>
      <c r="C113" s="159"/>
      <c r="D113" s="191">
        <v>0.2</v>
      </c>
      <c r="E113" s="102"/>
      <c r="F113" s="191">
        <v>0.2</v>
      </c>
      <c r="G113" s="102"/>
      <c r="H113" s="783"/>
      <c r="I113" s="783"/>
      <c r="J113" s="191">
        <v>0.2</v>
      </c>
      <c r="K113" s="102"/>
      <c r="L113" s="782"/>
      <c r="M113" s="782"/>
      <c r="N113" s="191">
        <v>0.2</v>
      </c>
      <c r="O113" s="102"/>
      <c r="P113" s="783"/>
      <c r="Q113" s="783"/>
      <c r="R113" s="191">
        <v>0.2</v>
      </c>
      <c r="S113" s="102"/>
      <c r="T113" s="4953"/>
      <c r="U113" s="4953"/>
      <c r="V113" s="191">
        <v>0.2</v>
      </c>
      <c r="W113" s="102"/>
      <c r="X113" s="782"/>
      <c r="Y113" s="782"/>
      <c r="Z113" s="465"/>
      <c r="AA113" s="465"/>
      <c r="AB113" s="191">
        <v>0.2</v>
      </c>
      <c r="AC113" s="102"/>
      <c r="AD113" s="2399"/>
      <c r="AE113" s="2399"/>
      <c r="AF113" s="191">
        <v>0.2</v>
      </c>
      <c r="AG113" s="102"/>
      <c r="AH113" s="5568"/>
      <c r="AI113" s="5568"/>
      <c r="AJ113" s="191">
        <v>0.2</v>
      </c>
      <c r="AK113" s="102"/>
      <c r="AL113" s="2746"/>
      <c r="AM113" s="2746"/>
      <c r="AN113" s="2399"/>
      <c r="AO113" s="2399"/>
      <c r="AP113" s="191">
        <v>0.2</v>
      </c>
      <c r="AQ113" s="102"/>
      <c r="AR113" s="2399"/>
      <c r="AS113" s="2399"/>
      <c r="AT113" s="191">
        <v>0.2</v>
      </c>
      <c r="AU113" s="102"/>
      <c r="AV113" s="6315"/>
      <c r="AW113" s="6315"/>
      <c r="AX113" s="191">
        <v>0.2</v>
      </c>
      <c r="AY113" s="102"/>
      <c r="AZ113" s="3066"/>
      <c r="BA113" s="3066"/>
      <c r="BB113" s="3064"/>
      <c r="BC113" s="3064"/>
      <c r="BD113" s="2399"/>
      <c r="BE113" s="2399"/>
      <c r="BF113" s="26"/>
      <c r="BG113" s="26"/>
      <c r="BH113" s="26"/>
      <c r="BI113" s="26"/>
      <c r="BJ113" s="1222"/>
    </row>
    <row r="114" spans="1:62" ht="15.75" x14ac:dyDescent="0.25">
      <c r="B114" s="812" t="s">
        <v>61</v>
      </c>
      <c r="C114" s="806" t="s">
        <v>327</v>
      </c>
      <c r="D114" s="1140">
        <f t="shared" ref="D114:K114" si="680">D98+D100+D102+D104+D106+D108+D110+D112</f>
        <v>3599.9999999999995</v>
      </c>
      <c r="E114" s="1140">
        <f t="shared" si="680"/>
        <v>3587.8270000000002</v>
      </c>
      <c r="F114" s="1140">
        <f t="shared" ref="F114:G114" si="681">F98+F100+F102+F104+F106+F108+F110+F112</f>
        <v>3719.9999999999995</v>
      </c>
      <c r="G114" s="1140">
        <f t="shared" si="681"/>
        <v>3721.1059999999989</v>
      </c>
      <c r="H114" s="376">
        <f t="shared" si="680"/>
        <v>7319.9999999999991</v>
      </c>
      <c r="I114" s="376">
        <f t="shared" si="680"/>
        <v>7308.9329999999991</v>
      </c>
      <c r="J114" s="1140">
        <f t="shared" si="680"/>
        <v>3600</v>
      </c>
      <c r="K114" s="1140">
        <f t="shared" si="680"/>
        <v>3577.0609999999992</v>
      </c>
      <c r="L114" s="802">
        <f t="shared" ref="L114:AA114" si="682">SUM(L98:L112)</f>
        <v>10920</v>
      </c>
      <c r="M114" s="802">
        <f t="shared" si="682"/>
        <v>10885.994000000001</v>
      </c>
      <c r="N114" s="1140">
        <f t="shared" ref="N114:O114" si="683">N98+N100+N102+N104+N106+N108+N110+N112</f>
        <v>3720.0000000000005</v>
      </c>
      <c r="O114" s="1140">
        <f t="shared" si="683"/>
        <v>3690.4369999999999</v>
      </c>
      <c r="P114" s="256">
        <f t="shared" si="682"/>
        <v>14640</v>
      </c>
      <c r="Q114" s="256">
        <f t="shared" si="682"/>
        <v>14576.430999999999</v>
      </c>
      <c r="R114" s="1140">
        <f t="shared" ref="R114:S114" si="684">R98+R100+R102+R104+R106+R108+R110+R112</f>
        <v>3720</v>
      </c>
      <c r="S114" s="1140">
        <f t="shared" si="684"/>
        <v>3704.0129999999999</v>
      </c>
      <c r="T114" s="256">
        <f t="shared" ref="T114:U114" si="685">SUM(T98:T112)</f>
        <v>18360</v>
      </c>
      <c r="U114" s="256">
        <f t="shared" si="685"/>
        <v>18280.444</v>
      </c>
      <c r="V114" s="1140">
        <f t="shared" ref="V114:W114" si="686">V98+V100+V102+V104+V106+V108+V110+V112</f>
        <v>3600</v>
      </c>
      <c r="W114" s="1140">
        <f t="shared" si="686"/>
        <v>3616.233999999999</v>
      </c>
      <c r="X114" s="802">
        <f t="shared" si="682"/>
        <v>11040</v>
      </c>
      <c r="Y114" s="802">
        <f t="shared" si="682"/>
        <v>11010.683999999999</v>
      </c>
      <c r="Z114" s="522">
        <f t="shared" si="682"/>
        <v>21960</v>
      </c>
      <c r="AA114" s="522">
        <f t="shared" si="682"/>
        <v>21896.677999999996</v>
      </c>
      <c r="AB114" s="1140">
        <f t="shared" ref="AB114:AC114" si="687">AB98+AB100+AB102+AB104+AB106+AB108+AB110+AB112</f>
        <v>3720</v>
      </c>
      <c r="AC114" s="1140">
        <f t="shared" si="687"/>
        <v>3779.569</v>
      </c>
      <c r="AD114" s="256">
        <f t="shared" ref="AD114:AE114" si="688">SUM(AD98:AD112)</f>
        <v>25679.999999999996</v>
      </c>
      <c r="AE114" s="256">
        <f t="shared" si="688"/>
        <v>25676.246999999996</v>
      </c>
      <c r="AF114" s="1140">
        <f t="shared" ref="AF114:AG114" si="689">AF98+AF100+AF102+AF104+AF106+AF108+AF110+AF112</f>
        <v>3599.9999999999995</v>
      </c>
      <c r="AG114" s="1140">
        <f t="shared" si="689"/>
        <v>3601.5059999999994</v>
      </c>
      <c r="AH114" s="256">
        <f t="shared" ref="AH114:AI114" si="690">SUM(AH98:AH112)</f>
        <v>29280.000000000004</v>
      </c>
      <c r="AI114" s="256">
        <f t="shared" si="690"/>
        <v>29277.752999999997</v>
      </c>
      <c r="AJ114" s="1140">
        <f t="shared" ref="AJ114:AK114" si="691">AJ98+AJ100+AJ102+AJ104+AJ106+AJ108+AJ110+AJ112</f>
        <v>3720</v>
      </c>
      <c r="AK114" s="1140">
        <f t="shared" si="691"/>
        <v>3703.3039999999996</v>
      </c>
      <c r="AL114" s="802">
        <f t="shared" ref="AL114:AO114" si="692">SUM(AL98:AL112)</f>
        <v>11040</v>
      </c>
      <c r="AM114" s="802">
        <f t="shared" si="692"/>
        <v>11084.379000000001</v>
      </c>
      <c r="AN114" s="256">
        <f t="shared" si="692"/>
        <v>33000</v>
      </c>
      <c r="AO114" s="256">
        <f t="shared" si="692"/>
        <v>32981.056999999993</v>
      </c>
      <c r="AP114" s="1140">
        <f t="shared" ref="AP114:AQ114" si="693">AP98+AP100+AP102+AP104+AP106+AP108+AP110+AP112</f>
        <v>3720</v>
      </c>
      <c r="AQ114" s="1140">
        <f t="shared" si="693"/>
        <v>3741.0349999999999</v>
      </c>
      <c r="AR114" s="256">
        <f t="shared" ref="AR114:AS114" si="694">SUM(AR98:AR112)</f>
        <v>36720</v>
      </c>
      <c r="AS114" s="256">
        <f t="shared" si="694"/>
        <v>36722.091999999997</v>
      </c>
      <c r="AT114" s="1140">
        <f t="shared" ref="AT114:AU114" si="695">AT98+AT100+AT102+AT104+AT106+AT108+AT110+AT112</f>
        <v>3360.0000000000005</v>
      </c>
      <c r="AU114" s="1140">
        <f t="shared" si="695"/>
        <v>3346.319</v>
      </c>
      <c r="AV114" s="256">
        <f t="shared" ref="AV114:AW114" si="696">SUM(AV98:AV112)</f>
        <v>40080</v>
      </c>
      <c r="AW114" s="256">
        <f t="shared" si="696"/>
        <v>40068.411</v>
      </c>
      <c r="AX114" s="1140">
        <f t="shared" ref="AX114:AY114" si="697">AX98+AX100+AX102+AX104+AX106+AX108+AX110+AX112</f>
        <v>3720</v>
      </c>
      <c r="AY114" s="1140">
        <f t="shared" si="697"/>
        <v>3687.1229999999991</v>
      </c>
      <c r="AZ114" s="802">
        <f t="shared" ref="AZ114:BE114" si="698">SUM(AZ98:AZ112)</f>
        <v>10800</v>
      </c>
      <c r="BA114" s="802">
        <f t="shared" si="698"/>
        <v>10774.476999999999</v>
      </c>
      <c r="BB114" s="522">
        <f t="shared" si="698"/>
        <v>21839.999999999996</v>
      </c>
      <c r="BC114" s="522">
        <f t="shared" si="698"/>
        <v>21858.856</v>
      </c>
      <c r="BD114" s="256">
        <f t="shared" si="698"/>
        <v>43800</v>
      </c>
      <c r="BE114" s="256">
        <f t="shared" si="698"/>
        <v>43755.534</v>
      </c>
      <c r="BF114" s="26"/>
      <c r="BG114" s="26"/>
      <c r="BH114" s="26"/>
      <c r="BI114" s="26"/>
      <c r="BJ114" s="1222"/>
    </row>
    <row r="115" spans="1:62" ht="20.25" x14ac:dyDescent="0.25">
      <c r="B115" s="1035" t="s">
        <v>325</v>
      </c>
      <c r="C115" s="1035"/>
      <c r="D115" s="1036"/>
      <c r="E115" s="1035"/>
      <c r="F115" s="1036"/>
      <c r="G115" s="1035"/>
      <c r="H115" s="1035"/>
      <c r="I115" s="1035"/>
      <c r="J115" s="1036"/>
      <c r="K115" s="1035"/>
      <c r="L115" s="1035"/>
      <c r="M115" s="1035"/>
      <c r="N115" s="1036"/>
      <c r="O115" s="1035"/>
      <c r="P115" s="1035"/>
      <c r="Q115" s="1035"/>
      <c r="R115" s="1036"/>
      <c r="S115" s="1035"/>
      <c r="T115" s="1035"/>
      <c r="U115" s="1035"/>
      <c r="V115" s="1036"/>
      <c r="W115" s="1035"/>
      <c r="X115" s="1035"/>
      <c r="Y115" s="1035"/>
      <c r="Z115" s="1035"/>
      <c r="AA115" s="1035"/>
      <c r="AB115" s="1036"/>
      <c r="AC115" s="1035"/>
      <c r="AD115" s="1035"/>
      <c r="AE115" s="1035"/>
      <c r="AF115" s="1036"/>
      <c r="AG115" s="1035"/>
      <c r="AH115" s="1035"/>
      <c r="AI115" s="1035"/>
      <c r="AJ115" s="1036"/>
      <c r="AK115" s="1035"/>
      <c r="AL115" s="1035"/>
      <c r="AM115" s="1035"/>
      <c r="AN115" s="1035"/>
      <c r="AO115" s="1035"/>
      <c r="AP115" s="1036"/>
      <c r="AQ115" s="1035"/>
      <c r="AR115" s="1035"/>
      <c r="AS115" s="1035"/>
      <c r="AT115" s="1036"/>
      <c r="AU115" s="1035"/>
      <c r="AV115" s="1035"/>
      <c r="AW115" s="1035"/>
      <c r="AX115" s="1036"/>
      <c r="AY115" s="1035"/>
      <c r="AZ115" s="1035"/>
      <c r="BA115" s="1035"/>
      <c r="BB115" s="1035"/>
      <c r="BC115" s="1035"/>
      <c r="BD115" s="1035"/>
      <c r="BE115" s="1035"/>
      <c r="BF115" s="26"/>
      <c r="BG115" s="26"/>
      <c r="BH115" s="26"/>
      <c r="BI115" s="1222"/>
      <c r="BJ115" s="1222"/>
    </row>
    <row r="116" spans="1:62" x14ac:dyDescent="0.25">
      <c r="B116" s="1037" t="s">
        <v>110</v>
      </c>
      <c r="C116" s="159" t="s">
        <v>324</v>
      </c>
      <c r="D116" s="264">
        <v>0.45109712118113005</v>
      </c>
      <c r="E116" s="264">
        <v>0.460792787170901</v>
      </c>
      <c r="F116" s="264">
        <v>0.4079878357892866</v>
      </c>
      <c r="G116" s="264">
        <v>0.44081194608442253</v>
      </c>
      <c r="H116" s="381">
        <f>((D116*$D$131)+(F116*$F$131))/$H$131</f>
        <v>0.42920449898390028</v>
      </c>
      <c r="I116" s="381">
        <f>((E116*$E$131)+(G116*$G$131))/$I$131</f>
        <v>0.45013541984511829</v>
      </c>
      <c r="J116" s="264">
        <v>0.30086731459121252</v>
      </c>
      <c r="K116" s="264">
        <v>0.4017056898611992</v>
      </c>
      <c r="L116" s="382">
        <v>0.30675582474661489</v>
      </c>
      <c r="M116" s="382">
        <v>0.34031871509854328</v>
      </c>
      <c r="N116" s="264">
        <v>0.30149893482865792</v>
      </c>
      <c r="O116" s="264">
        <v>0.35521594031926113</v>
      </c>
      <c r="P116" s="381">
        <v>0.30625103049751529</v>
      </c>
      <c r="Q116" s="381">
        <v>0.34376846356548779</v>
      </c>
      <c r="R116" s="264">
        <v>0.31228914457096385</v>
      </c>
      <c r="S116" s="264">
        <v>0.36110206292865571</v>
      </c>
      <c r="T116" s="381">
        <v>0.30778605521135816</v>
      </c>
      <c r="U116" s="381">
        <v>0.34726220267729263</v>
      </c>
      <c r="V116" s="264">
        <v>0.31226577785949489</v>
      </c>
      <c r="W116" s="264">
        <v>0.35076830083462585</v>
      </c>
      <c r="X116" s="382">
        <v>0.31092716781906848</v>
      </c>
      <c r="Y116" s="382">
        <v>0.35569512688368626</v>
      </c>
      <c r="Z116" s="663">
        <v>0.30866973008212872</v>
      </c>
      <c r="AA116" s="663">
        <v>0.34774581600920529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6601"/>
      <c r="BH116" s="26"/>
      <c r="BI116" s="6601"/>
      <c r="BJ116" s="1222"/>
    </row>
    <row r="117" spans="1:62" x14ac:dyDescent="0.25">
      <c r="A117" s="93"/>
      <c r="B117" s="1037" t="s">
        <v>1065</v>
      </c>
      <c r="C117" s="159" t="s">
        <v>324</v>
      </c>
      <c r="D117" s="264">
        <v>3.192215813727552</v>
      </c>
      <c r="E117" s="264">
        <v>3.1487368916098313</v>
      </c>
      <c r="F117" s="264">
        <v>3.1878516431682868</v>
      </c>
      <c r="G117" s="264">
        <v>3.1606737833543823</v>
      </c>
      <c r="H117" s="381">
        <f t="shared" ref="H117:H128" si="699">((D117*$D$131)+(F117*$F$131))/$H$131</f>
        <v>3.1899995130770118</v>
      </c>
      <c r="I117" s="381">
        <f t="shared" ref="I117:I128" si="700">((E117*$E$131)+(G117*$G$131))/$I$131</f>
        <v>3.1551037827481565</v>
      </c>
      <c r="J117" s="264">
        <v>3.2641186883787299</v>
      </c>
      <c r="K117" s="264">
        <v>3.5321231260687567</v>
      </c>
      <c r="L117" s="382">
        <v>3.220051356814329</v>
      </c>
      <c r="M117" s="382">
        <v>3.3836620958530621</v>
      </c>
      <c r="N117" s="264">
        <v>3.3259245062431546</v>
      </c>
      <c r="O117" s="264">
        <v>3.1603325615722833</v>
      </c>
      <c r="P117" s="381">
        <v>3.2302178540778872</v>
      </c>
      <c r="Q117" s="381">
        <v>3.3216569045617592</v>
      </c>
      <c r="R117" s="264">
        <v>3.2695240942406048</v>
      </c>
      <c r="S117" s="264">
        <v>3.1718649145921463</v>
      </c>
      <c r="T117" s="381">
        <v>3.2402103864023979</v>
      </c>
      <c r="U117" s="381">
        <v>3.2902153504109797</v>
      </c>
      <c r="V117" s="264">
        <v>3.3042707176243051</v>
      </c>
      <c r="W117" s="264">
        <v>3.2361963448610829</v>
      </c>
      <c r="X117" s="382">
        <v>3.2915292186388387</v>
      </c>
      <c r="Y117" s="382">
        <v>3.1893228183653046</v>
      </c>
      <c r="Z117" s="663">
        <v>3.252846995710696</v>
      </c>
      <c r="AA117" s="663">
        <v>3.2804948096828856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6601"/>
      <c r="BH117" s="26"/>
      <c r="BI117" s="6601"/>
      <c r="BJ117" s="1222"/>
    </row>
    <row r="118" spans="1:62" x14ac:dyDescent="0.25">
      <c r="A118" s="93"/>
      <c r="B118" s="1037" t="s">
        <v>111</v>
      </c>
      <c r="C118" s="159" t="s">
        <v>324</v>
      </c>
      <c r="D118" s="264">
        <v>0.71546333630368797</v>
      </c>
      <c r="E118" s="264">
        <v>0.60791746707752903</v>
      </c>
      <c r="F118" s="264">
        <v>0.71547092574170856</v>
      </c>
      <c r="G118" s="264">
        <v>0.63862852901505096</v>
      </c>
      <c r="H118" s="381">
        <f t="shared" si="699"/>
        <v>0.71546719052436825</v>
      </c>
      <c r="I118" s="381">
        <f t="shared" si="700"/>
        <v>0.62429811224739251</v>
      </c>
      <c r="J118" s="264">
        <v>0.78827962243946703</v>
      </c>
      <c r="K118" s="264">
        <v>0.75657593298408787</v>
      </c>
      <c r="L118" s="382">
        <v>0.81196324057415181</v>
      </c>
      <c r="M118" s="382">
        <v>0.80294932330971602</v>
      </c>
      <c r="N118" s="264">
        <v>0.67579722566553113</v>
      </c>
      <c r="O118" s="264">
        <v>0.73662471132604035</v>
      </c>
      <c r="P118" s="381">
        <v>0.79888786286576718</v>
      </c>
      <c r="Q118" s="381">
        <v>0.78406047832991077</v>
      </c>
      <c r="R118" s="264">
        <v>0.81682168737080663</v>
      </c>
      <c r="S118" s="264">
        <v>0.71463831474908335</v>
      </c>
      <c r="T118" s="381">
        <v>0.80344704533467903</v>
      </c>
      <c r="U118" s="381">
        <v>0.76872755352156874</v>
      </c>
      <c r="V118" s="264">
        <v>0.81696810438189593</v>
      </c>
      <c r="W118" s="264">
        <v>0.66527682032856161</v>
      </c>
      <c r="X118" s="382">
        <v>0.79921535025643298</v>
      </c>
      <c r="Y118" s="382">
        <v>0.70566126525856676</v>
      </c>
      <c r="Z118" s="663">
        <v>0.80611422387333276</v>
      </c>
      <c r="AA118" s="663">
        <v>0.74963819481285932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6601"/>
      <c r="BH118" s="26"/>
      <c r="BI118" s="6601"/>
      <c r="BJ118" s="1222"/>
    </row>
    <row r="119" spans="1:62" x14ac:dyDescent="0.25">
      <c r="A119" s="93"/>
      <c r="B119" s="1037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f t="shared" si="699"/>
        <v>0.46313838005843</v>
      </c>
      <c r="I119" s="381">
        <f t="shared" si="700"/>
        <v>0.4556952246966588</v>
      </c>
      <c r="J119" s="264">
        <v>0.49349521600281188</v>
      </c>
      <c r="K119" s="264">
        <v>0.54935242646352778</v>
      </c>
      <c r="L119" s="382">
        <v>0.46272648130320831</v>
      </c>
      <c r="M119" s="382">
        <v>0.4985856226286085</v>
      </c>
      <c r="N119" s="264">
        <v>0.63361027449423679</v>
      </c>
      <c r="O119" s="264">
        <v>0.48307224595693687</v>
      </c>
      <c r="P119" s="381">
        <v>0.4791356428822825</v>
      </c>
      <c r="Q119" s="381">
        <v>0.49402238241003849</v>
      </c>
      <c r="R119" s="264">
        <v>0.46249971918061317</v>
      </c>
      <c r="S119" s="264">
        <v>0.44188551337417592</v>
      </c>
      <c r="T119" s="381">
        <v>0.4749064160559861</v>
      </c>
      <c r="U119" s="381">
        <v>0.48228493943998452</v>
      </c>
      <c r="V119" s="264">
        <v>0.46032290455280167</v>
      </c>
      <c r="W119" s="264">
        <v>0.43720387065776378</v>
      </c>
      <c r="X119" s="382">
        <v>0.48300268662237711</v>
      </c>
      <c r="Y119" s="382">
        <v>0.45418454920930418</v>
      </c>
      <c r="Z119" s="663">
        <v>0.47202965701191479</v>
      </c>
      <c r="AA119" s="663">
        <v>0.47400694736349813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6601"/>
      <c r="BH119" s="26"/>
      <c r="BI119" s="6601"/>
      <c r="BJ119" s="1222"/>
    </row>
    <row r="120" spans="1:62" x14ac:dyDescent="0.25">
      <c r="A120" s="93"/>
      <c r="B120" s="1037" t="s">
        <v>1404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f t="shared" si="699"/>
        <v>0.19082974901970018</v>
      </c>
      <c r="I120" s="381">
        <f t="shared" si="700"/>
        <v>0.16895326061638513</v>
      </c>
      <c r="J120" s="264">
        <v>0.13096803335719046</v>
      </c>
      <c r="K120" s="264">
        <v>0.171545167153935</v>
      </c>
      <c r="L120" s="382">
        <v>0.11060338486917171</v>
      </c>
      <c r="M120" s="382">
        <v>0.17124514101750857</v>
      </c>
      <c r="N120" s="264">
        <v>0.12318970996579695</v>
      </c>
      <c r="O120" s="264">
        <v>0.15357211646621721</v>
      </c>
      <c r="P120" s="381">
        <v>0.11181199007590657</v>
      </c>
      <c r="Q120" s="381">
        <v>0.16604082938427961</v>
      </c>
      <c r="R120" s="264">
        <v>0.11126106819526697</v>
      </c>
      <c r="S120" s="264">
        <v>0.1521881941671106</v>
      </c>
      <c r="T120" s="381">
        <v>0.11167193331449206</v>
      </c>
      <c r="U120" s="381">
        <v>0.16292286842317688</v>
      </c>
      <c r="V120" s="264">
        <v>0.11275489090378449</v>
      </c>
      <c r="W120" s="264">
        <v>0.1643809537962696</v>
      </c>
      <c r="X120" s="382">
        <v>0.1133978735842442</v>
      </c>
      <c r="Y120" s="382">
        <v>0.15669752961260294</v>
      </c>
      <c r="Z120" s="663">
        <v>0.11188555868439437</v>
      </c>
      <c r="AA120" s="663">
        <v>0.16319453532145889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6601"/>
      <c r="BH120" s="26"/>
      <c r="BI120" s="6601"/>
      <c r="BJ120" s="1222"/>
    </row>
    <row r="121" spans="1:62" s="3346" customFormat="1" x14ac:dyDescent="0.25">
      <c r="A121" s="93"/>
      <c r="B121" s="1037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f t="shared" si="699"/>
        <v>0.14534419676036461</v>
      </c>
      <c r="I121" s="381">
        <f t="shared" si="700"/>
        <v>0.15378985581945237</v>
      </c>
      <c r="J121" s="264">
        <v>0.15637667177109771</v>
      </c>
      <c r="K121" s="264">
        <v>0.1975785949328985</v>
      </c>
      <c r="L121" s="382">
        <v>0.15293233615938431</v>
      </c>
      <c r="M121" s="382">
        <v>0.18143817816711399</v>
      </c>
      <c r="N121" s="264">
        <v>0.27028159005181346</v>
      </c>
      <c r="O121" s="264">
        <v>0.15200237057125665</v>
      </c>
      <c r="P121" s="381">
        <v>0.16420082939883426</v>
      </c>
      <c r="Q121" s="381">
        <v>0.17277348927153849</v>
      </c>
      <c r="R121" s="264">
        <v>0.15737082850956158</v>
      </c>
      <c r="S121" s="264">
        <v>0.16292456271181521</v>
      </c>
      <c r="T121" s="381">
        <v>0.16246448920501369</v>
      </c>
      <c r="U121" s="381">
        <v>0.1705562966808776</v>
      </c>
      <c r="V121" s="264">
        <v>0.15771861450750357</v>
      </c>
      <c r="W121" s="264">
        <v>0.16319058388360996</v>
      </c>
      <c r="X121" s="382">
        <v>0.17166720634849189</v>
      </c>
      <c r="Y121" s="382">
        <v>0.1593394814266291</v>
      </c>
      <c r="Z121" s="663">
        <v>0.16152831289692013</v>
      </c>
      <c r="AA121" s="663">
        <v>0.16920595228614863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6601"/>
      <c r="BH121" s="26"/>
      <c r="BI121" s="6601"/>
      <c r="BJ121" s="1222"/>
    </row>
    <row r="122" spans="1:62" x14ac:dyDescent="0.25">
      <c r="A122" s="93"/>
      <c r="B122" s="1037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f t="shared" si="699"/>
        <v>0.12850773865440906</v>
      </c>
      <c r="I122" s="381">
        <f t="shared" si="700"/>
        <v>0.1374329231734388</v>
      </c>
      <c r="J122" s="264">
        <v>0.15359593117408907</v>
      </c>
      <c r="K122" s="264">
        <v>0.20747518492744682</v>
      </c>
      <c r="L122" s="382">
        <v>0.13867447831423899</v>
      </c>
      <c r="M122" s="382">
        <v>0.1614744992164073</v>
      </c>
      <c r="N122" s="264">
        <v>0.2775864400000001</v>
      </c>
      <c r="O122" s="264">
        <v>0.13453336739284674</v>
      </c>
      <c r="P122" s="381">
        <v>0.15201353629043735</v>
      </c>
      <c r="Q122" s="381">
        <v>0.15354206528838127</v>
      </c>
      <c r="R122" s="264">
        <v>0.13943968888239713</v>
      </c>
      <c r="S122" s="264">
        <v>0.15448502838457148</v>
      </c>
      <c r="T122" s="381">
        <v>0.14881698082880671</v>
      </c>
      <c r="U122" s="381">
        <v>0.15375347957670676</v>
      </c>
      <c r="V122" s="264">
        <v>0.13950015542699248</v>
      </c>
      <c r="W122" s="264">
        <v>0.14262697462911816</v>
      </c>
      <c r="X122" s="382">
        <v>0.15677441613765455</v>
      </c>
      <c r="Y122" s="382">
        <v>0.14384207018712353</v>
      </c>
      <c r="Z122" s="663">
        <v>0.14697913390621542</v>
      </c>
      <c r="AA122" s="663">
        <v>0.15171219330862198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6601"/>
      <c r="BH122" s="26"/>
      <c r="BI122" s="6601"/>
      <c r="BJ122" s="1222"/>
    </row>
    <row r="123" spans="1:62" x14ac:dyDescent="0.25">
      <c r="A123" s="93"/>
      <c r="B123" s="1037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f t="shared" si="699"/>
        <v>0.12659160894333954</v>
      </c>
      <c r="I123" s="381">
        <f t="shared" si="700"/>
        <v>0.26498657145484439</v>
      </c>
      <c r="J123" s="264">
        <v>0.23200476154204699</v>
      </c>
      <c r="K123" s="264">
        <v>0.37941926377018326</v>
      </c>
      <c r="L123" s="382">
        <v>0.20419036272157909</v>
      </c>
      <c r="M123" s="382">
        <v>0.26606087808134743</v>
      </c>
      <c r="N123" s="264">
        <v>0.53899421006048631</v>
      </c>
      <c r="O123" s="264">
        <v>0.26326053621974255</v>
      </c>
      <c r="P123" s="381">
        <v>0.23633999099052985</v>
      </c>
      <c r="Q123" s="381">
        <v>0.2652241531328669</v>
      </c>
      <c r="R123" s="264">
        <v>0.19163617592365279</v>
      </c>
      <c r="S123" s="264">
        <v>0.28027629518979885</v>
      </c>
      <c r="T123" s="381">
        <v>0.22497527344859611</v>
      </c>
      <c r="U123" s="381">
        <v>0.26861652846646816</v>
      </c>
      <c r="V123" s="264">
        <v>0.19907058184539822</v>
      </c>
      <c r="W123" s="264">
        <v>0.28754311980928154</v>
      </c>
      <c r="X123" s="382">
        <v>0.23835374730099795</v>
      </c>
      <c r="Y123" s="382">
        <v>0.27696376294692793</v>
      </c>
      <c r="Z123" s="663">
        <v>0.21986528633492297</v>
      </c>
      <c r="AA123" s="663">
        <v>0.27208029768498543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6601"/>
      <c r="BH123" s="26"/>
      <c r="BI123" s="6601"/>
      <c r="BJ123" s="1222"/>
    </row>
    <row r="124" spans="1:62" x14ac:dyDescent="0.25">
      <c r="A124" s="93"/>
      <c r="B124" s="1037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f t="shared" si="699"/>
        <v>0.12866839982224759</v>
      </c>
      <c r="I124" s="381">
        <f t="shared" si="700"/>
        <v>0.14091785611882285</v>
      </c>
      <c r="J124" s="264">
        <v>0.27442793250451381</v>
      </c>
      <c r="K124" s="264">
        <v>0.22495373127041376</v>
      </c>
      <c r="L124" s="382">
        <v>0.20219740835530392</v>
      </c>
      <c r="M124" s="382">
        <v>0.18822842449991423</v>
      </c>
      <c r="N124" s="264">
        <v>0.49347320152071811</v>
      </c>
      <c r="O124" s="264">
        <v>0.15098130762493744</v>
      </c>
      <c r="P124" s="381">
        <v>0.23016724367363187</v>
      </c>
      <c r="Q124" s="381">
        <v>0.17726428670652516</v>
      </c>
      <c r="R124" s="264">
        <v>0.18308898581434094</v>
      </c>
      <c r="S124" s="264">
        <v>0.14798706115775218</v>
      </c>
      <c r="T124" s="381">
        <v>0.21819888924713032</v>
      </c>
      <c r="U124" s="381">
        <v>0.17067201727321676</v>
      </c>
      <c r="V124" s="264">
        <v>0.18058813821073647</v>
      </c>
      <c r="W124" s="264">
        <v>0.13178662993019358</v>
      </c>
      <c r="X124" s="382">
        <v>0.22090256609097456</v>
      </c>
      <c r="Y124" s="382">
        <v>0.14362097457537185</v>
      </c>
      <c r="Z124" s="663">
        <v>0.21077975235581081</v>
      </c>
      <c r="AA124" s="663">
        <v>0.16353172344714206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6601"/>
      <c r="BH124" s="26"/>
      <c r="BI124" s="6601"/>
      <c r="BJ124" s="1222"/>
    </row>
    <row r="125" spans="1:62" x14ac:dyDescent="0.25">
      <c r="A125" s="93"/>
      <c r="B125" s="1037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f t="shared" si="699"/>
        <v>4.7649599971775751E-2</v>
      </c>
      <c r="I125" s="381">
        <f t="shared" si="700"/>
        <v>5.6007057104420881E-2</v>
      </c>
      <c r="J125" s="264">
        <v>0.13815447773279346</v>
      </c>
      <c r="K125" s="264">
        <v>8.8687186591816666E-2</v>
      </c>
      <c r="L125" s="382">
        <v>7.0515352990054098E-2</v>
      </c>
      <c r="M125" s="382">
        <v>6.7254869533907358E-2</v>
      </c>
      <c r="N125" s="264">
        <v>0.2714265208888888</v>
      </c>
      <c r="O125" s="264">
        <v>5.6913977191993828E-2</v>
      </c>
      <c r="P125" s="381">
        <v>8.9807901192135844E-2</v>
      </c>
      <c r="Q125" s="381">
        <v>6.4210903233806613E-2</v>
      </c>
      <c r="R125" s="264">
        <v>5.1608164527168009E-2</v>
      </c>
      <c r="S125" s="264">
        <v>5.6549950467968374E-2</v>
      </c>
      <c r="T125" s="381">
        <v>8.0096667000509228E-2</v>
      </c>
      <c r="U125" s="381">
        <v>6.2485908334132083E-2</v>
      </c>
      <c r="V125" s="264">
        <v>5.1668396166134146E-2</v>
      </c>
      <c r="W125" s="264">
        <v>6.0208063517431604E-2</v>
      </c>
      <c r="X125" s="382">
        <v>7.9175618042098217E-2</v>
      </c>
      <c r="Y125" s="382">
        <v>5.788564311340124E-2</v>
      </c>
      <c r="Z125" s="663">
        <v>7.4488875954282954E-2</v>
      </c>
      <c r="AA125" s="663">
        <v>6.2067641154793796E-2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6601"/>
      <c r="BH125" s="26"/>
      <c r="BI125" s="6601"/>
      <c r="BJ125" s="1222"/>
    </row>
    <row r="126" spans="1:62" x14ac:dyDescent="0.25">
      <c r="A126" s="93"/>
      <c r="B126" s="1037" t="s">
        <v>1405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f t="shared" si="699"/>
        <v>0.13960933487127314</v>
      </c>
      <c r="I126" s="381">
        <f t="shared" si="700"/>
        <v>0.12556257574153601</v>
      </c>
      <c r="J126" s="264">
        <v>0.22014543189330152</v>
      </c>
      <c r="K126" s="264">
        <v>0.19549174220201215</v>
      </c>
      <c r="L126" s="382">
        <v>0.1585424410643137</v>
      </c>
      <c r="M126" s="382">
        <v>0.15372018796121359</v>
      </c>
      <c r="N126" s="264">
        <v>0.6473402525830223</v>
      </c>
      <c r="O126" s="264">
        <v>0.1239577000150924</v>
      </c>
      <c r="P126" s="381">
        <v>0.2054793806004232</v>
      </c>
      <c r="Q126" s="381">
        <v>0.14496206012499591</v>
      </c>
      <c r="R126" s="264">
        <v>0.14728309071274728</v>
      </c>
      <c r="S126" s="264">
        <v>0.12540195637954984</v>
      </c>
      <c r="T126" s="381">
        <v>0.19068457180004458</v>
      </c>
      <c r="U126" s="381">
        <v>0.14055912536778994</v>
      </c>
      <c r="V126" s="264">
        <v>0.14755269330154994</v>
      </c>
      <c r="W126" s="264">
        <v>0.11982544666026398</v>
      </c>
      <c r="X126" s="382">
        <v>0.21005233706137935</v>
      </c>
      <c r="Y126" s="382">
        <v>0.12306670174836935</v>
      </c>
      <c r="Z126" s="663">
        <v>0.1821763314128626</v>
      </c>
      <c r="AA126" s="663">
        <v>0.13674994053409886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6601"/>
      <c r="BH126" s="26"/>
      <c r="BI126" s="6601"/>
      <c r="BJ126" s="1222"/>
    </row>
    <row r="127" spans="1:62" s="5172" customFormat="1" x14ac:dyDescent="0.25">
      <c r="A127" s="93"/>
      <c r="B127" s="5187" t="s">
        <v>1999</v>
      </c>
      <c r="C127" s="5175" t="s">
        <v>324</v>
      </c>
      <c r="D127" s="3225">
        <v>0.14720914761608717</v>
      </c>
      <c r="E127" s="3225">
        <v>0.15748797589156044</v>
      </c>
      <c r="F127" s="3225">
        <v>0.14721070917018117</v>
      </c>
      <c r="G127" s="3225">
        <v>0.14069006185572933</v>
      </c>
      <c r="H127" s="381">
        <f t="shared" si="699"/>
        <v>0.14720994063581622</v>
      </c>
      <c r="I127" s="381">
        <f t="shared" si="700"/>
        <v>0.14852831601478375</v>
      </c>
      <c r="J127" s="3225">
        <v>0</v>
      </c>
      <c r="K127" s="3225">
        <v>5.7862372143766584E-2</v>
      </c>
      <c r="L127" s="382">
        <v>0</v>
      </c>
      <c r="M127" s="4048">
        <v>6.4774962782067569E-2</v>
      </c>
      <c r="N127" s="3225">
        <v>0</v>
      </c>
      <c r="O127" s="3225">
        <v>0.11870901116081652</v>
      </c>
      <c r="P127" s="381">
        <v>0</v>
      </c>
      <c r="Q127" s="3768">
        <v>8.050108576146886E-2</v>
      </c>
      <c r="R127" s="3225">
        <v>0</v>
      </c>
      <c r="S127" s="3225">
        <v>0.1230480613383262</v>
      </c>
      <c r="T127" s="3768">
        <v>0</v>
      </c>
      <c r="U127" s="3768">
        <v>8.9998525146901251E-2</v>
      </c>
      <c r="V127" s="3225">
        <v>0</v>
      </c>
      <c r="W127" s="3225">
        <v>0.12119576397438157</v>
      </c>
      <c r="X127" s="382">
        <v>0</v>
      </c>
      <c r="Y127" s="382">
        <v>0.12097442774163319</v>
      </c>
      <c r="Z127" s="663">
        <v>0</v>
      </c>
      <c r="AA127" s="663">
        <v>9.5679537348405203E-2</v>
      </c>
      <c r="AB127" s="3225">
        <v>0</v>
      </c>
      <c r="AC127" s="3225">
        <v>0.12514886134164527</v>
      </c>
      <c r="AD127" s="381">
        <v>0</v>
      </c>
      <c r="AE127" s="381">
        <v>0.10005521134980036</v>
      </c>
      <c r="AF127" s="3225">
        <v>0</v>
      </c>
      <c r="AG127" s="3225">
        <v>0.19235113105324972</v>
      </c>
      <c r="AH127" s="381">
        <v>0</v>
      </c>
      <c r="AI127" s="381">
        <v>0.10068763741475521</v>
      </c>
      <c r="AJ127" s="3225">
        <v>0</v>
      </c>
      <c r="AK127" s="3225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3225">
        <v>0</v>
      </c>
      <c r="AQ127" s="3225">
        <v>0.14491646623344345</v>
      </c>
      <c r="AR127" s="381">
        <v>0</v>
      </c>
      <c r="AS127" s="381">
        <v>0.11522689522251382</v>
      </c>
      <c r="AT127" s="3225">
        <v>0</v>
      </c>
      <c r="AU127" s="3225">
        <v>0.11836101471349751</v>
      </c>
      <c r="AV127" s="381">
        <v>0</v>
      </c>
      <c r="AW127" s="381">
        <v>0.11554348605747113</v>
      </c>
      <c r="AX127" s="3225">
        <v>0</v>
      </c>
      <c r="AY127" s="3225">
        <v>7.5371357796583272E-2</v>
      </c>
      <c r="AZ127" s="4048">
        <v>0</v>
      </c>
      <c r="BA127" s="4048">
        <v>0.11283598249612259</v>
      </c>
      <c r="BB127" s="4049">
        <v>0</v>
      </c>
      <c r="BC127" s="4049">
        <v>0.12827019808999629</v>
      </c>
      <c r="BD127" s="3768">
        <v>0</v>
      </c>
      <c r="BE127" s="3768">
        <v>0.11148402441824908</v>
      </c>
      <c r="BF127" s="26"/>
      <c r="BG127" s="6601"/>
      <c r="BH127" s="26"/>
      <c r="BI127" s="6601"/>
      <c r="BJ127" s="1222"/>
    </row>
    <row r="128" spans="1:62" x14ac:dyDescent="0.25">
      <c r="A128" s="93"/>
      <c r="B128" s="1037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f t="shared" si="699"/>
        <v>7.3810121042220622E-2</v>
      </c>
      <c r="I128" s="381">
        <f t="shared" si="700"/>
        <v>0.11681126213574083</v>
      </c>
      <c r="J128" s="264">
        <v>0.10056165904273281</v>
      </c>
      <c r="K128" s="264">
        <v>0.25354676803112103</v>
      </c>
      <c r="L128" s="382">
        <v>7.8492049489822802E-2</v>
      </c>
      <c r="M128" s="382">
        <v>0.19026956607282847</v>
      </c>
      <c r="N128" s="264">
        <v>0.1695433768257778</v>
      </c>
      <c r="O128" s="264">
        <v>0.10839497547579507</v>
      </c>
      <c r="P128" s="381">
        <v>8.7235277354472646E-2</v>
      </c>
      <c r="Q128" s="381">
        <v>0.16616912170344397</v>
      </c>
      <c r="R128" s="264">
        <v>7.2694999979559291E-2</v>
      </c>
      <c r="S128" s="264">
        <v>0.1022203121204758</v>
      </c>
      <c r="T128" s="381">
        <v>8.3538811066303467E-2</v>
      </c>
      <c r="U128" s="381">
        <v>0.15176775324687225</v>
      </c>
      <c r="V128" s="264">
        <v>7.2731514529228908E-2</v>
      </c>
      <c r="W128" s="264">
        <v>9.7309181717183377E-2</v>
      </c>
      <c r="X128" s="382">
        <v>8.4845059260686043E-2</v>
      </c>
      <c r="Y128" s="382">
        <v>0.10266810655329008</v>
      </c>
      <c r="Z128" s="663">
        <v>8.1406952216793851E-2</v>
      </c>
      <c r="AA128" s="663">
        <v>0.14176873052328554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4713"/>
      <c r="BG128" s="6601"/>
      <c r="BH128" s="26"/>
      <c r="BI128" s="6601"/>
      <c r="BJ128" s="1222"/>
    </row>
    <row r="129" spans="1:62" ht="15.75" x14ac:dyDescent="0.25">
      <c r="A129" s="93"/>
      <c r="B129" s="1038" t="s">
        <v>136</v>
      </c>
      <c r="C129" s="806" t="s">
        <v>324</v>
      </c>
      <c r="D129" s="1039">
        <f t="shared" ref="D129:I129" si="701">SUM(D116:D128)</f>
        <v>5.9579646181196697</v>
      </c>
      <c r="E129" s="1039">
        <f t="shared" si="701"/>
        <v>6.0597861270040427</v>
      </c>
      <c r="F129" s="1039">
        <f t="shared" ref="F129:G129" si="702">SUM(F116:F128)</f>
        <v>5.8950819349699</v>
      </c>
      <c r="G129" s="1039">
        <f t="shared" si="702"/>
        <v>5.9443637482373992</v>
      </c>
      <c r="H129" s="1040">
        <f t="shared" si="701"/>
        <v>5.9260302723648577</v>
      </c>
      <c r="I129" s="1040">
        <f t="shared" si="701"/>
        <v>5.9982222177167515</v>
      </c>
      <c r="J129" s="1039">
        <f t="shared" ref="J129:K129" si="703">SUM(J116:J128)</f>
        <v>6.252995740429987</v>
      </c>
      <c r="K129" s="1039">
        <f t="shared" si="703"/>
        <v>7.0163171864011664</v>
      </c>
      <c r="L129" s="382">
        <f t="shared" ref="L129" si="704">((D129*D$131)+(F129*F$131)+(J129*J$131))/($L$131)</f>
        <v>5.999573484799523</v>
      </c>
      <c r="M129" s="1041">
        <f>SUM(M116:M128)</f>
        <v>6.4699824642222374</v>
      </c>
      <c r="N129" s="1039">
        <f t="shared" ref="N129:O129" si="705">SUM(N116:N128)</f>
        <v>7.7286662431280844</v>
      </c>
      <c r="O129" s="1039">
        <f t="shared" si="705"/>
        <v>5.9975708212932197</v>
      </c>
      <c r="P129" s="381">
        <f t="shared" ref="P129" si="706">((L129*$L$131)+(N129*$N$131))/$P$131</f>
        <v>6.1602517467857263</v>
      </c>
      <c r="Q129" s="4838">
        <f>((M129*$M$131)+(O129*$O$131))/$Q$131</f>
        <v>6.3352644920224561</v>
      </c>
      <c r="R129" s="1039">
        <f t="shared" ref="R129:S129" si="707">SUM(R116:R128)</f>
        <v>5.9155176479076816</v>
      </c>
      <c r="S129" s="1039">
        <f t="shared" si="707"/>
        <v>5.9945722275614308</v>
      </c>
      <c r="T129" s="4838">
        <f>((P129*$P$131)+(R129*$R$131))/$T$131</f>
        <v>6.0995446277357717</v>
      </c>
      <c r="U129" s="4838">
        <f>((Q129*$Q$131)+(S129*$S$131))/$U$131</f>
        <v>6.2604207949010426</v>
      </c>
      <c r="V129" s="1039">
        <f t="shared" ref="V129:W129" si="708">SUM(V116:V128)</f>
        <v>5.9554124893098255</v>
      </c>
      <c r="W129" s="1039">
        <f t="shared" si="708"/>
        <v>5.9775120545997682</v>
      </c>
      <c r="X129" s="1041">
        <f>SUM(X116:X128)</f>
        <v>6.1598432471632441</v>
      </c>
      <c r="Y129" s="1041">
        <f>SUM(Y116:Y128)</f>
        <v>5.989922457622213</v>
      </c>
      <c r="Z129" s="1042">
        <f>SUM(Z116:Z128)</f>
        <v>6.0287708104402764</v>
      </c>
      <c r="AA129" s="1042">
        <f>SUM(AA116:AA128)</f>
        <v>6.2078763194773892</v>
      </c>
      <c r="AB129" s="1039">
        <f t="shared" ref="AB129:AC129" si="709">SUM(AB116:AB128)</f>
        <v>5.9185019189583619</v>
      </c>
      <c r="AC129" s="1039">
        <f t="shared" si="709"/>
        <v>6.0970123553483413</v>
      </c>
      <c r="AD129" s="1040">
        <f>SUM(AD116:AD128)</f>
        <v>6.0094385160929535</v>
      </c>
      <c r="AE129" s="1040">
        <f>SUM(AE116:AE128)</f>
        <v>6.1913023947145307</v>
      </c>
      <c r="AF129" s="1039">
        <f t="shared" ref="AF129:AG129" si="710">SUM(AF116:AF128)</f>
        <v>5.8679361229423455</v>
      </c>
      <c r="AG129" s="1039">
        <f t="shared" si="710"/>
        <v>29.436172268975831</v>
      </c>
      <c r="AH129" s="381">
        <f t="shared" ref="AH129" si="711">((AD129*$AD$131)+(AF129*$AF$131))/$AH$131</f>
        <v>5.9891942256874868</v>
      </c>
      <c r="AI129" s="1040">
        <f>SUM(AI116:AI128)</f>
        <v>6.3410738789124395</v>
      </c>
      <c r="AJ129" s="1039">
        <f t="shared" ref="AJ129:AK129" si="712">SUM(AJ116:AJ128)</f>
        <v>5.8607390227005398</v>
      </c>
      <c r="AK129" s="1039">
        <f t="shared" si="712"/>
        <v>5.9578574346924951</v>
      </c>
      <c r="AL129" s="1039">
        <f t="shared" ref="AL129" si="713">((AB129*$AB$131)+(AF129*$AF$131)+(AJ129*$AJ$131))/$AL$131</f>
        <v>5.8825484570394204</v>
      </c>
      <c r="AM129" s="1039">
        <f>((AC129*$AC$131)+(AG129*$AG$131)+(AK129*$AK$131))/$AM$131-0.002</f>
        <v>6.4229770532211647</v>
      </c>
      <c r="AN129" s="381">
        <f t="shared" ref="AN129" si="714">((AH129*$AH$131)+(AJ129*$AJ$131))/$AN$131</f>
        <v>5.9726529364275942</v>
      </c>
      <c r="AO129" s="381">
        <f>((AI129*$AI$131)+(AK129*$AK$131))/$AO$131-0.002</f>
        <v>6.2876330934475497</v>
      </c>
      <c r="AP129" s="1039">
        <f t="shared" ref="AP129:AQ129" si="715">SUM(AP116:AP128)</f>
        <v>5.8608476022205673</v>
      </c>
      <c r="AQ129" s="1039">
        <f t="shared" si="715"/>
        <v>5.8560511441313423</v>
      </c>
      <c r="AR129" s="381">
        <f t="shared" ref="AR129" si="716">((AN129*$AN$131)+(AP129*$AP$131))/$AR$131</f>
        <v>5.9598981149470234</v>
      </c>
      <c r="AS129" s="381">
        <f>((AO129*$AO$131)+(AQ129*$AQ$131))/$AS$131-0.003</f>
        <v>6.231438519782551</v>
      </c>
      <c r="AT129" s="1039">
        <f t="shared" ref="AT129:AU129" si="717">SUM(AT116:AT128)</f>
        <v>5.8591772297916185</v>
      </c>
      <c r="AU129" s="1039">
        <f t="shared" si="717"/>
        <v>5.888599128118563</v>
      </c>
      <c r="AV129" s="4838">
        <f>((AR129*$AR$131)+(AT129*$AT$131))/$AV$131</f>
        <v>5.9505211841066776</v>
      </c>
      <c r="AW129" s="4838">
        <f>SUM(AW116:AW128)</f>
        <v>6.1941702176749738</v>
      </c>
      <c r="AX129" s="1039">
        <f t="shared" ref="AX129:AY129" si="718">SUM(AX116:AX128)</f>
        <v>5.8704881721591375</v>
      </c>
      <c r="AY129" s="1039">
        <f t="shared" si="718"/>
        <v>5.8758634243320023</v>
      </c>
      <c r="AZ129" s="1041">
        <f t="shared" ref="AZ129:BE129" si="719">SUM(AZ116:AZ128)</f>
        <v>5.8636537802288489</v>
      </c>
      <c r="BA129" s="1041">
        <f t="shared" si="719"/>
        <v>5.8730059845119555</v>
      </c>
      <c r="BB129" s="1042">
        <f t="shared" si="719"/>
        <v>5.8732107674085681</v>
      </c>
      <c r="BC129" s="1042">
        <f t="shared" si="719"/>
        <v>6.0909850780609363</v>
      </c>
      <c r="BD129" s="1040">
        <f t="shared" si="719"/>
        <v>5.9500019581826908</v>
      </c>
      <c r="BE129" s="1040">
        <f t="shared" si="719"/>
        <v>6.1600133062678522</v>
      </c>
      <c r="BG129" s="6601"/>
      <c r="BH129" s="26"/>
      <c r="BI129" s="6601"/>
      <c r="BJ129" s="1222"/>
    </row>
    <row r="130" spans="1:62" x14ac:dyDescent="0.25">
      <c r="A130" s="93"/>
      <c r="B130" s="271"/>
      <c r="C130" s="271"/>
      <c r="D130" s="642"/>
      <c r="E130" s="271"/>
      <c r="F130" s="642"/>
      <c r="G130" s="271"/>
      <c r="H130" s="271"/>
      <c r="I130" s="271"/>
      <c r="J130" s="642"/>
      <c r="K130" s="271"/>
      <c r="L130" s="271"/>
      <c r="M130" s="271"/>
      <c r="N130" s="642"/>
      <c r="O130" s="271"/>
      <c r="P130" s="271"/>
      <c r="Q130" s="271"/>
      <c r="R130" s="642"/>
      <c r="S130" s="271"/>
      <c r="T130" s="271"/>
      <c r="U130" s="271"/>
      <c r="V130" s="642"/>
      <c r="W130" s="271"/>
      <c r="X130" s="271"/>
      <c r="Y130" s="271"/>
      <c r="Z130" s="271"/>
      <c r="AA130" s="271"/>
      <c r="AB130" s="642"/>
      <c r="AC130" s="271"/>
      <c r="AD130" s="271"/>
      <c r="AE130" s="271"/>
      <c r="AF130" s="642"/>
      <c r="AG130" s="271"/>
      <c r="AH130" s="271"/>
      <c r="AI130" s="271"/>
      <c r="AJ130" s="642"/>
      <c r="AK130" s="271"/>
      <c r="AL130" s="271"/>
      <c r="AM130" s="271"/>
      <c r="AN130" s="271"/>
      <c r="AO130" s="271"/>
      <c r="AP130" s="642"/>
      <c r="AQ130" s="271"/>
      <c r="AR130" s="271"/>
      <c r="AS130" s="271"/>
      <c r="AT130" s="642"/>
      <c r="AU130" s="271"/>
      <c r="AV130" s="271"/>
      <c r="AW130" s="271"/>
      <c r="AX130" s="642"/>
      <c r="AY130" s="271"/>
      <c r="AZ130" s="271"/>
      <c r="BA130" s="271"/>
      <c r="BB130" s="271"/>
      <c r="BC130" s="271"/>
      <c r="BD130" s="271"/>
      <c r="BE130" s="271"/>
      <c r="BF130" s="26"/>
      <c r="BG130" s="26"/>
      <c r="BH130" s="26"/>
      <c r="BI130" s="1222"/>
      <c r="BJ130" s="1222"/>
    </row>
    <row r="131" spans="1:62" x14ac:dyDescent="0.25">
      <c r="A131" s="93"/>
      <c r="B131" s="271" t="s">
        <v>269</v>
      </c>
      <c r="C131" s="900" t="s">
        <v>50</v>
      </c>
      <c r="D131" s="397">
        <f>+SMS!E5</f>
        <v>237110.48158640199</v>
      </c>
      <c r="E131" s="397">
        <f>+SMS!F5</f>
        <v>207020</v>
      </c>
      <c r="F131" s="397">
        <f>+SMS!G5</f>
        <v>244664.77809253999</v>
      </c>
      <c r="G131" s="397">
        <f>+SMS!H5</f>
        <v>236638</v>
      </c>
      <c r="H131" s="366">
        <f>+SMS!I5</f>
        <v>481775.25967894198</v>
      </c>
      <c r="I131" s="366">
        <f>+SMS!J5</f>
        <v>443658</v>
      </c>
      <c r="J131" s="397">
        <f>+SMS!K5</f>
        <v>139811.32075471699</v>
      </c>
      <c r="K131" s="397">
        <f>+SMS!L5</f>
        <v>144189</v>
      </c>
      <c r="L131" s="366">
        <f>+SMS!M5</f>
        <v>621586.58043365902</v>
      </c>
      <c r="M131" s="366">
        <f>+SMS!N5</f>
        <v>587847</v>
      </c>
      <c r="N131" s="397">
        <f>+SMS!O5</f>
        <v>63679.245283018899</v>
      </c>
      <c r="O131" s="397">
        <f>+SMS!P5</f>
        <v>234513</v>
      </c>
      <c r="P131" s="366">
        <f>+SMS!Q5</f>
        <v>685265.82571667794</v>
      </c>
      <c r="Q131" s="366">
        <f>+SMS!R5</f>
        <v>822360</v>
      </c>
      <c r="R131" s="397">
        <f>+SMS!S5</f>
        <v>226056.603773585</v>
      </c>
      <c r="S131" s="397">
        <f>+SMS!T5</f>
        <v>231517</v>
      </c>
      <c r="T131" s="366">
        <f>+SMS!U5</f>
        <v>911322.42949026288</v>
      </c>
      <c r="U131" s="366">
        <f>+SMS!V5</f>
        <v>1053877</v>
      </c>
      <c r="V131" s="397">
        <f>+SMS!W5</f>
        <v>218509.43396226401</v>
      </c>
      <c r="W131" s="366">
        <f>+SMS!X5</f>
        <v>231269</v>
      </c>
      <c r="X131" s="366">
        <f>+SMS!Y5</f>
        <v>508245.28301886795</v>
      </c>
      <c r="Y131" s="366">
        <f>+SMS!Z5</f>
        <v>697299</v>
      </c>
      <c r="Z131" s="366">
        <f>+SMS!AA5</f>
        <v>1129831.863452527</v>
      </c>
      <c r="AA131" s="366">
        <f>+SMS!AB5</f>
        <v>1285146</v>
      </c>
      <c r="AB131" s="397">
        <f>+SMS!AC5</f>
        <v>235490.56603773599</v>
      </c>
      <c r="AC131" s="366">
        <f>+SMS!AD5</f>
        <v>222138</v>
      </c>
      <c r="AD131" s="366">
        <f>+SMS!AE5</f>
        <v>1365322.4294902629</v>
      </c>
      <c r="AE131" s="366">
        <f>+SMS!AF5</f>
        <v>1507284</v>
      </c>
      <c r="AF131" s="397">
        <f>+SMS!AG5</f>
        <v>227943.396226415</v>
      </c>
      <c r="AG131" s="366">
        <f>+SMS!AH5</f>
        <v>7935</v>
      </c>
      <c r="AH131" s="366">
        <f>+SMS!AI5</f>
        <v>1593265.8257166778</v>
      </c>
      <c r="AI131" s="366">
        <f>+SMS!AJ5</f>
        <v>1515219</v>
      </c>
      <c r="AJ131" s="397">
        <f>+SMS!AK5</f>
        <v>235490.56603773599</v>
      </c>
      <c r="AK131" s="366">
        <f>+SMS!AL5</f>
        <v>234930</v>
      </c>
      <c r="AL131" s="366">
        <f>+SMS!AM5</f>
        <v>698924.52830188698</v>
      </c>
      <c r="AM131" s="366">
        <f>+SMS!AN5</f>
        <v>465003</v>
      </c>
      <c r="AN131" s="366">
        <f>+SMS!AO5</f>
        <v>1828756.3917544137</v>
      </c>
      <c r="AO131" s="366">
        <f>+SMS!AP5</f>
        <v>1750149</v>
      </c>
      <c r="AP131" s="397">
        <f>+SMS!AQ5</f>
        <v>235490.56603773599</v>
      </c>
      <c r="AQ131" s="366">
        <f>+SMS!AR5</f>
        <v>246040</v>
      </c>
      <c r="AR131" s="366">
        <f>+SMS!AS5</f>
        <v>2064246.9577921496</v>
      </c>
      <c r="AS131" s="366">
        <f>+SMS!AT5</f>
        <v>1996189</v>
      </c>
      <c r="AT131" s="397">
        <f>+SMS!AU5</f>
        <v>211905.660377358</v>
      </c>
      <c r="AU131" s="366">
        <f>+SMS!AV5</f>
        <v>222895</v>
      </c>
      <c r="AV131" s="366">
        <f>+SMS!AW5</f>
        <v>2276152.6181695075</v>
      </c>
      <c r="AW131" s="366">
        <f>+SMS!AX5</f>
        <v>2219084</v>
      </c>
      <c r="AX131" s="397">
        <f>+SMS!AY5</f>
        <v>235490.56603773599</v>
      </c>
      <c r="AY131" s="366">
        <f>+SMS!AZ5</f>
        <v>243552</v>
      </c>
      <c r="AZ131" s="366">
        <f>+SMS!BA5</f>
        <v>682886.79245283001</v>
      </c>
      <c r="BA131" s="366">
        <f>+SMS!BB5</f>
        <v>712487</v>
      </c>
      <c r="BB131" s="366">
        <f>+SMS!BC5</f>
        <v>1381811.3207547171</v>
      </c>
      <c r="BC131" s="366">
        <f>+SMS!BD5</f>
        <v>1177490</v>
      </c>
      <c r="BD131" s="366">
        <f>+SMS!BE5</f>
        <v>2511643.1842072434</v>
      </c>
      <c r="BE131" s="366">
        <f>+SMS!BF5</f>
        <v>2462636</v>
      </c>
      <c r="BF131" s="26"/>
      <c r="BG131" s="26"/>
      <c r="BH131" s="26"/>
      <c r="BI131" s="1222"/>
      <c r="BJ131" s="1222"/>
    </row>
    <row r="132" spans="1:62" x14ac:dyDescent="0.25">
      <c r="A132" s="93"/>
      <c r="D132" s="149"/>
      <c r="F132" s="149"/>
      <c r="H132" s="87"/>
      <c r="I132" s="93"/>
      <c r="J132" s="149"/>
      <c r="L132" s="87"/>
      <c r="M132" s="93"/>
      <c r="N132" s="149"/>
      <c r="P132" s="87"/>
      <c r="Q132" s="93"/>
      <c r="R132" s="149"/>
      <c r="T132" s="87"/>
      <c r="U132" s="93"/>
      <c r="V132" s="149"/>
      <c r="W132" s="2192"/>
      <c r="X132" s="87"/>
      <c r="AB132" s="149"/>
      <c r="AF132" s="1222"/>
      <c r="AG132" s="1222"/>
      <c r="AH132" s="1222"/>
      <c r="AI132" s="1222"/>
    </row>
    <row r="133" spans="1:62" x14ac:dyDescent="0.25">
      <c r="A133" s="93"/>
    </row>
    <row r="134" spans="1:62" ht="21" hidden="1" customHeight="1" x14ac:dyDescent="0.25">
      <c r="A134" s="93"/>
      <c r="B134" s="407" t="s">
        <v>323</v>
      </c>
    </row>
    <row r="135" spans="1:62" ht="15.75" hidden="1" customHeight="1" thickBot="1" x14ac:dyDescent="0.3">
      <c r="A135" s="93"/>
    </row>
    <row r="136" spans="1:62" ht="15.75" hidden="1" customHeight="1" thickBot="1" x14ac:dyDescent="0.3">
      <c r="B136" s="3" t="s">
        <v>106</v>
      </c>
      <c r="C136" s="86" t="s">
        <v>328</v>
      </c>
    </row>
    <row r="137" spans="1:62" ht="15.75" hidden="1" customHeight="1" thickBot="1" x14ac:dyDescent="0.3">
      <c r="B137" s="3" t="s">
        <v>107</v>
      </c>
      <c r="C137" s="86" t="s">
        <v>328</v>
      </c>
    </row>
    <row r="138" spans="1:62" ht="15.75" hidden="1" customHeight="1" thickBot="1" x14ac:dyDescent="0.3">
      <c r="B138" s="3" t="s">
        <v>80</v>
      </c>
      <c r="C138" s="86" t="s">
        <v>328</v>
      </c>
    </row>
    <row r="139" spans="1:62" ht="15.75" hidden="1" customHeight="1" thickBot="1" x14ac:dyDescent="0.3">
      <c r="B139" s="3" t="s">
        <v>108</v>
      </c>
      <c r="C139" s="86" t="s">
        <v>328</v>
      </c>
    </row>
    <row r="140" spans="1:62" ht="15.75" hidden="1" customHeight="1" thickBot="1" x14ac:dyDescent="0.3">
      <c r="B140" s="3" t="s">
        <v>81</v>
      </c>
      <c r="C140" s="86" t="s">
        <v>328</v>
      </c>
    </row>
    <row r="141" spans="1:62" ht="15.75" hidden="1" customHeight="1" thickBot="1" x14ac:dyDescent="0.3">
      <c r="B141" s="3" t="s">
        <v>57</v>
      </c>
      <c r="C141" s="86" t="s">
        <v>328</v>
      </c>
    </row>
    <row r="142" spans="1:62" ht="15.75" hidden="1" customHeight="1" thickBot="1" x14ac:dyDescent="0.3">
      <c r="B142" s="3" t="s">
        <v>58</v>
      </c>
      <c r="C142" s="86" t="s">
        <v>328</v>
      </c>
    </row>
    <row r="143" spans="1:62" ht="15.75" hidden="1" customHeight="1" thickBot="1" x14ac:dyDescent="0.3">
      <c r="B143" s="3" t="s">
        <v>59</v>
      </c>
      <c r="C143" s="86" t="s">
        <v>328</v>
      </c>
    </row>
    <row r="144" spans="1:62" ht="15.75" hidden="1" customHeight="1" thickBot="1" x14ac:dyDescent="0.3">
      <c r="B144" s="3" t="s">
        <v>91</v>
      </c>
      <c r="C144" s="86" t="s">
        <v>328</v>
      </c>
    </row>
    <row r="145" spans="2:3" ht="15.75" hidden="1" customHeight="1" thickBot="1" x14ac:dyDescent="0.3">
      <c r="B145" s="3" t="s">
        <v>109</v>
      </c>
      <c r="C145" s="86" t="s">
        <v>328</v>
      </c>
    </row>
    <row r="146" spans="2:3" ht="15.75" hidden="1" customHeight="1" thickBot="1" x14ac:dyDescent="0.3">
      <c r="B146" s="3" t="s">
        <v>82</v>
      </c>
      <c r="C146" s="86" t="s">
        <v>328</v>
      </c>
    </row>
    <row r="147" spans="2:3" ht="15.75" hidden="1" customHeight="1" thickBot="1" x14ac:dyDescent="0.3">
      <c r="B147" s="3" t="s">
        <v>60</v>
      </c>
      <c r="C147" s="86" t="s">
        <v>328</v>
      </c>
    </row>
    <row r="148" spans="2:3" ht="15" hidden="1" customHeight="1" x14ac:dyDescent="0.25"/>
    <row r="149" spans="2:3" ht="15" hidden="1" customHeight="1" x14ac:dyDescent="0.25"/>
    <row r="150" spans="2:3" ht="15" hidden="1" customHeight="1" x14ac:dyDescent="0.25"/>
    <row r="151" spans="2:3" hidden="1" x14ac:dyDescent="0.25"/>
    <row r="152" spans="2:3" hidden="1" x14ac:dyDescent="0.25"/>
    <row r="153" spans="2:3" hidden="1" x14ac:dyDescent="0.25"/>
    <row r="154" spans="2:3" hidden="1" x14ac:dyDescent="0.25"/>
    <row r="155" spans="2:3" hidden="1" x14ac:dyDescent="0.25"/>
    <row r="156" spans="2:3" hidden="1" x14ac:dyDescent="0.25"/>
    <row r="160" spans="2:3" ht="15" hidden="1" customHeight="1" x14ac:dyDescent="0.25"/>
    <row r="161" spans="2:29" ht="15" hidden="1" customHeight="1" x14ac:dyDescent="0.25"/>
    <row r="162" spans="2:29" ht="15" hidden="1" customHeight="1" x14ac:dyDescent="0.25"/>
    <row r="163" spans="2:29" ht="15" hidden="1" customHeight="1" x14ac:dyDescent="0.25">
      <c r="H163" s="87"/>
      <c r="I163" s="93"/>
      <c r="J163" s="203"/>
      <c r="L163" s="87"/>
      <c r="N163" s="203"/>
      <c r="P163" s="87"/>
      <c r="R163" s="203"/>
      <c r="T163" s="87"/>
      <c r="V163" s="203"/>
      <c r="W163" s="2192"/>
      <c r="AB163" s="203"/>
    </row>
    <row r="164" spans="2:29" ht="15" hidden="1" customHeight="1" x14ac:dyDescent="0.25">
      <c r="D164" s="274"/>
      <c r="E164" s="274"/>
      <c r="F164" s="274"/>
      <c r="G164" s="274"/>
      <c r="H164" s="1223"/>
      <c r="I164" s="900"/>
      <c r="J164" s="1568"/>
      <c r="K164" s="274"/>
      <c r="L164" s="1223"/>
      <c r="M164" s="274"/>
      <c r="N164" s="1568"/>
      <c r="O164" s="274"/>
      <c r="P164" s="1223"/>
      <c r="Q164" s="274"/>
      <c r="R164" s="1568"/>
      <c r="S164" s="274"/>
      <c r="T164" s="1223"/>
      <c r="U164" s="274"/>
      <c r="V164" s="1568"/>
      <c r="W164" s="274"/>
      <c r="X164" s="274"/>
      <c r="Y164" s="274"/>
      <c r="Z164" s="274"/>
      <c r="AA164" s="274"/>
      <c r="AB164" s="1568"/>
      <c r="AC164" s="274"/>
    </row>
    <row r="165" spans="2:29" ht="15" hidden="1" customHeight="1" x14ac:dyDescent="0.25">
      <c r="B165" t="s">
        <v>1162</v>
      </c>
      <c r="D165" s="1217">
        <f>+D57-D75</f>
        <v>0</v>
      </c>
      <c r="E165" s="1217"/>
      <c r="F165" s="1217">
        <f>+F57-F75</f>
        <v>0</v>
      </c>
      <c r="G165" s="1217"/>
      <c r="H165" s="1217">
        <f>+H57-H75</f>
        <v>0</v>
      </c>
      <c r="I165" s="1217">
        <f>+I57-I75</f>
        <v>0</v>
      </c>
      <c r="J165" s="1217">
        <f>+J57-J75</f>
        <v>0</v>
      </c>
      <c r="K165" s="1217"/>
      <c r="L165" s="1217">
        <f>+L57-L75</f>
        <v>0</v>
      </c>
      <c r="M165" s="1217"/>
      <c r="N165" s="1217">
        <f>+N57-N75</f>
        <v>0</v>
      </c>
      <c r="O165" s="1217"/>
      <c r="P165" s="1217">
        <f>+P57-P75</f>
        <v>0</v>
      </c>
      <c r="Q165" s="1217">
        <f>+Q57-Q75</f>
        <v>0</v>
      </c>
      <c r="R165" s="1217">
        <f>+R57-R75</f>
        <v>0</v>
      </c>
      <c r="S165" s="1217"/>
      <c r="T165" s="1217">
        <f>+T57-T75</f>
        <v>0</v>
      </c>
      <c r="U165" s="1217">
        <f>+U57-U75</f>
        <v>0</v>
      </c>
      <c r="V165" s="1217">
        <f>+V57-V75</f>
        <v>0</v>
      </c>
      <c r="W165" s="1217"/>
      <c r="X165" s="1217">
        <f>+X57-X75</f>
        <v>0</v>
      </c>
      <c r="Y165" s="1217"/>
      <c r="Z165" s="1217">
        <f>+Z57-Z75</f>
        <v>0</v>
      </c>
      <c r="AA165" s="1217"/>
      <c r="AB165" s="1217">
        <f>+AB57-AB75</f>
        <v>0</v>
      </c>
      <c r="AC165" s="1217"/>
    </row>
    <row r="166" spans="2:29" ht="15" hidden="1" customHeight="1" x14ac:dyDescent="0.25">
      <c r="D166" s="274"/>
      <c r="E166" s="274"/>
      <c r="F166" s="274"/>
      <c r="G166" s="274"/>
      <c r="H166" s="1223"/>
      <c r="I166" s="900"/>
      <c r="J166" s="1568"/>
      <c r="K166" s="274"/>
      <c r="L166" s="1223"/>
      <c r="M166" s="274"/>
      <c r="N166" s="1568"/>
      <c r="O166" s="274"/>
      <c r="P166" s="1223"/>
      <c r="Q166" s="274"/>
      <c r="R166" s="1568"/>
      <c r="S166" s="274"/>
      <c r="T166" s="1223"/>
      <c r="U166" s="274"/>
      <c r="V166" s="1568"/>
      <c r="W166" s="274"/>
      <c r="X166" s="274"/>
      <c r="Y166" s="274"/>
      <c r="Z166" s="274"/>
      <c r="AA166" s="274"/>
      <c r="AB166" s="1568"/>
      <c r="AC166" s="274"/>
    </row>
    <row r="167" spans="2:29" ht="15" hidden="1" customHeight="1" x14ac:dyDescent="0.25">
      <c r="D167" s="274">
        <v>382927.49999999988</v>
      </c>
      <c r="E167" s="274"/>
      <c r="F167" s="274">
        <v>382927.49999999988</v>
      </c>
      <c r="G167" s="274"/>
      <c r="H167" s="1223"/>
      <c r="I167" s="900"/>
      <c r="J167" s="1568">
        <v>368314.87500000256</v>
      </c>
      <c r="K167" s="274"/>
      <c r="L167" s="1223">
        <f>+D167+F167+J167</f>
        <v>1134169.8750000023</v>
      </c>
      <c r="M167" s="274"/>
      <c r="N167" s="1568">
        <v>380800.12500000373</v>
      </c>
      <c r="O167" s="274"/>
      <c r="P167" s="1223"/>
      <c r="Q167" s="274"/>
      <c r="R167" s="1568">
        <v>380800.12500000373</v>
      </c>
      <c r="S167" s="274"/>
      <c r="T167" s="1223"/>
      <c r="U167" s="274"/>
      <c r="V167" s="1568">
        <v>380800.12500000373</v>
      </c>
      <c r="W167" s="274"/>
      <c r="X167" s="274">
        <f>+N167+R167+V167</f>
        <v>1142400.3750000112</v>
      </c>
      <c r="Y167" s="274"/>
      <c r="Z167" s="274">
        <f>+X167+L167</f>
        <v>2276570.2500000135</v>
      </c>
      <c r="AA167" s="274"/>
      <c r="AB167" s="1568">
        <v>380800.12500000373</v>
      </c>
      <c r="AC167" s="274"/>
    </row>
    <row r="168" spans="2:29" ht="15" hidden="1" customHeight="1" x14ac:dyDescent="0.25">
      <c r="B168" t="s">
        <v>1163</v>
      </c>
      <c r="D168" s="1217">
        <f>+D167-D50</f>
        <v>-5152.5000000001164</v>
      </c>
      <c r="E168" s="1217"/>
      <c r="F168" s="1217">
        <f>+F167-F50</f>
        <v>-18772.500000000233</v>
      </c>
      <c r="G168" s="1217"/>
      <c r="H168" s="1217">
        <f>+H167-H50</f>
        <v>-789780.00000000012</v>
      </c>
      <c r="I168" s="1217">
        <f>+I167-I50</f>
        <v>-722262.04799999995</v>
      </c>
      <c r="J168" s="1217">
        <f>+J167-J50</f>
        <v>107564.8750000025</v>
      </c>
      <c r="K168" s="1217"/>
      <c r="L168" s="1217">
        <f>+L167-L50</f>
        <v>83639.875000002095</v>
      </c>
      <c r="M168" s="1217"/>
      <c r="N168" s="1217">
        <f>+N167-N50</f>
        <v>251300.12500000375</v>
      </c>
      <c r="O168" s="1217"/>
      <c r="P168" s="1217">
        <f>+P167-P50</f>
        <v>-1180030.0000000002</v>
      </c>
      <c r="Q168" s="1217">
        <f>+Q167-Q50</f>
        <v>-1380170.4714000002</v>
      </c>
      <c r="R168" s="1217">
        <f>+R167-R50</f>
        <v>8800.1250000037253</v>
      </c>
      <c r="S168" s="1217"/>
      <c r="T168" s="1217">
        <f>+T167-T50</f>
        <v>-1552030.0000000002</v>
      </c>
      <c r="U168" s="1217">
        <f>+U167-U50</f>
        <v>-1749632.6004000003</v>
      </c>
      <c r="V168" s="1217">
        <f>+V167-V50</f>
        <v>21200.125000003725</v>
      </c>
      <c r="W168" s="1217"/>
      <c r="X168" s="1217">
        <f>+X167-X50</f>
        <v>281300.37500001118</v>
      </c>
      <c r="Y168" s="1217"/>
      <c r="Z168" s="1217">
        <f>+Z167-Z50</f>
        <v>364940.25000001327</v>
      </c>
      <c r="AA168" s="1217"/>
      <c r="AB168" s="1217">
        <f>+AB167-AB50</f>
        <v>-6699.8749999962747</v>
      </c>
      <c r="AC168" s="1217"/>
    </row>
    <row r="169" spans="2:29" ht="15" hidden="1" customHeight="1" x14ac:dyDescent="0.25">
      <c r="D169" s="274"/>
      <c r="E169" s="274"/>
      <c r="F169" s="274"/>
      <c r="G169" s="274"/>
      <c r="H169" s="1223"/>
      <c r="I169" s="900"/>
      <c r="J169" s="1568"/>
      <c r="K169" s="274"/>
      <c r="L169" s="1223"/>
      <c r="M169" s="274"/>
      <c r="N169" s="1568"/>
      <c r="O169" s="274"/>
      <c r="P169" s="1223"/>
      <c r="Q169" s="274"/>
      <c r="R169" s="1568"/>
      <c r="S169" s="274"/>
      <c r="T169" s="1223"/>
      <c r="U169" s="274"/>
      <c r="V169" s="1568"/>
      <c r="W169" s="274"/>
      <c r="X169" s="274"/>
      <c r="Y169" s="274"/>
      <c r="Z169" s="274"/>
      <c r="AA169" s="274"/>
      <c r="AB169" s="1568"/>
      <c r="AC169" s="274"/>
    </row>
    <row r="170" spans="2:29" ht="15" hidden="1" customHeight="1" x14ac:dyDescent="0.25">
      <c r="D170" s="274">
        <v>368047.49999999988</v>
      </c>
      <c r="E170" s="274"/>
      <c r="F170" s="274">
        <v>368047.49999999988</v>
      </c>
      <c r="G170" s="274"/>
      <c r="H170" s="1223"/>
      <c r="I170" s="900"/>
      <c r="J170" s="1568">
        <v>353914.87500000256</v>
      </c>
      <c r="K170" s="274"/>
      <c r="L170" s="1223"/>
      <c r="M170" s="274"/>
      <c r="N170" s="1568">
        <v>365920.12500000338</v>
      </c>
      <c r="O170" s="274"/>
      <c r="P170" s="1223"/>
      <c r="Q170" s="274"/>
      <c r="R170" s="1568">
        <v>365920.12500000338</v>
      </c>
      <c r="S170" s="274"/>
      <c r="T170" s="1223"/>
      <c r="U170" s="274"/>
      <c r="V170" s="1568">
        <v>365920.12500000338</v>
      </c>
      <c r="W170" s="274"/>
      <c r="X170" s="274"/>
      <c r="Y170" s="274"/>
      <c r="Z170" s="274"/>
      <c r="AA170" s="274"/>
      <c r="AB170" s="1568">
        <v>365920.12500000338</v>
      </c>
      <c r="AC170" s="274"/>
    </row>
    <row r="171" spans="2:29" ht="15" hidden="1" customHeight="1" x14ac:dyDescent="0.25">
      <c r="D171" s="274"/>
      <c r="E171" s="274"/>
      <c r="F171" s="274"/>
      <c r="G171" s="274"/>
      <c r="H171" s="1223"/>
      <c r="I171" s="900"/>
      <c r="J171" s="1568"/>
      <c r="K171" s="274"/>
      <c r="L171" s="1223"/>
      <c r="M171" s="274"/>
      <c r="N171" s="1568"/>
      <c r="O171" s="274"/>
      <c r="P171" s="1223"/>
      <c r="Q171" s="274"/>
      <c r="R171" s="1568"/>
      <c r="S171" s="274"/>
      <c r="T171" s="1223"/>
      <c r="U171" s="274"/>
      <c r="V171" s="1568"/>
      <c r="W171" s="274"/>
      <c r="X171" s="274"/>
      <c r="Y171" s="274"/>
      <c r="Z171" s="274"/>
      <c r="AA171" s="274"/>
      <c r="AB171" s="1568"/>
      <c r="AC171" s="274"/>
    </row>
    <row r="172" spans="2:29" ht="15" hidden="1" customHeight="1" x14ac:dyDescent="0.25">
      <c r="B172" t="s">
        <v>1164</v>
      </c>
      <c r="D172" s="1217">
        <f>+D170-D57</f>
        <v>-5566.2600000001257</v>
      </c>
      <c r="E172" s="274"/>
      <c r="F172" s="1217">
        <f>+F170-F57</f>
        <v>-18684.900000000256</v>
      </c>
      <c r="G172" s="274"/>
      <c r="H172" s="1223"/>
      <c r="I172" s="900"/>
      <c r="J172" s="1217">
        <f>+J170-J57</f>
        <v>105307.3750000025</v>
      </c>
      <c r="K172" s="274"/>
      <c r="L172" s="1223"/>
      <c r="M172" s="274"/>
      <c r="N172" s="1217">
        <f>+N170-N57</f>
        <v>244769.12500000341</v>
      </c>
      <c r="O172" s="274"/>
      <c r="P172" s="1223"/>
      <c r="Q172" s="274"/>
      <c r="R172" s="1217">
        <f>+R170-R57</f>
        <v>9544.125000003376</v>
      </c>
      <c r="S172" s="274"/>
      <c r="T172" s="1223"/>
      <c r="U172" s="274"/>
      <c r="V172" s="1217">
        <f>+V170-V57</f>
        <v>21428.125000003376</v>
      </c>
      <c r="W172" s="274"/>
      <c r="X172" s="274"/>
      <c r="Y172" s="274"/>
      <c r="Z172" s="274"/>
      <c r="AA172" s="274"/>
      <c r="AB172" s="1217">
        <f>+AB170-AB57</f>
        <v>-5490.874999996624</v>
      </c>
      <c r="AC172" s="274"/>
    </row>
    <row r="173" spans="2:29" ht="15" hidden="1" customHeight="1" x14ac:dyDescent="0.25">
      <c r="B173" t="s">
        <v>1165</v>
      </c>
      <c r="D173" s="1217">
        <f>+D170-D75</f>
        <v>-5566.2600000001839</v>
      </c>
      <c r="E173" s="274"/>
      <c r="F173" s="1217">
        <f>+F170-F75</f>
        <v>-18684.90000000014</v>
      </c>
      <c r="G173" s="274"/>
      <c r="H173" s="1223"/>
      <c r="I173" s="900"/>
      <c r="J173" s="1217">
        <f>+J170-J75</f>
        <v>105307.37500000253</v>
      </c>
      <c r="K173" s="274"/>
      <c r="L173" s="1223"/>
      <c r="M173" s="274"/>
      <c r="N173" s="1217">
        <f>+N170-N75</f>
        <v>244769.12500000341</v>
      </c>
      <c r="O173" s="274"/>
      <c r="P173" s="1223"/>
      <c r="Q173" s="274"/>
      <c r="R173" s="1217">
        <f>+R170-R75</f>
        <v>9544.125000003376</v>
      </c>
      <c r="S173" s="274"/>
      <c r="T173" s="1223"/>
      <c r="U173" s="274"/>
      <c r="V173" s="1217">
        <f>+V170-V75</f>
        <v>21428.125000003434</v>
      </c>
      <c r="W173" s="274"/>
      <c r="X173" s="274"/>
      <c r="Y173" s="274"/>
      <c r="Z173" s="274"/>
      <c r="AA173" s="274"/>
      <c r="AB173" s="1217">
        <f>+AB170-AB75</f>
        <v>-5490.8749999966822</v>
      </c>
      <c r="AC173" s="274"/>
    </row>
    <row r="174" spans="2:29" ht="15" hidden="1" customHeight="1" x14ac:dyDescent="0.25">
      <c r="D174" s="274"/>
      <c r="E174" s="274"/>
      <c r="F174" s="274"/>
      <c r="G174" s="274"/>
      <c r="H174" s="1223"/>
      <c r="I174" s="900"/>
      <c r="J174" s="1568"/>
      <c r="K174" s="274"/>
      <c r="L174" s="1223"/>
      <c r="M174" s="274"/>
      <c r="N174" s="1568"/>
      <c r="O174" s="274"/>
      <c r="P174" s="1223"/>
      <c r="Q174" s="274"/>
      <c r="R174" s="1568"/>
      <c r="S174" s="274"/>
      <c r="T174" s="1223"/>
      <c r="U174" s="274"/>
      <c r="V174" s="1568"/>
      <c r="W174" s="274"/>
      <c r="X174" s="274"/>
      <c r="Y174" s="274"/>
      <c r="Z174" s="274"/>
      <c r="AA174" s="274"/>
      <c r="AB174" s="1568"/>
      <c r="AC174" s="274"/>
    </row>
    <row r="175" spans="2:29" ht="15" hidden="1" customHeight="1" x14ac:dyDescent="0.25">
      <c r="D175" s="274"/>
      <c r="E175" s="274"/>
      <c r="F175" s="274"/>
      <c r="G175" s="274"/>
      <c r="H175" s="1223"/>
      <c r="I175" s="900"/>
      <c r="J175" s="1568"/>
      <c r="K175" s="274"/>
      <c r="L175" s="1223"/>
      <c r="M175" s="274"/>
      <c r="N175" s="1568"/>
      <c r="O175" s="274"/>
      <c r="P175" s="1223"/>
      <c r="Q175" s="274"/>
      <c r="R175" s="1568"/>
      <c r="S175" s="274"/>
      <c r="T175" s="1223"/>
      <c r="U175" s="274"/>
      <c r="V175" s="1568"/>
      <c r="W175" s="274"/>
      <c r="X175" s="274"/>
      <c r="Y175" s="274"/>
      <c r="Z175" s="274"/>
      <c r="AA175" s="274"/>
      <c r="AB175" s="1568"/>
      <c r="AC175" s="274"/>
    </row>
    <row r="176" spans="2:29" ht="15" hidden="1" customHeight="1" x14ac:dyDescent="0.25"/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BL11" sqref="BL11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customWidth="1"/>
    <col min="10" max="10" width="7.85546875" customWidth="1"/>
    <col min="11" max="12" width="7.85546875" hidden="1" customWidth="1"/>
    <col min="13" max="13" width="12.140625" hidden="1" customWidth="1"/>
    <col min="14" max="14" width="13.5703125" hidden="1" customWidth="1"/>
    <col min="15" max="15" width="6.7109375" hidden="1" customWidth="1"/>
    <col min="16" max="18" width="7.85546875" hidden="1" customWidth="1"/>
    <col min="19" max="21" width="7.85546875" style="4712" hidden="1" customWidth="1"/>
    <col min="22" max="22" width="9" style="4712" hidden="1" customWidth="1"/>
    <col min="23" max="24" width="7.85546875" hidden="1" customWidth="1"/>
    <col min="25" max="25" width="10.28515625" hidden="1" customWidth="1"/>
    <col min="26" max="28" width="9.140625" hidden="1" customWidth="1"/>
    <col min="29" max="30" width="7.85546875" hidden="1" customWidth="1"/>
    <col min="31" max="38" width="8.85546875" hidden="1" customWidth="1"/>
    <col min="39" max="40" width="8.85546875" style="2757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102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7899" t="s">
        <v>82</v>
      </c>
      <c r="O2" s="149"/>
      <c r="S2" s="149"/>
    </row>
    <row r="3" spans="1:63" ht="16.5" thickBot="1" x14ac:dyDescent="0.3">
      <c r="C3" s="7899"/>
      <c r="D3" s="1158"/>
      <c r="E3" s="1159">
        <v>30</v>
      </c>
      <c r="F3" s="1159">
        <v>30</v>
      </c>
      <c r="G3" s="1159">
        <v>31</v>
      </c>
      <c r="H3" s="1159">
        <v>31</v>
      </c>
      <c r="I3" s="1159">
        <f>+E3+G3</f>
        <v>61</v>
      </c>
      <c r="J3" s="1159">
        <f>+F3+H3</f>
        <v>61</v>
      </c>
      <c r="K3" s="1159">
        <v>30</v>
      </c>
      <c r="L3" s="1159">
        <v>30</v>
      </c>
      <c r="M3" s="1159">
        <f>+I3+K3</f>
        <v>91</v>
      </c>
      <c r="N3" s="1159">
        <f>+J3+L3</f>
        <v>91</v>
      </c>
      <c r="O3" s="1567">
        <v>31</v>
      </c>
      <c r="P3" s="1159">
        <v>31</v>
      </c>
      <c r="Q3" s="1159">
        <f>+M3+O3</f>
        <v>122</v>
      </c>
      <c r="R3" s="1159">
        <f>+N3+P3</f>
        <v>122</v>
      </c>
      <c r="S3" s="1567">
        <v>31</v>
      </c>
      <c r="T3" s="1159">
        <v>31</v>
      </c>
      <c r="U3" s="1159">
        <f>+Q3+S3</f>
        <v>153</v>
      </c>
      <c r="V3" s="1159">
        <f>+R3+T3</f>
        <v>153</v>
      </c>
      <c r="W3" s="1159">
        <v>30</v>
      </c>
      <c r="X3" s="1159">
        <v>30</v>
      </c>
      <c r="Y3" s="1159">
        <f>+O3+S3+W3</f>
        <v>92</v>
      </c>
      <c r="Z3" s="1159">
        <f>+P3+T3+X3</f>
        <v>92</v>
      </c>
      <c r="AA3" s="1159">
        <f>+U3+W3</f>
        <v>183</v>
      </c>
      <c r="AB3" s="1159">
        <f>+V3+X3</f>
        <v>183</v>
      </c>
      <c r="AC3" s="1159">
        <v>31</v>
      </c>
      <c r="AD3" s="1159">
        <v>31</v>
      </c>
      <c r="AE3" s="1159">
        <f>+AA3+AC3</f>
        <v>214</v>
      </c>
      <c r="AF3" s="1159">
        <f>+AB3+AD3</f>
        <v>214</v>
      </c>
      <c r="AG3" s="1159">
        <v>30</v>
      </c>
      <c r="AH3" s="1159">
        <v>30</v>
      </c>
      <c r="AI3" s="1159">
        <f>+AE3+AG3</f>
        <v>244</v>
      </c>
      <c r="AJ3" s="1159">
        <f>+AF3+AH3</f>
        <v>244</v>
      </c>
      <c r="AK3" s="1159">
        <v>31</v>
      </c>
      <c r="AL3" s="1159">
        <v>31</v>
      </c>
      <c r="AM3" s="1159">
        <f>+AC3+AG3+AK3</f>
        <v>92</v>
      </c>
      <c r="AN3" s="1159">
        <f>+AD3+AH3+AL3</f>
        <v>92</v>
      </c>
      <c r="AO3" s="1159">
        <f>+AI3+AK3</f>
        <v>275</v>
      </c>
      <c r="AP3" s="1159">
        <f>+AJ3+AL3</f>
        <v>275</v>
      </c>
      <c r="AQ3" s="1159">
        <v>31</v>
      </c>
      <c r="AR3" s="1159">
        <v>31</v>
      </c>
      <c r="AS3" s="1159">
        <f>+AO3+AQ3</f>
        <v>306</v>
      </c>
      <c r="AT3" s="1159">
        <f>+AP3+AR3</f>
        <v>306</v>
      </c>
      <c r="AU3" s="1159">
        <v>28</v>
      </c>
      <c r="AV3" s="1159">
        <v>28</v>
      </c>
      <c r="AW3" s="1159">
        <f>+AS3+AU3</f>
        <v>334</v>
      </c>
      <c r="AX3" s="1159">
        <f>+AT3+AV3</f>
        <v>334</v>
      </c>
      <c r="AY3" s="1159">
        <v>31</v>
      </c>
      <c r="AZ3" s="1159">
        <v>31</v>
      </c>
      <c r="BA3" s="1159">
        <f>+AQ3+AU3+AY3</f>
        <v>90</v>
      </c>
      <c r="BB3" s="1159">
        <f>+AR3+AV3+AZ3</f>
        <v>90</v>
      </c>
      <c r="BC3" s="1159">
        <f>+AM3+BA3</f>
        <v>182</v>
      </c>
      <c r="BD3" s="1159">
        <f>+AN3+BB3</f>
        <v>182</v>
      </c>
      <c r="BE3" s="1159">
        <f>+AW3+AY3</f>
        <v>365</v>
      </c>
      <c r="BF3" s="1159">
        <f>+AX3+AZ3</f>
        <v>365</v>
      </c>
    </row>
    <row r="4" spans="1:63" ht="15.75" x14ac:dyDescent="0.25">
      <c r="A4" s="149"/>
      <c r="B4" s="149"/>
      <c r="C4" s="7900" t="s">
        <v>534</v>
      </c>
      <c r="D4" s="7747" t="s">
        <v>172</v>
      </c>
      <c r="E4" s="7746" t="s">
        <v>2254</v>
      </c>
      <c r="F4" s="7747"/>
      <c r="G4" s="7746" t="s">
        <v>2306</v>
      </c>
      <c r="H4" s="7747"/>
      <c r="I4" s="7731" t="s">
        <v>14</v>
      </c>
      <c r="J4" s="7732"/>
      <c r="K4" s="7746" t="s">
        <v>1903</v>
      </c>
      <c r="L4" s="7747"/>
      <c r="M4" s="7748" t="s">
        <v>637</v>
      </c>
      <c r="N4" s="7749"/>
      <c r="O4" s="7746" t="s">
        <v>1937</v>
      </c>
      <c r="P4" s="7747"/>
      <c r="Q4" s="7890" t="s">
        <v>17</v>
      </c>
      <c r="R4" s="7891"/>
      <c r="S4" s="7746" t="s">
        <v>1961</v>
      </c>
      <c r="T4" s="7747"/>
      <c r="U4" s="7890" t="s">
        <v>18</v>
      </c>
      <c r="V4" s="7891"/>
      <c r="W4" s="7746" t="s">
        <v>1983</v>
      </c>
      <c r="X4" s="7747"/>
      <c r="Y4" s="7748" t="s">
        <v>660</v>
      </c>
      <c r="Z4" s="7749"/>
      <c r="AA4" s="7905" t="s">
        <v>657</v>
      </c>
      <c r="AB4" s="7906"/>
      <c r="AC4" s="7746" t="s">
        <v>2002</v>
      </c>
      <c r="AD4" s="7747"/>
      <c r="AE4" s="7731" t="s">
        <v>24</v>
      </c>
      <c r="AF4" s="7732"/>
      <c r="AG4" s="7746" t="s">
        <v>2018</v>
      </c>
      <c r="AH4" s="7747"/>
      <c r="AI4" s="7731" t="s">
        <v>27</v>
      </c>
      <c r="AJ4" s="7732"/>
      <c r="AK4" s="7746" t="s">
        <v>2033</v>
      </c>
      <c r="AL4" s="7747"/>
      <c r="AM4" s="7748" t="s">
        <v>662</v>
      </c>
      <c r="AN4" s="7749"/>
      <c r="AO4" s="7731" t="s">
        <v>1683</v>
      </c>
      <c r="AP4" s="7732"/>
      <c r="AQ4" s="7746" t="s">
        <v>2137</v>
      </c>
      <c r="AR4" s="7747"/>
      <c r="AS4" s="7731" t="s">
        <v>28</v>
      </c>
      <c r="AT4" s="7732"/>
      <c r="AU4" s="7746" t="s">
        <v>2151</v>
      </c>
      <c r="AV4" s="7747"/>
      <c r="AW4" s="7731" t="s">
        <v>30</v>
      </c>
      <c r="AX4" s="7732"/>
      <c r="AY4" s="7746" t="s">
        <v>2163</v>
      </c>
      <c r="AZ4" s="7747"/>
      <c r="BA4" s="7748" t="s">
        <v>663</v>
      </c>
      <c r="BB4" s="7749"/>
      <c r="BC4" s="7905" t="s">
        <v>671</v>
      </c>
      <c r="BD4" s="7906"/>
      <c r="BE4" s="7731" t="s">
        <v>1765</v>
      </c>
      <c r="BF4" s="7732"/>
    </row>
    <row r="5" spans="1:63" ht="16.5" thickBot="1" x14ac:dyDescent="0.3">
      <c r="A5" s="149"/>
      <c r="B5" s="149"/>
      <c r="C5" s="7901"/>
      <c r="D5" s="7902"/>
      <c r="E5" s="1160" t="s">
        <v>173</v>
      </c>
      <c r="F5" s="2087" t="s">
        <v>174</v>
      </c>
      <c r="G5" s="1160" t="s">
        <v>173</v>
      </c>
      <c r="H5" s="2087" t="s">
        <v>174</v>
      </c>
      <c r="I5" s="1493" t="s">
        <v>173</v>
      </c>
      <c r="J5" s="1157" t="s">
        <v>174</v>
      </c>
      <c r="K5" s="1160" t="s">
        <v>173</v>
      </c>
      <c r="L5" s="2087" t="s">
        <v>174</v>
      </c>
      <c r="M5" s="3287" t="s">
        <v>173</v>
      </c>
      <c r="N5" s="3288" t="s">
        <v>174</v>
      </c>
      <c r="O5" s="1160" t="s">
        <v>173</v>
      </c>
      <c r="P5" s="2087" t="s">
        <v>174</v>
      </c>
      <c r="Q5" s="3294" t="s">
        <v>173</v>
      </c>
      <c r="R5" s="3300" t="s">
        <v>174</v>
      </c>
      <c r="S5" s="1160" t="s">
        <v>173</v>
      </c>
      <c r="T5" s="4969" t="s">
        <v>174</v>
      </c>
      <c r="U5" s="3294" t="s">
        <v>173</v>
      </c>
      <c r="V5" s="3300" t="s">
        <v>174</v>
      </c>
      <c r="W5" s="1160" t="s">
        <v>173</v>
      </c>
      <c r="X5" s="1161" t="s">
        <v>174</v>
      </c>
      <c r="Y5" s="3287" t="s">
        <v>173</v>
      </c>
      <c r="Z5" s="3288" t="s">
        <v>174</v>
      </c>
      <c r="AA5" s="3280" t="s">
        <v>173</v>
      </c>
      <c r="AB5" s="3281" t="s">
        <v>174</v>
      </c>
      <c r="AC5" s="1160" t="s">
        <v>173</v>
      </c>
      <c r="AD5" s="5378" t="s">
        <v>174</v>
      </c>
      <c r="AE5" s="3294" t="s">
        <v>173</v>
      </c>
      <c r="AF5" s="1157" t="s">
        <v>174</v>
      </c>
      <c r="AG5" s="1160" t="s">
        <v>173</v>
      </c>
      <c r="AH5" s="2683" t="s">
        <v>174</v>
      </c>
      <c r="AI5" s="3294" t="s">
        <v>173</v>
      </c>
      <c r="AJ5" s="1157" t="s">
        <v>174</v>
      </c>
      <c r="AK5" s="1160" t="s">
        <v>173</v>
      </c>
      <c r="AL5" s="2759" t="s">
        <v>174</v>
      </c>
      <c r="AM5" s="3287" t="s">
        <v>173</v>
      </c>
      <c r="AN5" s="3288" t="s">
        <v>174</v>
      </c>
      <c r="AO5" s="3294" t="s">
        <v>173</v>
      </c>
      <c r="AP5" s="1157" t="s">
        <v>174</v>
      </c>
      <c r="AQ5" s="1160" t="s">
        <v>173</v>
      </c>
      <c r="AR5" s="2818" t="s">
        <v>174</v>
      </c>
      <c r="AS5" s="3294" t="s">
        <v>173</v>
      </c>
      <c r="AT5" s="1157" t="s">
        <v>174</v>
      </c>
      <c r="AU5" s="1160" t="s">
        <v>173</v>
      </c>
      <c r="AV5" s="2854" t="s">
        <v>174</v>
      </c>
      <c r="AW5" s="3294" t="s">
        <v>173</v>
      </c>
      <c r="AX5" s="1157" t="s">
        <v>174</v>
      </c>
      <c r="AY5" s="1160" t="s">
        <v>173</v>
      </c>
      <c r="AZ5" s="3103" t="s">
        <v>174</v>
      </c>
      <c r="BA5" s="3287" t="s">
        <v>173</v>
      </c>
      <c r="BB5" s="3288" t="s">
        <v>174</v>
      </c>
      <c r="BC5" s="3280" t="s">
        <v>173</v>
      </c>
      <c r="BD5" s="3281" t="s">
        <v>174</v>
      </c>
      <c r="BE5" s="3294" t="s">
        <v>173</v>
      </c>
      <c r="BF5" s="1157" t="s">
        <v>174</v>
      </c>
    </row>
    <row r="6" spans="1:63" ht="15.75" x14ac:dyDescent="0.25">
      <c r="A6" s="149"/>
      <c r="B6" s="149"/>
      <c r="C6" s="3788" t="s">
        <v>519</v>
      </c>
      <c r="D6" s="3789"/>
      <c r="E6" s="3790"/>
      <c r="F6" s="3789"/>
      <c r="G6" s="3790"/>
      <c r="H6" s="3789"/>
      <c r="I6" s="3791"/>
      <c r="J6" s="3792"/>
      <c r="K6" s="1169"/>
      <c r="L6" s="1170"/>
      <c r="M6" s="3289"/>
      <c r="N6" s="3290"/>
      <c r="O6" s="1169"/>
      <c r="P6" s="1170"/>
      <c r="Q6" s="3295"/>
      <c r="R6" s="3301"/>
      <c r="S6" s="1169"/>
      <c r="T6" s="1170"/>
      <c r="U6" s="3295"/>
      <c r="V6" s="3301"/>
      <c r="W6" s="1169"/>
      <c r="X6" s="1170"/>
      <c r="Y6" s="3289"/>
      <c r="Z6" s="3290"/>
      <c r="AA6" s="3282"/>
      <c r="AB6" s="3283"/>
      <c r="AC6" s="1169"/>
      <c r="AD6" s="1170"/>
      <c r="AE6" s="3295"/>
      <c r="AF6" s="3296"/>
      <c r="AG6" s="1169"/>
      <c r="AH6" s="1170"/>
      <c r="AI6" s="3295"/>
      <c r="AJ6" s="3296"/>
      <c r="AK6" s="1169"/>
      <c r="AL6" s="1170"/>
      <c r="AM6" s="3289"/>
      <c r="AN6" s="3290"/>
      <c r="AO6" s="3295"/>
      <c r="AP6" s="3296"/>
      <c r="AQ6" s="1169"/>
      <c r="AR6" s="1170"/>
      <c r="AS6" s="3295"/>
      <c r="AT6" s="3296"/>
      <c r="AU6" s="1169"/>
      <c r="AV6" s="1170"/>
      <c r="AW6" s="3295"/>
      <c r="AX6" s="3296"/>
      <c r="AY6" s="1169"/>
      <c r="AZ6" s="1170"/>
      <c r="BA6" s="3289"/>
      <c r="BB6" s="3290"/>
      <c r="BC6" s="3282"/>
      <c r="BD6" s="3283"/>
      <c r="BE6" s="3295"/>
      <c r="BF6" s="3296"/>
    </row>
    <row r="7" spans="1:63" ht="15.75" x14ac:dyDescent="0.25">
      <c r="C7" s="2146" t="s">
        <v>520</v>
      </c>
      <c r="D7" s="2086" t="s">
        <v>50</v>
      </c>
      <c r="E7" s="1603">
        <f>+E33*$E$35/1000</f>
        <v>57719.20194410954</v>
      </c>
      <c r="F7" s="3444">
        <v>53260</v>
      </c>
      <c r="G7" s="1603">
        <f>+G33*$E$35/1000</f>
        <v>59558.125144240505</v>
      </c>
      <c r="H7" s="7233">
        <v>57968</v>
      </c>
      <c r="I7" s="3446">
        <f>+E7+G7</f>
        <v>117277.32708835005</v>
      </c>
      <c r="J7" s="1183">
        <f>+F7+H7</f>
        <v>111228</v>
      </c>
      <c r="K7" s="1603">
        <f>+K33*$E$35/1000</f>
        <v>34033.914497253405</v>
      </c>
      <c r="L7" s="4615">
        <v>38731</v>
      </c>
      <c r="M7" s="1163">
        <f>E7+G7+K7</f>
        <v>151311.24158560345</v>
      </c>
      <c r="N7" s="1164">
        <f>F7+H7+L7</f>
        <v>149959</v>
      </c>
      <c r="O7" s="1603">
        <f>+O33*$E$35/1000</f>
        <v>15501.276845915019</v>
      </c>
      <c r="P7" s="4852">
        <v>59845</v>
      </c>
      <c r="Q7" s="3256">
        <f>+M7+O7</f>
        <v>166812.51843151846</v>
      </c>
      <c r="R7" s="1183">
        <f>+N7+P7</f>
        <v>209804</v>
      </c>
      <c r="S7" s="1603">
        <f>+S33*$E$35/1000</f>
        <v>55028.384560268983</v>
      </c>
      <c r="T7" s="4970">
        <v>60584</v>
      </c>
      <c r="U7" s="4967">
        <f>+Q7+S7</f>
        <v>221840.90299178744</v>
      </c>
      <c r="V7" s="1183">
        <f>+R7+T7</f>
        <v>270388</v>
      </c>
      <c r="W7" s="1603">
        <f>+W33*$E$35/1000</f>
        <v>53191.196193345677</v>
      </c>
      <c r="X7" s="5101">
        <v>61362</v>
      </c>
      <c r="Y7" s="1163">
        <f>O7+S7+W7</f>
        <v>123720.85759952969</v>
      </c>
      <c r="Z7" s="1164">
        <f>P7+T7+X7</f>
        <v>181791</v>
      </c>
      <c r="AA7" s="1166">
        <f>+U7+W7</f>
        <v>275032.09918513312</v>
      </c>
      <c r="AB7" s="1167">
        <f>+V7+X7</f>
        <v>331750</v>
      </c>
      <c r="AC7" s="1603">
        <f>+AC33*$E$35/1000</f>
        <v>57324.870018923073</v>
      </c>
      <c r="AD7" s="5379">
        <v>54950</v>
      </c>
      <c r="AE7" s="3256">
        <f>+AA7+AC7</f>
        <v>332356.96920405619</v>
      </c>
      <c r="AF7" s="1183">
        <f>+AB7+AD7</f>
        <v>386700</v>
      </c>
      <c r="AG7" s="1603">
        <f>+AG33*$E$35/1000</f>
        <v>55487.681651999759</v>
      </c>
      <c r="AH7" s="5579">
        <v>1194</v>
      </c>
      <c r="AI7" s="5577">
        <f>+AE7+AG7</f>
        <v>387844.65085605596</v>
      </c>
      <c r="AJ7" s="1183">
        <f>+AF7+AH7</f>
        <v>387894</v>
      </c>
      <c r="AK7" s="1603">
        <f>+AK33*$E$35/1000</f>
        <v>57324.870018923073</v>
      </c>
      <c r="AL7" s="5999">
        <v>51238</v>
      </c>
      <c r="AM7" s="1163">
        <f>AC7+AG7+AK7</f>
        <v>170137.42168984591</v>
      </c>
      <c r="AN7" s="1164">
        <f>AD7+AH7+AL7</f>
        <v>107382</v>
      </c>
      <c r="AO7" s="3256">
        <f>+AI7+AK7</f>
        <v>445169.52087497903</v>
      </c>
      <c r="AP7" s="1183">
        <f>+AJ7+AL7</f>
        <v>439132</v>
      </c>
      <c r="AQ7" s="1603">
        <f>+AQ33*$E$35/1000</f>
        <v>57324.870018923073</v>
      </c>
      <c r="AR7" s="6122">
        <v>55134</v>
      </c>
      <c r="AS7" s="3256">
        <f>+AO7+AQ7</f>
        <v>502494.39089390211</v>
      </c>
      <c r="AT7" s="1183">
        <f>+AP7+AR7</f>
        <v>494266</v>
      </c>
      <c r="AU7" s="1603">
        <f>+AU33*$E$35/1000</f>
        <v>51583.656372287725</v>
      </c>
      <c r="AV7" s="6327">
        <v>51595</v>
      </c>
      <c r="AW7" s="6328">
        <f>+AS7+AU7</f>
        <v>554078.04726618982</v>
      </c>
      <c r="AX7" s="1183">
        <f>+AT7+AV7</f>
        <v>545861</v>
      </c>
      <c r="AY7" s="1603">
        <f>+AY33*$E$35/1000</f>
        <v>57324.870018923073</v>
      </c>
      <c r="AZ7" s="6465">
        <v>63599</v>
      </c>
      <c r="BA7" s="1163">
        <f>AQ7+AU7+AY7</f>
        <v>166233.39641013386</v>
      </c>
      <c r="BB7" s="1164">
        <f>AR7+AV7+AZ7</f>
        <v>170328</v>
      </c>
      <c r="BC7" s="1166">
        <f>AM7+BA7</f>
        <v>336370.81809997978</v>
      </c>
      <c r="BD7" s="1166">
        <f>AN7+BB7</f>
        <v>277710</v>
      </c>
      <c r="BE7" s="3256">
        <f>+AW7+AY7</f>
        <v>611402.9172851129</v>
      </c>
      <c r="BF7" s="1183">
        <f>+AX7+AZ7</f>
        <v>609460</v>
      </c>
      <c r="BG7" s="26"/>
      <c r="BH7" s="26"/>
      <c r="BI7" s="4713"/>
      <c r="BJ7" s="4713"/>
      <c r="BK7" s="26"/>
    </row>
    <row r="8" spans="1:63" ht="15.75" x14ac:dyDescent="0.25">
      <c r="A8" s="149"/>
      <c r="B8" s="149"/>
      <c r="C8" s="7903" t="s">
        <v>521</v>
      </c>
      <c r="D8" s="3444" t="s">
        <v>50</v>
      </c>
      <c r="E8" s="1603">
        <f>+E7*E9/100</f>
        <v>11543.840388821909</v>
      </c>
      <c r="F8" s="3444">
        <v>14913</v>
      </c>
      <c r="G8" s="1603">
        <f>+G7*G9/100</f>
        <v>11911.625028848101</v>
      </c>
      <c r="H8" s="7233">
        <v>14492</v>
      </c>
      <c r="I8" s="3446">
        <f>+E8+G8</f>
        <v>23455.46541767001</v>
      </c>
      <c r="J8" s="1183">
        <f>+F8+H8</f>
        <v>29405</v>
      </c>
      <c r="K8" s="1603">
        <f>+K7*K9/100</f>
        <v>6806.7828994506808</v>
      </c>
      <c r="L8" s="4615">
        <v>10070</v>
      </c>
      <c r="M8" s="1163">
        <f>E8+G8+K8</f>
        <v>30262.248317120691</v>
      </c>
      <c r="N8" s="1164">
        <f>F8+H8+L8</f>
        <v>39475</v>
      </c>
      <c r="O8" s="1603">
        <f>+O7*O9/100</f>
        <v>3100.2553691830039</v>
      </c>
      <c r="P8" s="4852">
        <v>14961</v>
      </c>
      <c r="Q8" s="3256">
        <f>+M8+O8</f>
        <v>33362.503686303695</v>
      </c>
      <c r="R8" s="1183">
        <f>+N8+P8</f>
        <v>54436</v>
      </c>
      <c r="S8" s="1603">
        <f>+S7*S9/100</f>
        <v>11005.676912053796</v>
      </c>
      <c r="T8" s="4970">
        <v>18175</v>
      </c>
      <c r="U8" s="4967">
        <f>+Q8+S8</f>
        <v>44368.180598357489</v>
      </c>
      <c r="V8" s="1183">
        <f>+R8+T8</f>
        <v>72611</v>
      </c>
      <c r="W8" s="1603">
        <f>+W7*W9/100</f>
        <v>10638.239238669137</v>
      </c>
      <c r="X8" s="5101">
        <v>17182</v>
      </c>
      <c r="Y8" s="1163">
        <f>O8+S8+W8</f>
        <v>24744.171519905936</v>
      </c>
      <c r="Z8" s="1164">
        <f>P8+T8+X8</f>
        <v>50318</v>
      </c>
      <c r="AA8" s="1166">
        <f>+U8+W8</f>
        <v>55006.419837026624</v>
      </c>
      <c r="AB8" s="1167">
        <f>+V8+X8</f>
        <v>89793</v>
      </c>
      <c r="AC8" s="1603">
        <f>+AC7*AC9/100</f>
        <v>11464.974003784615</v>
      </c>
      <c r="AD8" s="5379">
        <v>13463</v>
      </c>
      <c r="AE8" s="3256">
        <f>+AA8+AC8</f>
        <v>66471.393840811244</v>
      </c>
      <c r="AF8" s="1183">
        <f>+AB8+AD8</f>
        <v>103256</v>
      </c>
      <c r="AG8" s="1603">
        <f>+AG7*AG9/100</f>
        <v>11097.536330399951</v>
      </c>
      <c r="AH8" s="5579">
        <v>414</v>
      </c>
      <c r="AI8" s="5577">
        <f>+AE8+AG8</f>
        <v>77568.930171211192</v>
      </c>
      <c r="AJ8" s="1183">
        <f>+AF8+AH8</f>
        <v>103670</v>
      </c>
      <c r="AK8" s="1603">
        <f>+AK7*AK9/100</f>
        <v>11464.974003784615</v>
      </c>
      <c r="AL8" s="5999">
        <v>11170</v>
      </c>
      <c r="AM8" s="1163">
        <f>AC8+AG8+AK8</f>
        <v>34027.484337969181</v>
      </c>
      <c r="AN8" s="1164">
        <f>AD8+AH8+AL8</f>
        <v>25047</v>
      </c>
      <c r="AO8" s="3256">
        <f>+AI8+AK8</f>
        <v>89033.904174995812</v>
      </c>
      <c r="AP8" s="1183">
        <f>+AJ8+AL8</f>
        <v>114840</v>
      </c>
      <c r="AQ8" s="1603">
        <f>+AQ7*AQ9/100</f>
        <v>11464.974003784615</v>
      </c>
      <c r="AR8" s="6122">
        <v>12957</v>
      </c>
      <c r="AS8" s="3256">
        <f>+AO8+AQ8</f>
        <v>100498.87817878043</v>
      </c>
      <c r="AT8" s="1183">
        <f>+AP8+AR8</f>
        <v>127797</v>
      </c>
      <c r="AU8" s="1603">
        <f>+AU7*AU9/100</f>
        <v>10316.731274457545</v>
      </c>
      <c r="AV8" s="6327">
        <v>12125</v>
      </c>
      <c r="AW8" s="6328">
        <f>+AS8+AU8</f>
        <v>110815.60945323798</v>
      </c>
      <c r="AX8" s="1183">
        <f>+AT8+AV8</f>
        <v>139922</v>
      </c>
      <c r="AY8" s="1603">
        <f>+AY7*AY9/100</f>
        <v>11464.974003784615</v>
      </c>
      <c r="AZ8" s="6465">
        <v>18840</v>
      </c>
      <c r="BA8" s="1163">
        <f>AQ8+AU8+AY8</f>
        <v>33246.679282026773</v>
      </c>
      <c r="BB8" s="1164">
        <f>AR8+AV8+AZ8</f>
        <v>43922</v>
      </c>
      <c r="BC8" s="1166">
        <f>AM8+BA8</f>
        <v>67274.163619995961</v>
      </c>
      <c r="BD8" s="1166">
        <f>AN8+BB8</f>
        <v>68969</v>
      </c>
      <c r="BE8" s="3256">
        <f>+AW8+AY8</f>
        <v>122280.5834570226</v>
      </c>
      <c r="BF8" s="1183">
        <f>+AX8+AZ8</f>
        <v>158762</v>
      </c>
      <c r="BG8" s="26"/>
      <c r="BH8" s="26"/>
      <c r="BI8" s="4713"/>
      <c r="BJ8" s="4713"/>
      <c r="BK8" s="26"/>
    </row>
    <row r="9" spans="1:63" ht="15.75" x14ac:dyDescent="0.25">
      <c r="A9" s="149"/>
      <c r="B9" s="149"/>
      <c r="C9" s="7903"/>
      <c r="D9" s="3444" t="s">
        <v>49</v>
      </c>
      <c r="E9" s="3442">
        <v>20</v>
      </c>
      <c r="F9" s="1162">
        <f>+F8/F7*100</f>
        <v>28.000375516334962</v>
      </c>
      <c r="G9" s="7232">
        <v>20</v>
      </c>
      <c r="H9" s="1162">
        <f>+H8/H7*100</f>
        <v>25</v>
      </c>
      <c r="I9" s="3443">
        <f>+I8/I7*100</f>
        <v>20</v>
      </c>
      <c r="J9" s="3297">
        <f>+J8/J7*100</f>
        <v>26.436688603589026</v>
      </c>
      <c r="K9" s="4614">
        <v>20</v>
      </c>
      <c r="L9" s="1162">
        <f>+L8/L7*100</f>
        <v>25.999845085332161</v>
      </c>
      <c r="M9" s="3257">
        <f>+M8/M7*100</f>
        <v>20</v>
      </c>
      <c r="N9" s="3291">
        <f>+N8/N7*100</f>
        <v>26.323861855573856</v>
      </c>
      <c r="O9" s="4851">
        <v>20</v>
      </c>
      <c r="P9" s="1162">
        <f>+P8/P7*100</f>
        <v>24.999582254156572</v>
      </c>
      <c r="Q9" s="3259">
        <f>+Q8/Q7*100</f>
        <v>20</v>
      </c>
      <c r="R9" s="3297">
        <f>+R8/R7*100</f>
        <v>25.946121141636958</v>
      </c>
      <c r="S9" s="4966">
        <v>20</v>
      </c>
      <c r="T9" s="1162">
        <f>+T8/T7*100</f>
        <v>29.999669879836262</v>
      </c>
      <c r="U9" s="4968">
        <f>+U8/U7*100</f>
        <v>20</v>
      </c>
      <c r="V9" s="3297">
        <f>+V8/V7*100</f>
        <v>26.854372235454239</v>
      </c>
      <c r="W9" s="5100">
        <v>20</v>
      </c>
      <c r="X9" s="1162">
        <f>+X8/X7*100</f>
        <v>28.00104299077605</v>
      </c>
      <c r="Y9" s="3257">
        <f>+Y8/Y7*100</f>
        <v>20</v>
      </c>
      <c r="Z9" s="3291">
        <f>+Z8/Z7*100</f>
        <v>27.679038016183423</v>
      </c>
      <c r="AA9" s="3258">
        <f>+AA8/AA7*100</f>
        <v>20</v>
      </c>
      <c r="AB9" s="3284">
        <f>+AB8/AB7*100</f>
        <v>27.066465712132633</v>
      </c>
      <c r="AC9" s="5377">
        <v>20</v>
      </c>
      <c r="AD9" s="1162">
        <f>+AD8/AD7*100</f>
        <v>24.500454959053684</v>
      </c>
      <c r="AE9" s="3259">
        <f>+AE8/AE7*100</f>
        <v>20</v>
      </c>
      <c r="AF9" s="3297">
        <f>+AF8/AF7*100</f>
        <v>26.701836048616499</v>
      </c>
      <c r="AG9" s="5576">
        <v>20</v>
      </c>
      <c r="AH9" s="1162">
        <f>+AH8/AH7*100</f>
        <v>34.673366834170857</v>
      </c>
      <c r="AI9" s="5578">
        <f>+AI8/AI7*100</f>
        <v>20</v>
      </c>
      <c r="AJ9" s="3297">
        <f>+AJ8/AJ7*100</f>
        <v>26.726373700031452</v>
      </c>
      <c r="AK9" s="5998">
        <v>20</v>
      </c>
      <c r="AL9" s="1162">
        <f>+AL8/AL7*100</f>
        <v>21.800226394472851</v>
      </c>
      <c r="AM9" s="3257">
        <f>+AM8/AM7*100</f>
        <v>20</v>
      </c>
      <c r="AN9" s="3291">
        <f>+AN8/AN7*100</f>
        <v>23.325138291333744</v>
      </c>
      <c r="AO9" s="3259">
        <f>+AO8/AO7*100</f>
        <v>20</v>
      </c>
      <c r="AP9" s="3297">
        <f>+AP8/AP7*100</f>
        <v>26.151589954728877</v>
      </c>
      <c r="AQ9" s="6121">
        <v>20</v>
      </c>
      <c r="AR9" s="1162">
        <f>+AR8/AR7*100</f>
        <v>23.500925019044512</v>
      </c>
      <c r="AS9" s="3259">
        <f>+AS8/AS7*100</f>
        <v>20</v>
      </c>
      <c r="AT9" s="3297">
        <f>+AT8/AT7*100</f>
        <v>25.855915640566014</v>
      </c>
      <c r="AU9" s="6326">
        <v>20</v>
      </c>
      <c r="AV9" s="1162">
        <f>+AV8/AV7*100</f>
        <v>23.500339180153116</v>
      </c>
      <c r="AW9" s="6325">
        <f>+AW8/AW7*100</f>
        <v>20.000000000000004</v>
      </c>
      <c r="AX9" s="3297">
        <f>+AX8/AX7*100</f>
        <v>25.633265611575105</v>
      </c>
      <c r="AY9" s="6464">
        <v>20</v>
      </c>
      <c r="AZ9" s="1162">
        <f>+AZ8/AZ7*100</f>
        <v>29.62310728156103</v>
      </c>
      <c r="BA9" s="3257">
        <f t="shared" ref="BA9:BF9" si="0">+BA8/BA7*100</f>
        <v>20</v>
      </c>
      <c r="BB9" s="3291">
        <f t="shared" si="0"/>
        <v>25.786717392325397</v>
      </c>
      <c r="BC9" s="3258">
        <f t="shared" si="0"/>
        <v>20</v>
      </c>
      <c r="BD9" s="3284">
        <f t="shared" si="0"/>
        <v>24.83489971553059</v>
      </c>
      <c r="BE9" s="3259">
        <f t="shared" si="0"/>
        <v>20.000000000000004</v>
      </c>
      <c r="BF9" s="3297">
        <f t="shared" si="0"/>
        <v>26.049617694352378</v>
      </c>
      <c r="BG9" s="26"/>
      <c r="BH9" s="26"/>
      <c r="BI9" s="4713"/>
      <c r="BJ9" s="4713"/>
      <c r="BK9" s="26"/>
    </row>
    <row r="10" spans="1:63" ht="15.75" x14ac:dyDescent="0.25">
      <c r="A10" s="149"/>
      <c r="B10" s="149"/>
      <c r="C10" s="3445" t="s">
        <v>522</v>
      </c>
      <c r="D10" s="3444" t="s">
        <v>50</v>
      </c>
      <c r="E10" s="1603">
        <f>+E7-E8</f>
        <v>46175.361555287629</v>
      </c>
      <c r="F10" s="3444">
        <f>+F7-F8</f>
        <v>38347</v>
      </c>
      <c r="G10" s="1603">
        <f>+G7-G8</f>
        <v>47646.500115392402</v>
      </c>
      <c r="H10" s="7233">
        <f>+H7-H8</f>
        <v>43476</v>
      </c>
      <c r="I10" s="3446">
        <f>+E10+G10</f>
        <v>93821.861670680024</v>
      </c>
      <c r="J10" s="1183">
        <f>+F10+H10</f>
        <v>81823</v>
      </c>
      <c r="K10" s="1603">
        <f>+K7-K8</f>
        <v>27227.131597802723</v>
      </c>
      <c r="L10" s="4615">
        <f>+L7-L8</f>
        <v>28661</v>
      </c>
      <c r="M10" s="1163">
        <f>E10+G10+K10</f>
        <v>121048.99326848275</v>
      </c>
      <c r="N10" s="1164">
        <f>F10+H10+L10</f>
        <v>110484</v>
      </c>
      <c r="O10" s="1603">
        <f>+O7-O8</f>
        <v>12401.021476732016</v>
      </c>
      <c r="P10" s="4852">
        <f>+P7-P8</f>
        <v>44884</v>
      </c>
      <c r="Q10" s="3256">
        <f>+M10+O10</f>
        <v>133450.01474521478</v>
      </c>
      <c r="R10" s="1183">
        <f>+N10+P10</f>
        <v>155368</v>
      </c>
      <c r="S10" s="1603">
        <f>+S7-S8</f>
        <v>44022.70764821519</v>
      </c>
      <c r="T10" s="4970">
        <f>+T7-T8</f>
        <v>42409</v>
      </c>
      <c r="U10" s="4967">
        <f>+Q10+S10</f>
        <v>177472.72239342995</v>
      </c>
      <c r="V10" s="1183">
        <f>+R10+T10</f>
        <v>197777</v>
      </c>
      <c r="W10" s="1603">
        <f>+W7-W8</f>
        <v>42552.956954676541</v>
      </c>
      <c r="X10" s="5101">
        <f>+X7-X8</f>
        <v>44180</v>
      </c>
      <c r="Y10" s="1163">
        <f>O10+S10+W10</f>
        <v>98976.686079623745</v>
      </c>
      <c r="Z10" s="1164">
        <f>P10+T10+X10</f>
        <v>131473</v>
      </c>
      <c r="AA10" s="1166">
        <f>+U10+W10</f>
        <v>220025.6793481065</v>
      </c>
      <c r="AB10" s="1167">
        <f>+V10+X10</f>
        <v>241957</v>
      </c>
      <c r="AC10" s="1603">
        <f>+AC7-AC8</f>
        <v>45859.89601513846</v>
      </c>
      <c r="AD10" s="5379">
        <f>+AD7-AD8</f>
        <v>41487</v>
      </c>
      <c r="AE10" s="3256">
        <f>+AA10+AC10</f>
        <v>265885.57536324498</v>
      </c>
      <c r="AF10" s="1183">
        <f>+AB10+AD10</f>
        <v>283444</v>
      </c>
      <c r="AG10" s="1603">
        <f>+AG7-AG8</f>
        <v>44390.145321599804</v>
      </c>
      <c r="AH10" s="5579">
        <f>+AH7-AH8</f>
        <v>780</v>
      </c>
      <c r="AI10" s="5577">
        <f>+AE10+AG10</f>
        <v>310275.72068484477</v>
      </c>
      <c r="AJ10" s="1183">
        <f>+AF10+AH10</f>
        <v>284224</v>
      </c>
      <c r="AK10" s="1603">
        <f>+AK7-AK8</f>
        <v>45859.89601513846</v>
      </c>
      <c r="AL10" s="5999">
        <f>+AL7-AL8</f>
        <v>40068</v>
      </c>
      <c r="AM10" s="1163">
        <f>AC10+AG10+AK10</f>
        <v>136109.93735187672</v>
      </c>
      <c r="AN10" s="1164">
        <f>AD10+AH10+AL10</f>
        <v>82335</v>
      </c>
      <c r="AO10" s="3256">
        <f>+AI10+AK10</f>
        <v>356135.61669998325</v>
      </c>
      <c r="AP10" s="1183">
        <f>+AJ10+AL10</f>
        <v>324292</v>
      </c>
      <c r="AQ10" s="1603">
        <f>+AQ7-AQ8</f>
        <v>45859.89601513846</v>
      </c>
      <c r="AR10" s="6122">
        <f>+AR7-AR8</f>
        <v>42177</v>
      </c>
      <c r="AS10" s="3256">
        <f>+AO10+AQ10</f>
        <v>401995.51271512173</v>
      </c>
      <c r="AT10" s="1183">
        <f>+AP10+AR10</f>
        <v>366469</v>
      </c>
      <c r="AU10" s="1603">
        <f>+AU7-AU8</f>
        <v>41266.925097830179</v>
      </c>
      <c r="AV10" s="6327">
        <f>+AV7-AV8</f>
        <v>39470</v>
      </c>
      <c r="AW10" s="6328">
        <f>+AS10+AU10</f>
        <v>443262.43781295192</v>
      </c>
      <c r="AX10" s="1183">
        <f>+AT10+AV10</f>
        <v>405939</v>
      </c>
      <c r="AY10" s="1603">
        <f>+AY7-AY8</f>
        <v>45859.89601513846</v>
      </c>
      <c r="AZ10" s="6465">
        <f>+AZ7-AZ8</f>
        <v>44759</v>
      </c>
      <c r="BA10" s="1163">
        <f>AQ10+AU10+AY10</f>
        <v>132986.71712810709</v>
      </c>
      <c r="BB10" s="1164">
        <f>AR10+AV10+AZ10</f>
        <v>126406</v>
      </c>
      <c r="BC10" s="1166">
        <f t="shared" ref="BC10:BC11" si="1">AM10+BA10</f>
        <v>269096.65447998384</v>
      </c>
      <c r="BD10" s="1166">
        <f t="shared" ref="BD10:BD11" si="2">AN10+BB10</f>
        <v>208741</v>
      </c>
      <c r="BE10" s="3256">
        <f>+AW10+AY10</f>
        <v>489122.3338280904</v>
      </c>
      <c r="BF10" s="1183">
        <f>+AX10+AZ10</f>
        <v>450698</v>
      </c>
      <c r="BG10" s="26"/>
      <c r="BH10" s="26"/>
      <c r="BI10" s="4713"/>
      <c r="BJ10" s="4713"/>
      <c r="BK10" s="26"/>
    </row>
    <row r="11" spans="1:63" ht="15.75" x14ac:dyDescent="0.25">
      <c r="A11" s="149"/>
      <c r="B11" s="149"/>
      <c r="C11" s="3445" t="s">
        <v>523</v>
      </c>
      <c r="D11" s="3444" t="s">
        <v>50</v>
      </c>
      <c r="E11" s="1603">
        <f>+E10*E12/100</f>
        <v>25858.202470961074</v>
      </c>
      <c r="F11" s="3444">
        <v>21091</v>
      </c>
      <c r="G11" s="1603">
        <f>+G10*G12/100</f>
        <v>26682.040064619749</v>
      </c>
      <c r="H11" s="7233">
        <v>23912</v>
      </c>
      <c r="I11" s="3446">
        <f>+E11+G11</f>
        <v>52540.242535580823</v>
      </c>
      <c r="J11" s="1183">
        <f>+F11+H11</f>
        <v>45003</v>
      </c>
      <c r="K11" s="1603">
        <f>+K10*K12/100</f>
        <v>15247.193694769527</v>
      </c>
      <c r="L11" s="4615">
        <v>16050</v>
      </c>
      <c r="M11" s="1163">
        <f>E11+G11+K11</f>
        <v>67787.436230350344</v>
      </c>
      <c r="N11" s="1164">
        <f>F11+H11+L11</f>
        <v>61053</v>
      </c>
      <c r="O11" s="1603">
        <f>+O10*O12/100</f>
        <v>6944.5720269699286</v>
      </c>
      <c r="P11" s="4852">
        <v>25135</v>
      </c>
      <c r="Q11" s="3256">
        <f>+M11+O11</f>
        <v>74732.008257320267</v>
      </c>
      <c r="R11" s="1183">
        <f>+N11+P11</f>
        <v>86188</v>
      </c>
      <c r="S11" s="1603">
        <f>+S10*S12/100</f>
        <v>24652.716283000507</v>
      </c>
      <c r="T11" s="4970">
        <v>23749</v>
      </c>
      <c r="U11" s="4967">
        <f>+Q11+S11</f>
        <v>99384.724540320778</v>
      </c>
      <c r="V11" s="1183">
        <f>+R11+T11</f>
        <v>109937</v>
      </c>
      <c r="W11" s="1603">
        <f>+W10*W12/100</f>
        <v>23829.655894618863</v>
      </c>
      <c r="X11" s="5101">
        <v>24741</v>
      </c>
      <c r="Y11" s="1163">
        <f>O11+S11+W11</f>
        <v>55426.944204589294</v>
      </c>
      <c r="Z11" s="1164">
        <f>P11+T11+X11</f>
        <v>73625</v>
      </c>
      <c r="AA11" s="1166">
        <f>+U11+W11</f>
        <v>123214.38043493964</v>
      </c>
      <c r="AB11" s="1167">
        <f>+V11+X11</f>
        <v>134678</v>
      </c>
      <c r="AC11" s="1603">
        <f>+AC10*AC12/100</f>
        <v>25681.541768477535</v>
      </c>
      <c r="AD11" s="5379">
        <v>23233</v>
      </c>
      <c r="AE11" s="3256">
        <f>+AA11+AC11</f>
        <v>148895.92220341717</v>
      </c>
      <c r="AF11" s="1183">
        <f>+AB11+AD11</f>
        <v>157911</v>
      </c>
      <c r="AG11" s="1603">
        <f>+AG10*AG12/100</f>
        <v>24858.481380095891</v>
      </c>
      <c r="AH11" s="5579">
        <v>451</v>
      </c>
      <c r="AI11" s="5577">
        <f>+AE11+AG11</f>
        <v>173754.40358351305</v>
      </c>
      <c r="AJ11" s="1183">
        <f>+AF11+AH11</f>
        <v>158362</v>
      </c>
      <c r="AK11" s="1603">
        <f>+AK10*AK12/100</f>
        <v>25681.541768477535</v>
      </c>
      <c r="AL11" s="5999">
        <v>22318</v>
      </c>
      <c r="AM11" s="1163">
        <f>AC11+AG11+AK11</f>
        <v>76221.564917050957</v>
      </c>
      <c r="AN11" s="1164">
        <f>AD11+AH11+AL11</f>
        <v>46002</v>
      </c>
      <c r="AO11" s="3256">
        <f>+AI11+AK11</f>
        <v>199435.94535199058</v>
      </c>
      <c r="AP11" s="1183">
        <f>+AJ11+AL11</f>
        <v>180680</v>
      </c>
      <c r="AQ11" s="1603">
        <f>+AQ10*AQ12/100</f>
        <v>25681.541768477535</v>
      </c>
      <c r="AR11" s="6122">
        <v>23493</v>
      </c>
      <c r="AS11" s="3256">
        <f>+AO11+AQ11</f>
        <v>225117.48712046811</v>
      </c>
      <c r="AT11" s="1183">
        <f>+AP11+AR11</f>
        <v>204173</v>
      </c>
      <c r="AU11" s="1603">
        <f>+AU10*AU12/100</f>
        <v>23109.4780547849</v>
      </c>
      <c r="AV11" s="6327">
        <v>21985</v>
      </c>
      <c r="AW11" s="6328">
        <f>+AS11+AU11</f>
        <v>248226.96517525302</v>
      </c>
      <c r="AX11" s="1183">
        <f>+AT11+AV11</f>
        <v>226158</v>
      </c>
      <c r="AY11" s="1603">
        <f>+AY10*AY12/100</f>
        <v>25681.541768477535</v>
      </c>
      <c r="AZ11" s="6465">
        <v>24989</v>
      </c>
      <c r="BA11" s="1163">
        <f>AQ11+AU11+AY11</f>
        <v>74472.56159173997</v>
      </c>
      <c r="BB11" s="1164">
        <f>AR11+AV11+AZ11</f>
        <v>70467</v>
      </c>
      <c r="BC11" s="1166">
        <f t="shared" si="1"/>
        <v>150694.12650879094</v>
      </c>
      <c r="BD11" s="1166">
        <f t="shared" si="2"/>
        <v>116469</v>
      </c>
      <c r="BE11" s="3256">
        <f>+AW11+AY11</f>
        <v>273908.50694373058</v>
      </c>
      <c r="BF11" s="1183">
        <f>+AX11+AZ11</f>
        <v>251147</v>
      </c>
      <c r="BG11" s="26"/>
      <c r="BH11" s="26"/>
      <c r="BI11" s="4713"/>
      <c r="BJ11" s="4713"/>
      <c r="BK11" s="26"/>
    </row>
    <row r="12" spans="1:63" ht="15.75" x14ac:dyDescent="0.25">
      <c r="A12" s="149"/>
      <c r="B12" s="149"/>
      <c r="C12" s="3445" t="s">
        <v>524</v>
      </c>
      <c r="D12" s="3444" t="s">
        <v>49</v>
      </c>
      <c r="E12" s="3442">
        <v>56</v>
      </c>
      <c r="F12" s="1148">
        <f>+F11/F10*100</f>
        <v>55.000391164889038</v>
      </c>
      <c r="G12" s="7232">
        <v>56</v>
      </c>
      <c r="H12" s="1148">
        <f>+H11/H10*100</f>
        <v>55.000460023921249</v>
      </c>
      <c r="I12" s="3443">
        <f>+I11/I10*100</f>
        <v>56.000000000000007</v>
      </c>
      <c r="J12" s="3297">
        <f>+J11/J10*100</f>
        <v>55.000427752587896</v>
      </c>
      <c r="K12" s="4614">
        <v>56</v>
      </c>
      <c r="L12" s="1148">
        <f>+L11/L10*100</f>
        <v>55.999441750113398</v>
      </c>
      <c r="M12" s="3257">
        <f>+M11/M10*100</f>
        <v>56.000000000000007</v>
      </c>
      <c r="N12" s="1165">
        <f>+N11/N10*100</f>
        <v>55.259585098294771</v>
      </c>
      <c r="O12" s="4851">
        <v>56</v>
      </c>
      <c r="P12" s="1148">
        <f>+P11/P10*100</f>
        <v>55.999910881383116</v>
      </c>
      <c r="Q12" s="3259">
        <f>+Q11/Q10*100</f>
        <v>55.999999999999993</v>
      </c>
      <c r="R12" s="1184">
        <f>+R11/R10*100</f>
        <v>55.473456567632972</v>
      </c>
      <c r="S12" s="4966">
        <v>56</v>
      </c>
      <c r="T12" s="1148">
        <f>+T11/T10*100</f>
        <v>55.99990568039803</v>
      </c>
      <c r="U12" s="4968">
        <f>+U11/U10*100</f>
        <v>56.000000000000007</v>
      </c>
      <c r="V12" s="1184">
        <f>+V11/V10*100</f>
        <v>55.586342193480533</v>
      </c>
      <c r="W12" s="5100">
        <v>56</v>
      </c>
      <c r="X12" s="1148">
        <f>+X11/X10*100</f>
        <v>56.000452693526483</v>
      </c>
      <c r="Y12" s="3257">
        <f>+Y11/Y10*100</f>
        <v>55.999999999999993</v>
      </c>
      <c r="Z12" s="1165">
        <f>+Z11/Z10*100</f>
        <v>56.00009127349341</v>
      </c>
      <c r="AA12" s="3258">
        <f>+AA11/AA10*100</f>
        <v>56.000000000000007</v>
      </c>
      <c r="AB12" s="3284">
        <f>+AB11/AB10*100</f>
        <v>55.661956463338527</v>
      </c>
      <c r="AC12" s="5377">
        <v>56</v>
      </c>
      <c r="AD12" s="1148">
        <f>+AD11/AD10*100</f>
        <v>56.000674910212837</v>
      </c>
      <c r="AE12" s="3259">
        <f>+AE11/AE10*100</f>
        <v>55.999999999999993</v>
      </c>
      <c r="AF12" s="1184">
        <f>+AF11/AF10*100</f>
        <v>55.711533847955849</v>
      </c>
      <c r="AG12" s="5576">
        <v>56</v>
      </c>
      <c r="AH12" s="1148">
        <f>+AH11/AH10*100</f>
        <v>57.820512820512825</v>
      </c>
      <c r="AI12" s="5578">
        <f>+AI11/AI10*100</f>
        <v>55.999999999999993</v>
      </c>
      <c r="AJ12" s="1184">
        <f>+AJ11/AJ10*100</f>
        <v>55.717321549200626</v>
      </c>
      <c r="AK12" s="5998">
        <v>56</v>
      </c>
      <c r="AL12" s="1148">
        <f>+AL11/AL10*100</f>
        <v>55.700309473894386</v>
      </c>
      <c r="AM12" s="3257">
        <f>+AM11/AM10*100</f>
        <v>55.999999999999993</v>
      </c>
      <c r="AN12" s="1165">
        <f>+AN11/AN10*100</f>
        <v>55.871743486973948</v>
      </c>
      <c r="AO12" s="3259">
        <f>+AO11/AO10*100</f>
        <v>55.999999999999993</v>
      </c>
      <c r="AP12" s="1184">
        <f>+AP11/AP10*100</f>
        <v>55.715219616888476</v>
      </c>
      <c r="AQ12" s="6121">
        <v>56</v>
      </c>
      <c r="AR12" s="1148">
        <f>+AR11/AR10*100</f>
        <v>55.700974464755667</v>
      </c>
      <c r="AS12" s="3259">
        <f>+AS11/AS10*100</f>
        <v>55.999999999999986</v>
      </c>
      <c r="AT12" s="1184">
        <f>+AT11/AT10*100</f>
        <v>55.713580139111365</v>
      </c>
      <c r="AU12" s="6326">
        <v>56</v>
      </c>
      <c r="AV12" s="1148">
        <f>+AV11/AV10*100</f>
        <v>55.700532049657966</v>
      </c>
      <c r="AW12" s="6325">
        <f>+AW11/AW10*100</f>
        <v>55.999999999999986</v>
      </c>
      <c r="AX12" s="1184">
        <f>+AX11/AX10*100</f>
        <v>55.712311455662054</v>
      </c>
      <c r="AY12" s="6464">
        <v>56</v>
      </c>
      <c r="AZ12" s="1148">
        <f>+AZ11/AZ10*100</f>
        <v>55.830112379633142</v>
      </c>
      <c r="BA12" s="3257">
        <f t="shared" ref="BA12:BF12" si="3">+BA11/BA10*100</f>
        <v>55.999999999999993</v>
      </c>
      <c r="BB12" s="1165">
        <f t="shared" si="3"/>
        <v>55.746562663164724</v>
      </c>
      <c r="BC12" s="3258">
        <f t="shared" si="3"/>
        <v>55.999999999999993</v>
      </c>
      <c r="BD12" s="3284">
        <f t="shared" si="3"/>
        <v>55.795938507528462</v>
      </c>
      <c r="BE12" s="3259">
        <f t="shared" si="3"/>
        <v>55.999999999999993</v>
      </c>
      <c r="BF12" s="1184">
        <f t="shared" si="3"/>
        <v>55.724010312892446</v>
      </c>
      <c r="BG12" s="26"/>
      <c r="BH12" s="26"/>
      <c r="BI12" s="4713"/>
      <c r="BJ12" s="4713"/>
      <c r="BK12" s="26"/>
    </row>
    <row r="13" spans="1:63" ht="15.75" x14ac:dyDescent="0.25">
      <c r="A13" s="149"/>
      <c r="B13" s="149"/>
      <c r="C13" s="3445" t="s">
        <v>1346</v>
      </c>
      <c r="D13" s="3444" t="s">
        <v>50</v>
      </c>
      <c r="E13" s="1603">
        <f>+E11*E14/100</f>
        <v>9050.3708648363754</v>
      </c>
      <c r="F13" s="1148">
        <v>6762</v>
      </c>
      <c r="G13" s="1603">
        <f>+G11*G14/100</f>
        <v>9338.7140226169122</v>
      </c>
      <c r="H13" s="1148">
        <v>7468</v>
      </c>
      <c r="I13" s="3446">
        <f>+E13+G13</f>
        <v>18389.084887453289</v>
      </c>
      <c r="J13" s="1184">
        <f>+F13+H13</f>
        <v>14230</v>
      </c>
      <c r="K13" s="1603">
        <f>+K11*K14/100</f>
        <v>5336.5177931693352</v>
      </c>
      <c r="L13" s="1148">
        <v>5311</v>
      </c>
      <c r="M13" s="1163">
        <f>E13+G13+K13</f>
        <v>23725.602680622625</v>
      </c>
      <c r="N13" s="1164">
        <f>F13+H13+L13</f>
        <v>19541</v>
      </c>
      <c r="O13" s="1603">
        <f>+O11*O14/100</f>
        <v>2430.6002094394753</v>
      </c>
      <c r="P13" s="1148">
        <v>8814</v>
      </c>
      <c r="Q13" s="3256">
        <f>+M13+O13</f>
        <v>26156.202890062101</v>
      </c>
      <c r="R13" s="1184">
        <f>+N13+P13</f>
        <v>28355</v>
      </c>
      <c r="S13" s="1603">
        <f>+S11*S14/100</f>
        <v>8628.4506990501777</v>
      </c>
      <c r="T13" s="1148">
        <v>7850</v>
      </c>
      <c r="U13" s="4967">
        <f>+Q13+S13</f>
        <v>34784.653589112277</v>
      </c>
      <c r="V13" s="1184">
        <f>+R13+T13</f>
        <v>36205</v>
      </c>
      <c r="W13" s="1603">
        <f>+W11*W14/100</f>
        <v>8340.3795631166031</v>
      </c>
      <c r="X13" s="1148">
        <v>7890</v>
      </c>
      <c r="Y13" s="1163">
        <f>O13+S13+W13</f>
        <v>19399.430471606254</v>
      </c>
      <c r="Z13" s="1164">
        <f>P13+T13+X13</f>
        <v>24554</v>
      </c>
      <c r="AA13" s="1166">
        <f>+U13+W13</f>
        <v>43125.033152228876</v>
      </c>
      <c r="AB13" s="1167">
        <f>+V13+X13</f>
        <v>44095</v>
      </c>
      <c r="AC13" s="1603">
        <f>+AC11*AC14/100</f>
        <v>8988.5396189671374</v>
      </c>
      <c r="AD13" s="1148">
        <v>6933</v>
      </c>
      <c r="AE13" s="3256">
        <f>+AA13+AC13</f>
        <v>52113.572771196013</v>
      </c>
      <c r="AF13" s="1184">
        <f>+AB13+AD13</f>
        <v>51028</v>
      </c>
      <c r="AG13" s="1603">
        <f>+AG11*AG14/100</f>
        <v>8700.4684830335627</v>
      </c>
      <c r="AH13" s="1148">
        <v>162</v>
      </c>
      <c r="AI13" s="5577">
        <f>+AE13+AG13</f>
        <v>60814.041254229574</v>
      </c>
      <c r="AJ13" s="1184">
        <f>+AF13+AH13</f>
        <v>51190</v>
      </c>
      <c r="AK13" s="1603">
        <f>+AK11*AK14/100</f>
        <v>8988.5396189671374</v>
      </c>
      <c r="AL13" s="1148">
        <v>5710</v>
      </c>
      <c r="AM13" s="1163">
        <f>AC13+AG13+AK13</f>
        <v>26677.547720967836</v>
      </c>
      <c r="AN13" s="1164">
        <f>AD13+AH13+AL13</f>
        <v>12805</v>
      </c>
      <c r="AO13" s="3256">
        <f>+AI13+AK13</f>
        <v>69802.580873196712</v>
      </c>
      <c r="AP13" s="1184">
        <f>+AJ13+AL13</f>
        <v>56900</v>
      </c>
      <c r="AQ13" s="1603">
        <f>+AQ11*AQ14/100</f>
        <v>8988.5396189671374</v>
      </c>
      <c r="AR13" s="1148">
        <v>7221</v>
      </c>
      <c r="AS13" s="3256">
        <f>+AO13+AQ13</f>
        <v>78791.120492163842</v>
      </c>
      <c r="AT13" s="1184">
        <f>+AP13+AR13</f>
        <v>64121</v>
      </c>
      <c r="AU13" s="1603">
        <f>+AU11*AU14/100</f>
        <v>8088.3173191747155</v>
      </c>
      <c r="AV13" s="1148">
        <v>6379</v>
      </c>
      <c r="AW13" s="6328">
        <f>+AS13+AU13</f>
        <v>86879.437811338561</v>
      </c>
      <c r="AX13" s="1184">
        <f>+AT13+AV13</f>
        <v>70500</v>
      </c>
      <c r="AY13" s="1603">
        <f>+AY11*AY14/100</f>
        <v>8988.5396189671374</v>
      </c>
      <c r="AZ13" s="1148">
        <v>7762</v>
      </c>
      <c r="BA13" s="1163">
        <f>AQ13+AU13+AY13</f>
        <v>26065.39655710899</v>
      </c>
      <c r="BB13" s="1164">
        <f>AR13+AV13+AZ13</f>
        <v>21362</v>
      </c>
      <c r="BC13" s="1166">
        <f>AM13+BA13</f>
        <v>52742.94427807683</v>
      </c>
      <c r="BD13" s="1166">
        <f>AN13+BB13</f>
        <v>34167</v>
      </c>
      <c r="BE13" s="3256">
        <f>+AW13+AY13</f>
        <v>95867.977430305706</v>
      </c>
      <c r="BF13" s="1184">
        <f>+AX13+AZ13</f>
        <v>78262</v>
      </c>
      <c r="BG13" s="26"/>
      <c r="BH13" s="26"/>
      <c r="BI13" s="4713"/>
      <c r="BJ13" s="4713"/>
      <c r="BK13" s="26"/>
    </row>
    <row r="14" spans="1:63" ht="15.75" x14ac:dyDescent="0.25">
      <c r="A14" s="149"/>
      <c r="B14" s="149"/>
      <c r="C14" s="3445" t="s">
        <v>616</v>
      </c>
      <c r="D14" s="3444" t="s">
        <v>49</v>
      </c>
      <c r="E14" s="3442">
        <v>35</v>
      </c>
      <c r="F14" s="1148">
        <f>+F13/F11*100</f>
        <v>32.061068702290072</v>
      </c>
      <c r="G14" s="7232">
        <v>35</v>
      </c>
      <c r="H14" s="1148">
        <f>+H13/H11*100</f>
        <v>31.231180996988961</v>
      </c>
      <c r="I14" s="3443">
        <f>+I13/I11*100</f>
        <v>35</v>
      </c>
      <c r="J14" s="3297">
        <f>+J13/J11*100</f>
        <v>31.620114214607913</v>
      </c>
      <c r="K14" s="4614">
        <v>35</v>
      </c>
      <c r="L14" s="1148">
        <f>+L13/L11*100</f>
        <v>33.09034267912773</v>
      </c>
      <c r="M14" s="3257">
        <f>+M13/M11*100</f>
        <v>35.000000000000007</v>
      </c>
      <c r="N14" s="3291">
        <f>+N13/N11*100</f>
        <v>32.006617201447924</v>
      </c>
      <c r="O14" s="4851">
        <v>35</v>
      </c>
      <c r="P14" s="1148">
        <f>+P13/P11*100</f>
        <v>35.066640143226572</v>
      </c>
      <c r="Q14" s="3259">
        <f>+Q13/Q11*100</f>
        <v>35.000000000000007</v>
      </c>
      <c r="R14" s="3297">
        <f>+R13/R11*100</f>
        <v>32.89901146331276</v>
      </c>
      <c r="S14" s="4966">
        <v>35</v>
      </c>
      <c r="T14" s="1148">
        <f>+T13/T11*100</f>
        <v>33.05402332729799</v>
      </c>
      <c r="U14" s="4968">
        <f>+U13/U11*100</f>
        <v>35</v>
      </c>
      <c r="V14" s="3297">
        <f>+V13/V11*100</f>
        <v>32.932497703230027</v>
      </c>
      <c r="W14" s="5100">
        <v>35</v>
      </c>
      <c r="X14" s="1148">
        <f>+X13/X11*100</f>
        <v>31.890384382199588</v>
      </c>
      <c r="Y14" s="3257">
        <f>+Y13/Y11*100</f>
        <v>35</v>
      </c>
      <c r="Z14" s="3291">
        <f>+Z13/Z11*100</f>
        <v>33.350084889643462</v>
      </c>
      <c r="AA14" s="3258">
        <f>+AA13/AA11*100</f>
        <v>35</v>
      </c>
      <c r="AB14" s="3284">
        <f>+AB13/AB11*100</f>
        <v>32.741056445744668</v>
      </c>
      <c r="AC14" s="5377">
        <v>35</v>
      </c>
      <c r="AD14" s="1148">
        <f>+AD13/AD11*100</f>
        <v>29.841174191882235</v>
      </c>
      <c r="AE14" s="3259">
        <f>+AE13/AE11*100</f>
        <v>35</v>
      </c>
      <c r="AF14" s="3297">
        <f>+AF13/AF11*100</f>
        <v>32.314404949623523</v>
      </c>
      <c r="AG14" s="5576">
        <v>35</v>
      </c>
      <c r="AH14" s="1148">
        <f>+AH13/AH11*100</f>
        <v>35.920177383592019</v>
      </c>
      <c r="AI14" s="5578">
        <f>+AI13/AI11*100</f>
        <v>35</v>
      </c>
      <c r="AJ14" s="3297">
        <f>+AJ13/AJ11*100</f>
        <v>32.324673848524263</v>
      </c>
      <c r="AK14" s="5998">
        <v>35</v>
      </c>
      <c r="AL14" s="1148">
        <f>+AL13/AL11*100</f>
        <v>25.584729814499507</v>
      </c>
      <c r="AM14" s="3257">
        <f>+AM13/AM11*100</f>
        <v>35</v>
      </c>
      <c r="AN14" s="3291">
        <f>+AN13/AN11*100</f>
        <v>27.835746271901225</v>
      </c>
      <c r="AO14" s="3259">
        <f>+AO13/AO11*100</f>
        <v>35</v>
      </c>
      <c r="AP14" s="3297">
        <f>+AP13/AP11*100</f>
        <v>31.492140801416866</v>
      </c>
      <c r="AQ14" s="6121">
        <v>35</v>
      </c>
      <c r="AR14" s="1148">
        <f>+AR13/AR11*100</f>
        <v>30.736815221555357</v>
      </c>
      <c r="AS14" s="3259">
        <f>+AS13/AS11*100</f>
        <v>35</v>
      </c>
      <c r="AT14" s="3297">
        <f>+AT13/AT11*100</f>
        <v>31.405229878583356</v>
      </c>
      <c r="AU14" s="6326">
        <v>35</v>
      </c>
      <c r="AV14" s="1148">
        <f>+AV13/AV11*100</f>
        <v>29.015237662042303</v>
      </c>
      <c r="AW14" s="6325">
        <f>+AW13/AW11*100</f>
        <v>35</v>
      </c>
      <c r="AX14" s="3297">
        <f>+AX13/AX11*100</f>
        <v>31.172896824344043</v>
      </c>
      <c r="AY14" s="1603">
        <v>35</v>
      </c>
      <c r="AZ14" s="1148">
        <f>+AZ13/AZ11*100</f>
        <v>31.061667133538755</v>
      </c>
      <c r="BA14" s="3257">
        <f t="shared" ref="BA14:BF14" si="4">+BA13/BA11*100</f>
        <v>35</v>
      </c>
      <c r="BB14" s="3291">
        <f t="shared" si="4"/>
        <v>30.314899172662379</v>
      </c>
      <c r="BC14" s="3258">
        <f t="shared" si="4"/>
        <v>35</v>
      </c>
      <c r="BD14" s="3284">
        <f t="shared" si="4"/>
        <v>29.335703062617519</v>
      </c>
      <c r="BE14" s="3259">
        <f t="shared" si="4"/>
        <v>35</v>
      </c>
      <c r="BF14" s="3297">
        <f t="shared" si="4"/>
        <v>31.161829526134099</v>
      </c>
      <c r="BG14" s="26"/>
      <c r="BH14" s="26"/>
      <c r="BI14" s="4713"/>
      <c r="BJ14" s="4713"/>
      <c r="BK14" s="26"/>
    </row>
    <row r="15" spans="1:63" ht="15.75" x14ac:dyDescent="0.25">
      <c r="A15" s="149"/>
      <c r="B15" s="149"/>
      <c r="C15" s="2609" t="s">
        <v>2185</v>
      </c>
      <c r="D15" s="3444"/>
      <c r="E15" s="7892">
        <v>310</v>
      </c>
      <c r="F15" s="1148"/>
      <c r="G15" s="7892">
        <v>310</v>
      </c>
      <c r="H15" s="1148"/>
      <c r="I15" s="7887">
        <f>+((E15*E11)+(G11*G15))/(E11+G11)</f>
        <v>310</v>
      </c>
      <c r="J15" s="1184">
        <f>+((F15*F10)+(H10*H15))/(F10+H10)</f>
        <v>0</v>
      </c>
      <c r="K15" s="7892">
        <v>290</v>
      </c>
      <c r="L15" s="1148">
        <v>0</v>
      </c>
      <c r="M15" s="7898">
        <f t="shared" ref="M15:M19" si="5">+((E15*E7)+(G7*G15)+(K7*K15))/M7</f>
        <v>305.50146913862989</v>
      </c>
      <c r="N15" s="1165">
        <f>+((F15*F10)+(H15*H10)+(L10*L15))/N10</f>
        <v>0</v>
      </c>
      <c r="O15" s="7892">
        <v>280</v>
      </c>
      <c r="P15" s="1148">
        <v>0</v>
      </c>
      <c r="Q15" s="7887">
        <f>+((M15*M11)+(O11*O15))/(M11+O11)</f>
        <v>303.13171094054991</v>
      </c>
      <c r="R15" s="1184">
        <f>+((N15*N10)+(P10*P15))/(N10+P10)</f>
        <v>0</v>
      </c>
      <c r="S15" s="7892">
        <v>280</v>
      </c>
      <c r="T15" s="1148">
        <v>0</v>
      </c>
      <c r="U15" s="7887">
        <f>+((Q15*Q11)+(S11*S15))/(Q11+S11)</f>
        <v>297.39381198680877</v>
      </c>
      <c r="V15" s="1184">
        <f>+((R15*R10)+(T10*T15))/(R10+T10)</f>
        <v>0</v>
      </c>
      <c r="W15" s="7892">
        <v>290</v>
      </c>
      <c r="X15" s="1148"/>
      <c r="Y15" s="7898">
        <f>+((O15*O7)+(S7*S15)+(W7*W15))/Y7</f>
        <v>284.29929093811484</v>
      </c>
      <c r="Z15" s="1165">
        <f>+((P15*P10)+(T10*T15)+(X10*X15))/Z10</f>
        <v>0</v>
      </c>
      <c r="AA15" s="7907">
        <f>+((U15*U11)+(W11*W15))/(U11+W11)</f>
        <v>295.96384906549054</v>
      </c>
      <c r="AB15" s="1167">
        <f>(N15*N$11+Z15*Z$11)/AB$11</f>
        <v>0</v>
      </c>
      <c r="AC15" s="7884">
        <v>300</v>
      </c>
      <c r="AD15" s="1148"/>
      <c r="AE15" s="7887">
        <f>+((AA15*AA11)+(AC11*AC15))/(AA11+AC11)</f>
        <v>296.66000364967636</v>
      </c>
      <c r="AF15" s="1184">
        <f>+((AB15*AB10)+(AD10*AD15))/(AB10+AD10)</f>
        <v>0</v>
      </c>
      <c r="AG15" s="7884">
        <v>300</v>
      </c>
      <c r="AH15" s="1148"/>
      <c r="AI15" s="7887">
        <f>+((AE15*AE11)+(AG11*AG15))/(AE11+AG11)</f>
        <v>297.13784614098455</v>
      </c>
      <c r="AJ15" s="1184">
        <f>+((AF15*AF10)+(AH10*AH15))/(AF10+AH10)</f>
        <v>0</v>
      </c>
      <c r="AK15" s="7884">
        <v>310</v>
      </c>
      <c r="AL15" s="1148"/>
      <c r="AM15" s="7898">
        <f>+((AC15*AC7)+(AG7*AG15)+(AK7*AK15))/AM7</f>
        <v>303.36932753826636</v>
      </c>
      <c r="AN15" s="1165">
        <f>+((AD15*AD10)+(AH10*AH15)+(AL10*AL15))/AN10</f>
        <v>0</v>
      </c>
      <c r="AO15" s="7887">
        <f>+((AI15*AI11)+(AK11*AK15))/(AI11+AK11)</f>
        <v>298.79411698513906</v>
      </c>
      <c r="AP15" s="1184">
        <f>+((AJ15*AJ10)+(AL10*AL15))/(AJ10+AL10)</f>
        <v>0</v>
      </c>
      <c r="AQ15" s="7884">
        <v>310</v>
      </c>
      <c r="AR15" s="1148"/>
      <c r="AS15" s="7887">
        <f>+((AO15*AO11)+(AQ11*AQ15))/(AO11+AQ11)</f>
        <v>300.07249103053175</v>
      </c>
      <c r="AT15" s="1184">
        <f>+((AP15*AP10)+(AR10*AR15))/(AP10+AR10)</f>
        <v>0</v>
      </c>
      <c r="AU15" s="7884">
        <v>310</v>
      </c>
      <c r="AV15" s="1148"/>
      <c r="AW15" s="7887">
        <f>+((AS15*AS11)+(AU11*AU15))/(AS11+AU11)</f>
        <v>300.99672402232869</v>
      </c>
      <c r="AX15" s="1184">
        <f>+((AT15*AT10)+(AV10*AV15))/(AT10+AV10)</f>
        <v>0</v>
      </c>
      <c r="AY15" s="7884">
        <v>310</v>
      </c>
      <c r="AZ15" s="1148"/>
      <c r="BA15" s="7898">
        <f>+((AQ15*AQ7)+(AU7*AU15)+(AY7*AY15))/BA7</f>
        <v>310.00000000000006</v>
      </c>
      <c r="BB15" s="1165">
        <f>+((AR15*AR10)+(AV10*AV15)+(AZ10*AZ15))/BB10</f>
        <v>0</v>
      </c>
      <c r="BC15" s="7907">
        <f>+((AM15*AM11)+(BA11*BA15))/(AM11+BA11)</f>
        <v>306.6461849363701</v>
      </c>
      <c r="BD15" s="1167">
        <f>(AN15*AN$11+BB15*BB$11)/BD$11</f>
        <v>0</v>
      </c>
      <c r="BE15" s="7910">
        <f>+((AW15*AW11)+(AY11*AY15))/(AW11+AY11)</f>
        <v>301.84086723881222</v>
      </c>
      <c r="BF15" s="1184">
        <f>+((AX15*AX10)+(AZ10*AZ15))/(AX10+AZ10)</f>
        <v>0</v>
      </c>
      <c r="BG15" s="26"/>
      <c r="BH15" s="26"/>
      <c r="BI15" s="4713"/>
      <c r="BJ15" s="4713"/>
      <c r="BK15" s="26"/>
    </row>
    <row r="16" spans="1:63" ht="15.75" x14ac:dyDescent="0.25">
      <c r="A16" s="149"/>
      <c r="B16" s="149"/>
      <c r="C16" s="3274" t="s">
        <v>697</v>
      </c>
      <c r="D16" s="7896"/>
      <c r="E16" s="7892"/>
      <c r="F16" s="1148">
        <v>324.89999999999998</v>
      </c>
      <c r="G16" s="7892"/>
      <c r="H16" s="1148">
        <v>330.24</v>
      </c>
      <c r="I16" s="7887"/>
      <c r="J16" s="1184">
        <f>+((F16*F11)+(H11*H16))/(F11+H11)</f>
        <v>327.73736817545495</v>
      </c>
      <c r="K16" s="7892"/>
      <c r="L16" s="1148">
        <v>322</v>
      </c>
      <c r="M16" s="7898">
        <f t="shared" si="5"/>
        <v>0</v>
      </c>
      <c r="N16" s="1165">
        <f>+((F16*F11)+(H11*H16)+(L11*L16))/N11</f>
        <v>326.22909242789052</v>
      </c>
      <c r="O16" s="7892"/>
      <c r="P16" s="1148">
        <v>335</v>
      </c>
      <c r="Q16" s="7887"/>
      <c r="R16" s="1184">
        <f>+((N16*N11)+(P11*P16))/(N11+P11)</f>
        <v>328.78695154777927</v>
      </c>
      <c r="S16" s="7892"/>
      <c r="T16" s="1148">
        <v>331</v>
      </c>
      <c r="U16" s="7887"/>
      <c r="V16" s="1184">
        <f>+((R16*R11)+(T11*T16))/(R11+T11)</f>
        <v>329.26502251289378</v>
      </c>
      <c r="W16" s="7892"/>
      <c r="X16" s="1148">
        <v>341</v>
      </c>
      <c r="Y16" s="7898">
        <f t="shared" ref="Y16:Y19" si="6">+((Q16*Q8)+(S8*S16)+(W8*W16))/Y8</f>
        <v>0</v>
      </c>
      <c r="Z16" s="1165">
        <f>+((P16*P11)+(T11*T16)+(X11*X16))/Z11</f>
        <v>335.72597623089985</v>
      </c>
      <c r="AA16" s="7907"/>
      <c r="AB16" s="1167">
        <f>(N16*N$11+Z16*Z$11)/AB$11</f>
        <v>331.42079463609497</v>
      </c>
      <c r="AC16" s="7885"/>
      <c r="AD16" s="1148">
        <v>338</v>
      </c>
      <c r="AE16" s="7887"/>
      <c r="AF16" s="1184">
        <f>+((AB16*AB11)+(AD11*AD16))/(AB11+AD11)</f>
        <v>332.38877456288668</v>
      </c>
      <c r="AG16" s="7885"/>
      <c r="AH16" s="1148">
        <v>320</v>
      </c>
      <c r="AI16" s="7887"/>
      <c r="AJ16" s="1184">
        <f>+((AF16*AF11)+(AH11*AH16))/(AF11+AH11)</f>
        <v>332.35349250451497</v>
      </c>
      <c r="AK16" s="7885"/>
      <c r="AL16" s="1148">
        <v>328</v>
      </c>
      <c r="AM16" s="7898">
        <f t="shared" ref="AM16:AM19" si="7">+((AE16*AE8)+(AG8*AG16)+(AK8*AK16))/AM8</f>
        <v>0</v>
      </c>
      <c r="AN16" s="1165">
        <f>+((AD16*AD11)+(AH11*AH16)+(AL11*AL16))/AN11</f>
        <v>332.9720012173384</v>
      </c>
      <c r="AO16" s="7887"/>
      <c r="AP16" s="1184">
        <f>+((AJ16*AJ11)+(AL11*AL16))/(AJ11+AL11)</f>
        <v>331.81573931813153</v>
      </c>
      <c r="AQ16" s="7885"/>
      <c r="AR16" s="1148">
        <v>312.91000000000003</v>
      </c>
      <c r="AS16" s="7887"/>
      <c r="AT16" s="1184">
        <f>+((AP16*AP11)+(AR11*AR16))/(AP11+AR11)</f>
        <v>329.64036581722371</v>
      </c>
      <c r="AU16" s="7885"/>
      <c r="AV16" s="1148">
        <v>305.37</v>
      </c>
      <c r="AW16" s="7887"/>
      <c r="AX16" s="1184">
        <f>+((AT16*AT11)+(AV11*AV16))/(AT11+AV11)</f>
        <v>327.28102415125716</v>
      </c>
      <c r="AY16" s="7885"/>
      <c r="AZ16" s="1148">
        <v>325.24</v>
      </c>
      <c r="BA16" s="7898">
        <f t="shared" ref="BA16:BA19" si="8">+((AS16*AS8)+(AU8*AU16)+(AY8*AY16))/BA8</f>
        <v>0</v>
      </c>
      <c r="BB16" s="1165">
        <f>+((AR16*AR11)+(AV11*AV16)+(AZ11*AZ16))/BB11</f>
        <v>314.93005860899427</v>
      </c>
      <c r="BC16" s="7907"/>
      <c r="BD16" s="1167">
        <f>(AN16*AN$11+BB16*BB$11)/BD$11</f>
        <v>322.05612171479106</v>
      </c>
      <c r="BE16" s="7910"/>
      <c r="BF16" s="1184">
        <f>+((AX16*AX11)+(AZ11*AZ16))/(AX11+AZ11)</f>
        <v>327.07794327624862</v>
      </c>
      <c r="BG16" s="26"/>
      <c r="BH16" s="26"/>
      <c r="BI16" s="4713"/>
      <c r="BJ16" s="4713"/>
      <c r="BK16" s="26"/>
    </row>
    <row r="17" spans="1:63" ht="15.75" x14ac:dyDescent="0.25">
      <c r="A17" s="149"/>
      <c r="B17" s="149"/>
      <c r="C17" s="3274" t="s">
        <v>698</v>
      </c>
      <c r="D17" s="7896"/>
      <c r="E17" s="7892"/>
      <c r="F17" s="1148">
        <v>320.27999999999997</v>
      </c>
      <c r="G17" s="7892"/>
      <c r="H17" s="1148">
        <v>321.66000000000003</v>
      </c>
      <c r="I17" s="7887"/>
      <c r="J17" s="1184">
        <f>+((F17*F11)+(H11*H17))/(F11+H11)</f>
        <v>321.01325244983667</v>
      </c>
      <c r="K17" s="7892"/>
      <c r="L17" s="1148">
        <v>311</v>
      </c>
      <c r="M17" s="7898">
        <f t="shared" si="5"/>
        <v>0</v>
      </c>
      <c r="N17" s="1165">
        <f>+((F17*F11)+(H11*H17)+(L11*L17))/N11</f>
        <v>318.38090511522773</v>
      </c>
      <c r="O17" s="7892"/>
      <c r="P17" s="1148">
        <v>309</v>
      </c>
      <c r="Q17" s="7887"/>
      <c r="R17" s="1184">
        <f>+((N17*N11)+(P11*P17))/(N11+P11)</f>
        <v>315.64515245741865</v>
      </c>
      <c r="S17" s="7892"/>
      <c r="T17" s="1148">
        <v>314</v>
      </c>
      <c r="U17" s="7887"/>
      <c r="V17" s="1184">
        <f>+((R17*R11)+(T11*T17))/(R11+T11)</f>
        <v>315.28976049919498</v>
      </c>
      <c r="W17" s="7892"/>
      <c r="X17" s="1148">
        <v>330</v>
      </c>
      <c r="Y17" s="7898">
        <f t="shared" si="6"/>
        <v>0</v>
      </c>
      <c r="Z17" s="1165">
        <f>+((P17*P11)+(T11*T17)+(X11*X17))/Z11</f>
        <v>317.6696910016978</v>
      </c>
      <c r="AA17" s="7907"/>
      <c r="AB17" s="1167">
        <f t="shared" ref="AB17:AB19" si="9">(N17*N$11+Z17*Z$11)/AB$11</f>
        <v>317.9921026448269</v>
      </c>
      <c r="AC17" s="7885"/>
      <c r="AD17" s="1148">
        <v>328</v>
      </c>
      <c r="AE17" s="7887"/>
      <c r="AF17" s="1184">
        <f>+((AB17*AB11)+(AD11*AD17))/(AB11+AD11)</f>
        <v>319.46453635275566</v>
      </c>
      <c r="AG17" s="7885"/>
      <c r="AH17" s="1148">
        <v>0</v>
      </c>
      <c r="AI17" s="7887"/>
      <c r="AJ17" s="1184">
        <f>+((AF17*AF11)+(AH11*AH17))/(AF11+AH11)</f>
        <v>318.55473156439047</v>
      </c>
      <c r="AK17" s="7885"/>
      <c r="AL17" s="1148">
        <v>327</v>
      </c>
      <c r="AM17" s="7898">
        <f t="shared" si="7"/>
        <v>0</v>
      </c>
      <c r="AN17" s="1165">
        <f>+((AD17*AD11)+(AH11*AH17)+(AL11*AL17))/AN11</f>
        <v>324.29916090604758</v>
      </c>
      <c r="AO17" s="7887"/>
      <c r="AP17" s="1184">
        <f>+((AJ17*AJ11)+(AL11*AL17))/(AJ11+AL11)</f>
        <v>319.59791011733455</v>
      </c>
      <c r="AQ17" s="7885"/>
      <c r="AR17" s="1148">
        <v>311.91000000000003</v>
      </c>
      <c r="AS17" s="7887"/>
      <c r="AT17" s="1184">
        <f>+((AP17*AP11)+(AR11*AR17))/(AP11+AR11)</f>
        <v>318.71330699945639</v>
      </c>
      <c r="AU17" s="7885"/>
      <c r="AV17" s="1148">
        <v>297.77</v>
      </c>
      <c r="AW17" s="7887"/>
      <c r="AX17" s="1184">
        <f>+((AT17*AT11)+(AV11*AV17))/(AT11+AV11)</f>
        <v>316.67739138124676</v>
      </c>
      <c r="AY17" s="7885"/>
      <c r="AZ17" s="1148">
        <v>326.2</v>
      </c>
      <c r="BA17" s="7898">
        <f t="shared" si="8"/>
        <v>0</v>
      </c>
      <c r="BB17" s="1165">
        <f>+((AR17*AR11)+(AV11*AV17)+(AZ11*AZ17))/BB11</f>
        <v>312.56597953652062</v>
      </c>
      <c r="BC17" s="7907"/>
      <c r="BD17" s="1167">
        <f>(AN17*AN$11+BB17*BB$11)/BD$11</f>
        <v>317.20025826614801</v>
      </c>
      <c r="BE17" s="7910"/>
      <c r="BF17" s="1184">
        <f>+((AX17*AX11)+(AZ11*AZ17))/(AX11+AZ11)</f>
        <v>317.62488614237878</v>
      </c>
      <c r="BG17" s="26"/>
      <c r="BH17" s="26"/>
      <c r="BI17" s="4713"/>
      <c r="BJ17" s="4713"/>
      <c r="BK17" s="26"/>
    </row>
    <row r="18" spans="1:63" ht="15.75" x14ac:dyDescent="0.25">
      <c r="A18" s="149"/>
      <c r="B18" s="149"/>
      <c r="C18" s="3274" t="s">
        <v>699</v>
      </c>
      <c r="D18" s="7896"/>
      <c r="E18" s="7892"/>
      <c r="F18" s="1148">
        <v>320.18</v>
      </c>
      <c r="G18" s="7892"/>
      <c r="H18" s="1148">
        <v>323.5</v>
      </c>
      <c r="I18" s="7887"/>
      <c r="J18" s="1184">
        <f>+((F18*F11)+(H11*H18))/(F11+H11)</f>
        <v>321.94405661844763</v>
      </c>
      <c r="K18" s="7892"/>
      <c r="L18" s="1148">
        <v>316</v>
      </c>
      <c r="M18" s="7898">
        <f t="shared" si="5"/>
        <v>0</v>
      </c>
      <c r="N18" s="1165">
        <f>+((F18*F11)+(H11*H18)+(L11*L18))/N11</f>
        <v>320.38144530162316</v>
      </c>
      <c r="O18" s="7892"/>
      <c r="P18" s="1148">
        <v>326</v>
      </c>
      <c r="Q18" s="7887"/>
      <c r="R18" s="1184">
        <f>+((N18*N11)+(P11*P18))/(N11+P11)</f>
        <v>322.01998398849025</v>
      </c>
      <c r="S18" s="7892"/>
      <c r="T18" s="1148">
        <v>322</v>
      </c>
      <c r="U18" s="7887"/>
      <c r="V18" s="1184">
        <f>+((R18*R11)+(T11*T18))/(R11+T11)</f>
        <v>322.01566697290264</v>
      </c>
      <c r="W18" s="7892"/>
      <c r="X18" s="1148">
        <v>333</v>
      </c>
      <c r="Y18" s="7898">
        <f t="shared" si="6"/>
        <v>0</v>
      </c>
      <c r="Z18" s="1165">
        <f>+((P18*P11)+(T11*T18)+(X11*X18))/Z11</f>
        <v>327.06201697792869</v>
      </c>
      <c r="AA18" s="7907"/>
      <c r="AB18" s="1167">
        <f t="shared" si="9"/>
        <v>324.03354207814192</v>
      </c>
      <c r="AC18" s="7885"/>
      <c r="AD18" s="1148">
        <v>331</v>
      </c>
      <c r="AE18" s="7887"/>
      <c r="AF18" s="1184">
        <f>+((AB18*AB11)+(AD11*AD18))/(AB11+AD11)</f>
        <v>325.05849738143633</v>
      </c>
      <c r="AG18" s="7885"/>
      <c r="AH18" s="1148">
        <v>328</v>
      </c>
      <c r="AI18" s="7887"/>
      <c r="AJ18" s="1184">
        <f>+((AF18*AF11)+(AH11*AH18))/(AF11+AH11)</f>
        <v>325.06687450272159</v>
      </c>
      <c r="AK18" s="7885"/>
      <c r="AL18" s="1148">
        <v>326</v>
      </c>
      <c r="AM18" s="7898">
        <f t="shared" si="7"/>
        <v>0</v>
      </c>
      <c r="AN18" s="1165">
        <f>+((AD18*AD11)+(AH11*AH18)+(AL11*AL18))/AN11</f>
        <v>328.54482413808097</v>
      </c>
      <c r="AO18" s="7887"/>
      <c r="AP18" s="1184">
        <f>+((AJ18*AJ11)+(AL11*AL18))/(AJ11+AL11)</f>
        <v>325.18213626300638</v>
      </c>
      <c r="AQ18" s="7885"/>
      <c r="AR18" s="1148">
        <v>309.5</v>
      </c>
      <c r="AS18" s="7887"/>
      <c r="AT18" s="1184">
        <f>+((AP18*AP11)+(AR11*AR18))/(AP11+AR11)</f>
        <v>323.37768402286292</v>
      </c>
      <c r="AU18" s="7885"/>
      <c r="AV18" s="1148">
        <v>301.88</v>
      </c>
      <c r="AW18" s="7887"/>
      <c r="AX18" s="1184">
        <f>+((AT18*AT11)+(AV11*AV18))/(AT11+AV11)</f>
        <v>321.28787697096715</v>
      </c>
      <c r="AY18" s="7885"/>
      <c r="AZ18" s="1148">
        <v>324.51</v>
      </c>
      <c r="BA18" s="7898">
        <f t="shared" si="8"/>
        <v>0</v>
      </c>
      <c r="BB18" s="1165">
        <f>+((AR18*AR11)+(AV11*AV18)+(AZ11*AZ18))/BB11</f>
        <v>312.44548072147251</v>
      </c>
      <c r="BC18" s="7907"/>
      <c r="BD18" s="1167">
        <f>(AN18*AN$11+BB18*BB$11)/BD$11</f>
        <v>318.80427143703474</v>
      </c>
      <c r="BE18" s="7910"/>
      <c r="BF18" s="1184">
        <f>+((AX18*AX11)+(AZ11*AZ18))/(AX11+AZ11)</f>
        <v>321.60847658940776</v>
      </c>
      <c r="BG18" s="26"/>
      <c r="BH18" s="26"/>
      <c r="BI18" s="4713"/>
      <c r="BJ18" s="4713"/>
      <c r="BK18" s="26"/>
    </row>
    <row r="19" spans="1:63" ht="16.5" thickBot="1" x14ac:dyDescent="0.3">
      <c r="A19" s="149"/>
      <c r="B19" s="149"/>
      <c r="C19" s="3793" t="s">
        <v>700</v>
      </c>
      <c r="D19" s="7897"/>
      <c r="E19" s="7893"/>
      <c r="F19" s="3794">
        <v>258.51</v>
      </c>
      <c r="G19" s="7893"/>
      <c r="H19" s="3794">
        <v>260.48</v>
      </c>
      <c r="I19" s="7904"/>
      <c r="J19" s="3795">
        <f>+((F19*F11)+(H11*H19))/(F11+H11)</f>
        <v>259.55674443925966</v>
      </c>
      <c r="K19" s="7893"/>
      <c r="L19" s="3794">
        <v>278</v>
      </c>
      <c r="M19" s="7898">
        <f t="shared" si="5"/>
        <v>0</v>
      </c>
      <c r="N19" s="1165">
        <f>+((F19*F11)+(H11*H19)+(L11*L19))/N11</f>
        <v>264.40522447709372</v>
      </c>
      <c r="O19" s="7893"/>
      <c r="P19" s="3794">
        <v>286</v>
      </c>
      <c r="Q19" s="7887"/>
      <c r="R19" s="1184">
        <f>+((N19*N11)+(P11*P19))/(N11+P11)</f>
        <v>270.70290724926906</v>
      </c>
      <c r="S19" s="7893"/>
      <c r="T19" s="3794">
        <v>278</v>
      </c>
      <c r="U19" s="7887"/>
      <c r="V19" s="1184">
        <f>+((R19*R11)+(T11*T19))/(R11+T11)</f>
        <v>272.27925239000518</v>
      </c>
      <c r="W19" s="7893"/>
      <c r="X19" s="3794">
        <v>281</v>
      </c>
      <c r="Y19" s="7898">
        <f t="shared" si="6"/>
        <v>0</v>
      </c>
      <c r="Z19" s="1165">
        <f>+((P19*P11)+(T11*T19)+(X11*X19))/Z11</f>
        <v>281.73925976230902</v>
      </c>
      <c r="AA19" s="7907"/>
      <c r="AB19" s="1167">
        <f t="shared" si="9"/>
        <v>273.88129590579013</v>
      </c>
      <c r="AC19" s="7886"/>
      <c r="AD19" s="3794">
        <v>274</v>
      </c>
      <c r="AE19" s="7887"/>
      <c r="AF19" s="1184">
        <f>+((AB19*AB11)+(AD11*AD19))/(AB11+AD11)</f>
        <v>273.89876050433475</v>
      </c>
      <c r="AG19" s="7886"/>
      <c r="AH19" s="3794">
        <v>270</v>
      </c>
      <c r="AI19" s="7887"/>
      <c r="AJ19" s="1184">
        <f>+((AF19*AF11)+(AH11*AH19))/(AF11+AH11)</f>
        <v>273.88765720311693</v>
      </c>
      <c r="AK19" s="7886"/>
      <c r="AL19" s="3794">
        <v>269</v>
      </c>
      <c r="AM19" s="7898">
        <f t="shared" si="7"/>
        <v>0</v>
      </c>
      <c r="AN19" s="1165">
        <f>+((AD19*AD11)+(AH11*AH19)+(AL11*AL19))/AN11</f>
        <v>271.53502021651235</v>
      </c>
      <c r="AO19" s="7887"/>
      <c r="AP19" s="1184">
        <f>+((AJ19*AJ11)+(AL11*AL19))/(AJ11+AL11)</f>
        <v>273.28392279167588</v>
      </c>
      <c r="AQ19" s="7886"/>
      <c r="AR19" s="3794">
        <v>259.66000000000003</v>
      </c>
      <c r="AS19" s="7887"/>
      <c r="AT19" s="1184">
        <f>+((AP19*AP11)+(AR11*AR19))/(AP11+AR11)</f>
        <v>271.71629720873966</v>
      </c>
      <c r="AU19" s="7886"/>
      <c r="AV19" s="3794">
        <v>250</v>
      </c>
      <c r="AW19" s="7887"/>
      <c r="AX19" s="1184">
        <f>+((AT19*AT11)+(AV11*AV19))/(AT11+AV11)</f>
        <v>269.60523859425712</v>
      </c>
      <c r="AY19" s="7886"/>
      <c r="AZ19" s="3794">
        <v>273.87</v>
      </c>
      <c r="BA19" s="7898">
        <f t="shared" si="8"/>
        <v>0</v>
      </c>
      <c r="BB19" s="1165">
        <f>+((AR19*AR11)+(AV11*AV19)+(AZ11*AZ19))/BB11</f>
        <v>261.68532518767654</v>
      </c>
      <c r="BC19" s="7907"/>
      <c r="BD19" s="1167">
        <f>(AN19*AN$11+BB19*BB$11)/BD$11</f>
        <v>265.57567945118444</v>
      </c>
      <c r="BE19" s="7910"/>
      <c r="BF19" s="1184">
        <f>+((AX19*AX11)+(AZ11*AZ19))/(AX11+AZ11)</f>
        <v>270.02958020601483</v>
      </c>
      <c r="BG19" s="26"/>
      <c r="BH19" s="26"/>
      <c r="BI19" s="4713"/>
      <c r="BJ19" s="4713"/>
      <c r="BK19" s="26"/>
    </row>
    <row r="20" spans="1:63" ht="15.75" x14ac:dyDescent="0.25">
      <c r="A20" s="149"/>
      <c r="B20" s="149"/>
      <c r="C20" s="3788" t="s">
        <v>526</v>
      </c>
      <c r="D20" s="3789"/>
      <c r="E20" s="3790"/>
      <c r="F20" s="3789"/>
      <c r="G20" s="3790"/>
      <c r="H20" s="3789"/>
      <c r="I20" s="3791"/>
      <c r="J20" s="3792"/>
      <c r="K20" s="3790"/>
      <c r="L20" s="3789"/>
      <c r="M20" s="3292"/>
      <c r="N20" s="3293"/>
      <c r="O20" s="3790"/>
      <c r="P20" s="3789"/>
      <c r="Q20" s="3298"/>
      <c r="R20" s="3299"/>
      <c r="S20" s="3790"/>
      <c r="T20" s="3789"/>
      <c r="U20" s="3298"/>
      <c r="V20" s="3299"/>
      <c r="W20" s="3790"/>
      <c r="X20" s="3789"/>
      <c r="Y20" s="3292"/>
      <c r="Z20" s="3293"/>
      <c r="AA20" s="3285"/>
      <c r="AB20" s="3286"/>
      <c r="AC20" s="3790"/>
      <c r="AD20" s="3789"/>
      <c r="AE20" s="3298"/>
      <c r="AF20" s="3299"/>
      <c r="AG20" s="3790"/>
      <c r="AH20" s="3789"/>
      <c r="AI20" s="3298"/>
      <c r="AJ20" s="3299"/>
      <c r="AK20" s="3790"/>
      <c r="AL20" s="3789"/>
      <c r="AM20" s="3292"/>
      <c r="AN20" s="3293"/>
      <c r="AO20" s="3298"/>
      <c r="AP20" s="3299"/>
      <c r="AQ20" s="3790"/>
      <c r="AR20" s="3789"/>
      <c r="AS20" s="3298"/>
      <c r="AT20" s="3299"/>
      <c r="AU20" s="3790"/>
      <c r="AV20" s="3789"/>
      <c r="AW20" s="3298"/>
      <c r="AX20" s="3299"/>
      <c r="AY20" s="3790"/>
      <c r="AZ20" s="3789"/>
      <c r="BA20" s="3292"/>
      <c r="BB20" s="3293"/>
      <c r="BC20" s="3285"/>
      <c r="BD20" s="3286"/>
      <c r="BE20" s="3298"/>
      <c r="BF20" s="3299"/>
      <c r="BG20" s="26"/>
      <c r="BH20" s="26"/>
      <c r="BI20" s="4713"/>
      <c r="BJ20" s="4713"/>
      <c r="BK20" s="26"/>
    </row>
    <row r="21" spans="1:63" ht="15.75" x14ac:dyDescent="0.25">
      <c r="A21" s="149"/>
      <c r="B21" s="149"/>
      <c r="C21" s="3445" t="s">
        <v>527</v>
      </c>
      <c r="D21" s="3444" t="s">
        <v>50</v>
      </c>
      <c r="E21" s="1603">
        <f>+E33*$E$36/1000</f>
        <v>12412.731600883772</v>
      </c>
      <c r="F21" s="3444">
        <v>15819</v>
      </c>
      <c r="G21" s="1603">
        <f>+G33*$E$36/1000</f>
        <v>12808.198955750644</v>
      </c>
      <c r="H21" s="7233">
        <v>14184</v>
      </c>
      <c r="I21" s="3446">
        <f>+E21+G21</f>
        <v>25220.930556634416</v>
      </c>
      <c r="J21" s="1183">
        <f>+F21+H21</f>
        <v>30003</v>
      </c>
      <c r="K21" s="1603">
        <f>+K33*$E$36/1000</f>
        <v>7319.1213972587957</v>
      </c>
      <c r="L21" s="4615">
        <v>10749</v>
      </c>
      <c r="M21" s="1163">
        <f>E21+G21+K21</f>
        <v>32540.051953893213</v>
      </c>
      <c r="N21" s="1164">
        <f>F21+H21+L21</f>
        <v>40752</v>
      </c>
      <c r="O21" s="1603">
        <f>+O33*$E$36/1000</f>
        <v>3333.6079238526918</v>
      </c>
      <c r="P21" s="4852">
        <v>16615</v>
      </c>
      <c r="Q21" s="3256">
        <f>+M21+O21</f>
        <v>35873.659877745908</v>
      </c>
      <c r="R21" s="1183">
        <f>+N21+P21</f>
        <v>57367</v>
      </c>
      <c r="S21" s="1603">
        <f>+S33*$E$36/1000</f>
        <v>11834.061195756769</v>
      </c>
      <c r="T21" s="4970">
        <v>16522</v>
      </c>
      <c r="U21" s="4967">
        <f>+Q21+S21</f>
        <v>47707.721073502675</v>
      </c>
      <c r="V21" s="1183">
        <f>+R21+T21</f>
        <v>73889</v>
      </c>
      <c r="W21" s="1603">
        <f>+W33*$E$36/1000</f>
        <v>11438.966923300142</v>
      </c>
      <c r="X21" s="5101">
        <v>15447</v>
      </c>
      <c r="Y21" s="1163">
        <f>O21+S21+W21</f>
        <v>26606.636042909602</v>
      </c>
      <c r="Z21" s="1164">
        <f>P21+T21+X21</f>
        <v>48584</v>
      </c>
      <c r="AA21" s="1166">
        <f>+U21+W21</f>
        <v>59146.687996802815</v>
      </c>
      <c r="AB21" s="1168">
        <f>+V21+X21</f>
        <v>89336</v>
      </c>
      <c r="AC21" s="1603">
        <f>+AC33*$E$36/1000</f>
        <v>12327.929036327541</v>
      </c>
      <c r="AD21" s="5379">
        <v>13416</v>
      </c>
      <c r="AE21" s="3256">
        <f>+AA21+AC21</f>
        <v>71474.617033130358</v>
      </c>
      <c r="AF21" s="1183">
        <f>+AB21+AD21</f>
        <v>102752</v>
      </c>
      <c r="AG21" s="1603">
        <f>+AG33*$E$36/1000</f>
        <v>11932.834763870913</v>
      </c>
      <c r="AH21" s="5579">
        <v>155</v>
      </c>
      <c r="AI21" s="5577">
        <f>+AE21+AG21</f>
        <v>83407.451797001268</v>
      </c>
      <c r="AJ21" s="1183">
        <f>+AF21+AH21</f>
        <v>102907</v>
      </c>
      <c r="AK21" s="1603">
        <f>+AK33*$E$36/1000</f>
        <v>12327.929036327541</v>
      </c>
      <c r="AL21" s="5999">
        <v>10507</v>
      </c>
      <c r="AM21" s="1163">
        <f>AC21+AG21+AK21</f>
        <v>36588.692836525996</v>
      </c>
      <c r="AN21" s="1164">
        <f>AD21+AH21+AL21</f>
        <v>24078</v>
      </c>
      <c r="AO21" s="3256">
        <f>+AI21+AK21</f>
        <v>95735.380833328803</v>
      </c>
      <c r="AP21" s="1183">
        <f>+AJ21+AL21</f>
        <v>113414</v>
      </c>
      <c r="AQ21" s="1603">
        <f>+AQ33*$E$36/1000</f>
        <v>12327.929036327541</v>
      </c>
      <c r="AR21" s="6122">
        <v>15276</v>
      </c>
      <c r="AS21" s="3256">
        <f>+AO21+AQ21</f>
        <v>108063.30986965634</v>
      </c>
      <c r="AT21" s="1183">
        <f>+AP21+AR21</f>
        <v>128690</v>
      </c>
      <c r="AU21" s="1603">
        <f>+AU33*$E$36/1000</f>
        <v>11093.259434900585</v>
      </c>
      <c r="AV21" s="6327">
        <v>14243</v>
      </c>
      <c r="AW21" s="6328">
        <f>+AS21+AU21</f>
        <v>119156.56930455692</v>
      </c>
      <c r="AX21" s="1183">
        <f>+AT21+AV21</f>
        <v>142933</v>
      </c>
      <c r="AY21" s="1603">
        <f>+AY33*$E$36/1000</f>
        <v>12327.929036327541</v>
      </c>
      <c r="AZ21" s="6465">
        <v>18399</v>
      </c>
      <c r="BA21" s="1163">
        <f>AQ21+AU21+AY21</f>
        <v>35749.117507555668</v>
      </c>
      <c r="BB21" s="1164">
        <f>AR21+AV21+AZ21</f>
        <v>47918</v>
      </c>
      <c r="BC21" s="1166">
        <f t="shared" ref="BC21:BC22" si="10">AM21+BA21</f>
        <v>72337.810344081663</v>
      </c>
      <c r="BD21" s="1166">
        <f t="shared" ref="BD21:BD22" si="11">AN21+BB21</f>
        <v>71996</v>
      </c>
      <c r="BE21" s="3256">
        <f>+AW21+AY21</f>
        <v>131484.49834088446</v>
      </c>
      <c r="BF21" s="1183">
        <f>+AX21+AZ21</f>
        <v>161332</v>
      </c>
      <c r="BG21" s="26"/>
      <c r="BH21" s="26"/>
      <c r="BI21" s="4713"/>
      <c r="BJ21" s="4713"/>
      <c r="BK21" s="26"/>
    </row>
    <row r="22" spans="1:63" ht="15.75" x14ac:dyDescent="0.25">
      <c r="A22" s="149"/>
      <c r="B22" s="149"/>
      <c r="C22" s="7903" t="s">
        <v>521</v>
      </c>
      <c r="D22" s="3444" t="s">
        <v>50</v>
      </c>
      <c r="E22" s="1603">
        <f>+E21*E23/100</f>
        <v>2482.5463201767543</v>
      </c>
      <c r="F22" s="3444">
        <v>5378</v>
      </c>
      <c r="G22" s="1603">
        <f>+G21*G23/100</f>
        <v>2561.639791150129</v>
      </c>
      <c r="H22" s="7233">
        <v>3120</v>
      </c>
      <c r="I22" s="3446">
        <f>+E22+G22</f>
        <v>5044.1861113268833</v>
      </c>
      <c r="J22" s="1183">
        <f>+F22+H22</f>
        <v>8498</v>
      </c>
      <c r="K22" s="1603">
        <f>+K21*K23/100</f>
        <v>1463.8242794517591</v>
      </c>
      <c r="L22" s="4615">
        <v>3655</v>
      </c>
      <c r="M22" s="1163">
        <f>E22+G22+K22</f>
        <v>6508.0103907786424</v>
      </c>
      <c r="N22" s="1164">
        <f>F22+H22+L22</f>
        <v>12153</v>
      </c>
      <c r="O22" s="1603">
        <f>+O21*O23/100</f>
        <v>666.72158477053836</v>
      </c>
      <c r="P22" s="4852">
        <v>4154</v>
      </c>
      <c r="Q22" s="3256">
        <f>+M22+O22</f>
        <v>7174.7319755491808</v>
      </c>
      <c r="R22" s="1183">
        <f>+N22+P22</f>
        <v>16307</v>
      </c>
      <c r="S22" s="1603">
        <f>+S21*S23/100</f>
        <v>2366.8122391513539</v>
      </c>
      <c r="T22" s="4970">
        <v>4957</v>
      </c>
      <c r="U22" s="4967">
        <f>+Q22+S22</f>
        <v>9541.5442147005342</v>
      </c>
      <c r="V22" s="1183">
        <f>+R22+T22</f>
        <v>21264</v>
      </c>
      <c r="W22" s="1603">
        <f>+W21*W23/100</f>
        <v>2287.7933846600286</v>
      </c>
      <c r="X22" s="5101">
        <v>4480</v>
      </c>
      <c r="Y22" s="1163">
        <f>O22+S22+W22</f>
        <v>5321.3272085819208</v>
      </c>
      <c r="Z22" s="1164">
        <f>P22+T22+X22</f>
        <v>13591</v>
      </c>
      <c r="AA22" s="1166">
        <f>+U22+W22</f>
        <v>11829.337599360562</v>
      </c>
      <c r="AB22" s="1168">
        <f>+V22+X22</f>
        <v>25744</v>
      </c>
      <c r="AC22" s="1603">
        <f>+AC21*AC23/100</f>
        <v>2465.5858072655083</v>
      </c>
      <c r="AD22" s="5379">
        <v>2683</v>
      </c>
      <c r="AE22" s="3256">
        <f>+AA22+AC22</f>
        <v>14294.923406626071</v>
      </c>
      <c r="AF22" s="1183">
        <f>+AB22+AD22</f>
        <v>28427</v>
      </c>
      <c r="AG22" s="1603">
        <f>+AG21*AG23/100</f>
        <v>2386.5669527741825</v>
      </c>
      <c r="AH22" s="5579">
        <v>145</v>
      </c>
      <c r="AI22" s="5577">
        <f>+AE22+AG22</f>
        <v>16681.490359400254</v>
      </c>
      <c r="AJ22" s="1183">
        <f>+AF22+AH22</f>
        <v>28572</v>
      </c>
      <c r="AK22" s="1603">
        <f>+AK21*AK23/100</f>
        <v>2465.5858072655083</v>
      </c>
      <c r="AL22" s="5999">
        <v>2669</v>
      </c>
      <c r="AM22" s="1163">
        <f>AC22+AG22+AK22</f>
        <v>7317.7385673051995</v>
      </c>
      <c r="AN22" s="1164">
        <f>AD22+AH22+AL22</f>
        <v>5497</v>
      </c>
      <c r="AO22" s="3256">
        <f>+AI22+AK22</f>
        <v>19147.076166665764</v>
      </c>
      <c r="AP22" s="1183">
        <f>+AJ22+AL22</f>
        <v>31241</v>
      </c>
      <c r="AQ22" s="1603">
        <f>+AQ21*AQ23/100</f>
        <v>2465.5858072655083</v>
      </c>
      <c r="AR22" s="6122">
        <v>3055</v>
      </c>
      <c r="AS22" s="3256">
        <f>+AO22+AQ22</f>
        <v>21612.661973931274</v>
      </c>
      <c r="AT22" s="1183">
        <f>+AP22+AR22</f>
        <v>34296</v>
      </c>
      <c r="AU22" s="1603">
        <f>+AU21*AU23/100</f>
        <v>2218.6518869801166</v>
      </c>
      <c r="AV22" s="6327">
        <v>2849</v>
      </c>
      <c r="AW22" s="6328">
        <f>+AS22+AU22</f>
        <v>23831.313860911388</v>
      </c>
      <c r="AX22" s="1183">
        <f>+AT22+AV22</f>
        <v>37145</v>
      </c>
      <c r="AY22" s="1603">
        <f>+AY21*AY23/100</f>
        <v>2465.5858072655083</v>
      </c>
      <c r="AZ22" s="6465">
        <v>5324</v>
      </c>
      <c r="BA22" s="1163">
        <f>AQ22+AU22+AY22</f>
        <v>7149.8235015111331</v>
      </c>
      <c r="BB22" s="1164">
        <f>AR22+AV22+AZ22</f>
        <v>11228</v>
      </c>
      <c r="BC22" s="1166">
        <f t="shared" si="10"/>
        <v>14467.562068816333</v>
      </c>
      <c r="BD22" s="1166">
        <f t="shared" si="11"/>
        <v>16725</v>
      </c>
      <c r="BE22" s="3256">
        <f>+AW22+AY22</f>
        <v>26296.899668176899</v>
      </c>
      <c r="BF22" s="1183">
        <f>+AX22+AZ22</f>
        <v>42469</v>
      </c>
      <c r="BG22" s="26"/>
      <c r="BH22" s="26"/>
      <c r="BI22" s="4713"/>
      <c r="BJ22" s="4713"/>
      <c r="BK22" s="26"/>
    </row>
    <row r="23" spans="1:63" ht="15.75" x14ac:dyDescent="0.25">
      <c r="A23" s="149"/>
      <c r="B23" s="149"/>
      <c r="C23" s="7903"/>
      <c r="D23" s="3444" t="s">
        <v>49</v>
      </c>
      <c r="E23" s="3442">
        <v>20</v>
      </c>
      <c r="F23" s="1162">
        <f>+F22/F21*100</f>
        <v>33.997092104431381</v>
      </c>
      <c r="G23" s="7232">
        <v>20</v>
      </c>
      <c r="H23" s="1162">
        <f>+H22/H21*100</f>
        <v>21.996615905245349</v>
      </c>
      <c r="I23" s="3443">
        <f>+I22/I21*100</f>
        <v>20</v>
      </c>
      <c r="J23" s="3297">
        <f>+J22/J21*100</f>
        <v>28.323834283238341</v>
      </c>
      <c r="K23" s="4614">
        <v>20</v>
      </c>
      <c r="L23" s="1162">
        <f>+L22/L21*100</f>
        <v>34.00316308493813</v>
      </c>
      <c r="M23" s="3257">
        <f>+M22/M21*100</f>
        <v>20</v>
      </c>
      <c r="N23" s="3291">
        <f>+N22/N21*100</f>
        <v>29.821849234393405</v>
      </c>
      <c r="O23" s="4851">
        <v>20</v>
      </c>
      <c r="P23" s="1162">
        <f>+P22/P21*100</f>
        <v>25.00150466445983</v>
      </c>
      <c r="Q23" s="3259">
        <f>+Q22/Q21*100</f>
        <v>20</v>
      </c>
      <c r="R23" s="3297">
        <f>+R22/R21*100</f>
        <v>28.425749995642093</v>
      </c>
      <c r="S23" s="4966">
        <v>20</v>
      </c>
      <c r="T23" s="1162">
        <f>+T22/T21*100</f>
        <v>30.002421014405034</v>
      </c>
      <c r="U23" s="4968">
        <f>+U22/U21*100</f>
        <v>20</v>
      </c>
      <c r="V23" s="3297">
        <f>+V22/V21*100</f>
        <v>28.778302589018661</v>
      </c>
      <c r="W23" s="5100">
        <v>20</v>
      </c>
      <c r="X23" s="1162">
        <f>+X22/X21*100</f>
        <v>29.002395287110765</v>
      </c>
      <c r="Y23" s="3257">
        <f>+Y22/Y21*100</f>
        <v>20</v>
      </c>
      <c r="Z23" s="3291">
        <f>+Z22/Z21*100</f>
        <v>27.974230199242552</v>
      </c>
      <c r="AA23" s="1166">
        <f>+AA22/AA21*100</f>
        <v>20</v>
      </c>
      <c r="AB23" s="3284">
        <f>+AB22/AB21*100</f>
        <v>28.817050237306347</v>
      </c>
      <c r="AC23" s="5377">
        <v>20</v>
      </c>
      <c r="AD23" s="1162">
        <f>+AD22/AD21*100</f>
        <v>19.998509242695288</v>
      </c>
      <c r="AE23" s="3259">
        <f>+AE22/AE21*100</f>
        <v>20</v>
      </c>
      <c r="AF23" s="3297">
        <f>+AF22/AF21*100</f>
        <v>27.665641544690128</v>
      </c>
      <c r="AG23" s="5576">
        <v>20</v>
      </c>
      <c r="AH23" s="1162">
        <f>+AH22/AH21*100</f>
        <v>93.548387096774192</v>
      </c>
      <c r="AI23" s="5578">
        <f>+AI22/AI21*100</f>
        <v>20</v>
      </c>
      <c r="AJ23" s="3297">
        <f>+AJ22/AJ21*100</f>
        <v>27.764875081384162</v>
      </c>
      <c r="AK23" s="5998">
        <v>20</v>
      </c>
      <c r="AL23" s="1162">
        <f>+AL22/AL21*100</f>
        <v>25.402112877129536</v>
      </c>
      <c r="AM23" s="3257">
        <f>+AM22/AM21*100</f>
        <v>20</v>
      </c>
      <c r="AN23" s="3291">
        <f>+AN22/AN21*100</f>
        <v>22.829969266550378</v>
      </c>
      <c r="AO23" s="3259">
        <f>+AO22/AO21*100</f>
        <v>20.000000000000004</v>
      </c>
      <c r="AP23" s="3297">
        <f>+AP22/AP21*100</f>
        <v>27.545981977533639</v>
      </c>
      <c r="AQ23" s="6121">
        <v>20</v>
      </c>
      <c r="AR23" s="1162">
        <f>+AR22/AR21*100</f>
        <v>19.998690756742601</v>
      </c>
      <c r="AS23" s="3259">
        <f>+AS22/AS21*100</f>
        <v>20.000000000000007</v>
      </c>
      <c r="AT23" s="3297">
        <f>+AT22/AT21*100</f>
        <v>26.650089362032791</v>
      </c>
      <c r="AU23" s="6326">
        <v>20</v>
      </c>
      <c r="AV23" s="1162">
        <f>+AV22/AV21*100</f>
        <v>20.002808397107351</v>
      </c>
      <c r="AW23" s="6325">
        <f>+AW22/AW21*100</f>
        <v>20.000000000000004</v>
      </c>
      <c r="AX23" s="3297">
        <f>+AX22/AX21*100</f>
        <v>25.987700531018032</v>
      </c>
      <c r="AY23" s="6464">
        <v>20</v>
      </c>
      <c r="AZ23" s="1162">
        <f>+AZ22/AZ21*100</f>
        <v>28.936355236697647</v>
      </c>
      <c r="BA23" s="3257">
        <f t="shared" ref="BA23:BF23" si="12">+BA22/BA21*100</f>
        <v>20</v>
      </c>
      <c r="BB23" s="3291">
        <f t="shared" si="12"/>
        <v>23.431695813681706</v>
      </c>
      <c r="BC23" s="1166">
        <f t="shared" si="12"/>
        <v>20</v>
      </c>
      <c r="BD23" s="3284">
        <f t="shared" si="12"/>
        <v>23.230457247624869</v>
      </c>
      <c r="BE23" s="3259">
        <f t="shared" si="12"/>
        <v>20.000000000000007</v>
      </c>
      <c r="BF23" s="3297">
        <f t="shared" si="12"/>
        <v>26.323977884114747</v>
      </c>
      <c r="BG23" s="26"/>
      <c r="BH23" s="26"/>
      <c r="BI23" s="4713"/>
      <c r="BJ23" s="4713"/>
      <c r="BK23" s="26"/>
    </row>
    <row r="24" spans="1:63" ht="15.75" x14ac:dyDescent="0.25">
      <c r="A24" s="149"/>
      <c r="B24" s="149"/>
      <c r="C24" s="3445" t="s">
        <v>528</v>
      </c>
      <c r="D24" s="3444" t="s">
        <v>50</v>
      </c>
      <c r="E24" s="1603">
        <f>+E21-E22</f>
        <v>9930.1852807070172</v>
      </c>
      <c r="F24" s="3444">
        <f>+F21-F22</f>
        <v>10441</v>
      </c>
      <c r="G24" s="1603">
        <f>+G21-G22</f>
        <v>10246.559164600516</v>
      </c>
      <c r="H24" s="7233">
        <f>+H21-H22</f>
        <v>11064</v>
      </c>
      <c r="I24" s="3446">
        <f>+E24+G24</f>
        <v>20176.744445307533</v>
      </c>
      <c r="J24" s="1183">
        <f>+F24+H24</f>
        <v>21505</v>
      </c>
      <c r="K24" s="1603">
        <f>+K21-K22</f>
        <v>5855.2971178070366</v>
      </c>
      <c r="L24" s="4615">
        <f>+L21-L22</f>
        <v>7094</v>
      </c>
      <c r="M24" s="1163">
        <f>E24+G24+K24</f>
        <v>26032.04156311457</v>
      </c>
      <c r="N24" s="1164">
        <f>F24+H24+L24</f>
        <v>28599</v>
      </c>
      <c r="O24" s="1603">
        <f>+O21-O22</f>
        <v>2666.8863390821534</v>
      </c>
      <c r="P24" s="4852">
        <f>+P21-P22</f>
        <v>12461</v>
      </c>
      <c r="Q24" s="3256">
        <f>+M24+O24</f>
        <v>28698.927902196723</v>
      </c>
      <c r="R24" s="1183">
        <f>+N24+P24</f>
        <v>41060</v>
      </c>
      <c r="S24" s="1603">
        <f>+S21-S22</f>
        <v>9467.2489566054155</v>
      </c>
      <c r="T24" s="4970">
        <f>+T21-T22</f>
        <v>11565</v>
      </c>
      <c r="U24" s="4967">
        <f>+Q24+S24</f>
        <v>38166.176858802137</v>
      </c>
      <c r="V24" s="1183">
        <f>+R24+T24</f>
        <v>52625</v>
      </c>
      <c r="W24" s="1603">
        <f>+W21-W22</f>
        <v>9151.1735386401142</v>
      </c>
      <c r="X24" s="5101">
        <f>+X21-X22</f>
        <v>10967</v>
      </c>
      <c r="Y24" s="1163">
        <f>O24+S24+W24</f>
        <v>21285.308834327683</v>
      </c>
      <c r="Z24" s="1164">
        <f>P24+T24+X24</f>
        <v>34993</v>
      </c>
      <c r="AA24" s="1166">
        <f>+U24+W24</f>
        <v>47317.350397442249</v>
      </c>
      <c r="AB24" s="1168">
        <f>+V24+X24</f>
        <v>63592</v>
      </c>
      <c r="AC24" s="1603">
        <f>+AC21-AC22</f>
        <v>9862.3432290620331</v>
      </c>
      <c r="AD24" s="5379">
        <f>+AD21-AD22</f>
        <v>10733</v>
      </c>
      <c r="AE24" s="3256">
        <f>+AA24+AC24</f>
        <v>57179.693626504282</v>
      </c>
      <c r="AF24" s="1183">
        <f>+AB24+AD24</f>
        <v>74325</v>
      </c>
      <c r="AG24" s="1603">
        <f>+AG21-AG22</f>
        <v>9546.2678110967299</v>
      </c>
      <c r="AH24" s="5579">
        <f>+AH21-AH22</f>
        <v>10</v>
      </c>
      <c r="AI24" s="5577">
        <f>+AE24+AG24</f>
        <v>66725.961437601014</v>
      </c>
      <c r="AJ24" s="1183">
        <f>+AF24+AH24</f>
        <v>74335</v>
      </c>
      <c r="AK24" s="1603">
        <f>+AK21-AK22</f>
        <v>9862.3432290620331</v>
      </c>
      <c r="AL24" s="5999">
        <f>+AL21-AL22</f>
        <v>7838</v>
      </c>
      <c r="AM24" s="1163">
        <f>AC24+AG24+AK24</f>
        <v>29270.954269220798</v>
      </c>
      <c r="AN24" s="1164">
        <f>AD24+AH24+AL24</f>
        <v>18581</v>
      </c>
      <c r="AO24" s="3256">
        <f>+AI24+AK24</f>
        <v>76588.304666663054</v>
      </c>
      <c r="AP24" s="1183">
        <f>+AJ24+AL24</f>
        <v>82173</v>
      </c>
      <c r="AQ24" s="1603">
        <f>+AQ21-AQ22</f>
        <v>9862.3432290620331</v>
      </c>
      <c r="AR24" s="6122">
        <f>+AR21-AR22</f>
        <v>12221</v>
      </c>
      <c r="AS24" s="3256">
        <f>+AO24+AQ24</f>
        <v>86450.647895725095</v>
      </c>
      <c r="AT24" s="1183">
        <f>+AP24+AR24</f>
        <v>94394</v>
      </c>
      <c r="AU24" s="1603">
        <f>+AU21-AU22</f>
        <v>8874.6075479204683</v>
      </c>
      <c r="AV24" s="6327">
        <f>+AV21-AV22</f>
        <v>11394</v>
      </c>
      <c r="AW24" s="6328">
        <f>+AS24+AU24</f>
        <v>95325.255443645568</v>
      </c>
      <c r="AX24" s="1183">
        <f>+AT24+AV24</f>
        <v>105788</v>
      </c>
      <c r="AY24" s="1603">
        <f>+AY21-AY22</f>
        <v>9862.3432290620331</v>
      </c>
      <c r="AZ24" s="6465">
        <f>+AZ21-AZ22</f>
        <v>13075</v>
      </c>
      <c r="BA24" s="1163">
        <f>AQ24+AU24+AY24</f>
        <v>28599.294006044533</v>
      </c>
      <c r="BB24" s="1164">
        <f>AR24+AV24+AZ24</f>
        <v>36690</v>
      </c>
      <c r="BC24" s="1166">
        <f t="shared" ref="BC24:BC25" si="13">AM24+BA24</f>
        <v>57870.24827526533</v>
      </c>
      <c r="BD24" s="1166">
        <f t="shared" ref="BD24:BD25" si="14">AN24+BB24</f>
        <v>55271</v>
      </c>
      <c r="BE24" s="3256">
        <f>+AW24+AY24</f>
        <v>105187.59867270759</v>
      </c>
      <c r="BF24" s="1183">
        <f>+AX24+AZ24</f>
        <v>118863</v>
      </c>
      <c r="BG24" s="26"/>
      <c r="BH24" s="26"/>
      <c r="BI24" s="4713"/>
      <c r="BJ24" s="4713"/>
      <c r="BK24" s="26"/>
    </row>
    <row r="25" spans="1:63" ht="15.75" x14ac:dyDescent="0.25">
      <c r="A25" s="149"/>
      <c r="B25" s="149"/>
      <c r="C25" s="3445" t="s">
        <v>562</v>
      </c>
      <c r="D25" s="3444" t="s">
        <v>50</v>
      </c>
      <c r="E25" s="1603">
        <f>+E24*E26/100</f>
        <v>5163.696345967649</v>
      </c>
      <c r="F25" s="3444">
        <v>5429</v>
      </c>
      <c r="G25" s="1603">
        <f>+G24*G26/100</f>
        <v>5328.2107655922682</v>
      </c>
      <c r="H25" s="7233">
        <v>5753</v>
      </c>
      <c r="I25" s="3446">
        <f>+E25+G25</f>
        <v>10491.907111559918</v>
      </c>
      <c r="J25" s="1183">
        <f>+F25+H25</f>
        <v>11182</v>
      </c>
      <c r="K25" s="1603">
        <f>+K24*K26/100</f>
        <v>3044.7545012596588</v>
      </c>
      <c r="L25" s="4615">
        <v>3689</v>
      </c>
      <c r="M25" s="1163">
        <f>E25+G25+K25</f>
        <v>13536.661612819576</v>
      </c>
      <c r="N25" s="1164">
        <f>F25+H25+L25</f>
        <v>14871</v>
      </c>
      <c r="O25" s="1603">
        <f>+O24*O26/100</f>
        <v>1386.7808963227196</v>
      </c>
      <c r="P25" s="4852">
        <v>6480</v>
      </c>
      <c r="Q25" s="3256">
        <f>+M25+O25</f>
        <v>14923.442509142296</v>
      </c>
      <c r="R25" s="1183">
        <f>+N25+P25</f>
        <v>21351</v>
      </c>
      <c r="S25" s="1603">
        <f>+S24*S26/100</f>
        <v>4922.9694574348159</v>
      </c>
      <c r="T25" s="4970">
        <v>6014</v>
      </c>
      <c r="U25" s="4967">
        <f>+Q25+S25</f>
        <v>19846.411966577114</v>
      </c>
      <c r="V25" s="1183">
        <f>+R25+T25</f>
        <v>27365</v>
      </c>
      <c r="W25" s="1603">
        <f>+W24*W26/100</f>
        <v>4758.6102400928594</v>
      </c>
      <c r="X25" s="5101">
        <v>5703</v>
      </c>
      <c r="Y25" s="1163">
        <f>O25+S25+W25</f>
        <v>11068.360593850395</v>
      </c>
      <c r="Z25" s="1164">
        <f>P25+T25+X25</f>
        <v>18197</v>
      </c>
      <c r="AA25" s="1166">
        <f>+U25+W25</f>
        <v>24605.022206669972</v>
      </c>
      <c r="AB25" s="1168">
        <f>+V25+X25</f>
        <v>33068</v>
      </c>
      <c r="AC25" s="1603">
        <f>+AC24*AC26/100</f>
        <v>5128.418479112257</v>
      </c>
      <c r="AD25" s="5379">
        <v>5581</v>
      </c>
      <c r="AE25" s="3256">
        <f>+AA25+AC25</f>
        <v>29733.440685782229</v>
      </c>
      <c r="AF25" s="1183">
        <f>+AB25+AD25</f>
        <v>38649</v>
      </c>
      <c r="AG25" s="1603">
        <f>+AG24*AG26/100</f>
        <v>4964.0592617702996</v>
      </c>
      <c r="AH25" s="5579">
        <v>0</v>
      </c>
      <c r="AI25" s="5577">
        <f>+AE25+AG25</f>
        <v>34697.499947552526</v>
      </c>
      <c r="AJ25" s="1183">
        <f>+AF25+AH25</f>
        <v>38649</v>
      </c>
      <c r="AK25" s="1603">
        <f>+AK24*AK26/100</f>
        <v>5128.418479112257</v>
      </c>
      <c r="AL25" s="5999">
        <v>4076</v>
      </c>
      <c r="AM25" s="1163">
        <f>AC25+AG25+AK25</f>
        <v>15220.896219994815</v>
      </c>
      <c r="AN25" s="1164">
        <f>AD25+AH25+AL25</f>
        <v>9657</v>
      </c>
      <c r="AO25" s="3256">
        <f>+AI25+AK25</f>
        <v>39825.918426664779</v>
      </c>
      <c r="AP25" s="1183">
        <f>+AJ25+AL25</f>
        <v>42725</v>
      </c>
      <c r="AQ25" s="1603">
        <f>+AQ24*AQ26/100</f>
        <v>5128.418479112257</v>
      </c>
      <c r="AR25" s="6122">
        <v>6355</v>
      </c>
      <c r="AS25" s="3256">
        <f>+AO25+AQ25</f>
        <v>44954.336905777032</v>
      </c>
      <c r="AT25" s="1183">
        <f>+AP25+AR25</f>
        <v>49080</v>
      </c>
      <c r="AU25" s="1603">
        <f>+AU24*AU26/100</f>
        <v>4614.7959249186433</v>
      </c>
      <c r="AV25" s="6327">
        <v>5925</v>
      </c>
      <c r="AW25" s="6328">
        <f>+AS25+AU25</f>
        <v>49569.132830695678</v>
      </c>
      <c r="AX25" s="1183">
        <f>+AT25+AV25</f>
        <v>55005</v>
      </c>
      <c r="AY25" s="1603">
        <f>+AY24*AY26/100</f>
        <v>5128.418479112257</v>
      </c>
      <c r="AZ25" s="6465">
        <v>6772</v>
      </c>
      <c r="BA25" s="1163">
        <f>AQ25+AU25+AY25</f>
        <v>14871.632883143157</v>
      </c>
      <c r="BB25" s="1164">
        <f>AR25+AV25+AZ25</f>
        <v>19052</v>
      </c>
      <c r="BC25" s="1166">
        <f t="shared" si="13"/>
        <v>30092.529103137971</v>
      </c>
      <c r="BD25" s="1166">
        <f t="shared" si="14"/>
        <v>28709</v>
      </c>
      <c r="BE25" s="3256">
        <f>+AW25+AY25</f>
        <v>54697.551309807939</v>
      </c>
      <c r="BF25" s="1183">
        <f>+AX25+AZ25</f>
        <v>61777</v>
      </c>
      <c r="BG25" s="26"/>
      <c r="BH25" s="26"/>
      <c r="BI25" s="4713"/>
      <c r="BJ25" s="4713"/>
      <c r="BK25" s="26"/>
    </row>
    <row r="26" spans="1:63" ht="15.75" x14ac:dyDescent="0.25">
      <c r="A26" s="149"/>
      <c r="B26" s="149"/>
      <c r="C26" s="3445" t="s">
        <v>529</v>
      </c>
      <c r="D26" s="3444" t="s">
        <v>49</v>
      </c>
      <c r="E26" s="3442">
        <v>52</v>
      </c>
      <c r="F26" s="1148">
        <f>+F25/F24*100</f>
        <v>51.996935159467483</v>
      </c>
      <c r="G26" s="7232">
        <v>52</v>
      </c>
      <c r="H26" s="1148">
        <f>+H25/H24*100</f>
        <v>51.997469269703544</v>
      </c>
      <c r="I26" s="3443">
        <f>+I25/I24*100</f>
        <v>52</v>
      </c>
      <c r="J26" s="3297">
        <f>+J25/J24*100</f>
        <v>51.997209951174149</v>
      </c>
      <c r="K26" s="4614">
        <v>52</v>
      </c>
      <c r="L26" s="1162">
        <f>+L25/L24*100</f>
        <v>52.001691570341137</v>
      </c>
      <c r="M26" s="3257">
        <f>+M25/M24*100</f>
        <v>52</v>
      </c>
      <c r="N26" s="3291">
        <f>+N25/N24*100</f>
        <v>51.998321619637053</v>
      </c>
      <c r="O26" s="4851">
        <v>52</v>
      </c>
      <c r="P26" s="1162">
        <f>+P25/P24*100</f>
        <v>52.002247010673294</v>
      </c>
      <c r="Q26" s="3259">
        <f>+Q25/Q24*100</f>
        <v>52</v>
      </c>
      <c r="R26" s="3297">
        <f>+R25/R24*100</f>
        <v>51.999512907939604</v>
      </c>
      <c r="S26" s="4966">
        <v>52</v>
      </c>
      <c r="T26" s="1162">
        <f>+T25/T24*100</f>
        <v>52.001729355814966</v>
      </c>
      <c r="U26" s="4968">
        <f>+U25/U24*100</f>
        <v>52.000000000000014</v>
      </c>
      <c r="V26" s="3297">
        <f>+V25/V24*100</f>
        <v>52</v>
      </c>
      <c r="W26" s="5100">
        <v>52</v>
      </c>
      <c r="X26" s="1162">
        <f>+X25/X24*100</f>
        <v>52.001458922221211</v>
      </c>
      <c r="Y26" s="3257">
        <f>+Y25/Y24*100</f>
        <v>52</v>
      </c>
      <c r="Z26" s="3291">
        <f>+Z25/Z24*100</f>
        <v>52.001828937216011</v>
      </c>
      <c r="AA26" s="1166">
        <f>+AA25/AA24*100</f>
        <v>52</v>
      </c>
      <c r="AB26" s="3284">
        <f>+AB25/AB24*100</f>
        <v>52.000251603975343</v>
      </c>
      <c r="AC26" s="5377">
        <v>52</v>
      </c>
      <c r="AD26" s="1162">
        <f>+AD25/AD24*100</f>
        <v>51.998509270474237</v>
      </c>
      <c r="AE26" s="3259">
        <f>+AE25/AE24*100</f>
        <v>52</v>
      </c>
      <c r="AF26" s="3297">
        <f>+AF25/AF24*100</f>
        <v>52</v>
      </c>
      <c r="AG26" s="5576">
        <v>52</v>
      </c>
      <c r="AH26" s="1162">
        <f>+AH25/AH24*100</f>
        <v>0</v>
      </c>
      <c r="AI26" s="5578">
        <f>+AI25/AI24*100</f>
        <v>52</v>
      </c>
      <c r="AJ26" s="3297">
        <f>+AJ25/AJ24*100</f>
        <v>51.993004641151543</v>
      </c>
      <c r="AK26" s="5998">
        <v>52</v>
      </c>
      <c r="AL26" s="1162">
        <f>+AL25/AL24*100</f>
        <v>52.003062005613678</v>
      </c>
      <c r="AM26" s="3257">
        <f>+AM25/AM24*100</f>
        <v>52</v>
      </c>
      <c r="AN26" s="3291">
        <f>+AN25/AN24*100</f>
        <v>51.97244497066896</v>
      </c>
      <c r="AO26" s="3259">
        <f>+AO25/AO24*100</f>
        <v>51.999999999999993</v>
      </c>
      <c r="AP26" s="3297">
        <f>+AP25/AP24*100</f>
        <v>51.993963954096841</v>
      </c>
      <c r="AQ26" s="6121">
        <v>52</v>
      </c>
      <c r="AR26" s="1162">
        <f>+AR25/AR24*100</f>
        <v>52.000654610915639</v>
      </c>
      <c r="AS26" s="3259">
        <f>+AS25/AS24*100</f>
        <v>51.999999999999979</v>
      </c>
      <c r="AT26" s="3297">
        <f>+AT25/AT24*100</f>
        <v>51.99483017988431</v>
      </c>
      <c r="AU26" s="6326">
        <v>52</v>
      </c>
      <c r="AV26" s="1162">
        <f>+AV25/AV24*100</f>
        <v>52.001053185887315</v>
      </c>
      <c r="AW26" s="6325">
        <f>+AW25/AW24*100</f>
        <v>51.999999999999979</v>
      </c>
      <c r="AX26" s="3297">
        <f>+AX25/AX24*100</f>
        <v>51.995500434831932</v>
      </c>
      <c r="AY26" s="6464">
        <v>52</v>
      </c>
      <c r="AZ26" s="1162">
        <f>+AZ25/AZ24*100</f>
        <v>51.79349904397705</v>
      </c>
      <c r="BA26" s="3257">
        <f t="shared" ref="BA26:BF26" si="15">+BA25/BA24*100</f>
        <v>52</v>
      </c>
      <c r="BB26" s="3291">
        <f t="shared" si="15"/>
        <v>51.926955573725806</v>
      </c>
      <c r="BC26" s="1166">
        <f t="shared" si="15"/>
        <v>52</v>
      </c>
      <c r="BD26" s="3284">
        <f t="shared" si="15"/>
        <v>51.942248195256099</v>
      </c>
      <c r="BE26" s="3259">
        <f t="shared" si="15"/>
        <v>51.999999999999993</v>
      </c>
      <c r="BF26" s="3297">
        <f t="shared" si="15"/>
        <v>51.973280162876591</v>
      </c>
      <c r="BG26" s="26"/>
      <c r="BH26" s="26"/>
      <c r="BI26" s="4713"/>
      <c r="BJ26" s="4713"/>
      <c r="BK26" s="26"/>
    </row>
    <row r="27" spans="1:63" ht="15.75" x14ac:dyDescent="0.25">
      <c r="A27" s="149"/>
      <c r="B27" s="149"/>
      <c r="C27" s="3445" t="s">
        <v>615</v>
      </c>
      <c r="D27" s="3444" t="s">
        <v>50</v>
      </c>
      <c r="E27" s="1603">
        <f>+E25*E28/100</f>
        <v>361.45874421773544</v>
      </c>
      <c r="F27" s="1148">
        <v>300</v>
      </c>
      <c r="G27" s="1603">
        <f>+G25*G28/100</f>
        <v>372.97475359145881</v>
      </c>
      <c r="H27" s="1148">
        <v>310</v>
      </c>
      <c r="I27" s="3446">
        <f>+E27+G27</f>
        <v>734.43349780919425</v>
      </c>
      <c r="J27" s="1184">
        <f>+F27+H27</f>
        <v>610</v>
      </c>
      <c r="K27" s="1603">
        <f>+K25*K28/100</f>
        <v>213.1328150881761</v>
      </c>
      <c r="L27" s="1148">
        <v>300</v>
      </c>
      <c r="M27" s="1163">
        <f>E27+G27+K27</f>
        <v>947.56631289737038</v>
      </c>
      <c r="N27" s="1165">
        <f>+J27+L27</f>
        <v>910</v>
      </c>
      <c r="O27" s="1603">
        <f>+O25*O28/100</f>
        <v>97.074662742590377</v>
      </c>
      <c r="P27" s="1148">
        <v>300</v>
      </c>
      <c r="Q27" s="3256">
        <f>+M27+O27</f>
        <v>1044.6409756399607</v>
      </c>
      <c r="R27" s="1184">
        <f>+N27+P27</f>
        <v>1210</v>
      </c>
      <c r="S27" s="1603">
        <f>+S25*S28/100</f>
        <v>344.6078620204371</v>
      </c>
      <c r="T27" s="1148">
        <v>310</v>
      </c>
      <c r="U27" s="4967">
        <f>+Q27+S27</f>
        <v>1389.2488376603978</v>
      </c>
      <c r="V27" s="1184">
        <f>+R27+T27</f>
        <v>1520</v>
      </c>
      <c r="W27" s="1603">
        <f>+W25*W28/100</f>
        <v>333.10271680650015</v>
      </c>
      <c r="X27" s="1148">
        <v>300</v>
      </c>
      <c r="Y27" s="1163">
        <f>O27+S27+W27</f>
        <v>774.78524156952767</v>
      </c>
      <c r="Z27" s="1164">
        <f>P27+T27+X27</f>
        <v>910</v>
      </c>
      <c r="AA27" s="1166">
        <f>+U27+W27</f>
        <v>1722.3515544668981</v>
      </c>
      <c r="AB27" s="1167">
        <f>+V27+X27</f>
        <v>1820</v>
      </c>
      <c r="AC27" s="1603">
        <f>+AC25*AC28/100</f>
        <v>358.98929353785803</v>
      </c>
      <c r="AD27" s="1148">
        <v>310</v>
      </c>
      <c r="AE27" s="3256">
        <f>+AA27+AC27</f>
        <v>2081.340848004756</v>
      </c>
      <c r="AF27" s="1184">
        <f>+AB27+AD27</f>
        <v>2130</v>
      </c>
      <c r="AG27" s="1603">
        <f>+AG25*AG28/100</f>
        <v>347.48414832392098</v>
      </c>
      <c r="AH27" s="1148">
        <v>10</v>
      </c>
      <c r="AI27" s="5577">
        <f>+AE27+AG27</f>
        <v>2428.8249963286771</v>
      </c>
      <c r="AJ27" s="1184">
        <f>+AF27+AH27</f>
        <v>2140</v>
      </c>
      <c r="AK27" s="1603">
        <f>+AK25*AK28/100</f>
        <v>358.98929353785803</v>
      </c>
      <c r="AL27" s="1148">
        <v>210</v>
      </c>
      <c r="AM27" s="1163">
        <f>AC27+AG27+AK27</f>
        <v>1065.462735399637</v>
      </c>
      <c r="AN27" s="1164">
        <f>AD27+AH27+AL27</f>
        <v>530</v>
      </c>
      <c r="AO27" s="3256">
        <f>+AI27+AK27</f>
        <v>2787.8142898665351</v>
      </c>
      <c r="AP27" s="1184">
        <f>+AJ27+AL27</f>
        <v>2350</v>
      </c>
      <c r="AQ27" s="1603">
        <f>+AQ25*AQ28/100</f>
        <v>358.98929353785803</v>
      </c>
      <c r="AR27" s="1148">
        <v>310</v>
      </c>
      <c r="AS27" s="3256">
        <f>+AO27+AQ27</f>
        <v>3146.8035834043931</v>
      </c>
      <c r="AT27" s="1184">
        <f>+AP27+AR27</f>
        <v>2660</v>
      </c>
      <c r="AU27" s="1603">
        <f>+AU25*AU28/100</f>
        <v>323.03571474430504</v>
      </c>
      <c r="AV27" s="1148">
        <v>300</v>
      </c>
      <c r="AW27" s="6328">
        <f>+AS27+AU27</f>
        <v>3469.8392981486982</v>
      </c>
      <c r="AX27" s="1184">
        <f>+AT27+AV27</f>
        <v>2960</v>
      </c>
      <c r="AY27" s="1603">
        <f>+AY25*AY28/100</f>
        <v>358.98929353785803</v>
      </c>
      <c r="AZ27" s="1148">
        <v>290</v>
      </c>
      <c r="BA27" s="1163">
        <f>AQ27+AU27+AY27</f>
        <v>1041.014301820021</v>
      </c>
      <c r="BB27" s="1164">
        <f>AR27+AV27+AZ27</f>
        <v>900</v>
      </c>
      <c r="BC27" s="1166">
        <f>AM27+BA27</f>
        <v>2106.4770372196581</v>
      </c>
      <c r="BD27" s="1166">
        <f>AN27+BB27</f>
        <v>1430</v>
      </c>
      <c r="BE27" s="3256">
        <f>+AW27+AY27</f>
        <v>3828.8285916865561</v>
      </c>
      <c r="BF27" s="1184">
        <f>+AX27+AZ27</f>
        <v>3250</v>
      </c>
      <c r="BG27" s="26"/>
      <c r="BH27" s="26"/>
      <c r="BI27" s="4713"/>
      <c r="BJ27" s="4713"/>
      <c r="BK27" s="26"/>
    </row>
    <row r="28" spans="1:63" ht="15.75" x14ac:dyDescent="0.25">
      <c r="A28" s="149"/>
      <c r="B28" s="149"/>
      <c r="C28" s="3445" t="s">
        <v>616</v>
      </c>
      <c r="D28" s="3444" t="s">
        <v>49</v>
      </c>
      <c r="E28" s="3442">
        <v>7</v>
      </c>
      <c r="F28" s="1162">
        <f>+F27/F25*100</f>
        <v>5.5258795358261192</v>
      </c>
      <c r="G28" s="7232">
        <v>7</v>
      </c>
      <c r="H28" s="1162">
        <f>+H27/H25*100</f>
        <v>5.3884929601946814</v>
      </c>
      <c r="I28" s="3443">
        <f>+I27/I25*100</f>
        <v>6.9999999999999991</v>
      </c>
      <c r="J28" s="3297">
        <f>+J27/J25*100</f>
        <v>5.4551958504739764</v>
      </c>
      <c r="K28" s="4614">
        <v>7</v>
      </c>
      <c r="L28" s="1162">
        <f>+L27/L25*100</f>
        <v>8.1322851721333684</v>
      </c>
      <c r="M28" s="3257">
        <f>+M27/M25*100</f>
        <v>7.0000000000000009</v>
      </c>
      <c r="N28" s="3291">
        <f>+N27/N25*100</f>
        <v>6.1192925828794298</v>
      </c>
      <c r="O28" s="4851">
        <v>7</v>
      </c>
      <c r="P28" s="1162">
        <f>+P27/P25*100</f>
        <v>4.6296296296296298</v>
      </c>
      <c r="Q28" s="3259">
        <f>+Q27/Q25*100</f>
        <v>7.0000000000000009</v>
      </c>
      <c r="R28" s="3297">
        <f>+R27/R25*100</f>
        <v>5.6671818650180317</v>
      </c>
      <c r="S28" s="4966">
        <v>7</v>
      </c>
      <c r="T28" s="1162">
        <f>+T27/T25*100</f>
        <v>5.1546391752577314</v>
      </c>
      <c r="U28" s="4968">
        <f>+U27/U25*100</f>
        <v>6.9999999999999991</v>
      </c>
      <c r="V28" s="3297">
        <f>+V27/V25*100</f>
        <v>5.5545404714050797</v>
      </c>
      <c r="W28" s="5100">
        <v>7</v>
      </c>
      <c r="X28" s="1162">
        <f>+X27/X25*100</f>
        <v>5.2603892688058913</v>
      </c>
      <c r="Y28" s="3257">
        <f>+Y27/Y25*100</f>
        <v>7.0000000000000009</v>
      </c>
      <c r="Z28" s="3291">
        <f>+Z27/Z25*100</f>
        <v>5.0008243116997306</v>
      </c>
      <c r="AA28" s="3258">
        <f>+AA27/AA25*100</f>
        <v>7.0000000000000009</v>
      </c>
      <c r="AB28" s="3284">
        <f>+AB27/AB25*100</f>
        <v>5.5038103302286201</v>
      </c>
      <c r="AC28" s="5377">
        <v>7</v>
      </c>
      <c r="AD28" s="1162">
        <f>+AD27/AD25*100</f>
        <v>5.5545601146747892</v>
      </c>
      <c r="AE28" s="3259">
        <f>+AE27/AE25*100</f>
        <v>7.0000000000000009</v>
      </c>
      <c r="AF28" s="3297">
        <f>+AF27/AF25*100</f>
        <v>5.5111387099278115</v>
      </c>
      <c r="AG28" s="5576">
        <v>7</v>
      </c>
      <c r="AH28" s="1162" t="e">
        <f>+AH27/AH25*100</f>
        <v>#DIV/0!</v>
      </c>
      <c r="AI28" s="5578">
        <f>+AI27/AI25*100</f>
        <v>7.0000000000000009</v>
      </c>
      <c r="AJ28" s="3297">
        <f>+AJ27/AJ25*100</f>
        <v>5.5370126005847498</v>
      </c>
      <c r="AK28" s="5998">
        <v>7</v>
      </c>
      <c r="AL28" s="1162">
        <f>+AL27/AL25*100</f>
        <v>5.1521099116781155</v>
      </c>
      <c r="AM28" s="3257">
        <f>+AM27/AM25*100</f>
        <v>7.0000000000000009</v>
      </c>
      <c r="AN28" s="3291">
        <f>+AN27/AN25*100</f>
        <v>5.488246867557212</v>
      </c>
      <c r="AO28" s="3259">
        <f>+AO27/AO25*100</f>
        <v>7.0000000000000018</v>
      </c>
      <c r="AP28" s="3297">
        <f>+AP27/AP25*100</f>
        <v>5.5002925687536575</v>
      </c>
      <c r="AQ28" s="6121">
        <v>7</v>
      </c>
      <c r="AR28" s="1162">
        <f>+AR27/AR25*100</f>
        <v>4.8780487804878048</v>
      </c>
      <c r="AS28" s="3259">
        <f>+AS27/AS25*100</f>
        <v>7.0000000000000018</v>
      </c>
      <c r="AT28" s="3297">
        <f>+AT27/AT25*100</f>
        <v>5.4197229013854926</v>
      </c>
      <c r="AU28" s="6326">
        <v>7</v>
      </c>
      <c r="AV28" s="1162">
        <f>+AV27/AV25*100</f>
        <v>5.0632911392405067</v>
      </c>
      <c r="AW28" s="6325">
        <f>+AW27/AW25*100</f>
        <v>7.0000000000000009</v>
      </c>
      <c r="AX28" s="3297">
        <f>+AX27/AX25*100</f>
        <v>5.3813289700936284</v>
      </c>
      <c r="AY28" s="6464">
        <v>7</v>
      </c>
      <c r="AZ28" s="1162">
        <f>+AZ27/AZ25*100</f>
        <v>4.282339043118724</v>
      </c>
      <c r="BA28" s="3257">
        <f t="shared" ref="BA28:BF28" si="16">+BA27/BA25*100</f>
        <v>7.0000000000000009</v>
      </c>
      <c r="BB28" s="3291">
        <f t="shared" si="16"/>
        <v>4.7239134998950245</v>
      </c>
      <c r="BC28" s="3258">
        <f t="shared" si="16"/>
        <v>7.0000000000000009</v>
      </c>
      <c r="BD28" s="3284">
        <f t="shared" si="16"/>
        <v>4.9810164060050859</v>
      </c>
      <c r="BE28" s="3259">
        <f t="shared" si="16"/>
        <v>7.0000000000000009</v>
      </c>
      <c r="BF28" s="3297">
        <f t="shared" si="16"/>
        <v>5.2608576007251893</v>
      </c>
      <c r="BG28" s="26"/>
      <c r="BH28" s="26"/>
      <c r="BI28" s="4713"/>
      <c r="BJ28" s="4713"/>
      <c r="BK28" s="26"/>
    </row>
    <row r="29" spans="1:63" ht="15.75" x14ac:dyDescent="0.25">
      <c r="A29" s="149"/>
      <c r="B29" s="149"/>
      <c r="C29" s="2609" t="s">
        <v>622</v>
      </c>
      <c r="D29" s="3444"/>
      <c r="E29" s="7892">
        <v>100</v>
      </c>
      <c r="F29" s="1162"/>
      <c r="G29" s="7892">
        <v>100</v>
      </c>
      <c r="H29" s="1162"/>
      <c r="I29" s="7888">
        <f>+((E29*E25)+(G29*G25))/(I25)</f>
        <v>100</v>
      </c>
      <c r="J29" s="3297"/>
      <c r="K29" s="7892">
        <v>90</v>
      </c>
      <c r="L29" s="1162"/>
      <c r="M29" s="7894">
        <f>+((E29*E25)+(G25*G29)+(K25*K29))/M25</f>
        <v>97.750734569314929</v>
      </c>
      <c r="N29" s="3291"/>
      <c r="O29" s="7892">
        <v>90</v>
      </c>
      <c r="P29" s="1162"/>
      <c r="Q29" s="7888">
        <f>+((M29*M25)+(O29*O25))/(Q25)</f>
        <v>97.030487171530581</v>
      </c>
      <c r="R29" s="3297"/>
      <c r="S29" s="7892">
        <v>90</v>
      </c>
      <c r="T29" s="1162"/>
      <c r="U29" s="7888">
        <f>+((Q29*Q25)+(S29*S25))/(U25)</f>
        <v>95.286551105171583</v>
      </c>
      <c r="V29" s="3297"/>
      <c r="W29" s="7892">
        <v>90</v>
      </c>
      <c r="X29" s="1162"/>
      <c r="Y29" s="7894">
        <f>+((O29*O25)+(S25*S29)+(W25*W29))/Y25</f>
        <v>90</v>
      </c>
      <c r="Z29" s="3291"/>
      <c r="AA29" s="7908">
        <f>+((U29*U25)+(W29*W25))/(AA25)</f>
        <v>94.264132348035716</v>
      </c>
      <c r="AB29" s="3284"/>
      <c r="AC29" s="7884">
        <v>100</v>
      </c>
      <c r="AD29" s="1162"/>
      <c r="AE29" s="7888">
        <f>+((AA29*AA25)+(AC29*AC25))/(AE25)</f>
        <v>95.253453764650033</v>
      </c>
      <c r="AF29" s="3297"/>
      <c r="AG29" s="7884">
        <v>100</v>
      </c>
      <c r="AH29" s="1162"/>
      <c r="AI29" s="7888">
        <f>+((AE29*AE25)+(AG29*AG25))/(AI25)</f>
        <v>95.932526805549983</v>
      </c>
      <c r="AJ29" s="3297"/>
      <c r="AK29" s="7884">
        <v>110</v>
      </c>
      <c r="AL29" s="1162"/>
      <c r="AM29" s="7894">
        <f>+((AC29*AC25)+(AG25*AG29)+(AK25*AK29))/AM25</f>
        <v>103.36932753826632</v>
      </c>
      <c r="AN29" s="3291"/>
      <c r="AO29" s="7888">
        <f>+((AI29*AI25)+(AK29*AK25))/(AO25)</f>
        <v>97.744007678682379</v>
      </c>
      <c r="AP29" s="3297"/>
      <c r="AQ29" s="7884">
        <v>110</v>
      </c>
      <c r="AR29" s="1162"/>
      <c r="AS29" s="7888">
        <f>+((AO29*AO25)+(AQ29*AQ25))/(AS25)</f>
        <v>99.142178841394539</v>
      </c>
      <c r="AT29" s="3297"/>
      <c r="AU29" s="7884">
        <v>110</v>
      </c>
      <c r="AV29" s="1162"/>
      <c r="AW29" s="7888">
        <f>+((AS29*AS25)+(AU29*AU25))/(AW25)</f>
        <v>100.15302220247102</v>
      </c>
      <c r="AX29" s="3297"/>
      <c r="AY29" s="7884">
        <v>110</v>
      </c>
      <c r="AZ29" s="1162"/>
      <c r="BA29" s="7894">
        <f>+((AQ29*AQ25)+(AU25*AU29)+(AY25*AY29))/BA25</f>
        <v>110.00000000000001</v>
      </c>
      <c r="BB29" s="3291"/>
      <c r="BC29" s="7908">
        <f>+((AM29*AM25)+(BA29*BA25))/(BC25)</f>
        <v>106.64618493637009</v>
      </c>
      <c r="BD29" s="3284"/>
      <c r="BE29" s="7888">
        <f>+((AW29*AW25)+(AY29*AY25))/(BE25)</f>
        <v>101.07627053244151</v>
      </c>
      <c r="BF29" s="3297"/>
      <c r="BG29" s="26"/>
      <c r="BH29" s="26"/>
      <c r="BI29" s="4713"/>
      <c r="BJ29" s="4713"/>
      <c r="BK29" s="26"/>
    </row>
    <row r="30" spans="1:63" ht="15.75" x14ac:dyDescent="0.25">
      <c r="A30" s="149"/>
      <c r="B30" s="149"/>
      <c r="C30" s="3275" t="s">
        <v>701</v>
      </c>
      <c r="D30" s="3444"/>
      <c r="E30" s="7892"/>
      <c r="F30" s="5181">
        <v>140.38</v>
      </c>
      <c r="G30" s="7892"/>
      <c r="H30" s="5181">
        <v>126.1</v>
      </c>
      <c r="I30" s="7888"/>
      <c r="J30" s="1185">
        <f>+((F30*F25)+(H25*H30))/(F25+H25)</f>
        <v>133.03311751028437</v>
      </c>
      <c r="K30" s="7892"/>
      <c r="L30" s="3276">
        <v>112</v>
      </c>
      <c r="M30" s="7894">
        <f t="shared" ref="M30:M31" si="17">+((E30*E24)+(G24*G30)+(K24*K30))/M24</f>
        <v>0</v>
      </c>
      <c r="N30" s="1171">
        <f>+((F30*F25)+(H25*H30)+(L25*L30))/N25</f>
        <v>127.81550131127698</v>
      </c>
      <c r="O30" s="7892"/>
      <c r="P30" s="3276">
        <v>118</v>
      </c>
      <c r="Q30" s="7888"/>
      <c r="R30" s="1185">
        <f>+((N30*N25)+(P25*P30))/(N25+P25)</f>
        <v>124.83650976535056</v>
      </c>
      <c r="S30" s="7892"/>
      <c r="T30" s="3276">
        <v>121</v>
      </c>
      <c r="U30" s="7888"/>
      <c r="V30" s="1185">
        <f>+((R30*R25)+(T25*T30))/(R25+T25)</f>
        <v>123.99336086241549</v>
      </c>
      <c r="W30" s="7892"/>
      <c r="X30" s="5181">
        <v>127</v>
      </c>
      <c r="Y30" s="7894">
        <f t="shared" ref="Y30:Y31" si="18">+((Q30*Q24)+(S24*S30)+(W24*W30))/Y24</f>
        <v>0</v>
      </c>
      <c r="Z30" s="1171">
        <f>+((P30*P25)+(T25*T30)+(X25*X30))/Z25</f>
        <v>121.81211188657471</v>
      </c>
      <c r="AA30" s="7908"/>
      <c r="AB30" s="1172">
        <f>(N30*N$25+Z30*Z$25)/AB$25</f>
        <v>124.51189427845651</v>
      </c>
      <c r="AC30" s="7885"/>
      <c r="AD30" s="5181">
        <v>115</v>
      </c>
      <c r="AE30" s="7888"/>
      <c r="AF30" s="1185">
        <f>+((AB30*AB25)+(AD25*AD30))/(AB25+AD25)</f>
        <v>123.13835597298767</v>
      </c>
      <c r="AG30" s="7885"/>
      <c r="AH30" s="5181">
        <v>110</v>
      </c>
      <c r="AI30" s="7888"/>
      <c r="AJ30" s="1185">
        <f>+((AF30*AF25)+(AH25*AH30))/(AF25+AH25)</f>
        <v>123.13835597298767</v>
      </c>
      <c r="AK30" s="7885"/>
      <c r="AL30" s="5181">
        <v>127</v>
      </c>
      <c r="AM30" s="7894">
        <f t="shared" ref="AM30:AM31" si="19">+((AE30*AE24)+(AG24*AG30)+(AK24*AK30))/AM24</f>
        <v>0</v>
      </c>
      <c r="AN30" s="1171">
        <f>+((AD30*AD25)+(AH25*AH30)+(AL25*AL30))/AN25</f>
        <v>120.06492699596149</v>
      </c>
      <c r="AO30" s="7888"/>
      <c r="AP30" s="1185">
        <f>+((AJ30*AJ25)+(AL25*AL30))/(AJ25+AL25)</f>
        <v>123.50675997659451</v>
      </c>
      <c r="AQ30" s="7885"/>
      <c r="AR30" s="5181">
        <v>124.16</v>
      </c>
      <c r="AS30" s="7888"/>
      <c r="AT30" s="1185">
        <f>+((AP30*AP25)+(AR25*AR30))/(AP25+AR25)</f>
        <v>123.59134311328444</v>
      </c>
      <c r="AU30" s="7885"/>
      <c r="AV30" s="5181">
        <v>127.59</v>
      </c>
      <c r="AW30" s="7888"/>
      <c r="AX30" s="1185">
        <f>+((AT30*AT25)+(AV25*AV30))/(AT25+AV25)</f>
        <v>124.02206835742206</v>
      </c>
      <c r="AY30" s="7885"/>
      <c r="AZ30" s="5181">
        <v>133.6</v>
      </c>
      <c r="BA30" s="7894">
        <f t="shared" ref="BA30:BA31" si="20">+((AS30*AS24)+(AU24*AU30)+(AY24*AY30))/BA24</f>
        <v>0</v>
      </c>
      <c r="BB30" s="1171">
        <f>+((AR30*AR25)+(AV25*AV30)+(AZ25*AZ30))/BB25</f>
        <v>128.58213048498845</v>
      </c>
      <c r="BC30" s="7908"/>
      <c r="BD30" s="1172">
        <f>(AN30*AN$25+BB30*BB$25)/BD$25</f>
        <v>125.71715315754642</v>
      </c>
      <c r="BE30" s="7888"/>
      <c r="BF30" s="1185">
        <f>+((AX30*AX25)+(AZ25*AZ30))/(AX25+AZ25)</f>
        <v>125.07200203959403</v>
      </c>
      <c r="BG30" s="26"/>
      <c r="BH30" s="26"/>
      <c r="BI30" s="4713"/>
      <c r="BJ30" s="4713"/>
      <c r="BK30" s="26"/>
    </row>
    <row r="31" spans="1:63" ht="16.5" thickBot="1" x14ac:dyDescent="0.3">
      <c r="A31" s="149"/>
      <c r="B31" s="149"/>
      <c r="C31" s="3277" t="s">
        <v>700</v>
      </c>
      <c r="D31" s="3278"/>
      <c r="E31" s="7893"/>
      <c r="F31" s="5182">
        <v>101.85</v>
      </c>
      <c r="G31" s="7893"/>
      <c r="H31" s="5182">
        <v>90.64</v>
      </c>
      <c r="I31" s="7889"/>
      <c r="J31" s="1186">
        <f>+((F31*F25)+(H25*H31))/(F25+H25)</f>
        <v>96.082594348059388</v>
      </c>
      <c r="K31" s="7893"/>
      <c r="L31" s="3279">
        <v>87</v>
      </c>
      <c r="M31" s="7895">
        <f t="shared" si="17"/>
        <v>0</v>
      </c>
      <c r="N31" s="1173">
        <f>+((F31*F25)+(H25*H31)+(L25*L31))/N25</f>
        <v>93.829505076995503</v>
      </c>
      <c r="O31" s="7893"/>
      <c r="P31" s="3279">
        <v>97</v>
      </c>
      <c r="Q31" s="7889"/>
      <c r="R31" s="1186">
        <f>+((N31*N25)+(P25*P31))/(N25+P25)</f>
        <v>94.791746054049</v>
      </c>
      <c r="S31" s="7893"/>
      <c r="T31" s="3279">
        <v>97</v>
      </c>
      <c r="U31" s="7889"/>
      <c r="V31" s="1186">
        <f>+((R31*R25)+(T25*T31))/(R25+T25)</f>
        <v>95.277053535538101</v>
      </c>
      <c r="W31" s="7893"/>
      <c r="X31" s="5182">
        <v>104</v>
      </c>
      <c r="Y31" s="7895">
        <f t="shared" si="18"/>
        <v>0</v>
      </c>
      <c r="Z31" s="1173">
        <f>+((P31*P25)+(T25*T31)+(X25*X31))/Z25</f>
        <v>99.193823157663346</v>
      </c>
      <c r="AA31" s="7909"/>
      <c r="AB31" s="1174">
        <f>(N31*N$25+Z31*Z$25)/AB$25</f>
        <v>96.781437341236256</v>
      </c>
      <c r="AC31" s="7886"/>
      <c r="AD31" s="5182">
        <v>91</v>
      </c>
      <c r="AE31" s="7889"/>
      <c r="AF31" s="1186">
        <f>+((AB31*AB25)+(AD25*AD31))/(AB25+AD25)</f>
        <v>95.946585163911109</v>
      </c>
      <c r="AG31" s="7886"/>
      <c r="AH31" s="5182">
        <v>85</v>
      </c>
      <c r="AI31" s="7889"/>
      <c r="AJ31" s="1186">
        <f>+((AF31*AF25)+(AH25*AH31))/(AF25+AH25)</f>
        <v>95.946585163911109</v>
      </c>
      <c r="AK31" s="7886"/>
      <c r="AL31" s="5182">
        <v>88</v>
      </c>
      <c r="AM31" s="7895">
        <f t="shared" si="19"/>
        <v>0</v>
      </c>
      <c r="AN31" s="1173">
        <f>+((AD31*AD25)+(AH25*AH31)+(AL25*AL31))/AN25</f>
        <v>89.733768251009636</v>
      </c>
      <c r="AO31" s="7889"/>
      <c r="AP31" s="1186">
        <f>+((AJ31*AJ25)+(AL25*AL31))/(AJ25+AL25)</f>
        <v>95.188474429490938</v>
      </c>
      <c r="AQ31" s="7886"/>
      <c r="AR31" s="5182">
        <v>97</v>
      </c>
      <c r="AS31" s="7889"/>
      <c r="AT31" s="1186">
        <f>+((AP31*AP25)+(AR25*AR31))/(AP25+AR25)</f>
        <v>95.423035248573768</v>
      </c>
      <c r="AU31" s="7886"/>
      <c r="AV31" s="5182">
        <v>95.92</v>
      </c>
      <c r="AW31" s="7889"/>
      <c r="AX31" s="1186">
        <f>+((AT31*AT25)+(AV25*AV31))/(AT25+AV25)</f>
        <v>95.476567039360063</v>
      </c>
      <c r="AY31" s="7886"/>
      <c r="AZ31" s="5182">
        <v>97.5</v>
      </c>
      <c r="BA31" s="7895">
        <f t="shared" si="20"/>
        <v>0</v>
      </c>
      <c r="BB31" s="1173">
        <f>+((AR31*AR25)+(AV25*AV31)+(AZ25*AZ31))/BB25</f>
        <v>96.841853873609068</v>
      </c>
      <c r="BC31" s="7909"/>
      <c r="BD31" s="1174">
        <f>(AN31*AN$25+BB31*BB$25)/BD$25</f>
        <v>94.450869065449865</v>
      </c>
      <c r="BE31" s="7889"/>
      <c r="BF31" s="1186">
        <f>+((AX31*AX25)+(AZ25*AZ31))/(AX25+AZ25)</f>
        <v>95.698375932790526</v>
      </c>
      <c r="BG31" s="26"/>
      <c r="BH31" s="26"/>
      <c r="BI31" s="4713"/>
      <c r="BJ31" s="4713"/>
      <c r="BK31" s="26"/>
    </row>
    <row r="32" spans="1:63" ht="15.75" thickBot="1" x14ac:dyDescent="0.3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4713"/>
      <c r="BJ32" s="4713"/>
      <c r="BK32" s="26"/>
    </row>
    <row r="33" spans="1:63" ht="16.5" thickBot="1" x14ac:dyDescent="0.3">
      <c r="A33" s="149"/>
      <c r="B33" s="149"/>
      <c r="C33" s="523" t="s">
        <v>269</v>
      </c>
      <c r="D33" s="1345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139811.32075471699</v>
      </c>
      <c r="L33" s="525">
        <f>+SMS!L5</f>
        <v>144189</v>
      </c>
      <c r="M33" s="1518">
        <f>+SMS!M5</f>
        <v>621586.58043365902</v>
      </c>
      <c r="N33" s="1519">
        <f>+SMS!N5</f>
        <v>587847</v>
      </c>
      <c r="O33" s="524">
        <f>+SMS!O5</f>
        <v>63679.245283018899</v>
      </c>
      <c r="P33" s="525">
        <f>+SMS!P5</f>
        <v>234513</v>
      </c>
      <c r="Q33" s="524">
        <f>+SMS!Q5</f>
        <v>685265.82571667794</v>
      </c>
      <c r="R33" s="525">
        <f>+SMS!R5</f>
        <v>822360</v>
      </c>
      <c r="S33" s="524">
        <f>+SMS!S5</f>
        <v>226056.603773585</v>
      </c>
      <c r="T33" s="525">
        <f>+SMS!T5</f>
        <v>231517</v>
      </c>
      <c r="U33" s="524">
        <f>+SMS!U5</f>
        <v>911322.42949026288</v>
      </c>
      <c r="V33" s="525">
        <f>+SMS!V5</f>
        <v>1053877</v>
      </c>
      <c r="W33" s="524">
        <f>+SMS!W5</f>
        <v>218509.43396226401</v>
      </c>
      <c r="X33" s="525">
        <f>+SMS!X5</f>
        <v>231269</v>
      </c>
      <c r="Y33" s="1518">
        <f>+SMS!Y5</f>
        <v>508245.28301886795</v>
      </c>
      <c r="Z33" s="1519">
        <f>+SMS!Z5</f>
        <v>697299</v>
      </c>
      <c r="AA33" s="525">
        <f>+SMS!AA5</f>
        <v>1129831.863452527</v>
      </c>
      <c r="AB33" s="525">
        <f>+SMS!AB5</f>
        <v>1285146</v>
      </c>
      <c r="AC33" s="524">
        <f>+SMS!AC5</f>
        <v>235490.56603773599</v>
      </c>
      <c r="AD33" s="525">
        <f>+SMS!AD5</f>
        <v>222138</v>
      </c>
      <c r="AE33" s="524">
        <f>+SMS!AE5</f>
        <v>1365322.4294902629</v>
      </c>
      <c r="AF33" s="525">
        <f>+SMS!AF5</f>
        <v>1507284</v>
      </c>
      <c r="AG33" s="524">
        <f>+SMS!AG5</f>
        <v>227943.396226415</v>
      </c>
      <c r="AH33" s="525">
        <f>+SMS!AH5</f>
        <v>7935</v>
      </c>
      <c r="AI33" s="524">
        <f>+SMS!AI5</f>
        <v>1593265.8257166778</v>
      </c>
      <c r="AJ33" s="525">
        <f>+SMS!AJ5</f>
        <v>1515219</v>
      </c>
      <c r="AK33" s="524">
        <f>+SMS!AK5</f>
        <v>235490.56603773599</v>
      </c>
      <c r="AL33" s="525">
        <f>+SMS!AL5</f>
        <v>234930</v>
      </c>
      <c r="AM33" s="1518">
        <f>+SMS!AM5</f>
        <v>698924.52830188698</v>
      </c>
      <c r="AN33" s="1519">
        <f>+SMS!AN5</f>
        <v>465003</v>
      </c>
      <c r="AO33" s="524">
        <f>+SMS!AO5</f>
        <v>1828756.3917544137</v>
      </c>
      <c r="AP33" s="525">
        <f>+SMS!AP5</f>
        <v>1750149</v>
      </c>
      <c r="AQ33" s="524">
        <f>+SMS!AQ5</f>
        <v>235490.56603773599</v>
      </c>
      <c r="AR33" s="525">
        <f>+SMS!AR5</f>
        <v>246040</v>
      </c>
      <c r="AS33" s="524">
        <f>+SMS!AS5</f>
        <v>2064246.9577921496</v>
      </c>
      <c r="AT33" s="525">
        <f>+SMS!AT5</f>
        <v>1996189</v>
      </c>
      <c r="AU33" s="524">
        <f>+SMS!AU5</f>
        <v>211905.660377358</v>
      </c>
      <c r="AV33" s="525">
        <f>+SMS!AV5</f>
        <v>222895</v>
      </c>
      <c r="AW33" s="524">
        <f>+SMS!AW5</f>
        <v>2276152.6181695075</v>
      </c>
      <c r="AX33" s="525">
        <f>+SMS!AX5</f>
        <v>2219084</v>
      </c>
      <c r="AY33" s="524">
        <f>+SMS!AY5</f>
        <v>235490.56603773599</v>
      </c>
      <c r="AZ33" s="525">
        <f>+SMS!AZ5</f>
        <v>243552</v>
      </c>
      <c r="BA33" s="1518">
        <f>+SMS!BA5</f>
        <v>682886.79245283001</v>
      </c>
      <c r="BB33" s="1519">
        <f>+SMS!BB5</f>
        <v>712487</v>
      </c>
      <c r="BC33" s="525">
        <f>+SMS!BC5</f>
        <v>1381811.3207547171</v>
      </c>
      <c r="BD33" s="525">
        <f>+SMS!BD5</f>
        <v>1177490</v>
      </c>
      <c r="BE33" s="1801">
        <f>+SMS!BE5</f>
        <v>2511643.1842072434</v>
      </c>
      <c r="BF33" s="1801">
        <f>+SMS!BF5</f>
        <v>2462636</v>
      </c>
      <c r="BG33" s="26"/>
      <c r="BH33" s="26"/>
      <c r="BI33" s="4713"/>
      <c r="BJ33" s="4713"/>
      <c r="BK33" s="26"/>
    </row>
    <row r="34" spans="1:63" ht="16.5" hidden="1" customHeight="1" thickBot="1" x14ac:dyDescent="0.3">
      <c r="C34" s="1352" t="s">
        <v>536</v>
      </c>
      <c r="D34" s="1353"/>
      <c r="E34" s="93"/>
      <c r="F34" s="93"/>
      <c r="G34" s="31"/>
      <c r="H34" s="31"/>
      <c r="I34" s="31"/>
      <c r="M34" s="31"/>
      <c r="N34" s="31"/>
      <c r="O34" s="4712"/>
      <c r="P34" s="4712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4713"/>
      <c r="BJ34" s="4713"/>
    </row>
    <row r="35" spans="1:63" ht="15.75" hidden="1" customHeight="1" x14ac:dyDescent="0.25">
      <c r="C35" s="1211" t="s">
        <v>531</v>
      </c>
      <c r="D35" s="1490" t="s">
        <v>532</v>
      </c>
      <c r="E35" s="1349">
        <v>243.42745861733204</v>
      </c>
      <c r="F35" s="93"/>
      <c r="G35" s="31"/>
      <c r="H35" s="31"/>
      <c r="I35" s="31"/>
      <c r="M35" s="31"/>
      <c r="N35" s="31"/>
      <c r="O35" s="4712"/>
      <c r="P35" s="4712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4713"/>
      <c r="BJ35" s="4713"/>
    </row>
    <row r="36" spans="1:63" ht="15.75" hidden="1" customHeight="1" x14ac:dyDescent="0.25">
      <c r="C36" s="1354" t="s">
        <v>533</v>
      </c>
      <c r="D36" s="1491" t="s">
        <v>532</v>
      </c>
      <c r="E36" s="1349">
        <v>52.349991100501505</v>
      </c>
      <c r="F36" s="93"/>
      <c r="G36" s="31"/>
      <c r="H36" s="31"/>
      <c r="I36" s="31"/>
      <c r="M36" s="31"/>
      <c r="N36" s="31"/>
      <c r="O36" s="4712"/>
      <c r="P36" s="4712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4713"/>
      <c r="BJ36" s="4713"/>
    </row>
    <row r="37" spans="1:63" ht="15.75" hidden="1" customHeight="1" x14ac:dyDescent="0.25">
      <c r="C37" s="1355" t="s">
        <v>525</v>
      </c>
      <c r="D37" s="1312" t="s">
        <v>535</v>
      </c>
      <c r="E37" s="347">
        <v>310</v>
      </c>
      <c r="F37" s="93"/>
      <c r="G37" s="31"/>
      <c r="H37" s="31"/>
      <c r="I37" s="31"/>
      <c r="M37" s="31"/>
      <c r="N37" s="31"/>
      <c r="O37" s="4712"/>
      <c r="P37" s="4712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4713"/>
      <c r="BJ37" s="4713"/>
    </row>
    <row r="38" spans="1:63" ht="16.5" hidden="1" customHeight="1" thickBot="1" x14ac:dyDescent="0.3">
      <c r="C38" s="1208" t="s">
        <v>530</v>
      </c>
      <c r="D38" s="1492" t="s">
        <v>535</v>
      </c>
      <c r="E38" s="347">
        <v>100</v>
      </c>
      <c r="F38" s="93"/>
      <c r="G38" s="31"/>
      <c r="H38" s="31"/>
      <c r="I38" s="31"/>
      <c r="M38" s="31"/>
      <c r="N38" s="31"/>
      <c r="O38" s="4712"/>
      <c r="P38" s="4712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4713"/>
      <c r="BJ38" s="4713"/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712"/>
      <c r="P39" s="4712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4713"/>
      <c r="BJ39" s="4713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712"/>
      <c r="P40" s="4712"/>
      <c r="Q40" s="4"/>
      <c r="R40" s="4"/>
      <c r="U40" s="4"/>
      <c r="V40" s="4"/>
      <c r="W40" s="4"/>
      <c r="X40" s="4"/>
      <c r="Y40" s="4"/>
      <c r="Z40" s="4"/>
      <c r="AA40" s="4"/>
      <c r="AB40" s="4"/>
      <c r="BI40" s="4713"/>
      <c r="BJ40" s="4713"/>
    </row>
    <row r="41" spans="1:63" ht="15" customHeight="1" x14ac:dyDescent="0.25">
      <c r="C41" s="2835"/>
      <c r="D41" s="2835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4713"/>
      <c r="BJ41" s="4713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Y42" s="4"/>
      <c r="Z42" s="4"/>
      <c r="BI42" s="4713"/>
      <c r="BJ42" s="4713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Y43" s="4"/>
      <c r="Z43" s="4"/>
      <c r="BI43" s="4713"/>
      <c r="BJ43" s="4713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713"/>
      <c r="BJ44" s="4713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713"/>
      <c r="BJ45" s="4713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713"/>
      <c r="BJ46" s="4713"/>
    </row>
    <row r="47" spans="1:63" ht="15" customHeight="1" x14ac:dyDescent="0.25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713"/>
      <c r="BJ47" s="4713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713"/>
      <c r="BJ48" s="4713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713"/>
      <c r="BJ49" s="4713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713"/>
      <c r="BJ50" s="4713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713"/>
      <c r="BJ51" s="4713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713"/>
      <c r="BJ52" s="4713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713"/>
      <c r="BJ53" s="4713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713"/>
      <c r="BJ54" s="4713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713"/>
      <c r="BJ55" s="4713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713"/>
      <c r="BJ56" s="4713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713"/>
      <c r="BJ57" s="4713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713"/>
      <c r="BJ58" s="4713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713"/>
      <c r="BJ59" s="4713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713"/>
      <c r="BJ60" s="4713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713"/>
      <c r="BJ61" s="4713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713"/>
      <c r="BJ62" s="4713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713"/>
      <c r="BJ63" s="4713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713"/>
      <c r="BJ64" s="4713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713"/>
      <c r="BJ65" s="4713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topLeftCell="A22" zoomScaleNormal="100" workbookViewId="0">
      <pane xSplit="3" topLeftCell="D1" activePane="topRight" state="frozen"/>
      <selection pane="topRight" activeCell="BK36" sqref="BK36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customWidth="1"/>
    <col min="10" max="11" width="7.85546875" hidden="1" customWidth="1"/>
    <col min="12" max="13" width="9" hidden="1" customWidth="1"/>
    <col min="14" max="15" width="7.7109375" hidden="1" customWidth="1"/>
    <col min="16" max="17" width="9" hidden="1" customWidth="1"/>
    <col min="18" max="18" width="11.5703125" style="4712" hidden="1" customWidth="1"/>
    <col min="19" max="19" width="7.7109375" style="4712" hidden="1" customWidth="1"/>
    <col min="20" max="21" width="9" style="4712" hidden="1" customWidth="1"/>
    <col min="22" max="23" width="7.7109375" hidden="1" customWidth="1"/>
    <col min="24" max="25" width="9.7109375" hidden="1" customWidth="1"/>
    <col min="26" max="27" width="9" hidden="1" customWidth="1"/>
    <col min="28" max="37" width="8.85546875" hidden="1" customWidth="1"/>
    <col min="38" max="39" width="8.85546875" style="2757" hidden="1" customWidth="1"/>
    <col min="40" max="41" width="8.85546875" hidden="1" customWidth="1"/>
    <col min="42" max="42" width="7.7109375" hidden="1" customWidth="1"/>
    <col min="43" max="51" width="8.85546875" hidden="1" customWidth="1"/>
    <col min="52" max="55" width="8.85546875" style="3109" hidden="1" customWidth="1"/>
    <col min="56" max="57" width="8.85546875" hidden="1" customWidth="1"/>
    <col min="58" max="58" width="0" hidden="1" customWidth="1"/>
  </cols>
  <sheetData>
    <row r="1" spans="1:62" ht="18.75" x14ac:dyDescent="0.3">
      <c r="A1" s="2338"/>
      <c r="B1" s="2339" t="s">
        <v>99</v>
      </c>
      <c r="C1" s="2340"/>
      <c r="D1" s="2340"/>
      <c r="E1" s="2340"/>
      <c r="F1" s="2340"/>
      <c r="G1" s="2340"/>
      <c r="H1" s="2340"/>
      <c r="I1" s="2340"/>
      <c r="J1" s="2341"/>
      <c r="K1" s="2342"/>
      <c r="L1" s="2342"/>
      <c r="M1" s="2342"/>
      <c r="N1" s="2341"/>
      <c r="O1" s="2341"/>
      <c r="P1" s="2342"/>
      <c r="Q1" s="2342"/>
      <c r="R1" s="2341"/>
      <c r="S1" s="2341"/>
      <c r="T1" s="2342"/>
      <c r="U1" s="2342"/>
      <c r="V1" s="2342"/>
      <c r="W1" s="2342"/>
      <c r="X1" s="2342"/>
      <c r="Y1" s="2342"/>
      <c r="Z1" s="2342"/>
      <c r="AA1" s="2342"/>
    </row>
    <row r="2" spans="1:62" ht="19.5" thickBot="1" x14ac:dyDescent="0.35">
      <c r="A2" s="2342"/>
      <c r="B2" s="2344"/>
      <c r="C2" s="2344"/>
      <c r="D2" s="2345">
        <v>30</v>
      </c>
      <c r="E2" s="2345">
        <v>30</v>
      </c>
      <c r="F2" s="2345">
        <v>31</v>
      </c>
      <c r="G2" s="2345">
        <v>31</v>
      </c>
      <c r="H2" s="2345">
        <f>+D2+F2</f>
        <v>61</v>
      </c>
      <c r="I2" s="2345">
        <f>+E2+G2</f>
        <v>61</v>
      </c>
      <c r="J2" s="272">
        <v>30</v>
      </c>
      <c r="K2" s="2345">
        <v>30</v>
      </c>
      <c r="L2" s="2345">
        <f>+H2+J2</f>
        <v>91</v>
      </c>
      <c r="M2" s="2345">
        <f>+I2+K2</f>
        <v>91</v>
      </c>
      <c r="N2" s="272">
        <v>31</v>
      </c>
      <c r="O2" s="272">
        <v>31</v>
      </c>
      <c r="P2" s="2345">
        <f>+L2+N2</f>
        <v>122</v>
      </c>
      <c r="Q2" s="2345">
        <f>+M2+O2</f>
        <v>122</v>
      </c>
      <c r="R2" s="272">
        <v>31</v>
      </c>
      <c r="S2" s="272">
        <v>31</v>
      </c>
      <c r="T2" s="2345">
        <f>+P2+R2</f>
        <v>153</v>
      </c>
      <c r="U2" s="2345">
        <f>+Q2+S2</f>
        <v>153</v>
      </c>
      <c r="V2" s="2345">
        <v>30</v>
      </c>
      <c r="W2" s="2345">
        <v>30</v>
      </c>
      <c r="X2" s="2345">
        <f>+N2+R2+V2</f>
        <v>92</v>
      </c>
      <c r="Y2" s="2345">
        <f>+O2+S2+W2</f>
        <v>92</v>
      </c>
      <c r="Z2" s="2345">
        <f>+T2+V2</f>
        <v>183</v>
      </c>
      <c r="AA2" s="2345">
        <f>+U2+W2</f>
        <v>183</v>
      </c>
      <c r="AB2" s="2345">
        <v>31</v>
      </c>
      <c r="AC2" s="2345">
        <v>31</v>
      </c>
      <c r="AD2" s="2345">
        <f>+Z2+AB2</f>
        <v>214</v>
      </c>
      <c r="AE2" s="2345">
        <f>+AA2+AC2</f>
        <v>214</v>
      </c>
      <c r="AF2" s="2345">
        <v>30</v>
      </c>
      <c r="AG2" s="2345">
        <v>30</v>
      </c>
      <c r="AH2" s="2345">
        <f>+AD2+AF2</f>
        <v>244</v>
      </c>
      <c r="AI2" s="2345">
        <f>+AE2+AG2</f>
        <v>244</v>
      </c>
      <c r="AJ2" s="2345">
        <v>31</v>
      </c>
      <c r="AK2" s="2345">
        <v>31</v>
      </c>
      <c r="AL2" s="2345">
        <f>+AB2+AF2+AJ2</f>
        <v>92</v>
      </c>
      <c r="AM2" s="2345">
        <f>+AC2+AG2+AK2</f>
        <v>92</v>
      </c>
      <c r="AN2" s="2345">
        <f>+AH2+AJ2</f>
        <v>275</v>
      </c>
      <c r="AO2" s="2345">
        <f>+AI2+AK2</f>
        <v>275</v>
      </c>
      <c r="AP2" s="2345">
        <v>31</v>
      </c>
      <c r="AQ2" s="2345">
        <v>31</v>
      </c>
      <c r="AR2" s="2345">
        <f>+AN2+AP2</f>
        <v>306</v>
      </c>
      <c r="AS2" s="2345">
        <f>+AO2+AQ2</f>
        <v>306</v>
      </c>
      <c r="AT2" s="2345">
        <v>28</v>
      </c>
      <c r="AU2" s="2345">
        <v>28</v>
      </c>
      <c r="AV2" s="2345">
        <f>+AR2+AT2</f>
        <v>334</v>
      </c>
      <c r="AW2" s="2345">
        <f>+AS2+AU2</f>
        <v>334</v>
      </c>
      <c r="AX2" s="2345">
        <v>31</v>
      </c>
      <c r="AY2" s="2345">
        <v>31</v>
      </c>
      <c r="AZ2" s="2345">
        <f>+AP2+AT2+AX2</f>
        <v>90</v>
      </c>
      <c r="BA2" s="2345">
        <f>+AQ2+AU2+AY2</f>
        <v>90</v>
      </c>
      <c r="BB2" s="2345">
        <f>+AL2+AZ2</f>
        <v>182</v>
      </c>
      <c r="BC2" s="2345">
        <f>+AM2+BA2</f>
        <v>182</v>
      </c>
      <c r="BD2" s="2345">
        <f>+AV2+AX2</f>
        <v>365</v>
      </c>
      <c r="BE2" s="2345">
        <f>+AW2+AY2</f>
        <v>365</v>
      </c>
    </row>
    <row r="3" spans="1:62" ht="18.75" x14ac:dyDescent="0.3">
      <c r="A3" s="2342"/>
      <c r="B3" s="7407" t="s">
        <v>171</v>
      </c>
      <c r="C3" s="7404" t="s">
        <v>172</v>
      </c>
      <c r="D3" s="7411" t="s">
        <v>2254</v>
      </c>
      <c r="E3" s="7412"/>
      <c r="F3" s="7411" t="s">
        <v>2306</v>
      </c>
      <c r="G3" s="7412"/>
      <c r="H3" s="7401" t="s">
        <v>14</v>
      </c>
      <c r="I3" s="7917"/>
      <c r="J3" s="7411" t="s">
        <v>1903</v>
      </c>
      <c r="K3" s="7412"/>
      <c r="L3" s="7920" t="s">
        <v>637</v>
      </c>
      <c r="M3" s="7646"/>
      <c r="N3" s="7634" t="s">
        <v>1937</v>
      </c>
      <c r="O3" s="7634"/>
      <c r="P3" s="7635" t="s">
        <v>17</v>
      </c>
      <c r="Q3" s="7635"/>
      <c r="R3" s="7634" t="s">
        <v>1961</v>
      </c>
      <c r="S3" s="7634"/>
      <c r="T3" s="7635" t="s">
        <v>18</v>
      </c>
      <c r="U3" s="7635"/>
      <c r="V3" s="7634" t="s">
        <v>1983</v>
      </c>
      <c r="W3" s="7634"/>
      <c r="X3" s="7646" t="s">
        <v>660</v>
      </c>
      <c r="Y3" s="7646"/>
      <c r="Z3" s="7648" t="s">
        <v>657</v>
      </c>
      <c r="AA3" s="7648"/>
      <c r="AB3" s="7634" t="s">
        <v>2002</v>
      </c>
      <c r="AC3" s="7634"/>
      <c r="AD3" s="7635" t="s">
        <v>24</v>
      </c>
      <c r="AE3" s="7635"/>
      <c r="AF3" s="7634" t="s">
        <v>2018</v>
      </c>
      <c r="AG3" s="7634"/>
      <c r="AH3" s="7635" t="s">
        <v>27</v>
      </c>
      <c r="AI3" s="7635"/>
      <c r="AJ3" s="7634" t="s">
        <v>2033</v>
      </c>
      <c r="AK3" s="7634"/>
      <c r="AL3" s="7646" t="s">
        <v>662</v>
      </c>
      <c r="AM3" s="7646"/>
      <c r="AN3" s="7635" t="s">
        <v>1683</v>
      </c>
      <c r="AO3" s="7635"/>
      <c r="AP3" s="7634" t="s">
        <v>2137</v>
      </c>
      <c r="AQ3" s="7634"/>
      <c r="AR3" s="7635" t="s">
        <v>28</v>
      </c>
      <c r="AS3" s="7635"/>
      <c r="AT3" s="7634" t="s">
        <v>2151</v>
      </c>
      <c r="AU3" s="7634"/>
      <c r="AV3" s="7635" t="s">
        <v>30</v>
      </c>
      <c r="AW3" s="7635"/>
      <c r="AX3" s="7634" t="s">
        <v>2163</v>
      </c>
      <c r="AY3" s="7634"/>
      <c r="AZ3" s="7646" t="s">
        <v>663</v>
      </c>
      <c r="BA3" s="7646"/>
      <c r="BB3" s="7648" t="s">
        <v>671</v>
      </c>
      <c r="BC3" s="7648"/>
      <c r="BD3" s="7635" t="s">
        <v>1765</v>
      </c>
      <c r="BE3" s="7635"/>
    </row>
    <row r="4" spans="1:62" ht="18.75" x14ac:dyDescent="0.3">
      <c r="A4" s="2342"/>
      <c r="B4" s="7918"/>
      <c r="C4" s="7632"/>
      <c r="D4" s="2138" t="s">
        <v>173</v>
      </c>
      <c r="E4" s="2346" t="s">
        <v>174</v>
      </c>
      <c r="F4" s="2138" t="s">
        <v>173</v>
      </c>
      <c r="G4" s="2346" t="s">
        <v>174</v>
      </c>
      <c r="H4" s="847" t="s">
        <v>173</v>
      </c>
      <c r="I4" s="2347" t="s">
        <v>174</v>
      </c>
      <c r="J4" s="1344" t="s">
        <v>173</v>
      </c>
      <c r="K4" s="2346" t="s">
        <v>174</v>
      </c>
      <c r="L4" s="848" t="s">
        <v>173</v>
      </c>
      <c r="M4" s="2277" t="s">
        <v>174</v>
      </c>
      <c r="N4" s="2278" t="s">
        <v>173</v>
      </c>
      <c r="O4" s="2278" t="s">
        <v>174</v>
      </c>
      <c r="P4" s="2275" t="s">
        <v>173</v>
      </c>
      <c r="Q4" s="2275" t="s">
        <v>174</v>
      </c>
      <c r="R4" s="4960" t="s">
        <v>173</v>
      </c>
      <c r="S4" s="4960" t="s">
        <v>174</v>
      </c>
      <c r="T4" s="4961" t="s">
        <v>173</v>
      </c>
      <c r="U4" s="4961" t="s">
        <v>174</v>
      </c>
      <c r="V4" s="2278" t="s">
        <v>173</v>
      </c>
      <c r="W4" s="2278" t="s">
        <v>174</v>
      </c>
      <c r="X4" s="2277" t="s">
        <v>173</v>
      </c>
      <c r="Y4" s="2277" t="s">
        <v>174</v>
      </c>
      <c r="Z4" s="2348" t="s">
        <v>173</v>
      </c>
      <c r="AA4" s="2348" t="s">
        <v>174</v>
      </c>
      <c r="AB4" s="5435" t="s">
        <v>173</v>
      </c>
      <c r="AC4" s="5435" t="s">
        <v>174</v>
      </c>
      <c r="AD4" s="2648" t="s">
        <v>173</v>
      </c>
      <c r="AE4" s="2648" t="s">
        <v>174</v>
      </c>
      <c r="AF4" s="2686" t="s">
        <v>173</v>
      </c>
      <c r="AG4" s="2686" t="s">
        <v>174</v>
      </c>
      <c r="AH4" s="2684" t="s">
        <v>173</v>
      </c>
      <c r="AI4" s="2684" t="s">
        <v>174</v>
      </c>
      <c r="AJ4" s="2758" t="s">
        <v>173</v>
      </c>
      <c r="AK4" s="2758" t="s">
        <v>174</v>
      </c>
      <c r="AL4" s="2756" t="s">
        <v>173</v>
      </c>
      <c r="AM4" s="2756" t="s">
        <v>174</v>
      </c>
      <c r="AN4" s="2754" t="s">
        <v>173</v>
      </c>
      <c r="AO4" s="2754" t="s">
        <v>174</v>
      </c>
      <c r="AP4" s="2812" t="s">
        <v>173</v>
      </c>
      <c r="AQ4" s="2812" t="s">
        <v>174</v>
      </c>
      <c r="AR4" s="2811" t="s">
        <v>173</v>
      </c>
      <c r="AS4" s="2811" t="s">
        <v>174</v>
      </c>
      <c r="AT4" s="2853" t="s">
        <v>173</v>
      </c>
      <c r="AU4" s="2853" t="s">
        <v>174</v>
      </c>
      <c r="AV4" s="2852" t="s">
        <v>173</v>
      </c>
      <c r="AW4" s="2852" t="s">
        <v>174</v>
      </c>
      <c r="AX4" s="3110" t="s">
        <v>173</v>
      </c>
      <c r="AY4" s="3110" t="s">
        <v>174</v>
      </c>
      <c r="AZ4" s="3108" t="s">
        <v>173</v>
      </c>
      <c r="BA4" s="3108" t="s">
        <v>174</v>
      </c>
      <c r="BB4" s="3114" t="s">
        <v>173</v>
      </c>
      <c r="BC4" s="3114" t="s">
        <v>174</v>
      </c>
      <c r="BD4" s="3106" t="s">
        <v>173</v>
      </c>
      <c r="BE4" s="3106" t="s">
        <v>174</v>
      </c>
    </row>
    <row r="5" spans="1:62" ht="18.75" x14ac:dyDescent="0.3">
      <c r="A5" s="2338"/>
      <c r="B5" s="1470" t="s">
        <v>0</v>
      </c>
      <c r="C5" s="1350"/>
      <c r="D5" s="1474"/>
      <c r="E5" s="1471"/>
      <c r="F5" s="1474"/>
      <c r="G5" s="1471"/>
      <c r="H5" s="1468"/>
      <c r="I5" s="1471"/>
      <c r="J5" s="1475"/>
      <c r="K5" s="1471"/>
      <c r="L5" s="1468"/>
      <c r="M5" s="949"/>
      <c r="N5" s="950"/>
      <c r="O5" s="950"/>
      <c r="P5" s="949"/>
      <c r="Q5" s="949"/>
      <c r="R5" s="950"/>
      <c r="S5" s="950"/>
      <c r="T5" s="949"/>
      <c r="U5" s="949"/>
      <c r="V5" s="950"/>
      <c r="W5" s="950"/>
      <c r="X5" s="1468"/>
      <c r="Y5" s="949"/>
      <c r="Z5" s="949"/>
      <c r="AA5" s="949"/>
      <c r="AB5" s="950"/>
      <c r="AC5" s="950"/>
      <c r="AD5" s="949"/>
      <c r="AE5" s="949"/>
      <c r="AF5" s="950"/>
      <c r="AG5" s="950"/>
      <c r="AH5" s="949"/>
      <c r="AI5" s="949"/>
      <c r="AJ5" s="950"/>
      <c r="AK5" s="950"/>
      <c r="AL5" s="1468"/>
      <c r="AM5" s="949"/>
      <c r="AN5" s="949"/>
      <c r="AO5" s="949"/>
      <c r="AP5" s="950"/>
      <c r="AQ5" s="950"/>
      <c r="AR5" s="949"/>
      <c r="AS5" s="949"/>
      <c r="AT5" s="950"/>
      <c r="AU5" s="950"/>
      <c r="AV5" s="949"/>
      <c r="AW5" s="949"/>
      <c r="AX5" s="950"/>
      <c r="AY5" s="950"/>
      <c r="AZ5" s="1468"/>
      <c r="BA5" s="949"/>
      <c r="BB5" s="949"/>
      <c r="BC5" s="949"/>
      <c r="BD5" s="949"/>
      <c r="BE5" s="949"/>
    </row>
    <row r="6" spans="1:62" ht="18.75" x14ac:dyDescent="0.3">
      <c r="A6" s="2338"/>
      <c r="B6" s="7916" t="s">
        <v>416</v>
      </c>
      <c r="C6" s="50" t="s">
        <v>415</v>
      </c>
      <c r="D6" s="740">
        <v>1180.8</v>
      </c>
      <c r="E6" s="2135">
        <v>1187.9000000000003</v>
      </c>
      <c r="F6" s="740">
        <v>1220.1600000000001</v>
      </c>
      <c r="G6" s="2135">
        <v>1224.8599999999999</v>
      </c>
      <c r="H6" s="350">
        <f>+D6+F6</f>
        <v>2400.96</v>
      </c>
      <c r="I6" s="211">
        <f>+E6+G6</f>
        <v>2412.7600000000002</v>
      </c>
      <c r="J6" s="740">
        <v>984</v>
      </c>
      <c r="K6" s="2135">
        <v>1111.5999999999997</v>
      </c>
      <c r="L6" s="405">
        <f>+D6+F6+J6</f>
        <v>3384.96</v>
      </c>
      <c r="M6" s="405">
        <f>+E6+G6+K6</f>
        <v>3524.3599999999997</v>
      </c>
      <c r="N6" s="740">
        <v>1082.4000000000001</v>
      </c>
      <c r="O6" s="2135">
        <v>1173.6899999999998</v>
      </c>
      <c r="P6" s="2274">
        <f>+L6+N6</f>
        <v>4467.3600000000006</v>
      </c>
      <c r="Q6" s="2274">
        <f>+M6+O6</f>
        <v>4698.0499999999993</v>
      </c>
      <c r="R6" s="740">
        <v>1220.1600000000001</v>
      </c>
      <c r="S6" s="2135">
        <v>1133.58</v>
      </c>
      <c r="T6" s="4134">
        <f>+P6+R6</f>
        <v>5687.52</v>
      </c>
      <c r="U6" s="4134">
        <f>+Q6+S6</f>
        <v>5831.6299999999992</v>
      </c>
      <c r="V6" s="740">
        <v>1180.8</v>
      </c>
      <c r="W6" s="2135">
        <v>1058.2599999999998</v>
      </c>
      <c r="X6" s="405">
        <f>N6+R6+V6</f>
        <v>3483.3600000000006</v>
      </c>
      <c r="Y6" s="405">
        <f>O6+S6+W6</f>
        <v>3365.5299999999993</v>
      </c>
      <c r="Z6" s="497">
        <f>L6+X6</f>
        <v>6868.3200000000006</v>
      </c>
      <c r="AA6" s="497">
        <f>M6+Y6</f>
        <v>6889.8899999999994</v>
      </c>
      <c r="AB6" s="740">
        <v>1220.1600000000001</v>
      </c>
      <c r="AC6" s="2135">
        <v>1069.8800000000003</v>
      </c>
      <c r="AD6" s="2647">
        <f>+Z6+AB6</f>
        <v>8088.4800000000005</v>
      </c>
      <c r="AE6" s="2647">
        <f>+AA6+AC6</f>
        <v>7959.7699999999995</v>
      </c>
      <c r="AF6" s="740">
        <v>1180.8</v>
      </c>
      <c r="AG6" s="2135">
        <v>760.34000000000037</v>
      </c>
      <c r="AH6" s="4134">
        <f>+AD6+AF6</f>
        <v>9269.2800000000007</v>
      </c>
      <c r="AI6" s="4134">
        <f>+AE6+AG6</f>
        <v>8720.11</v>
      </c>
      <c r="AJ6" s="740">
        <v>1220.1600000000001</v>
      </c>
      <c r="AK6" s="2135">
        <v>1222.7599999999998</v>
      </c>
      <c r="AL6" s="405">
        <f>AB6+AF6+AJ6</f>
        <v>3621.12</v>
      </c>
      <c r="AM6" s="405">
        <f>AC6+AG6+AK6</f>
        <v>3052.9800000000005</v>
      </c>
      <c r="AN6" s="2755">
        <f>+AH6+AJ6</f>
        <v>10489.44</v>
      </c>
      <c r="AO6" s="2755">
        <f>+AI6+AK6</f>
        <v>9942.8700000000008</v>
      </c>
      <c r="AP6" s="740">
        <v>1220.1600000000001</v>
      </c>
      <c r="AQ6" s="2135">
        <v>1224.58</v>
      </c>
      <c r="AR6" s="2810">
        <f>+AN6+AP6</f>
        <v>11709.6</v>
      </c>
      <c r="AS6" s="2810">
        <f>+AO6+AQ6</f>
        <v>11167.45</v>
      </c>
      <c r="AT6" s="740">
        <v>1102.08</v>
      </c>
      <c r="AU6" s="2135">
        <v>1123.57</v>
      </c>
      <c r="AV6" s="4134">
        <f>+AR6+AT6</f>
        <v>12811.68</v>
      </c>
      <c r="AW6" s="4134">
        <f>+AS6+AU6</f>
        <v>12291.02</v>
      </c>
      <c r="AX6" s="740">
        <v>1220.1600000000001</v>
      </c>
      <c r="AY6" s="2135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3105">
        <f>+AV6+AX6</f>
        <v>14031.84</v>
      </c>
      <c r="BE6" s="3105">
        <f>+AW6+AY6</f>
        <v>13541.220000000001</v>
      </c>
      <c r="BF6" s="26"/>
      <c r="BG6" s="26"/>
      <c r="BH6" s="26"/>
      <c r="BI6" s="4713"/>
      <c r="BJ6" s="4713"/>
    </row>
    <row r="7" spans="1:62" ht="18.75" x14ac:dyDescent="0.3">
      <c r="A7" s="2338"/>
      <c r="B7" s="7916"/>
      <c r="C7" s="50" t="s">
        <v>50</v>
      </c>
      <c r="D7" s="740">
        <v>1686.8571428571429</v>
      </c>
      <c r="E7" s="2135">
        <v>1697.0000000000005</v>
      </c>
      <c r="F7" s="740">
        <v>1743.0857142857144</v>
      </c>
      <c r="G7" s="2135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40">
        <v>1405.7142857142858</v>
      </c>
      <c r="K7" s="2135">
        <v>1587.9999999999998</v>
      </c>
      <c r="L7" s="405">
        <f t="shared" ref="L7:L15" si="2">+D7+F7+J7</f>
        <v>4835.6571428571424</v>
      </c>
      <c r="M7" s="405">
        <f t="shared" ref="M7:M15" si="3">+E7+G7+K7</f>
        <v>5034.8</v>
      </c>
      <c r="N7" s="740">
        <v>1546.2857142857142</v>
      </c>
      <c r="O7" s="2135">
        <v>1676.6999999999998</v>
      </c>
      <c r="P7" s="2274">
        <f t="shared" ref="P7:Q15" si="4">+L7+N7</f>
        <v>6381.9428571428562</v>
      </c>
      <c r="Q7" s="2274">
        <f t="shared" si="4"/>
        <v>6711.5</v>
      </c>
      <c r="R7" s="740">
        <v>1743.0857142857144</v>
      </c>
      <c r="S7" s="2135">
        <v>1619.3999999999999</v>
      </c>
      <c r="T7" s="4134">
        <f t="shared" ref="T7:T15" si="5">+P7+R7</f>
        <v>8125.028571428571</v>
      </c>
      <c r="U7" s="4134">
        <f t="shared" ref="U7:U15" si="6">+Q7+S7</f>
        <v>8330.9</v>
      </c>
      <c r="V7" s="740">
        <v>1686.8571428571429</v>
      </c>
      <c r="W7" s="2135">
        <v>1511.7999999999997</v>
      </c>
      <c r="X7" s="405">
        <f t="shared" ref="X7:X15" si="7">N7+R7+V7</f>
        <v>4976.2285714285717</v>
      </c>
      <c r="Y7" s="405">
        <f t="shared" ref="Y7:Y15" si="8">O7+S7+W7</f>
        <v>4807.8999999999996</v>
      </c>
      <c r="Z7" s="497">
        <f t="shared" ref="Z7:Z15" si="9">L7+X7</f>
        <v>9811.8857142857141</v>
      </c>
      <c r="AA7" s="497">
        <f t="shared" ref="AA7:AA15" si="10">M7+Y7</f>
        <v>9842.7000000000007</v>
      </c>
      <c r="AB7" s="740">
        <v>1743.0857142857144</v>
      </c>
      <c r="AC7" s="2135">
        <v>1528.4000000000003</v>
      </c>
      <c r="AD7" s="2647">
        <f t="shared" ref="AD7:AD15" si="11">+Z7+AB7</f>
        <v>11554.971428571429</v>
      </c>
      <c r="AE7" s="2647">
        <f t="shared" ref="AE7:AE15" si="12">+AA7+AC7</f>
        <v>11371.1</v>
      </c>
      <c r="AF7" s="740">
        <v>1686.8571428571429</v>
      </c>
      <c r="AG7" s="2135">
        <v>1086.2000000000005</v>
      </c>
      <c r="AH7" s="4134">
        <f t="shared" ref="AH7:AH15" si="13">+AD7+AF7</f>
        <v>13241.828571428572</v>
      </c>
      <c r="AI7" s="4134">
        <f t="shared" ref="AI7:AI15" si="14">+AE7+AG7</f>
        <v>12457.300000000001</v>
      </c>
      <c r="AJ7" s="740">
        <v>1743.0857142857144</v>
      </c>
      <c r="AK7" s="2135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755">
        <f t="shared" ref="AN7:AN15" si="17">+AH7+AJ7</f>
        <v>14984.914285714287</v>
      </c>
      <c r="AO7" s="2755">
        <f t="shared" ref="AO7:AO15" si="18">+AI7+AK7</f>
        <v>14204.1</v>
      </c>
      <c r="AP7" s="740">
        <v>1743.0857142857144</v>
      </c>
      <c r="AQ7" s="2135">
        <v>1749.3999999999999</v>
      </c>
      <c r="AR7" s="2810">
        <f t="shared" ref="AR7:AR15" si="19">+AN7+AP7</f>
        <v>16728</v>
      </c>
      <c r="AS7" s="2810">
        <f t="shared" ref="AS7:AS15" si="20">+AO7+AQ7</f>
        <v>15953.5</v>
      </c>
      <c r="AT7" s="740">
        <v>1574.4</v>
      </c>
      <c r="AU7" s="2135">
        <v>1605.1000000000001</v>
      </c>
      <c r="AV7" s="4134">
        <f t="shared" ref="AV7:AV15" si="21">+AR7+AT7</f>
        <v>18302.400000000001</v>
      </c>
      <c r="AW7" s="4134">
        <f t="shared" ref="AW7:AW15" si="22">+AS7+AU7</f>
        <v>17558.599999999999</v>
      </c>
      <c r="AX7" s="740">
        <v>1743.0857142857144</v>
      </c>
      <c r="AY7" s="2135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3105">
        <f t="shared" ref="BD7:BD15" si="27">+AV7+AX7</f>
        <v>20045.485714285714</v>
      </c>
      <c r="BE7" s="3105">
        <f t="shared" ref="BE7:BE15" si="28">+AW7+AY7</f>
        <v>19344.599999999999</v>
      </c>
      <c r="BF7" s="26"/>
      <c r="BG7" s="26"/>
      <c r="BH7" s="26"/>
      <c r="BI7" s="4713"/>
      <c r="BJ7" s="4713"/>
    </row>
    <row r="8" spans="1:62" ht="18.75" x14ac:dyDescent="0.3">
      <c r="A8" s="2338"/>
      <c r="B8" s="7916" t="s">
        <v>417</v>
      </c>
      <c r="C8" s="50" t="s">
        <v>415</v>
      </c>
      <c r="D8" s="740">
        <v>28728</v>
      </c>
      <c r="E8" s="2135">
        <v>28888.789999999997</v>
      </c>
      <c r="F8" s="740">
        <v>29685.599999999999</v>
      </c>
      <c r="G8" s="2135">
        <v>29677.759999999995</v>
      </c>
      <c r="H8" s="350">
        <f t="shared" si="0"/>
        <v>58413.599999999999</v>
      </c>
      <c r="I8" s="211">
        <f t="shared" si="1"/>
        <v>58566.549999999988</v>
      </c>
      <c r="J8" s="740">
        <v>23940</v>
      </c>
      <c r="K8" s="2135">
        <v>26932.359999999997</v>
      </c>
      <c r="L8" s="405">
        <f t="shared" si="2"/>
        <v>82353.600000000006</v>
      </c>
      <c r="M8" s="405">
        <f t="shared" si="3"/>
        <v>85498.909999999989</v>
      </c>
      <c r="N8" s="740">
        <v>26334</v>
      </c>
      <c r="O8" s="2135">
        <v>29263.78</v>
      </c>
      <c r="P8" s="2274">
        <f t="shared" si="4"/>
        <v>108687.6</v>
      </c>
      <c r="Q8" s="2274">
        <f t="shared" si="4"/>
        <v>114762.68999999999</v>
      </c>
      <c r="R8" s="740">
        <v>29685.599999999999</v>
      </c>
      <c r="S8" s="2135">
        <v>29180.340000000004</v>
      </c>
      <c r="T8" s="4134">
        <f t="shared" si="5"/>
        <v>138373.20000000001</v>
      </c>
      <c r="U8" s="4134">
        <f t="shared" si="6"/>
        <v>143943.03</v>
      </c>
      <c r="V8" s="740">
        <v>28728</v>
      </c>
      <c r="W8" s="2135">
        <v>26654.039999999997</v>
      </c>
      <c r="X8" s="405">
        <f t="shared" si="7"/>
        <v>84747.6</v>
      </c>
      <c r="Y8" s="405">
        <f t="shared" si="8"/>
        <v>85098.16</v>
      </c>
      <c r="Z8" s="497">
        <f t="shared" si="9"/>
        <v>167101.20000000001</v>
      </c>
      <c r="AA8" s="497">
        <f t="shared" si="10"/>
        <v>170597.07</v>
      </c>
      <c r="AB8" s="740">
        <v>29685.599999999999</v>
      </c>
      <c r="AC8" s="2135">
        <v>26439.77</v>
      </c>
      <c r="AD8" s="2647">
        <f t="shared" si="11"/>
        <v>196786.80000000002</v>
      </c>
      <c r="AE8" s="2647">
        <f t="shared" si="12"/>
        <v>197036.84</v>
      </c>
      <c r="AF8" s="740">
        <v>28728</v>
      </c>
      <c r="AG8" s="2135">
        <v>19018.859999999993</v>
      </c>
      <c r="AH8" s="4134">
        <f t="shared" si="13"/>
        <v>225514.80000000002</v>
      </c>
      <c r="AI8" s="4134">
        <f t="shared" si="14"/>
        <v>216055.69999999998</v>
      </c>
      <c r="AJ8" s="740">
        <v>29685.599999999999</v>
      </c>
      <c r="AK8" s="2135">
        <v>30570.505000000001</v>
      </c>
      <c r="AL8" s="405">
        <f t="shared" si="15"/>
        <v>88099.199999999997</v>
      </c>
      <c r="AM8" s="405">
        <f t="shared" si="16"/>
        <v>76029.134999999995</v>
      </c>
      <c r="AN8" s="2755">
        <f t="shared" si="17"/>
        <v>255200.40000000002</v>
      </c>
      <c r="AO8" s="2755">
        <f t="shared" si="18"/>
        <v>246626.20499999999</v>
      </c>
      <c r="AP8" s="740">
        <v>29685.599999999999</v>
      </c>
      <c r="AQ8" s="2135">
        <v>30217.046999999999</v>
      </c>
      <c r="AR8" s="2810">
        <f t="shared" si="19"/>
        <v>284886</v>
      </c>
      <c r="AS8" s="2810">
        <f t="shared" si="20"/>
        <v>276843.25199999998</v>
      </c>
      <c r="AT8" s="740">
        <v>26812.799999999999</v>
      </c>
      <c r="AU8" s="2135">
        <v>27317.919999999991</v>
      </c>
      <c r="AV8" s="4134">
        <f t="shared" si="21"/>
        <v>311698.8</v>
      </c>
      <c r="AW8" s="4134">
        <f t="shared" si="22"/>
        <v>304161.17199999996</v>
      </c>
      <c r="AX8" s="740">
        <v>29685.599999999999</v>
      </c>
      <c r="AY8" s="2135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3105">
        <f t="shared" si="27"/>
        <v>341384.39999999997</v>
      </c>
      <c r="BE8" s="3105">
        <f t="shared" si="28"/>
        <v>334465.92199999996</v>
      </c>
      <c r="BF8" s="26"/>
      <c r="BG8" s="26"/>
      <c r="BH8" s="26"/>
      <c r="BI8" s="4713"/>
      <c r="BJ8" s="4713"/>
    </row>
    <row r="9" spans="1:62" ht="18.75" x14ac:dyDescent="0.3">
      <c r="A9" s="2338"/>
      <c r="B9" s="7916"/>
      <c r="C9" s="50" t="s">
        <v>50</v>
      </c>
      <c r="D9" s="740">
        <v>41040</v>
      </c>
      <c r="E9" s="2135">
        <v>41269.699999999997</v>
      </c>
      <c r="F9" s="740">
        <v>42408</v>
      </c>
      <c r="G9" s="2135">
        <v>42396.799999999996</v>
      </c>
      <c r="H9" s="350">
        <f t="shared" si="0"/>
        <v>83448</v>
      </c>
      <c r="I9" s="211">
        <f t="shared" si="1"/>
        <v>83666.5</v>
      </c>
      <c r="J9" s="740">
        <v>34200</v>
      </c>
      <c r="K9" s="2135">
        <v>38474.799999999996</v>
      </c>
      <c r="L9" s="405">
        <f t="shared" si="2"/>
        <v>117648</v>
      </c>
      <c r="M9" s="405">
        <f t="shared" si="3"/>
        <v>122141.29999999999</v>
      </c>
      <c r="N9" s="740">
        <v>37620</v>
      </c>
      <c r="O9" s="2135">
        <v>41805.4</v>
      </c>
      <c r="P9" s="2274">
        <f t="shared" si="4"/>
        <v>155268</v>
      </c>
      <c r="Q9" s="2274">
        <f t="shared" si="4"/>
        <v>163946.69999999998</v>
      </c>
      <c r="R9" s="740">
        <v>42408</v>
      </c>
      <c r="S9" s="2135">
        <v>41686.200000000004</v>
      </c>
      <c r="T9" s="4134">
        <f t="shared" si="5"/>
        <v>197676</v>
      </c>
      <c r="U9" s="4134">
        <f t="shared" si="6"/>
        <v>205632.9</v>
      </c>
      <c r="V9" s="740">
        <v>41040</v>
      </c>
      <c r="W9" s="2135">
        <v>38077.199999999997</v>
      </c>
      <c r="X9" s="405">
        <f t="shared" si="7"/>
        <v>121068</v>
      </c>
      <c r="Y9" s="405">
        <f t="shared" si="8"/>
        <v>121568.8</v>
      </c>
      <c r="Z9" s="497">
        <f t="shared" si="9"/>
        <v>238716</v>
      </c>
      <c r="AA9" s="497">
        <f t="shared" si="10"/>
        <v>243710.09999999998</v>
      </c>
      <c r="AB9" s="740">
        <v>42408</v>
      </c>
      <c r="AC9" s="2135">
        <v>37771.1</v>
      </c>
      <c r="AD9" s="2647">
        <f t="shared" si="11"/>
        <v>281124</v>
      </c>
      <c r="AE9" s="2647">
        <f t="shared" si="12"/>
        <v>281481.19999999995</v>
      </c>
      <c r="AF9" s="740">
        <v>41040</v>
      </c>
      <c r="AG9" s="2135">
        <v>27169.799999999992</v>
      </c>
      <c r="AH9" s="4134">
        <f t="shared" si="13"/>
        <v>322164</v>
      </c>
      <c r="AI9" s="4134">
        <f t="shared" si="14"/>
        <v>308650.99999999994</v>
      </c>
      <c r="AJ9" s="740">
        <v>42408</v>
      </c>
      <c r="AK9" s="2135">
        <v>43672.15</v>
      </c>
      <c r="AL9" s="405">
        <f t="shared" si="15"/>
        <v>125856</v>
      </c>
      <c r="AM9" s="405">
        <f t="shared" si="16"/>
        <v>108613.04999999999</v>
      </c>
      <c r="AN9" s="2755">
        <f t="shared" si="17"/>
        <v>364572</v>
      </c>
      <c r="AO9" s="2755">
        <f t="shared" si="18"/>
        <v>352323.14999999997</v>
      </c>
      <c r="AP9" s="740">
        <v>42408</v>
      </c>
      <c r="AQ9" s="2135">
        <v>43167.21</v>
      </c>
      <c r="AR9" s="2810">
        <f t="shared" si="19"/>
        <v>406980</v>
      </c>
      <c r="AS9" s="2810">
        <f t="shared" si="20"/>
        <v>395490.36</v>
      </c>
      <c r="AT9" s="740">
        <v>38304</v>
      </c>
      <c r="AU9" s="2135">
        <v>39025.599999999991</v>
      </c>
      <c r="AV9" s="4134">
        <f t="shared" si="21"/>
        <v>445284</v>
      </c>
      <c r="AW9" s="4134">
        <f t="shared" si="22"/>
        <v>434515.95999999996</v>
      </c>
      <c r="AX9" s="740">
        <v>42408</v>
      </c>
      <c r="AY9" s="2135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3105">
        <f t="shared" si="27"/>
        <v>487692</v>
      </c>
      <c r="BE9" s="3105">
        <f t="shared" si="28"/>
        <v>477808.45999999996</v>
      </c>
      <c r="BF9" s="26"/>
      <c r="BG9" s="26"/>
      <c r="BH9" s="26"/>
      <c r="BI9" s="4713"/>
      <c r="BJ9" s="4713"/>
    </row>
    <row r="10" spans="1:62" ht="18.75" x14ac:dyDescent="0.3">
      <c r="A10" s="2338"/>
      <c r="B10" s="7916" t="s">
        <v>418</v>
      </c>
      <c r="C10" s="50" t="s">
        <v>415</v>
      </c>
      <c r="D10" s="740">
        <v>590.4</v>
      </c>
      <c r="E10" s="2135">
        <v>328.32</v>
      </c>
      <c r="F10" s="740">
        <v>610.08000000000004</v>
      </c>
      <c r="G10" s="2135">
        <v>344.23999999999995</v>
      </c>
      <c r="H10" s="350">
        <f t="shared" si="0"/>
        <v>1200.48</v>
      </c>
      <c r="I10" s="211">
        <f t="shared" si="1"/>
        <v>672.56</v>
      </c>
      <c r="J10" s="740">
        <v>492</v>
      </c>
      <c r="K10" s="2135">
        <v>615.6</v>
      </c>
      <c r="L10" s="405">
        <f t="shared" si="2"/>
        <v>1692.48</v>
      </c>
      <c r="M10" s="405">
        <f t="shared" si="3"/>
        <v>1288.1599999999999</v>
      </c>
      <c r="N10" s="740">
        <v>541.20000000000005</v>
      </c>
      <c r="O10" s="2135">
        <v>617.36</v>
      </c>
      <c r="P10" s="2274">
        <f t="shared" si="4"/>
        <v>2233.6800000000003</v>
      </c>
      <c r="Q10" s="2274">
        <f t="shared" si="4"/>
        <v>1905.52</v>
      </c>
      <c r="R10" s="740">
        <v>610.08000000000004</v>
      </c>
      <c r="S10" s="2135">
        <v>598.4</v>
      </c>
      <c r="T10" s="4134">
        <f t="shared" si="5"/>
        <v>2843.76</v>
      </c>
      <c r="U10" s="4134">
        <f t="shared" si="6"/>
        <v>2503.92</v>
      </c>
      <c r="V10" s="740">
        <v>590.4</v>
      </c>
      <c r="W10" s="2135">
        <v>559.91999999999996</v>
      </c>
      <c r="X10" s="405">
        <f t="shared" si="7"/>
        <v>1741.6800000000003</v>
      </c>
      <c r="Y10" s="405">
        <f t="shared" si="8"/>
        <v>1775.6799999999998</v>
      </c>
      <c r="Z10" s="497">
        <f t="shared" si="9"/>
        <v>3434.1600000000003</v>
      </c>
      <c r="AA10" s="497">
        <f t="shared" si="10"/>
        <v>3063.8399999999997</v>
      </c>
      <c r="AB10" s="740">
        <v>610.08000000000004</v>
      </c>
      <c r="AC10" s="2135">
        <v>566.88</v>
      </c>
      <c r="AD10" s="2647">
        <f t="shared" si="11"/>
        <v>4044.2400000000002</v>
      </c>
      <c r="AE10" s="2647">
        <f t="shared" si="12"/>
        <v>3630.72</v>
      </c>
      <c r="AF10" s="740">
        <v>590.4</v>
      </c>
      <c r="AG10" s="2135">
        <v>417.12</v>
      </c>
      <c r="AH10" s="4134">
        <f t="shared" si="13"/>
        <v>4634.6400000000003</v>
      </c>
      <c r="AI10" s="4134">
        <f t="shared" si="14"/>
        <v>4047.8399999999997</v>
      </c>
      <c r="AJ10" s="740">
        <v>610.08000000000004</v>
      </c>
      <c r="AK10" s="2135">
        <v>554.6400000000001</v>
      </c>
      <c r="AL10" s="405">
        <f t="shared" si="15"/>
        <v>1810.56</v>
      </c>
      <c r="AM10" s="405">
        <f t="shared" si="16"/>
        <v>1538.64</v>
      </c>
      <c r="AN10" s="2755">
        <f t="shared" si="17"/>
        <v>5244.72</v>
      </c>
      <c r="AO10" s="2755">
        <f t="shared" si="18"/>
        <v>4602.4799999999996</v>
      </c>
      <c r="AP10" s="740">
        <v>610.08000000000004</v>
      </c>
      <c r="AQ10" s="2135">
        <v>348.88</v>
      </c>
      <c r="AR10" s="2810">
        <f t="shared" si="19"/>
        <v>5854.8</v>
      </c>
      <c r="AS10" s="2810">
        <f t="shared" si="20"/>
        <v>4951.3599999999997</v>
      </c>
      <c r="AT10" s="740">
        <v>551.04</v>
      </c>
      <c r="AU10" s="2135">
        <v>311.52000000000004</v>
      </c>
      <c r="AV10" s="4134">
        <f t="shared" si="21"/>
        <v>6405.84</v>
      </c>
      <c r="AW10" s="4134">
        <f t="shared" si="22"/>
        <v>5262.88</v>
      </c>
      <c r="AX10" s="740">
        <v>610.08000000000004</v>
      </c>
      <c r="AY10" s="2135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3105">
        <f t="shared" si="27"/>
        <v>7015.92</v>
      </c>
      <c r="BE10" s="3105">
        <f t="shared" si="28"/>
        <v>5607.4400000000005</v>
      </c>
      <c r="BF10" s="26"/>
      <c r="BG10" s="26"/>
      <c r="BH10" s="26"/>
      <c r="BI10" s="4713"/>
      <c r="BJ10" s="4713"/>
    </row>
    <row r="11" spans="1:62" ht="18.75" x14ac:dyDescent="0.3">
      <c r="A11" s="2338"/>
      <c r="B11" s="7916"/>
      <c r="C11" s="50" t="s">
        <v>50</v>
      </c>
      <c r="D11" s="740">
        <v>737.99999999999989</v>
      </c>
      <c r="E11" s="2135">
        <v>410.40000000000003</v>
      </c>
      <c r="F11" s="740">
        <v>762.6</v>
      </c>
      <c r="G11" s="2135">
        <v>430.29999999999995</v>
      </c>
      <c r="H11" s="350">
        <f t="shared" si="0"/>
        <v>1500.6</v>
      </c>
      <c r="I11" s="211">
        <f t="shared" si="1"/>
        <v>840.7</v>
      </c>
      <c r="J11" s="740">
        <v>615</v>
      </c>
      <c r="K11" s="2135">
        <v>769.5</v>
      </c>
      <c r="L11" s="405">
        <f t="shared" si="2"/>
        <v>2115.6</v>
      </c>
      <c r="M11" s="405">
        <f t="shared" si="3"/>
        <v>1610.2</v>
      </c>
      <c r="N11" s="740">
        <v>676.5</v>
      </c>
      <c r="O11" s="2135">
        <v>771.69999999999993</v>
      </c>
      <c r="P11" s="2274">
        <f t="shared" si="4"/>
        <v>2792.1</v>
      </c>
      <c r="Q11" s="2274">
        <f t="shared" si="4"/>
        <v>2381.9</v>
      </c>
      <c r="R11" s="740">
        <v>762.6</v>
      </c>
      <c r="S11" s="2135">
        <v>748</v>
      </c>
      <c r="T11" s="4134">
        <f t="shared" si="5"/>
        <v>3554.7</v>
      </c>
      <c r="U11" s="4134">
        <f t="shared" si="6"/>
        <v>3129.9</v>
      </c>
      <c r="V11" s="740">
        <v>737.99999999999989</v>
      </c>
      <c r="W11" s="2135">
        <v>699.9</v>
      </c>
      <c r="X11" s="405">
        <f t="shared" si="7"/>
        <v>2177.1</v>
      </c>
      <c r="Y11" s="405">
        <f t="shared" si="8"/>
        <v>2219.6</v>
      </c>
      <c r="Z11" s="497">
        <f t="shared" si="9"/>
        <v>4292.7</v>
      </c>
      <c r="AA11" s="497">
        <f t="shared" si="10"/>
        <v>3829.8</v>
      </c>
      <c r="AB11" s="740">
        <v>762.6</v>
      </c>
      <c r="AC11" s="2135">
        <v>708.6</v>
      </c>
      <c r="AD11" s="2647">
        <f t="shared" si="11"/>
        <v>5055.3</v>
      </c>
      <c r="AE11" s="2647">
        <f t="shared" si="12"/>
        <v>4538.4000000000005</v>
      </c>
      <c r="AF11" s="740">
        <v>737.99999999999989</v>
      </c>
      <c r="AG11" s="2135">
        <v>521.4</v>
      </c>
      <c r="AH11" s="4134">
        <f t="shared" si="13"/>
        <v>5793.3</v>
      </c>
      <c r="AI11" s="4134">
        <f t="shared" si="14"/>
        <v>5059.8</v>
      </c>
      <c r="AJ11" s="740">
        <v>762.6</v>
      </c>
      <c r="AK11" s="2135">
        <v>693.30000000000018</v>
      </c>
      <c r="AL11" s="405">
        <f t="shared" si="15"/>
        <v>2263.1999999999998</v>
      </c>
      <c r="AM11" s="405">
        <f t="shared" si="16"/>
        <v>1923.3000000000002</v>
      </c>
      <c r="AN11" s="2755">
        <f t="shared" si="17"/>
        <v>6555.9000000000005</v>
      </c>
      <c r="AO11" s="2755">
        <f t="shared" si="18"/>
        <v>5753.1</v>
      </c>
      <c r="AP11" s="740">
        <v>762.6</v>
      </c>
      <c r="AQ11" s="2135">
        <v>436.1</v>
      </c>
      <c r="AR11" s="2810">
        <f t="shared" si="19"/>
        <v>7318.5000000000009</v>
      </c>
      <c r="AS11" s="2810">
        <f t="shared" si="20"/>
        <v>6189.2000000000007</v>
      </c>
      <c r="AT11" s="740">
        <v>688.8</v>
      </c>
      <c r="AU11" s="2135">
        <v>389.40000000000009</v>
      </c>
      <c r="AV11" s="4134">
        <f t="shared" si="21"/>
        <v>8007.3000000000011</v>
      </c>
      <c r="AW11" s="4134">
        <f t="shared" si="22"/>
        <v>6578.6</v>
      </c>
      <c r="AX11" s="740">
        <v>762.6</v>
      </c>
      <c r="AY11" s="2135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3105">
        <f t="shared" si="27"/>
        <v>8769.9000000000015</v>
      </c>
      <c r="BE11" s="3105">
        <f t="shared" si="28"/>
        <v>7009.3</v>
      </c>
      <c r="BF11" s="26"/>
      <c r="BG11" s="26"/>
      <c r="BH11" s="26"/>
      <c r="BI11" s="4713"/>
      <c r="BJ11" s="4713"/>
    </row>
    <row r="12" spans="1:62" ht="18.75" x14ac:dyDescent="0.3">
      <c r="A12" s="2338"/>
      <c r="B12" s="7916" t="s">
        <v>419</v>
      </c>
      <c r="C12" s="50" t="s">
        <v>415</v>
      </c>
      <c r="D12" s="740">
        <v>23256</v>
      </c>
      <c r="E12" s="2135">
        <v>27201.599999999999</v>
      </c>
      <c r="F12" s="740">
        <v>24031.200000000001</v>
      </c>
      <c r="G12" s="2135">
        <v>28108.080000000002</v>
      </c>
      <c r="H12" s="350">
        <f t="shared" si="0"/>
        <v>47287.199999999997</v>
      </c>
      <c r="I12" s="211">
        <f t="shared" si="1"/>
        <v>55309.68</v>
      </c>
      <c r="J12" s="740">
        <v>18582</v>
      </c>
      <c r="K12" s="2135">
        <v>24563.919999999991</v>
      </c>
      <c r="L12" s="405">
        <f t="shared" si="2"/>
        <v>65869.2</v>
      </c>
      <c r="M12" s="405">
        <f t="shared" si="3"/>
        <v>79873.599999999991</v>
      </c>
      <c r="N12" s="740">
        <v>20577</v>
      </c>
      <c r="O12" s="2135">
        <v>26921.68</v>
      </c>
      <c r="P12" s="2274">
        <f t="shared" si="4"/>
        <v>86446.2</v>
      </c>
      <c r="Q12" s="2274">
        <f t="shared" si="4"/>
        <v>106795.28</v>
      </c>
      <c r="R12" s="740">
        <v>23324.400000000001</v>
      </c>
      <c r="S12" s="2135">
        <v>26441.120000000006</v>
      </c>
      <c r="T12" s="4134">
        <f t="shared" si="5"/>
        <v>109770.6</v>
      </c>
      <c r="U12" s="4134">
        <f t="shared" si="6"/>
        <v>133236.4</v>
      </c>
      <c r="V12" s="740">
        <v>22572</v>
      </c>
      <c r="W12" s="2135">
        <v>24099.119999999992</v>
      </c>
      <c r="X12" s="405">
        <f t="shared" si="7"/>
        <v>66473.399999999994</v>
      </c>
      <c r="Y12" s="405">
        <f t="shared" si="8"/>
        <v>77461.919999999998</v>
      </c>
      <c r="Z12" s="497">
        <f t="shared" si="9"/>
        <v>132342.59999999998</v>
      </c>
      <c r="AA12" s="497">
        <f t="shared" si="10"/>
        <v>157335.51999999999</v>
      </c>
      <c r="AB12" s="740">
        <v>23324.400000000001</v>
      </c>
      <c r="AC12" s="2135">
        <v>24314.400000000005</v>
      </c>
      <c r="AD12" s="2647">
        <f t="shared" si="11"/>
        <v>155666.99999999997</v>
      </c>
      <c r="AE12" s="2647">
        <f t="shared" si="12"/>
        <v>181649.91999999998</v>
      </c>
      <c r="AF12" s="740">
        <v>22572</v>
      </c>
      <c r="AG12" s="2135">
        <v>17001.52</v>
      </c>
      <c r="AH12" s="4134">
        <f t="shared" si="13"/>
        <v>178238.99999999997</v>
      </c>
      <c r="AI12" s="4134">
        <f t="shared" si="14"/>
        <v>198651.43999999997</v>
      </c>
      <c r="AJ12" s="740">
        <v>23324.400000000001</v>
      </c>
      <c r="AK12" s="2135">
        <v>27133.200000000001</v>
      </c>
      <c r="AL12" s="405">
        <f t="shared" si="15"/>
        <v>69220.800000000003</v>
      </c>
      <c r="AM12" s="405">
        <f t="shared" si="16"/>
        <v>68449.12000000001</v>
      </c>
      <c r="AN12" s="2755">
        <f t="shared" si="17"/>
        <v>201563.39999999997</v>
      </c>
      <c r="AO12" s="2755">
        <f t="shared" si="18"/>
        <v>225784.63999999998</v>
      </c>
      <c r="AP12" s="740">
        <v>23324.400000000001</v>
      </c>
      <c r="AQ12" s="2135">
        <v>28050.320000000007</v>
      </c>
      <c r="AR12" s="2810">
        <f t="shared" si="19"/>
        <v>224887.79999999996</v>
      </c>
      <c r="AS12" s="2810">
        <f t="shared" si="20"/>
        <v>253834.96</v>
      </c>
      <c r="AT12" s="740">
        <v>21067.200000000001</v>
      </c>
      <c r="AU12" s="2135">
        <v>25552.560000000005</v>
      </c>
      <c r="AV12" s="4134">
        <f t="shared" si="21"/>
        <v>245954.99999999997</v>
      </c>
      <c r="AW12" s="4134">
        <f t="shared" si="22"/>
        <v>279387.52000000002</v>
      </c>
      <c r="AX12" s="740">
        <v>23324.400000000001</v>
      </c>
      <c r="AY12" s="2135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3105">
        <f t="shared" si="27"/>
        <v>269279.39999999997</v>
      </c>
      <c r="BE12" s="3105">
        <f t="shared" si="28"/>
        <v>307654.48000000004</v>
      </c>
      <c r="BF12" s="26"/>
      <c r="BG12" s="26"/>
      <c r="BH12" s="26"/>
      <c r="BI12" s="4713"/>
      <c r="BJ12" s="4713"/>
    </row>
    <row r="13" spans="1:62" ht="18.75" x14ac:dyDescent="0.3">
      <c r="A13" s="2338"/>
      <c r="B13" s="7916"/>
      <c r="C13" s="50" t="s">
        <v>50</v>
      </c>
      <c r="D13" s="740">
        <v>29070</v>
      </c>
      <c r="E13" s="2135">
        <v>34002</v>
      </c>
      <c r="F13" s="740">
        <v>30039</v>
      </c>
      <c r="G13" s="2135">
        <v>35135.1</v>
      </c>
      <c r="H13" s="350">
        <f t="shared" si="0"/>
        <v>59109</v>
      </c>
      <c r="I13" s="211">
        <f t="shared" si="1"/>
        <v>69137.100000000006</v>
      </c>
      <c r="J13" s="740">
        <v>23227.5</v>
      </c>
      <c r="K13" s="2135">
        <v>30704.899999999991</v>
      </c>
      <c r="L13" s="405">
        <f t="shared" si="2"/>
        <v>82336.5</v>
      </c>
      <c r="M13" s="405">
        <f t="shared" si="3"/>
        <v>99842</v>
      </c>
      <c r="N13" s="740">
        <v>25721.25</v>
      </c>
      <c r="O13" s="2135">
        <v>33652.1</v>
      </c>
      <c r="P13" s="2274">
        <f t="shared" si="4"/>
        <v>108057.75</v>
      </c>
      <c r="Q13" s="2274">
        <f t="shared" si="4"/>
        <v>133494.1</v>
      </c>
      <c r="R13" s="740">
        <v>29155.5</v>
      </c>
      <c r="S13" s="2135">
        <v>33051.400000000009</v>
      </c>
      <c r="T13" s="4134">
        <f t="shared" si="5"/>
        <v>137213.25</v>
      </c>
      <c r="U13" s="4134">
        <f t="shared" si="6"/>
        <v>166545.5</v>
      </c>
      <c r="V13" s="740">
        <v>28215</v>
      </c>
      <c r="W13" s="2135">
        <v>30123.899999999991</v>
      </c>
      <c r="X13" s="405">
        <f t="shared" si="7"/>
        <v>83091.75</v>
      </c>
      <c r="Y13" s="405">
        <f t="shared" si="8"/>
        <v>96827.4</v>
      </c>
      <c r="Z13" s="497">
        <f t="shared" si="9"/>
        <v>165428.25</v>
      </c>
      <c r="AA13" s="497">
        <f t="shared" si="10"/>
        <v>196669.4</v>
      </c>
      <c r="AB13" s="740">
        <v>29155.5</v>
      </c>
      <c r="AC13" s="2135">
        <v>30393.000000000004</v>
      </c>
      <c r="AD13" s="2647">
        <f t="shared" si="11"/>
        <v>194583.75</v>
      </c>
      <c r="AE13" s="2647">
        <f t="shared" si="12"/>
        <v>227062.39999999999</v>
      </c>
      <c r="AF13" s="740">
        <v>28215</v>
      </c>
      <c r="AG13" s="2135">
        <v>21251.9</v>
      </c>
      <c r="AH13" s="4134">
        <f t="shared" si="13"/>
        <v>222798.75</v>
      </c>
      <c r="AI13" s="4134">
        <f t="shared" si="14"/>
        <v>248314.3</v>
      </c>
      <c r="AJ13" s="740">
        <v>29155.5</v>
      </c>
      <c r="AK13" s="2135">
        <v>33916.5</v>
      </c>
      <c r="AL13" s="405">
        <f t="shared" si="15"/>
        <v>86526</v>
      </c>
      <c r="AM13" s="405">
        <f t="shared" si="16"/>
        <v>85561.400000000009</v>
      </c>
      <c r="AN13" s="2755">
        <f t="shared" si="17"/>
        <v>251954.25</v>
      </c>
      <c r="AO13" s="2755">
        <f t="shared" si="18"/>
        <v>282230.8</v>
      </c>
      <c r="AP13" s="740">
        <v>29155.5</v>
      </c>
      <c r="AQ13" s="2135">
        <v>35062.900000000009</v>
      </c>
      <c r="AR13" s="2810">
        <f t="shared" si="19"/>
        <v>281109.75</v>
      </c>
      <c r="AS13" s="2810">
        <f t="shared" si="20"/>
        <v>317293.7</v>
      </c>
      <c r="AT13" s="740">
        <v>26334</v>
      </c>
      <c r="AU13" s="2135">
        <v>31940.700000000004</v>
      </c>
      <c r="AV13" s="4134">
        <f t="shared" si="21"/>
        <v>307443.75</v>
      </c>
      <c r="AW13" s="4134">
        <f t="shared" si="22"/>
        <v>349234.4</v>
      </c>
      <c r="AX13" s="740">
        <v>29155.5</v>
      </c>
      <c r="AY13" s="2135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3105">
        <f t="shared" si="27"/>
        <v>336599.25</v>
      </c>
      <c r="BE13" s="3105">
        <f t="shared" si="28"/>
        <v>384568.10000000003</v>
      </c>
      <c r="BF13" s="26"/>
      <c r="BG13" s="26"/>
      <c r="BH13" s="26"/>
      <c r="BI13" s="4713"/>
      <c r="BJ13" s="4713"/>
    </row>
    <row r="14" spans="1:62" ht="18.75" x14ac:dyDescent="0.3">
      <c r="A14" s="2338"/>
      <c r="B14" s="7916" t="s">
        <v>420</v>
      </c>
      <c r="C14" s="50" t="s">
        <v>415</v>
      </c>
      <c r="D14" s="740">
        <v>1023.84</v>
      </c>
      <c r="E14" s="2135">
        <v>881.72</v>
      </c>
      <c r="F14" s="740">
        <v>1057.9680000000001</v>
      </c>
      <c r="G14" s="2135">
        <v>871.5559999999997</v>
      </c>
      <c r="H14" s="350">
        <f t="shared" si="0"/>
        <v>2081.808</v>
      </c>
      <c r="I14" s="211">
        <f t="shared" si="1"/>
        <v>1753.2759999999998</v>
      </c>
      <c r="J14" s="740">
        <v>853.2</v>
      </c>
      <c r="K14" s="2135">
        <v>858.42399999999998</v>
      </c>
      <c r="L14" s="405">
        <f t="shared" si="2"/>
        <v>2935.0079999999998</v>
      </c>
      <c r="M14" s="405">
        <f t="shared" si="3"/>
        <v>2611.6999999999998</v>
      </c>
      <c r="N14" s="740">
        <v>938.52</v>
      </c>
      <c r="O14" s="2135">
        <v>956.42399999999998</v>
      </c>
      <c r="P14" s="4134">
        <f t="shared" si="4"/>
        <v>3873.5279999999998</v>
      </c>
      <c r="Q14" s="2274">
        <f t="shared" si="4"/>
        <v>3568.1239999999998</v>
      </c>
      <c r="R14" s="740">
        <v>1057.9680000000001</v>
      </c>
      <c r="S14" s="2135">
        <v>890.96</v>
      </c>
      <c r="T14" s="4134">
        <f t="shared" si="5"/>
        <v>4931.4960000000001</v>
      </c>
      <c r="U14" s="4134">
        <f t="shared" si="6"/>
        <v>4459.0839999999998</v>
      </c>
      <c r="V14" s="740">
        <v>1023.84</v>
      </c>
      <c r="W14" s="2135">
        <v>842.35199999999998</v>
      </c>
      <c r="X14" s="405">
        <f t="shared" si="7"/>
        <v>3020.328</v>
      </c>
      <c r="Y14" s="405">
        <f t="shared" si="8"/>
        <v>2689.7359999999999</v>
      </c>
      <c r="Z14" s="497">
        <f t="shared" si="9"/>
        <v>5955.3359999999993</v>
      </c>
      <c r="AA14" s="497">
        <f t="shared" si="10"/>
        <v>5301.4359999999997</v>
      </c>
      <c r="AB14" s="740">
        <v>1057.9680000000001</v>
      </c>
      <c r="AC14" s="2135">
        <v>754.60000000000014</v>
      </c>
      <c r="AD14" s="2647">
        <f t="shared" si="11"/>
        <v>7013.3039999999992</v>
      </c>
      <c r="AE14" s="2647">
        <f t="shared" si="12"/>
        <v>6056.0360000000001</v>
      </c>
      <c r="AF14" s="740">
        <v>1023.84</v>
      </c>
      <c r="AG14" s="2135">
        <v>515.08799999999997</v>
      </c>
      <c r="AH14" s="4134">
        <f t="shared" si="13"/>
        <v>8037.1439999999993</v>
      </c>
      <c r="AI14" s="4134">
        <f t="shared" si="14"/>
        <v>6571.1239999999998</v>
      </c>
      <c r="AJ14" s="740">
        <v>1057.9680000000001</v>
      </c>
      <c r="AK14" s="2135">
        <v>960.79200000000014</v>
      </c>
      <c r="AL14" s="405">
        <f t="shared" si="15"/>
        <v>3139.7759999999998</v>
      </c>
      <c r="AM14" s="405">
        <f t="shared" si="16"/>
        <v>2230.4800000000005</v>
      </c>
      <c r="AN14" s="2755">
        <f t="shared" si="17"/>
        <v>9095.1119999999992</v>
      </c>
      <c r="AO14" s="2755">
        <f t="shared" si="18"/>
        <v>7531.9160000000002</v>
      </c>
      <c r="AP14" s="740">
        <v>1057.9680000000001</v>
      </c>
      <c r="AQ14" s="2135">
        <v>918.51200000000017</v>
      </c>
      <c r="AR14" s="2810">
        <f t="shared" si="19"/>
        <v>10153.08</v>
      </c>
      <c r="AS14" s="2810">
        <f t="shared" si="20"/>
        <v>8450.4279999999999</v>
      </c>
      <c r="AT14" s="740">
        <v>955.58399999999995</v>
      </c>
      <c r="AU14" s="2135">
        <v>848.55119999999999</v>
      </c>
      <c r="AV14" s="4134">
        <f t="shared" si="21"/>
        <v>11108.664000000001</v>
      </c>
      <c r="AW14" s="4134">
        <f t="shared" si="22"/>
        <v>9298.9791999999998</v>
      </c>
      <c r="AX14" s="740">
        <v>1057.9680000000001</v>
      </c>
      <c r="AY14" s="2135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3105">
        <f t="shared" si="27"/>
        <v>12166.632000000001</v>
      </c>
      <c r="BE14" s="3105">
        <f t="shared" si="28"/>
        <v>10262.1792</v>
      </c>
      <c r="BF14" s="26"/>
      <c r="BG14" s="26"/>
      <c r="BH14" s="26"/>
      <c r="BI14" s="4713"/>
      <c r="BJ14" s="4713"/>
    </row>
    <row r="15" spans="1:62" ht="18.75" x14ac:dyDescent="0.3">
      <c r="A15" s="2338"/>
      <c r="B15" s="7916"/>
      <c r="C15" s="50" t="s">
        <v>50</v>
      </c>
      <c r="D15" s="740">
        <v>1828.2857142857142</v>
      </c>
      <c r="E15" s="2135">
        <v>1574.5</v>
      </c>
      <c r="F15" s="740">
        <v>1889.2285714285713</v>
      </c>
      <c r="G15" s="2135">
        <v>1556.3499999999995</v>
      </c>
      <c r="H15" s="350">
        <f t="shared" si="0"/>
        <v>3717.5142857142855</v>
      </c>
      <c r="I15" s="211">
        <f t="shared" si="1"/>
        <v>3130.8499999999995</v>
      </c>
      <c r="J15" s="740">
        <v>1523.5714285714284</v>
      </c>
      <c r="K15" s="2135">
        <v>1532.9</v>
      </c>
      <c r="L15" s="405">
        <f t="shared" si="2"/>
        <v>5241.0857142857139</v>
      </c>
      <c r="M15" s="405">
        <f t="shared" si="3"/>
        <v>4663.75</v>
      </c>
      <c r="N15" s="740">
        <v>1675.9285714285713</v>
      </c>
      <c r="O15" s="2135">
        <v>1707.9</v>
      </c>
      <c r="P15" s="4134">
        <f t="shared" si="4"/>
        <v>6917.0142857142855</v>
      </c>
      <c r="Q15" s="2274">
        <f t="shared" si="4"/>
        <v>6371.65</v>
      </c>
      <c r="R15" s="740">
        <v>1889.2285714285713</v>
      </c>
      <c r="S15" s="2135">
        <v>1591</v>
      </c>
      <c r="T15" s="4134">
        <f t="shared" si="5"/>
        <v>8806.2428571428572</v>
      </c>
      <c r="U15" s="4134">
        <f t="shared" si="6"/>
        <v>7962.65</v>
      </c>
      <c r="V15" s="740">
        <v>1828.2857142857142</v>
      </c>
      <c r="W15" s="2135">
        <v>1504.2</v>
      </c>
      <c r="X15" s="405">
        <f t="shared" si="7"/>
        <v>5393.4428571428562</v>
      </c>
      <c r="Y15" s="405">
        <f t="shared" si="8"/>
        <v>4803.1000000000004</v>
      </c>
      <c r="Z15" s="497">
        <f t="shared" si="9"/>
        <v>10634.528571428571</v>
      </c>
      <c r="AA15" s="497">
        <f t="shared" si="10"/>
        <v>9466.85</v>
      </c>
      <c r="AB15" s="740">
        <v>1889.2285714285713</v>
      </c>
      <c r="AC15" s="2135">
        <v>1347.5000000000002</v>
      </c>
      <c r="AD15" s="2647">
        <f t="shared" si="11"/>
        <v>12523.757142857143</v>
      </c>
      <c r="AE15" s="2647">
        <f t="shared" si="12"/>
        <v>10814.35</v>
      </c>
      <c r="AF15" s="740">
        <v>1828.2857142857142</v>
      </c>
      <c r="AG15" s="2135">
        <v>919.8</v>
      </c>
      <c r="AH15" s="4134">
        <f t="shared" si="13"/>
        <v>14352.042857142857</v>
      </c>
      <c r="AI15" s="4134">
        <f t="shared" si="14"/>
        <v>11734.15</v>
      </c>
      <c r="AJ15" s="740">
        <v>1889.2285714285713</v>
      </c>
      <c r="AK15" s="2135">
        <v>1715.7000000000003</v>
      </c>
      <c r="AL15" s="405">
        <f t="shared" si="15"/>
        <v>5606.7428571428572</v>
      </c>
      <c r="AM15" s="405">
        <f t="shared" si="16"/>
        <v>3983.0000000000005</v>
      </c>
      <c r="AN15" s="2755">
        <f t="shared" si="17"/>
        <v>16241.271428571428</v>
      </c>
      <c r="AO15" s="2755">
        <f t="shared" si="18"/>
        <v>13449.85</v>
      </c>
      <c r="AP15" s="740">
        <v>1889.2285714285713</v>
      </c>
      <c r="AQ15" s="2135">
        <v>1640.2000000000003</v>
      </c>
      <c r="AR15" s="2810">
        <f t="shared" si="19"/>
        <v>18130.5</v>
      </c>
      <c r="AS15" s="2810">
        <f t="shared" si="20"/>
        <v>15090.050000000001</v>
      </c>
      <c r="AT15" s="740">
        <v>1706.3999999999996</v>
      </c>
      <c r="AU15" s="2135">
        <v>1515.27</v>
      </c>
      <c r="AV15" s="4134">
        <f t="shared" si="21"/>
        <v>19836.900000000001</v>
      </c>
      <c r="AW15" s="4134">
        <f t="shared" si="22"/>
        <v>16605.32</v>
      </c>
      <c r="AX15" s="740">
        <v>1889.2285714285713</v>
      </c>
      <c r="AY15" s="2135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3105">
        <f t="shared" si="27"/>
        <v>21726.128571428573</v>
      </c>
      <c r="BE15" s="3105">
        <f t="shared" si="28"/>
        <v>18325.32</v>
      </c>
      <c r="BF15" s="26"/>
      <c r="BG15" s="26"/>
      <c r="BH15" s="26"/>
      <c r="BI15" s="4713"/>
      <c r="BJ15" s="4713"/>
    </row>
    <row r="16" spans="1:62" ht="18.75" x14ac:dyDescent="0.3">
      <c r="A16" s="2349"/>
      <c r="B16" s="1472" t="s">
        <v>335</v>
      </c>
      <c r="C16" s="1351"/>
      <c r="D16" s="1475"/>
      <c r="E16" s="1473"/>
      <c r="F16" s="1475"/>
      <c r="G16" s="1473"/>
      <c r="H16" s="1469"/>
      <c r="I16" s="1473"/>
      <c r="J16" s="1475"/>
      <c r="K16" s="1473"/>
      <c r="L16" s="1469"/>
      <c r="M16" s="1473"/>
      <c r="N16" s="1475"/>
      <c r="O16" s="1473"/>
      <c r="P16" s="950"/>
      <c r="Q16" s="950"/>
      <c r="R16" s="1475"/>
      <c r="S16" s="1473"/>
      <c r="T16" s="950"/>
      <c r="U16" s="950"/>
      <c r="V16" s="1475"/>
      <c r="W16" s="1473"/>
      <c r="X16" s="1469"/>
      <c r="Y16" s="1473"/>
      <c r="Z16" s="950"/>
      <c r="AA16" s="950"/>
      <c r="AB16" s="1475"/>
      <c r="AC16" s="1473"/>
      <c r="AD16" s="950"/>
      <c r="AE16" s="950"/>
      <c r="AF16" s="1475"/>
      <c r="AG16" s="1473"/>
      <c r="AH16" s="950"/>
      <c r="AI16" s="950"/>
      <c r="AJ16" s="1475"/>
      <c r="AK16" s="1473"/>
      <c r="AL16" s="1469"/>
      <c r="AM16" s="1473"/>
      <c r="AN16" s="950"/>
      <c r="AO16" s="950"/>
      <c r="AP16" s="1475"/>
      <c r="AQ16" s="1473"/>
      <c r="AR16" s="950"/>
      <c r="AS16" s="950"/>
      <c r="AT16" s="1475"/>
      <c r="AU16" s="1473"/>
      <c r="AV16" s="950"/>
      <c r="AW16" s="950"/>
      <c r="AX16" s="1475"/>
      <c r="AY16" s="1473"/>
      <c r="AZ16" s="1469"/>
      <c r="BA16" s="1473"/>
      <c r="BB16" s="950"/>
      <c r="BC16" s="950"/>
      <c r="BD16" s="950"/>
      <c r="BE16" s="950"/>
      <c r="BF16" s="26"/>
      <c r="BG16" s="26"/>
      <c r="BH16" s="26"/>
      <c r="BI16" s="4713"/>
      <c r="BJ16" s="4713"/>
    </row>
    <row r="17" spans="1:62" ht="18.75" x14ac:dyDescent="0.3">
      <c r="A17" s="2349"/>
      <c r="B17" s="1472" t="s">
        <v>100</v>
      </c>
      <c r="C17" s="1351"/>
      <c r="D17" s="1475"/>
      <c r="E17" s="1473"/>
      <c r="F17" s="1475"/>
      <c r="G17" s="1473"/>
      <c r="H17" s="1469"/>
      <c r="I17" s="1473"/>
      <c r="J17" s="1475"/>
      <c r="K17" s="1473"/>
      <c r="L17" s="1469"/>
      <c r="M17" s="1473"/>
      <c r="N17" s="1475"/>
      <c r="O17" s="1473"/>
      <c r="P17" s="950"/>
      <c r="Q17" s="950"/>
      <c r="R17" s="1475"/>
      <c r="S17" s="1473"/>
      <c r="T17" s="950"/>
      <c r="U17" s="950"/>
      <c r="V17" s="1475"/>
      <c r="W17" s="1473"/>
      <c r="X17" s="1469"/>
      <c r="Y17" s="1473"/>
      <c r="Z17" s="950"/>
      <c r="AA17" s="950"/>
      <c r="AB17" s="1475"/>
      <c r="AC17" s="1473"/>
      <c r="AD17" s="950"/>
      <c r="AE17" s="950"/>
      <c r="AF17" s="1475"/>
      <c r="AG17" s="1473"/>
      <c r="AH17" s="950"/>
      <c r="AI17" s="950"/>
      <c r="AJ17" s="1475"/>
      <c r="AK17" s="1473"/>
      <c r="AL17" s="1469"/>
      <c r="AM17" s="1473"/>
      <c r="AN17" s="950"/>
      <c r="AO17" s="950"/>
      <c r="AP17" s="1475"/>
      <c r="AQ17" s="1473"/>
      <c r="AR17" s="950"/>
      <c r="AS17" s="950"/>
      <c r="AT17" s="1475"/>
      <c r="AU17" s="1473"/>
      <c r="AV17" s="950"/>
      <c r="AW17" s="950"/>
      <c r="AX17" s="1475"/>
      <c r="AY17" s="1473"/>
      <c r="AZ17" s="1469"/>
      <c r="BA17" s="1473"/>
      <c r="BB17" s="950"/>
      <c r="BC17" s="950"/>
      <c r="BD17" s="950"/>
      <c r="BE17" s="950"/>
      <c r="BF17" s="26"/>
      <c r="BG17" s="26"/>
      <c r="BH17" s="26"/>
      <c r="BI17" s="4713"/>
      <c r="BJ17" s="4713"/>
    </row>
    <row r="18" spans="1:62" ht="18.75" x14ac:dyDescent="0.3">
      <c r="A18" s="2338"/>
      <c r="B18" s="2350" t="s">
        <v>812</v>
      </c>
      <c r="C18" s="50" t="s">
        <v>560</v>
      </c>
      <c r="D18" s="2137">
        <f>1800/1000</f>
        <v>1.8</v>
      </c>
      <c r="E18" s="2136">
        <f>957.67/(24*E$2)</f>
        <v>1.3300972222222223</v>
      </c>
      <c r="F18" s="2137">
        <f>1800/1000</f>
        <v>1.8</v>
      </c>
      <c r="G18" s="7234">
        <f>989.59/(24*G$2)</f>
        <v>1.3300940860215054</v>
      </c>
      <c r="H18" s="2139">
        <f t="shared" ref="H18:I22" si="29">+((D18*D$2)+(F18*F$2))/H$2</f>
        <v>1.8000000000000003</v>
      </c>
      <c r="I18" s="3448">
        <f t="shared" si="29"/>
        <v>1.3300956284153007</v>
      </c>
      <c r="J18" s="1515">
        <v>1.5</v>
      </c>
      <c r="K18" s="4624">
        <f>776.58/(24*K$2)</f>
        <v>1.0785833333333334</v>
      </c>
      <c r="L18" s="2351">
        <f t="shared" ref="L18:M22" si="30">+((D18*D$2)+(F18*F$2)+(J18*J$2))/L$2</f>
        <v>1.7010989010989013</v>
      </c>
      <c r="M18" s="2351">
        <f t="shared" si="30"/>
        <v>1.2471794871794872</v>
      </c>
      <c r="N18" s="2137">
        <v>1.5</v>
      </c>
      <c r="O18" s="2136">
        <f>988.54/(24*O$2)</f>
        <v>1.3286827956989247</v>
      </c>
      <c r="P18" s="349">
        <f t="shared" ref="P18:Q22" si="31">+((L18*L$2)+(N18*N$2))/P$2</f>
        <v>1.6500000000000001</v>
      </c>
      <c r="Q18" s="349">
        <f t="shared" si="31"/>
        <v>1.2678893442622952</v>
      </c>
      <c r="R18" s="2137">
        <v>1.5</v>
      </c>
      <c r="S18" s="4971">
        <f>970.55/(24*S$2)</f>
        <v>1.304502688172043</v>
      </c>
      <c r="T18" s="4972">
        <f t="shared" ref="T18:T22" si="32">+((P18*P$2)+(R18*R$2))/T$2</f>
        <v>1.6196078431372549</v>
      </c>
      <c r="U18" s="4972">
        <f t="shared" ref="U18:U22" si="33">+((Q18*Q$2)+(S18*S$2))/U$2</f>
        <v>1.2753077342047932</v>
      </c>
      <c r="V18" s="2137">
        <v>1.5</v>
      </c>
      <c r="W18" s="5102">
        <f>962.08/(24*W$2)</f>
        <v>1.3362222222222222</v>
      </c>
      <c r="X18" s="2351">
        <f t="shared" ref="X18:Y20" si="34">(N18*N$2+R18*R$2+V18*V$2)/X$2</f>
        <v>1.5</v>
      </c>
      <c r="Y18" s="2351">
        <f t="shared" si="34"/>
        <v>1.3229936594202898</v>
      </c>
      <c r="Z18" s="498">
        <f t="shared" ref="Z18:AA22" si="35">+((T18*T$2)+(V18*V$2))/Z$2</f>
        <v>1.6</v>
      </c>
      <c r="AA18" s="498">
        <f t="shared" si="35"/>
        <v>1.2852937158469948</v>
      </c>
      <c r="AB18" s="2137">
        <v>1.5</v>
      </c>
      <c r="AC18" s="5439">
        <f>935.41/(24*AC$2)</f>
        <v>1.2572715053763441</v>
      </c>
      <c r="AD18" s="2651">
        <f t="shared" ref="AD18:AD22" si="36">+((Z18*Z$2)+(AB18*AB$2))/AD$2</f>
        <v>1.5855140186915888</v>
      </c>
      <c r="AE18" s="2651">
        <f t="shared" ref="AE18:AE22" si="37">+((AA18*AA$2)+(AC18*AC$2))/AE$2</f>
        <v>1.2812344236760127</v>
      </c>
      <c r="AF18" s="2137">
        <v>1.5</v>
      </c>
      <c r="AG18" s="5580">
        <f>601.72/(24*AG$2)</f>
        <v>0.83572222222222226</v>
      </c>
      <c r="AH18" s="5581">
        <f t="shared" ref="AH18:AH22" si="38">+((AD18*AD$2)+(AF18*AF$2))/AH$2</f>
        <v>1.575</v>
      </c>
      <c r="AI18" s="5581">
        <f t="shared" ref="AI18:AI22" si="39">+((AE18*AE$2)+(AG18*AG$2))/AI$2</f>
        <v>1.2264583333333337</v>
      </c>
      <c r="AJ18" s="2137">
        <v>1.5</v>
      </c>
      <c r="AK18" s="6000">
        <f>1102.08/(24*AK$2)</f>
        <v>1.4812903225806451</v>
      </c>
      <c r="AL18" s="2351">
        <f t="shared" ref="AL18:AL22" si="40">(AB18*AB$2+AF18*AF$2+AJ18*AJ$2)/AL$2</f>
        <v>1.5</v>
      </c>
      <c r="AM18" s="2351">
        <f t="shared" ref="AM18:AM22" si="41">(AC18*AC$2+AG18*AG$2+AK18*AK$2)/AM$2</f>
        <v>1.1952943840579711</v>
      </c>
      <c r="AN18" s="2760">
        <f t="shared" ref="AN18:AN22" si="42">+((AH18*AH$2)+(AJ18*AJ$2))/AN$2</f>
        <v>1.5665454545454547</v>
      </c>
      <c r="AO18" s="2760">
        <f t="shared" ref="AO18:AO22" si="43">+((AI18*AI$2)+(AK18*AK$2))/AO$2</f>
        <v>1.2551848484848487</v>
      </c>
      <c r="AP18" s="2137">
        <v>1.5</v>
      </c>
      <c r="AQ18" s="6144">
        <f>1058.26/(24*AQ$2)</f>
        <v>1.4223924731182795</v>
      </c>
      <c r="AR18" s="2813">
        <f t="shared" ref="AR18:AR22" si="44">+((AN18*AN$2)+(AP18*AP$2))/AR$2</f>
        <v>1.5598039215686275</v>
      </c>
      <c r="AS18" s="2813">
        <f t="shared" ref="AS18:AS22" si="45">+((AO18*AO$2)+(AQ18*AQ$2))/AS$2</f>
        <v>1.2721241830065362</v>
      </c>
      <c r="AT18" s="2137">
        <v>1.5</v>
      </c>
      <c r="AU18" s="6329">
        <f>1047.55/(24*AU$2)</f>
        <v>1.5588541666666667</v>
      </c>
      <c r="AV18" s="6330">
        <f t="shared" ref="AV18:AV22" si="46">+((AR18*AR$2)+(AT18*AT$2))/AV$2</f>
        <v>1.5547904191616766</v>
      </c>
      <c r="AW18" s="6330">
        <f t="shared" ref="AW18:AW22" si="47">+((AS18*AS$2)+(AU18*AU$2))/AW$2</f>
        <v>1.2961614271457089</v>
      </c>
      <c r="AX18" s="2137">
        <v>1.5</v>
      </c>
      <c r="AY18" s="6466">
        <f>1118.32/(24*AY$2)</f>
        <v>1.5031182795698923</v>
      </c>
      <c r="AZ18" s="2351">
        <f t="shared" ref="AZ18:AZ22" si="48">(AP18*AP$2+AT18*AT$2+AX18*AX$2)/AZ$2</f>
        <v>1.5</v>
      </c>
      <c r="BA18" s="2351">
        <f t="shared" ref="BA18:BA22" si="49">(AQ18*AQ$2+AU18*AU$2+AY18*AY$2)/BA$2</f>
        <v>1.4926527777777778</v>
      </c>
      <c r="BB18" s="3113">
        <f t="shared" ref="BB18:BC22" si="50">+((AL18*AL$2)+(AZ18*AZ$2))/BB$2</f>
        <v>1.5</v>
      </c>
      <c r="BC18" s="3113">
        <f t="shared" si="50"/>
        <v>1.3423397435897437</v>
      </c>
      <c r="BD18" s="3112">
        <f t="shared" ref="BD18:BD22" si="51">+((AV18*AV$2)+(AX18*AX$2))/BD$2</f>
        <v>1.5501369863013696</v>
      </c>
      <c r="BE18" s="3112">
        <f t="shared" ref="BE18:BE22" si="52">+((AW18*AW$2)+(AY18*AY$2))/BE$2</f>
        <v>1.3137385844748861</v>
      </c>
      <c r="BF18" s="26"/>
      <c r="BG18" s="26"/>
      <c r="BH18" s="26"/>
      <c r="BI18" s="4713"/>
      <c r="BJ18" s="4713"/>
    </row>
    <row r="19" spans="1:62" ht="18.75" x14ac:dyDescent="0.3">
      <c r="A19" s="2338"/>
      <c r="B19" s="2350" t="s">
        <v>15</v>
      </c>
      <c r="C19" s="50" t="s">
        <v>560</v>
      </c>
      <c r="D19" s="2137">
        <v>21.5</v>
      </c>
      <c r="E19" s="2136">
        <f>12416.74/(24*E$2)</f>
        <v>17.245472222222222</v>
      </c>
      <c r="F19" s="2137">
        <v>21.5</v>
      </c>
      <c r="G19" s="7234">
        <f>14695.87/(24*G$2)</f>
        <v>19.752513440860216</v>
      </c>
      <c r="H19" s="2139">
        <f t="shared" si="29"/>
        <v>21.5</v>
      </c>
      <c r="I19" s="3448">
        <f t="shared" si="29"/>
        <v>18.519542349726777</v>
      </c>
      <c r="J19" s="1515">
        <v>22.5</v>
      </c>
      <c r="K19" s="4624">
        <f>7986.09/(24*K$2)</f>
        <v>11.091791666666667</v>
      </c>
      <c r="L19" s="2351">
        <f t="shared" si="30"/>
        <v>21.829670329670328</v>
      </c>
      <c r="M19" s="2351">
        <f t="shared" si="30"/>
        <v>16.070833333333333</v>
      </c>
      <c r="N19" s="2137">
        <v>22.5</v>
      </c>
      <c r="O19" s="2136">
        <f>15059.52/(24*O$2)</f>
        <v>20.241290322580646</v>
      </c>
      <c r="P19" s="349">
        <f t="shared" si="31"/>
        <v>22</v>
      </c>
      <c r="Q19" s="349">
        <f t="shared" si="31"/>
        <v>17.130539617486338</v>
      </c>
      <c r="R19" s="2137">
        <v>22.5</v>
      </c>
      <c r="S19" s="4971">
        <f>14822.43/(24*S$2)</f>
        <v>19.922620967741935</v>
      </c>
      <c r="T19" s="4972">
        <f t="shared" si="32"/>
        <v>22.101307189542485</v>
      </c>
      <c r="U19" s="4972">
        <f t="shared" si="33"/>
        <v>17.696255446623095</v>
      </c>
      <c r="V19" s="2137">
        <v>22.5</v>
      </c>
      <c r="W19" s="5102">
        <f>13105.47/(24*W$2)</f>
        <v>18.202041666666666</v>
      </c>
      <c r="X19" s="2351">
        <f t="shared" si="34"/>
        <v>22.5</v>
      </c>
      <c r="Y19" s="2351">
        <f t="shared" si="34"/>
        <v>19.468940217391303</v>
      </c>
      <c r="Z19" s="498">
        <f t="shared" si="35"/>
        <v>22.166666666666668</v>
      </c>
      <c r="AA19" s="498">
        <f t="shared" si="35"/>
        <v>17.779171220400727</v>
      </c>
      <c r="AB19" s="2137">
        <v>22.5</v>
      </c>
      <c r="AC19" s="5439">
        <f>11533.76/(24*AC$2)</f>
        <v>15.502365591397849</v>
      </c>
      <c r="AD19" s="2651">
        <f t="shared" si="36"/>
        <v>22.214953271028037</v>
      </c>
      <c r="AE19" s="2651">
        <f t="shared" si="37"/>
        <v>17.449353582554515</v>
      </c>
      <c r="AF19" s="2137">
        <v>22.5</v>
      </c>
      <c r="AG19" s="5580">
        <f>60.55/(24*AG$2)</f>
        <v>8.4097222222222212E-2</v>
      </c>
      <c r="AH19" s="5581">
        <f t="shared" si="38"/>
        <v>22.25</v>
      </c>
      <c r="AI19" s="5581">
        <f t="shared" si="39"/>
        <v>15.314281079234972</v>
      </c>
      <c r="AJ19" s="2137">
        <v>22.5</v>
      </c>
      <c r="AK19" s="6000">
        <f>14500.92/(24*AK$2)</f>
        <v>19.490483870967743</v>
      </c>
      <c r="AL19" s="2351">
        <f t="shared" si="40"/>
        <v>22.5</v>
      </c>
      <c r="AM19" s="2351">
        <f t="shared" si="41"/>
        <v>11.818491847826087</v>
      </c>
      <c r="AN19" s="2760">
        <f t="shared" si="42"/>
        <v>22.278181818181817</v>
      </c>
      <c r="AO19" s="2760">
        <f t="shared" si="43"/>
        <v>15.785053030303031</v>
      </c>
      <c r="AP19" s="2137">
        <v>22.5</v>
      </c>
      <c r="AQ19" s="6144">
        <f>14298.06/(24*AQ$2)</f>
        <v>19.217822580645162</v>
      </c>
      <c r="AR19" s="2813">
        <f t="shared" si="44"/>
        <v>22.300653594771241</v>
      </c>
      <c r="AS19" s="2813">
        <f t="shared" si="45"/>
        <v>16.132817265795211</v>
      </c>
      <c r="AT19" s="2137">
        <v>22.5</v>
      </c>
      <c r="AU19" s="6329">
        <f>13393.03/(24*AU$2)</f>
        <v>19.930104166666666</v>
      </c>
      <c r="AV19" s="2956">
        <f t="shared" si="46"/>
        <v>22.317365269461078</v>
      </c>
      <c r="AW19" s="2956">
        <f t="shared" si="47"/>
        <v>16.45115269461078</v>
      </c>
      <c r="AX19" s="2137">
        <v>22.5</v>
      </c>
      <c r="AY19" s="1607">
        <f>14765.8/(24*AY$2)</f>
        <v>19.846505376344084</v>
      </c>
      <c r="AZ19" s="2353">
        <f t="shared" si="48"/>
        <v>22.5</v>
      </c>
      <c r="BA19" s="2353">
        <f t="shared" si="49"/>
        <v>19.655967592592592</v>
      </c>
      <c r="BB19" s="6611">
        <f t="shared" si="50"/>
        <v>22.5</v>
      </c>
      <c r="BC19" s="6611">
        <f t="shared" si="50"/>
        <v>15.694166666666666</v>
      </c>
      <c r="BD19" s="2956">
        <f t="shared" si="51"/>
        <v>22.332876712328765</v>
      </c>
      <c r="BE19" s="2956">
        <f t="shared" si="52"/>
        <v>16.739525114155253</v>
      </c>
      <c r="BF19" s="26"/>
      <c r="BG19" s="26"/>
      <c r="BH19" s="26"/>
      <c r="BI19" s="4713"/>
      <c r="BJ19" s="4713"/>
    </row>
    <row r="20" spans="1:62" ht="18.75" x14ac:dyDescent="0.3">
      <c r="A20" s="2338"/>
      <c r="B20" s="2350" t="s">
        <v>57</v>
      </c>
      <c r="C20" s="50" t="s">
        <v>560</v>
      </c>
      <c r="D20" s="2137">
        <v>16.795325779036801</v>
      </c>
      <c r="E20" s="2136">
        <f>10427.69/(24*E$2)</f>
        <v>14.482902777777779</v>
      </c>
      <c r="F20" s="2137">
        <v>16.771375917633801</v>
      </c>
      <c r="G20" s="7234">
        <f>11693.43/(24*G$2)</f>
        <v>15.716975806451613</v>
      </c>
      <c r="H20" s="2139">
        <f t="shared" si="29"/>
        <v>16.783154537995934</v>
      </c>
      <c r="I20" s="3448">
        <f t="shared" si="29"/>
        <v>15.110054644808743</v>
      </c>
      <c r="J20" s="1515">
        <v>10.097484276729601</v>
      </c>
      <c r="K20" s="4624">
        <f>7680.4/(24*K$2)</f>
        <v>10.667222222222222</v>
      </c>
      <c r="L20" s="2351">
        <f t="shared" si="30"/>
        <v>14.57908741889714</v>
      </c>
      <c r="M20" s="2351">
        <f t="shared" si="30"/>
        <v>13.645384615384616</v>
      </c>
      <c r="N20" s="2137">
        <v>4.4506999391357267</v>
      </c>
      <c r="O20" s="2136">
        <f>12009.48/(24*O$2)</f>
        <v>16.141774193548386</v>
      </c>
      <c r="P20" s="349">
        <f t="shared" si="31"/>
        <v>12.005480764203668</v>
      </c>
      <c r="Q20" s="349">
        <f t="shared" si="31"/>
        <v>14.279713114754099</v>
      </c>
      <c r="R20" s="2137">
        <v>15.8</v>
      </c>
      <c r="S20" s="4971">
        <f>11433.73/(24*S$2)</f>
        <v>15.367916666666666</v>
      </c>
      <c r="T20" s="4972">
        <f t="shared" si="32"/>
        <v>12.774304923090506</v>
      </c>
      <c r="U20" s="4972">
        <f t="shared" si="33"/>
        <v>14.500198801742918</v>
      </c>
      <c r="V20" s="2137">
        <v>15.781236897274599</v>
      </c>
      <c r="W20" s="5102">
        <f>11150.37/(24*W$2)</f>
        <v>15.486625000000002</v>
      </c>
      <c r="X20" s="2351">
        <f t="shared" si="34"/>
        <v>11.969660924254843</v>
      </c>
      <c r="Y20" s="2351">
        <f t="shared" si="34"/>
        <v>15.667382246376814</v>
      </c>
      <c r="Z20" s="498">
        <f t="shared" si="35"/>
        <v>13.267244590989538</v>
      </c>
      <c r="AA20" s="498">
        <f t="shared" si="35"/>
        <v>14.661908014571949</v>
      </c>
      <c r="AB20" s="2137">
        <v>16.4590180564009</v>
      </c>
      <c r="AC20" s="5439">
        <f>10933.79/(24*AC$2)</f>
        <v>14.69595430107527</v>
      </c>
      <c r="AD20" s="2651">
        <f t="shared" si="36"/>
        <v>13.729604298595858</v>
      </c>
      <c r="AE20" s="2651">
        <f t="shared" si="37"/>
        <v>14.666839953271028</v>
      </c>
      <c r="AF20" s="2137">
        <v>16.4625786163522</v>
      </c>
      <c r="AG20" s="5580">
        <f>480.34/(24*AG$2)</f>
        <v>0.66713888888888884</v>
      </c>
      <c r="AH20" s="5581">
        <f t="shared" si="38"/>
        <v>14.065625731106884</v>
      </c>
      <c r="AI20" s="5581">
        <f t="shared" si="39"/>
        <v>12.945565232240439</v>
      </c>
      <c r="AJ20" s="2137">
        <v>16.4590180564009</v>
      </c>
      <c r="AK20" s="6000">
        <f>12421.08/(24*AK$2)</f>
        <v>16.695</v>
      </c>
      <c r="AL20" s="2351">
        <f t="shared" si="40"/>
        <v>16.460179108558933</v>
      </c>
      <c r="AM20" s="2351">
        <f t="shared" si="41"/>
        <v>10.794932065217392</v>
      </c>
      <c r="AN20" s="2760">
        <f t="shared" si="42"/>
        <v>14.335426320503664</v>
      </c>
      <c r="AO20" s="2760">
        <f t="shared" si="43"/>
        <v>13.36822878787879</v>
      </c>
      <c r="AP20" s="2137">
        <v>16.4590180564009</v>
      </c>
      <c r="AQ20" s="6144">
        <f>13260.45/(24*AQ$2)</f>
        <v>17.823185483870969</v>
      </c>
      <c r="AR20" s="2813">
        <f t="shared" si="44"/>
        <v>14.550561431003057</v>
      </c>
      <c r="AS20" s="2813">
        <f t="shared" si="45"/>
        <v>13.819547930283225</v>
      </c>
      <c r="AT20" s="2137">
        <f>16397.4618149146/1000</f>
        <v>16.3974618149146</v>
      </c>
      <c r="AU20" s="6329">
        <f>11858.56/(24*AU$2)</f>
        <v>17.646666666666665</v>
      </c>
      <c r="AV20" s="6330">
        <f t="shared" si="46"/>
        <v>14.70539140330702</v>
      </c>
      <c r="AW20" s="6330">
        <f t="shared" si="47"/>
        <v>14.140384231536926</v>
      </c>
      <c r="AX20" s="2137">
        <f>16459.0180564009/1000</f>
        <v>16.4590180564009</v>
      </c>
      <c r="AY20" s="6466">
        <f>12121.62/(24*AY$2)</f>
        <v>16.2925</v>
      </c>
      <c r="AZ20" s="2351">
        <f t="shared" si="48"/>
        <v>16.43986722571627</v>
      </c>
      <c r="BA20" s="2351">
        <f t="shared" si="49"/>
        <v>17.24103240740741</v>
      </c>
      <c r="BB20" s="3113">
        <f t="shared" si="50"/>
        <v>16.450134770889484</v>
      </c>
      <c r="BC20" s="3113">
        <f t="shared" si="50"/>
        <v>13.982564102564103</v>
      </c>
      <c r="BD20" s="3112">
        <f t="shared" si="51"/>
        <v>14.854329557405405</v>
      </c>
      <c r="BE20" s="3112">
        <f t="shared" si="52"/>
        <v>14.323166666666667</v>
      </c>
      <c r="BF20" s="26"/>
      <c r="BG20" s="26"/>
      <c r="BH20" s="26"/>
      <c r="BI20" s="4713"/>
      <c r="BJ20" s="4713"/>
    </row>
    <row r="21" spans="1:62" ht="18.75" x14ac:dyDescent="0.3">
      <c r="A21" s="2338"/>
      <c r="B21" s="2350" t="s">
        <v>744</v>
      </c>
      <c r="C21" s="50" t="s">
        <v>560</v>
      </c>
      <c r="D21" s="2137">
        <f>1444.67422096317/1000</f>
        <v>1.44467422096317</v>
      </c>
      <c r="E21" s="2136">
        <f>0/(24*E$2)</f>
        <v>0</v>
      </c>
      <c r="F21" s="2137">
        <v>1.4686240823662</v>
      </c>
      <c r="G21" s="7234">
        <f>0/(24*G$2)</f>
        <v>0</v>
      </c>
      <c r="H21" s="2139">
        <f t="shared" si="29"/>
        <v>1.4568454620040541</v>
      </c>
      <c r="I21" s="3448">
        <f t="shared" si="29"/>
        <v>0</v>
      </c>
      <c r="J21" s="1515">
        <v>0.51918238993710297</v>
      </c>
      <c r="K21" s="4624">
        <v>0</v>
      </c>
      <c r="L21" s="2351">
        <f t="shared" si="30"/>
        <v>1.1477257679160482</v>
      </c>
      <c r="M21" s="2351">
        <f t="shared" si="30"/>
        <v>0</v>
      </c>
      <c r="N21" s="2137">
        <v>8.3993000608642721</v>
      </c>
      <c r="O21" s="2136">
        <f>0/(24*O$2)</f>
        <v>0</v>
      </c>
      <c r="P21" s="349">
        <f t="shared" si="31"/>
        <v>2.990338907927482</v>
      </c>
      <c r="Q21" s="349">
        <f t="shared" si="31"/>
        <v>0</v>
      </c>
      <c r="R21" s="2137">
        <v>1.74</v>
      </c>
      <c r="S21" s="4971">
        <f>0/(24*S$2)</f>
        <v>0</v>
      </c>
      <c r="T21" s="4972">
        <f t="shared" si="32"/>
        <v>2.7370022664519791</v>
      </c>
      <c r="U21" s="4972">
        <f t="shared" si="33"/>
        <v>0</v>
      </c>
      <c r="V21" s="2137">
        <v>1.7587631027253701</v>
      </c>
      <c r="W21" s="5102">
        <f>0/(24*W$2)</f>
        <v>0</v>
      </c>
      <c r="X21" s="2351">
        <f t="shared" ref="X21:X22" si="53">(N21*N$2+R21*R$2+V21*V$2)/X$2</f>
        <v>3.9900129887886253</v>
      </c>
      <c r="Y21" s="2351">
        <f t="shared" ref="Y21:Y22" si="54">(O21*O$2+S21*S$2+W21*W$2)/Y$2</f>
        <v>0</v>
      </c>
      <c r="Z21" s="498">
        <f t="shared" si="35"/>
        <v>2.5766351904312237</v>
      </c>
      <c r="AA21" s="498">
        <f t="shared" si="35"/>
        <v>0</v>
      </c>
      <c r="AB21" s="2137">
        <v>1.0809819435991099</v>
      </c>
      <c r="AC21" s="5439">
        <f>0/(24*AC$2)</f>
        <v>0</v>
      </c>
      <c r="AD21" s="2651">
        <f t="shared" si="36"/>
        <v>2.359975140656478</v>
      </c>
      <c r="AE21" s="2651">
        <f t="shared" si="37"/>
        <v>0</v>
      </c>
      <c r="AF21" s="2137">
        <v>1.0774213836477999</v>
      </c>
      <c r="AG21" s="5580">
        <f>0/(24*AG$2)</f>
        <v>0</v>
      </c>
      <c r="AH21" s="5581">
        <f t="shared" si="38"/>
        <v>2.2022841049586899</v>
      </c>
      <c r="AI21" s="5581">
        <f t="shared" si="39"/>
        <v>0</v>
      </c>
      <c r="AJ21" s="2137">
        <v>1.0809819435991099</v>
      </c>
      <c r="AK21" s="6000">
        <f>0/(24*AK$2)</f>
        <v>0</v>
      </c>
      <c r="AL21" s="2351">
        <f t="shared" si="40"/>
        <v>1.0798208914410741</v>
      </c>
      <c r="AM21" s="2351">
        <f t="shared" si="41"/>
        <v>0</v>
      </c>
      <c r="AN21" s="2760">
        <f t="shared" si="42"/>
        <v>2.0758827704054279</v>
      </c>
      <c r="AO21" s="2760">
        <f t="shared" si="43"/>
        <v>0</v>
      </c>
      <c r="AP21" s="2137">
        <v>1.0809819435991099</v>
      </c>
      <c r="AQ21" s="6144">
        <f>0/(24*AQ$2)</f>
        <v>0</v>
      </c>
      <c r="AR21" s="2813">
        <f t="shared" si="44"/>
        <v>1.9750921637681864</v>
      </c>
      <c r="AS21" s="2813">
        <f t="shared" si="45"/>
        <v>0</v>
      </c>
      <c r="AT21" s="2137">
        <f>1142.53818508535/1000</f>
        <v>1.14253818508535</v>
      </c>
      <c r="AU21" s="6329">
        <f>0/(24*AU$2)</f>
        <v>0</v>
      </c>
      <c r="AV21" s="6330">
        <f t="shared" si="46"/>
        <v>1.9052972194474695</v>
      </c>
      <c r="AW21" s="6330">
        <f t="shared" si="47"/>
        <v>0</v>
      </c>
      <c r="AX21" s="2137">
        <v>1.0809819435991099</v>
      </c>
      <c r="AY21" s="6466">
        <f>0/(24*AY$2)</f>
        <v>0</v>
      </c>
      <c r="AZ21" s="2351">
        <f t="shared" si="48"/>
        <v>1.1001327742837179</v>
      </c>
      <c r="BA21" s="2351">
        <f t="shared" si="49"/>
        <v>0</v>
      </c>
      <c r="BB21" s="3113">
        <f t="shared" si="50"/>
        <v>1.0898652291105133</v>
      </c>
      <c r="BC21" s="3113">
        <f t="shared" si="50"/>
        <v>0</v>
      </c>
      <c r="BD21" s="3112">
        <f t="shared" si="51"/>
        <v>1.8352868809507594</v>
      </c>
      <c r="BE21" s="3112">
        <f t="shared" si="52"/>
        <v>0</v>
      </c>
      <c r="BF21" s="26"/>
      <c r="BG21" s="26"/>
      <c r="BH21" s="26"/>
      <c r="BI21" s="4713"/>
      <c r="BJ21" s="4713"/>
    </row>
    <row r="22" spans="1:62" ht="18.75" x14ac:dyDescent="0.3">
      <c r="A22" s="2338"/>
      <c r="B22" s="2350" t="s">
        <v>101</v>
      </c>
      <c r="C22" s="50" t="s">
        <v>560</v>
      </c>
      <c r="D22" s="2137">
        <v>0</v>
      </c>
      <c r="E22" s="2136">
        <f>0/(24*E$2)</f>
        <v>0</v>
      </c>
      <c r="F22" s="2137">
        <v>0</v>
      </c>
      <c r="G22" s="7234">
        <f>0/(24*G$2)</f>
        <v>0</v>
      </c>
      <c r="H22" s="350">
        <f t="shared" si="29"/>
        <v>0</v>
      </c>
      <c r="I22" s="211">
        <f t="shared" si="29"/>
        <v>0</v>
      </c>
      <c r="J22" s="2137">
        <v>0</v>
      </c>
      <c r="K22" s="4624">
        <v>0</v>
      </c>
      <c r="L22" s="2351">
        <f t="shared" si="30"/>
        <v>0</v>
      </c>
      <c r="M22" s="2351">
        <f t="shared" si="30"/>
        <v>0</v>
      </c>
      <c r="N22" s="2137">
        <v>0</v>
      </c>
      <c r="O22" s="2136">
        <v>0</v>
      </c>
      <c r="P22" s="349">
        <f t="shared" si="31"/>
        <v>0</v>
      </c>
      <c r="Q22" s="349">
        <f t="shared" si="31"/>
        <v>0</v>
      </c>
      <c r="R22" s="2137">
        <v>0</v>
      </c>
      <c r="S22" s="4971">
        <v>0</v>
      </c>
      <c r="T22" s="4972">
        <f t="shared" si="32"/>
        <v>0</v>
      </c>
      <c r="U22" s="4972">
        <f t="shared" si="33"/>
        <v>0</v>
      </c>
      <c r="V22" s="2137">
        <v>0</v>
      </c>
      <c r="W22" s="5102">
        <v>0</v>
      </c>
      <c r="X22" s="2351">
        <f t="shared" si="53"/>
        <v>0</v>
      </c>
      <c r="Y22" s="2351">
        <f t="shared" si="54"/>
        <v>0</v>
      </c>
      <c r="Z22" s="498">
        <f t="shared" si="35"/>
        <v>0</v>
      </c>
      <c r="AA22" s="498">
        <f t="shared" si="35"/>
        <v>0</v>
      </c>
      <c r="AB22" s="2137">
        <v>0</v>
      </c>
      <c r="AC22" s="5439">
        <v>0</v>
      </c>
      <c r="AD22" s="2651">
        <f t="shared" si="36"/>
        <v>0</v>
      </c>
      <c r="AE22" s="2651">
        <f t="shared" si="37"/>
        <v>0</v>
      </c>
      <c r="AF22" s="2137">
        <v>0</v>
      </c>
      <c r="AG22" s="5580">
        <v>0</v>
      </c>
      <c r="AH22" s="5581">
        <f t="shared" si="38"/>
        <v>0</v>
      </c>
      <c r="AI22" s="5581">
        <f t="shared" si="39"/>
        <v>0</v>
      </c>
      <c r="AJ22" s="2137">
        <v>0</v>
      </c>
      <c r="AK22" s="6000">
        <v>0</v>
      </c>
      <c r="AL22" s="2351">
        <f t="shared" si="40"/>
        <v>0</v>
      </c>
      <c r="AM22" s="2351">
        <f t="shared" si="41"/>
        <v>0</v>
      </c>
      <c r="AN22" s="2760">
        <f t="shared" si="42"/>
        <v>0</v>
      </c>
      <c r="AO22" s="2760">
        <f t="shared" si="43"/>
        <v>0</v>
      </c>
      <c r="AP22" s="2137">
        <v>0</v>
      </c>
      <c r="AQ22" s="6144">
        <v>0</v>
      </c>
      <c r="AR22" s="2813">
        <f t="shared" si="44"/>
        <v>0</v>
      </c>
      <c r="AS22" s="2813">
        <f t="shared" si="45"/>
        <v>0</v>
      </c>
      <c r="AT22" s="2137">
        <v>0</v>
      </c>
      <c r="AU22" s="6329">
        <v>0</v>
      </c>
      <c r="AV22" s="6330">
        <f t="shared" si="46"/>
        <v>0</v>
      </c>
      <c r="AW22" s="6330">
        <f t="shared" si="47"/>
        <v>0</v>
      </c>
      <c r="AX22" s="2137"/>
      <c r="AY22" s="6466">
        <v>0</v>
      </c>
      <c r="AZ22" s="2351">
        <f t="shared" si="48"/>
        <v>0</v>
      </c>
      <c r="BA22" s="2351">
        <f t="shared" si="49"/>
        <v>0</v>
      </c>
      <c r="BB22" s="3113">
        <f t="shared" si="50"/>
        <v>0</v>
      </c>
      <c r="BC22" s="3113">
        <f t="shared" si="50"/>
        <v>0</v>
      </c>
      <c r="BD22" s="3112">
        <f t="shared" si="51"/>
        <v>0</v>
      </c>
      <c r="BE22" s="3112">
        <f t="shared" si="52"/>
        <v>0</v>
      </c>
      <c r="BF22" s="26"/>
      <c r="BG22" s="26"/>
      <c r="BH22" s="26"/>
      <c r="BI22" s="4713"/>
      <c r="BJ22" s="4713"/>
    </row>
    <row r="23" spans="1:62" ht="18.75" x14ac:dyDescent="0.3">
      <c r="A23" s="2338"/>
      <c r="B23" s="2350" t="s">
        <v>101</v>
      </c>
      <c r="C23" s="50" t="s">
        <v>50</v>
      </c>
      <c r="D23" s="740">
        <v>0</v>
      </c>
      <c r="E23" s="2135">
        <v>0</v>
      </c>
      <c r="F23" s="740">
        <v>0</v>
      </c>
      <c r="G23" s="2135">
        <v>0</v>
      </c>
      <c r="H23" s="350">
        <f>+D23+F23</f>
        <v>0</v>
      </c>
      <c r="I23" s="211">
        <f>+E23+G23</f>
        <v>0</v>
      </c>
      <c r="J23" s="740">
        <v>0</v>
      </c>
      <c r="K23" s="2135">
        <v>0</v>
      </c>
      <c r="L23" s="405">
        <f>+D23+F23+J23</f>
        <v>0</v>
      </c>
      <c r="M23" s="405">
        <f>+E23+G23+K23</f>
        <v>0</v>
      </c>
      <c r="N23" s="740">
        <v>0</v>
      </c>
      <c r="O23" s="2135">
        <v>0</v>
      </c>
      <c r="P23" s="2274">
        <f>+L23+N23</f>
        <v>0</v>
      </c>
      <c r="Q23" s="2274">
        <f>+M23+O23</f>
        <v>0</v>
      </c>
      <c r="R23" s="740">
        <v>0</v>
      </c>
      <c r="S23" s="2135">
        <v>0</v>
      </c>
      <c r="T23" s="4134">
        <f>+P23+R23</f>
        <v>0</v>
      </c>
      <c r="U23" s="4134">
        <f>+Q23+S23</f>
        <v>0</v>
      </c>
      <c r="V23" s="740">
        <v>0</v>
      </c>
      <c r="W23" s="2135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40">
        <v>0</v>
      </c>
      <c r="AC23" s="2135">
        <v>0</v>
      </c>
      <c r="AD23" s="2647">
        <f>+Z23+AB23</f>
        <v>0</v>
      </c>
      <c r="AE23" s="2647">
        <f>+AA23+AC23</f>
        <v>0</v>
      </c>
      <c r="AF23" s="740">
        <v>0</v>
      </c>
      <c r="AG23" s="2135">
        <v>0</v>
      </c>
      <c r="AH23" s="4134">
        <f>+AD23+AF23</f>
        <v>0</v>
      </c>
      <c r="AI23" s="4134">
        <f>+AE23+AG23</f>
        <v>0</v>
      </c>
      <c r="AJ23" s="740">
        <v>0</v>
      </c>
      <c r="AK23" s="2135">
        <v>0</v>
      </c>
      <c r="AL23" s="405">
        <f>AB23+AF23+AJ23</f>
        <v>0</v>
      </c>
      <c r="AM23" s="405">
        <f>AC23+AG23+AK23</f>
        <v>0</v>
      </c>
      <c r="AN23" s="2755">
        <f>+AH23+AJ23</f>
        <v>0</v>
      </c>
      <c r="AO23" s="2755">
        <f>+AI23+AK23</f>
        <v>0</v>
      </c>
      <c r="AP23" s="740">
        <v>0</v>
      </c>
      <c r="AQ23" s="2135">
        <v>0</v>
      </c>
      <c r="AR23" s="2810">
        <f>+AN23+AP23</f>
        <v>0</v>
      </c>
      <c r="AS23" s="2810">
        <f>+AO23+AQ23</f>
        <v>0</v>
      </c>
      <c r="AT23" s="740">
        <v>0</v>
      </c>
      <c r="AU23" s="2135">
        <v>0</v>
      </c>
      <c r="AV23" s="4134">
        <f>+AR23+AT23</f>
        <v>0</v>
      </c>
      <c r="AW23" s="4134">
        <f>+AS23+AU23</f>
        <v>0</v>
      </c>
      <c r="AX23" s="740"/>
      <c r="AY23" s="2135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3105">
        <f>+AV23+AX23</f>
        <v>0</v>
      </c>
      <c r="BE23" s="3105">
        <f>+AW23+AY23</f>
        <v>0</v>
      </c>
      <c r="BF23" s="26"/>
      <c r="BG23" s="26"/>
      <c r="BH23" s="26"/>
      <c r="BI23" s="4713"/>
      <c r="BJ23" s="4713"/>
    </row>
    <row r="24" spans="1:62" ht="18.75" x14ac:dyDescent="0.3">
      <c r="A24" s="2349"/>
      <c r="B24" s="2352" t="s">
        <v>21</v>
      </c>
      <c r="C24" s="845" t="s">
        <v>560</v>
      </c>
      <c r="D24" s="2137">
        <f t="shared" ref="D24:AA24" si="55">SUM(D18:D22)</f>
        <v>41.539999999999971</v>
      </c>
      <c r="E24" s="3447">
        <f t="shared" si="55"/>
        <v>33.058472222222221</v>
      </c>
      <c r="F24" s="2137">
        <f t="shared" ref="F24:G24" si="56">SUM(F18:F22)</f>
        <v>41.54</v>
      </c>
      <c r="G24" s="7234">
        <f t="shared" si="56"/>
        <v>36.799583333333338</v>
      </c>
      <c r="H24" s="2139">
        <f t="shared" si="55"/>
        <v>41.539999999999992</v>
      </c>
      <c r="I24" s="3448">
        <f t="shared" si="55"/>
        <v>34.959692622950818</v>
      </c>
      <c r="J24" s="2137">
        <f>SUM(J18:J23)</f>
        <v>34.616666666666703</v>
      </c>
      <c r="K24" s="4624">
        <f t="shared" ref="K24" si="57">SUM(K18:K22)</f>
        <v>22.837597222222222</v>
      </c>
      <c r="L24" s="2353">
        <f t="shared" si="55"/>
        <v>39.25758241758242</v>
      </c>
      <c r="M24" s="2141">
        <f t="shared" si="55"/>
        <v>30.963397435897434</v>
      </c>
      <c r="N24" s="2137">
        <f t="shared" si="55"/>
        <v>36.85</v>
      </c>
      <c r="O24" s="1607">
        <f t="shared" si="55"/>
        <v>37.711747311827956</v>
      </c>
      <c r="P24" s="349">
        <f t="shared" si="55"/>
        <v>38.645819672131147</v>
      </c>
      <c r="Q24" s="349">
        <f t="shared" si="55"/>
        <v>32.678142076502731</v>
      </c>
      <c r="R24" s="2137">
        <f>SUM(R18:R23)</f>
        <v>41.54</v>
      </c>
      <c r="S24" s="1607">
        <f t="shared" ref="S24:U24" si="58">SUM(S18:S22)</f>
        <v>36.595040322580644</v>
      </c>
      <c r="T24" s="4972">
        <f t="shared" si="58"/>
        <v>39.232222222222227</v>
      </c>
      <c r="U24" s="4972">
        <f t="shared" si="58"/>
        <v>33.471761982570811</v>
      </c>
      <c r="V24" s="2137">
        <f>SUM(V18:V23)</f>
        <v>41.539999999999964</v>
      </c>
      <c r="W24" s="1607">
        <f t="shared" ref="W24" si="59">SUM(W18:W22)</f>
        <v>35.024888888888889</v>
      </c>
      <c r="X24" s="2351">
        <f>SUM(X18:X22)</f>
        <v>39.959673913043467</v>
      </c>
      <c r="Y24" s="2351">
        <f>SUM(Y18:Y22)</f>
        <v>36.459316123188408</v>
      </c>
      <c r="Z24" s="2363">
        <f t="shared" si="55"/>
        <v>39.610546448087433</v>
      </c>
      <c r="AA24" s="2363">
        <f t="shared" si="55"/>
        <v>33.726372950819666</v>
      </c>
      <c r="AB24" s="2137">
        <f>SUM(AB18:AB23)</f>
        <v>41.540000000000013</v>
      </c>
      <c r="AC24" s="1607">
        <f t="shared" ref="AC24" si="60">SUM(AC18:AC22)</f>
        <v>31.45559139784946</v>
      </c>
      <c r="AD24" s="2651">
        <f t="shared" ref="AD24:AE24" si="61">SUM(AD18:AD22)</f>
        <v>39.890046728971967</v>
      </c>
      <c r="AE24" s="2651">
        <f t="shared" si="61"/>
        <v>33.397427959501556</v>
      </c>
      <c r="AF24" s="2137">
        <f>SUM(AF18:AF23)</f>
        <v>41.540000000000006</v>
      </c>
      <c r="AG24" s="1607">
        <f t="shared" ref="AG24:AI24" si="62">SUM(AG18:AG22)</f>
        <v>1.5869583333333335</v>
      </c>
      <c r="AH24" s="5581">
        <f t="shared" si="62"/>
        <v>40.092909836065573</v>
      </c>
      <c r="AI24" s="5581">
        <f t="shared" si="62"/>
        <v>29.486304644808747</v>
      </c>
      <c r="AJ24" s="2137">
        <f>SUM(AJ18:AJ23)</f>
        <v>41.540000000000013</v>
      </c>
      <c r="AK24" s="1607">
        <f t="shared" ref="AK24" si="63">SUM(AK18:AK22)</f>
        <v>37.666774193548392</v>
      </c>
      <c r="AL24" s="2351">
        <f>SUM(AL18:AL22)</f>
        <v>41.540000000000006</v>
      </c>
      <c r="AM24" s="2351">
        <f>SUM(AM18:AM22)</f>
        <v>23.80871829710145</v>
      </c>
      <c r="AN24" s="2760">
        <f t="shared" ref="AN24:AO24" si="64">SUM(AN18:AN22)</f>
        <v>40.256036363636369</v>
      </c>
      <c r="AO24" s="2760">
        <f t="shared" si="64"/>
        <v>30.408466666666669</v>
      </c>
      <c r="AP24" s="2137">
        <f>SUM(AP18:AP23)</f>
        <v>41.540000000000013</v>
      </c>
      <c r="AQ24" s="1607">
        <f t="shared" ref="AQ24" si="65">SUM(AQ18:AQ22)</f>
        <v>38.463400537634413</v>
      </c>
      <c r="AR24" s="2813">
        <f t="shared" ref="AR24:AS24" si="66">SUM(AR18:AR22)</f>
        <v>40.386111111111113</v>
      </c>
      <c r="AS24" s="2813">
        <f t="shared" si="66"/>
        <v>31.224489379084972</v>
      </c>
      <c r="AT24" s="2137">
        <f>SUM(AT18:AT23)</f>
        <v>41.539999999999949</v>
      </c>
      <c r="AU24" s="1607">
        <f t="shared" ref="AU24:AW24" si="67">SUM(AU18:AU22)</f>
        <v>39.135624999999997</v>
      </c>
      <c r="AV24" s="6330">
        <f t="shared" si="67"/>
        <v>40.482844311377242</v>
      </c>
      <c r="AW24" s="6330">
        <f t="shared" si="67"/>
        <v>31.887698353293416</v>
      </c>
      <c r="AX24" s="2137">
        <f>SUM(AX18:AX23)</f>
        <v>41.540000000000013</v>
      </c>
      <c r="AY24" s="1607">
        <f t="shared" ref="AY24" si="68">SUM(AY18:AY22)</f>
        <v>37.642123655913977</v>
      </c>
      <c r="AZ24" s="2351">
        <f>SUM(AZ18:AZ22)</f>
        <v>41.539999999999985</v>
      </c>
      <c r="BA24" s="2351">
        <f>SUM(BA18:BA22)</f>
        <v>38.389652777777783</v>
      </c>
      <c r="BB24" s="2363">
        <f t="shared" ref="BB24:BC24" si="69">SUM(BB18:BB22)</f>
        <v>41.54</v>
      </c>
      <c r="BC24" s="2363">
        <f t="shared" si="69"/>
        <v>31.019070512820512</v>
      </c>
      <c r="BD24" s="3112">
        <f t="shared" ref="BD24:BE24" si="70">SUM(BD18:BD22)</f>
        <v>40.572630136986305</v>
      </c>
      <c r="BE24" s="3112">
        <f t="shared" si="70"/>
        <v>32.376430365296805</v>
      </c>
      <c r="BF24" s="26"/>
      <c r="BG24" s="26"/>
      <c r="BH24" s="26"/>
      <c r="BI24" s="4713"/>
      <c r="BJ24" s="4713"/>
    </row>
    <row r="25" spans="1:62" ht="18.75" x14ac:dyDescent="0.3">
      <c r="A25" s="2349"/>
      <c r="B25" s="1472" t="s">
        <v>102</v>
      </c>
      <c r="C25" s="1351"/>
      <c r="D25" s="2354"/>
      <c r="E25" s="2355"/>
      <c r="F25" s="2354"/>
      <c r="G25" s="2355"/>
      <c r="H25" s="3784"/>
      <c r="I25" s="3785"/>
      <c r="J25" s="2354"/>
      <c r="K25" s="2355"/>
      <c r="L25" s="2356"/>
      <c r="M25" s="2355"/>
      <c r="N25" s="2354"/>
      <c r="O25" s="2355"/>
      <c r="P25" s="2357"/>
      <c r="Q25" s="2357"/>
      <c r="R25" s="2354"/>
      <c r="S25" s="2355"/>
      <c r="T25" s="2357"/>
      <c r="U25" s="2357"/>
      <c r="V25" s="2354"/>
      <c r="W25" s="2355"/>
      <c r="X25" s="2356"/>
      <c r="Y25" s="2355"/>
      <c r="Z25" s="2357"/>
      <c r="AA25" s="2357"/>
      <c r="AB25" s="2354"/>
      <c r="AC25" s="2355"/>
      <c r="AD25" s="2357"/>
      <c r="AE25" s="2357"/>
      <c r="AF25" s="2354"/>
      <c r="AG25" s="2355"/>
      <c r="AH25" s="2357"/>
      <c r="AI25" s="2357"/>
      <c r="AJ25" s="2354"/>
      <c r="AK25" s="2355"/>
      <c r="AL25" s="2356"/>
      <c r="AM25" s="2355"/>
      <c r="AN25" s="2357"/>
      <c r="AO25" s="2357"/>
      <c r="AP25" s="2354"/>
      <c r="AQ25" s="2355"/>
      <c r="AR25" s="2357"/>
      <c r="AS25" s="2357"/>
      <c r="AT25" s="2354"/>
      <c r="AU25" s="2355"/>
      <c r="AV25" s="2357"/>
      <c r="AW25" s="2357"/>
      <c r="AX25" s="2354"/>
      <c r="AY25" s="2355"/>
      <c r="AZ25" s="2356"/>
      <c r="BA25" s="2355"/>
      <c r="BB25" s="2357"/>
      <c r="BC25" s="2357"/>
      <c r="BD25" s="2357"/>
      <c r="BE25" s="2357"/>
      <c r="BF25" s="26"/>
      <c r="BG25" s="26"/>
      <c r="BH25" s="26"/>
      <c r="BI25" s="4713"/>
      <c r="BJ25" s="4713"/>
    </row>
    <row r="26" spans="1:62" ht="18.75" x14ac:dyDescent="0.3">
      <c r="A26" s="2338"/>
      <c r="B26" s="2350" t="s">
        <v>15</v>
      </c>
      <c r="C26" s="50" t="s">
        <v>560</v>
      </c>
      <c r="D26" s="1515">
        <v>17</v>
      </c>
      <c r="E26" s="2136">
        <f>4100/(24*E$2)</f>
        <v>5.6944444444444446</v>
      </c>
      <c r="F26" s="1515">
        <v>17</v>
      </c>
      <c r="G26" s="7234">
        <f>4100/(24*G$2)</f>
        <v>5.510752688172043</v>
      </c>
      <c r="H26" s="2139">
        <f t="shared" ref="H26:I28" si="71">+((D26*D$2)+(F26*F$2))/H$2</f>
        <v>17</v>
      </c>
      <c r="I26" s="3448">
        <f t="shared" si="71"/>
        <v>5.6010928961748636</v>
      </c>
      <c r="J26" s="1515">
        <v>14</v>
      </c>
      <c r="K26" s="4624">
        <f>4100/(24*K$2)</f>
        <v>5.6944444444444446</v>
      </c>
      <c r="L26" s="2351">
        <f t="shared" ref="L26:M31" si="72">+((D26*D$2)+(F26*F$2)+(J26*J$2))/L$2</f>
        <v>16.010989010989011</v>
      </c>
      <c r="M26" s="2351">
        <f>+((E26*E$2)+(G26*G$2)+(K26*K$2))/M$2</f>
        <v>5.6318681318681323</v>
      </c>
      <c r="N26" s="1515">
        <v>12.666666666666666</v>
      </c>
      <c r="O26" s="2136">
        <f>4100/(24*O$2)</f>
        <v>5.510752688172043</v>
      </c>
      <c r="P26" s="349">
        <f>+((L26*L$2)+(N26*N$2))/P$2</f>
        <v>15.161202185792348</v>
      </c>
      <c r="Q26" s="349">
        <f>+((M26*M$2)+(O26*O$2))/Q$2</f>
        <v>5.6010928961748636</v>
      </c>
      <c r="R26" s="1515">
        <v>17</v>
      </c>
      <c r="S26" s="4971">
        <f>4100/(24*S$2)</f>
        <v>5.510752688172043</v>
      </c>
      <c r="T26" s="4972">
        <f>+((P26*P$2)+(R26*R$2))/T$2</f>
        <v>15.533769063180827</v>
      </c>
      <c r="U26" s="4972">
        <f>+((Q26*Q$2)+(S26*S$2))/U$2</f>
        <v>5.582788671023966</v>
      </c>
      <c r="V26" s="1515">
        <v>17</v>
      </c>
      <c r="W26" s="5102">
        <f>4100/(24*W$2)</f>
        <v>5.6944444444444446</v>
      </c>
      <c r="X26" s="2351">
        <f>(N26*N$2+R26*R$2+V26*V$2)/X$2</f>
        <v>15.539855072463766</v>
      </c>
      <c r="Y26" s="2351">
        <f>(O26*O$2+S26*S$2+W26*W$2)/Y$2</f>
        <v>5.5706521739130439</v>
      </c>
      <c r="Z26" s="498">
        <f>(L26*L$2+X26*X$2)/Z$2</f>
        <v>15.774134790528233</v>
      </c>
      <c r="AA26" s="498">
        <f>(M26*M$2+Y26*Y$2)/AA$2</f>
        <v>5.6010928961748636</v>
      </c>
      <c r="AB26" s="1515">
        <v>17</v>
      </c>
      <c r="AC26" s="5439">
        <f>4100/(24*AC$2)</f>
        <v>5.510752688172043</v>
      </c>
      <c r="AD26" s="2651">
        <f>+((Z26*Z$2)+(AB26*AB$2))/AD$2</f>
        <v>15.951713395638629</v>
      </c>
      <c r="AE26" s="2651">
        <f>+((AA26*AA$2)+(AC26*AC$2))/AE$2</f>
        <v>5.5880062305295946</v>
      </c>
      <c r="AF26" s="1515">
        <v>17</v>
      </c>
      <c r="AG26" s="5580">
        <f>4100/(24*AG$2)</f>
        <v>5.6944444444444446</v>
      </c>
      <c r="AH26" s="5581">
        <f>+((AD26*AD$2)+(AF26*AF$2))/AH$2</f>
        <v>16.080601092896174</v>
      </c>
      <c r="AI26" s="5581">
        <f>+((AE26*AE$2)+(AG26*AG$2))/AI$2</f>
        <v>5.6010928961748627</v>
      </c>
      <c r="AJ26" s="1515">
        <v>17</v>
      </c>
      <c r="AK26" s="6000">
        <f>4100/(24*AK$2)</f>
        <v>5.510752688172043</v>
      </c>
      <c r="AL26" s="2351">
        <f>(AB26*AB$2+AF26*AF$2+AJ26*AJ$2)/AL$2</f>
        <v>17</v>
      </c>
      <c r="AM26" s="2351">
        <f>(AC26*AC$2+AG26*AG$2+AK26*AK$2)/AM$2</f>
        <v>5.5706521739130439</v>
      </c>
      <c r="AN26" s="2760">
        <f>+((AH26*AH$2)+(AJ26*AJ$2))/AN$2</f>
        <v>16.184242424242424</v>
      </c>
      <c r="AO26" s="2760">
        <f>+((AI26*AI$2)+(AK26*AK$2))/AO$2</f>
        <v>5.5909090909090899</v>
      </c>
      <c r="AP26" s="1515">
        <v>17</v>
      </c>
      <c r="AQ26" s="6144">
        <f>4100/(24*AQ$2)</f>
        <v>5.510752688172043</v>
      </c>
      <c r="AR26" s="2813">
        <f>+((AN26*AN$2)+(AP26*AP$2))/AR$2</f>
        <v>16.266884531590414</v>
      </c>
      <c r="AS26" s="2813">
        <f>+((AO26*AO$2)+(AQ26*AQ$2))/AS$2</f>
        <v>5.5827886710239643</v>
      </c>
      <c r="AT26" s="1515">
        <v>17</v>
      </c>
      <c r="AU26" s="6329">
        <f>4100/(24*AU$2)</f>
        <v>6.1011904761904763</v>
      </c>
      <c r="AV26" s="6330">
        <f>+((AR26*AR$2)+(AT26*AT$2))/AV$2</f>
        <v>16.328343313373253</v>
      </c>
      <c r="AW26" s="6330">
        <f>+((AS26*AS$2)+(AU26*AU$2))/AW$2</f>
        <v>5.6262475049900189</v>
      </c>
      <c r="AX26" s="1515">
        <v>17</v>
      </c>
      <c r="AY26" s="6466">
        <f>4100/(24*AY$2)</f>
        <v>5.510752688172043</v>
      </c>
      <c r="AZ26" s="2351">
        <f>(AP26*AP$2+AT26*AT$2+AX26*AX$2)/AZ$2</f>
        <v>17</v>
      </c>
      <c r="BA26" s="2351">
        <f>(AQ26*AQ$2+AU26*AU$2+AY26*AY$2)/BA$2</f>
        <v>5.6944444444444446</v>
      </c>
      <c r="BB26" s="3113">
        <f t="shared" ref="BB26:BC29" si="73">(AL26*AL$2+AZ26*AZ$2)/BB$2</f>
        <v>17</v>
      </c>
      <c r="BC26" s="3113">
        <f t="shared" si="73"/>
        <v>5.6318681318681323</v>
      </c>
      <c r="BD26" s="3112">
        <f>+((AV26*AV$2)+(AX26*AX$2))/BD$2</f>
        <v>16.385388127853879</v>
      </c>
      <c r="BE26" s="3112">
        <f>+((AW26*AW$2)+(AY26*AY$2))/BE$2</f>
        <v>5.616438356164382</v>
      </c>
      <c r="BF26" s="26"/>
      <c r="BG26" s="26"/>
      <c r="BH26" s="26"/>
      <c r="BI26" s="4713"/>
      <c r="BJ26" s="4713"/>
    </row>
    <row r="27" spans="1:62" ht="18.75" x14ac:dyDescent="0.3">
      <c r="A27" s="2338"/>
      <c r="B27" s="2350" t="s">
        <v>57</v>
      </c>
      <c r="C27" s="50" t="s">
        <v>560</v>
      </c>
      <c r="D27" s="1515">
        <f>11500/1000</f>
        <v>11.5</v>
      </c>
      <c r="E27" s="2136">
        <f>5823.76/(24*E$2)</f>
        <v>8.0885555555555566</v>
      </c>
      <c r="F27" s="1515">
        <f>11500/1000</f>
        <v>11.5</v>
      </c>
      <c r="G27" s="7234">
        <f>6733.2/(24*G$2)</f>
        <v>9.0499999999999989</v>
      </c>
      <c r="H27" s="2139">
        <f t="shared" si="71"/>
        <v>11.5</v>
      </c>
      <c r="I27" s="3448">
        <f t="shared" si="71"/>
        <v>8.5771584699453562</v>
      </c>
      <c r="J27" s="1515">
        <v>8</v>
      </c>
      <c r="K27" s="4624">
        <f>6056.8/(24*K$2)</f>
        <v>8.4122222222222227</v>
      </c>
      <c r="L27" s="2351">
        <f t="shared" si="72"/>
        <v>10.346153846153847</v>
      </c>
      <c r="M27" s="2351">
        <f>+((E27*E$2)+(G27*G$2)+(K27*K$2))/M$2</f>
        <v>8.5227838827838838</v>
      </c>
      <c r="N27" s="1515">
        <v>7</v>
      </c>
      <c r="O27" s="2136">
        <f>8497.52/(24*O$2)</f>
        <v>11.421397849462366</v>
      </c>
      <c r="P27" s="349">
        <f>+((L27*L$2)+(N27*N$2))/P$2</f>
        <v>9.4959016393442628</v>
      </c>
      <c r="Q27" s="349">
        <f>+((M27*M$2)+(O27*O$2))/Q$2</f>
        <v>9.2593169398907111</v>
      </c>
      <c r="R27" s="1515">
        <v>10.5</v>
      </c>
      <c r="S27" s="4971">
        <f>7663.12/(24*S$2)</f>
        <v>10.299892473118279</v>
      </c>
      <c r="T27" s="4972">
        <f>+((P27*P$2)+(R27*R$2))/T$2</f>
        <v>9.6993464052287575</v>
      </c>
      <c r="U27" s="4972">
        <f>+((Q27*Q$2)+(S27*S$2))/U$2</f>
        <v>9.4701525054466238</v>
      </c>
      <c r="V27" s="1515">
        <v>10.5</v>
      </c>
      <c r="W27" s="5102">
        <f>7334.88/(24*W$2)</f>
        <v>10.187333333333333</v>
      </c>
      <c r="X27" s="2351">
        <f t="shared" ref="X27:X30" si="74">(N27*N$2+R27*R$2+V27*V$2)/X$2</f>
        <v>9.320652173913043</v>
      </c>
      <c r="Y27" s="2351">
        <f t="shared" ref="Y27:Y28" si="75">(O27*O$2+S27*S$2+W27*W$2)/Y$2</f>
        <v>10.641086956521738</v>
      </c>
      <c r="Z27" s="498">
        <f t="shared" ref="Z27:Z28" si="76">(L27*L$2+X27*X$2)/Z$2</f>
        <v>9.830601092896174</v>
      </c>
      <c r="AA27" s="498">
        <f t="shared" ref="AA27:AA28" si="77">(M27*M$2+Y27*Y$2)/AA$2</f>
        <v>9.5877231329690336</v>
      </c>
      <c r="AB27" s="1515">
        <v>10.5</v>
      </c>
      <c r="AC27" s="5439">
        <f>7546.32/(24*AC$2)</f>
        <v>10.142903225806451</v>
      </c>
      <c r="AD27" s="2651">
        <f>+((Z27*Z$2)+(AB27*AB$2))/AD$2</f>
        <v>9.9275700934579447</v>
      </c>
      <c r="AE27" s="2651">
        <f>+((AA27*AA$2)+(AC27*AC$2))/AE$2</f>
        <v>9.6681464174454828</v>
      </c>
      <c r="AF27" s="1515">
        <v>10.5</v>
      </c>
      <c r="AG27" s="5580">
        <f>1476.96/(24*AG$2)</f>
        <v>2.0513333333333335</v>
      </c>
      <c r="AH27" s="5581">
        <f>+((AD27*AD$2)+(AF27*AF$2))/AH$2</f>
        <v>9.9979508196721305</v>
      </c>
      <c r="AI27" s="5581">
        <f>+((AE27*AE$2)+(AG27*AG$2))/AI$2</f>
        <v>8.7316530054644801</v>
      </c>
      <c r="AJ27" s="1515">
        <v>10.5</v>
      </c>
      <c r="AK27" s="6000">
        <f>7686.64/(24*AK$2)</f>
        <v>10.331505376344086</v>
      </c>
      <c r="AL27" s="2351">
        <f t="shared" ref="AL27:AL31" si="78">(AB27*AB$2+AF27*AF$2+AJ27*AJ$2)/AL$2</f>
        <v>10.5</v>
      </c>
      <c r="AM27" s="2351">
        <f t="shared" ref="AM27:AM28" si="79">(AC27*AC$2+AG27*AG$2+AK27*AK$2)/AM$2</f>
        <v>7.5678985507246379</v>
      </c>
      <c r="AN27" s="2760">
        <f>+((AH27*AH$2)+(AJ27*AJ$2))/AN$2</f>
        <v>10.054545454545455</v>
      </c>
      <c r="AO27" s="2760">
        <f>+((AI27*AI$2)+(AK27*AK$2))/AO$2</f>
        <v>8.911999999999999</v>
      </c>
      <c r="AP27" s="1515">
        <v>10.5</v>
      </c>
      <c r="AQ27" s="6144">
        <f>8067.44/(24*AQ$2)</f>
        <v>10.843333333333332</v>
      </c>
      <c r="AR27" s="2813">
        <f>+((AN27*AN$2)+(AP27*AP$2))/AR$2</f>
        <v>10.09967320261438</v>
      </c>
      <c r="AS27" s="2813">
        <f>+((AO27*AO$2)+(AQ27*AQ$2))/AS$2</f>
        <v>9.107657952069717</v>
      </c>
      <c r="AT27" s="1515">
        <v>10.5</v>
      </c>
      <c r="AU27" s="6329">
        <f>6882.8/(24*AU$2)</f>
        <v>10.242261904761905</v>
      </c>
      <c r="AV27" s="6330">
        <f>+((AR27*AR$2)+(AT27*AT$2))/AV$2</f>
        <v>10.133233532934131</v>
      </c>
      <c r="AW27" s="6330">
        <f>+((AS27*AS$2)+(AU27*AU$2))/AW$2</f>
        <v>9.202774451097806</v>
      </c>
      <c r="AX27" s="1515">
        <v>10.5</v>
      </c>
      <c r="AY27" s="6466">
        <f>6475.52/(24*AY$2)</f>
        <v>8.7036559139784959</v>
      </c>
      <c r="AZ27" s="2351">
        <f t="shared" ref="AZ27:AZ31" si="80">(AP27*AP$2+AT27*AT$2+AX27*AX$2)/AZ$2</f>
        <v>10.5</v>
      </c>
      <c r="BA27" s="2351">
        <f t="shared" ref="BA27:BA28" si="81">(AQ27*AQ$2+AU27*AU$2+AY27*AY$2)/BA$2</f>
        <v>9.9193333333333342</v>
      </c>
      <c r="BB27" s="3113">
        <f t="shared" si="73"/>
        <v>10.5</v>
      </c>
      <c r="BC27" s="3113">
        <f t="shared" si="73"/>
        <v>8.7306959706959706</v>
      </c>
      <c r="BD27" s="3112">
        <f>+((AV27*AV$2)+(AX27*AX$2))/BD$2</f>
        <v>10.164383561643836</v>
      </c>
      <c r="BE27" s="3112">
        <f>+((AW27*AW$2)+(AY27*AY$2))/BE$2</f>
        <v>9.1603835616438385</v>
      </c>
      <c r="BF27" s="26"/>
      <c r="BG27" s="26"/>
      <c r="BH27" s="26"/>
      <c r="BI27" s="4713"/>
      <c r="BJ27" s="4713"/>
    </row>
    <row r="28" spans="1:62" ht="18.75" x14ac:dyDescent="0.3">
      <c r="A28" s="2338"/>
      <c r="B28" s="2350" t="s">
        <v>810</v>
      </c>
      <c r="C28" s="50" t="s">
        <v>560</v>
      </c>
      <c r="D28" s="1515">
        <f>2000/1000</f>
        <v>2</v>
      </c>
      <c r="E28" s="2136">
        <f>864/(24*E$2)</f>
        <v>1.2</v>
      </c>
      <c r="F28" s="1515">
        <f>2000/1000</f>
        <v>2</v>
      </c>
      <c r="G28" s="7234">
        <f>892.8/(24*G$2)</f>
        <v>1.2</v>
      </c>
      <c r="H28" s="2139">
        <f t="shared" si="71"/>
        <v>2</v>
      </c>
      <c r="I28" s="3448">
        <f t="shared" si="71"/>
        <v>1.1999999999999997</v>
      </c>
      <c r="J28" s="1515">
        <v>2</v>
      </c>
      <c r="K28" s="4624">
        <f>864/(24*K$2)</f>
        <v>1.2</v>
      </c>
      <c r="L28" s="2351">
        <f t="shared" si="72"/>
        <v>2</v>
      </c>
      <c r="M28" s="2351">
        <f>+((E28*E$2)+(G28*G$2)+(K28*K$2))/M$2</f>
        <v>1.2</v>
      </c>
      <c r="N28" s="1515">
        <v>2</v>
      </c>
      <c r="O28" s="2136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5">
        <v>2</v>
      </c>
      <c r="S28" s="4971">
        <f>892.8/(24*S$2)</f>
        <v>1.2</v>
      </c>
      <c r="T28" s="4972">
        <f>+((P28*P$2)+(R28*R$2))/T$2</f>
        <v>2</v>
      </c>
      <c r="U28" s="4972">
        <f>+((Q28*Q$2)+((S28*S$2)))/U$2</f>
        <v>1.2</v>
      </c>
      <c r="V28" s="1515">
        <v>2</v>
      </c>
      <c r="W28" s="5102">
        <f>864/(24*W$2)</f>
        <v>1.2</v>
      </c>
      <c r="X28" s="2351">
        <f t="shared" si="74"/>
        <v>2</v>
      </c>
      <c r="Y28" s="2351">
        <f t="shared" si="75"/>
        <v>1.2</v>
      </c>
      <c r="Z28" s="498">
        <f t="shared" si="76"/>
        <v>2</v>
      </c>
      <c r="AA28" s="498">
        <f t="shared" si="77"/>
        <v>1.2</v>
      </c>
      <c r="AB28" s="1515">
        <v>2</v>
      </c>
      <c r="AC28" s="5439">
        <f>892.8/(24*AC$2)</f>
        <v>1.2</v>
      </c>
      <c r="AD28" s="2651">
        <f>+((Z28*Z$2)+(AB28*AB$2))/AD$2</f>
        <v>2</v>
      </c>
      <c r="AE28" s="2651">
        <f>+((AA28*AA$2)+((AC28*AC$2)))/AE$2</f>
        <v>1.2</v>
      </c>
      <c r="AF28" s="1515">
        <v>2</v>
      </c>
      <c r="AG28" s="5580">
        <f>864/(24*AG$2)</f>
        <v>1.2</v>
      </c>
      <c r="AH28" s="5581">
        <f>+((AD28*AD$2)+(AF28*AF$2))/AH$2</f>
        <v>2</v>
      </c>
      <c r="AI28" s="5581">
        <f>+((AE28*AE$2)+((AG28*AG$2)))/AI$2</f>
        <v>1.2</v>
      </c>
      <c r="AJ28" s="1515">
        <v>2</v>
      </c>
      <c r="AK28" s="6000">
        <f>892.8/(24*AK$2)</f>
        <v>1.2</v>
      </c>
      <c r="AL28" s="2351">
        <f t="shared" si="78"/>
        <v>2</v>
      </c>
      <c r="AM28" s="2351">
        <f t="shared" si="79"/>
        <v>1.1999999999999997</v>
      </c>
      <c r="AN28" s="2760">
        <f>+((AH28*AH$2)+(AJ28*AJ$2))/AN$2</f>
        <v>2</v>
      </c>
      <c r="AO28" s="2760">
        <f>+((AI28*AI$2)+((AK28*AK$2)))/AO$2</f>
        <v>1.2</v>
      </c>
      <c r="AP28" s="1515">
        <v>2</v>
      </c>
      <c r="AQ28" s="6144">
        <f>892.8/(24*AQ$2)</f>
        <v>1.2</v>
      </c>
      <c r="AR28" s="2813">
        <f>+((AN28*AN$2)+(AP28*AP$2))/AR$2</f>
        <v>2</v>
      </c>
      <c r="AS28" s="2813">
        <f>+((AO28*AO$2)+((AQ28*AQ$2)))/AS$2</f>
        <v>1.2</v>
      </c>
      <c r="AT28" s="1515">
        <v>2</v>
      </c>
      <c r="AU28" s="6329">
        <f>806.4/(24*AU$2)</f>
        <v>1.2</v>
      </c>
      <c r="AV28" s="6330">
        <f>+((AR28*AR$2)+(AT28*AT$2))/AV$2</f>
        <v>2</v>
      </c>
      <c r="AW28" s="6330">
        <f>+((AS28*AS$2)+((AU28*AU$2)))/AW$2</f>
        <v>1.2</v>
      </c>
      <c r="AX28" s="1515">
        <v>2</v>
      </c>
      <c r="AY28" s="6466">
        <f>864/(24*AY$2)</f>
        <v>1.1612903225806452</v>
      </c>
      <c r="AZ28" s="2351">
        <f t="shared" si="80"/>
        <v>2</v>
      </c>
      <c r="BA28" s="2351">
        <f t="shared" si="81"/>
        <v>1.1866666666666665</v>
      </c>
      <c r="BB28" s="3113">
        <f t="shared" si="73"/>
        <v>2</v>
      </c>
      <c r="BC28" s="3113">
        <f t="shared" si="73"/>
        <v>1.1934065934065932</v>
      </c>
      <c r="BD28" s="3112">
        <f>+((AV28*AV$2)+(AX28*AX$2))/BD$2</f>
        <v>2</v>
      </c>
      <c r="BE28" s="3112">
        <f>+((AW28*AW$2)+((AY28*AY$2)))/BE$2</f>
        <v>1.1967123287671233</v>
      </c>
      <c r="BF28" s="26"/>
      <c r="BG28" s="26"/>
      <c r="BH28" s="26"/>
      <c r="BI28" s="4713"/>
      <c r="BJ28" s="4713"/>
    </row>
    <row r="29" spans="1:62" ht="18.75" x14ac:dyDescent="0.3">
      <c r="A29" s="2338"/>
      <c r="B29" s="2350" t="s">
        <v>811</v>
      </c>
      <c r="C29" s="50" t="s">
        <v>560</v>
      </c>
      <c r="D29" s="1515">
        <v>2</v>
      </c>
      <c r="E29" s="7911">
        <f>15616.56/(24*E$2)</f>
        <v>21.689666666666668</v>
      </c>
      <c r="F29" s="1515">
        <v>2.5</v>
      </c>
      <c r="G29" s="7911">
        <f>15635.04/(24*G$2)</f>
        <v>21.01483870967742</v>
      </c>
      <c r="H29" s="2139">
        <f>+((D29*D$2)+(F29*F$2))/H$2</f>
        <v>2.2540983606557377</v>
      </c>
      <c r="I29" s="7919">
        <f>+((E29*E$2)+(G29*G$2))/I$2</f>
        <v>21.346721311475413</v>
      </c>
      <c r="J29" s="1515">
        <v>2</v>
      </c>
      <c r="K29" s="7911">
        <f>14122.24/(24*K$2)</f>
        <v>19.614222222222221</v>
      </c>
      <c r="L29" s="2351">
        <f t="shared" si="72"/>
        <v>2.1703296703296702</v>
      </c>
      <c r="M29" s="7913">
        <f>+((E29*E$2)+(G29*G$2)+(K29*K$2))/M$2</f>
        <v>20.775567765567768</v>
      </c>
      <c r="N29" s="1515">
        <v>2.5</v>
      </c>
      <c r="O29" s="7911">
        <f>13090/(24*O$2)</f>
        <v>17.594086021505376</v>
      </c>
      <c r="P29" s="349">
        <f>+((L29*L$2)+(N29*N$2))/P$2</f>
        <v>2.2540983606557377</v>
      </c>
      <c r="Q29" s="7912">
        <f>+((M29*M$2)+(O29*O$2))/Q$2</f>
        <v>19.967158469945357</v>
      </c>
      <c r="R29" s="1515">
        <v>2.5</v>
      </c>
      <c r="S29" s="7911">
        <f>12924.88/(24*S$2)</f>
        <v>17.372150537634408</v>
      </c>
      <c r="T29" s="4972">
        <f>+((P29*P$2)+(R29*R$2))/T$2</f>
        <v>2.3039215686274508</v>
      </c>
      <c r="U29" s="7912">
        <f>+((Q29*Q$2)+(S29*S$2))/U$2</f>
        <v>19.441372549019608</v>
      </c>
      <c r="V29" s="1515">
        <v>2.5</v>
      </c>
      <c r="W29" s="7911">
        <f>11602.88/(24*W$2)</f>
        <v>16.115111111111108</v>
      </c>
      <c r="X29" s="2351">
        <f t="shared" si="74"/>
        <v>2.5</v>
      </c>
      <c r="Y29" s="7913">
        <f>(O29*O$2+S29*S$2+W29*W$2)/Y$2</f>
        <v>17.037028985507249</v>
      </c>
      <c r="Z29" s="498">
        <f>(L29*L$2+X29*X$2)/Z$2</f>
        <v>2.3360655737704916</v>
      </c>
      <c r="AA29" s="7915">
        <f>(M29*M$2+Y29*Y$2)/AA$2</f>
        <v>18.89608378870674</v>
      </c>
      <c r="AB29" s="1515">
        <v>2.5</v>
      </c>
      <c r="AC29" s="7911">
        <f>11765.92/(24*AC$2)</f>
        <v>15.814408602150538</v>
      </c>
      <c r="AD29" s="2651">
        <f>+((Z29*Z$2)+(AB29*AB$2))/AD$2</f>
        <v>2.3598130841121492</v>
      </c>
      <c r="AE29" s="7912">
        <f>+((AA29*AA$2)+(AC29*AC$2))/AE$2</f>
        <v>18.449672897196265</v>
      </c>
      <c r="AF29" s="1515">
        <v>2.5</v>
      </c>
      <c r="AG29" s="7911">
        <f>10788.72/(24*AG$2)</f>
        <v>14.984333333333332</v>
      </c>
      <c r="AH29" s="5581">
        <f>+((AD29*AD$2)+(AF29*AF$2))/AH$2</f>
        <v>2.377049180327869</v>
      </c>
      <c r="AI29" s="7912">
        <f>+((AE29*AE$2)+(AG29*AG$2))/AI$2</f>
        <v>18.023606557377054</v>
      </c>
      <c r="AJ29" s="1515">
        <v>2.5</v>
      </c>
      <c r="AK29" s="7911">
        <f>13703.92/(24*AK$2)</f>
        <v>18.419247311827956</v>
      </c>
      <c r="AL29" s="2351">
        <f t="shared" si="78"/>
        <v>2.5</v>
      </c>
      <c r="AM29" s="7913">
        <f>(AC29*AC$2+AG29*AG$2+AK29*AK$2)/AM$2</f>
        <v>16.421449275362317</v>
      </c>
      <c r="AN29" s="2760">
        <f>+((AH29*AH$2)+(AJ29*AJ$2))/AN$2</f>
        <v>2.3909090909090911</v>
      </c>
      <c r="AO29" s="7912">
        <f>+((AI29*AI$2)+(AK29*AK$2))/AO$2</f>
        <v>18.068206060606066</v>
      </c>
      <c r="AP29" s="1515">
        <v>2.5</v>
      </c>
      <c r="AQ29" s="7911">
        <f>13883.12/(24*AQ$2)</f>
        <v>18.66010752688172</v>
      </c>
      <c r="AR29" s="2813">
        <f>+((AN29*AN$2)+(AP29*AP$2))/AR$2</f>
        <v>2.4019607843137254</v>
      </c>
      <c r="AS29" s="7912">
        <f>+((AO29*AO$2)+(AQ29*AQ$2))/AS$2</f>
        <v>18.128169934640528</v>
      </c>
      <c r="AT29" s="1515">
        <v>2.5</v>
      </c>
      <c r="AU29" s="7911">
        <f>12645.12/(24*AU$2)</f>
        <v>18.817142857142859</v>
      </c>
      <c r="AV29" s="6330">
        <f>+((AR29*AR$2)+(AT29*AT$2))/AV$2</f>
        <v>2.4101796407185629</v>
      </c>
      <c r="AW29" s="7912">
        <f>+((AS29*AS$2)+(AU29*AU$2))/AW$2</f>
        <v>18.18592814371258</v>
      </c>
      <c r="AX29" s="1515">
        <v>2.5</v>
      </c>
      <c r="AY29" s="7911">
        <f>15803.36/(24*AY$2)</f>
        <v>21.241075268817205</v>
      </c>
      <c r="AZ29" s="2351">
        <f t="shared" si="80"/>
        <v>2.5</v>
      </c>
      <c r="BA29" s="7913">
        <f>(AQ29*AQ$2+AU29*AU$2+AY29*AY$2)/BA$2</f>
        <v>19.597962962962963</v>
      </c>
      <c r="BB29" s="3113">
        <f t="shared" si="73"/>
        <v>2.5</v>
      </c>
      <c r="BC29" s="7915">
        <f t="shared" si="73"/>
        <v>17.992252747252746</v>
      </c>
      <c r="BD29" s="3112">
        <f>+((AV29*AV$2)+(AX29*AX$2))/BD$2</f>
        <v>2.4178082191780823</v>
      </c>
      <c r="BE29" s="7912">
        <f>+((AW29*AW$2)+(AY29*AY$2))/BE$2</f>
        <v>18.445406392694071</v>
      </c>
      <c r="BF29" s="26"/>
      <c r="BG29" s="26"/>
      <c r="BH29" s="26"/>
      <c r="BI29" s="4713"/>
      <c r="BJ29" s="4713"/>
    </row>
    <row r="30" spans="1:62" ht="18.75" x14ac:dyDescent="0.3">
      <c r="A30" s="2338"/>
      <c r="B30" s="2350" t="s">
        <v>702</v>
      </c>
      <c r="C30" s="50" t="s">
        <v>560</v>
      </c>
      <c r="D30" s="1515">
        <f>620/1000</f>
        <v>0.62</v>
      </c>
      <c r="E30" s="7911"/>
      <c r="F30" s="1515">
        <v>0.12</v>
      </c>
      <c r="G30" s="7911"/>
      <c r="H30" s="2139">
        <f>+((D30*D$2)+(F30*F$2))/H$2</f>
        <v>0.36590163934426229</v>
      </c>
      <c r="I30" s="7919"/>
      <c r="J30" s="1515">
        <v>0.49166666666666398</v>
      </c>
      <c r="K30" s="7911"/>
      <c r="L30" s="2351">
        <f t="shared" si="72"/>
        <v>0.4073626373626365</v>
      </c>
      <c r="M30" s="7914"/>
      <c r="N30" s="1515">
        <v>4.2180107526881745</v>
      </c>
      <c r="O30" s="7911"/>
      <c r="P30" s="349">
        <f>+((L30*L$2)+(N30*N$2))/P$2</f>
        <v>1.3756420765027322</v>
      </c>
      <c r="Q30" s="7912"/>
      <c r="R30" s="1515">
        <v>0.17000000000000728</v>
      </c>
      <c r="S30" s="7911"/>
      <c r="T30" s="4972">
        <f>+((P30*P$2)+(R30*R$2))/T$2</f>
        <v>1.1313616557734218</v>
      </c>
      <c r="U30" s="7912"/>
      <c r="V30" s="1515">
        <v>0.17000000000000728</v>
      </c>
      <c r="W30" s="7911"/>
      <c r="X30" s="2351">
        <f t="shared" si="74"/>
        <v>1.5340036231884115</v>
      </c>
      <c r="Y30" s="7914"/>
      <c r="Z30" s="498">
        <f>(L30*L$2+X30*X$2)/Z$2</f>
        <v>0.97376138433515724</v>
      </c>
      <c r="AA30" s="7915"/>
      <c r="AB30" s="1515">
        <v>0.17000000000000701</v>
      </c>
      <c r="AC30" s="7911"/>
      <c r="AD30" s="2651">
        <f>+((Z30*Z$2)+(AB30*AB$2))/AD$2</f>
        <v>0.85732866043614009</v>
      </c>
      <c r="AE30" s="7912"/>
      <c r="AF30" s="1515">
        <v>0.17</v>
      </c>
      <c r="AG30" s="7911"/>
      <c r="AH30" s="5581">
        <f>+((AD30*AD$2)+(AF30*AF$2))/AH$2</f>
        <v>0.77282103825136883</v>
      </c>
      <c r="AI30" s="7912"/>
      <c r="AJ30" s="1515">
        <v>0.17000000000000701</v>
      </c>
      <c r="AK30" s="7911"/>
      <c r="AL30" s="2351">
        <f t="shared" si="78"/>
        <v>0.17000000000000473</v>
      </c>
      <c r="AM30" s="7914"/>
      <c r="AN30" s="2760">
        <f>+((AH30*AH$2)+(AJ30*AJ$2))/AN$2</f>
        <v>0.70486666666666975</v>
      </c>
      <c r="AO30" s="7912"/>
      <c r="AP30" s="1515">
        <v>0.17000000000000701</v>
      </c>
      <c r="AQ30" s="7911"/>
      <c r="AR30" s="2813">
        <f>+((AN30*AN$2)+(AP30*AP$2))/AR$2</f>
        <v>0.65068082788671378</v>
      </c>
      <c r="AS30" s="7912"/>
      <c r="AT30" s="1515">
        <v>0.17</v>
      </c>
      <c r="AU30" s="7911"/>
      <c r="AV30" s="6330">
        <f>+((AR30*AR$2)+(AT30*AT$2))/AV$2</f>
        <v>0.61038423153692944</v>
      </c>
      <c r="AW30" s="7912"/>
      <c r="AX30" s="1515">
        <v>0.17</v>
      </c>
      <c r="AY30" s="7911"/>
      <c r="AZ30" s="2351">
        <f t="shared" si="80"/>
        <v>0.17000000000000243</v>
      </c>
      <c r="BA30" s="7914"/>
      <c r="BB30" s="3113">
        <f>(AL30*AL$2+AZ30*AZ$2)/BB$2</f>
        <v>0.17000000000000359</v>
      </c>
      <c r="BC30" s="7915"/>
      <c r="BD30" s="3112">
        <f>+((AV30*AV$2)+(AX30*AX$2))/BD$2</f>
        <v>0.57298173515982043</v>
      </c>
      <c r="BE30" s="7912"/>
      <c r="BF30" s="26"/>
      <c r="BG30" s="26"/>
      <c r="BH30" s="26"/>
      <c r="BI30" s="4713"/>
      <c r="BJ30" s="4713"/>
    </row>
    <row r="31" spans="1:62" ht="18.75" x14ac:dyDescent="0.3">
      <c r="A31" s="2338"/>
      <c r="B31" s="7916" t="s">
        <v>101</v>
      </c>
      <c r="C31" s="50" t="s">
        <v>560</v>
      </c>
      <c r="D31" s="1515">
        <v>0</v>
      </c>
      <c r="E31" s="2136">
        <v>0</v>
      </c>
      <c r="F31" s="1515">
        <v>0</v>
      </c>
      <c r="G31" s="7234">
        <v>0</v>
      </c>
      <c r="H31" s="350">
        <f>+((D31*D$2)+(F31*F$2))/H$2</f>
        <v>0</v>
      </c>
      <c r="I31" s="211">
        <f>+((E31*E$2)+(G31*G$2))/I$2</f>
        <v>0</v>
      </c>
      <c r="J31" s="1515">
        <v>0</v>
      </c>
      <c r="K31" s="4624">
        <v>0</v>
      </c>
      <c r="L31" s="2351">
        <f t="shared" si="72"/>
        <v>0</v>
      </c>
      <c r="M31" s="2351">
        <f t="shared" si="72"/>
        <v>0</v>
      </c>
      <c r="N31" s="1515"/>
      <c r="O31" s="2136"/>
      <c r="P31" s="349">
        <f>+((L31*L$2)+(N31*N$2))/P$2</f>
        <v>0</v>
      </c>
      <c r="Q31" s="349">
        <f>+((M31*M$2)+(O31*O$2))/Q$2</f>
        <v>0</v>
      </c>
      <c r="R31" s="1515"/>
      <c r="S31" s="4971"/>
      <c r="T31" s="4972">
        <f>+((P31*P$2)+(R31*R$2))/T$2</f>
        <v>0</v>
      </c>
      <c r="U31" s="4972">
        <f>+((Q31*Q$2)+(S31*S$2))/U$2</f>
        <v>0</v>
      </c>
      <c r="V31" s="1515"/>
      <c r="W31" s="5102"/>
      <c r="X31" s="2351">
        <f t="shared" ref="X31" si="82">(N31*N$2+R31*R$2+V31*V$2)/X$2</f>
        <v>0</v>
      </c>
      <c r="Y31" s="2351">
        <f t="shared" ref="Y31" si="83">(O31*O$2+S31*S$2+W31*W$2)/Y$2</f>
        <v>0</v>
      </c>
      <c r="Z31" s="498">
        <f t="shared" ref="Z31" si="84">(L31*L$2+X31*X$2)/Z$2</f>
        <v>0</v>
      </c>
      <c r="AA31" s="498">
        <f t="shared" ref="AA31" si="85">(M31*M$2+Y31*Y$2)/AA$2</f>
        <v>0</v>
      </c>
      <c r="AB31" s="1515"/>
      <c r="AC31" s="5439"/>
      <c r="AD31" s="2651">
        <f>+((Z31*Z$2)+(AB31*AB$2))/AD$2</f>
        <v>0</v>
      </c>
      <c r="AE31" s="2651">
        <f>+((AA31*AA$2)+(AC31*AC$2))/AE$2</f>
        <v>0</v>
      </c>
      <c r="AF31" s="1515"/>
      <c r="AG31" s="5580"/>
      <c r="AH31" s="5581">
        <f>+((AD31*AD$2)+(AF31*AF$2))/AH$2</f>
        <v>0</v>
      </c>
      <c r="AI31" s="5581">
        <f>+((AE31*AE$2)+(AG31*AG$2))/AI$2</f>
        <v>0</v>
      </c>
      <c r="AJ31" s="1515"/>
      <c r="AK31" s="6000"/>
      <c r="AL31" s="2351">
        <f t="shared" si="78"/>
        <v>0</v>
      </c>
      <c r="AM31" s="2351">
        <f t="shared" ref="AM31" si="86">(AC31*AC$2+AG31*AG$2+AK31*AK$2)/AM$2</f>
        <v>0</v>
      </c>
      <c r="AN31" s="2760">
        <f>+((AH31*AH$2)+(AJ31*AJ$2))/AN$2</f>
        <v>0</v>
      </c>
      <c r="AO31" s="2760">
        <f>+((AI31*AI$2)+(AK31*AK$2))/AO$2</f>
        <v>0</v>
      </c>
      <c r="AP31" s="1515"/>
      <c r="AQ31" s="6144"/>
      <c r="AR31" s="2813">
        <f>+((AN31*AN$2)+(AP31*AP$2))/AR$2</f>
        <v>0</v>
      </c>
      <c r="AS31" s="2813">
        <f>+((AO31*AO$2)+(AQ31*AQ$2))/AS$2</f>
        <v>0</v>
      </c>
      <c r="AT31" s="1515"/>
      <c r="AU31" s="6329"/>
      <c r="AV31" s="6330">
        <f>+((AR31*AR$2)+(AT31*AT$2))/AV$2</f>
        <v>0</v>
      </c>
      <c r="AW31" s="6330">
        <f>+((AS31*AS$2)+(AU31*AU$2))/AW$2</f>
        <v>0</v>
      </c>
      <c r="AX31" s="1515"/>
      <c r="AY31" s="6466"/>
      <c r="AZ31" s="2351">
        <f t="shared" si="80"/>
        <v>0</v>
      </c>
      <c r="BA31" s="2351">
        <f t="shared" ref="BA31" si="87">(AQ31*AQ$2+AU31*AU$2+AY31*AY$2)/BA$2</f>
        <v>0</v>
      </c>
      <c r="BB31" s="3113">
        <f>(AL31*AL$2+AZ31*AZ$2)/BB$2</f>
        <v>0</v>
      </c>
      <c r="BC31" s="3113">
        <f>(AM31*AM$2+BA31*BA$2)/BC$2</f>
        <v>0</v>
      </c>
      <c r="BD31" s="3112">
        <f>+((AV31*AV$2)+(AX31*AX$2))/BD$2</f>
        <v>0</v>
      </c>
      <c r="BE31" s="3112">
        <f>+((AW31*AW$2)+(AY31*AY$2))/BE$2</f>
        <v>0</v>
      </c>
      <c r="BF31" s="26"/>
      <c r="BG31" s="26"/>
      <c r="BH31" s="26"/>
      <c r="BI31" s="4713"/>
      <c r="BJ31" s="4713"/>
    </row>
    <row r="32" spans="1:62" ht="15.75" customHeight="1" x14ac:dyDescent="0.3">
      <c r="A32" s="2338"/>
      <c r="B32" s="7916"/>
      <c r="C32" s="50" t="s">
        <v>50</v>
      </c>
      <c r="D32" s="740">
        <v>0</v>
      </c>
      <c r="E32" s="2135">
        <v>0</v>
      </c>
      <c r="F32" s="740">
        <v>0</v>
      </c>
      <c r="G32" s="2135">
        <v>0</v>
      </c>
      <c r="H32" s="350">
        <f>+D32+F32</f>
        <v>0</v>
      </c>
      <c r="I32" s="211">
        <f>+E32+G32</f>
        <v>0</v>
      </c>
      <c r="J32" s="740">
        <v>0</v>
      </c>
      <c r="K32" s="2135">
        <v>0</v>
      </c>
      <c r="L32" s="405">
        <f>+D32+F32+J32</f>
        <v>0</v>
      </c>
      <c r="M32" s="405">
        <f>+E32+G32+K32</f>
        <v>0</v>
      </c>
      <c r="N32" s="740"/>
      <c r="O32" s="2135"/>
      <c r="P32" s="2274">
        <f>+L32+N32</f>
        <v>0</v>
      </c>
      <c r="Q32" s="2274">
        <f>+M32+O32</f>
        <v>0</v>
      </c>
      <c r="R32" s="740"/>
      <c r="S32" s="2135"/>
      <c r="T32" s="4134">
        <f>+P32+R32</f>
        <v>0</v>
      </c>
      <c r="U32" s="4134">
        <f>+Q32+S32</f>
        <v>0</v>
      </c>
      <c r="V32" s="740"/>
      <c r="W32" s="2135"/>
      <c r="X32" s="2351">
        <f>N32+R32+V32</f>
        <v>0</v>
      </c>
      <c r="Y32" s="2351">
        <f>O32+S32+W32</f>
        <v>0</v>
      </c>
      <c r="Z32" s="497">
        <f>+L32+X32</f>
        <v>0</v>
      </c>
      <c r="AA32" s="497">
        <f>+M32+Y32</f>
        <v>0</v>
      </c>
      <c r="AB32" s="740"/>
      <c r="AC32" s="2135"/>
      <c r="AD32" s="2647">
        <f>+Z32+AB32</f>
        <v>0</v>
      </c>
      <c r="AE32" s="2647">
        <f>+AA32+AC32</f>
        <v>0</v>
      </c>
      <c r="AF32" s="740"/>
      <c r="AG32" s="2135"/>
      <c r="AH32" s="4134">
        <f>+AD32+AF32</f>
        <v>0</v>
      </c>
      <c r="AI32" s="4134">
        <f>+AE32+AG32</f>
        <v>0</v>
      </c>
      <c r="AJ32" s="740"/>
      <c r="AK32" s="2135"/>
      <c r="AL32" s="2351">
        <f>AB32+AF32+AJ32</f>
        <v>0</v>
      </c>
      <c r="AM32" s="2351">
        <f>AC32+AG32+AK32</f>
        <v>0</v>
      </c>
      <c r="AN32" s="2755">
        <f>+AH32+AJ32</f>
        <v>0</v>
      </c>
      <c r="AO32" s="2755">
        <f>+AI32+AK32</f>
        <v>0</v>
      </c>
      <c r="AP32" s="740"/>
      <c r="AQ32" s="2135"/>
      <c r="AR32" s="2810">
        <f>+AN32+AP32</f>
        <v>0</v>
      </c>
      <c r="AS32" s="2810">
        <f>+AO32+AQ32</f>
        <v>0</v>
      </c>
      <c r="AT32" s="740"/>
      <c r="AU32" s="2135"/>
      <c r="AV32" s="4134">
        <f>+AR32+AT32</f>
        <v>0</v>
      </c>
      <c r="AW32" s="4134">
        <f>+AS32+AU32</f>
        <v>0</v>
      </c>
      <c r="AX32" s="740"/>
      <c r="AY32" s="2135"/>
      <c r="AZ32" s="2351">
        <f>AP32+AT32+AX32</f>
        <v>0</v>
      </c>
      <c r="BA32" s="2351">
        <f>AQ32+AU32+AY32</f>
        <v>0</v>
      </c>
      <c r="BB32" s="497">
        <f>+AL32+AZ32</f>
        <v>0</v>
      </c>
      <c r="BC32" s="497">
        <f>+AM32+BA32</f>
        <v>0</v>
      </c>
      <c r="BD32" s="3105">
        <f>+AV32+AX32</f>
        <v>0</v>
      </c>
      <c r="BE32" s="3105">
        <f>+AW32+AY32</f>
        <v>0</v>
      </c>
      <c r="BF32" s="26"/>
      <c r="BG32" s="26"/>
      <c r="BH32" s="26"/>
      <c r="BI32" s="4713"/>
      <c r="BJ32" s="4713"/>
    </row>
    <row r="33" spans="1:62" ht="18.75" x14ac:dyDescent="0.3">
      <c r="A33" s="2349"/>
      <c r="B33" s="2352" t="s">
        <v>21</v>
      </c>
      <c r="C33" s="845" t="s">
        <v>560</v>
      </c>
      <c r="D33" s="1515">
        <f>SUM(D26:D32)</f>
        <v>33.119999999999997</v>
      </c>
      <c r="E33" s="2136">
        <f t="shared" ref="E33" si="88">SUM(E26:E31)</f>
        <v>36.672666666666672</v>
      </c>
      <c r="F33" s="1515">
        <f>SUM(F26:F32)</f>
        <v>33.119999999999997</v>
      </c>
      <c r="G33" s="7234">
        <f t="shared" ref="G33" si="89">SUM(G26:G31)</f>
        <v>36.77559139784946</v>
      </c>
      <c r="H33" s="2139">
        <f t="shared" ref="H33:AC33" si="90">SUM(H26:H31)</f>
        <v>33.120000000000005</v>
      </c>
      <c r="I33" s="3448">
        <f t="shared" si="90"/>
        <v>36.72497267759563</v>
      </c>
      <c r="J33" s="1515">
        <f>SUM(J26:J32)</f>
        <v>26.491666666666664</v>
      </c>
      <c r="K33" s="4624">
        <f t="shared" ref="K33" si="91">SUM(K26:K31)</f>
        <v>34.920888888888889</v>
      </c>
      <c r="L33" s="2351">
        <f t="shared" ref="L33:O33" si="92">SUM(L26:L31)</f>
        <v>30.934835164835167</v>
      </c>
      <c r="M33" s="2142">
        <f t="shared" si="92"/>
        <v>36.130219780219782</v>
      </c>
      <c r="N33" s="1515">
        <f t="shared" si="92"/>
        <v>28.384677419354837</v>
      </c>
      <c r="O33" s="2136">
        <f t="shared" si="92"/>
        <v>35.726236559139785</v>
      </c>
      <c r="P33" s="349">
        <f t="shared" si="90"/>
        <v>30.28684426229508</v>
      </c>
      <c r="Q33" s="349">
        <f t="shared" si="90"/>
        <v>36.027568306010934</v>
      </c>
      <c r="R33" s="1515">
        <f t="shared" si="90"/>
        <v>32.170000000000009</v>
      </c>
      <c r="S33" s="4971">
        <f t="shared" si="90"/>
        <v>34.382795698924724</v>
      </c>
      <c r="T33" s="4972">
        <f t="shared" ref="T33:W33" si="93">SUM(T26:T31)</f>
        <v>30.668398692810459</v>
      </c>
      <c r="U33" s="4972">
        <f t="shared" si="93"/>
        <v>35.694313725490197</v>
      </c>
      <c r="V33" s="1515">
        <f t="shared" si="93"/>
        <v>32.170000000000009</v>
      </c>
      <c r="W33" s="5102">
        <f t="shared" si="93"/>
        <v>33.196888888888886</v>
      </c>
      <c r="X33" s="2351">
        <f>SUM(X26:X31)</f>
        <v>30.89451086956522</v>
      </c>
      <c r="Y33" s="2142">
        <f>SUM(Y26:Y31)</f>
        <v>34.44876811594203</v>
      </c>
      <c r="Z33" s="2364">
        <f t="shared" si="90"/>
        <v>30.914562841530056</v>
      </c>
      <c r="AA33" s="2364">
        <f t="shared" si="90"/>
        <v>35.284899817850636</v>
      </c>
      <c r="AB33" s="1515">
        <f t="shared" si="90"/>
        <v>32.170000000000009</v>
      </c>
      <c r="AC33" s="5439">
        <f t="shared" si="90"/>
        <v>32.668064516129029</v>
      </c>
      <c r="AD33" s="2651">
        <f t="shared" ref="AD33:AG33" si="94">SUM(AD26:AD31)</f>
        <v>31.096425233644858</v>
      </c>
      <c r="AE33" s="2651">
        <f t="shared" si="94"/>
        <v>34.905825545171339</v>
      </c>
      <c r="AF33" s="1515">
        <f t="shared" si="94"/>
        <v>32.17</v>
      </c>
      <c r="AG33" s="5580">
        <f t="shared" si="94"/>
        <v>23.93011111111111</v>
      </c>
      <c r="AH33" s="5581">
        <f t="shared" ref="AH33:AK33" si="95">SUM(AH26:AH31)</f>
        <v>31.228422131147543</v>
      </c>
      <c r="AI33" s="5581">
        <f t="shared" si="95"/>
        <v>33.556352459016395</v>
      </c>
      <c r="AJ33" s="1515">
        <f t="shared" si="95"/>
        <v>32.170000000000009</v>
      </c>
      <c r="AK33" s="6000">
        <f t="shared" si="95"/>
        <v>35.461505376344086</v>
      </c>
      <c r="AL33" s="2351">
        <f>SUM(AL26:AL31)</f>
        <v>32.17</v>
      </c>
      <c r="AM33" s="2142">
        <f>SUM(AM26:AM31)</f>
        <v>30.759999999999998</v>
      </c>
      <c r="AN33" s="2760">
        <f t="shared" ref="AN33:AQ33" si="96">SUM(AN26:AN31)</f>
        <v>31.33456363636364</v>
      </c>
      <c r="AO33" s="2760">
        <f t="shared" si="96"/>
        <v>33.771115151515154</v>
      </c>
      <c r="AP33" s="1515">
        <f t="shared" si="96"/>
        <v>32.170000000000009</v>
      </c>
      <c r="AQ33" s="6144">
        <f t="shared" si="96"/>
        <v>36.214193548387094</v>
      </c>
      <c r="AR33" s="2813">
        <f t="shared" ref="AR33:AU33" si="97">SUM(AR26:AR31)</f>
        <v>31.419199346405232</v>
      </c>
      <c r="AS33" s="2813">
        <f t="shared" si="97"/>
        <v>34.018616557734205</v>
      </c>
      <c r="AT33" s="1515">
        <f t="shared" si="97"/>
        <v>32.17</v>
      </c>
      <c r="AU33" s="6329">
        <f t="shared" si="97"/>
        <v>36.360595238095243</v>
      </c>
      <c r="AV33" s="6330">
        <f t="shared" ref="AV33:AY33" si="98">SUM(AV26:AV31)</f>
        <v>31.482140718562878</v>
      </c>
      <c r="AW33" s="6330">
        <f t="shared" si="98"/>
        <v>34.214950099800404</v>
      </c>
      <c r="AX33" s="1515">
        <f t="shared" si="98"/>
        <v>32.17</v>
      </c>
      <c r="AY33" s="6466">
        <f t="shared" si="98"/>
        <v>36.616774193548387</v>
      </c>
      <c r="AZ33" s="2351">
        <f>SUM(AZ26:AZ31)</f>
        <v>32.17</v>
      </c>
      <c r="BA33" s="2142">
        <f>SUM(BA26:BA31)</f>
        <v>36.398407407407404</v>
      </c>
      <c r="BB33" s="2364">
        <f t="shared" ref="BB33:BC33" si="99">SUM(BB26:BB31)</f>
        <v>32.17</v>
      </c>
      <c r="BC33" s="2364">
        <f t="shared" si="99"/>
        <v>33.548223443223442</v>
      </c>
      <c r="BD33" s="3112">
        <f t="shared" ref="BD33:BE33" si="100">SUM(BD26:BD31)</f>
        <v>31.54056164383562</v>
      </c>
      <c r="BE33" s="3112">
        <f t="shared" si="100"/>
        <v>34.418940639269415</v>
      </c>
      <c r="BF33" s="26"/>
      <c r="BG33" s="26"/>
      <c r="BH33" s="26"/>
      <c r="BI33" s="4713"/>
      <c r="BJ33" s="4713"/>
    </row>
    <row r="34" spans="1:62" ht="18.75" x14ac:dyDescent="0.3">
      <c r="A34" s="2349"/>
      <c r="B34" s="1472" t="s">
        <v>103</v>
      </c>
      <c r="C34" s="1351"/>
      <c r="D34" s="2354"/>
      <c r="E34" s="2355"/>
      <c r="F34" s="2354"/>
      <c r="G34" s="2355"/>
      <c r="H34" s="3784"/>
      <c r="I34" s="3785"/>
      <c r="J34" s="2354"/>
      <c r="K34" s="2355"/>
      <c r="L34" s="2356"/>
      <c r="M34" s="2355"/>
      <c r="N34" s="2354"/>
      <c r="O34" s="2355"/>
      <c r="P34" s="2357"/>
      <c r="Q34" s="2357"/>
      <c r="R34" s="2354"/>
      <c r="S34" s="2355"/>
      <c r="T34" s="2357"/>
      <c r="U34" s="2357"/>
      <c r="V34" s="2354"/>
      <c r="W34" s="2355"/>
      <c r="X34" s="2356"/>
      <c r="Y34" s="2355"/>
      <c r="Z34" s="2357"/>
      <c r="AA34" s="2357"/>
      <c r="AB34" s="2354"/>
      <c r="AC34" s="2355"/>
      <c r="AD34" s="2357"/>
      <c r="AE34" s="2357"/>
      <c r="AF34" s="2354"/>
      <c r="AG34" s="2355"/>
      <c r="AH34" s="2357"/>
      <c r="AI34" s="2357"/>
      <c r="AJ34" s="2354"/>
      <c r="AK34" s="2355"/>
      <c r="AL34" s="2356"/>
      <c r="AM34" s="2355"/>
      <c r="AN34" s="2357"/>
      <c r="AO34" s="2357"/>
      <c r="AP34" s="2354"/>
      <c r="AQ34" s="2355"/>
      <c r="AR34" s="2357"/>
      <c r="AS34" s="2357"/>
      <c r="AT34" s="2354"/>
      <c r="AU34" s="2355"/>
      <c r="AV34" s="2357"/>
      <c r="AW34" s="2357"/>
      <c r="AX34" s="2354"/>
      <c r="AY34" s="2355"/>
      <c r="AZ34" s="2356"/>
      <c r="BA34" s="2355"/>
      <c r="BB34" s="2357"/>
      <c r="BC34" s="2357"/>
      <c r="BD34" s="2357"/>
      <c r="BE34" s="2357"/>
      <c r="BF34" s="26"/>
      <c r="BG34" s="26"/>
      <c r="BH34" s="26"/>
      <c r="BI34" s="4713"/>
      <c r="BJ34" s="4713"/>
    </row>
    <row r="35" spans="1:62" ht="18.75" x14ac:dyDescent="0.3">
      <c r="A35" s="2338"/>
      <c r="B35" s="2350" t="s">
        <v>57</v>
      </c>
      <c r="C35" s="50" t="s">
        <v>560</v>
      </c>
      <c r="D35" s="1515">
        <v>0.6</v>
      </c>
      <c r="E35" s="2136">
        <f>283.976/(24*E$2)</f>
        <v>0.3944111111111111</v>
      </c>
      <c r="F35" s="1515">
        <v>0.6</v>
      </c>
      <c r="G35" s="7234">
        <f>418.04/(24*G$2)</f>
        <v>0.56188172043010753</v>
      </c>
      <c r="H35" s="2139">
        <f t="shared" ref="H35:I37" si="101">+((D35*D$2)+(F35*F$2))/H$2</f>
        <v>0.59999999999999987</v>
      </c>
      <c r="I35" s="3448">
        <f t="shared" si="101"/>
        <v>0.4795191256830601</v>
      </c>
      <c r="J35" s="1515">
        <v>0.33333333333333298</v>
      </c>
      <c r="K35" s="4624">
        <f>261.184/(24*K$2)</f>
        <v>0.36275555555555561</v>
      </c>
      <c r="L35" s="2351">
        <f t="shared" ref="L35:M37" si="102">+((D35*D$2)+(F35*F$2)+(J35*J$2))/L$2</f>
        <v>0.51208791208791182</v>
      </c>
      <c r="M35" s="2351">
        <f t="shared" si="102"/>
        <v>0.44102564102564112</v>
      </c>
      <c r="N35" s="1515">
        <v>0.16666666666666666</v>
      </c>
      <c r="O35" s="2136">
        <f>383.152/(24*O$2)</f>
        <v>0.51498924731182794</v>
      </c>
      <c r="P35" s="349">
        <f t="shared" ref="P35:Q37" si="103">+((L35*L$2)+(N35*N$2))/P$2</f>
        <v>0.42431693989071012</v>
      </c>
      <c r="Q35" s="349">
        <f t="shared" si="103"/>
        <v>0.45981967213114761</v>
      </c>
      <c r="R35" s="1515">
        <v>0.5</v>
      </c>
      <c r="S35" s="4971">
        <f>382.09/(24*S$2)</f>
        <v>0.51356182795698924</v>
      </c>
      <c r="T35" s="4972">
        <f t="shared" ref="T35:T37" si="104">+((P35*P$2)+(R35*R$2))/T$2</f>
        <v>0.43965141612200415</v>
      </c>
      <c r="U35" s="4972">
        <f t="shared" ref="U35:U37" si="105">+((Q35*Q$2)+(S35*S$2))/U$2</f>
        <v>0.47070860566448802</v>
      </c>
      <c r="V35" s="1515">
        <v>0.5</v>
      </c>
      <c r="W35" s="5102">
        <f>387.072/(24*W$2)</f>
        <v>0.53759999999999997</v>
      </c>
      <c r="X35" s="2351">
        <f t="shared" ref="X35:Y37" si="106">(N35*N$2+R35*R$2+V35*V$2)/X$2</f>
        <v>0.38768115942028986</v>
      </c>
      <c r="Y35" s="2351">
        <f t="shared" si="106"/>
        <v>0.52188134057971014</v>
      </c>
      <c r="Z35" s="498">
        <f t="shared" ref="Z35:Z37" si="107">(L35*L$2+X35*X$2)/Z$2</f>
        <v>0.44954462659380678</v>
      </c>
      <c r="AA35" s="498">
        <f t="shared" ref="AA35:AA37" si="108">(M35*M$2+Y35*Y$2)/AA$2</f>
        <v>0.48167440801457201</v>
      </c>
      <c r="AB35" s="1515">
        <v>0.5</v>
      </c>
      <c r="AC35" s="5439">
        <f>349.44/(24*AC$2)</f>
        <v>0.4696774193548387</v>
      </c>
      <c r="AD35" s="2651">
        <f t="shared" ref="AD35:AD37" si="109">+((Z35*Z$2)+(AB35*AB$2))/AD$2</f>
        <v>0.45685358255451702</v>
      </c>
      <c r="AE35" s="2651">
        <f t="shared" ref="AE35:AE37" si="110">+((AA35*AA$2)+(AC35*AC$2))/AE$2</f>
        <v>0.47993652647975088</v>
      </c>
      <c r="AF35" s="1515">
        <v>0.5</v>
      </c>
      <c r="AG35" s="5580">
        <f>50.456/(24*AG$2)</f>
        <v>7.007777777777778E-2</v>
      </c>
      <c r="AH35" s="5581">
        <f t="shared" ref="AH35:AH37" si="111">+((AD35*AD$2)+(AF35*AF$2))/AH$2</f>
        <v>0.46215846994535509</v>
      </c>
      <c r="AI35" s="5581">
        <f t="shared" ref="AI35:AI37" si="112">+((AE35*AE$2)+(AG35*AG$2))/AI$2</f>
        <v>0.42954405737704926</v>
      </c>
      <c r="AJ35" s="1515">
        <v>0.5</v>
      </c>
      <c r="AK35" s="6000">
        <f>221.648/(24*AK$2)</f>
        <v>0.29791397849462364</v>
      </c>
      <c r="AL35" s="2351">
        <f t="shared" ref="AL35:AL37" si="113">(AB35*AB$2+AF35*AF$2+AJ35*AJ$2)/AL$2</f>
        <v>0.5</v>
      </c>
      <c r="AM35" s="2351">
        <f t="shared" ref="AM35:AM37" si="114">(AC35*AC$2+AG35*AG$2+AK35*AK$2)/AM$2</f>
        <v>0.28149637681159417</v>
      </c>
      <c r="AN35" s="2760">
        <f t="shared" ref="AN35:AN37" si="115">+((AH35*AH$2)+(AJ35*AJ$2))/AN$2</f>
        <v>0.46642424242424235</v>
      </c>
      <c r="AO35" s="2760">
        <f t="shared" ref="AO35:AO37" si="116">+((AI35*AI$2)+(AK35*AK$2))/AO$2</f>
        <v>0.41470575757575762</v>
      </c>
      <c r="AP35" s="1515">
        <v>0.5</v>
      </c>
      <c r="AQ35" s="6144">
        <f>246.96/(24*AQ$2)</f>
        <v>0.33193548387096777</v>
      </c>
      <c r="AR35" s="2813">
        <f t="shared" ref="AR35:AR37" si="117">+((AN35*AN$2)+(AP35*AP$2))/AR$2</f>
        <v>0.46982570806100216</v>
      </c>
      <c r="AS35" s="2813">
        <f t="shared" ref="AS35:AS37" si="118">+((AO35*AO$2)+(AQ35*AQ$2))/AS$2</f>
        <v>0.40632053376906324</v>
      </c>
      <c r="AT35" s="1515">
        <v>0.5</v>
      </c>
      <c r="AU35" s="6329">
        <f>139.44/(24*AU$2)</f>
        <v>0.20749999999999999</v>
      </c>
      <c r="AV35" s="6330">
        <f t="shared" ref="AV35:AV37" si="119">+((AR35*AR$2)+(AT35*AT$2))/AV$2</f>
        <v>0.47235528942115762</v>
      </c>
      <c r="AW35" s="6330">
        <f t="shared" ref="AW35:AW37" si="120">+((AS35*AS$2)+(AU35*AU$2))/AW$2</f>
        <v>0.38965294411177653</v>
      </c>
      <c r="AX35" s="1515">
        <v>0.5</v>
      </c>
      <c r="AY35" s="6466">
        <f>185.304/(24*AY$2)</f>
        <v>0.24906451612903227</v>
      </c>
      <c r="AZ35" s="2351">
        <f t="shared" ref="AZ35:AZ37" si="121">(AP35*AP$2+AT35*AT$2+AX35*AX$2)/AZ$2</f>
        <v>0.5</v>
      </c>
      <c r="BA35" s="2351">
        <f t="shared" ref="BA35:BA37" si="122">(AQ35*AQ$2+AU35*AU$2+AY35*AY$2)/BA$2</f>
        <v>0.26467777777777779</v>
      </c>
      <c r="BB35" s="3113">
        <f t="shared" ref="BB35:BC37" si="123">(AL35*AL$2+AZ35*AZ$2)/BB$2</f>
        <v>0.5</v>
      </c>
      <c r="BC35" s="3113">
        <f t="shared" si="123"/>
        <v>0.27317948717948715</v>
      </c>
      <c r="BD35" s="3112">
        <f t="shared" ref="BD35:BD37" si="124">+((AV35*AV$2)+(AX35*AX$2))/BD$2</f>
        <v>0.4747031963470319</v>
      </c>
      <c r="BE35" s="3112">
        <f t="shared" ref="BE35:BE37" si="125">+((AW35*AW$2)+(AY35*AY$2))/BE$2</f>
        <v>0.37771255707762563</v>
      </c>
      <c r="BF35" s="26"/>
      <c r="BG35" s="26"/>
      <c r="BH35" s="26"/>
      <c r="BI35" s="4713"/>
      <c r="BJ35" s="4713"/>
    </row>
    <row r="36" spans="1:62" ht="18.75" x14ac:dyDescent="0.3">
      <c r="A36" s="2338"/>
      <c r="B36" s="2350" t="s">
        <v>561</v>
      </c>
      <c r="C36" s="50" t="s">
        <v>560</v>
      </c>
      <c r="D36" s="1515">
        <v>0.238666666666668</v>
      </c>
      <c r="E36" s="2136">
        <f>0/(24*E$2)</f>
        <v>0</v>
      </c>
      <c r="F36" s="1515">
        <v>0.238666666666668</v>
      </c>
      <c r="G36" s="7234">
        <f>0/(24*G$2)</f>
        <v>0</v>
      </c>
      <c r="H36" s="2139">
        <f t="shared" si="101"/>
        <v>0.23866666666666803</v>
      </c>
      <c r="I36" s="3448">
        <f t="shared" si="101"/>
        <v>0</v>
      </c>
      <c r="J36" s="1515">
        <v>0.29166666666666802</v>
      </c>
      <c r="K36" s="4624">
        <f>0/(24*K$2)</f>
        <v>0</v>
      </c>
      <c r="L36" s="2351">
        <f t="shared" si="102"/>
        <v>0.25613919413919545</v>
      </c>
      <c r="M36" s="2351">
        <f t="shared" si="102"/>
        <v>0</v>
      </c>
      <c r="N36" s="1515">
        <v>0.39478494623656013</v>
      </c>
      <c r="O36" s="2136">
        <f>0/(24*O$2)</f>
        <v>0</v>
      </c>
      <c r="P36" s="349">
        <f t="shared" si="103"/>
        <v>0.29136885245901761</v>
      </c>
      <c r="Q36" s="349">
        <f t="shared" si="103"/>
        <v>0</v>
      </c>
      <c r="R36" s="1515">
        <v>0.26866666666666766</v>
      </c>
      <c r="S36" s="4971">
        <f>0/(24*S$2)</f>
        <v>0</v>
      </c>
      <c r="T36" s="4972">
        <f t="shared" si="104"/>
        <v>0.28676906318082906</v>
      </c>
      <c r="U36" s="4972">
        <f t="shared" si="105"/>
        <v>0</v>
      </c>
      <c r="V36" s="1515">
        <v>0.268666666666668</v>
      </c>
      <c r="W36" s="5102">
        <f>0/(24*W$2)</f>
        <v>0</v>
      </c>
      <c r="X36" s="2351">
        <f t="shared" si="106"/>
        <v>0.31116304347826196</v>
      </c>
      <c r="Y36" s="2351">
        <f t="shared" si="106"/>
        <v>0</v>
      </c>
      <c r="Z36" s="498">
        <f t="shared" si="107"/>
        <v>0.28380145719490102</v>
      </c>
      <c r="AA36" s="498">
        <f t="shared" si="108"/>
        <v>0</v>
      </c>
      <c r="AB36" s="1515">
        <v>0.268666666666668</v>
      </c>
      <c r="AC36" s="5439">
        <f>0/(24*AC$2)</f>
        <v>0</v>
      </c>
      <c r="AD36" s="2651">
        <f t="shared" si="109"/>
        <v>0.281609034267914</v>
      </c>
      <c r="AE36" s="2651">
        <f t="shared" si="110"/>
        <v>0</v>
      </c>
      <c r="AF36" s="1515">
        <v>0.268666666666668</v>
      </c>
      <c r="AG36" s="5580">
        <f>0/(24*AG$2)</f>
        <v>0</v>
      </c>
      <c r="AH36" s="5581">
        <f t="shared" si="111"/>
        <v>0.28001775956284281</v>
      </c>
      <c r="AI36" s="5581">
        <f t="shared" si="112"/>
        <v>0</v>
      </c>
      <c r="AJ36" s="1515">
        <v>0.268666666666668</v>
      </c>
      <c r="AK36" s="6000">
        <f>0/(24*AK$2)</f>
        <v>0</v>
      </c>
      <c r="AL36" s="2351">
        <f t="shared" si="113"/>
        <v>0.268666666666668</v>
      </c>
      <c r="AM36" s="2351">
        <f t="shared" si="114"/>
        <v>0</v>
      </c>
      <c r="AN36" s="2760">
        <f t="shared" si="115"/>
        <v>0.27873818181818311</v>
      </c>
      <c r="AO36" s="2760">
        <f t="shared" si="116"/>
        <v>0</v>
      </c>
      <c r="AP36" s="1515">
        <v>0.268666666666668</v>
      </c>
      <c r="AQ36" s="6144">
        <f>0/(24*AQ$2)</f>
        <v>0</v>
      </c>
      <c r="AR36" s="2813">
        <f t="shared" si="117"/>
        <v>0.27771786492374856</v>
      </c>
      <c r="AS36" s="2813">
        <f t="shared" si="118"/>
        <v>0</v>
      </c>
      <c r="AT36" s="1515">
        <f>268.666666666668/1000</f>
        <v>0.268666666666668</v>
      </c>
      <c r="AU36" s="6329">
        <f>0/(24*AU$2)</f>
        <v>0</v>
      </c>
      <c r="AV36" s="6330">
        <f t="shared" si="119"/>
        <v>0.27695908183632861</v>
      </c>
      <c r="AW36" s="6330">
        <f t="shared" si="120"/>
        <v>0</v>
      </c>
      <c r="AX36" s="1515">
        <f>268.666666666668/1000</f>
        <v>0.268666666666668</v>
      </c>
      <c r="AY36" s="6466">
        <f>0/(24*AY$2)</f>
        <v>0</v>
      </c>
      <c r="AZ36" s="2351">
        <f t="shared" si="121"/>
        <v>0.268666666666668</v>
      </c>
      <c r="BA36" s="2351">
        <f t="shared" si="122"/>
        <v>0</v>
      </c>
      <c r="BB36" s="3113">
        <f t="shared" si="123"/>
        <v>0.268666666666668</v>
      </c>
      <c r="BC36" s="3113">
        <f t="shared" si="123"/>
        <v>0</v>
      </c>
      <c r="BD36" s="3112">
        <f t="shared" si="124"/>
        <v>0.27625479452054924</v>
      </c>
      <c r="BE36" s="3112">
        <f t="shared" si="125"/>
        <v>0</v>
      </c>
      <c r="BF36" s="26"/>
      <c r="BG36" s="26"/>
      <c r="BH36" s="26"/>
      <c r="BI36" s="4713"/>
      <c r="BJ36" s="4713"/>
    </row>
    <row r="37" spans="1:62" ht="18.75" x14ac:dyDescent="0.3">
      <c r="A37" s="2338"/>
      <c r="B37" s="7916" t="s">
        <v>101</v>
      </c>
      <c r="C37" s="50" t="s">
        <v>560</v>
      </c>
      <c r="D37" s="1515">
        <v>0.58333333333333204</v>
      </c>
      <c r="E37" s="2136">
        <f>354.7376/(24*E$2)</f>
        <v>0.49269111111111108</v>
      </c>
      <c r="F37" s="1515">
        <v>0.58333333333333204</v>
      </c>
      <c r="G37" s="7234">
        <f>392.7952/(24*G$2)</f>
        <v>0.52795053763440858</v>
      </c>
      <c r="H37" s="2139">
        <f t="shared" si="101"/>
        <v>0.58333333333333204</v>
      </c>
      <c r="I37" s="3448">
        <f t="shared" si="101"/>
        <v>0.51060983606557375</v>
      </c>
      <c r="J37" s="1515">
        <v>0.55999999999999905</v>
      </c>
      <c r="K37" s="4624">
        <f>419.4232/(24*K$2)</f>
        <v>0.58253222222222223</v>
      </c>
      <c r="L37" s="2351">
        <f t="shared" si="102"/>
        <v>0.57564102564102448</v>
      </c>
      <c r="M37" s="2351">
        <f t="shared" si="102"/>
        <v>0.53432051282051274</v>
      </c>
      <c r="N37" s="1515">
        <v>0.69999999999999896</v>
      </c>
      <c r="O37" s="2136">
        <f>367.9928/(24*O$2)</f>
        <v>0.49461397849462363</v>
      </c>
      <c r="P37" s="349">
        <f t="shared" si="103"/>
        <v>0.60724043715846887</v>
      </c>
      <c r="Q37" s="349">
        <f t="shared" si="103"/>
        <v>0.52423114754098354</v>
      </c>
      <c r="R37" s="1515">
        <v>0.65333333333333232</v>
      </c>
      <c r="S37" s="4971">
        <f>319.72/(24*S$2)</f>
        <v>0.42973118279569894</v>
      </c>
      <c r="T37" s="4972">
        <f t="shared" si="104"/>
        <v>0.61657952069716671</v>
      </c>
      <c r="U37" s="4972">
        <f t="shared" si="105"/>
        <v>0.50508409586056646</v>
      </c>
      <c r="V37" s="1515">
        <v>0.65333333333333199</v>
      </c>
      <c r="W37" s="5102">
        <f>229.7232/(24*W$2)</f>
        <v>0.31906000000000001</v>
      </c>
      <c r="X37" s="2351">
        <f t="shared" si="106"/>
        <v>0.6690579710144916</v>
      </c>
      <c r="Y37" s="2351">
        <f t="shared" si="106"/>
        <v>0.41550543478260871</v>
      </c>
      <c r="Z37" s="498">
        <f t="shared" si="107"/>
        <v>0.62260473588342324</v>
      </c>
      <c r="AA37" s="498">
        <f t="shared" si="108"/>
        <v>0.47458834244080145</v>
      </c>
      <c r="AB37" s="1515">
        <v>0.65333333333333199</v>
      </c>
      <c r="AC37" s="5439">
        <f>384.3448/(24*AC$2)</f>
        <v>0.5165924731182796</v>
      </c>
      <c r="AD37" s="2651">
        <f t="shared" si="109"/>
        <v>0.62705607476635394</v>
      </c>
      <c r="AE37" s="2651">
        <f t="shared" si="110"/>
        <v>0.48067305295950158</v>
      </c>
      <c r="AF37" s="1515">
        <v>0.65333333333333199</v>
      </c>
      <c r="AG37" s="5580">
        <f>242.6592/(24*AG$2)</f>
        <v>0.33702666666666664</v>
      </c>
      <c r="AH37" s="5581">
        <f t="shared" si="111"/>
        <v>0.63028688524590049</v>
      </c>
      <c r="AI37" s="5581">
        <f t="shared" si="112"/>
        <v>0.46301161202185792</v>
      </c>
      <c r="AJ37" s="1515">
        <v>0.65333333333333199</v>
      </c>
      <c r="AK37" s="6000">
        <f>393.2768/(24*AK$2)</f>
        <v>0.52859784946236554</v>
      </c>
      <c r="AL37" s="2351">
        <f t="shared" si="113"/>
        <v>0.65333333333333199</v>
      </c>
      <c r="AM37" s="2351">
        <f t="shared" si="114"/>
        <v>0.46208369565217389</v>
      </c>
      <c r="AN37" s="2760">
        <f t="shared" si="115"/>
        <v>0.63288484848484727</v>
      </c>
      <c r="AO37" s="2760">
        <f t="shared" si="116"/>
        <v>0.47040496969696971</v>
      </c>
      <c r="AP37" s="1515">
        <v>0.65333333333333199</v>
      </c>
      <c r="AQ37" s="6144">
        <f>289.0272/(24*AQ$2)</f>
        <v>0.3884774193548387</v>
      </c>
      <c r="AR37" s="2813">
        <f t="shared" si="117"/>
        <v>0.63495642701524935</v>
      </c>
      <c r="AS37" s="2813">
        <f t="shared" si="118"/>
        <v>0.46210511982570807</v>
      </c>
      <c r="AT37" s="1515">
        <f>653.333333333332/1000</f>
        <v>0.65333333333333199</v>
      </c>
      <c r="AU37" s="6329">
        <f>281.0024/(24*AU$2)</f>
        <v>0.41815833333333335</v>
      </c>
      <c r="AV37" s="6330">
        <f t="shared" si="119"/>
        <v>0.63649700598802272</v>
      </c>
      <c r="AW37" s="6330">
        <f t="shared" si="120"/>
        <v>0.45842095808383237</v>
      </c>
      <c r="AX37" s="1515">
        <f>653.333333333332/1000</f>
        <v>0.65333333333333199</v>
      </c>
      <c r="AY37" s="6466">
        <f>477.4168/(24*AY$2)</f>
        <v>0.64168924731182797</v>
      </c>
      <c r="AZ37" s="2351">
        <f t="shared" si="121"/>
        <v>0.65333333333333188</v>
      </c>
      <c r="BA37" s="2351">
        <f t="shared" si="122"/>
        <v>0.48492888888888885</v>
      </c>
      <c r="BB37" s="3113">
        <f t="shared" si="123"/>
        <v>0.65333333333333188</v>
      </c>
      <c r="BC37" s="3113">
        <f t="shared" si="123"/>
        <v>0.47338076923076922</v>
      </c>
      <c r="BD37" s="3112">
        <f t="shared" si="124"/>
        <v>0.63792694063926814</v>
      </c>
      <c r="BE37" s="3112">
        <f t="shared" si="125"/>
        <v>0.47398621004566216</v>
      </c>
      <c r="BF37" s="26"/>
      <c r="BG37" s="26"/>
      <c r="BH37" s="26"/>
      <c r="BI37" s="4713"/>
      <c r="BJ37" s="4713"/>
    </row>
    <row r="38" spans="1:62" ht="18.75" x14ac:dyDescent="0.3">
      <c r="A38" s="2338"/>
      <c r="B38" s="7916"/>
      <c r="C38" s="50" t="s">
        <v>50</v>
      </c>
      <c r="D38" s="740">
        <v>750</v>
      </c>
      <c r="E38" s="2135">
        <v>633.46</v>
      </c>
      <c r="F38" s="740">
        <v>775</v>
      </c>
      <c r="G38" s="2135">
        <v>701.42</v>
      </c>
      <c r="H38" s="350">
        <f>+D38+F38</f>
        <v>1525</v>
      </c>
      <c r="I38" s="211">
        <f>+E38+G38</f>
        <v>1334.88</v>
      </c>
      <c r="J38" s="740">
        <v>720</v>
      </c>
      <c r="K38" s="2135">
        <v>748.97</v>
      </c>
      <c r="L38" s="405">
        <f>+D38+F38+J38</f>
        <v>2245</v>
      </c>
      <c r="M38" s="405">
        <f>+E38+G38+K38</f>
        <v>2083.8500000000004</v>
      </c>
      <c r="N38" s="740">
        <v>930</v>
      </c>
      <c r="O38" s="2135">
        <v>657.13000000000011</v>
      </c>
      <c r="P38" s="2274">
        <f>+L38+N38</f>
        <v>3175</v>
      </c>
      <c r="Q38" s="2274">
        <f>+M38+O38</f>
        <v>2740.9800000000005</v>
      </c>
      <c r="R38" s="740">
        <f>28*31</f>
        <v>868</v>
      </c>
      <c r="S38" s="2135">
        <v>657.13000000000011</v>
      </c>
      <c r="T38" s="4134">
        <f>+P38+R38</f>
        <v>4043</v>
      </c>
      <c r="U38" s="4134">
        <f>+Q38+S38</f>
        <v>3398.1100000000006</v>
      </c>
      <c r="V38" s="740">
        <v>840</v>
      </c>
      <c r="W38" s="2135">
        <v>410.21999999999997</v>
      </c>
      <c r="X38" s="405">
        <f>N38+R38+V38</f>
        <v>2638</v>
      </c>
      <c r="Y38" s="405">
        <f>O38+S38+W38</f>
        <v>1724.4800000000002</v>
      </c>
      <c r="Z38" s="497">
        <f>L38+X38</f>
        <v>4883</v>
      </c>
      <c r="AA38" s="497">
        <f>M38+Y38</f>
        <v>3808.3300000000008</v>
      </c>
      <c r="AB38" s="740">
        <v>868</v>
      </c>
      <c r="AC38" s="2135">
        <v>686.33</v>
      </c>
      <c r="AD38" s="2647">
        <f>+Z38+AB38</f>
        <v>5751</v>
      </c>
      <c r="AE38" s="2647">
        <f>+AA38+AC38</f>
        <v>4494.6600000000008</v>
      </c>
      <c r="AF38" s="740">
        <v>840</v>
      </c>
      <c r="AG38" s="2135">
        <v>523.41999999999996</v>
      </c>
      <c r="AH38" s="4134">
        <f>+AD38+AF38</f>
        <v>6591</v>
      </c>
      <c r="AI38" s="4134">
        <f>+AE38+AG38</f>
        <v>5018.0800000000008</v>
      </c>
      <c r="AJ38" s="740">
        <v>868</v>
      </c>
      <c r="AK38" s="2135">
        <v>702.28</v>
      </c>
      <c r="AL38" s="405">
        <f>AB38+AF38+AJ38</f>
        <v>2576</v>
      </c>
      <c r="AM38" s="405">
        <f>AC38+AG38+AK38</f>
        <v>1912.03</v>
      </c>
      <c r="AN38" s="2755">
        <f>+AH38+AJ38</f>
        <v>7459</v>
      </c>
      <c r="AO38" s="2755">
        <f>+AI38+AK38</f>
        <v>5720.3600000000006</v>
      </c>
      <c r="AP38" s="740">
        <v>868</v>
      </c>
      <c r="AQ38" s="2135">
        <v>516.12</v>
      </c>
      <c r="AR38" s="2810">
        <f>+AN38+AP38</f>
        <v>8327</v>
      </c>
      <c r="AS38" s="2810">
        <f>+AO38+AQ38</f>
        <v>6236.4800000000005</v>
      </c>
      <c r="AT38" s="740">
        <v>784</v>
      </c>
      <c r="AU38" s="2135">
        <v>501.79000000000008</v>
      </c>
      <c r="AV38" s="4134">
        <f>+AR38+AT38</f>
        <v>9111</v>
      </c>
      <c r="AW38" s="4134">
        <f>+AS38+AU38</f>
        <v>6738.27</v>
      </c>
      <c r="AX38" s="740">
        <v>868</v>
      </c>
      <c r="AY38" s="2135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3105">
        <f>+AV38+AX38</f>
        <v>9979</v>
      </c>
      <c r="BE38" s="3105">
        <f>+AW38+AY38</f>
        <v>7590.8</v>
      </c>
      <c r="BF38" s="26"/>
      <c r="BG38" s="26"/>
      <c r="BH38" s="26"/>
      <c r="BI38" s="4713"/>
      <c r="BJ38" s="4713"/>
    </row>
    <row r="39" spans="1:62" ht="19.5" thickBot="1" x14ac:dyDescent="0.35">
      <c r="A39" s="2349"/>
      <c r="B39" s="2358" t="s">
        <v>21</v>
      </c>
      <c r="C39" s="2359" t="s">
        <v>560</v>
      </c>
      <c r="D39" s="3783">
        <f>SUM(D35:D37)</f>
        <v>1.4220000000000002</v>
      </c>
      <c r="E39" s="3782">
        <f t="shared" ref="E39" si="126">SUM(E35:E37)</f>
        <v>0.88710222222222224</v>
      </c>
      <c r="F39" s="3783">
        <f>SUM(F35:F37)</f>
        <v>1.4220000000000002</v>
      </c>
      <c r="G39" s="3782">
        <f t="shared" ref="G39" si="127">SUM(G35:G37)</f>
        <v>1.0898322580645161</v>
      </c>
      <c r="H39" s="3786">
        <f t="shared" ref="H39:AE39" si="128">SUM(H35:H37)</f>
        <v>1.4219999999999999</v>
      </c>
      <c r="I39" s="3787">
        <f t="shared" si="128"/>
        <v>0.99012896174863385</v>
      </c>
      <c r="J39" s="3783">
        <f>SUM(J35:J37)</f>
        <v>1.1850000000000001</v>
      </c>
      <c r="K39" s="3782">
        <f t="shared" ref="K39" si="129">SUM(K35:K37)</f>
        <v>0.94528777777777784</v>
      </c>
      <c r="L39" s="2361">
        <f>SUM(L35:L37)</f>
        <v>1.3438681318681318</v>
      </c>
      <c r="M39" s="2362">
        <f>SUM(M35:M37)</f>
        <v>0.97534615384615386</v>
      </c>
      <c r="N39" s="2360">
        <f t="shared" si="128"/>
        <v>1.2614516129032256</v>
      </c>
      <c r="O39" s="3782">
        <f t="shared" si="128"/>
        <v>1.0096032258064516</v>
      </c>
      <c r="P39" s="349">
        <f t="shared" si="128"/>
        <v>1.3229262295081967</v>
      </c>
      <c r="Q39" s="349">
        <f t="shared" si="128"/>
        <v>0.98405081967213115</v>
      </c>
      <c r="R39" s="2360">
        <f t="shared" ref="R39:U39" si="130">SUM(R35:R37)</f>
        <v>1.4220000000000002</v>
      </c>
      <c r="S39" s="3782">
        <f t="shared" si="130"/>
        <v>0.94329301075268823</v>
      </c>
      <c r="T39" s="4972">
        <f t="shared" si="130"/>
        <v>1.343</v>
      </c>
      <c r="U39" s="4972">
        <f t="shared" si="130"/>
        <v>0.97579270152505448</v>
      </c>
      <c r="V39" s="2360">
        <f t="shared" ref="V39:W39" si="131">SUM(V35:V37)</f>
        <v>1.4219999999999999</v>
      </c>
      <c r="W39" s="3782">
        <f t="shared" si="131"/>
        <v>0.85665999999999998</v>
      </c>
      <c r="X39" s="2361">
        <f>SUM(X35:X37)</f>
        <v>1.3679021739130435</v>
      </c>
      <c r="Y39" s="2362">
        <f>SUM(Y35:Y37)</f>
        <v>0.93738677536231885</v>
      </c>
      <c r="Z39" s="2365">
        <f t="shared" si="128"/>
        <v>1.355950819672131</v>
      </c>
      <c r="AA39" s="2365">
        <f t="shared" si="128"/>
        <v>0.95626275045537346</v>
      </c>
      <c r="AB39" s="2360">
        <f t="shared" si="128"/>
        <v>1.4219999999999999</v>
      </c>
      <c r="AC39" s="3782">
        <f t="shared" si="128"/>
        <v>0.98626989247311836</v>
      </c>
      <c r="AD39" s="2651">
        <f t="shared" si="128"/>
        <v>1.3655186915887851</v>
      </c>
      <c r="AE39" s="2651">
        <f t="shared" si="128"/>
        <v>0.9606095794392524</v>
      </c>
      <c r="AF39" s="2360">
        <f t="shared" ref="AF39:AI39" si="132">SUM(AF35:AF37)</f>
        <v>1.4219999999999999</v>
      </c>
      <c r="AG39" s="3782">
        <f t="shared" si="132"/>
        <v>0.40710444444444444</v>
      </c>
      <c r="AH39" s="5581">
        <f t="shared" si="132"/>
        <v>1.3724631147540984</v>
      </c>
      <c r="AI39" s="5581">
        <f t="shared" si="132"/>
        <v>0.89255566939890718</v>
      </c>
      <c r="AJ39" s="2360">
        <f t="shared" ref="AJ39:AK39" si="133">SUM(AJ35:AJ37)</f>
        <v>1.4219999999999999</v>
      </c>
      <c r="AK39" s="3782">
        <f t="shared" si="133"/>
        <v>0.82651182795698919</v>
      </c>
      <c r="AL39" s="2361">
        <f>SUM(AL35:AL37)</f>
        <v>1.4219999999999999</v>
      </c>
      <c r="AM39" s="2362">
        <f>SUM(AM35:AM37)</f>
        <v>0.743580072463768</v>
      </c>
      <c r="AN39" s="2760">
        <f t="shared" ref="AN39:AS39" si="134">SUM(AN35:AN37)</f>
        <v>1.3780472727272728</v>
      </c>
      <c r="AO39" s="2760">
        <f t="shared" si="134"/>
        <v>0.88511072727272733</v>
      </c>
      <c r="AP39" s="2360">
        <f t="shared" si="134"/>
        <v>1.4219999999999999</v>
      </c>
      <c r="AQ39" s="3782">
        <f t="shared" si="134"/>
        <v>0.72041290322580642</v>
      </c>
      <c r="AR39" s="2813">
        <f t="shared" si="134"/>
        <v>1.3825000000000001</v>
      </c>
      <c r="AS39" s="2813">
        <f t="shared" si="134"/>
        <v>0.86842565359477131</v>
      </c>
      <c r="AT39" s="2360">
        <f t="shared" ref="AT39:AW39" si="135">SUM(AT35:AT37)</f>
        <v>1.4219999999999999</v>
      </c>
      <c r="AU39" s="3782">
        <f t="shared" si="135"/>
        <v>0.62565833333333332</v>
      </c>
      <c r="AV39" s="6330">
        <f t="shared" si="135"/>
        <v>1.385811377245509</v>
      </c>
      <c r="AW39" s="6330">
        <f t="shared" si="135"/>
        <v>0.84807390219560896</v>
      </c>
      <c r="AX39" s="2360">
        <f t="shared" ref="AX39:AY39" si="136">SUM(AX35:AX37)</f>
        <v>1.4219999999999999</v>
      </c>
      <c r="AY39" s="3782">
        <f t="shared" si="136"/>
        <v>0.89075376344086021</v>
      </c>
      <c r="AZ39" s="2361">
        <f>SUM(AZ35:AZ37)</f>
        <v>1.4219999999999997</v>
      </c>
      <c r="BA39" s="2362">
        <f>SUM(BA35:BA37)</f>
        <v>0.74960666666666664</v>
      </c>
      <c r="BB39" s="2365">
        <f t="shared" ref="BB39:BC39" si="137">SUM(BB35:BB37)</f>
        <v>1.4219999999999997</v>
      </c>
      <c r="BC39" s="2365">
        <f t="shared" si="137"/>
        <v>0.74656025641025636</v>
      </c>
      <c r="BD39" s="3112">
        <f t="shared" ref="BD39:BE39" si="138">SUM(BD35:BD37)</f>
        <v>1.3888849315068494</v>
      </c>
      <c r="BE39" s="3112">
        <f t="shared" si="138"/>
        <v>0.85169876712328785</v>
      </c>
      <c r="BF39" s="26"/>
      <c r="BG39" s="26"/>
      <c r="BH39" s="26"/>
      <c r="BI39" s="4713"/>
      <c r="BJ39" s="4713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3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0"/>
  <sheetViews>
    <sheetView zoomScaleNormal="100" zoomScaleSheetLayoutView="13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G4" sqref="G4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10" width="11.85546875" customWidth="1"/>
    <col min="11" max="11" width="11.140625" hidden="1" customWidth="1"/>
    <col min="12" max="12" width="9.7109375" hidden="1" customWidth="1"/>
    <col min="13" max="13" width="11.140625" hidden="1" customWidth="1"/>
    <col min="14" max="14" width="9.7109375" hidden="1" customWidth="1"/>
    <col min="15" max="15" width="11.140625" hidden="1" customWidth="1"/>
    <col min="16" max="16" width="9.7109375" hidden="1" customWidth="1"/>
    <col min="17" max="17" width="11.140625" hidden="1" customWidth="1"/>
    <col min="18" max="18" width="9.7109375" hidden="1" customWidth="1"/>
    <col min="19" max="19" width="11.140625" hidden="1" customWidth="1"/>
    <col min="20" max="20" width="9.7109375" hidden="1" customWidth="1"/>
    <col min="21" max="21" width="13" hidden="1" customWidth="1"/>
    <col min="22" max="22" width="11.7109375" hidden="1" customWidth="1"/>
    <col min="23" max="23" width="11.140625" hidden="1" customWidth="1"/>
    <col min="24" max="24" width="9.7109375" hidden="1" customWidth="1"/>
    <col min="25" max="25" width="11.140625" hidden="1" customWidth="1"/>
    <col min="26" max="26" width="9.7109375" hidden="1" customWidth="1"/>
    <col min="27" max="27" width="11.140625" hidden="1" customWidth="1"/>
    <col min="28" max="28" width="9.7109375" hidden="1" customWidth="1"/>
    <col min="29" max="29" width="11.140625" hidden="1" customWidth="1"/>
    <col min="30" max="30" width="9.140625" hidden="1" customWidth="1"/>
    <col min="31" max="31" width="11.140625" hidden="1" customWidth="1"/>
    <col min="32" max="32" width="9.7109375" hidden="1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style="2757" hidden="1" customWidth="1"/>
    <col min="40" max="40" width="9.7109375" style="2757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109" hidden="1" customWidth="1"/>
    <col min="54" max="54" width="9.7109375" style="3109" hidden="1" customWidth="1"/>
    <col min="55" max="55" width="11.140625" style="3109" hidden="1" customWidth="1"/>
    <col min="56" max="56" width="9.7109375" style="3109" hidden="1" customWidth="1"/>
    <col min="57" max="57" width="11.140625" hidden="1" customWidth="1"/>
    <col min="58" max="58" width="9.7109375" hidden="1" customWidth="1"/>
  </cols>
  <sheetData>
    <row r="1" spans="3:62" ht="23.25" x14ac:dyDescent="0.35">
      <c r="C1" s="7929" t="s">
        <v>1002</v>
      </c>
      <c r="D1" s="7929"/>
      <c r="E1" s="7929"/>
      <c r="F1" s="7929"/>
      <c r="G1" s="7929"/>
      <c r="H1" s="7929"/>
      <c r="I1" s="7929"/>
      <c r="J1" s="7929"/>
      <c r="K1" s="7929"/>
      <c r="L1" s="7929"/>
      <c r="M1" s="7929"/>
      <c r="N1" s="7929"/>
      <c r="O1" s="7929"/>
      <c r="P1" s="7929"/>
      <c r="Q1" s="7929"/>
      <c r="R1" s="7929"/>
      <c r="S1" s="7929"/>
      <c r="T1" s="7929"/>
    </row>
    <row r="2" spans="3:62" ht="24" thickBot="1" x14ac:dyDescent="0.4">
      <c r="C2" s="1094"/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N2" s="1094"/>
      <c r="O2" s="1094"/>
      <c r="P2" s="1094"/>
      <c r="Q2" s="1094"/>
      <c r="R2" s="1094"/>
      <c r="S2" s="1094"/>
      <c r="T2" s="1094"/>
    </row>
    <row r="3" spans="3:62" ht="15.75" thickBot="1" x14ac:dyDescent="0.3">
      <c r="C3" s="1119"/>
      <c r="D3" s="1120"/>
      <c r="E3" s="7921" t="s">
        <v>2290</v>
      </c>
      <c r="F3" s="7922"/>
      <c r="G3" s="7921" t="s">
        <v>2306</v>
      </c>
      <c r="H3" s="7922"/>
      <c r="I3" s="7923" t="s">
        <v>658</v>
      </c>
      <c r="J3" s="7924"/>
      <c r="K3" s="7935" t="s">
        <v>1903</v>
      </c>
      <c r="L3" s="7935"/>
      <c r="M3" s="7936" t="s">
        <v>637</v>
      </c>
      <c r="N3" s="7937"/>
      <c r="O3" s="7921" t="s">
        <v>1937</v>
      </c>
      <c r="P3" s="7922"/>
      <c r="Q3" s="7923" t="s">
        <v>651</v>
      </c>
      <c r="R3" s="7924"/>
      <c r="S3" s="7921" t="s">
        <v>1961</v>
      </c>
      <c r="T3" s="7922"/>
      <c r="U3" s="7923" t="s">
        <v>836</v>
      </c>
      <c r="V3" s="7924"/>
      <c r="W3" s="7935" t="s">
        <v>1983</v>
      </c>
      <c r="X3" s="7935"/>
      <c r="Y3" s="7936" t="s">
        <v>660</v>
      </c>
      <c r="Z3" s="7937"/>
      <c r="AA3" s="7938" t="s">
        <v>657</v>
      </c>
      <c r="AB3" s="7939"/>
      <c r="AC3" s="7921" t="s">
        <v>2002</v>
      </c>
      <c r="AD3" s="7922"/>
      <c r="AE3" s="7923" t="s">
        <v>1102</v>
      </c>
      <c r="AF3" s="7924"/>
      <c r="AG3" s="7921" t="s">
        <v>2018</v>
      </c>
      <c r="AH3" s="7922"/>
      <c r="AI3" s="7923" t="s">
        <v>1666</v>
      </c>
      <c r="AJ3" s="7924"/>
      <c r="AK3" s="7921" t="s">
        <v>2033</v>
      </c>
      <c r="AL3" s="7922"/>
      <c r="AM3" s="7925" t="s">
        <v>662</v>
      </c>
      <c r="AN3" s="7926"/>
      <c r="AO3" s="7923" t="s">
        <v>918</v>
      </c>
      <c r="AP3" s="7924"/>
      <c r="AQ3" s="7921" t="s">
        <v>2137</v>
      </c>
      <c r="AR3" s="7922"/>
      <c r="AS3" s="7923" t="s">
        <v>1705</v>
      </c>
      <c r="AT3" s="7924"/>
      <c r="AU3" s="7921" t="s">
        <v>2151</v>
      </c>
      <c r="AV3" s="7922"/>
      <c r="AW3" s="7923" t="s">
        <v>1715</v>
      </c>
      <c r="AX3" s="7924"/>
      <c r="AY3" s="7921" t="s">
        <v>2163</v>
      </c>
      <c r="AZ3" s="7922"/>
      <c r="BA3" s="7925" t="s">
        <v>663</v>
      </c>
      <c r="BB3" s="7926"/>
      <c r="BC3" s="7927" t="s">
        <v>671</v>
      </c>
      <c r="BD3" s="7928"/>
      <c r="BE3" s="7923" t="s">
        <v>1765</v>
      </c>
      <c r="BF3" s="7924"/>
    </row>
    <row r="4" spans="3:62" ht="15.75" thickBot="1" x14ac:dyDescent="0.3">
      <c r="C4" s="568" t="s">
        <v>984</v>
      </c>
      <c r="D4" s="564"/>
      <c r="E4" s="1502" t="s">
        <v>988</v>
      </c>
      <c r="F4" s="568" t="s">
        <v>989</v>
      </c>
      <c r="G4" s="1502" t="s">
        <v>988</v>
      </c>
      <c r="H4" s="568" t="s">
        <v>989</v>
      </c>
      <c r="I4" s="1503" t="s">
        <v>988</v>
      </c>
      <c r="J4" s="1457" t="s">
        <v>989</v>
      </c>
      <c r="K4" s="1501" t="s">
        <v>988</v>
      </c>
      <c r="L4" s="1502" t="s">
        <v>989</v>
      </c>
      <c r="M4" s="5317" t="s">
        <v>988</v>
      </c>
      <c r="N4" s="5318" t="s">
        <v>989</v>
      </c>
      <c r="O4" s="1502" t="s">
        <v>988</v>
      </c>
      <c r="P4" s="568" t="s">
        <v>989</v>
      </c>
      <c r="Q4" s="1503" t="s">
        <v>988</v>
      </c>
      <c r="R4" s="1457" t="s">
        <v>989</v>
      </c>
      <c r="S4" s="1766" t="s">
        <v>988</v>
      </c>
      <c r="T4" s="568" t="s">
        <v>989</v>
      </c>
      <c r="U4" s="1765" t="s">
        <v>988</v>
      </c>
      <c r="V4" s="1457" t="s">
        <v>989</v>
      </c>
      <c r="W4" s="2270" t="s">
        <v>988</v>
      </c>
      <c r="X4" s="568" t="s">
        <v>989</v>
      </c>
      <c r="Y4" s="5317" t="s">
        <v>988</v>
      </c>
      <c r="Z4" s="5318" t="s">
        <v>989</v>
      </c>
      <c r="AA4" s="5307" t="s">
        <v>988</v>
      </c>
      <c r="AB4" s="5308" t="s">
        <v>989</v>
      </c>
      <c r="AC4" s="2270" t="s">
        <v>988</v>
      </c>
      <c r="AD4" s="568" t="s">
        <v>989</v>
      </c>
      <c r="AE4" s="1765" t="s">
        <v>988</v>
      </c>
      <c r="AF4" s="1457" t="s">
        <v>989</v>
      </c>
      <c r="AG4" s="2270" t="s">
        <v>988</v>
      </c>
      <c r="AH4" s="568" t="s">
        <v>989</v>
      </c>
      <c r="AI4" s="1765" t="s">
        <v>988</v>
      </c>
      <c r="AJ4" s="1457" t="s">
        <v>989</v>
      </c>
      <c r="AK4" s="2270" t="s">
        <v>988</v>
      </c>
      <c r="AL4" s="568" t="s">
        <v>989</v>
      </c>
      <c r="AM4" s="1106" t="s">
        <v>988</v>
      </c>
      <c r="AN4" s="1107" t="s">
        <v>989</v>
      </c>
      <c r="AO4" s="1765" t="s">
        <v>988</v>
      </c>
      <c r="AP4" s="1457" t="s">
        <v>989</v>
      </c>
      <c r="AQ4" s="2270" t="s">
        <v>988</v>
      </c>
      <c r="AR4" s="568" t="s">
        <v>989</v>
      </c>
      <c r="AS4" s="1765" t="s">
        <v>988</v>
      </c>
      <c r="AT4" s="1457" t="s">
        <v>989</v>
      </c>
      <c r="AU4" s="2270" t="s">
        <v>988</v>
      </c>
      <c r="AV4" s="568" t="s">
        <v>989</v>
      </c>
      <c r="AW4" s="1765" t="s">
        <v>988</v>
      </c>
      <c r="AX4" s="1457" t="s">
        <v>989</v>
      </c>
      <c r="AY4" s="2270" t="s">
        <v>988</v>
      </c>
      <c r="AZ4" s="568" t="s">
        <v>989</v>
      </c>
      <c r="BA4" s="1106" t="s">
        <v>988</v>
      </c>
      <c r="BB4" s="1107" t="s">
        <v>989</v>
      </c>
      <c r="BC4" s="1629" t="s">
        <v>988</v>
      </c>
      <c r="BD4" s="1630" t="s">
        <v>989</v>
      </c>
      <c r="BE4" s="1765" t="s">
        <v>988</v>
      </c>
      <c r="BF4" s="1457" t="s">
        <v>989</v>
      </c>
    </row>
    <row r="5" spans="3:62" hidden="1" x14ac:dyDescent="0.25">
      <c r="C5" s="7932" t="s">
        <v>16</v>
      </c>
      <c r="D5" s="2143" t="s">
        <v>1195</v>
      </c>
      <c r="E5" s="559"/>
      <c r="F5" s="563"/>
      <c r="G5" s="559"/>
      <c r="H5" s="563"/>
      <c r="I5" s="1458">
        <f>+E5+G5</f>
        <v>0</v>
      </c>
      <c r="J5" s="1459">
        <f>+H5+F5</f>
        <v>0</v>
      </c>
      <c r="K5" s="1333"/>
      <c r="L5" s="559"/>
      <c r="M5" s="5319">
        <f t="shared" ref="M5:N7" si="0">+E5+G5+K5</f>
        <v>0</v>
      </c>
      <c r="N5" s="5326">
        <f t="shared" si="0"/>
        <v>0</v>
      </c>
      <c r="O5" s="1333"/>
      <c r="P5" s="559"/>
      <c r="Q5" s="1458">
        <f>+M5+O5</f>
        <v>0</v>
      </c>
      <c r="R5" s="1459">
        <f>+P5+N5</f>
        <v>0</v>
      </c>
      <c r="S5" s="559">
        <v>0</v>
      </c>
      <c r="T5" s="563">
        <v>0</v>
      </c>
      <c r="U5" s="1458">
        <f>+Q5+S5</f>
        <v>0</v>
      </c>
      <c r="V5" s="1459">
        <f>+T5+R5</f>
        <v>0</v>
      </c>
      <c r="W5" s="559"/>
      <c r="X5" s="563"/>
      <c r="Y5" s="5319">
        <f t="shared" ref="Y5:Z7" si="1">+O5+S5+W5</f>
        <v>0</v>
      </c>
      <c r="Z5" s="5319">
        <f t="shared" si="1"/>
        <v>0</v>
      </c>
      <c r="AA5" s="5309">
        <f t="shared" ref="AA5:AB7" si="2">+M5+Y5</f>
        <v>0</v>
      </c>
      <c r="AB5" s="5310">
        <f t="shared" si="2"/>
        <v>0</v>
      </c>
      <c r="AC5" s="559"/>
      <c r="AD5" s="563"/>
      <c r="AE5" s="1458">
        <f>+AA5+AC5</f>
        <v>0</v>
      </c>
      <c r="AF5" s="1459">
        <f>+AD5+AB5</f>
        <v>0</v>
      </c>
      <c r="AG5" s="559">
        <v>0</v>
      </c>
      <c r="AH5" s="563">
        <v>0</v>
      </c>
      <c r="AI5" s="1458">
        <f>+AE5+AG5</f>
        <v>0</v>
      </c>
      <c r="AJ5" s="1459">
        <f>+AH5+AF5</f>
        <v>0</v>
      </c>
      <c r="AK5" s="559">
        <v>0</v>
      </c>
      <c r="AL5" s="563">
        <v>0</v>
      </c>
      <c r="AM5" s="1108">
        <f t="shared" ref="AM5:AM7" si="3">+AC5+AG5+AK5</f>
        <v>0</v>
      </c>
      <c r="AN5" s="1108">
        <f t="shared" ref="AN5:AN7" si="4">+AD5+AH5+AL5</f>
        <v>0</v>
      </c>
      <c r="AO5" s="1458">
        <f>+AI5+AK5</f>
        <v>0</v>
      </c>
      <c r="AP5" s="1459">
        <f>+AL5+AJ5</f>
        <v>0</v>
      </c>
      <c r="AQ5" s="559">
        <v>0</v>
      </c>
      <c r="AR5" s="563">
        <v>0</v>
      </c>
      <c r="AS5" s="1458">
        <f>+AO5+AQ5</f>
        <v>0</v>
      </c>
      <c r="AT5" s="1459">
        <f>+AR5+AP5</f>
        <v>0</v>
      </c>
      <c r="AU5" s="559">
        <v>0</v>
      </c>
      <c r="AV5" s="563">
        <v>0</v>
      </c>
      <c r="AW5" s="1458">
        <f>+AS5+AU5</f>
        <v>0</v>
      </c>
      <c r="AX5" s="1459">
        <f>+AV5+AT5</f>
        <v>0</v>
      </c>
      <c r="AY5" s="559">
        <v>0</v>
      </c>
      <c r="AZ5" s="563">
        <v>0</v>
      </c>
      <c r="BA5" s="1108">
        <f t="shared" ref="BA5:BA7" si="5">+AQ5+AU5+AY5</f>
        <v>0</v>
      </c>
      <c r="BB5" s="1108">
        <f t="shared" ref="BB5:BB7" si="6">+AR5+AV5+AZ5</f>
        <v>0</v>
      </c>
      <c r="BC5" s="1631">
        <f>+AM5+BA5</f>
        <v>0</v>
      </c>
      <c r="BD5" s="1631">
        <f>+AN5+BB5</f>
        <v>0</v>
      </c>
      <c r="BE5" s="1458">
        <f>+AW5+AY5</f>
        <v>0</v>
      </c>
      <c r="BF5" s="1459">
        <f>+AZ5+AX5</f>
        <v>0</v>
      </c>
      <c r="BG5" s="26"/>
      <c r="BH5" s="26"/>
      <c r="BI5" s="26"/>
      <c r="BJ5" s="26"/>
    </row>
    <row r="6" spans="3:62" hidden="1" x14ac:dyDescent="0.25">
      <c r="C6" s="7933"/>
      <c r="D6" s="2143" t="s">
        <v>1301</v>
      </c>
      <c r="E6" s="566"/>
      <c r="F6" s="563"/>
      <c r="G6" s="559"/>
      <c r="H6" s="563"/>
      <c r="I6" s="1458">
        <f>+E6+G6</f>
        <v>0</v>
      </c>
      <c r="J6" s="1459">
        <f>+H6+F6</f>
        <v>0</v>
      </c>
      <c r="K6" s="1334"/>
      <c r="L6" s="559"/>
      <c r="M6" s="5319">
        <f t="shared" si="0"/>
        <v>0</v>
      </c>
      <c r="N6" s="5326">
        <f t="shared" si="0"/>
        <v>0</v>
      </c>
      <c r="O6" s="1334"/>
      <c r="P6" s="559"/>
      <c r="Q6" s="1458">
        <f t="shared" ref="Q6:Q7" si="7">+M6+O6</f>
        <v>0</v>
      </c>
      <c r="R6" s="1459">
        <f t="shared" ref="R6:R7" si="8">+P6+N6</f>
        <v>0</v>
      </c>
      <c r="S6" s="566">
        <v>0</v>
      </c>
      <c r="T6" s="563">
        <v>0</v>
      </c>
      <c r="U6" s="1458">
        <f t="shared" ref="U6:U7" si="9">+Q6+S6</f>
        <v>0</v>
      </c>
      <c r="V6" s="1459">
        <f t="shared" ref="V6:V7" si="10">+T6+R6</f>
        <v>0</v>
      </c>
      <c r="W6" s="566"/>
      <c r="X6" s="563"/>
      <c r="Y6" s="5319">
        <f t="shared" si="1"/>
        <v>0</v>
      </c>
      <c r="Z6" s="5319">
        <f t="shared" si="1"/>
        <v>0</v>
      </c>
      <c r="AA6" s="5309">
        <f t="shared" si="2"/>
        <v>0</v>
      </c>
      <c r="AB6" s="5310">
        <f t="shared" si="2"/>
        <v>0</v>
      </c>
      <c r="AC6" s="566"/>
      <c r="AD6" s="563"/>
      <c r="AE6" s="1458">
        <f t="shared" ref="AE6:AE7" si="11">+AA6+AC6</f>
        <v>0</v>
      </c>
      <c r="AF6" s="1459">
        <f t="shared" ref="AF6:AF7" si="12">+AD6+AB6</f>
        <v>0</v>
      </c>
      <c r="AG6" s="566">
        <v>0</v>
      </c>
      <c r="AH6" s="563">
        <v>0</v>
      </c>
      <c r="AI6" s="1458">
        <f t="shared" ref="AI6:AI7" si="13">+AE6+AG6</f>
        <v>0</v>
      </c>
      <c r="AJ6" s="1459">
        <f t="shared" ref="AJ6:AJ7" si="14">+AH6+AF6</f>
        <v>0</v>
      </c>
      <c r="AK6" s="566">
        <v>0</v>
      </c>
      <c r="AL6" s="563">
        <v>0</v>
      </c>
      <c r="AM6" s="1108">
        <f t="shared" si="3"/>
        <v>0</v>
      </c>
      <c r="AN6" s="1108">
        <f t="shared" si="4"/>
        <v>0</v>
      </c>
      <c r="AO6" s="1458">
        <f t="shared" ref="AO6:AO7" si="15">+AI6+AK6</f>
        <v>0</v>
      </c>
      <c r="AP6" s="1459">
        <f t="shared" ref="AP6:AP7" si="16">+AL6+AJ6</f>
        <v>0</v>
      </c>
      <c r="AQ6" s="566">
        <v>0</v>
      </c>
      <c r="AR6" s="563">
        <v>0</v>
      </c>
      <c r="AS6" s="1458">
        <f t="shared" ref="AS6:AS7" si="17">+AO6+AQ6</f>
        <v>0</v>
      </c>
      <c r="AT6" s="1459">
        <f t="shared" ref="AT6:AT7" si="18">+AR6+AP6</f>
        <v>0</v>
      </c>
      <c r="AU6" s="566">
        <v>0</v>
      </c>
      <c r="AV6" s="563">
        <v>0</v>
      </c>
      <c r="AW6" s="1458">
        <f t="shared" ref="AW6:AW7" si="19">+AS6+AU6</f>
        <v>0</v>
      </c>
      <c r="AX6" s="1459">
        <f t="shared" ref="AX6:AX7" si="20">+AV6+AT6</f>
        <v>0</v>
      </c>
      <c r="AY6" s="566">
        <v>0</v>
      </c>
      <c r="AZ6" s="563">
        <v>0</v>
      </c>
      <c r="BA6" s="1108">
        <f t="shared" si="5"/>
        <v>0</v>
      </c>
      <c r="BB6" s="1108">
        <f t="shared" si="6"/>
        <v>0</v>
      </c>
      <c r="BC6" s="1631">
        <f t="shared" ref="BC6:BC7" si="21">+AM6+BA6</f>
        <v>0</v>
      </c>
      <c r="BD6" s="1631">
        <f t="shared" ref="BD6:BD7" si="22">+AN6+BB6</f>
        <v>0</v>
      </c>
      <c r="BE6" s="1458">
        <f t="shared" ref="BE6:BE7" si="23">+AW6+AY6</f>
        <v>0</v>
      </c>
      <c r="BF6" s="1459">
        <f t="shared" ref="BF6:BF7" si="24">+AZ6+AX6</f>
        <v>0</v>
      </c>
      <c r="BG6" s="26"/>
      <c r="BH6" s="26"/>
      <c r="BI6" s="26"/>
      <c r="BJ6" s="26"/>
    </row>
    <row r="7" spans="3:62" ht="15.75" hidden="1" thickBot="1" x14ac:dyDescent="0.3">
      <c r="C7" s="7933"/>
      <c r="D7" s="2144" t="s">
        <v>985</v>
      </c>
      <c r="E7" s="565"/>
      <c r="F7" s="561"/>
      <c r="G7" s="569"/>
      <c r="H7" s="561"/>
      <c r="I7" s="1458">
        <f>+E7+G7</f>
        <v>0</v>
      </c>
      <c r="J7" s="1459">
        <f>+H7+F7</f>
        <v>0</v>
      </c>
      <c r="K7" s="1335"/>
      <c r="L7" s="569"/>
      <c r="M7" s="5319">
        <f t="shared" si="0"/>
        <v>0</v>
      </c>
      <c r="N7" s="5326">
        <f t="shared" si="0"/>
        <v>0</v>
      </c>
      <c r="O7" s="1335"/>
      <c r="P7" s="569"/>
      <c r="Q7" s="1458">
        <f t="shared" si="7"/>
        <v>0</v>
      </c>
      <c r="R7" s="1459">
        <f t="shared" si="8"/>
        <v>0</v>
      </c>
      <c r="S7" s="569">
        <v>0</v>
      </c>
      <c r="T7" s="561">
        <v>0</v>
      </c>
      <c r="U7" s="1458">
        <f t="shared" si="9"/>
        <v>0</v>
      </c>
      <c r="V7" s="1459">
        <f t="shared" si="10"/>
        <v>0</v>
      </c>
      <c r="W7" s="569"/>
      <c r="X7" s="561"/>
      <c r="Y7" s="5319">
        <f t="shared" si="1"/>
        <v>0</v>
      </c>
      <c r="Z7" s="5319">
        <f t="shared" si="1"/>
        <v>0</v>
      </c>
      <c r="AA7" s="5309">
        <f t="shared" si="2"/>
        <v>0</v>
      </c>
      <c r="AB7" s="5310">
        <f t="shared" si="2"/>
        <v>0</v>
      </c>
      <c r="AC7" s="569"/>
      <c r="AD7" s="561"/>
      <c r="AE7" s="1458">
        <f t="shared" si="11"/>
        <v>0</v>
      </c>
      <c r="AF7" s="1459">
        <f t="shared" si="12"/>
        <v>0</v>
      </c>
      <c r="AG7" s="569">
        <v>0</v>
      </c>
      <c r="AH7" s="561">
        <v>0</v>
      </c>
      <c r="AI7" s="1458">
        <f t="shared" si="13"/>
        <v>0</v>
      </c>
      <c r="AJ7" s="1459">
        <f t="shared" si="14"/>
        <v>0</v>
      </c>
      <c r="AK7" s="569">
        <v>0</v>
      </c>
      <c r="AL7" s="561">
        <v>0</v>
      </c>
      <c r="AM7" s="1108">
        <f t="shared" si="3"/>
        <v>0</v>
      </c>
      <c r="AN7" s="1108">
        <f t="shared" si="4"/>
        <v>0</v>
      </c>
      <c r="AO7" s="1458">
        <f t="shared" si="15"/>
        <v>0</v>
      </c>
      <c r="AP7" s="1459">
        <f t="shared" si="16"/>
        <v>0</v>
      </c>
      <c r="AQ7" s="569">
        <v>0</v>
      </c>
      <c r="AR7" s="561">
        <v>0</v>
      </c>
      <c r="AS7" s="1458">
        <f t="shared" si="17"/>
        <v>0</v>
      </c>
      <c r="AT7" s="1459">
        <f t="shared" si="18"/>
        <v>0</v>
      </c>
      <c r="AU7" s="569">
        <v>0</v>
      </c>
      <c r="AV7" s="561">
        <v>0</v>
      </c>
      <c r="AW7" s="1458">
        <f t="shared" si="19"/>
        <v>0</v>
      </c>
      <c r="AX7" s="1459">
        <f t="shared" si="20"/>
        <v>0</v>
      </c>
      <c r="AY7" s="569">
        <v>0</v>
      </c>
      <c r="AZ7" s="561">
        <v>0</v>
      </c>
      <c r="BA7" s="1108">
        <f t="shared" si="5"/>
        <v>0</v>
      </c>
      <c r="BB7" s="1108">
        <f t="shared" si="6"/>
        <v>0</v>
      </c>
      <c r="BC7" s="1631">
        <f t="shared" si="21"/>
        <v>0</v>
      </c>
      <c r="BD7" s="1631">
        <f t="shared" si="22"/>
        <v>0</v>
      </c>
      <c r="BE7" s="1458">
        <f t="shared" si="23"/>
        <v>0</v>
      </c>
      <c r="BF7" s="1459">
        <f t="shared" si="24"/>
        <v>0</v>
      </c>
      <c r="BG7" s="26"/>
      <c r="BH7" s="26"/>
      <c r="BI7" s="26"/>
      <c r="BJ7" s="26"/>
    </row>
    <row r="8" spans="3:62" ht="15.75" hidden="1" thickBot="1" x14ac:dyDescent="0.3">
      <c r="C8" s="7934"/>
      <c r="D8" s="1885" t="s">
        <v>2</v>
      </c>
      <c r="E8" s="570">
        <f t="shared" ref="E8:N8" si="25">SUM(E5:E7)</f>
        <v>0</v>
      </c>
      <c r="F8" s="560">
        <f t="shared" si="25"/>
        <v>0</v>
      </c>
      <c r="G8" s="570">
        <f t="shared" si="25"/>
        <v>0</v>
      </c>
      <c r="H8" s="560">
        <f t="shared" si="25"/>
        <v>0</v>
      </c>
      <c r="I8" s="1115">
        <f>SUM(I5:I7)</f>
        <v>0</v>
      </c>
      <c r="J8" s="1116">
        <f>SUM(J5:J7)</f>
        <v>0</v>
      </c>
      <c r="K8" s="1336">
        <f t="shared" si="25"/>
        <v>0</v>
      </c>
      <c r="L8" s="570">
        <f t="shared" si="25"/>
        <v>0</v>
      </c>
      <c r="M8" s="5320">
        <f t="shared" si="25"/>
        <v>0</v>
      </c>
      <c r="N8" s="5321">
        <f t="shared" si="25"/>
        <v>0</v>
      </c>
      <c r="O8" s="1336">
        <f t="shared" ref="O8:P8" si="26">SUM(O5:O7)</f>
        <v>0</v>
      </c>
      <c r="P8" s="570">
        <f t="shared" si="26"/>
        <v>0</v>
      </c>
      <c r="Q8" s="1115">
        <f t="shared" ref="Q8:AF8" si="27">SUM(Q5:Q7)</f>
        <v>0</v>
      </c>
      <c r="R8" s="1116">
        <f t="shared" si="27"/>
        <v>0</v>
      </c>
      <c r="S8" s="570">
        <f t="shared" ref="S8:V8" si="28">SUM(S5:S7)</f>
        <v>0</v>
      </c>
      <c r="T8" s="560">
        <f t="shared" si="28"/>
        <v>0</v>
      </c>
      <c r="U8" s="1115">
        <f t="shared" si="28"/>
        <v>0</v>
      </c>
      <c r="V8" s="1116">
        <f t="shared" si="28"/>
        <v>0</v>
      </c>
      <c r="W8" s="570">
        <f t="shared" ref="W8:X8" si="29">SUM(W5:W7)</f>
        <v>0</v>
      </c>
      <c r="X8" s="560">
        <f t="shared" si="29"/>
        <v>0</v>
      </c>
      <c r="Y8" s="5320">
        <f t="shared" si="27"/>
        <v>0</v>
      </c>
      <c r="Z8" s="5321">
        <f t="shared" si="27"/>
        <v>0</v>
      </c>
      <c r="AA8" s="5311">
        <f t="shared" si="27"/>
        <v>0</v>
      </c>
      <c r="AB8" s="5312">
        <f t="shared" si="27"/>
        <v>0</v>
      </c>
      <c r="AC8" s="570"/>
      <c r="AD8" s="560"/>
      <c r="AE8" s="1115">
        <f t="shared" si="27"/>
        <v>0</v>
      </c>
      <c r="AF8" s="1116">
        <f t="shared" si="27"/>
        <v>0</v>
      </c>
      <c r="AG8" s="570">
        <f t="shared" ref="AG8:AJ8" si="30">SUM(AG5:AG7)</f>
        <v>0</v>
      </c>
      <c r="AH8" s="560">
        <f t="shared" si="30"/>
        <v>0</v>
      </c>
      <c r="AI8" s="1115">
        <f t="shared" si="30"/>
        <v>0</v>
      </c>
      <c r="AJ8" s="1116">
        <f t="shared" si="30"/>
        <v>0</v>
      </c>
      <c r="AK8" s="570">
        <f t="shared" ref="AK8:AT8" si="31">SUM(AK5:AK7)</f>
        <v>0</v>
      </c>
      <c r="AL8" s="560">
        <f t="shared" si="31"/>
        <v>0</v>
      </c>
      <c r="AM8" s="1109">
        <f t="shared" si="31"/>
        <v>0</v>
      </c>
      <c r="AN8" s="1110">
        <f t="shared" si="31"/>
        <v>0</v>
      </c>
      <c r="AO8" s="1115">
        <f t="shared" si="31"/>
        <v>0</v>
      </c>
      <c r="AP8" s="1116">
        <f t="shared" si="31"/>
        <v>0</v>
      </c>
      <c r="AQ8" s="570">
        <f t="shared" si="31"/>
        <v>0</v>
      </c>
      <c r="AR8" s="560">
        <f t="shared" si="31"/>
        <v>0</v>
      </c>
      <c r="AS8" s="1115">
        <f t="shared" si="31"/>
        <v>0</v>
      </c>
      <c r="AT8" s="1116">
        <f t="shared" si="31"/>
        <v>0</v>
      </c>
      <c r="AU8" s="570">
        <f t="shared" ref="AU8:AX8" si="32">SUM(AU5:AU7)</f>
        <v>0</v>
      </c>
      <c r="AV8" s="560">
        <f t="shared" si="32"/>
        <v>0</v>
      </c>
      <c r="AW8" s="1115">
        <f t="shared" si="32"/>
        <v>0</v>
      </c>
      <c r="AX8" s="1116">
        <f t="shared" si="32"/>
        <v>0</v>
      </c>
      <c r="AY8" s="570">
        <f t="shared" ref="AY8:BF8" si="33">SUM(AY5:AY7)</f>
        <v>0</v>
      </c>
      <c r="AZ8" s="560">
        <f t="shared" si="33"/>
        <v>0</v>
      </c>
      <c r="BA8" s="1109">
        <f t="shared" si="33"/>
        <v>0</v>
      </c>
      <c r="BB8" s="1110">
        <f t="shared" si="33"/>
        <v>0</v>
      </c>
      <c r="BC8" s="1632">
        <f t="shared" si="33"/>
        <v>0</v>
      </c>
      <c r="BD8" s="1633">
        <f t="shared" si="33"/>
        <v>0</v>
      </c>
      <c r="BE8" s="1115">
        <f t="shared" si="33"/>
        <v>0</v>
      </c>
      <c r="BF8" s="1116">
        <f t="shared" si="33"/>
        <v>0</v>
      </c>
      <c r="BG8" s="26"/>
      <c r="BH8" s="26"/>
      <c r="BI8" s="26"/>
      <c r="BJ8" s="26"/>
    </row>
    <row r="9" spans="3:62" hidden="1" x14ac:dyDescent="0.25">
      <c r="C9" s="7940" t="s">
        <v>986</v>
      </c>
      <c r="D9" s="2143" t="s">
        <v>1194</v>
      </c>
      <c r="E9" s="559"/>
      <c r="F9" s="563"/>
      <c r="G9" s="559"/>
      <c r="H9" s="563"/>
      <c r="I9" s="1458">
        <f>+E9+G9</f>
        <v>0</v>
      </c>
      <c r="J9" s="1459">
        <f>+H9+F9</f>
        <v>0</v>
      </c>
      <c r="K9" s="559"/>
      <c r="L9" s="563"/>
      <c r="M9" s="5319">
        <f t="shared" ref="M9:N14" si="34">+E9+G9+K9</f>
        <v>0</v>
      </c>
      <c r="N9" s="5326">
        <f t="shared" si="34"/>
        <v>0</v>
      </c>
      <c r="O9" s="559"/>
      <c r="P9" s="563"/>
      <c r="Q9" s="1458">
        <f>+M9+O9</f>
        <v>0</v>
      </c>
      <c r="R9" s="1459">
        <f>+P9+N9</f>
        <v>0</v>
      </c>
      <c r="S9" s="559"/>
      <c r="T9" s="563"/>
      <c r="U9" s="1458">
        <f>+Q9+S9</f>
        <v>0</v>
      </c>
      <c r="V9" s="1459">
        <f>+T9+R9</f>
        <v>0</v>
      </c>
      <c r="W9" s="559"/>
      <c r="X9" s="563"/>
      <c r="Y9" s="5319">
        <f t="shared" ref="Y9:Z14" si="35">+O9+S9+W9</f>
        <v>0</v>
      </c>
      <c r="Z9" s="5319">
        <f t="shared" si="35"/>
        <v>0</v>
      </c>
      <c r="AA9" s="5309">
        <f t="shared" ref="AA9:AB14" si="36">+M9+Y9</f>
        <v>0</v>
      </c>
      <c r="AB9" s="5310">
        <f t="shared" si="36"/>
        <v>0</v>
      </c>
      <c r="AC9" s="559"/>
      <c r="AD9" s="563"/>
      <c r="AE9" s="1458">
        <f>+AA9+AC9</f>
        <v>0</v>
      </c>
      <c r="AF9" s="1459">
        <f>+AD9+AB9</f>
        <v>0</v>
      </c>
      <c r="AG9" s="559">
        <v>0</v>
      </c>
      <c r="AH9" s="563">
        <v>0</v>
      </c>
      <c r="AI9" s="1458">
        <f>+AE9+AG9</f>
        <v>0</v>
      </c>
      <c r="AJ9" s="1459">
        <f>+AH9+AF9</f>
        <v>0</v>
      </c>
      <c r="AK9" s="559">
        <v>0</v>
      </c>
      <c r="AL9" s="563">
        <v>0</v>
      </c>
      <c r="AM9" s="1108">
        <f t="shared" ref="AM9:AM14" si="37">+AC9+AG9+AK9</f>
        <v>0</v>
      </c>
      <c r="AN9" s="1108">
        <f t="shared" ref="AN9:AN14" si="38">+AD9+AH9+AL9</f>
        <v>0</v>
      </c>
      <c r="AO9" s="1458">
        <f>+AI9+AK9</f>
        <v>0</v>
      </c>
      <c r="AP9" s="1459">
        <f>+AL9+AJ9</f>
        <v>0</v>
      </c>
      <c r="AQ9" s="559">
        <v>0</v>
      </c>
      <c r="AR9" s="563">
        <v>0</v>
      </c>
      <c r="AS9" s="1458">
        <f>+AO9+AQ9</f>
        <v>0</v>
      </c>
      <c r="AT9" s="1459">
        <f>+AR9+AP9</f>
        <v>0</v>
      </c>
      <c r="AU9" s="559">
        <v>0</v>
      </c>
      <c r="AV9" s="563">
        <v>0</v>
      </c>
      <c r="AW9" s="1458">
        <f>+AS9+AU9</f>
        <v>0</v>
      </c>
      <c r="AX9" s="1459">
        <f>+AV9+AT9</f>
        <v>0</v>
      </c>
      <c r="AY9" s="559">
        <v>0</v>
      </c>
      <c r="AZ9" s="563">
        <v>0</v>
      </c>
      <c r="BA9" s="1108">
        <f t="shared" ref="BA9:BA14" si="39">+AQ9+AU9+AY9</f>
        <v>0</v>
      </c>
      <c r="BB9" s="1108">
        <f t="shared" ref="BB9:BB14" si="40">+AR9+AV9+AZ9</f>
        <v>0</v>
      </c>
      <c r="BC9" s="1631">
        <f t="shared" ref="BC9:BC14" si="41">+AM9+BA9</f>
        <v>0</v>
      </c>
      <c r="BD9" s="1631">
        <f t="shared" ref="BD9:BD14" si="42">+AN9+BB9</f>
        <v>0</v>
      </c>
      <c r="BE9" s="1458">
        <f>+AW9+AY9</f>
        <v>0</v>
      </c>
      <c r="BF9" s="1459">
        <f>+AZ9+AX9</f>
        <v>0</v>
      </c>
      <c r="BG9" s="26"/>
      <c r="BH9" s="26"/>
      <c r="BI9" s="26"/>
      <c r="BJ9" s="26"/>
    </row>
    <row r="10" spans="3:62" x14ac:dyDescent="0.25">
      <c r="C10" s="7941"/>
      <c r="D10" s="2143" t="s">
        <v>2049</v>
      </c>
      <c r="E10" s="559">
        <v>5058.57</v>
      </c>
      <c r="F10" s="563">
        <v>2606.42</v>
      </c>
      <c r="G10" s="559">
        <v>2936.62</v>
      </c>
      <c r="H10" s="563">
        <v>3329.1699999999996</v>
      </c>
      <c r="I10" s="1458">
        <f t="shared" ref="I10:I14" si="43">+E10+G10</f>
        <v>7995.19</v>
      </c>
      <c r="J10" s="1459">
        <f t="shared" ref="J10:J14" si="44">+H10+F10</f>
        <v>5935.59</v>
      </c>
      <c r="K10" s="559"/>
      <c r="L10" s="563"/>
      <c r="M10" s="5319">
        <f t="shared" si="34"/>
        <v>7995.19</v>
      </c>
      <c r="N10" s="5326">
        <f t="shared" si="34"/>
        <v>5935.59</v>
      </c>
      <c r="O10" s="559"/>
      <c r="P10" s="563"/>
      <c r="Q10" s="1458">
        <f t="shared" ref="Q10:Q14" si="45">+M10+O10</f>
        <v>7995.19</v>
      </c>
      <c r="R10" s="1459">
        <f t="shared" ref="R10:R14" si="46">+P10+N10</f>
        <v>5935.59</v>
      </c>
      <c r="S10" s="559"/>
      <c r="T10" s="563"/>
      <c r="U10" s="1458">
        <f t="shared" ref="U10:U14" si="47">+Q10+S10</f>
        <v>7995.19</v>
      </c>
      <c r="V10" s="1459">
        <f t="shared" ref="V10:V14" si="48">+T10+R10</f>
        <v>5935.59</v>
      </c>
      <c r="W10" s="559"/>
      <c r="X10" s="563"/>
      <c r="Y10" s="5319">
        <f t="shared" si="35"/>
        <v>0</v>
      </c>
      <c r="Z10" s="5319">
        <f t="shared" si="35"/>
        <v>0</v>
      </c>
      <c r="AA10" s="5309">
        <f t="shared" si="36"/>
        <v>7995.19</v>
      </c>
      <c r="AB10" s="5310">
        <f t="shared" si="36"/>
        <v>5935.59</v>
      </c>
      <c r="AC10" s="559"/>
      <c r="AD10" s="563"/>
      <c r="AE10" s="1458">
        <f t="shared" ref="AE10:AE14" si="49">+AA10+AC10</f>
        <v>7995.19</v>
      </c>
      <c r="AF10" s="1459">
        <f t="shared" ref="AF10:AF14" si="50">+AD10+AB10</f>
        <v>5935.59</v>
      </c>
      <c r="AG10" s="559">
        <v>0</v>
      </c>
      <c r="AH10" s="563">
        <v>0</v>
      </c>
      <c r="AI10" s="1458">
        <f t="shared" ref="AI10:AI14" si="51">+AE10+AG10</f>
        <v>7995.19</v>
      </c>
      <c r="AJ10" s="1459">
        <f t="shared" ref="AJ10:AJ14" si="52">+AH10+AF10</f>
        <v>5935.59</v>
      </c>
      <c r="AK10" s="559">
        <v>3042.9599999999991</v>
      </c>
      <c r="AL10" s="563">
        <v>3012.9300000000007</v>
      </c>
      <c r="AM10" s="1108">
        <f t="shared" si="37"/>
        <v>3042.9599999999991</v>
      </c>
      <c r="AN10" s="1108">
        <f t="shared" si="38"/>
        <v>3012.9300000000007</v>
      </c>
      <c r="AO10" s="1458">
        <f t="shared" ref="AO10:AO14" si="53">+AI10+AK10</f>
        <v>11038.149999999998</v>
      </c>
      <c r="AP10" s="1459">
        <f t="shared" ref="AP10:AP14" si="54">+AL10+AJ10</f>
        <v>8948.52</v>
      </c>
      <c r="AQ10" s="559">
        <v>3615.5599999999995</v>
      </c>
      <c r="AR10" s="563">
        <v>3426.1200000000003</v>
      </c>
      <c r="AS10" s="1458">
        <f>+AO10+AQ10</f>
        <v>14653.709999999997</v>
      </c>
      <c r="AT10" s="1459">
        <f t="shared" ref="AT10:AT14" si="55">+AR10+AP10</f>
        <v>12374.640000000001</v>
      </c>
      <c r="AU10" s="559">
        <v>3969.3449999999993</v>
      </c>
      <c r="AV10" s="563">
        <v>3574.9399999999996</v>
      </c>
      <c r="AW10" s="1458">
        <f t="shared" ref="AW10:AW14" si="56">+AS10+AU10</f>
        <v>18623.054999999997</v>
      </c>
      <c r="AX10" s="1459">
        <f t="shared" ref="AX10:AX14" si="57">+AV10+AT10</f>
        <v>15949.580000000002</v>
      </c>
      <c r="AY10" s="559">
        <v>5505.8849999999993</v>
      </c>
      <c r="AZ10" s="563">
        <v>5975.59</v>
      </c>
      <c r="BA10" s="1108">
        <f>+AQ10+AU10+AY10</f>
        <v>13090.789999999997</v>
      </c>
      <c r="BB10" s="1108">
        <f t="shared" si="40"/>
        <v>12976.65</v>
      </c>
      <c r="BC10" s="1631">
        <f t="shared" si="41"/>
        <v>16133.749999999996</v>
      </c>
      <c r="BD10" s="1631">
        <f t="shared" si="42"/>
        <v>15989.58</v>
      </c>
      <c r="BE10" s="1458">
        <f t="shared" ref="BE10:BE14" si="58">+AW10+AY10</f>
        <v>24128.939999999995</v>
      </c>
      <c r="BF10" s="1459">
        <f t="shared" ref="BF10:BF14" si="59">+AZ10+AX10</f>
        <v>21925.170000000002</v>
      </c>
      <c r="BG10" s="26"/>
      <c r="BH10" s="26"/>
      <c r="BI10" s="26"/>
      <c r="BJ10" s="26"/>
    </row>
    <row r="11" spans="3:62" x14ac:dyDescent="0.25">
      <c r="C11" s="7941"/>
      <c r="D11" s="2143" t="s">
        <v>1356</v>
      </c>
      <c r="E11" s="559"/>
      <c r="F11" s="563"/>
      <c r="G11" s="559"/>
      <c r="H11" s="563"/>
      <c r="I11" s="1458">
        <f t="shared" si="43"/>
        <v>0</v>
      </c>
      <c r="J11" s="1459">
        <f t="shared" si="44"/>
        <v>0</v>
      </c>
      <c r="K11" s="559"/>
      <c r="L11" s="563"/>
      <c r="M11" s="5319">
        <f t="shared" si="34"/>
        <v>0</v>
      </c>
      <c r="N11" s="5326">
        <f t="shared" si="34"/>
        <v>0</v>
      </c>
      <c r="O11" s="559">
        <v>209.00499999999997</v>
      </c>
      <c r="P11" s="563">
        <v>170.32999999999998</v>
      </c>
      <c r="Q11" s="1458">
        <f t="shared" si="45"/>
        <v>209.00499999999997</v>
      </c>
      <c r="R11" s="1459">
        <f t="shared" si="46"/>
        <v>170.32999999999998</v>
      </c>
      <c r="S11" s="559"/>
      <c r="T11" s="563"/>
      <c r="U11" s="1458">
        <f t="shared" si="47"/>
        <v>209.00499999999997</v>
      </c>
      <c r="V11" s="1459">
        <f t="shared" si="48"/>
        <v>170.32999999999998</v>
      </c>
      <c r="W11" s="559"/>
      <c r="X11" s="563"/>
      <c r="Y11" s="5319">
        <f t="shared" si="35"/>
        <v>209.00499999999997</v>
      </c>
      <c r="Z11" s="5319">
        <f t="shared" si="35"/>
        <v>170.32999999999998</v>
      </c>
      <c r="AA11" s="5309">
        <f t="shared" si="36"/>
        <v>209.00499999999997</v>
      </c>
      <c r="AB11" s="5310">
        <f t="shared" si="36"/>
        <v>170.32999999999998</v>
      </c>
      <c r="AC11" s="559"/>
      <c r="AD11" s="563"/>
      <c r="AE11" s="1458">
        <f t="shared" si="49"/>
        <v>209.00499999999997</v>
      </c>
      <c r="AF11" s="1459">
        <f t="shared" si="50"/>
        <v>170.32999999999998</v>
      </c>
      <c r="AG11" s="559">
        <v>0</v>
      </c>
      <c r="AH11" s="563">
        <v>0</v>
      </c>
      <c r="AI11" s="1458">
        <f t="shared" si="51"/>
        <v>209.00499999999997</v>
      </c>
      <c r="AJ11" s="1459">
        <f t="shared" si="52"/>
        <v>170.32999999999998</v>
      </c>
      <c r="AK11" s="559"/>
      <c r="AL11" s="563">
        <v>0</v>
      </c>
      <c r="AM11" s="1108">
        <f t="shared" si="37"/>
        <v>0</v>
      </c>
      <c r="AN11" s="1108">
        <f t="shared" si="38"/>
        <v>0</v>
      </c>
      <c r="AO11" s="1458">
        <f t="shared" si="53"/>
        <v>209.00499999999997</v>
      </c>
      <c r="AP11" s="1459">
        <f t="shared" si="54"/>
        <v>170.32999999999998</v>
      </c>
      <c r="AQ11" s="559"/>
      <c r="AR11" s="563"/>
      <c r="AS11" s="1458">
        <f t="shared" ref="AS11:AS14" si="60">+AO11+AQ11</f>
        <v>209.00499999999997</v>
      </c>
      <c r="AT11" s="1459">
        <f t="shared" si="55"/>
        <v>170.32999999999998</v>
      </c>
      <c r="AU11" s="559"/>
      <c r="AV11" s="563"/>
      <c r="AW11" s="1458">
        <f t="shared" si="56"/>
        <v>209.00499999999997</v>
      </c>
      <c r="AX11" s="1459">
        <f t="shared" si="57"/>
        <v>170.32999999999998</v>
      </c>
      <c r="AY11" s="559"/>
      <c r="AZ11" s="563"/>
      <c r="BA11" s="1108">
        <f t="shared" si="39"/>
        <v>0</v>
      </c>
      <c r="BB11" s="1108">
        <f t="shared" si="40"/>
        <v>0</v>
      </c>
      <c r="BC11" s="1631">
        <f t="shared" si="41"/>
        <v>0</v>
      </c>
      <c r="BD11" s="1631">
        <f t="shared" si="42"/>
        <v>0</v>
      </c>
      <c r="BE11" s="1458">
        <f t="shared" si="58"/>
        <v>209.00499999999997</v>
      </c>
      <c r="BF11" s="1459">
        <f t="shared" si="59"/>
        <v>170.32999999999998</v>
      </c>
      <c r="BG11" s="26"/>
      <c r="BH11" s="26"/>
      <c r="BI11" s="26"/>
      <c r="BJ11" s="26"/>
    </row>
    <row r="12" spans="3:62" x14ac:dyDescent="0.25">
      <c r="C12" s="7941"/>
      <c r="D12" s="2143" t="s">
        <v>1198</v>
      </c>
      <c r="E12" s="559">
        <v>14295.540000000015</v>
      </c>
      <c r="F12" s="563">
        <v>14131.059999999992</v>
      </c>
      <c r="G12" s="563">
        <v>8564.9000000000124</v>
      </c>
      <c r="H12" s="563">
        <v>6163.3799999999992</v>
      </c>
      <c r="I12" s="1458">
        <f t="shared" si="43"/>
        <v>22860.440000000028</v>
      </c>
      <c r="J12" s="1459">
        <f t="shared" si="44"/>
        <v>20294.439999999991</v>
      </c>
      <c r="K12" s="559">
        <v>8804.9100000000108</v>
      </c>
      <c r="L12" s="563">
        <v>8021.2599999999993</v>
      </c>
      <c r="M12" s="5319">
        <f t="shared" si="34"/>
        <v>31665.350000000039</v>
      </c>
      <c r="N12" s="5326">
        <f t="shared" si="34"/>
        <v>28315.69999999999</v>
      </c>
      <c r="O12" s="559">
        <v>4976.0999999999995</v>
      </c>
      <c r="P12" s="563">
        <v>6567.83</v>
      </c>
      <c r="Q12" s="1458">
        <f t="shared" si="45"/>
        <v>36641.450000000041</v>
      </c>
      <c r="R12" s="1459">
        <f t="shared" si="46"/>
        <v>34883.529999999992</v>
      </c>
      <c r="S12" s="559">
        <v>7993.5050000000101</v>
      </c>
      <c r="T12" s="563">
        <v>7894.5399999999991</v>
      </c>
      <c r="U12" s="1458">
        <f t="shared" si="47"/>
        <v>44634.955000000053</v>
      </c>
      <c r="V12" s="1459">
        <f t="shared" si="48"/>
        <v>42778.069999999992</v>
      </c>
      <c r="W12" s="1795">
        <v>10034.310000000018</v>
      </c>
      <c r="X12" s="563">
        <v>9974.5899999999965</v>
      </c>
      <c r="Y12" s="5319">
        <f t="shared" si="35"/>
        <v>23003.91500000003</v>
      </c>
      <c r="Z12" s="5319">
        <f t="shared" si="35"/>
        <v>24436.959999999995</v>
      </c>
      <c r="AA12" s="5309">
        <f t="shared" si="36"/>
        <v>54669.265000000072</v>
      </c>
      <c r="AB12" s="5310">
        <f t="shared" si="36"/>
        <v>52752.659999999989</v>
      </c>
      <c r="AC12" s="559">
        <v>11021.86</v>
      </c>
      <c r="AD12" s="563">
        <v>7111.8199999999988</v>
      </c>
      <c r="AE12" s="1458">
        <f t="shared" si="49"/>
        <v>65691.125000000073</v>
      </c>
      <c r="AF12" s="1459">
        <f t="shared" si="50"/>
        <v>59864.479999999989</v>
      </c>
      <c r="AG12" s="559">
        <v>0</v>
      </c>
      <c r="AH12" s="563">
        <v>3798.27</v>
      </c>
      <c r="AI12" s="1458">
        <f t="shared" si="51"/>
        <v>65691.125000000073</v>
      </c>
      <c r="AJ12" s="1459">
        <f t="shared" si="52"/>
        <v>63662.749999999985</v>
      </c>
      <c r="AK12" s="559">
        <v>11115.110000000017</v>
      </c>
      <c r="AL12" s="563">
        <v>9699.6000000000022</v>
      </c>
      <c r="AM12" s="1108">
        <f t="shared" si="37"/>
        <v>22136.970000000016</v>
      </c>
      <c r="AN12" s="1108">
        <f t="shared" si="38"/>
        <v>20609.690000000002</v>
      </c>
      <c r="AO12" s="1458">
        <f t="shared" si="53"/>
        <v>76806.235000000088</v>
      </c>
      <c r="AP12" s="1459">
        <f t="shared" si="54"/>
        <v>73362.349999999991</v>
      </c>
      <c r="AQ12" s="559">
        <v>10765.540000000045</v>
      </c>
      <c r="AR12" s="563">
        <v>11362.95</v>
      </c>
      <c r="AS12" s="1458">
        <f t="shared" si="60"/>
        <v>87571.77500000014</v>
      </c>
      <c r="AT12" s="1459">
        <f t="shared" si="55"/>
        <v>84725.299999999988</v>
      </c>
      <c r="AU12" s="559">
        <v>12197.285000000036</v>
      </c>
      <c r="AV12" s="563">
        <v>12260.820000000003</v>
      </c>
      <c r="AW12" s="1458">
        <f t="shared" si="56"/>
        <v>99769.060000000172</v>
      </c>
      <c r="AX12" s="1459">
        <f t="shared" si="57"/>
        <v>96986.12</v>
      </c>
      <c r="AY12" s="559">
        <v>12472.825000000019</v>
      </c>
      <c r="AZ12" s="563">
        <v>12275.069999999996</v>
      </c>
      <c r="BA12" s="1108">
        <f t="shared" si="39"/>
        <v>35435.650000000096</v>
      </c>
      <c r="BB12" s="1108">
        <f t="shared" si="40"/>
        <v>35898.839999999997</v>
      </c>
      <c r="BC12" s="1631">
        <f t="shared" si="41"/>
        <v>57572.620000000112</v>
      </c>
      <c r="BD12" s="1631">
        <f t="shared" si="42"/>
        <v>56508.53</v>
      </c>
      <c r="BE12" s="1458">
        <f t="shared" si="58"/>
        <v>112241.88500000018</v>
      </c>
      <c r="BF12" s="1459">
        <f t="shared" si="59"/>
        <v>109261.18999999999</v>
      </c>
      <c r="BG12" s="26"/>
      <c r="BH12" s="26"/>
      <c r="BI12" s="26"/>
      <c r="BJ12" s="26"/>
    </row>
    <row r="13" spans="3:62" x14ac:dyDescent="0.25">
      <c r="C13" s="7941"/>
      <c r="D13" s="2143" t="s">
        <v>1197</v>
      </c>
      <c r="E13" s="559">
        <v>3836.4199999999996</v>
      </c>
      <c r="F13" s="563">
        <v>2155.3900000000003</v>
      </c>
      <c r="G13" s="559">
        <v>8096.2000000000035</v>
      </c>
      <c r="H13" s="563">
        <v>10114.569999999998</v>
      </c>
      <c r="I13" s="1458">
        <f t="shared" si="43"/>
        <v>11932.620000000003</v>
      </c>
      <c r="J13" s="1459">
        <f t="shared" si="44"/>
        <v>12269.96</v>
      </c>
      <c r="K13" s="559">
        <v>8108.4250000000102</v>
      </c>
      <c r="L13" s="563">
        <v>8005.3700000000008</v>
      </c>
      <c r="M13" s="5319">
        <f t="shared" si="34"/>
        <v>20041.045000000013</v>
      </c>
      <c r="N13" s="5326">
        <f t="shared" si="34"/>
        <v>20275.330000000002</v>
      </c>
      <c r="O13" s="559">
        <v>9221.87500000002</v>
      </c>
      <c r="P13" s="563">
        <v>8195.93</v>
      </c>
      <c r="Q13" s="1458">
        <f t="shared" si="45"/>
        <v>29262.920000000035</v>
      </c>
      <c r="R13" s="1459">
        <f t="shared" si="46"/>
        <v>28471.260000000002</v>
      </c>
      <c r="S13" s="559">
        <v>6638.0700000000061</v>
      </c>
      <c r="T13" s="563">
        <v>7408.1799999999994</v>
      </c>
      <c r="U13" s="1458">
        <f t="shared" si="47"/>
        <v>35900.990000000042</v>
      </c>
      <c r="V13" s="1459">
        <f t="shared" si="48"/>
        <v>35879.440000000002</v>
      </c>
      <c r="W13" s="1795">
        <v>13174.49</v>
      </c>
      <c r="X13" s="563">
        <v>12735.030000000006</v>
      </c>
      <c r="Y13" s="5319">
        <f t="shared" si="35"/>
        <v>29034.435000000027</v>
      </c>
      <c r="Z13" s="5319">
        <f t="shared" si="35"/>
        <v>28339.140000000007</v>
      </c>
      <c r="AA13" s="5309">
        <f t="shared" si="36"/>
        <v>49075.48000000004</v>
      </c>
      <c r="AB13" s="5310">
        <f t="shared" si="36"/>
        <v>48614.470000000008</v>
      </c>
      <c r="AC13" s="559">
        <v>15172.55</v>
      </c>
      <c r="AD13" s="563">
        <v>15211.889999999996</v>
      </c>
      <c r="AE13" s="1458">
        <f t="shared" si="49"/>
        <v>64248.030000000042</v>
      </c>
      <c r="AF13" s="1459">
        <f t="shared" si="50"/>
        <v>63826.36</v>
      </c>
      <c r="AG13" s="559">
        <v>0</v>
      </c>
      <c r="AH13" s="563">
        <v>63.66</v>
      </c>
      <c r="AI13" s="1458">
        <f t="shared" si="51"/>
        <v>64248.030000000042</v>
      </c>
      <c r="AJ13" s="1459">
        <f t="shared" si="52"/>
        <v>63890.020000000004</v>
      </c>
      <c r="AK13" s="559">
        <v>10141.085000000015</v>
      </c>
      <c r="AL13" s="563">
        <v>9978.9400000000023</v>
      </c>
      <c r="AM13" s="1108">
        <f t="shared" si="37"/>
        <v>25313.635000000017</v>
      </c>
      <c r="AN13" s="1108">
        <f t="shared" si="38"/>
        <v>25254.489999999998</v>
      </c>
      <c r="AO13" s="1458">
        <f t="shared" si="53"/>
        <v>74389.115000000063</v>
      </c>
      <c r="AP13" s="1459">
        <f t="shared" si="54"/>
        <v>73868.960000000006</v>
      </c>
      <c r="AQ13" s="559">
        <v>11311.77000000003</v>
      </c>
      <c r="AR13" s="563">
        <v>11094.81</v>
      </c>
      <c r="AS13" s="1458">
        <f t="shared" si="60"/>
        <v>85700.885000000097</v>
      </c>
      <c r="AT13" s="1459">
        <f t="shared" si="55"/>
        <v>84963.77</v>
      </c>
      <c r="AU13" s="559">
        <v>8294.9450000000033</v>
      </c>
      <c r="AV13" s="563">
        <v>7065.4400000000023</v>
      </c>
      <c r="AW13" s="1458">
        <f t="shared" si="56"/>
        <v>93995.830000000104</v>
      </c>
      <c r="AX13" s="1459">
        <f t="shared" si="57"/>
        <v>92029.21</v>
      </c>
      <c r="AY13" s="559">
        <v>12979.250000000018</v>
      </c>
      <c r="AZ13" s="563">
        <v>13521.100000000002</v>
      </c>
      <c r="BA13" s="1108">
        <f t="shared" si="39"/>
        <v>32585.965000000051</v>
      </c>
      <c r="BB13" s="1108">
        <f t="shared" si="40"/>
        <v>31681.350000000002</v>
      </c>
      <c r="BC13" s="1631">
        <f t="shared" si="41"/>
        <v>57899.600000000064</v>
      </c>
      <c r="BD13" s="1631">
        <f t="shared" si="42"/>
        <v>56935.839999999997</v>
      </c>
      <c r="BE13" s="1458">
        <f t="shared" si="58"/>
        <v>106975.08000000012</v>
      </c>
      <c r="BF13" s="1459">
        <f t="shared" si="59"/>
        <v>105550.31000000001</v>
      </c>
      <c r="BG13" s="26"/>
      <c r="BH13" s="26"/>
      <c r="BI13" s="26"/>
      <c r="BJ13" s="26"/>
    </row>
    <row r="14" spans="3:62" ht="15.75" thickBot="1" x14ac:dyDescent="0.3">
      <c r="C14" s="7941"/>
      <c r="D14" s="2143" t="s">
        <v>1196</v>
      </c>
      <c r="E14" s="559">
        <v>8355.6899999999987</v>
      </c>
      <c r="F14" s="563">
        <v>8244.4799999999977</v>
      </c>
      <c r="G14" s="559">
        <v>9685.2300000000105</v>
      </c>
      <c r="H14" s="563">
        <v>9649.5299999999952</v>
      </c>
      <c r="I14" s="1458">
        <f t="shared" si="43"/>
        <v>18040.920000000009</v>
      </c>
      <c r="J14" s="1459">
        <f t="shared" si="44"/>
        <v>17894.009999999995</v>
      </c>
      <c r="K14" s="559">
        <v>7062.05800000001</v>
      </c>
      <c r="L14" s="563">
        <v>7473.5700000000006</v>
      </c>
      <c r="M14" s="5319">
        <f t="shared" si="34"/>
        <v>25102.978000000017</v>
      </c>
      <c r="N14" s="5326">
        <f t="shared" si="34"/>
        <v>25367.579999999994</v>
      </c>
      <c r="O14" s="559">
        <v>9885.755000000021</v>
      </c>
      <c r="P14" s="563">
        <v>7753.16</v>
      </c>
      <c r="Q14" s="1458">
        <f t="shared" si="45"/>
        <v>34988.733000000037</v>
      </c>
      <c r="R14" s="1459">
        <f t="shared" si="46"/>
        <v>33120.739999999991</v>
      </c>
      <c r="S14" s="559">
        <v>6986.1550000000079</v>
      </c>
      <c r="T14" s="563">
        <v>8531.5600000000013</v>
      </c>
      <c r="U14" s="1458">
        <f t="shared" si="47"/>
        <v>41974.888000000043</v>
      </c>
      <c r="V14" s="1459">
        <f t="shared" si="48"/>
        <v>41652.299999999988</v>
      </c>
      <c r="W14" s="1795">
        <v>1404.9149999999997</v>
      </c>
      <c r="X14" s="563">
        <v>1645.8000000000002</v>
      </c>
      <c r="Y14" s="5319">
        <f t="shared" si="35"/>
        <v>18276.82500000003</v>
      </c>
      <c r="Z14" s="5319">
        <f t="shared" si="35"/>
        <v>17930.52</v>
      </c>
      <c r="AA14" s="5309">
        <f t="shared" si="36"/>
        <v>43379.803000000044</v>
      </c>
      <c r="AB14" s="5310">
        <f t="shared" si="36"/>
        <v>43298.099999999991</v>
      </c>
      <c r="AC14" s="559">
        <v>8169.78</v>
      </c>
      <c r="AD14" s="563">
        <v>8195.2000000000007</v>
      </c>
      <c r="AE14" s="1458">
        <f t="shared" si="49"/>
        <v>51549.583000000042</v>
      </c>
      <c r="AF14" s="1459">
        <f t="shared" si="50"/>
        <v>51493.299999999988</v>
      </c>
      <c r="AG14" s="559">
        <v>1494.8950000000002</v>
      </c>
      <c r="AH14" s="563">
        <v>1487.46</v>
      </c>
      <c r="AI14" s="1458">
        <f t="shared" si="51"/>
        <v>53044.478000000039</v>
      </c>
      <c r="AJ14" s="1459">
        <f t="shared" si="52"/>
        <v>52980.759999999987</v>
      </c>
      <c r="AK14" s="559">
        <v>9599.7750000000106</v>
      </c>
      <c r="AL14" s="563">
        <v>9575.2900000000009</v>
      </c>
      <c r="AM14" s="1108">
        <f t="shared" si="37"/>
        <v>19264.450000000012</v>
      </c>
      <c r="AN14" s="1108">
        <f t="shared" si="38"/>
        <v>19257.95</v>
      </c>
      <c r="AO14" s="1458">
        <f t="shared" si="53"/>
        <v>62644.253000000048</v>
      </c>
      <c r="AP14" s="1459">
        <f t="shared" si="54"/>
        <v>62556.049999999988</v>
      </c>
      <c r="AQ14" s="559">
        <v>9831.3050000000112</v>
      </c>
      <c r="AR14" s="563">
        <v>9671.7299999999977</v>
      </c>
      <c r="AS14" s="1458">
        <f t="shared" si="60"/>
        <v>72475.558000000063</v>
      </c>
      <c r="AT14" s="1459">
        <f t="shared" si="55"/>
        <v>72227.779999999984</v>
      </c>
      <c r="AU14" s="559">
        <v>4459.2950000000001</v>
      </c>
      <c r="AV14" s="563">
        <v>1823.8900000000003</v>
      </c>
      <c r="AW14" s="1458">
        <f t="shared" si="56"/>
        <v>76934.853000000061</v>
      </c>
      <c r="AX14" s="1459">
        <f t="shared" si="57"/>
        <v>74051.669999999984</v>
      </c>
      <c r="AY14" s="559">
        <v>4327.2199999999993</v>
      </c>
      <c r="AZ14" s="563">
        <v>6921.8799999999974</v>
      </c>
      <c r="BA14" s="1108">
        <f t="shared" si="39"/>
        <v>18617.820000000011</v>
      </c>
      <c r="BB14" s="1108">
        <f t="shared" si="40"/>
        <v>18417.499999999996</v>
      </c>
      <c r="BC14" s="1631">
        <f t="shared" si="41"/>
        <v>37882.270000000019</v>
      </c>
      <c r="BD14" s="1631">
        <f t="shared" si="42"/>
        <v>37675.449999999997</v>
      </c>
      <c r="BE14" s="1458">
        <f t="shared" si="58"/>
        <v>81262.073000000062</v>
      </c>
      <c r="BF14" s="1459">
        <f t="shared" si="59"/>
        <v>80973.549999999988</v>
      </c>
      <c r="BG14" s="26"/>
      <c r="BH14" s="26"/>
      <c r="BI14" s="26"/>
      <c r="BJ14" s="26"/>
    </row>
    <row r="15" spans="3:62" ht="15.75" thickBot="1" x14ac:dyDescent="0.3">
      <c r="C15" s="7942"/>
      <c r="D15" s="2145" t="s">
        <v>2</v>
      </c>
      <c r="E15" s="567">
        <f t="shared" ref="E15:AJ15" si="61">SUM(E9:E14)</f>
        <v>31546.220000000012</v>
      </c>
      <c r="F15" s="558">
        <f t="shared" si="61"/>
        <v>27137.349999999991</v>
      </c>
      <c r="G15" s="567">
        <f t="shared" si="61"/>
        <v>29282.950000000026</v>
      </c>
      <c r="H15" s="558">
        <f t="shared" si="61"/>
        <v>29256.649999999991</v>
      </c>
      <c r="I15" s="1460">
        <f t="shared" si="61"/>
        <v>60829.170000000042</v>
      </c>
      <c r="J15" s="1461">
        <f t="shared" si="61"/>
        <v>56393.999999999985</v>
      </c>
      <c r="K15" s="1337">
        <f t="shared" si="61"/>
        <v>23975.393000000033</v>
      </c>
      <c r="L15" s="1337">
        <f t="shared" si="61"/>
        <v>23500.2</v>
      </c>
      <c r="M15" s="5322">
        <f t="shared" si="61"/>
        <v>84804.563000000067</v>
      </c>
      <c r="N15" s="5327">
        <f t="shared" si="61"/>
        <v>79894.199999999983</v>
      </c>
      <c r="O15" s="1337">
        <f t="shared" si="61"/>
        <v>24292.735000000041</v>
      </c>
      <c r="P15" s="558">
        <f t="shared" si="61"/>
        <v>22687.25</v>
      </c>
      <c r="Q15" s="1460">
        <f t="shared" si="61"/>
        <v>109097.29800000011</v>
      </c>
      <c r="R15" s="1461">
        <f t="shared" si="61"/>
        <v>102581.44999999998</v>
      </c>
      <c r="S15" s="1337">
        <f t="shared" si="61"/>
        <v>21617.730000000025</v>
      </c>
      <c r="T15" s="558">
        <f t="shared" si="61"/>
        <v>23834.28</v>
      </c>
      <c r="U15" s="1460">
        <f t="shared" si="61"/>
        <v>130715.02800000014</v>
      </c>
      <c r="V15" s="1461">
        <f t="shared" si="61"/>
        <v>126415.72999999998</v>
      </c>
      <c r="W15" s="1337">
        <f t="shared" si="61"/>
        <v>24613.715000000018</v>
      </c>
      <c r="X15" s="558">
        <f t="shared" si="61"/>
        <v>24355.420000000002</v>
      </c>
      <c r="Y15" s="5322">
        <f t="shared" si="61"/>
        <v>70524.18000000008</v>
      </c>
      <c r="Z15" s="5323">
        <f t="shared" si="61"/>
        <v>70876.950000000012</v>
      </c>
      <c r="AA15" s="5313">
        <f t="shared" si="61"/>
        <v>155328.74300000016</v>
      </c>
      <c r="AB15" s="5314">
        <f t="shared" si="61"/>
        <v>150771.14999999997</v>
      </c>
      <c r="AC15" s="1337">
        <f t="shared" si="61"/>
        <v>34364.19</v>
      </c>
      <c r="AD15" s="558">
        <f t="shared" si="61"/>
        <v>30518.909999999996</v>
      </c>
      <c r="AE15" s="1460">
        <f t="shared" si="61"/>
        <v>189692.93300000014</v>
      </c>
      <c r="AF15" s="1461">
        <f t="shared" si="61"/>
        <v>181290.06</v>
      </c>
      <c r="AG15" s="1337">
        <f t="shared" si="61"/>
        <v>1494.8950000000002</v>
      </c>
      <c r="AH15" s="558">
        <f t="shared" si="61"/>
        <v>5349.3899999999994</v>
      </c>
      <c r="AI15" s="1460">
        <f t="shared" si="61"/>
        <v>191187.82800000013</v>
      </c>
      <c r="AJ15" s="1461">
        <f t="shared" si="61"/>
        <v>186639.44999999998</v>
      </c>
      <c r="AK15" s="1337">
        <f t="shared" ref="AK15:BF15" si="62">SUM(AK9:AK14)</f>
        <v>33898.930000000044</v>
      </c>
      <c r="AL15" s="558">
        <f t="shared" si="62"/>
        <v>32266.760000000006</v>
      </c>
      <c r="AM15" s="1111">
        <f t="shared" si="62"/>
        <v>69758.015000000043</v>
      </c>
      <c r="AN15" s="1112">
        <f t="shared" si="62"/>
        <v>68135.06</v>
      </c>
      <c r="AO15" s="1460">
        <f t="shared" si="62"/>
        <v>225086.75800000021</v>
      </c>
      <c r="AP15" s="1461">
        <f t="shared" si="62"/>
        <v>218906.21</v>
      </c>
      <c r="AQ15" s="1337">
        <f t="shared" si="62"/>
        <v>35524.17500000009</v>
      </c>
      <c r="AR15" s="558">
        <f t="shared" si="62"/>
        <v>35555.61</v>
      </c>
      <c r="AS15" s="1460">
        <f t="shared" si="62"/>
        <v>260610.93300000031</v>
      </c>
      <c r="AT15" s="1461">
        <f t="shared" si="62"/>
        <v>254461.81999999995</v>
      </c>
      <c r="AU15" s="1337">
        <f t="shared" si="62"/>
        <v>28920.870000000039</v>
      </c>
      <c r="AV15" s="558">
        <f t="shared" si="62"/>
        <v>24725.090000000004</v>
      </c>
      <c r="AW15" s="1460">
        <f t="shared" si="62"/>
        <v>289531.80300000031</v>
      </c>
      <c r="AX15" s="1461">
        <f t="shared" si="62"/>
        <v>279186.90999999997</v>
      </c>
      <c r="AY15" s="1337">
        <f t="shared" si="62"/>
        <v>35285.180000000037</v>
      </c>
      <c r="AZ15" s="558">
        <f t="shared" si="62"/>
        <v>38693.64</v>
      </c>
      <c r="BA15" s="1111">
        <f t="shared" si="62"/>
        <v>99730.225000000151</v>
      </c>
      <c r="BB15" s="1112">
        <f t="shared" si="62"/>
        <v>98974.34</v>
      </c>
      <c r="BC15" s="1634">
        <f t="shared" si="62"/>
        <v>169488.24000000019</v>
      </c>
      <c r="BD15" s="1635">
        <f t="shared" si="62"/>
        <v>167109.4</v>
      </c>
      <c r="BE15" s="1460">
        <f t="shared" si="62"/>
        <v>324816.98300000036</v>
      </c>
      <c r="BF15" s="1461">
        <f t="shared" si="62"/>
        <v>317880.55</v>
      </c>
      <c r="BG15" s="26"/>
      <c r="BH15" s="26"/>
      <c r="BI15" s="26"/>
      <c r="BJ15" s="26"/>
    </row>
    <row r="16" spans="3:62" ht="19.5" thickBot="1" x14ac:dyDescent="0.3">
      <c r="C16" s="7930" t="s">
        <v>987</v>
      </c>
      <c r="D16" s="7931"/>
      <c r="E16" s="562">
        <f t="shared" ref="E16:AJ16" si="63">+E8+E15</f>
        <v>31546.220000000012</v>
      </c>
      <c r="F16" s="571">
        <f t="shared" si="63"/>
        <v>27137.349999999991</v>
      </c>
      <c r="G16" s="562">
        <f t="shared" si="63"/>
        <v>29282.950000000026</v>
      </c>
      <c r="H16" s="571">
        <f t="shared" si="63"/>
        <v>29256.649999999991</v>
      </c>
      <c r="I16" s="1117">
        <f t="shared" si="63"/>
        <v>60829.170000000042</v>
      </c>
      <c r="J16" s="1118">
        <f t="shared" si="63"/>
        <v>56393.999999999985</v>
      </c>
      <c r="K16" s="1338">
        <f t="shared" si="63"/>
        <v>23975.393000000033</v>
      </c>
      <c r="L16" s="562">
        <f t="shared" si="63"/>
        <v>23500.2</v>
      </c>
      <c r="M16" s="5324">
        <f t="shared" si="63"/>
        <v>84804.563000000067</v>
      </c>
      <c r="N16" s="5328">
        <f t="shared" si="63"/>
        <v>79894.199999999983</v>
      </c>
      <c r="O16" s="562">
        <f t="shared" si="63"/>
        <v>24292.735000000041</v>
      </c>
      <c r="P16" s="571">
        <f t="shared" si="63"/>
        <v>22687.25</v>
      </c>
      <c r="Q16" s="1117">
        <f t="shared" si="63"/>
        <v>109097.29800000011</v>
      </c>
      <c r="R16" s="1118">
        <f t="shared" si="63"/>
        <v>102581.44999999998</v>
      </c>
      <c r="S16" s="562">
        <f t="shared" si="63"/>
        <v>21617.730000000025</v>
      </c>
      <c r="T16" s="571">
        <f t="shared" si="63"/>
        <v>23834.28</v>
      </c>
      <c r="U16" s="1117">
        <f t="shared" si="63"/>
        <v>130715.02800000014</v>
      </c>
      <c r="V16" s="1118">
        <f t="shared" si="63"/>
        <v>126415.72999999998</v>
      </c>
      <c r="W16" s="562">
        <f t="shared" si="63"/>
        <v>24613.715000000018</v>
      </c>
      <c r="X16" s="571">
        <f t="shared" si="63"/>
        <v>24355.420000000002</v>
      </c>
      <c r="Y16" s="5324">
        <f t="shared" si="63"/>
        <v>70524.18000000008</v>
      </c>
      <c r="Z16" s="5325">
        <f t="shared" si="63"/>
        <v>70876.950000000012</v>
      </c>
      <c r="AA16" s="5315">
        <f t="shared" si="63"/>
        <v>155328.74300000016</v>
      </c>
      <c r="AB16" s="5316">
        <f t="shared" si="63"/>
        <v>150771.14999999997</v>
      </c>
      <c r="AC16" s="562">
        <f t="shared" si="63"/>
        <v>34364.19</v>
      </c>
      <c r="AD16" s="571">
        <f t="shared" si="63"/>
        <v>30518.909999999996</v>
      </c>
      <c r="AE16" s="1117">
        <f t="shared" si="63"/>
        <v>189692.93300000014</v>
      </c>
      <c r="AF16" s="1118">
        <f t="shared" si="63"/>
        <v>181290.06</v>
      </c>
      <c r="AG16" s="562">
        <f t="shared" si="63"/>
        <v>1494.8950000000002</v>
      </c>
      <c r="AH16" s="571">
        <f t="shared" si="63"/>
        <v>5349.3899999999994</v>
      </c>
      <c r="AI16" s="1117">
        <f t="shared" si="63"/>
        <v>191187.82800000013</v>
      </c>
      <c r="AJ16" s="1118">
        <f t="shared" si="63"/>
        <v>186639.44999999998</v>
      </c>
      <c r="AK16" s="562">
        <f t="shared" ref="AK16:BF16" si="64">+AK8+AK15</f>
        <v>33898.930000000044</v>
      </c>
      <c r="AL16" s="571">
        <f t="shared" si="64"/>
        <v>32266.760000000006</v>
      </c>
      <c r="AM16" s="1113">
        <f t="shared" si="64"/>
        <v>69758.015000000043</v>
      </c>
      <c r="AN16" s="1114">
        <f t="shared" si="64"/>
        <v>68135.06</v>
      </c>
      <c r="AO16" s="1117">
        <f t="shared" si="64"/>
        <v>225086.75800000021</v>
      </c>
      <c r="AP16" s="1118">
        <f t="shared" si="64"/>
        <v>218906.21</v>
      </c>
      <c r="AQ16" s="562">
        <f t="shared" si="64"/>
        <v>35524.17500000009</v>
      </c>
      <c r="AR16" s="571">
        <f t="shared" si="64"/>
        <v>35555.61</v>
      </c>
      <c r="AS16" s="1117">
        <f t="shared" si="64"/>
        <v>260610.93300000031</v>
      </c>
      <c r="AT16" s="1118">
        <f t="shared" si="64"/>
        <v>254461.81999999995</v>
      </c>
      <c r="AU16" s="562">
        <f t="shared" si="64"/>
        <v>28920.870000000039</v>
      </c>
      <c r="AV16" s="571">
        <f t="shared" si="64"/>
        <v>24725.090000000004</v>
      </c>
      <c r="AW16" s="1117">
        <f t="shared" si="64"/>
        <v>289531.80300000031</v>
      </c>
      <c r="AX16" s="1118">
        <f t="shared" si="64"/>
        <v>279186.90999999997</v>
      </c>
      <c r="AY16" s="562">
        <f t="shared" si="64"/>
        <v>35285.180000000037</v>
      </c>
      <c r="AZ16" s="571">
        <f t="shared" si="64"/>
        <v>38693.64</v>
      </c>
      <c r="BA16" s="1113">
        <f t="shared" si="64"/>
        <v>99730.225000000151</v>
      </c>
      <c r="BB16" s="1114">
        <f t="shared" si="64"/>
        <v>98974.34</v>
      </c>
      <c r="BC16" s="1636">
        <f t="shared" si="64"/>
        <v>169488.24000000019</v>
      </c>
      <c r="BD16" s="1637">
        <f t="shared" si="64"/>
        <v>167109.4</v>
      </c>
      <c r="BE16" s="1117">
        <f t="shared" si="64"/>
        <v>324816.98300000036</v>
      </c>
      <c r="BF16" s="1118">
        <f t="shared" si="64"/>
        <v>317880.55</v>
      </c>
      <c r="BG16" s="26"/>
      <c r="BH16" s="26"/>
      <c r="BI16" s="26"/>
      <c r="BJ16" s="26"/>
    </row>
    <row r="18" spans="4:26" x14ac:dyDescent="0.25">
      <c r="Z18" s="26"/>
    </row>
    <row r="19" spans="4:26" x14ac:dyDescent="0.25">
      <c r="Z19" s="26"/>
    </row>
    <row r="20" spans="4:26" ht="23.25" hidden="1" x14ac:dyDescent="0.35">
      <c r="D20" s="7929" t="s">
        <v>1106</v>
      </c>
      <c r="E20" s="7929"/>
      <c r="F20" s="7929"/>
      <c r="G20" s="7929"/>
      <c r="H20" s="7929"/>
      <c r="I20" s="7929"/>
      <c r="J20" s="7929"/>
      <c r="K20" s="7929"/>
      <c r="L20" s="7929"/>
      <c r="M20" s="7929"/>
      <c r="N20" s="7929"/>
      <c r="O20" s="7929"/>
      <c r="P20" s="7929"/>
      <c r="Q20" s="7929"/>
      <c r="R20" s="7929"/>
      <c r="S20" s="7929"/>
      <c r="T20" s="7929"/>
    </row>
    <row r="21" spans="4:26" hidden="1" x14ac:dyDescent="0.25"/>
    <row r="22" spans="4:26" hidden="1" x14ac:dyDescent="0.25">
      <c r="D22" s="184"/>
      <c r="E22" s="184"/>
      <c r="F22" s="274" t="s">
        <v>967</v>
      </c>
      <c r="G22" s="274" t="s">
        <v>990</v>
      </c>
      <c r="H22" s="274" t="s">
        <v>994</v>
      </c>
      <c r="I22" s="274"/>
      <c r="J22" s="274"/>
      <c r="K22" s="274" t="s">
        <v>637</v>
      </c>
      <c r="L22" s="274" t="s">
        <v>1003</v>
      </c>
      <c r="M22" s="274" t="s">
        <v>1025</v>
      </c>
      <c r="N22" s="274" t="s">
        <v>1074</v>
      </c>
      <c r="O22" s="274" t="s">
        <v>660</v>
      </c>
      <c r="P22" s="274" t="s">
        <v>657</v>
      </c>
      <c r="Q22" s="274"/>
      <c r="R22" s="274"/>
      <c r="S22" s="274" t="s">
        <v>1101</v>
      </c>
      <c r="T22" s="274" t="s">
        <v>1102</v>
      </c>
    </row>
    <row r="23" spans="4:26" hidden="1" x14ac:dyDescent="0.25">
      <c r="D23" s="184" t="s">
        <v>972</v>
      </c>
      <c r="E23" s="184" t="s">
        <v>66</v>
      </c>
      <c r="F23" s="351">
        <v>0</v>
      </c>
      <c r="G23" s="351">
        <v>0</v>
      </c>
      <c r="H23" s="351">
        <v>1279.2</v>
      </c>
      <c r="I23" s="351"/>
      <c r="J23" s="351"/>
      <c r="K23" s="351">
        <f>SUM(F23:H23)</f>
        <v>1279.2</v>
      </c>
      <c r="L23" s="351">
        <v>0</v>
      </c>
      <c r="M23" s="351">
        <v>850.75</v>
      </c>
      <c r="N23" s="351">
        <v>1435</v>
      </c>
      <c r="O23" s="351">
        <f>SUM(L23:N23)</f>
        <v>2285.75</v>
      </c>
      <c r="P23" s="351">
        <f>+O23+K23</f>
        <v>3564.95</v>
      </c>
      <c r="Q23" s="351"/>
      <c r="R23" s="351"/>
      <c r="S23" s="351">
        <v>988.1</v>
      </c>
      <c r="T23" s="351">
        <f>P23+S23</f>
        <v>4553.05</v>
      </c>
    </row>
    <row r="24" spans="4:26" hidden="1" x14ac:dyDescent="0.25">
      <c r="D24" s="184" t="s">
        <v>975</v>
      </c>
      <c r="E24" s="184" t="s">
        <v>66</v>
      </c>
      <c r="F24" s="351">
        <v>516.12</v>
      </c>
      <c r="G24" s="351">
        <v>332.09999999999997</v>
      </c>
      <c r="H24" s="351">
        <v>0</v>
      </c>
      <c r="I24" s="351"/>
      <c r="J24" s="351"/>
      <c r="K24" s="351">
        <f t="shared" ref="K24:K30" si="65">SUM(F24:H24)</f>
        <v>848.22</v>
      </c>
      <c r="L24" s="351">
        <v>0</v>
      </c>
      <c r="M24" s="351">
        <v>0</v>
      </c>
      <c r="N24" s="351">
        <v>529</v>
      </c>
      <c r="O24" s="351">
        <f t="shared" ref="O24:O30" si="66">SUM(L24:N24)</f>
        <v>529</v>
      </c>
      <c r="P24" s="351">
        <f t="shared" ref="P24:P30" si="67">+O24+K24</f>
        <v>1377.22</v>
      </c>
      <c r="Q24" s="351"/>
      <c r="R24" s="351"/>
      <c r="S24" s="351">
        <v>740.05</v>
      </c>
      <c r="T24" s="351">
        <f t="shared" ref="T24:T29" si="68">P24+S24</f>
        <v>2117.27</v>
      </c>
    </row>
    <row r="25" spans="4:26" hidden="1" x14ac:dyDescent="0.25">
      <c r="D25" s="184" t="s">
        <v>974</v>
      </c>
      <c r="E25" s="184" t="s">
        <v>66</v>
      </c>
      <c r="F25" s="351">
        <v>367.24799999999999</v>
      </c>
      <c r="G25" s="351">
        <v>0</v>
      </c>
      <c r="H25" s="351">
        <v>393.6</v>
      </c>
      <c r="I25" s="351"/>
      <c r="J25" s="351"/>
      <c r="K25" s="351">
        <f t="shared" si="65"/>
        <v>760.84799999999996</v>
      </c>
      <c r="L25" s="351">
        <v>1521.1</v>
      </c>
      <c r="M25" s="351">
        <v>742.09999999999991</v>
      </c>
      <c r="N25" s="351">
        <v>845</v>
      </c>
      <c r="O25" s="351">
        <f t="shared" si="66"/>
        <v>3108.2</v>
      </c>
      <c r="P25" s="351">
        <f t="shared" si="67"/>
        <v>3869.0479999999998</v>
      </c>
      <c r="Q25" s="351"/>
      <c r="R25" s="351"/>
      <c r="S25" s="351">
        <v>1566.2</v>
      </c>
      <c r="T25" s="351">
        <f t="shared" si="68"/>
        <v>5435.2479999999996</v>
      </c>
    </row>
    <row r="26" spans="4:26" hidden="1" x14ac:dyDescent="0.25">
      <c r="D26" s="184" t="s">
        <v>976</v>
      </c>
      <c r="E26" s="184" t="s">
        <v>66</v>
      </c>
      <c r="F26" s="351">
        <v>1028.192</v>
      </c>
      <c r="G26" s="351">
        <v>313.64999999999998</v>
      </c>
      <c r="H26" s="351">
        <v>1558</v>
      </c>
      <c r="I26" s="351"/>
      <c r="J26" s="351"/>
      <c r="K26" s="351">
        <f t="shared" si="65"/>
        <v>2899.8420000000001</v>
      </c>
      <c r="L26" s="351">
        <v>1033.1999999999998</v>
      </c>
      <c r="M26" s="351">
        <v>491.99999999999994</v>
      </c>
      <c r="N26" s="351">
        <v>759</v>
      </c>
      <c r="O26" s="351">
        <f t="shared" si="66"/>
        <v>2284.1999999999998</v>
      </c>
      <c r="P26" s="351">
        <f t="shared" si="67"/>
        <v>5184.0419999999995</v>
      </c>
      <c r="Q26" s="351"/>
      <c r="R26" s="351"/>
      <c r="S26" s="351">
        <v>1221.8</v>
      </c>
      <c r="T26" s="351">
        <f t="shared" si="68"/>
        <v>6405.8419999999996</v>
      </c>
    </row>
    <row r="27" spans="4:26" hidden="1" x14ac:dyDescent="0.25">
      <c r="D27" s="184" t="s">
        <v>991</v>
      </c>
      <c r="E27" s="184" t="s">
        <v>66</v>
      </c>
      <c r="F27" s="351">
        <v>0</v>
      </c>
      <c r="G27" s="351">
        <v>143.5</v>
      </c>
      <c r="H27" s="351">
        <v>0</v>
      </c>
      <c r="I27" s="351"/>
      <c r="J27" s="351"/>
      <c r="K27" s="351">
        <f t="shared" si="65"/>
        <v>143.5</v>
      </c>
      <c r="L27" s="351">
        <v>0</v>
      </c>
      <c r="M27" s="351">
        <v>0</v>
      </c>
      <c r="N27" s="351">
        <v>0</v>
      </c>
      <c r="O27" s="351">
        <f t="shared" si="66"/>
        <v>0</v>
      </c>
      <c r="P27" s="351">
        <f t="shared" si="67"/>
        <v>143.5</v>
      </c>
      <c r="Q27" s="351"/>
      <c r="R27" s="351"/>
      <c r="S27" s="351">
        <v>0</v>
      </c>
      <c r="T27" s="351">
        <f t="shared" si="68"/>
        <v>143.5</v>
      </c>
    </row>
    <row r="28" spans="4:26" hidden="1" x14ac:dyDescent="0.25">
      <c r="D28" s="184" t="s">
        <v>977</v>
      </c>
      <c r="E28" s="184" t="s">
        <v>66</v>
      </c>
      <c r="F28" s="351">
        <v>42.84</v>
      </c>
      <c r="G28" s="351">
        <v>0</v>
      </c>
      <c r="H28" s="351">
        <v>0</v>
      </c>
      <c r="I28" s="351"/>
      <c r="J28" s="351"/>
      <c r="K28" s="351">
        <f t="shared" si="65"/>
        <v>42.84</v>
      </c>
      <c r="L28" s="351">
        <v>0</v>
      </c>
      <c r="M28" s="351">
        <v>153.75</v>
      </c>
      <c r="N28" s="351">
        <v>0</v>
      </c>
      <c r="O28" s="351">
        <f t="shared" si="66"/>
        <v>153.75</v>
      </c>
      <c r="P28" s="351">
        <f t="shared" si="67"/>
        <v>196.59</v>
      </c>
      <c r="Q28" s="351"/>
      <c r="R28" s="351"/>
      <c r="S28" s="351">
        <v>0</v>
      </c>
      <c r="T28" s="351">
        <f t="shared" si="68"/>
        <v>196.59</v>
      </c>
    </row>
    <row r="29" spans="4:26" hidden="1" x14ac:dyDescent="0.25">
      <c r="D29" s="184" t="s">
        <v>922</v>
      </c>
      <c r="E29" s="184" t="s">
        <v>66</v>
      </c>
      <c r="F29" s="351">
        <v>2756.5039999999999</v>
      </c>
      <c r="G29" s="351">
        <v>3013.4999999999995</v>
      </c>
      <c r="H29" s="351">
        <v>6814.2</v>
      </c>
      <c r="I29" s="351"/>
      <c r="J29" s="351"/>
      <c r="K29" s="351">
        <f t="shared" si="65"/>
        <v>12584.203999999998</v>
      </c>
      <c r="L29" s="351">
        <v>5334.0999999999995</v>
      </c>
      <c r="M29" s="351">
        <v>6262.75</v>
      </c>
      <c r="N29" s="351">
        <v>9301</v>
      </c>
      <c r="O29" s="351">
        <f t="shared" si="66"/>
        <v>20897.849999999999</v>
      </c>
      <c r="P29" s="351">
        <f t="shared" si="67"/>
        <v>33482.053999999996</v>
      </c>
      <c r="Q29" s="351"/>
      <c r="R29" s="351"/>
      <c r="S29" s="351">
        <v>7052</v>
      </c>
      <c r="T29" s="351">
        <f t="shared" si="68"/>
        <v>40534.053999999996</v>
      </c>
    </row>
    <row r="30" spans="4:26" ht="18.75" hidden="1" x14ac:dyDescent="0.3">
      <c r="D30" s="1050" t="s">
        <v>2</v>
      </c>
      <c r="E30" s="1050"/>
      <c r="F30" s="1051">
        <f>SUM(F23:F29)</f>
        <v>4710.9039999999995</v>
      </c>
      <c r="G30" s="1051">
        <f t="shared" ref="G30:S30" si="69">SUM(G23:G29)</f>
        <v>3802.7499999999995</v>
      </c>
      <c r="H30" s="1051">
        <f t="shared" si="69"/>
        <v>10045</v>
      </c>
      <c r="I30" s="1051"/>
      <c r="J30" s="1051"/>
      <c r="K30" s="1051">
        <f t="shared" si="65"/>
        <v>18558.653999999999</v>
      </c>
      <c r="L30" s="1051">
        <f t="shared" si="69"/>
        <v>7888.4</v>
      </c>
      <c r="M30" s="1051">
        <f t="shared" si="69"/>
        <v>8501.35</v>
      </c>
      <c r="N30" s="1051">
        <f t="shared" si="69"/>
        <v>12869</v>
      </c>
      <c r="O30" s="1051">
        <f t="shared" si="66"/>
        <v>29258.75</v>
      </c>
      <c r="P30" s="1051">
        <f t="shared" si="67"/>
        <v>47817.403999999995</v>
      </c>
      <c r="Q30" s="1051"/>
      <c r="R30" s="1051"/>
      <c r="S30" s="1051">
        <f t="shared" si="69"/>
        <v>11568.150000000001</v>
      </c>
      <c r="T30" s="1051">
        <f>SUM(T23:T29)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0:T20"/>
    <mergeCell ref="C16:D16"/>
    <mergeCell ref="S3:T3"/>
    <mergeCell ref="O3:P3"/>
    <mergeCell ref="E3:F3"/>
    <mergeCell ref="C5:C8"/>
    <mergeCell ref="I3:J3"/>
    <mergeCell ref="K3:L3"/>
    <mergeCell ref="M3:N3"/>
    <mergeCell ref="Q3:R3"/>
    <mergeCell ref="AA3:AB3"/>
    <mergeCell ref="C9:C15"/>
  </mergeCells>
  <printOptions horizontalCentered="1" verticalCentered="1"/>
  <pageMargins left="0" right="0" top="0" bottom="0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D1" workbookViewId="0">
      <selection activeCell="H3" sqref="H3:I3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customWidth="1"/>
    <col min="12" max="12" width="2.7109375" hidden="1" customWidth="1"/>
    <col min="13" max="13" width="11.140625" hidden="1" customWidth="1"/>
    <col min="14" max="14" width="2.7109375" hidden="1" customWidth="1"/>
    <col min="15" max="15" width="10.28515625" hidden="1" customWidth="1"/>
    <col min="16" max="16" width="2.7109375" hidden="1" customWidth="1"/>
    <col min="17" max="17" width="10" hidden="1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hidden="1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hidden="1" customWidth="1"/>
    <col min="26" max="26" width="2.7109375" hidden="1" customWidth="1"/>
    <col min="27" max="27" width="8.85546875" hidden="1" customWidth="1"/>
    <col min="28" max="28" width="2.7109375" hidden="1" customWidth="1"/>
    <col min="29" max="29" width="8.42578125" hidden="1" customWidth="1"/>
    <col min="30" max="32" width="9.140625" hidden="1" customWidth="1"/>
    <col min="33" max="33" width="9.85546875" hidden="1" customWidth="1"/>
    <col min="34" max="36" width="9.140625" hidden="1" customWidth="1"/>
    <col min="37" max="37" width="9.85546875" hidden="1" customWidth="1"/>
    <col min="38" max="39" width="9.140625" hidden="1" customWidth="1"/>
    <col min="40" max="41" width="9.140625" style="2757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109" hidden="1" customWidth="1"/>
    <col min="57" max="57" width="9.85546875" style="3109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7943" t="s">
        <v>1891</v>
      </c>
      <c r="E2" s="7943"/>
      <c r="F2" s="7943"/>
      <c r="G2" s="7943"/>
      <c r="H2" s="7943"/>
      <c r="I2" s="7943"/>
      <c r="J2" s="7943"/>
      <c r="K2" s="7943"/>
      <c r="L2" s="7943"/>
      <c r="M2" s="7943"/>
      <c r="N2" s="7943"/>
      <c r="O2" s="7943"/>
      <c r="P2" s="7943"/>
      <c r="Q2" s="7943"/>
      <c r="R2" s="7943"/>
      <c r="S2" s="7943"/>
      <c r="T2" s="7943"/>
      <c r="U2" s="7943"/>
      <c r="V2" s="7943"/>
      <c r="W2" s="7943"/>
      <c r="X2" s="7943"/>
      <c r="Y2" s="7943"/>
      <c r="Z2" s="7943"/>
      <c r="AA2" s="7943"/>
      <c r="AB2" s="7943"/>
      <c r="AC2" s="7943"/>
      <c r="AD2" s="7943"/>
      <c r="AE2" s="7943"/>
      <c r="AF2" s="7943"/>
      <c r="AG2" s="7943"/>
      <c r="AH2" s="7943"/>
      <c r="AI2" s="7943"/>
      <c r="AJ2" s="7943"/>
      <c r="AK2" s="7943"/>
    </row>
    <row r="3" spans="4:65" s="33" customFormat="1" ht="18.75" x14ac:dyDescent="0.25">
      <c r="D3" s="1176"/>
      <c r="E3" s="1177"/>
      <c r="F3" s="7944" t="s">
        <v>2290</v>
      </c>
      <c r="G3" s="7945"/>
      <c r="H3" s="7944" t="s">
        <v>2306</v>
      </c>
      <c r="I3" s="7945"/>
      <c r="J3" s="7946" t="s">
        <v>658</v>
      </c>
      <c r="K3" s="7947"/>
      <c r="L3" s="7944" t="s">
        <v>1903</v>
      </c>
      <c r="M3" s="7945"/>
      <c r="N3" s="7948" t="s">
        <v>637</v>
      </c>
      <c r="O3" s="7949"/>
      <c r="P3" s="7944" t="s">
        <v>1937</v>
      </c>
      <c r="Q3" s="7945"/>
      <c r="R3" s="7946" t="s">
        <v>651</v>
      </c>
      <c r="S3" s="7947"/>
      <c r="T3" s="7944" t="s">
        <v>1961</v>
      </c>
      <c r="U3" s="7945"/>
      <c r="V3" s="7946" t="s">
        <v>18</v>
      </c>
      <c r="W3" s="7947"/>
      <c r="X3" s="7944" t="s">
        <v>1983</v>
      </c>
      <c r="Y3" s="7945"/>
      <c r="Z3" s="7948" t="s">
        <v>660</v>
      </c>
      <c r="AA3" s="7949"/>
      <c r="AB3" s="7950" t="s">
        <v>657</v>
      </c>
      <c r="AC3" s="7951"/>
      <c r="AD3" s="7944" t="s">
        <v>2002</v>
      </c>
      <c r="AE3" s="7945"/>
      <c r="AF3" s="7946" t="s">
        <v>24</v>
      </c>
      <c r="AG3" s="7947"/>
      <c r="AH3" s="7944" t="s">
        <v>2018</v>
      </c>
      <c r="AI3" s="7945"/>
      <c r="AJ3" s="7946" t="s">
        <v>27</v>
      </c>
      <c r="AK3" s="7947"/>
      <c r="AL3" s="7944" t="s">
        <v>2033</v>
      </c>
      <c r="AM3" s="7945"/>
      <c r="AN3" s="7948" t="s">
        <v>662</v>
      </c>
      <c r="AO3" s="7949"/>
      <c r="AP3" s="7946" t="s">
        <v>1683</v>
      </c>
      <c r="AQ3" s="7947"/>
      <c r="AR3" s="7944" t="s">
        <v>2137</v>
      </c>
      <c r="AS3" s="7945"/>
      <c r="AT3" s="7946" t="s">
        <v>28</v>
      </c>
      <c r="AU3" s="7947"/>
      <c r="AV3" s="7944" t="s">
        <v>2151</v>
      </c>
      <c r="AW3" s="7945"/>
      <c r="AX3" s="7946" t="s">
        <v>30</v>
      </c>
      <c r="AY3" s="7947"/>
      <c r="AZ3" s="7944" t="s">
        <v>2163</v>
      </c>
      <c r="BA3" s="7945"/>
      <c r="BB3" s="7948" t="s">
        <v>663</v>
      </c>
      <c r="BC3" s="7949"/>
      <c r="BD3" s="7950" t="s">
        <v>671</v>
      </c>
      <c r="BE3" s="7951"/>
      <c r="BF3" s="7946" t="s">
        <v>1765</v>
      </c>
      <c r="BG3" s="7947"/>
    </row>
    <row r="4" spans="4:65" ht="18.75" x14ac:dyDescent="0.3">
      <c r="D4" s="1178" t="s">
        <v>972</v>
      </c>
      <c r="E4" s="7952" t="s">
        <v>66</v>
      </c>
      <c r="F4" s="1121"/>
      <c r="G4" s="1121">
        <f>+'Value added steel '!G12</f>
        <v>1096.75</v>
      </c>
      <c r="H4" s="1121"/>
      <c r="I4" s="1121">
        <f>+'Value added steel '!I12</f>
        <v>223.45000000000002</v>
      </c>
      <c r="J4" s="629"/>
      <c r="K4" s="629">
        <f>+G4+I4</f>
        <v>1320.2</v>
      </c>
      <c r="L4" s="1121"/>
      <c r="M4" s="1121">
        <f>+'Value added steel '!M12</f>
        <v>0</v>
      </c>
      <c r="N4" s="633"/>
      <c r="O4" s="633">
        <f>+G4+I4+M4</f>
        <v>1320.2</v>
      </c>
      <c r="P4" s="1121"/>
      <c r="Q4" s="1121">
        <f>+'Value added steel '!Q12</f>
        <v>832.30000000000007</v>
      </c>
      <c r="R4" s="629"/>
      <c r="S4" s="629">
        <f>+O4+Q4</f>
        <v>2152.5</v>
      </c>
      <c r="T4" s="1121"/>
      <c r="U4" s="1121">
        <f>+'Value added steel '!U12</f>
        <v>1031.1499999999999</v>
      </c>
      <c r="V4" s="629"/>
      <c r="W4" s="629">
        <f>+S4+U4</f>
        <v>3183.6499999999996</v>
      </c>
      <c r="X4" s="1121"/>
      <c r="Y4" s="1121">
        <f>+'Value added steel '!Y12</f>
        <v>957.34999999999991</v>
      </c>
      <c r="Z4" s="633"/>
      <c r="AA4" s="633">
        <f>+Q4+U4+Y4</f>
        <v>2820.7999999999997</v>
      </c>
      <c r="AB4" s="1175"/>
      <c r="AC4" s="1175">
        <f>+O4+AA4</f>
        <v>4141</v>
      </c>
      <c r="AD4" s="1121"/>
      <c r="AE4" s="1121">
        <f>+'Value added steel '!AE12</f>
        <v>770.80000000000018</v>
      </c>
      <c r="AF4" s="629"/>
      <c r="AG4" s="629">
        <f>+AC4+AE4</f>
        <v>4911.8</v>
      </c>
      <c r="AH4" s="1121"/>
      <c r="AI4" s="1121">
        <f>+'Value added steel '!AI12</f>
        <v>0</v>
      </c>
      <c r="AJ4" s="629"/>
      <c r="AK4" s="629">
        <f>+AG4+AI4</f>
        <v>4911.8</v>
      </c>
      <c r="AL4" s="1121"/>
      <c r="AM4" s="1121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5926.55</v>
      </c>
      <c r="AR4" s="1121"/>
      <c r="AS4" s="1121">
        <f>+'Value added steel '!AS12</f>
        <v>1070.1000000000004</v>
      </c>
      <c r="AT4" s="629"/>
      <c r="AU4" s="629">
        <f>+AQ4+AS4</f>
        <v>6996.6500000000005</v>
      </c>
      <c r="AV4" s="1121"/>
      <c r="AW4" s="1121">
        <f>+'Value added steel '!AW12</f>
        <v>604.75</v>
      </c>
      <c r="AX4" s="629"/>
      <c r="AY4" s="629">
        <f>+AU4+AW4</f>
        <v>7601.4000000000005</v>
      </c>
      <c r="AZ4" s="1121"/>
      <c r="BA4" s="1121">
        <f>+'Value added steel '!BA12</f>
        <v>104.55</v>
      </c>
      <c r="BB4" s="633"/>
      <c r="BC4" s="633">
        <f>+AS4+AW4+BA4</f>
        <v>1779.4000000000003</v>
      </c>
      <c r="BD4" s="1175"/>
      <c r="BE4" s="1175">
        <f>+AO4+BC4</f>
        <v>3564.9500000000007</v>
      </c>
      <c r="BF4" s="629"/>
      <c r="BG4" s="629">
        <f>+AY4+BA4</f>
        <v>7705.9500000000007</v>
      </c>
      <c r="BH4" s="26"/>
      <c r="BI4" s="26"/>
    </row>
    <row r="5" spans="4:65" s="2631" customFormat="1" ht="18.75" x14ac:dyDescent="0.3">
      <c r="D5" s="1178" t="s">
        <v>1648</v>
      </c>
      <c r="E5" s="7953"/>
      <c r="F5" s="1121"/>
      <c r="G5" s="1121">
        <f>+'Value added steel '!G13</f>
        <v>0</v>
      </c>
      <c r="H5" s="1121"/>
      <c r="I5" s="1121">
        <f>+'Value added steel '!I13</f>
        <v>0</v>
      </c>
      <c r="J5" s="629"/>
      <c r="K5" s="629">
        <f t="shared" ref="K5:K15" si="0">+G5+I5</f>
        <v>0</v>
      </c>
      <c r="L5" s="1121"/>
      <c r="M5" s="1121">
        <f>+'Value added steel '!M13</f>
        <v>0</v>
      </c>
      <c r="N5" s="633"/>
      <c r="O5" s="633">
        <f t="shared" ref="O5:O15" si="1">+G5+I5+M5</f>
        <v>0</v>
      </c>
      <c r="P5" s="1121"/>
      <c r="Q5" s="1121">
        <f>+'Value added steel '!Q13</f>
        <v>0</v>
      </c>
      <c r="R5" s="629"/>
      <c r="S5" s="629">
        <f t="shared" ref="S5:S15" si="2">+O5+Q5</f>
        <v>0</v>
      </c>
      <c r="T5" s="1121"/>
      <c r="U5" s="1121">
        <f>+'Value added steel '!U13</f>
        <v>0</v>
      </c>
      <c r="V5" s="629"/>
      <c r="W5" s="629">
        <f t="shared" ref="W5:W15" si="3">+S5+U5</f>
        <v>0</v>
      </c>
      <c r="X5" s="1121"/>
      <c r="Y5" s="1121">
        <f>+'Value added steel '!Y13</f>
        <v>0</v>
      </c>
      <c r="Z5" s="633"/>
      <c r="AA5" s="633">
        <f t="shared" ref="AA5:AA15" si="4">+Q5+U5+Y5</f>
        <v>0</v>
      </c>
      <c r="AB5" s="1175"/>
      <c r="AC5" s="1175">
        <f t="shared" ref="AC5:AC15" si="5">+O5+AA5</f>
        <v>0</v>
      </c>
      <c r="AD5" s="1121"/>
      <c r="AE5" s="1121">
        <f>+'Value added steel '!AE13</f>
        <v>0</v>
      </c>
      <c r="AF5" s="629"/>
      <c r="AG5" s="629">
        <f t="shared" ref="AG5:AG13" si="6">+AC5+AE5</f>
        <v>0</v>
      </c>
      <c r="AH5" s="1121"/>
      <c r="AI5" s="1121">
        <f>+'Value added steel '!AI13</f>
        <v>0</v>
      </c>
      <c r="AJ5" s="629"/>
      <c r="AK5" s="629">
        <f t="shared" ref="AK5:AK15" si="7">+AG5+AI5</f>
        <v>0</v>
      </c>
      <c r="AL5" s="1121"/>
      <c r="AM5" s="1121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21"/>
      <c r="AS5" s="1121">
        <f>+'Value added steel '!AS13</f>
        <v>0</v>
      </c>
      <c r="AT5" s="629"/>
      <c r="AU5" s="629">
        <f t="shared" ref="AU5:AU14" si="10">+AQ5+AS5</f>
        <v>0</v>
      </c>
      <c r="AV5" s="1121"/>
      <c r="AW5" s="1121">
        <f>+'Value added steel '!AW13</f>
        <v>0</v>
      </c>
      <c r="AX5" s="629"/>
      <c r="AY5" s="629">
        <f t="shared" ref="AY5:AY15" si="11">+AU5+AW5</f>
        <v>0</v>
      </c>
      <c r="AZ5" s="1121"/>
      <c r="BA5" s="1121">
        <f>+'Value added steel '!BA13</f>
        <v>0</v>
      </c>
      <c r="BB5" s="633"/>
      <c r="BC5" s="633">
        <f t="shared" ref="BC5:BC12" si="12">+AS5+AW5+BA5</f>
        <v>0</v>
      </c>
      <c r="BD5" s="1175"/>
      <c r="BE5" s="1175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</row>
    <row r="6" spans="4:65" s="5172" customFormat="1" ht="18.75" x14ac:dyDescent="0.3">
      <c r="D6" s="1178" t="s">
        <v>975</v>
      </c>
      <c r="E6" s="7953"/>
      <c r="F6" s="5891"/>
      <c r="G6" s="1121">
        <f>+'Value added steel '!G14</f>
        <v>559.65</v>
      </c>
      <c r="H6" s="5891"/>
      <c r="I6" s="1121">
        <f>+'Value added steel '!I14</f>
        <v>565.79999999999995</v>
      </c>
      <c r="J6" s="5892"/>
      <c r="K6" s="629">
        <f t="shared" si="0"/>
        <v>1125.4499999999998</v>
      </c>
      <c r="L6" s="5891"/>
      <c r="M6" s="1121">
        <f>+'Value added steel '!M14</f>
        <v>0</v>
      </c>
      <c r="N6" s="5893"/>
      <c r="O6" s="633">
        <f t="shared" si="1"/>
        <v>1125.4499999999998</v>
      </c>
      <c r="P6" s="5891"/>
      <c r="Q6" s="1121">
        <f>+'Value added steel '!Q14</f>
        <v>106.60000000000001</v>
      </c>
      <c r="R6" s="5892"/>
      <c r="S6" s="5892"/>
      <c r="T6" s="5891"/>
      <c r="U6" s="1121">
        <f>+'Value added steel '!U14</f>
        <v>606.79999999999995</v>
      </c>
      <c r="V6" s="5892"/>
      <c r="W6" s="5892"/>
      <c r="X6" s="5891"/>
      <c r="Y6" s="1121">
        <f>+'Value added steel '!Y14</f>
        <v>1316.1000000000001</v>
      </c>
      <c r="Z6" s="5893"/>
      <c r="AA6" s="633">
        <f t="shared" si="4"/>
        <v>2029.5</v>
      </c>
      <c r="AB6" s="5894"/>
      <c r="AC6" s="1175">
        <f t="shared" si="5"/>
        <v>3154.95</v>
      </c>
      <c r="AD6" s="5891"/>
      <c r="AE6" s="1121">
        <f>+'Value added steel '!AE14</f>
        <v>287</v>
      </c>
      <c r="AF6" s="5892"/>
      <c r="AG6" s="629">
        <f t="shared" si="6"/>
        <v>3441.95</v>
      </c>
      <c r="AH6" s="5891"/>
      <c r="AI6" s="1121">
        <f>+'Value added steel '!AI14</f>
        <v>0</v>
      </c>
      <c r="AJ6" s="5892"/>
      <c r="AK6" s="629">
        <f t="shared" si="7"/>
        <v>3441.95</v>
      </c>
      <c r="AL6" s="5891"/>
      <c r="AM6" s="1121">
        <f>+'Value added steel '!AM14</f>
        <v>524.79999999999995</v>
      </c>
      <c r="AN6" s="5893"/>
      <c r="AO6" s="633">
        <f t="shared" si="8"/>
        <v>811.8</v>
      </c>
      <c r="AP6" s="5892"/>
      <c r="AQ6" s="629">
        <f t="shared" si="9"/>
        <v>3966.75</v>
      </c>
      <c r="AR6" s="5891"/>
      <c r="AS6" s="1121">
        <f>+'Value added steel '!AS14</f>
        <v>694.95</v>
      </c>
      <c r="AT6" s="5892"/>
      <c r="AU6" s="629">
        <f t="shared" si="10"/>
        <v>4661.7</v>
      </c>
      <c r="AV6" s="5891"/>
      <c r="AW6" s="1121">
        <f>+'Value added steel '!AW14</f>
        <v>1381.6999999999998</v>
      </c>
      <c r="AX6" s="5892"/>
      <c r="AY6" s="629">
        <f t="shared" si="11"/>
        <v>6043.4</v>
      </c>
      <c r="AZ6" s="5891"/>
      <c r="BA6" s="1121">
        <f>+'Value added steel '!BA14</f>
        <v>442.7999999999999</v>
      </c>
      <c r="BB6" s="5893"/>
      <c r="BC6" s="633">
        <f t="shared" si="12"/>
        <v>2519.4499999999994</v>
      </c>
      <c r="BD6" s="5894"/>
      <c r="BE6" s="1175">
        <f t="shared" si="13"/>
        <v>3331.2499999999991</v>
      </c>
      <c r="BF6" s="5892"/>
      <c r="BG6" s="629">
        <f t="shared" si="14"/>
        <v>6486.2</v>
      </c>
      <c r="BH6" s="26"/>
      <c r="BI6" s="26"/>
    </row>
    <row r="7" spans="4:65" s="5172" customFormat="1" ht="18.75" x14ac:dyDescent="0.3">
      <c r="D7" s="1178" t="s">
        <v>974</v>
      </c>
      <c r="E7" s="7953"/>
      <c r="F7" s="5891"/>
      <c r="G7" s="1121">
        <f>+'Value added steel '!G15</f>
        <v>596.54999999999995</v>
      </c>
      <c r="H7" s="5891"/>
      <c r="I7" s="1121">
        <f>+'Value added steel '!I15</f>
        <v>906.1</v>
      </c>
      <c r="J7" s="5892"/>
      <c r="K7" s="629">
        <f t="shared" si="0"/>
        <v>1502.65</v>
      </c>
      <c r="L7" s="5891"/>
      <c r="M7" s="1121">
        <f>+'Value added steel '!M15</f>
        <v>549.40000000000009</v>
      </c>
      <c r="N7" s="5893"/>
      <c r="O7" s="633">
        <f t="shared" si="1"/>
        <v>2052.0500000000002</v>
      </c>
      <c r="P7" s="5891"/>
      <c r="Q7" s="1121">
        <f>+'Value added steel '!Q15</f>
        <v>1125.45</v>
      </c>
      <c r="R7" s="5892"/>
      <c r="S7" s="5892"/>
      <c r="T7" s="5891"/>
      <c r="U7" s="1121">
        <f>+'Value added steel '!U15</f>
        <v>2168.9</v>
      </c>
      <c r="V7" s="5892"/>
      <c r="W7" s="5892"/>
      <c r="X7" s="5891"/>
      <c r="Y7" s="1121">
        <f>+'Value added steel '!Y15</f>
        <v>940.95</v>
      </c>
      <c r="Z7" s="5893"/>
      <c r="AA7" s="633">
        <f t="shared" si="4"/>
        <v>4235.3</v>
      </c>
      <c r="AB7" s="5894"/>
      <c r="AC7" s="1175">
        <f t="shared" si="5"/>
        <v>6287.35</v>
      </c>
      <c r="AD7" s="5891"/>
      <c r="AE7" s="1121">
        <f>+'Value added steel '!AE15</f>
        <v>2459.9900000000007</v>
      </c>
      <c r="AF7" s="5892"/>
      <c r="AG7" s="629">
        <f t="shared" si="6"/>
        <v>8747.34</v>
      </c>
      <c r="AH7" s="5891"/>
      <c r="AI7" s="1121">
        <f>+'Value added steel '!AI15</f>
        <v>1221.8000000000002</v>
      </c>
      <c r="AJ7" s="5892"/>
      <c r="AK7" s="629">
        <f t="shared" si="7"/>
        <v>9969.14</v>
      </c>
      <c r="AL7" s="5891"/>
      <c r="AM7" s="1121">
        <f>+'Value added steel '!AM15</f>
        <v>2088.9499999999998</v>
      </c>
      <c r="AN7" s="5893"/>
      <c r="AO7" s="633">
        <f t="shared" si="8"/>
        <v>5770.7400000000007</v>
      </c>
      <c r="AP7" s="5892"/>
      <c r="AQ7" s="629">
        <f t="shared" si="9"/>
        <v>12058.09</v>
      </c>
      <c r="AR7" s="5891"/>
      <c r="AS7" s="1121">
        <f>+'Value added steel '!AS15</f>
        <v>1227.95</v>
      </c>
      <c r="AT7" s="5892"/>
      <c r="AU7" s="629">
        <f t="shared" si="10"/>
        <v>13286.04</v>
      </c>
      <c r="AV7" s="5891"/>
      <c r="AW7" s="1121">
        <f>+'Value added steel '!AW15</f>
        <v>2193.5</v>
      </c>
      <c r="AX7" s="5892"/>
      <c r="AY7" s="629">
        <f t="shared" si="11"/>
        <v>15479.54</v>
      </c>
      <c r="AZ7" s="5891"/>
      <c r="BA7" s="1121">
        <f>+'Value added steel '!BA15</f>
        <v>2525.6</v>
      </c>
      <c r="BB7" s="5893"/>
      <c r="BC7" s="633">
        <f t="shared" si="12"/>
        <v>5947.0499999999993</v>
      </c>
      <c r="BD7" s="5894"/>
      <c r="BE7" s="1175">
        <f t="shared" si="13"/>
        <v>11717.79</v>
      </c>
      <c r="BF7" s="5892"/>
      <c r="BG7" s="629">
        <f t="shared" si="14"/>
        <v>18005.14</v>
      </c>
      <c r="BH7" s="26"/>
      <c r="BI7" s="26"/>
    </row>
    <row r="8" spans="4:65" s="5172" customFormat="1" ht="18.75" x14ac:dyDescent="0.3">
      <c r="D8" s="1178" t="s">
        <v>1138</v>
      </c>
      <c r="E8" s="7953"/>
      <c r="F8" s="5891"/>
      <c r="G8" s="1121">
        <f>+'Value added steel '!G16</f>
        <v>252.14999999999998</v>
      </c>
      <c r="H8" s="5891"/>
      <c r="I8" s="1121">
        <f>+'Value added steel '!I16</f>
        <v>243.95000000000002</v>
      </c>
      <c r="J8" s="5892"/>
      <c r="K8" s="629">
        <f t="shared" si="0"/>
        <v>496.1</v>
      </c>
      <c r="L8" s="5891"/>
      <c r="M8" s="1121">
        <f>+'Value added steel '!M16</f>
        <v>0</v>
      </c>
      <c r="N8" s="5893"/>
      <c r="O8" s="633">
        <f t="shared" si="1"/>
        <v>496.1</v>
      </c>
      <c r="P8" s="5891"/>
      <c r="Q8" s="1121">
        <f>+'Value added steel '!Q16</f>
        <v>98.4</v>
      </c>
      <c r="R8" s="5892"/>
      <c r="S8" s="5892"/>
      <c r="T8" s="5891"/>
      <c r="U8" s="1121">
        <f>+'Value added steel '!U16</f>
        <v>116.85</v>
      </c>
      <c r="V8" s="5892"/>
      <c r="W8" s="5892"/>
      <c r="X8" s="5891"/>
      <c r="Y8" s="1121">
        <f>+'Value added steel '!Y16</f>
        <v>207.05</v>
      </c>
      <c r="Z8" s="5893"/>
      <c r="AA8" s="633">
        <f t="shared" si="4"/>
        <v>422.3</v>
      </c>
      <c r="AB8" s="5894"/>
      <c r="AC8" s="1175">
        <f t="shared" si="5"/>
        <v>918.40000000000009</v>
      </c>
      <c r="AD8" s="5891"/>
      <c r="AE8" s="1121">
        <f>+'Value added steel '!AE16</f>
        <v>0</v>
      </c>
      <c r="AF8" s="5892"/>
      <c r="AG8" s="629">
        <f t="shared" si="6"/>
        <v>918.40000000000009</v>
      </c>
      <c r="AH8" s="5891"/>
      <c r="AI8" s="1121">
        <f>+'Value added steel '!AI16</f>
        <v>0</v>
      </c>
      <c r="AJ8" s="5892"/>
      <c r="AK8" s="629">
        <f t="shared" si="7"/>
        <v>918.40000000000009</v>
      </c>
      <c r="AL8" s="5891"/>
      <c r="AM8" s="1121">
        <f>+'Value added steel '!AM16</f>
        <v>0</v>
      </c>
      <c r="AN8" s="5893"/>
      <c r="AO8" s="633">
        <f t="shared" si="8"/>
        <v>0</v>
      </c>
      <c r="AP8" s="5892"/>
      <c r="AQ8" s="629">
        <f t="shared" si="9"/>
        <v>918.40000000000009</v>
      </c>
      <c r="AR8" s="5891"/>
      <c r="AS8" s="1121">
        <f>+'Value added steel '!AS16</f>
        <v>221.40000000000003</v>
      </c>
      <c r="AT8" s="5892"/>
      <c r="AU8" s="629">
        <f t="shared" si="10"/>
        <v>1139.8000000000002</v>
      </c>
      <c r="AV8" s="5891"/>
      <c r="AW8" s="1121">
        <f>+'Value added steel '!AW16</f>
        <v>0</v>
      </c>
      <c r="AX8" s="5892"/>
      <c r="AY8" s="629">
        <f t="shared" si="11"/>
        <v>1139.8000000000002</v>
      </c>
      <c r="AZ8" s="5891"/>
      <c r="BA8" s="1121">
        <f>+'Value added steel '!BA16</f>
        <v>0</v>
      </c>
      <c r="BB8" s="5893"/>
      <c r="BC8" s="633">
        <f t="shared" si="12"/>
        <v>221.40000000000003</v>
      </c>
      <c r="BD8" s="5894"/>
      <c r="BE8" s="1175">
        <f t="shared" si="13"/>
        <v>221.40000000000003</v>
      </c>
      <c r="BF8" s="5892"/>
      <c r="BG8" s="629">
        <f t="shared" si="14"/>
        <v>1139.8000000000002</v>
      </c>
      <c r="BH8" s="26"/>
      <c r="BI8" s="26"/>
    </row>
    <row r="9" spans="4:65" s="5172" customFormat="1" ht="18.75" x14ac:dyDescent="0.3">
      <c r="D9" s="1178" t="s">
        <v>976</v>
      </c>
      <c r="E9" s="7953"/>
      <c r="F9" s="5891"/>
      <c r="G9" s="1121">
        <f>+'Value added steel '!G17</f>
        <v>1332.4999999999995</v>
      </c>
      <c r="H9" s="5891"/>
      <c r="I9" s="1121">
        <f>+'Value added steel '!I17</f>
        <v>2179.1499999999996</v>
      </c>
      <c r="J9" s="5892"/>
      <c r="K9" s="629">
        <f t="shared" si="0"/>
        <v>3511.6499999999992</v>
      </c>
      <c r="L9" s="5891"/>
      <c r="M9" s="1121">
        <f>+'Value added steel '!M17</f>
        <v>178.35</v>
      </c>
      <c r="N9" s="5893"/>
      <c r="O9" s="633">
        <f t="shared" si="1"/>
        <v>3689.9999999999991</v>
      </c>
      <c r="P9" s="5891"/>
      <c r="Q9" s="1121">
        <f>+'Value added steel '!Q17</f>
        <v>1031.1500000000001</v>
      </c>
      <c r="R9" s="5892"/>
      <c r="S9" s="5892"/>
      <c r="T9" s="5891"/>
      <c r="U9" s="1121">
        <f>+'Value added steel '!U17</f>
        <v>2652.7</v>
      </c>
      <c r="V9" s="5892"/>
      <c r="W9" s="5892"/>
      <c r="X9" s="5891"/>
      <c r="Y9" s="1121">
        <f>+'Value added steel '!Y17</f>
        <v>1810.1499999999996</v>
      </c>
      <c r="Z9" s="5893"/>
      <c r="AA9" s="633">
        <f t="shared" si="4"/>
        <v>5494</v>
      </c>
      <c r="AB9" s="5894"/>
      <c r="AC9" s="1175">
        <f t="shared" si="5"/>
        <v>9184</v>
      </c>
      <c r="AD9" s="5891"/>
      <c r="AE9" s="1121">
        <f>+'Value added steel '!AE17</f>
        <v>1045.5</v>
      </c>
      <c r="AF9" s="5892"/>
      <c r="AG9" s="629">
        <f t="shared" si="6"/>
        <v>10229.5</v>
      </c>
      <c r="AH9" s="5891"/>
      <c r="AI9" s="1121">
        <f>+'Value added steel '!AI17</f>
        <v>0</v>
      </c>
      <c r="AJ9" s="5892"/>
      <c r="AK9" s="629">
        <f t="shared" si="7"/>
        <v>10229.5</v>
      </c>
      <c r="AL9" s="5891"/>
      <c r="AM9" s="1121">
        <f>+'Value added steel '!AM17</f>
        <v>2144.2999999999997</v>
      </c>
      <c r="AN9" s="5893"/>
      <c r="AO9" s="633">
        <f t="shared" si="8"/>
        <v>3189.7999999999997</v>
      </c>
      <c r="AP9" s="5892"/>
      <c r="AQ9" s="629">
        <f t="shared" si="9"/>
        <v>12373.8</v>
      </c>
      <c r="AR9" s="5891"/>
      <c r="AS9" s="1121">
        <f>+'Value added steel '!AS17</f>
        <v>1896.2500000000002</v>
      </c>
      <c r="AT9" s="5892"/>
      <c r="AU9" s="629">
        <f t="shared" si="10"/>
        <v>14270.05</v>
      </c>
      <c r="AV9" s="5891"/>
      <c r="AW9" s="1121">
        <f>+'Value added steel '!AW17</f>
        <v>2480.5</v>
      </c>
      <c r="AX9" s="5892"/>
      <c r="AY9" s="629">
        <f t="shared" si="11"/>
        <v>16750.55</v>
      </c>
      <c r="AZ9" s="5891"/>
      <c r="BA9" s="1121">
        <f>+'Value added steel '!BA17</f>
        <v>971.7</v>
      </c>
      <c r="BB9" s="5893"/>
      <c r="BC9" s="633">
        <f t="shared" si="12"/>
        <v>5348.45</v>
      </c>
      <c r="BD9" s="5894"/>
      <c r="BE9" s="1175">
        <f t="shared" si="13"/>
        <v>8538.25</v>
      </c>
      <c r="BF9" s="5892"/>
      <c r="BG9" s="629">
        <f t="shared" si="14"/>
        <v>17722.25</v>
      </c>
      <c r="BH9" s="26"/>
      <c r="BI9" s="26"/>
    </row>
    <row r="10" spans="4:65" s="3323" customFormat="1" ht="18.75" x14ac:dyDescent="0.3">
      <c r="D10" s="1178" t="s">
        <v>1142</v>
      </c>
      <c r="E10" s="7953"/>
      <c r="F10" s="3327"/>
      <c r="G10" s="1121">
        <f>+'Value added steel '!G18</f>
        <v>18.45</v>
      </c>
      <c r="H10" s="3327"/>
      <c r="I10" s="1121">
        <f>+'Value added steel '!I18</f>
        <v>4.0999999999999996</v>
      </c>
      <c r="J10" s="3328"/>
      <c r="K10" s="629">
        <f t="shared" si="0"/>
        <v>22.549999999999997</v>
      </c>
      <c r="L10" s="3327"/>
      <c r="M10" s="1121">
        <f>+'Value added steel '!M18</f>
        <v>2.0499999999999998</v>
      </c>
      <c r="N10" s="3329"/>
      <c r="O10" s="633">
        <f t="shared" si="1"/>
        <v>24.599999999999998</v>
      </c>
      <c r="P10" s="3327"/>
      <c r="Q10" s="1121">
        <f>+'Value added steel '!Q18</f>
        <v>82</v>
      </c>
      <c r="R10" s="3328"/>
      <c r="S10" s="629">
        <f t="shared" si="2"/>
        <v>106.6</v>
      </c>
      <c r="T10" s="3327"/>
      <c r="U10" s="1121">
        <f>+'Value added steel '!U18</f>
        <v>0</v>
      </c>
      <c r="V10" s="3328"/>
      <c r="W10" s="629">
        <f t="shared" si="3"/>
        <v>106.6</v>
      </c>
      <c r="X10" s="3327"/>
      <c r="Y10" s="1121">
        <f>+'Value added steel '!Y18</f>
        <v>149.65</v>
      </c>
      <c r="Z10" s="3329"/>
      <c r="AA10" s="633">
        <f t="shared" si="4"/>
        <v>231.65</v>
      </c>
      <c r="AB10" s="1175"/>
      <c r="AC10" s="1175">
        <f t="shared" si="5"/>
        <v>256.25</v>
      </c>
      <c r="AD10" s="3327"/>
      <c r="AE10" s="1121">
        <f>+'Value added steel '!AE18</f>
        <v>0</v>
      </c>
      <c r="AF10" s="3328"/>
      <c r="AG10" s="629">
        <f t="shared" si="6"/>
        <v>256.25</v>
      </c>
      <c r="AH10" s="3327"/>
      <c r="AI10" s="1121">
        <f>+'Value added steel '!AI18</f>
        <v>0</v>
      </c>
      <c r="AJ10" s="3328"/>
      <c r="AK10" s="629">
        <f t="shared" si="7"/>
        <v>256.25</v>
      </c>
      <c r="AL10" s="3327"/>
      <c r="AM10" s="1121">
        <f>+'Value added steel '!AM18</f>
        <v>4.0999999999999996</v>
      </c>
      <c r="AN10" s="3329"/>
      <c r="AO10" s="633">
        <f t="shared" si="8"/>
        <v>4.0999999999999996</v>
      </c>
      <c r="AP10" s="3328"/>
      <c r="AQ10" s="629">
        <f t="shared" si="9"/>
        <v>260.35000000000002</v>
      </c>
      <c r="AR10" s="3327"/>
      <c r="AS10" s="1121">
        <f>+'Value added steel '!AS18</f>
        <v>174.25</v>
      </c>
      <c r="AT10" s="3328"/>
      <c r="AU10" s="629">
        <f t="shared" si="10"/>
        <v>434.6</v>
      </c>
      <c r="AV10" s="3327"/>
      <c r="AW10" s="1121">
        <f>+'Value added steel '!AW18</f>
        <v>77.900000000000006</v>
      </c>
      <c r="AX10" s="3328"/>
      <c r="AY10" s="629">
        <f t="shared" si="11"/>
        <v>512.5</v>
      </c>
      <c r="AZ10" s="3327"/>
      <c r="BA10" s="1121">
        <f>+'Value added steel '!BA18</f>
        <v>0</v>
      </c>
      <c r="BB10" s="3329"/>
      <c r="BC10" s="633">
        <f t="shared" si="12"/>
        <v>252.15</v>
      </c>
      <c r="BD10" s="3330"/>
      <c r="BE10" s="1175">
        <f t="shared" si="13"/>
        <v>256.25</v>
      </c>
      <c r="BF10" s="3328"/>
      <c r="BG10" s="629">
        <f t="shared" si="14"/>
        <v>512.5</v>
      </c>
      <c r="BH10" s="26"/>
      <c r="BI10" s="26"/>
      <c r="BM10" s="26"/>
    </row>
    <row r="11" spans="4:65" ht="18.75" x14ac:dyDescent="0.3">
      <c r="D11" s="1178" t="s">
        <v>977</v>
      </c>
      <c r="E11" s="7953"/>
      <c r="F11" s="1121"/>
      <c r="G11" s="1121">
        <f>+'Value added steel '!G19</f>
        <v>108.65</v>
      </c>
      <c r="H11" s="1121"/>
      <c r="I11" s="1121">
        <f>+'Value added steel '!I19</f>
        <v>0</v>
      </c>
      <c r="J11" s="629"/>
      <c r="K11" s="629">
        <f t="shared" si="0"/>
        <v>108.65</v>
      </c>
      <c r="L11" s="1121"/>
      <c r="M11" s="1121">
        <f>+'Value added steel '!M19</f>
        <v>0</v>
      </c>
      <c r="N11" s="633"/>
      <c r="O11" s="633">
        <f t="shared" si="1"/>
        <v>108.65</v>
      </c>
      <c r="P11" s="1121"/>
      <c r="Q11" s="1121">
        <f>+'Value added steel '!Q19</f>
        <v>0</v>
      </c>
      <c r="R11" s="629"/>
      <c r="S11" s="629">
        <f t="shared" si="2"/>
        <v>108.65</v>
      </c>
      <c r="T11" s="1121"/>
      <c r="U11" s="1121">
        <f>+'Value added steel '!U19</f>
        <v>0</v>
      </c>
      <c r="V11" s="629"/>
      <c r="W11" s="629">
        <f t="shared" si="3"/>
        <v>108.65</v>
      </c>
      <c r="X11" s="1121"/>
      <c r="Y11" s="1121">
        <f>+'Value added steel '!Y19</f>
        <v>98.399999999999991</v>
      </c>
      <c r="Z11" s="633"/>
      <c r="AA11" s="633">
        <f t="shared" si="4"/>
        <v>98.399999999999991</v>
      </c>
      <c r="AB11" s="1175"/>
      <c r="AC11" s="1175">
        <f t="shared" si="5"/>
        <v>207.05</v>
      </c>
      <c r="AD11" s="1121"/>
      <c r="AE11" s="1121">
        <f>+'Value added steel '!AE19</f>
        <v>0</v>
      </c>
      <c r="AF11" s="629"/>
      <c r="AG11" s="629">
        <f t="shared" si="6"/>
        <v>207.05</v>
      </c>
      <c r="AH11" s="1121"/>
      <c r="AI11" s="1121">
        <f>+'Value added steel '!AI19</f>
        <v>0</v>
      </c>
      <c r="AJ11" s="629"/>
      <c r="AK11" s="629">
        <f t="shared" si="7"/>
        <v>207.05</v>
      </c>
      <c r="AL11" s="1121"/>
      <c r="AM11" s="1121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311.60000000000002</v>
      </c>
      <c r="AR11" s="1121"/>
      <c r="AS11" s="1121">
        <f>+'Value added steel '!AS19</f>
        <v>0</v>
      </c>
      <c r="AT11" s="629"/>
      <c r="AU11" s="629">
        <f t="shared" si="10"/>
        <v>311.60000000000002</v>
      </c>
      <c r="AV11" s="1121"/>
      <c r="AW11" s="1121">
        <f>+'Value added steel '!AW19</f>
        <v>0</v>
      </c>
      <c r="AX11" s="629"/>
      <c r="AY11" s="629">
        <f t="shared" si="11"/>
        <v>311.60000000000002</v>
      </c>
      <c r="AZ11" s="1121"/>
      <c r="BA11" s="1121">
        <f>+'Value added steel '!BA19</f>
        <v>0</v>
      </c>
      <c r="BB11" s="633"/>
      <c r="BC11" s="633">
        <f t="shared" si="12"/>
        <v>0</v>
      </c>
      <c r="BD11" s="1175"/>
      <c r="BE11" s="1175">
        <f t="shared" si="13"/>
        <v>104.55000000000001</v>
      </c>
      <c r="BF11" s="629"/>
      <c r="BG11" s="629">
        <f t="shared" si="14"/>
        <v>311.60000000000002</v>
      </c>
      <c r="BH11" s="26"/>
      <c r="BI11" s="26"/>
      <c r="BM11" s="26"/>
    </row>
    <row r="12" spans="4:65" ht="18.75" x14ac:dyDescent="0.3">
      <c r="D12" s="1178" t="s">
        <v>2010</v>
      </c>
      <c r="E12" s="7953"/>
      <c r="F12" s="1121"/>
      <c r="G12" s="1121">
        <f>+'Value added steel '!G20</f>
        <v>0</v>
      </c>
      <c r="H12" s="1121"/>
      <c r="I12" s="1121">
        <f>+'Value added steel '!I20</f>
        <v>0</v>
      </c>
      <c r="J12" s="629"/>
      <c r="K12" s="629">
        <f t="shared" si="0"/>
        <v>0</v>
      </c>
      <c r="L12" s="1121"/>
      <c r="M12" s="1121">
        <f>+'Value added steel '!M20</f>
        <v>0</v>
      </c>
      <c r="N12" s="633"/>
      <c r="O12" s="633">
        <f t="shared" si="1"/>
        <v>0</v>
      </c>
      <c r="P12" s="1121"/>
      <c r="Q12" s="1121">
        <f>+'Value added steel '!Q20</f>
        <v>0</v>
      </c>
      <c r="R12" s="629"/>
      <c r="S12" s="629">
        <f t="shared" si="2"/>
        <v>0</v>
      </c>
      <c r="T12" s="1121"/>
      <c r="U12" s="1121">
        <f>+'Value added steel '!U20</f>
        <v>0</v>
      </c>
      <c r="V12" s="629"/>
      <c r="W12" s="629">
        <f t="shared" si="3"/>
        <v>0</v>
      </c>
      <c r="X12" s="1121"/>
      <c r="Y12" s="1121">
        <f>+'Value added steel '!Y20</f>
        <v>0</v>
      </c>
      <c r="Z12" s="633"/>
      <c r="AA12" s="633">
        <f t="shared" si="4"/>
        <v>0</v>
      </c>
      <c r="AB12" s="1175"/>
      <c r="AC12" s="1175">
        <f t="shared" si="5"/>
        <v>0</v>
      </c>
      <c r="AD12" s="1121"/>
      <c r="AE12" s="1121">
        <f>+'Value added steel '!AE20</f>
        <v>131.19999999999999</v>
      </c>
      <c r="AF12" s="629"/>
      <c r="AG12" s="629">
        <f t="shared" si="6"/>
        <v>131.19999999999999</v>
      </c>
      <c r="AH12" s="1121"/>
      <c r="AI12" s="1121">
        <f>+'Value added steel '!AI20</f>
        <v>0</v>
      </c>
      <c r="AJ12" s="629"/>
      <c r="AK12" s="629">
        <f t="shared" si="7"/>
        <v>131.19999999999999</v>
      </c>
      <c r="AL12" s="1121"/>
      <c r="AM12" s="1121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131.19999999999999</v>
      </c>
      <c r="AR12" s="1121"/>
      <c r="AS12" s="1121">
        <f>+'Value added steel '!AS20</f>
        <v>403.85</v>
      </c>
      <c r="AT12" s="629"/>
      <c r="AU12" s="629">
        <f t="shared" si="10"/>
        <v>535.04999999999995</v>
      </c>
      <c r="AV12" s="1121"/>
      <c r="AW12" s="1121">
        <f>+'Value added steel '!AW20</f>
        <v>0</v>
      </c>
      <c r="AX12" s="629"/>
      <c r="AY12" s="629">
        <f t="shared" si="11"/>
        <v>535.04999999999995</v>
      </c>
      <c r="AZ12" s="1121"/>
      <c r="BA12" s="1121">
        <f>+'Value added steel '!BA20</f>
        <v>0</v>
      </c>
      <c r="BB12" s="633"/>
      <c r="BC12" s="633">
        <f t="shared" si="12"/>
        <v>403.85</v>
      </c>
      <c r="BD12" s="1175"/>
      <c r="BE12" s="1175">
        <f t="shared" si="13"/>
        <v>535.04999999999995</v>
      </c>
      <c r="BF12" s="629"/>
      <c r="BG12" s="629">
        <f t="shared" si="14"/>
        <v>535.04999999999995</v>
      </c>
      <c r="BH12" s="26"/>
      <c r="BI12" s="26"/>
      <c r="BM12" s="26"/>
    </row>
    <row r="13" spans="4:65" ht="18.75" x14ac:dyDescent="0.3">
      <c r="D13" s="1178" t="s">
        <v>2011</v>
      </c>
      <c r="E13" s="7953"/>
      <c r="F13" s="1121"/>
      <c r="G13" s="1121">
        <f>+'Value added steel '!G21</f>
        <v>498.15000000000003</v>
      </c>
      <c r="H13" s="1121"/>
      <c r="I13" s="1121">
        <f>+'Value added steel '!I21</f>
        <v>590.4</v>
      </c>
      <c r="J13" s="629"/>
      <c r="K13" s="629">
        <f t="shared" si="0"/>
        <v>1088.55</v>
      </c>
      <c r="L13" s="1121"/>
      <c r="M13" s="1121">
        <f>+'Value added steel '!M21</f>
        <v>0</v>
      </c>
      <c r="N13" s="633"/>
      <c r="O13" s="633">
        <f t="shared" si="1"/>
        <v>1088.55</v>
      </c>
      <c r="P13" s="1121"/>
      <c r="Q13" s="1121">
        <f>+'Value added steel '!Q21</f>
        <v>0</v>
      </c>
      <c r="R13" s="629"/>
      <c r="S13" s="629">
        <f t="shared" si="2"/>
        <v>1088.55</v>
      </c>
      <c r="T13" s="1121"/>
      <c r="U13" s="1121">
        <f>+'Value added steel '!U21</f>
        <v>0</v>
      </c>
      <c r="V13" s="629"/>
      <c r="W13" s="629">
        <f t="shared" si="3"/>
        <v>1088.55</v>
      </c>
      <c r="X13" s="1121"/>
      <c r="Y13" s="1121">
        <f>+'Value added steel '!Y21</f>
        <v>0</v>
      </c>
      <c r="Z13" s="633"/>
      <c r="AA13" s="633">
        <f t="shared" si="4"/>
        <v>0</v>
      </c>
      <c r="AB13" s="1175"/>
      <c r="AC13" s="1175">
        <f t="shared" si="5"/>
        <v>1088.55</v>
      </c>
      <c r="AD13" s="1121"/>
      <c r="AE13" s="1121">
        <f>+'Value added steel '!AE21</f>
        <v>67.650000000000006</v>
      </c>
      <c r="AF13" s="629"/>
      <c r="AG13" s="629">
        <f t="shared" si="6"/>
        <v>1156.2</v>
      </c>
      <c r="AH13" s="1121"/>
      <c r="AI13" s="1121">
        <f>+'Value added steel '!AI21</f>
        <v>0</v>
      </c>
      <c r="AJ13" s="629"/>
      <c r="AK13" s="629">
        <f t="shared" si="7"/>
        <v>1156.2</v>
      </c>
      <c r="AL13" s="1121"/>
      <c r="AM13" s="1121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1156.2</v>
      </c>
      <c r="AR13" s="1121"/>
      <c r="AS13" s="1121">
        <f>+'Value added steel '!AS21</f>
        <v>0</v>
      </c>
      <c r="AT13" s="629"/>
      <c r="AU13" s="629">
        <f t="shared" si="10"/>
        <v>1156.2</v>
      </c>
      <c r="AV13" s="1121"/>
      <c r="AW13" s="1121">
        <f>+'Value added steel '!AW21</f>
        <v>0</v>
      </c>
      <c r="AX13" s="629"/>
      <c r="AY13" s="629">
        <f t="shared" si="11"/>
        <v>1156.2</v>
      </c>
      <c r="AZ13" s="1121"/>
      <c r="BA13" s="1121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5"/>
      <c r="BE13" s="1175">
        <f t="shared" ref="BE13:BE15" si="16">+AO13+BC13</f>
        <v>514.54999999999995</v>
      </c>
      <c r="BF13" s="629"/>
      <c r="BG13" s="629">
        <f t="shared" ref="BG13:BG15" si="17">+AY13+BA13</f>
        <v>1603.1</v>
      </c>
      <c r="BH13" s="26"/>
      <c r="BI13" s="26"/>
      <c r="BM13" s="26"/>
    </row>
    <row r="14" spans="4:65" ht="18.75" x14ac:dyDescent="0.3">
      <c r="D14" s="1178" t="s">
        <v>1943</v>
      </c>
      <c r="E14" s="7953"/>
      <c r="F14" s="1121"/>
      <c r="G14" s="1121">
        <f>+'Value added steel '!G22</f>
        <v>0</v>
      </c>
      <c r="H14" s="1121"/>
      <c r="I14" s="1121">
        <f>+'Value added steel '!I22</f>
        <v>0</v>
      </c>
      <c r="J14" s="629"/>
      <c r="K14" s="629">
        <f t="shared" si="0"/>
        <v>0</v>
      </c>
      <c r="L14" s="1121"/>
      <c r="M14" s="1121">
        <f>+'Value added steel '!M22</f>
        <v>0</v>
      </c>
      <c r="N14" s="633"/>
      <c r="O14" s="633">
        <f t="shared" si="1"/>
        <v>0</v>
      </c>
      <c r="P14" s="1121"/>
      <c r="Q14" s="1121">
        <f>+'Value added steel '!Q22</f>
        <v>84.05</v>
      </c>
      <c r="R14" s="629"/>
      <c r="S14" s="629">
        <f t="shared" si="2"/>
        <v>84.05</v>
      </c>
      <c r="T14" s="1121"/>
      <c r="U14" s="1121">
        <f>+'Value added steel '!U22</f>
        <v>0</v>
      </c>
      <c r="V14" s="629"/>
      <c r="W14" s="629">
        <f t="shared" si="3"/>
        <v>84.05</v>
      </c>
      <c r="X14" s="1121"/>
      <c r="Y14" s="1121">
        <f>+'Value added steel '!Y22</f>
        <v>0</v>
      </c>
      <c r="Z14" s="633"/>
      <c r="AA14" s="633">
        <f t="shared" si="4"/>
        <v>84.05</v>
      </c>
      <c r="AB14" s="1175"/>
      <c r="AC14" s="1175">
        <f t="shared" si="5"/>
        <v>84.05</v>
      </c>
      <c r="AD14" s="1121"/>
      <c r="AE14" s="1121">
        <f>+'Value added steel '!AE22</f>
        <v>0</v>
      </c>
      <c r="AF14" s="629"/>
      <c r="AG14" s="629">
        <f t="shared" ref="AG14:AG15" si="18">+AC14+AE14</f>
        <v>84.05</v>
      </c>
      <c r="AH14" s="1121"/>
      <c r="AI14" s="1121">
        <f>+'Value added steel '!AI22</f>
        <v>0</v>
      </c>
      <c r="AJ14" s="629"/>
      <c r="AK14" s="629">
        <f t="shared" si="7"/>
        <v>84.05</v>
      </c>
      <c r="AL14" s="1121"/>
      <c r="AM14" s="1121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84.05</v>
      </c>
      <c r="AR14" s="1121"/>
      <c r="AS14" s="1121">
        <f>+'Value added steel '!AS22</f>
        <v>0</v>
      </c>
      <c r="AT14" s="629"/>
      <c r="AU14" s="629">
        <f t="shared" si="10"/>
        <v>84.05</v>
      </c>
      <c r="AV14" s="1121"/>
      <c r="AW14" s="1121">
        <f>+'Value added steel '!AW22</f>
        <v>0</v>
      </c>
      <c r="AX14" s="629"/>
      <c r="AY14" s="629">
        <f t="shared" si="11"/>
        <v>84.05</v>
      </c>
      <c r="AZ14" s="1121"/>
      <c r="BA14" s="1121">
        <f>+'Value added steel '!BA22</f>
        <v>0</v>
      </c>
      <c r="BB14" s="633"/>
      <c r="BC14" s="633">
        <f t="shared" si="15"/>
        <v>0</v>
      </c>
      <c r="BD14" s="1175"/>
      <c r="BE14" s="1175">
        <f t="shared" si="16"/>
        <v>0</v>
      </c>
      <c r="BF14" s="629"/>
      <c r="BG14" s="629">
        <f t="shared" si="17"/>
        <v>84.05</v>
      </c>
      <c r="BH14" s="26"/>
      <c r="BI14" s="26"/>
      <c r="BM14" s="26"/>
    </row>
    <row r="15" spans="4:65" s="2680" customFormat="1" ht="18.75" x14ac:dyDescent="0.3">
      <c r="D15" s="1178" t="s">
        <v>1143</v>
      </c>
      <c r="E15" s="7953"/>
      <c r="F15" s="1121"/>
      <c r="G15" s="1121">
        <f>+'Value added steel '!G24</f>
        <v>6223.8</v>
      </c>
      <c r="H15" s="1121"/>
      <c r="I15" s="1121">
        <f>+'Value added steel '!I24</f>
        <v>3849.9</v>
      </c>
      <c r="J15" s="629"/>
      <c r="K15" s="629">
        <f t="shared" si="0"/>
        <v>10073.700000000001</v>
      </c>
      <c r="L15" s="1121"/>
      <c r="M15" s="1121">
        <f>+'Value added steel '!M24</f>
        <v>8156.9499999999989</v>
      </c>
      <c r="N15" s="633"/>
      <c r="O15" s="633">
        <f t="shared" si="1"/>
        <v>18230.650000000001</v>
      </c>
      <c r="P15" s="1121"/>
      <c r="Q15" s="1121">
        <f>+'Value added steel '!Q24</f>
        <v>4637.1000000000004</v>
      </c>
      <c r="R15" s="629"/>
      <c r="S15" s="629">
        <f t="shared" si="2"/>
        <v>22867.75</v>
      </c>
      <c r="T15" s="1121"/>
      <c r="U15" s="1121">
        <f>+'Value added steel '!U24</f>
        <v>14854.300000000001</v>
      </c>
      <c r="V15" s="629"/>
      <c r="W15" s="629">
        <f t="shared" si="3"/>
        <v>37722.050000000003</v>
      </c>
      <c r="X15" s="1121"/>
      <c r="Y15" s="1121">
        <f>+'Value added steel '!Y24</f>
        <v>8230.75</v>
      </c>
      <c r="Z15" s="633"/>
      <c r="AA15" s="633">
        <f t="shared" si="4"/>
        <v>27722.15</v>
      </c>
      <c r="AB15" s="1175"/>
      <c r="AC15" s="1175">
        <f t="shared" si="5"/>
        <v>45952.800000000003</v>
      </c>
      <c r="AD15" s="1121"/>
      <c r="AE15" s="1121">
        <f>+'Value added steel '!AE24</f>
        <v>13357.8</v>
      </c>
      <c r="AF15" s="629"/>
      <c r="AG15" s="629">
        <f t="shared" si="18"/>
        <v>59310.600000000006</v>
      </c>
      <c r="AH15" s="1121"/>
      <c r="AI15" s="1121">
        <f>+'Value added steel '!AI24</f>
        <v>7810.5000000000036</v>
      </c>
      <c r="AJ15" s="629"/>
      <c r="AK15" s="629">
        <f t="shared" si="7"/>
        <v>67121.100000000006</v>
      </c>
      <c r="AL15" s="1121"/>
      <c r="AM15" s="1121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19">+AK15+AM15</f>
        <v>75981.200000000012</v>
      </c>
      <c r="AR15" s="1121"/>
      <c r="AS15" s="1121">
        <f>+'Value added steel '!AS24</f>
        <v>12025.300000000001</v>
      </c>
      <c r="AT15" s="629"/>
      <c r="AU15" s="629">
        <f t="shared" ref="AU15" si="20">+AQ15+AS15</f>
        <v>88006.500000000015</v>
      </c>
      <c r="AV15" s="1121"/>
      <c r="AW15" s="1121">
        <f>+'Value added steel '!AW24</f>
        <v>6549.7500000000009</v>
      </c>
      <c r="AX15" s="629"/>
      <c r="AY15" s="629">
        <f t="shared" si="11"/>
        <v>94556.250000000015</v>
      </c>
      <c r="AZ15" s="1121"/>
      <c r="BA15" s="1121">
        <f>+'Value added steel '!BA24</f>
        <v>6424.7000000000044</v>
      </c>
      <c r="BB15" s="633"/>
      <c r="BC15" s="633">
        <f t="shared" si="15"/>
        <v>24999.750000000007</v>
      </c>
      <c r="BD15" s="1175"/>
      <c r="BE15" s="1175">
        <f t="shared" si="16"/>
        <v>55028.150000000023</v>
      </c>
      <c r="BF15" s="629"/>
      <c r="BG15" s="629">
        <f t="shared" si="17"/>
        <v>100980.95000000001</v>
      </c>
      <c r="BH15" s="26"/>
      <c r="BI15" s="26"/>
      <c r="BM15" s="26"/>
    </row>
    <row r="16" spans="4:65" ht="19.5" thickBot="1" x14ac:dyDescent="0.35">
      <c r="D16" s="1179" t="s">
        <v>2</v>
      </c>
      <c r="E16" s="7954"/>
      <c r="F16" s="1180"/>
      <c r="G16" s="1180">
        <f>SUM(G4:G15)</f>
        <v>10686.65</v>
      </c>
      <c r="H16" s="1180">
        <f t="shared" ref="H16:AK16" si="21">SUM(H4:H15)</f>
        <v>0</v>
      </c>
      <c r="I16" s="1180">
        <f>SUM(I4:I15)</f>
        <v>8562.85</v>
      </c>
      <c r="J16" s="1180">
        <f t="shared" si="21"/>
        <v>0</v>
      </c>
      <c r="K16" s="1180">
        <f t="shared" si="21"/>
        <v>19249.5</v>
      </c>
      <c r="L16" s="1180">
        <f t="shared" si="21"/>
        <v>0</v>
      </c>
      <c r="M16" s="1180">
        <f t="shared" si="21"/>
        <v>8886.7499999999982</v>
      </c>
      <c r="N16" s="1180">
        <f t="shared" si="21"/>
        <v>0</v>
      </c>
      <c r="O16" s="1180">
        <f t="shared" si="21"/>
        <v>28136.25</v>
      </c>
      <c r="P16" s="1180">
        <f t="shared" si="21"/>
        <v>0</v>
      </c>
      <c r="Q16" s="1180">
        <f t="shared" si="21"/>
        <v>7997.0500000000011</v>
      </c>
      <c r="R16" s="1180">
        <f t="shared" si="21"/>
        <v>0</v>
      </c>
      <c r="S16" s="1180">
        <f t="shared" si="21"/>
        <v>26408.1</v>
      </c>
      <c r="T16" s="1180">
        <f t="shared" si="21"/>
        <v>0</v>
      </c>
      <c r="U16" s="1180">
        <f t="shared" si="21"/>
        <v>21430.7</v>
      </c>
      <c r="V16" s="1180">
        <f t="shared" si="21"/>
        <v>0</v>
      </c>
      <c r="W16" s="1180">
        <f t="shared" si="21"/>
        <v>42293.55</v>
      </c>
      <c r="X16" s="1180">
        <f t="shared" si="21"/>
        <v>0</v>
      </c>
      <c r="Y16" s="1180">
        <f t="shared" si="21"/>
        <v>13710.399999999998</v>
      </c>
      <c r="Z16" s="1180">
        <f t="shared" si="21"/>
        <v>0</v>
      </c>
      <c r="AA16" s="1180">
        <f t="shared" si="21"/>
        <v>43138.149999999994</v>
      </c>
      <c r="AB16" s="1180">
        <f t="shared" si="21"/>
        <v>0</v>
      </c>
      <c r="AC16" s="1180">
        <f t="shared" si="21"/>
        <v>71274.399999999994</v>
      </c>
      <c r="AD16" s="1180">
        <f t="shared" si="21"/>
        <v>0</v>
      </c>
      <c r="AE16" s="1180">
        <f t="shared" si="21"/>
        <v>18119.939999999999</v>
      </c>
      <c r="AF16" s="1180">
        <f t="shared" si="21"/>
        <v>0</v>
      </c>
      <c r="AG16" s="1180">
        <f t="shared" si="21"/>
        <v>89394.340000000011</v>
      </c>
      <c r="AH16" s="1180">
        <f t="shared" si="21"/>
        <v>0</v>
      </c>
      <c r="AI16" s="1180">
        <f t="shared" si="21"/>
        <v>9032.3000000000029</v>
      </c>
      <c r="AJ16" s="1180">
        <f t="shared" si="21"/>
        <v>0</v>
      </c>
      <c r="AK16" s="1180">
        <f t="shared" si="21"/>
        <v>98426.640000000014</v>
      </c>
      <c r="AL16" s="1180">
        <f t="shared" ref="AL16:BG16" si="22">SUM(AL4:AL15)</f>
        <v>0</v>
      </c>
      <c r="AM16" s="1180">
        <f t="shared" si="22"/>
        <v>14741.55000000001</v>
      </c>
      <c r="AN16" s="1180">
        <f t="shared" si="22"/>
        <v>0</v>
      </c>
      <c r="AO16" s="1180">
        <f t="shared" si="22"/>
        <v>41893.790000000008</v>
      </c>
      <c r="AP16" s="1180">
        <f t="shared" si="22"/>
        <v>0</v>
      </c>
      <c r="AQ16" s="1180">
        <f t="shared" si="22"/>
        <v>113168.19</v>
      </c>
      <c r="AR16" s="1180">
        <f t="shared" si="22"/>
        <v>0</v>
      </c>
      <c r="AS16" s="1180">
        <f t="shared" ref="AS16" si="23">SUM(AS4:AS15)</f>
        <v>17714.050000000003</v>
      </c>
      <c r="AT16" s="1180">
        <f t="shared" si="22"/>
        <v>0</v>
      </c>
      <c r="AU16" s="1180">
        <f t="shared" si="22"/>
        <v>130882.24000000002</v>
      </c>
      <c r="AV16" s="1180">
        <f t="shared" si="22"/>
        <v>0</v>
      </c>
      <c r="AW16" s="1180">
        <f t="shared" si="22"/>
        <v>13288.1</v>
      </c>
      <c r="AX16" s="1180">
        <f t="shared" ref="AX16:AY16" si="24">SUM(AX4:AX15)</f>
        <v>0</v>
      </c>
      <c r="AY16" s="1180">
        <f t="shared" si="24"/>
        <v>144170.34000000003</v>
      </c>
      <c r="AZ16" s="1180">
        <f t="shared" si="22"/>
        <v>0</v>
      </c>
      <c r="BA16" s="1180">
        <f t="shared" ref="BA16" si="25">SUM(BA4:BA15)</f>
        <v>10916.250000000004</v>
      </c>
      <c r="BB16" s="1180">
        <f t="shared" si="22"/>
        <v>0</v>
      </c>
      <c r="BC16" s="1180">
        <f t="shared" si="22"/>
        <v>41918.400000000009</v>
      </c>
      <c r="BD16" s="1180">
        <f t="shared" si="22"/>
        <v>0</v>
      </c>
      <c r="BE16" s="1180">
        <f t="shared" si="22"/>
        <v>83812.190000000031</v>
      </c>
      <c r="BF16" s="1180">
        <f t="shared" si="22"/>
        <v>0</v>
      </c>
      <c r="BG16" s="1180">
        <f t="shared" si="22"/>
        <v>155086.59000000003</v>
      </c>
      <c r="BH16" s="26"/>
      <c r="BI16" s="26"/>
      <c r="BM16" s="26"/>
    </row>
    <row r="17" spans="4:65" x14ac:dyDescent="0.25">
      <c r="BM17" s="26"/>
    </row>
    <row r="18" spans="4:65" x14ac:dyDescent="0.25">
      <c r="D18" s="5172"/>
      <c r="E18" s="5172"/>
      <c r="F18" s="5172"/>
      <c r="G18" s="5172"/>
      <c r="H18" s="5172"/>
      <c r="I18" s="5172"/>
      <c r="J18" s="5172"/>
      <c r="K18" s="5172"/>
      <c r="L18" s="5172"/>
      <c r="M18" s="5172"/>
      <c r="N18" s="5172"/>
      <c r="O18" s="5172"/>
      <c r="P18" s="5172"/>
      <c r="Q18" s="5172"/>
      <c r="R18" s="5172"/>
      <c r="S18" s="5172"/>
      <c r="T18" s="5172"/>
      <c r="U18" s="5172"/>
      <c r="V18" s="5172"/>
      <c r="W18" s="5172"/>
      <c r="X18" s="5172"/>
      <c r="Y18" s="5172"/>
      <c r="Z18" s="5172"/>
      <c r="AA18" s="5172"/>
      <c r="AB18" s="5172"/>
      <c r="AC18" s="5172"/>
      <c r="AD18" s="5172"/>
      <c r="AE18" s="5172"/>
      <c r="AF18" s="5172"/>
      <c r="AG18" s="5172"/>
      <c r="AH18" s="5172"/>
      <c r="AI18" s="5172"/>
      <c r="AJ18" s="5172"/>
      <c r="AK18" s="5172"/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H17"/>
  <sheetViews>
    <sheetView zoomScaleNormal="100" workbookViewId="0">
      <pane xSplit="3" topLeftCell="D1" activePane="topRight" state="frozen"/>
      <selection pane="topRight" activeCell="F15" sqref="F15"/>
    </sheetView>
  </sheetViews>
  <sheetFormatPr defaultColWidth="8.85546875" defaultRowHeight="18.75" x14ac:dyDescent="0.3"/>
  <cols>
    <col min="1" max="2" width="8.85546875" style="542"/>
    <col min="3" max="3" width="53.140625" style="542" customWidth="1"/>
    <col min="4" max="4" width="19.42578125" style="542" customWidth="1"/>
    <col min="5" max="5" width="11.7109375" style="542" customWidth="1"/>
    <col min="6" max="6" width="13.5703125" style="542" customWidth="1"/>
    <col min="7" max="10" width="9.140625" style="542" customWidth="1"/>
    <col min="11" max="28" width="9.140625" style="542" hidden="1" customWidth="1"/>
    <col min="29" max="58" width="8.85546875" style="542" hidden="1" customWidth="1"/>
    <col min="59" max="16384" width="8.85546875" style="542"/>
  </cols>
  <sheetData>
    <row r="2" spans="3:60" x14ac:dyDescent="0.3">
      <c r="C2" s="2281" t="s">
        <v>668</v>
      </c>
    </row>
    <row r="3" spans="3:60" ht="15.75" customHeight="1" thickBot="1" x14ac:dyDescent="0.35">
      <c r="C3" s="2282"/>
    </row>
    <row r="4" spans="3:60" ht="19.5" thickBot="1" x14ac:dyDescent="0.35">
      <c r="C4" s="7967" t="s">
        <v>592</v>
      </c>
      <c r="D4" s="7969" t="s">
        <v>172</v>
      </c>
      <c r="E4" s="7963" t="s">
        <v>2254</v>
      </c>
      <c r="F4" s="7971"/>
      <c r="G4" s="7963" t="s">
        <v>2306</v>
      </c>
      <c r="H4" s="7963"/>
      <c r="I4" s="7964" t="s">
        <v>14</v>
      </c>
      <c r="J4" s="7965"/>
      <c r="K4" s="7955" t="s">
        <v>1903</v>
      </c>
      <c r="L4" s="7956"/>
      <c r="M4" s="7966" t="s">
        <v>138</v>
      </c>
      <c r="N4" s="7960"/>
      <c r="O4" s="7963" t="s">
        <v>1937</v>
      </c>
      <c r="P4" s="7963"/>
      <c r="Q4" s="7964" t="s">
        <v>17</v>
      </c>
      <c r="R4" s="7965"/>
      <c r="S4" s="7963" t="s">
        <v>1961</v>
      </c>
      <c r="T4" s="7963"/>
      <c r="U4" s="7964" t="s">
        <v>18</v>
      </c>
      <c r="V4" s="7965"/>
      <c r="W4" s="7963" t="s">
        <v>1983</v>
      </c>
      <c r="X4" s="7963"/>
      <c r="Y4" s="7959" t="s">
        <v>139</v>
      </c>
      <c r="Z4" s="7960"/>
      <c r="AA4" s="7961" t="s">
        <v>512</v>
      </c>
      <c r="AB4" s="7962"/>
      <c r="AC4" s="7963" t="s">
        <v>2002</v>
      </c>
      <c r="AD4" s="7963"/>
      <c r="AE4" s="7964" t="s">
        <v>24</v>
      </c>
      <c r="AF4" s="7965"/>
      <c r="AG4" s="7963" t="s">
        <v>2018</v>
      </c>
      <c r="AH4" s="7963"/>
      <c r="AI4" s="7964" t="s">
        <v>27</v>
      </c>
      <c r="AJ4" s="7965"/>
      <c r="AK4" s="7963" t="s">
        <v>2033</v>
      </c>
      <c r="AL4" s="7963"/>
      <c r="AM4" s="7959" t="s">
        <v>1685</v>
      </c>
      <c r="AN4" s="7960"/>
      <c r="AO4" s="7964" t="s">
        <v>1683</v>
      </c>
      <c r="AP4" s="7965"/>
      <c r="AQ4" s="7955" t="s">
        <v>2137</v>
      </c>
      <c r="AR4" s="7956"/>
      <c r="AS4" s="7957" t="s">
        <v>28</v>
      </c>
      <c r="AT4" s="7958"/>
      <c r="AU4" s="7955" t="s">
        <v>2151</v>
      </c>
      <c r="AV4" s="7956"/>
      <c r="AW4" s="7957" t="s">
        <v>30</v>
      </c>
      <c r="AX4" s="7958"/>
      <c r="AY4" s="7955" t="s">
        <v>2163</v>
      </c>
      <c r="AZ4" s="7956"/>
      <c r="BA4" s="7959" t="s">
        <v>1729</v>
      </c>
      <c r="BB4" s="7960"/>
      <c r="BC4" s="7961" t="s">
        <v>550</v>
      </c>
      <c r="BD4" s="7962"/>
      <c r="BE4" s="7957" t="s">
        <v>1765</v>
      </c>
      <c r="BF4" s="7958"/>
    </row>
    <row r="5" spans="3:60" ht="19.5" thickBot="1" x14ac:dyDescent="0.35">
      <c r="C5" s="7968"/>
      <c r="D5" s="7970"/>
      <c r="E5" s="2283" t="s">
        <v>173</v>
      </c>
      <c r="F5" s="2284" t="s">
        <v>174</v>
      </c>
      <c r="G5" s="2283" t="s">
        <v>173</v>
      </c>
      <c r="H5" s="2285" t="s">
        <v>174</v>
      </c>
      <c r="I5" s="2286" t="s">
        <v>173</v>
      </c>
      <c r="J5" s="2287" t="s">
        <v>174</v>
      </c>
      <c r="K5" s="2288" t="s">
        <v>173</v>
      </c>
      <c r="L5" s="2289" t="s">
        <v>174</v>
      </c>
      <c r="M5" s="2290" t="s">
        <v>173</v>
      </c>
      <c r="N5" s="2291" t="s">
        <v>174</v>
      </c>
      <c r="O5" s="2283" t="s">
        <v>173</v>
      </c>
      <c r="P5" s="2285" t="s">
        <v>174</v>
      </c>
      <c r="Q5" s="2286" t="s">
        <v>173</v>
      </c>
      <c r="R5" s="2287" t="s">
        <v>174</v>
      </c>
      <c r="S5" s="2283" t="s">
        <v>173</v>
      </c>
      <c r="T5" s="2285" t="s">
        <v>174</v>
      </c>
      <c r="U5" s="2286" t="s">
        <v>173</v>
      </c>
      <c r="V5" s="2287" t="s">
        <v>174</v>
      </c>
      <c r="W5" s="2283" t="s">
        <v>173</v>
      </c>
      <c r="X5" s="2285" t="s">
        <v>174</v>
      </c>
      <c r="Y5" s="2292" t="s">
        <v>173</v>
      </c>
      <c r="Z5" s="2291" t="s">
        <v>174</v>
      </c>
      <c r="AA5" s="2293" t="s">
        <v>173</v>
      </c>
      <c r="AB5" s="2294" t="s">
        <v>174</v>
      </c>
      <c r="AC5" s="2653" t="s">
        <v>173</v>
      </c>
      <c r="AD5" s="2285" t="s">
        <v>174</v>
      </c>
      <c r="AE5" s="2652" t="s">
        <v>173</v>
      </c>
      <c r="AF5" s="2287" t="s">
        <v>174</v>
      </c>
      <c r="AG5" s="2689" t="s">
        <v>173</v>
      </c>
      <c r="AH5" s="2285" t="s">
        <v>174</v>
      </c>
      <c r="AI5" s="2688" t="s">
        <v>173</v>
      </c>
      <c r="AJ5" s="2287" t="s">
        <v>174</v>
      </c>
      <c r="AK5" s="2777" t="s">
        <v>173</v>
      </c>
      <c r="AL5" s="2285" t="s">
        <v>174</v>
      </c>
      <c r="AM5" s="2779" t="s">
        <v>173</v>
      </c>
      <c r="AN5" s="2291" t="s">
        <v>174</v>
      </c>
      <c r="AO5" s="2778" t="s">
        <v>173</v>
      </c>
      <c r="AP5" s="2287" t="s">
        <v>174</v>
      </c>
      <c r="AQ5" s="2820" t="s">
        <v>173</v>
      </c>
      <c r="AR5" s="2285" t="s">
        <v>174</v>
      </c>
      <c r="AS5" s="2819" t="s">
        <v>173</v>
      </c>
      <c r="AT5" s="2287" t="s">
        <v>174</v>
      </c>
      <c r="AU5" s="2856" t="s">
        <v>173</v>
      </c>
      <c r="AV5" s="2285" t="s">
        <v>174</v>
      </c>
      <c r="AW5" s="2855" t="s">
        <v>173</v>
      </c>
      <c r="AX5" s="2287" t="s">
        <v>174</v>
      </c>
      <c r="AY5" s="3116" t="s">
        <v>173</v>
      </c>
      <c r="AZ5" s="2285" t="s">
        <v>174</v>
      </c>
      <c r="BA5" s="3117" t="s">
        <v>173</v>
      </c>
      <c r="BB5" s="2291" t="s">
        <v>174</v>
      </c>
      <c r="BC5" s="3118" t="s">
        <v>173</v>
      </c>
      <c r="BD5" s="2294" t="s">
        <v>174</v>
      </c>
      <c r="BE5" s="3115" t="s">
        <v>173</v>
      </c>
      <c r="BF5" s="2287" t="s">
        <v>174</v>
      </c>
    </row>
    <row r="6" spans="3:60" ht="19.5" thickBot="1" x14ac:dyDescent="0.35">
      <c r="C6" s="2295" t="s">
        <v>7</v>
      </c>
      <c r="D6" s="2296" t="s">
        <v>50</v>
      </c>
      <c r="E6" s="2297">
        <v>99</v>
      </c>
      <c r="F6" s="2298">
        <v>97.16</v>
      </c>
      <c r="G6" s="2299">
        <v>101</v>
      </c>
      <c r="H6" s="2298">
        <v>92.66</v>
      </c>
      <c r="I6" s="2300">
        <f t="shared" ref="I6:J8" si="0">+E6+G6</f>
        <v>200</v>
      </c>
      <c r="J6" s="2301">
        <f t="shared" si="0"/>
        <v>189.82</v>
      </c>
      <c r="K6" s="2299">
        <v>100</v>
      </c>
      <c r="L6" s="2298">
        <v>95.85</v>
      </c>
      <c r="M6" s="2302">
        <f t="shared" ref="M6:N8" si="1">+I6+K6</f>
        <v>300</v>
      </c>
      <c r="N6" s="2303">
        <f t="shared" si="1"/>
        <v>285.66999999999996</v>
      </c>
      <c r="O6" s="2299">
        <v>101</v>
      </c>
      <c r="P6" s="2298">
        <v>89.35</v>
      </c>
      <c r="Q6" s="2300">
        <f t="shared" ref="Q6:R8" si="2">+M6+O6</f>
        <v>401</v>
      </c>
      <c r="R6" s="2301">
        <f t="shared" si="2"/>
        <v>375.02</v>
      </c>
      <c r="S6" s="2299">
        <v>101</v>
      </c>
      <c r="T6" s="2298">
        <v>66.47</v>
      </c>
      <c r="U6" s="2300">
        <f t="shared" ref="U6:U8" si="3">+Q6+S6</f>
        <v>502</v>
      </c>
      <c r="V6" s="2301">
        <f t="shared" ref="V6:V8" si="4">+R6+T6</f>
        <v>441.49</v>
      </c>
      <c r="W6" s="2299">
        <v>100</v>
      </c>
      <c r="X6" s="2298">
        <v>79.00800000000001</v>
      </c>
      <c r="Y6" s="2302">
        <f t="shared" ref="Y6:Z8" si="5">+O6+S6+W6</f>
        <v>302</v>
      </c>
      <c r="Z6" s="2303">
        <f t="shared" si="5"/>
        <v>234.828</v>
      </c>
      <c r="AA6" s="2304">
        <f t="shared" ref="AA6:AB8" si="6">+U6+W6</f>
        <v>602</v>
      </c>
      <c r="AB6" s="2305">
        <f t="shared" si="6"/>
        <v>520.49800000000005</v>
      </c>
      <c r="AC6" s="2299">
        <v>100</v>
      </c>
      <c r="AD6" s="2298">
        <v>65.930000000000007</v>
      </c>
      <c r="AE6" s="2300">
        <f t="shared" ref="AE6:AE8" si="7">+AA6+AC6</f>
        <v>702</v>
      </c>
      <c r="AF6" s="2301">
        <f t="shared" ref="AF6:AF8" si="8">+AB6+AD6</f>
        <v>586.42800000000011</v>
      </c>
      <c r="AG6" s="2299">
        <v>100</v>
      </c>
      <c r="AH6" s="2298">
        <v>175.16</v>
      </c>
      <c r="AI6" s="2300">
        <f t="shared" ref="AI6:AI8" si="9">+AE6+AG6</f>
        <v>802</v>
      </c>
      <c r="AJ6" s="2301">
        <f t="shared" ref="AJ6:AJ8" si="10">+AF6+AH6</f>
        <v>761.58800000000008</v>
      </c>
      <c r="AK6" s="2299">
        <v>100</v>
      </c>
      <c r="AL6" s="2298">
        <v>82.98</v>
      </c>
      <c r="AM6" s="2302">
        <f t="shared" ref="AM6:AM8" si="11">+AC6+AG6+AK6</f>
        <v>300</v>
      </c>
      <c r="AN6" s="2303">
        <f t="shared" ref="AN6:AN8" si="12">+AD6+AH6+AL6</f>
        <v>324.07</v>
      </c>
      <c r="AO6" s="2300">
        <f t="shared" ref="AO6:AO8" si="13">+AI6+AK6</f>
        <v>902</v>
      </c>
      <c r="AP6" s="2301">
        <f t="shared" ref="AP6:AP8" si="14">+AJ6+AL6</f>
        <v>844.5680000000001</v>
      </c>
      <c r="AQ6" s="2299">
        <v>100</v>
      </c>
      <c r="AR6" s="2298">
        <v>112.16</v>
      </c>
      <c r="AS6" s="2300">
        <f t="shared" ref="AS6:AS8" si="15">+AO6+AQ6</f>
        <v>1002</v>
      </c>
      <c r="AT6" s="2301">
        <f t="shared" ref="AT6:AT8" si="16">+AP6+AR6</f>
        <v>956.72800000000007</v>
      </c>
      <c r="AU6" s="2299">
        <v>97</v>
      </c>
      <c r="AV6" s="2298">
        <v>116.32</v>
      </c>
      <c r="AW6" s="2300">
        <f t="shared" ref="AW6:AW8" si="17">+AS6+AU6</f>
        <v>1099</v>
      </c>
      <c r="AX6" s="2301">
        <f t="shared" ref="AX6:AX8" si="18">+AT6+AV6</f>
        <v>1073.048</v>
      </c>
      <c r="AY6" s="2299">
        <v>100</v>
      </c>
      <c r="AZ6" s="2298">
        <v>106.56</v>
      </c>
      <c r="BA6" s="2302">
        <f t="shared" ref="BA6:BA8" si="19">+AQ6+AU6+AY6</f>
        <v>297</v>
      </c>
      <c r="BB6" s="2303">
        <f t="shared" ref="BB6:BB8" si="20">+AR6+AV6+AZ6</f>
        <v>335.03999999999996</v>
      </c>
      <c r="BC6" s="2304">
        <f>AM6+BA6</f>
        <v>597</v>
      </c>
      <c r="BD6" s="2304">
        <f>AN6+BB6</f>
        <v>659.1099999999999</v>
      </c>
      <c r="BE6" s="2300">
        <f t="shared" ref="BE6:BE8" si="21">+AW6+AY6</f>
        <v>1199</v>
      </c>
      <c r="BF6" s="2301">
        <f t="shared" ref="BF6:BF8" si="22">+AX6+AZ6</f>
        <v>1179.6079999999999</v>
      </c>
      <c r="BG6" s="585"/>
      <c r="BH6" s="585"/>
    </row>
    <row r="7" spans="3:60" ht="19.5" thickBot="1" x14ac:dyDescent="0.35">
      <c r="C7" s="2306" t="s">
        <v>593</v>
      </c>
      <c r="D7" s="2307" t="s">
        <v>50</v>
      </c>
      <c r="E7" s="2308">
        <v>150</v>
      </c>
      <c r="F7" s="2309">
        <v>143.6</v>
      </c>
      <c r="G7" s="2310">
        <v>150</v>
      </c>
      <c r="H7" s="2309">
        <v>124</v>
      </c>
      <c r="I7" s="2311">
        <f t="shared" si="0"/>
        <v>300</v>
      </c>
      <c r="J7" s="2312">
        <f t="shared" si="0"/>
        <v>267.60000000000002</v>
      </c>
      <c r="K7" s="2310">
        <v>150</v>
      </c>
      <c r="L7" s="2309">
        <v>149.85</v>
      </c>
      <c r="M7" s="2313">
        <f t="shared" si="1"/>
        <v>450</v>
      </c>
      <c r="N7" s="2314">
        <f t="shared" si="1"/>
        <v>417.45000000000005</v>
      </c>
      <c r="O7" s="2310">
        <v>150</v>
      </c>
      <c r="P7" s="2309">
        <v>134</v>
      </c>
      <c r="Q7" s="2311">
        <f t="shared" si="2"/>
        <v>600</v>
      </c>
      <c r="R7" s="2312">
        <f t="shared" si="2"/>
        <v>551.45000000000005</v>
      </c>
      <c r="S7" s="2310">
        <v>150</v>
      </c>
      <c r="T7" s="2309">
        <v>124</v>
      </c>
      <c r="U7" s="2311">
        <f t="shared" si="3"/>
        <v>750</v>
      </c>
      <c r="V7" s="2312">
        <f t="shared" si="4"/>
        <v>675.45</v>
      </c>
      <c r="W7" s="2310">
        <v>150</v>
      </c>
      <c r="X7" s="2309">
        <v>133.85</v>
      </c>
      <c r="Y7" s="2313">
        <f t="shared" si="5"/>
        <v>450</v>
      </c>
      <c r="Z7" s="2314">
        <f t="shared" si="5"/>
        <v>391.85</v>
      </c>
      <c r="AA7" s="2315">
        <f t="shared" si="6"/>
        <v>900</v>
      </c>
      <c r="AB7" s="2316">
        <f t="shared" si="6"/>
        <v>809.30000000000007</v>
      </c>
      <c r="AC7" s="2310">
        <v>150</v>
      </c>
      <c r="AD7" s="2309">
        <v>125.95</v>
      </c>
      <c r="AE7" s="2311">
        <f t="shared" si="7"/>
        <v>1050</v>
      </c>
      <c r="AF7" s="2312">
        <f t="shared" si="8"/>
        <v>935.25000000000011</v>
      </c>
      <c r="AG7" s="2310">
        <v>150</v>
      </c>
      <c r="AH7" s="2309">
        <v>134.05000000000001</v>
      </c>
      <c r="AI7" s="2311">
        <f t="shared" si="9"/>
        <v>1200</v>
      </c>
      <c r="AJ7" s="2312">
        <f t="shared" si="10"/>
        <v>1069.3000000000002</v>
      </c>
      <c r="AK7" s="2310">
        <v>150</v>
      </c>
      <c r="AL7" s="2309">
        <v>137</v>
      </c>
      <c r="AM7" s="2313">
        <f t="shared" si="11"/>
        <v>450</v>
      </c>
      <c r="AN7" s="2314">
        <f t="shared" si="12"/>
        <v>397</v>
      </c>
      <c r="AO7" s="2311">
        <f t="shared" si="13"/>
        <v>1350</v>
      </c>
      <c r="AP7" s="2312">
        <f t="shared" si="14"/>
        <v>1206.3000000000002</v>
      </c>
      <c r="AQ7" s="2310">
        <v>150</v>
      </c>
      <c r="AR7" s="2309">
        <v>113.71</v>
      </c>
      <c r="AS7" s="2311">
        <f t="shared" si="15"/>
        <v>1500</v>
      </c>
      <c r="AT7" s="2312">
        <f t="shared" si="16"/>
        <v>1320.0100000000002</v>
      </c>
      <c r="AU7" s="2310">
        <v>150</v>
      </c>
      <c r="AV7" s="2309">
        <v>143.21</v>
      </c>
      <c r="AW7" s="2311">
        <f t="shared" si="17"/>
        <v>1650</v>
      </c>
      <c r="AX7" s="2312">
        <f t="shared" si="18"/>
        <v>1463.2200000000003</v>
      </c>
      <c r="AY7" s="2310">
        <v>150</v>
      </c>
      <c r="AZ7" s="2309">
        <v>153.80000000000001</v>
      </c>
      <c r="BA7" s="2313">
        <f t="shared" si="19"/>
        <v>450</v>
      </c>
      <c r="BB7" s="2314">
        <f t="shared" si="20"/>
        <v>410.72</v>
      </c>
      <c r="BC7" s="2304">
        <f>AM7+BA7</f>
        <v>900</v>
      </c>
      <c r="BD7" s="2304">
        <f>AN7+BB7</f>
        <v>807.72</v>
      </c>
      <c r="BE7" s="2311">
        <f t="shared" si="21"/>
        <v>1800</v>
      </c>
      <c r="BF7" s="2312">
        <f t="shared" si="22"/>
        <v>1617.0200000000002</v>
      </c>
      <c r="BG7" s="585"/>
      <c r="BH7" s="585"/>
    </row>
    <row r="8" spans="3:60" ht="15.95" customHeight="1" thickBot="1" x14ac:dyDescent="0.35">
      <c r="C8" s="2317" t="s">
        <v>8</v>
      </c>
      <c r="D8" s="2318" t="s">
        <v>50</v>
      </c>
      <c r="E8" s="2319">
        <v>4</v>
      </c>
      <c r="F8" s="2320">
        <v>4</v>
      </c>
      <c r="G8" s="2321">
        <v>4</v>
      </c>
      <c r="H8" s="2320">
        <v>4</v>
      </c>
      <c r="I8" s="2322">
        <f t="shared" si="0"/>
        <v>8</v>
      </c>
      <c r="J8" s="2323">
        <f t="shared" si="0"/>
        <v>8</v>
      </c>
      <c r="K8" s="2321">
        <v>4</v>
      </c>
      <c r="L8" s="2320">
        <v>4.25</v>
      </c>
      <c r="M8" s="2324">
        <f t="shared" si="1"/>
        <v>12</v>
      </c>
      <c r="N8" s="2325">
        <f t="shared" si="1"/>
        <v>12.25</v>
      </c>
      <c r="O8" s="2321">
        <v>5</v>
      </c>
      <c r="P8" s="2320">
        <v>4.9000000000000004</v>
      </c>
      <c r="Q8" s="2322">
        <f t="shared" si="2"/>
        <v>17</v>
      </c>
      <c r="R8" s="2323">
        <f t="shared" si="2"/>
        <v>17.149999999999999</v>
      </c>
      <c r="S8" s="2321">
        <v>5</v>
      </c>
      <c r="T8" s="2320">
        <v>5.2</v>
      </c>
      <c r="U8" s="2322">
        <f t="shared" si="3"/>
        <v>22</v>
      </c>
      <c r="V8" s="2323">
        <f t="shared" si="4"/>
        <v>22.349999999999998</v>
      </c>
      <c r="W8" s="2321">
        <v>4</v>
      </c>
      <c r="X8" s="2320">
        <v>4.45</v>
      </c>
      <c r="Y8" s="2324">
        <f t="shared" si="5"/>
        <v>14</v>
      </c>
      <c r="Z8" s="2325">
        <f t="shared" si="5"/>
        <v>14.55</v>
      </c>
      <c r="AA8" s="2326">
        <f t="shared" si="6"/>
        <v>26</v>
      </c>
      <c r="AB8" s="2327">
        <f t="shared" si="6"/>
        <v>26.799999999999997</v>
      </c>
      <c r="AC8" s="2321">
        <v>4</v>
      </c>
      <c r="AD8" s="2320">
        <v>3.95</v>
      </c>
      <c r="AE8" s="2322">
        <f t="shared" si="7"/>
        <v>30</v>
      </c>
      <c r="AF8" s="2323">
        <f t="shared" si="8"/>
        <v>30.749999999999996</v>
      </c>
      <c r="AG8" s="2321">
        <v>4</v>
      </c>
      <c r="AH8" s="2320">
        <v>4.2300000000000004</v>
      </c>
      <c r="AI8" s="2322">
        <f t="shared" si="9"/>
        <v>34</v>
      </c>
      <c r="AJ8" s="2323">
        <f t="shared" si="10"/>
        <v>34.979999999999997</v>
      </c>
      <c r="AK8" s="2321">
        <v>4</v>
      </c>
      <c r="AL8" s="2320">
        <v>4.3499999999999996</v>
      </c>
      <c r="AM8" s="2324">
        <f t="shared" si="11"/>
        <v>12</v>
      </c>
      <c r="AN8" s="2325">
        <f t="shared" si="12"/>
        <v>12.53</v>
      </c>
      <c r="AO8" s="2322">
        <f t="shared" si="13"/>
        <v>38</v>
      </c>
      <c r="AP8" s="2323">
        <f t="shared" si="14"/>
        <v>39.33</v>
      </c>
      <c r="AQ8" s="2321">
        <v>4</v>
      </c>
      <c r="AR8" s="2320">
        <v>4.1500000000000004</v>
      </c>
      <c r="AS8" s="2322">
        <f t="shared" si="15"/>
        <v>42</v>
      </c>
      <c r="AT8" s="2323">
        <f t="shared" si="16"/>
        <v>43.48</v>
      </c>
      <c r="AU8" s="2321">
        <v>4</v>
      </c>
      <c r="AV8" s="2320">
        <v>4.1900000000000004</v>
      </c>
      <c r="AW8" s="2322">
        <f t="shared" si="17"/>
        <v>46</v>
      </c>
      <c r="AX8" s="2323">
        <f t="shared" si="18"/>
        <v>47.669999999999995</v>
      </c>
      <c r="AY8" s="2321">
        <v>4</v>
      </c>
      <c r="AZ8" s="2320">
        <v>4</v>
      </c>
      <c r="BA8" s="2324">
        <f t="shared" si="19"/>
        <v>12</v>
      </c>
      <c r="BB8" s="2325">
        <f t="shared" si="20"/>
        <v>12.34</v>
      </c>
      <c r="BC8" s="2304">
        <f t="shared" ref="BC8:BD8" si="23">AM8+BA8</f>
        <v>24</v>
      </c>
      <c r="BD8" s="2304">
        <f t="shared" si="23"/>
        <v>24.869999999999997</v>
      </c>
      <c r="BE8" s="2322">
        <f t="shared" si="21"/>
        <v>50</v>
      </c>
      <c r="BF8" s="2323">
        <f t="shared" si="22"/>
        <v>51.669999999999995</v>
      </c>
      <c r="BG8" s="585"/>
      <c r="BH8" s="585"/>
    </row>
    <row r="13" spans="3:60" x14ac:dyDescent="0.3">
      <c r="K13" s="2328"/>
      <c r="L13" s="2329"/>
    </row>
    <row r="14" spans="3:60" x14ac:dyDescent="0.3">
      <c r="K14" s="2328"/>
      <c r="L14" s="2330"/>
    </row>
    <row r="15" spans="3:60" x14ac:dyDescent="0.3">
      <c r="K15" s="2328"/>
      <c r="L15" s="2329"/>
    </row>
    <row r="17" spans="3:3" x14ac:dyDescent="0.3">
      <c r="C17" s="543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A66"/>
  <sheetViews>
    <sheetView topLeftCell="C2" zoomScale="70" zoomScaleNormal="70" workbookViewId="0">
      <selection activeCell="G66" sqref="G66"/>
    </sheetView>
  </sheetViews>
  <sheetFormatPr defaultRowHeight="15.75" x14ac:dyDescent="0.25"/>
  <cols>
    <col min="1" max="3" width="9.140625" style="1710"/>
    <col min="4" max="4" width="30.42578125" style="1710" customWidth="1"/>
    <col min="5" max="5" width="16.140625" style="1710" hidden="1" customWidth="1"/>
    <col min="6" max="6" width="15.42578125" style="1710" customWidth="1"/>
    <col min="7" max="7" width="15.7109375" style="1710" bestFit="1" customWidth="1"/>
    <col min="8" max="8" width="16.42578125" style="1710" bestFit="1" customWidth="1"/>
    <col min="9" max="9" width="5.85546875" style="3003" customWidth="1"/>
    <col min="10" max="10" width="30.85546875" style="1710" customWidth="1"/>
    <col min="11" max="11" width="15.42578125" style="1710" hidden="1" customWidth="1"/>
    <col min="12" max="13" width="15.7109375" style="1710" bestFit="1" customWidth="1"/>
    <col min="14" max="14" width="16.42578125" style="1710" bestFit="1" customWidth="1"/>
    <col min="15" max="15" width="3.140625" style="3003" customWidth="1"/>
    <col min="16" max="16" width="30" style="1710" customWidth="1"/>
    <col min="17" max="17" width="5.7109375" style="1710" hidden="1" customWidth="1"/>
    <col min="18" max="18" width="13.85546875" style="1710" customWidth="1"/>
    <col min="19" max="19" width="14" style="1710" bestFit="1" customWidth="1"/>
    <col min="20" max="20" width="16.42578125" style="1710" customWidth="1"/>
    <col min="21" max="21" width="17.140625" style="1710" bestFit="1" customWidth="1"/>
    <col min="22" max="22" width="3" style="1710" customWidth="1"/>
    <col min="23" max="23" width="32" style="1710" hidden="1" customWidth="1"/>
    <col min="24" max="24" width="12" style="1710" hidden="1" customWidth="1"/>
    <col min="25" max="25" width="13.42578125" style="1710" hidden="1" customWidth="1"/>
    <col min="26" max="26" width="16.28515625" style="1710" hidden="1" customWidth="1"/>
    <col min="27" max="27" width="15.28515625" style="1710" hidden="1" customWidth="1"/>
    <col min="28" max="28" width="0" style="1710" hidden="1" customWidth="1"/>
    <col min="29" max="16384" width="9.140625" style="1710"/>
  </cols>
  <sheetData>
    <row r="1" spans="4:27" x14ac:dyDescent="0.25">
      <c r="Y1" s="3796"/>
      <c r="Z1" s="3796"/>
    </row>
    <row r="2" spans="4:27" x14ac:dyDescent="0.25">
      <c r="Y2" s="3796"/>
      <c r="Z2" s="3796"/>
    </row>
    <row r="3" spans="4:27" x14ac:dyDescent="0.25">
      <c r="Y3" s="3796"/>
      <c r="Z3" s="3796"/>
    </row>
    <row r="4" spans="4:27" x14ac:dyDescent="0.25">
      <c r="Y4" s="3796"/>
      <c r="Z4" s="3796"/>
    </row>
    <row r="5" spans="4:27" ht="28.5" x14ac:dyDescent="0.45">
      <c r="D5" s="7972" t="s">
        <v>1496</v>
      </c>
      <c r="E5" s="7972"/>
      <c r="F5" s="7972"/>
      <c r="G5" s="7972"/>
      <c r="H5" s="7972"/>
      <c r="J5" s="7972" t="s">
        <v>1497</v>
      </c>
      <c r="K5" s="7972"/>
      <c r="L5" s="7972"/>
      <c r="M5" s="7972"/>
      <c r="N5" s="7972"/>
      <c r="P5" s="7973" t="s">
        <v>60</v>
      </c>
      <c r="Q5" s="7974"/>
      <c r="R5" s="7974"/>
      <c r="S5" s="7974"/>
      <c r="T5" s="7974"/>
      <c r="U5" s="7975"/>
      <c r="W5" s="7973" t="s">
        <v>1309</v>
      </c>
      <c r="X5" s="7974"/>
      <c r="Y5" s="7974"/>
      <c r="Z5" s="7974"/>
      <c r="AA5" s="7975"/>
    </row>
    <row r="6" spans="4:27" ht="28.5" x14ac:dyDescent="0.25">
      <c r="D6" s="2781"/>
      <c r="E6" s="2781"/>
      <c r="F6" s="2782" t="s">
        <v>1498</v>
      </c>
      <c r="G6" s="2782" t="s">
        <v>1499</v>
      </c>
      <c r="H6" s="2782" t="s">
        <v>1500</v>
      </c>
      <c r="I6" s="3004"/>
      <c r="J6" s="2781"/>
      <c r="K6" s="2781"/>
      <c r="L6" s="2782" t="s">
        <v>1498</v>
      </c>
      <c r="M6" s="2782" t="s">
        <v>1499</v>
      </c>
      <c r="N6" s="2782" t="s">
        <v>1500</v>
      </c>
      <c r="P6" s="2781"/>
      <c r="Q6" s="2781"/>
      <c r="R6" s="2782" t="s">
        <v>1498</v>
      </c>
      <c r="S6" s="2782" t="s">
        <v>1499</v>
      </c>
      <c r="T6" s="2782" t="s">
        <v>1500</v>
      </c>
      <c r="U6" s="2782" t="s">
        <v>1661</v>
      </c>
      <c r="W6" s="2781"/>
      <c r="X6" s="2782" t="s">
        <v>1498</v>
      </c>
      <c r="Y6" s="2782" t="s">
        <v>2210</v>
      </c>
      <c r="Z6" s="2782" t="s">
        <v>2211</v>
      </c>
      <c r="AA6" s="2782" t="s">
        <v>434</v>
      </c>
    </row>
    <row r="7" spans="4:27" ht="32.25" customHeight="1" x14ac:dyDescent="0.45">
      <c r="D7" s="2891" t="s">
        <v>1501</v>
      </c>
      <c r="E7" s="2892"/>
      <c r="F7" s="2893">
        <v>62.592421052631636</v>
      </c>
      <c r="G7" s="2893">
        <v>2.7966315789473684</v>
      </c>
      <c r="H7" s="2893">
        <v>3.3077368421052609</v>
      </c>
      <c r="J7" s="2891" t="s">
        <v>1501</v>
      </c>
      <c r="K7" s="2892"/>
      <c r="L7" s="2893">
        <v>63.913176470588255</v>
      </c>
      <c r="M7" s="2893">
        <v>1.8717647058823521</v>
      </c>
      <c r="N7" s="2893">
        <v>2.5894117647058814</v>
      </c>
      <c r="P7" s="2891" t="s">
        <v>1501</v>
      </c>
      <c r="Q7" s="2892"/>
      <c r="R7" s="2893">
        <v>57.384682274928792</v>
      </c>
      <c r="S7" s="2893">
        <v>4.061069698250412</v>
      </c>
      <c r="T7" s="2893">
        <v>2.9385519762231174</v>
      </c>
      <c r="U7" s="2893">
        <v>2.0851733646466379</v>
      </c>
      <c r="W7" s="2891" t="s">
        <v>1501</v>
      </c>
      <c r="X7" s="7979" t="s">
        <v>2187</v>
      </c>
      <c r="Y7" s="7980"/>
      <c r="Z7" s="7980"/>
      <c r="AA7" s="7981"/>
    </row>
    <row r="8" spans="4:27" ht="28.5" x14ac:dyDescent="0.45">
      <c r="D8" s="2891" t="s">
        <v>1502</v>
      </c>
      <c r="E8" s="2892"/>
      <c r="F8" s="2893">
        <v>62.414772946859848</v>
      </c>
      <c r="G8" s="2893">
        <v>3.0926360708534615</v>
      </c>
      <c r="H8" s="2893">
        <v>3.2114518760195785</v>
      </c>
      <c r="J8" s="2891" t="s">
        <v>1502</v>
      </c>
      <c r="K8" s="2892"/>
      <c r="L8" s="2893">
        <v>62.616530612244915</v>
      </c>
      <c r="M8" s="2893">
        <v>2.7822448979591838</v>
      </c>
      <c r="N8" s="2893">
        <v>3.0315918367346955</v>
      </c>
      <c r="P8" s="2891" t="s">
        <v>1502</v>
      </c>
      <c r="Q8" s="2892"/>
      <c r="R8" s="2893">
        <v>57.666494386436916</v>
      </c>
      <c r="S8" s="2893">
        <v>4.2392835375161679</v>
      </c>
      <c r="T8" s="2893">
        <v>3.0860570231678586</v>
      </c>
      <c r="U8" s="2893">
        <v>1.991930149178982</v>
      </c>
      <c r="W8" s="2891" t="s">
        <v>1502</v>
      </c>
      <c r="X8" s="7982"/>
      <c r="Y8" s="7983"/>
      <c r="Z8" s="7983"/>
      <c r="AA8" s="7984"/>
    </row>
    <row r="9" spans="4:27" ht="28.5" x14ac:dyDescent="0.45">
      <c r="D9" s="2891" t="s">
        <v>1503</v>
      </c>
      <c r="E9" s="2892"/>
      <c r="F9" s="2893">
        <v>62.249008403361287</v>
      </c>
      <c r="G9" s="2893">
        <v>3.7766554621848756</v>
      </c>
      <c r="H9" s="2893">
        <v>2.8714453781512606</v>
      </c>
      <c r="J9" s="2891" t="s">
        <v>1503</v>
      </c>
      <c r="K9" s="2892"/>
      <c r="L9" s="2893">
        <v>62.877727272727292</v>
      </c>
      <c r="M9" s="2893">
        <v>3.2952447552447564</v>
      </c>
      <c r="N9" s="2893">
        <v>2.1003496503496493</v>
      </c>
      <c r="P9" s="2891" t="s">
        <v>1503</v>
      </c>
      <c r="Q9" s="2892"/>
      <c r="R9" s="2893">
        <v>56.516058983090353</v>
      </c>
      <c r="S9" s="2893">
        <v>4.6805393152959391</v>
      </c>
      <c r="T9" s="2893">
        <v>2.9923282891980403</v>
      </c>
      <c r="U9" s="2893">
        <v>1.9580285119928031</v>
      </c>
      <c r="W9" s="2891" t="s">
        <v>1503</v>
      </c>
      <c r="X9" s="7982"/>
      <c r="Y9" s="7983"/>
      <c r="Z9" s="7983"/>
      <c r="AA9" s="7984"/>
    </row>
    <row r="10" spans="4:27" ht="28.5" x14ac:dyDescent="0.45">
      <c r="D10" s="2891" t="s">
        <v>1504</v>
      </c>
      <c r="E10" s="2892"/>
      <c r="F10" s="2893">
        <v>62.630572774869059</v>
      </c>
      <c r="G10" s="2893">
        <v>3.8978219895288015</v>
      </c>
      <c r="H10" s="2893">
        <v>2.2407120418848168</v>
      </c>
      <c r="J10" s="2891" t="s">
        <v>1504</v>
      </c>
      <c r="K10" s="2892"/>
      <c r="L10" s="2893">
        <v>63.026620999999963</v>
      </c>
      <c r="M10" s="2893">
        <v>3.7217741935483826</v>
      </c>
      <c r="N10" s="2893">
        <v>1.7948387096774181</v>
      </c>
      <c r="P10" s="2891" t="s">
        <v>1504</v>
      </c>
      <c r="Q10" s="2892"/>
      <c r="R10" s="2893">
        <v>56.248274943557462</v>
      </c>
      <c r="S10" s="2893">
        <v>4.8152999238446981</v>
      </c>
      <c r="T10" s="2893">
        <v>2.7998356123762473</v>
      </c>
      <c r="U10" s="2893">
        <v>1.9306909509977692</v>
      </c>
      <c r="W10" s="2891" t="s">
        <v>1504</v>
      </c>
      <c r="X10" s="7982"/>
      <c r="Y10" s="7983"/>
      <c r="Z10" s="7983"/>
      <c r="AA10" s="7984"/>
    </row>
    <row r="11" spans="4:27" ht="28.5" x14ac:dyDescent="0.45">
      <c r="D11" s="2891" t="s">
        <v>1505</v>
      </c>
      <c r="E11" s="2892"/>
      <c r="F11" s="2893">
        <v>61.856832946635677</v>
      </c>
      <c r="G11" s="2893">
        <v>4.2113573085846827</v>
      </c>
      <c r="H11" s="2893">
        <v>2.9364037122969839</v>
      </c>
      <c r="J11" s="2891" t="s">
        <v>1505</v>
      </c>
      <c r="K11" s="2892"/>
      <c r="L11" s="2893">
        <v>63.031521739130476</v>
      </c>
      <c r="M11" s="2893">
        <v>3.6093675889328081</v>
      </c>
      <c r="N11" s="2893">
        <v>1.8816403162055333</v>
      </c>
      <c r="P11" s="2891" t="s">
        <v>1505</v>
      </c>
      <c r="Q11" s="2892"/>
      <c r="R11" s="2893">
        <v>54.658268778978936</v>
      </c>
      <c r="S11" s="2893">
        <v>5.7694903097523493</v>
      </c>
      <c r="T11" s="2893">
        <v>2.9344785604493309</v>
      </c>
      <c r="U11" s="2893">
        <v>1.8331881373504406</v>
      </c>
      <c r="W11" s="2891" t="s">
        <v>1505</v>
      </c>
      <c r="X11" s="7982"/>
      <c r="Y11" s="7983"/>
      <c r="Z11" s="7983"/>
      <c r="AA11" s="7984"/>
    </row>
    <row r="12" spans="4:27" ht="28.5" x14ac:dyDescent="0.45">
      <c r="D12" s="2891" t="s">
        <v>1506</v>
      </c>
      <c r="E12" s="2892"/>
      <c r="F12" s="2893">
        <v>62.0164385093167</v>
      </c>
      <c r="G12" s="2893">
        <v>4.8478136645962682</v>
      </c>
      <c r="H12" s="2893">
        <v>2.1067950310558992</v>
      </c>
      <c r="J12" s="2891" t="s">
        <v>1506</v>
      </c>
      <c r="K12" s="2892"/>
      <c r="L12" s="2893">
        <v>62.828988919667516</v>
      </c>
      <c r="M12" s="2893">
        <v>4.1222160664819949</v>
      </c>
      <c r="N12" s="2893">
        <v>1.5608310249307473</v>
      </c>
      <c r="P12" s="2891" t="s">
        <v>1506</v>
      </c>
      <c r="Q12" s="2892"/>
      <c r="R12" s="2893">
        <v>54.557901847922452</v>
      </c>
      <c r="S12" s="2893">
        <v>5.9917244627008408</v>
      </c>
      <c r="T12" s="2893">
        <v>2.300313254544184</v>
      </c>
      <c r="U12" s="2893">
        <v>1.8502380482071401</v>
      </c>
      <c r="W12" s="2891" t="s">
        <v>1506</v>
      </c>
      <c r="X12" s="7985"/>
      <c r="Y12" s="7986"/>
      <c r="Z12" s="7986"/>
      <c r="AA12" s="7987"/>
    </row>
    <row r="13" spans="4:27" ht="9.75" customHeight="1" x14ac:dyDescent="0.45">
      <c r="D13" s="2783"/>
      <c r="E13" s="2784"/>
      <c r="F13" s="2785"/>
      <c r="G13" s="2785"/>
      <c r="H13" s="2785"/>
      <c r="J13" s="2783"/>
      <c r="K13" s="2784"/>
      <c r="L13" s="2785"/>
      <c r="M13" s="2785"/>
      <c r="N13" s="2785"/>
      <c r="P13" s="2783"/>
      <c r="Q13" s="2784"/>
      <c r="R13" s="2785"/>
      <c r="S13" s="2785"/>
      <c r="T13" s="2785"/>
      <c r="U13" s="2785"/>
      <c r="W13" s="2783"/>
      <c r="X13" s="2785"/>
      <c r="Y13" s="2785"/>
      <c r="Z13" s="2785"/>
      <c r="AA13" s="2785"/>
    </row>
    <row r="14" spans="4:27" ht="28.5" x14ac:dyDescent="0.45">
      <c r="D14" s="2894" t="s">
        <v>1507</v>
      </c>
      <c r="E14" s="2895"/>
      <c r="F14" s="2896">
        <v>61.36</v>
      </c>
      <c r="G14" s="2896">
        <v>4.2300000000000004</v>
      </c>
      <c r="H14" s="2896">
        <v>2.64</v>
      </c>
      <c r="J14" s="2894" t="s">
        <v>1507</v>
      </c>
      <c r="K14" s="2895"/>
      <c r="L14" s="2896">
        <v>62.43</v>
      </c>
      <c r="M14" s="2896">
        <v>3.52</v>
      </c>
      <c r="N14" s="2896">
        <v>2.2000000000000002</v>
      </c>
      <c r="P14" s="2894" t="s">
        <v>1507</v>
      </c>
      <c r="Q14" s="2895"/>
      <c r="R14" s="2896" t="s">
        <v>1662</v>
      </c>
      <c r="S14" s="2896" t="s">
        <v>1663</v>
      </c>
      <c r="T14" s="2896" t="s">
        <v>1664</v>
      </c>
      <c r="U14" s="2896">
        <v>1.85</v>
      </c>
      <c r="W14" s="2894"/>
      <c r="X14" s="7106"/>
      <c r="Y14" s="7107"/>
      <c r="Z14" s="7107"/>
      <c r="AA14" s="7108"/>
    </row>
    <row r="15" spans="4:27" ht="28.5" hidden="1" customHeight="1" x14ac:dyDescent="0.45">
      <c r="D15" s="7976" t="s">
        <v>1508</v>
      </c>
      <c r="E15" s="2895" t="s">
        <v>1509</v>
      </c>
      <c r="F15" s="2896">
        <v>62.26452542372882</v>
      </c>
      <c r="G15" s="2896">
        <v>4.0506779661016958</v>
      </c>
      <c r="H15" s="2896">
        <v>2.4597457627118628</v>
      </c>
      <c r="J15" s="2894"/>
      <c r="K15" s="2895" t="s">
        <v>1509</v>
      </c>
      <c r="L15" s="2896">
        <v>63.255868686868716</v>
      </c>
      <c r="M15" s="2896">
        <v>2.9725252525252523</v>
      </c>
      <c r="N15" s="2896">
        <v>1.8761616161616164</v>
      </c>
      <c r="P15" s="2894"/>
      <c r="Q15" s="2895"/>
      <c r="R15" s="2896"/>
      <c r="S15" s="2896"/>
      <c r="T15" s="2896"/>
      <c r="U15" s="2896"/>
      <c r="W15" s="2894"/>
      <c r="X15" s="2896"/>
      <c r="Y15" s="2896"/>
      <c r="Z15" s="2896"/>
      <c r="AA15" s="2896"/>
    </row>
    <row r="16" spans="4:27" ht="28.5" hidden="1" customHeight="1" x14ac:dyDescent="0.45">
      <c r="D16" s="7977"/>
      <c r="E16" s="2895" t="s">
        <v>1510</v>
      </c>
      <c r="F16" s="2896">
        <v>60.557013432835802</v>
      </c>
      <c r="G16" s="2896">
        <v>6.7840298507462693</v>
      </c>
      <c r="H16" s="2896">
        <v>2.5667164179104476</v>
      </c>
      <c r="J16" s="2894"/>
      <c r="K16" s="2895"/>
      <c r="L16" s="2896"/>
      <c r="M16" s="2896"/>
      <c r="N16" s="2896"/>
      <c r="P16" s="2894"/>
      <c r="Q16" s="2895"/>
      <c r="R16" s="2896"/>
      <c r="S16" s="2896"/>
      <c r="T16" s="2896"/>
      <c r="U16" s="2896"/>
      <c r="W16" s="2894"/>
      <c r="X16" s="2896"/>
      <c r="Y16" s="2896"/>
      <c r="Z16" s="2896"/>
      <c r="AA16" s="2896"/>
    </row>
    <row r="17" spans="4:27" ht="28.5" hidden="1" customHeight="1" x14ac:dyDescent="0.45">
      <c r="D17" s="7977"/>
      <c r="E17" s="2895" t="s">
        <v>1511</v>
      </c>
      <c r="F17" s="2896">
        <v>59.483333333333348</v>
      </c>
      <c r="G17" s="2896">
        <v>5.6566666666666663</v>
      </c>
      <c r="H17" s="2896">
        <v>5.4725000000000001</v>
      </c>
      <c r="J17" s="2894"/>
      <c r="K17" s="2895"/>
      <c r="L17" s="2896"/>
      <c r="M17" s="2896"/>
      <c r="N17" s="2896"/>
      <c r="P17" s="2894"/>
      <c r="Q17" s="2895"/>
      <c r="R17" s="2896"/>
      <c r="S17" s="2896"/>
      <c r="T17" s="2896"/>
      <c r="U17" s="2896"/>
      <c r="W17" s="2894"/>
      <c r="X17" s="2896"/>
      <c r="Y17" s="2896"/>
      <c r="Z17" s="2896"/>
      <c r="AA17" s="2896"/>
    </row>
    <row r="18" spans="4:27" ht="28.5" hidden="1" customHeight="1" x14ac:dyDescent="0.45">
      <c r="D18" s="7977"/>
      <c r="E18" s="2895" t="s">
        <v>1512</v>
      </c>
      <c r="F18" s="2896">
        <v>60.085000000000001</v>
      </c>
      <c r="G18" s="2896">
        <v>6.68</v>
      </c>
      <c r="H18" s="2896">
        <v>3.2549999999999999</v>
      </c>
      <c r="J18" s="2894"/>
      <c r="K18" s="2895"/>
      <c r="L18" s="2896"/>
      <c r="M18" s="2896"/>
      <c r="N18" s="2896"/>
      <c r="P18" s="2894"/>
      <c r="Q18" s="2895"/>
      <c r="R18" s="2896"/>
      <c r="S18" s="2896"/>
      <c r="T18" s="2896"/>
      <c r="U18" s="2896"/>
      <c r="W18" s="2894"/>
      <c r="X18" s="2896"/>
      <c r="Y18" s="2896"/>
      <c r="Z18" s="2896"/>
      <c r="AA18" s="2896"/>
    </row>
    <row r="19" spans="4:27" ht="28.5" hidden="1" customHeight="1" x14ac:dyDescent="0.45">
      <c r="D19" s="7977"/>
      <c r="E19" s="2895" t="s">
        <v>1513</v>
      </c>
      <c r="F19" s="2896">
        <v>61.6405009428032</v>
      </c>
      <c r="G19" s="2896">
        <v>4.9323067253299859</v>
      </c>
      <c r="H19" s="2896">
        <v>2.6575109993714601</v>
      </c>
      <c r="J19" s="2894"/>
      <c r="K19" s="2895"/>
      <c r="L19" s="2896"/>
      <c r="M19" s="2896"/>
      <c r="N19" s="2896"/>
      <c r="P19" s="2894"/>
      <c r="Q19" s="2895"/>
      <c r="R19" s="2896"/>
      <c r="S19" s="2896"/>
      <c r="T19" s="2896"/>
      <c r="U19" s="2896"/>
      <c r="W19" s="2894"/>
      <c r="X19" s="2896"/>
      <c r="Y19" s="2896"/>
      <c r="Z19" s="2896"/>
      <c r="AA19" s="2896"/>
    </row>
    <row r="20" spans="4:27" ht="27.75" customHeight="1" x14ac:dyDescent="0.45">
      <c r="D20" s="7978"/>
      <c r="E20" s="2895" t="s">
        <v>1514</v>
      </c>
      <c r="F20" s="2896">
        <v>61.65299988764054</v>
      </c>
      <c r="G20" s="2896">
        <v>4.8020112359550522</v>
      </c>
      <c r="H20" s="2896">
        <v>2.6520674157303348</v>
      </c>
      <c r="J20" s="2894" t="s">
        <v>1508</v>
      </c>
      <c r="K20" s="2895" t="s">
        <v>1514</v>
      </c>
      <c r="L20" s="2896">
        <v>62.937881390593041</v>
      </c>
      <c r="M20" s="2896">
        <v>3.5104498977505156</v>
      </c>
      <c r="N20" s="2896">
        <v>1.8599591002044982</v>
      </c>
      <c r="P20" s="2894" t="s">
        <v>1508</v>
      </c>
      <c r="Q20" s="2895" t="s">
        <v>1514</v>
      </c>
      <c r="R20" s="2896">
        <v>53.472138936884413</v>
      </c>
      <c r="S20" s="2896">
        <v>6.2968578269727109</v>
      </c>
      <c r="T20" s="2896">
        <v>2.6378704610110186</v>
      </c>
      <c r="U20" s="2896">
        <v>1.8678503639381072</v>
      </c>
      <c r="W20" s="2894" t="s">
        <v>1508</v>
      </c>
      <c r="X20" s="2896">
        <v>63.880192825112047</v>
      </c>
      <c r="Y20" s="2896">
        <v>3.9038116591928254</v>
      </c>
      <c r="Z20" s="2896">
        <v>3.4786995515695067</v>
      </c>
      <c r="AA20" s="2896">
        <v>0.20896141721670083</v>
      </c>
    </row>
    <row r="21" spans="4:27" ht="26.25" hidden="1" customHeight="1" x14ac:dyDescent="0.45">
      <c r="D21" s="2894" t="s">
        <v>1515</v>
      </c>
      <c r="E21" s="2895"/>
      <c r="F21" s="2896">
        <v>61.5</v>
      </c>
      <c r="G21" s="2896">
        <v>4.2</v>
      </c>
      <c r="H21" s="2896">
        <v>2.5</v>
      </c>
      <c r="J21" s="2894" t="s">
        <v>1515</v>
      </c>
      <c r="K21" s="2895"/>
      <c r="L21" s="2896">
        <v>62.8</v>
      </c>
      <c r="M21" s="2896">
        <v>3.5</v>
      </c>
      <c r="N21" s="2896">
        <v>1.9</v>
      </c>
      <c r="P21" s="2894" t="s">
        <v>1515</v>
      </c>
      <c r="Q21" s="2895"/>
      <c r="R21" s="2896">
        <v>53.37822824219618</v>
      </c>
      <c r="S21" s="2896">
        <v>5.9162847311280826</v>
      </c>
      <c r="T21" s="2896">
        <v>3.1141975851535659</v>
      </c>
      <c r="U21" s="2896">
        <v>1.8680849713778922</v>
      </c>
      <c r="W21" s="2894" t="s">
        <v>1515</v>
      </c>
      <c r="X21" s="2896">
        <v>53.37822824219618</v>
      </c>
      <c r="Y21" s="2896">
        <v>5.9162847311280826</v>
      </c>
      <c r="Z21" s="2896">
        <v>3.1141975851535659</v>
      </c>
      <c r="AA21" s="2896">
        <v>1.8680849713778922</v>
      </c>
    </row>
    <row r="22" spans="4:27" ht="29.25" customHeight="1" x14ac:dyDescent="0.45">
      <c r="D22" s="2894" t="s">
        <v>1778</v>
      </c>
      <c r="E22" s="2895"/>
      <c r="F22" s="2896">
        <v>61.37</v>
      </c>
      <c r="G22" s="2896">
        <v>4.9800000000000004</v>
      </c>
      <c r="H22" s="2896">
        <v>2.65</v>
      </c>
      <c r="J22" s="2894" t="s">
        <v>1778</v>
      </c>
      <c r="K22" s="2895"/>
      <c r="L22" s="2896">
        <v>62.5</v>
      </c>
      <c r="M22" s="2896">
        <v>3.95</v>
      </c>
      <c r="N22" s="2896">
        <v>2.0299999999999998</v>
      </c>
      <c r="P22" s="2894" t="s">
        <v>1778</v>
      </c>
      <c r="Q22" s="2895"/>
      <c r="R22" s="2896">
        <v>53.37822824219618</v>
      </c>
      <c r="S22" s="2896">
        <v>5.9162847311280826</v>
      </c>
      <c r="T22" s="2896">
        <v>3.1141975851535659</v>
      </c>
      <c r="U22" s="2896">
        <v>1.8680849713778922</v>
      </c>
      <c r="W22" s="2894" t="s">
        <v>1778</v>
      </c>
      <c r="X22" s="2896"/>
      <c r="Y22" s="2896"/>
      <c r="Z22" s="2896"/>
      <c r="AA22" s="2896"/>
    </row>
    <row r="23" spans="4:27" ht="114" hidden="1" customHeight="1" x14ac:dyDescent="0.45">
      <c r="D23" s="2897" t="s">
        <v>1703</v>
      </c>
      <c r="E23" s="2898"/>
      <c r="F23" s="2899">
        <v>60.83</v>
      </c>
      <c r="G23" s="2899">
        <v>4.82</v>
      </c>
      <c r="H23" s="2899">
        <v>3.32</v>
      </c>
      <c r="J23" s="2897" t="s">
        <v>1703</v>
      </c>
      <c r="K23" s="2898"/>
      <c r="L23" s="2899">
        <v>62.45</v>
      </c>
      <c r="M23" s="2899">
        <v>2.85</v>
      </c>
      <c r="N23" s="2899">
        <v>2.29</v>
      </c>
      <c r="P23" s="2897" t="s">
        <v>1703</v>
      </c>
      <c r="Q23" s="2898"/>
      <c r="R23" s="2899">
        <v>53.16</v>
      </c>
      <c r="S23" s="2899">
        <v>6.19</v>
      </c>
      <c r="T23" s="2899">
        <v>3.12</v>
      </c>
      <c r="U23" s="2899">
        <v>1.87</v>
      </c>
      <c r="W23" s="2897" t="s">
        <v>1703</v>
      </c>
      <c r="X23" s="2899">
        <v>53.16</v>
      </c>
      <c r="Y23" s="2899">
        <v>6.19</v>
      </c>
      <c r="Z23" s="2899">
        <v>3.12</v>
      </c>
      <c r="AA23" s="2899">
        <v>1.87</v>
      </c>
    </row>
    <row r="24" spans="4:27" ht="114" hidden="1" customHeight="1" x14ac:dyDescent="0.45">
      <c r="D24" s="2897" t="s">
        <v>1695</v>
      </c>
      <c r="E24" s="2898"/>
      <c r="F24" s="2899">
        <v>61.312799999999982</v>
      </c>
      <c r="G24" s="2899">
        <v>3.6630000000000003</v>
      </c>
      <c r="H24" s="2899">
        <v>2.8299999999999987</v>
      </c>
      <c r="J24" s="2897" t="s">
        <v>1695</v>
      </c>
      <c r="K24" s="2898"/>
      <c r="L24" s="2899">
        <v>62.771507246376814</v>
      </c>
      <c r="M24" s="2899">
        <v>2.4013043478260871</v>
      </c>
      <c r="N24" s="2899">
        <v>1.6024637681159422</v>
      </c>
      <c r="P24" s="2897" t="s">
        <v>1695</v>
      </c>
      <c r="Q24" s="2898"/>
      <c r="R24" s="2899">
        <v>52.19</v>
      </c>
      <c r="S24" s="2899">
        <v>6.36</v>
      </c>
      <c r="T24" s="2899">
        <v>3.15</v>
      </c>
      <c r="U24" s="2899">
        <v>1.85</v>
      </c>
      <c r="W24" s="2897" t="s">
        <v>1695</v>
      </c>
      <c r="X24" s="2899">
        <v>52.19</v>
      </c>
      <c r="Y24" s="2899">
        <v>6.36</v>
      </c>
      <c r="Z24" s="2899">
        <v>3.15</v>
      </c>
      <c r="AA24" s="2899">
        <v>1.85</v>
      </c>
    </row>
    <row r="25" spans="4:27" ht="114" hidden="1" customHeight="1" x14ac:dyDescent="0.45">
      <c r="D25" s="2897" t="s">
        <v>1697</v>
      </c>
      <c r="E25" s="2898"/>
      <c r="F25" s="2899">
        <v>61.834753424657535</v>
      </c>
      <c r="G25" s="2899">
        <v>3.0872602739726025</v>
      </c>
      <c r="H25" s="2899">
        <v>2.512876712328767</v>
      </c>
      <c r="J25" s="2897" t="s">
        <v>1697</v>
      </c>
      <c r="K25" s="2898"/>
      <c r="L25" s="2899">
        <v>62.529117647058818</v>
      </c>
      <c r="M25" s="2899">
        <v>2.3072549019607846</v>
      </c>
      <c r="N25" s="2899">
        <v>1.975490196078431</v>
      </c>
      <c r="P25" s="2897" t="s">
        <v>1697</v>
      </c>
      <c r="Q25" s="2898"/>
      <c r="R25" s="2899">
        <v>55.08</v>
      </c>
      <c r="S25" s="2899">
        <v>5.1260000000000003</v>
      </c>
      <c r="T25" s="2899">
        <v>2.67</v>
      </c>
      <c r="U25" s="2899">
        <v>1.87</v>
      </c>
      <c r="W25" s="2897" t="s">
        <v>1697</v>
      </c>
      <c r="X25" s="2899">
        <v>55.08</v>
      </c>
      <c r="Y25" s="2899">
        <v>5.1260000000000003</v>
      </c>
      <c r="Z25" s="2899">
        <v>2.67</v>
      </c>
      <c r="AA25" s="2899">
        <v>1.87</v>
      </c>
    </row>
    <row r="26" spans="4:27" ht="114" hidden="1" customHeight="1" x14ac:dyDescent="0.45">
      <c r="D26" s="2897" t="s">
        <v>1696</v>
      </c>
      <c r="E26" s="2898"/>
      <c r="F26" s="2899">
        <v>61.09731868131869</v>
      </c>
      <c r="G26" s="2899">
        <v>4.4797802197802179</v>
      </c>
      <c r="H26" s="2899">
        <v>2.3717582417582417</v>
      </c>
      <c r="I26" s="3003">
        <v>61.09731868131869</v>
      </c>
      <c r="J26" s="2897" t="s">
        <v>1696</v>
      </c>
      <c r="K26" s="2898"/>
      <c r="L26" s="2899">
        <v>62.505999999999993</v>
      </c>
      <c r="M26" s="2899">
        <v>2.7073170731707319</v>
      </c>
      <c r="N26" s="2899">
        <v>1.6843902439024394</v>
      </c>
      <c r="P26" s="2897" t="s">
        <v>1696</v>
      </c>
      <c r="Q26" s="2898"/>
      <c r="R26" s="2899">
        <v>52.78</v>
      </c>
      <c r="S26" s="2899">
        <v>6.24</v>
      </c>
      <c r="T26" s="2899">
        <v>2.65</v>
      </c>
      <c r="U26" s="2899">
        <v>1.86</v>
      </c>
      <c r="W26" s="2897" t="s">
        <v>1696</v>
      </c>
      <c r="X26" s="2899">
        <v>52.78</v>
      </c>
      <c r="Y26" s="2899">
        <v>6.24</v>
      </c>
      <c r="Z26" s="2899">
        <v>2.65</v>
      </c>
      <c r="AA26" s="2899">
        <v>1.86</v>
      </c>
    </row>
    <row r="27" spans="4:27" ht="114" hidden="1" customHeight="1" x14ac:dyDescent="0.45">
      <c r="D27" s="2897" t="s">
        <v>1698</v>
      </c>
      <c r="E27" s="2898"/>
      <c r="F27" s="2899">
        <v>60.579487804878084</v>
      </c>
      <c r="G27" s="2899">
        <v>5.0039024390243911</v>
      </c>
      <c r="H27" s="2899">
        <v>2.4721951219512199</v>
      </c>
      <c r="J27" s="2897" t="s">
        <v>1698</v>
      </c>
      <c r="K27" s="2898"/>
      <c r="L27" s="2899">
        <v>62.400642857142863</v>
      </c>
      <c r="M27" s="2899">
        <v>3.3657142857142861</v>
      </c>
      <c r="N27" s="2899">
        <v>1.3010714285714289</v>
      </c>
      <c r="P27" s="2897" t="s">
        <v>1698</v>
      </c>
      <c r="Q27" s="2898"/>
      <c r="R27" s="2899">
        <v>52.52</v>
      </c>
      <c r="S27" s="2899">
        <v>6.63</v>
      </c>
      <c r="T27" s="2899">
        <v>2.58</v>
      </c>
      <c r="U27" s="2899">
        <v>1.81</v>
      </c>
      <c r="W27" s="2897" t="s">
        <v>1698</v>
      </c>
      <c r="X27" s="2899">
        <v>52.52</v>
      </c>
      <c r="Y27" s="2899">
        <v>6.63</v>
      </c>
      <c r="Z27" s="2899">
        <v>2.58</v>
      </c>
      <c r="AA27" s="2899">
        <v>1.81</v>
      </c>
    </row>
    <row r="28" spans="4:27" ht="114" hidden="1" customHeight="1" x14ac:dyDescent="0.45">
      <c r="D28" s="2897" t="s">
        <v>1699</v>
      </c>
      <c r="E28" s="2898"/>
      <c r="F28" s="2899">
        <v>61.352785714285709</v>
      </c>
      <c r="G28" s="2899">
        <v>4.1680000000000019</v>
      </c>
      <c r="H28" s="2899">
        <v>2.0210000000000008</v>
      </c>
      <c r="J28" s="2897" t="s">
        <v>1699</v>
      </c>
      <c r="K28" s="2898"/>
      <c r="L28" s="2899">
        <v>62.178060606060612</v>
      </c>
      <c r="M28" s="2899">
        <v>3.3260606060606062</v>
      </c>
      <c r="N28" s="2899">
        <v>1.4766666666666668</v>
      </c>
      <c r="P28" s="2897" t="s">
        <v>1699</v>
      </c>
      <c r="Q28" s="2898"/>
      <c r="R28" s="2899">
        <v>52.6</v>
      </c>
      <c r="S28" s="2899">
        <v>6.63</v>
      </c>
      <c r="T28" s="2899">
        <v>2.42</v>
      </c>
      <c r="U28" s="2899">
        <v>1.75</v>
      </c>
      <c r="W28" s="2897" t="s">
        <v>1699</v>
      </c>
      <c r="X28" s="2899">
        <v>52.6</v>
      </c>
      <c r="Y28" s="2899">
        <v>6.63</v>
      </c>
      <c r="Z28" s="2899">
        <v>2.42</v>
      </c>
      <c r="AA28" s="2899">
        <v>1.75</v>
      </c>
    </row>
    <row r="29" spans="4:27" ht="114" hidden="1" customHeight="1" x14ac:dyDescent="0.45">
      <c r="D29" s="2897" t="s">
        <v>1700</v>
      </c>
      <c r="E29" s="2898"/>
      <c r="F29" s="2899">
        <v>60.652396039603971</v>
      </c>
      <c r="G29" s="2899">
        <v>4.925841584158416</v>
      </c>
      <c r="H29" s="2899">
        <v>2.2668316831683168</v>
      </c>
      <c r="J29" s="2897" t="s">
        <v>1700</v>
      </c>
      <c r="K29" s="2898"/>
      <c r="L29" s="2899">
        <v>62.535204545454569</v>
      </c>
      <c r="M29" s="2899">
        <v>2.8165909090909089</v>
      </c>
      <c r="N29" s="2899">
        <v>1.3911363636363632</v>
      </c>
      <c r="P29" s="2897" t="s">
        <v>1700</v>
      </c>
      <c r="Q29" s="2898"/>
      <c r="R29" s="2899">
        <v>53.18</v>
      </c>
      <c r="S29" s="2899">
        <v>6.46</v>
      </c>
      <c r="T29" s="2899">
        <v>2.27</v>
      </c>
      <c r="U29" s="2899">
        <v>1.75</v>
      </c>
      <c r="W29" s="2897" t="s">
        <v>1700</v>
      </c>
      <c r="X29" s="2899">
        <v>53.18</v>
      </c>
      <c r="Y29" s="2899">
        <v>6.46</v>
      </c>
      <c r="Z29" s="2899">
        <v>2.27</v>
      </c>
      <c r="AA29" s="2899">
        <v>1.75</v>
      </c>
    </row>
    <row r="30" spans="4:27" ht="114" hidden="1" customHeight="1" x14ac:dyDescent="0.45">
      <c r="D30" s="2897" t="s">
        <v>1701</v>
      </c>
      <c r="E30" s="2898"/>
      <c r="F30" s="2899">
        <v>61.29</v>
      </c>
      <c r="G30" s="2899">
        <v>4.04</v>
      </c>
      <c r="H30" s="2899">
        <v>2.21</v>
      </c>
      <c r="J30" s="2897" t="s">
        <v>1701</v>
      </c>
      <c r="K30" s="2898"/>
      <c r="L30" s="2899">
        <v>62.22</v>
      </c>
      <c r="M30" s="2899">
        <v>3.19</v>
      </c>
      <c r="N30" s="2899">
        <v>1.7</v>
      </c>
      <c r="P30" s="2897" t="s">
        <v>1701</v>
      </c>
      <c r="Q30" s="2898"/>
      <c r="R30" s="2899">
        <v>53.3</v>
      </c>
      <c r="S30" s="2899">
        <v>6.38</v>
      </c>
      <c r="T30" s="2899">
        <v>2.41</v>
      </c>
      <c r="U30" s="2899">
        <v>1.74</v>
      </c>
      <c r="W30" s="2897" t="s">
        <v>1701</v>
      </c>
      <c r="X30" s="2899">
        <v>53.3</v>
      </c>
      <c r="Y30" s="2899">
        <v>6.38</v>
      </c>
      <c r="Z30" s="2899">
        <v>2.41</v>
      </c>
      <c r="AA30" s="2899">
        <v>1.74</v>
      </c>
    </row>
    <row r="31" spans="4:27" ht="114" hidden="1" customHeight="1" x14ac:dyDescent="0.45">
      <c r="D31" s="2897" t="s">
        <v>1702</v>
      </c>
      <c r="E31" s="2898"/>
      <c r="F31" s="2899">
        <v>61.497297029702963</v>
      </c>
      <c r="G31" s="2899">
        <v>4.2097029702970303</v>
      </c>
      <c r="H31" s="2899">
        <v>1.8356435643564362</v>
      </c>
      <c r="J31" s="2897" t="s">
        <v>1702</v>
      </c>
      <c r="K31" s="2898"/>
      <c r="L31" s="2899">
        <v>62.373446808510671</v>
      </c>
      <c r="M31" s="2899">
        <v>3.2148936170212763</v>
      </c>
      <c r="N31" s="2899">
        <v>1.4134042553191488</v>
      </c>
      <c r="P31" s="2897" t="s">
        <v>1702</v>
      </c>
      <c r="Q31" s="2898"/>
      <c r="R31" s="2899">
        <v>53.96</v>
      </c>
      <c r="S31" s="2899">
        <v>6.1</v>
      </c>
      <c r="T31" s="2899">
        <v>2.21</v>
      </c>
      <c r="U31" s="2899">
        <v>1.74</v>
      </c>
      <c r="W31" s="2897" t="s">
        <v>1702</v>
      </c>
      <c r="X31" s="2899">
        <v>53.96</v>
      </c>
      <c r="Y31" s="2899">
        <v>6.1</v>
      </c>
      <c r="Z31" s="2899">
        <v>2.21</v>
      </c>
      <c r="AA31" s="2899">
        <v>1.74</v>
      </c>
    </row>
    <row r="32" spans="4:27" ht="114" hidden="1" customHeight="1" x14ac:dyDescent="0.45">
      <c r="D32" s="2897" t="s">
        <v>1709</v>
      </c>
      <c r="E32" s="2898"/>
      <c r="F32" s="2899">
        <v>61.49</v>
      </c>
      <c r="G32" s="2899">
        <v>3.8231868131868114</v>
      </c>
      <c r="H32" s="2899">
        <v>2.1123076923076924</v>
      </c>
      <c r="J32" s="2897" t="s">
        <v>1709</v>
      </c>
      <c r="K32" s="2898"/>
      <c r="L32" s="2899">
        <v>62</v>
      </c>
      <c r="M32" s="2899">
        <v>3.22</v>
      </c>
      <c r="N32" s="2899">
        <v>1.89</v>
      </c>
      <c r="P32" s="2897" t="s">
        <v>1709</v>
      </c>
      <c r="Q32" s="2898"/>
      <c r="R32" s="2899">
        <v>53.82</v>
      </c>
      <c r="S32" s="2899">
        <v>6.04</v>
      </c>
      <c r="T32" s="2899">
        <v>2.4</v>
      </c>
      <c r="U32" s="2899">
        <v>1.76</v>
      </c>
      <c r="W32" s="2897" t="s">
        <v>1709</v>
      </c>
      <c r="X32" s="2899">
        <v>53.82</v>
      </c>
      <c r="Y32" s="2899">
        <v>6.04</v>
      </c>
      <c r="Z32" s="2899">
        <v>2.4</v>
      </c>
      <c r="AA32" s="2899">
        <v>1.76</v>
      </c>
    </row>
    <row r="33" spans="4:27" ht="114" hidden="1" customHeight="1" x14ac:dyDescent="0.45">
      <c r="D33" s="2900" t="s">
        <v>1723</v>
      </c>
      <c r="E33" s="2901"/>
      <c r="F33" s="2902">
        <v>60.483788732394359</v>
      </c>
      <c r="G33" s="2902">
        <v>4.5140845070422539</v>
      </c>
      <c r="H33" s="2902">
        <v>2.9476056338028171</v>
      </c>
      <c r="J33" s="2900" t="s">
        <v>1723</v>
      </c>
      <c r="K33" s="2901"/>
      <c r="L33" s="2902">
        <v>61.784959183673486</v>
      </c>
      <c r="M33" s="2902">
        <v>3.1918367346938772</v>
      </c>
      <c r="N33" s="2902">
        <v>2.2140816326530612</v>
      </c>
      <c r="P33" s="2900" t="s">
        <v>1723</v>
      </c>
      <c r="Q33" s="2901"/>
      <c r="R33" s="2902">
        <v>53.01</v>
      </c>
      <c r="S33" s="2902">
        <v>6.26</v>
      </c>
      <c r="T33" s="2902">
        <v>2.79</v>
      </c>
      <c r="U33" s="2902">
        <v>1.77</v>
      </c>
      <c r="W33" s="2900" t="s">
        <v>1723</v>
      </c>
      <c r="X33" s="2902">
        <v>53.01</v>
      </c>
      <c r="Y33" s="2902">
        <v>6.26</v>
      </c>
      <c r="Z33" s="2902">
        <v>2.79</v>
      </c>
      <c r="AA33" s="2902">
        <v>1.77</v>
      </c>
    </row>
    <row r="34" spans="4:27" ht="114" hidden="1" customHeight="1" x14ac:dyDescent="0.45">
      <c r="D34" s="3123" t="s">
        <v>1736</v>
      </c>
      <c r="E34" s="3124"/>
      <c r="F34" s="3125">
        <v>60.709963855421684</v>
      </c>
      <c r="G34" s="3125">
        <v>4.3401204819277126</v>
      </c>
      <c r="H34" s="3125">
        <v>2.8090361445783141</v>
      </c>
      <c r="J34" s="3123" t="s">
        <v>1736</v>
      </c>
      <c r="K34" s="3124"/>
      <c r="L34" s="3125">
        <v>62.315816326530602</v>
      </c>
      <c r="M34" s="3125">
        <v>2.6636734693877555</v>
      </c>
      <c r="N34" s="3125">
        <v>1.9604081632653059</v>
      </c>
      <c r="P34" s="3123" t="s">
        <v>1736</v>
      </c>
      <c r="Q34" s="3124"/>
      <c r="R34" s="3125">
        <v>51.75</v>
      </c>
      <c r="S34" s="3125">
        <v>6.94</v>
      </c>
      <c r="T34" s="3125">
        <v>3.05</v>
      </c>
      <c r="U34" s="3125">
        <v>1.75</v>
      </c>
      <c r="W34" s="3123" t="s">
        <v>1736</v>
      </c>
      <c r="X34" s="3125">
        <v>51.75</v>
      </c>
      <c r="Y34" s="3125">
        <v>6.94</v>
      </c>
      <c r="Z34" s="3125">
        <v>3.05</v>
      </c>
      <c r="AA34" s="3125">
        <v>1.75</v>
      </c>
    </row>
    <row r="35" spans="4:27" ht="28.5" x14ac:dyDescent="0.45">
      <c r="D35" s="3126" t="s">
        <v>1779</v>
      </c>
      <c r="E35" s="3127"/>
      <c r="F35" s="3128">
        <f>+AVERAGE(F23:F34)</f>
        <v>61.094215940188583</v>
      </c>
      <c r="G35" s="3128">
        <f>+AVERAGE(G23:G34)</f>
        <v>4.2562399407824527</v>
      </c>
      <c r="H35" s="3128">
        <f>+AVERAGE(H23:H34)</f>
        <v>2.4757712328543167</v>
      </c>
      <c r="J35" s="3126" t="s">
        <v>1779</v>
      </c>
      <c r="K35" s="3127"/>
      <c r="L35" s="3128">
        <f>+AVERAGE(L23:L34)</f>
        <v>62.338729601734038</v>
      </c>
      <c r="M35" s="3128">
        <f t="shared" ref="M35:N35" si="0">+AVERAGE(M23:M34)</f>
        <v>2.9378871620771925</v>
      </c>
      <c r="N35" s="3128">
        <f t="shared" si="0"/>
        <v>1.7415927265173989</v>
      </c>
      <c r="P35" s="3126" t="s">
        <v>1779</v>
      </c>
      <c r="Q35" s="3127"/>
      <c r="R35" s="3128">
        <f t="shared" ref="R35" si="1">+AVERAGE(R23:R34)</f>
        <v>53.112500000000004</v>
      </c>
      <c r="S35" s="3128">
        <f t="shared" ref="S35" si="2">+AVERAGE(S23:S34)</f>
        <v>6.2796666666666674</v>
      </c>
      <c r="T35" s="3128">
        <f t="shared" ref="T35" si="3">+AVERAGE(T23:T34)</f>
        <v>2.6433333333333331</v>
      </c>
      <c r="U35" s="3128">
        <f t="shared" ref="U35" si="4">+AVERAGE(U23:U34)</f>
        <v>1.7933333333333332</v>
      </c>
      <c r="W35" s="3126" t="s">
        <v>1779</v>
      </c>
      <c r="X35" s="3128">
        <v>63.59238773333329</v>
      </c>
      <c r="Y35" s="3128">
        <v>4.1958666666666664</v>
      </c>
      <c r="Z35" s="3128">
        <v>2.3663466666666677</v>
      </c>
      <c r="AA35" s="3128">
        <v>0.19394146867642459</v>
      </c>
    </row>
    <row r="36" spans="4:27" ht="6.75" customHeight="1" x14ac:dyDescent="0.25">
      <c r="I36" s="1710"/>
      <c r="O36" s="1710"/>
    </row>
    <row r="37" spans="4:27" ht="28.5" x14ac:dyDescent="0.45">
      <c r="D37" s="2894" t="s">
        <v>1752</v>
      </c>
      <c r="F37" s="2896">
        <v>61.57</v>
      </c>
      <c r="G37" s="2896">
        <v>4.67</v>
      </c>
      <c r="H37" s="2896">
        <v>2.59</v>
      </c>
      <c r="I37" s="1710"/>
      <c r="J37" s="2894" t="s">
        <v>1752</v>
      </c>
      <c r="L37" s="2896">
        <v>62.47</v>
      </c>
      <c r="M37" s="2896">
        <v>3.84</v>
      </c>
      <c r="N37" s="2896">
        <v>2.13</v>
      </c>
      <c r="O37" s="1710"/>
      <c r="P37" s="2894" t="s">
        <v>1752</v>
      </c>
      <c r="R37" s="2896">
        <f>+SINTER!D103</f>
        <v>55.430739802849317</v>
      </c>
      <c r="S37" s="2896">
        <f>+SINTER!D105</f>
        <v>5.3691091749165931</v>
      </c>
      <c r="T37" s="2896">
        <f>+SINTER!D106</f>
        <v>2.7277716029417967</v>
      </c>
      <c r="U37" s="2896">
        <f>+SINTER!D109</f>
        <v>1.7221171729653546</v>
      </c>
      <c r="W37" s="2894"/>
      <c r="X37" s="2896"/>
      <c r="Y37" s="2896"/>
      <c r="Z37" s="2896"/>
      <c r="AA37" s="2896"/>
    </row>
    <row r="38" spans="4:27" ht="28.5" hidden="1" x14ac:dyDescent="0.45">
      <c r="D38" s="3324" t="s">
        <v>1773</v>
      </c>
      <c r="E38" s="3325"/>
      <c r="F38" s="3326">
        <v>61.297225352112704</v>
      </c>
      <c r="G38" s="3326">
        <v>4.1054929577464776</v>
      </c>
      <c r="H38" s="3326">
        <v>2.1745070422535218</v>
      </c>
      <c r="I38" s="1710"/>
      <c r="J38" s="3324" t="s">
        <v>1773</v>
      </c>
      <c r="K38" s="3325"/>
      <c r="L38" s="3326">
        <v>61.974096774193548</v>
      </c>
      <c r="M38" s="3326">
        <v>3.3241935483870959</v>
      </c>
      <c r="N38" s="3326">
        <v>1.9058064516129034</v>
      </c>
      <c r="O38" s="1710"/>
      <c r="P38" s="3324" t="s">
        <v>1773</v>
      </c>
      <c r="Q38" s="3325"/>
      <c r="R38" s="3326">
        <v>53.9</v>
      </c>
      <c r="S38" s="3326">
        <v>6</v>
      </c>
      <c r="T38" s="3326">
        <v>2.5099999999999998</v>
      </c>
      <c r="U38" s="3326">
        <v>1.76</v>
      </c>
      <c r="W38" s="3324" t="s">
        <v>1773</v>
      </c>
      <c r="X38" s="3326">
        <v>63.742094999999999</v>
      </c>
      <c r="Y38" s="3326">
        <v>3.8819999999999997</v>
      </c>
      <c r="Z38" s="3326">
        <v>2.1846666666666668</v>
      </c>
      <c r="AA38" s="3326">
        <v>0.26200318757664653</v>
      </c>
    </row>
    <row r="39" spans="4:27" ht="28.5" hidden="1" x14ac:dyDescent="0.45">
      <c r="D39" s="3324" t="s">
        <v>1892</v>
      </c>
      <c r="E39" s="3325"/>
      <c r="F39" s="3326">
        <v>60.624448275862093</v>
      </c>
      <c r="G39" s="3326">
        <v>4.3388505747126436</v>
      </c>
      <c r="H39" s="3326">
        <v>3.0133333333333336</v>
      </c>
      <c r="I39" s="1710"/>
      <c r="J39" s="3324" t="s">
        <v>1892</v>
      </c>
      <c r="K39" s="3325"/>
      <c r="L39" s="3326">
        <v>62.292258620689672</v>
      </c>
      <c r="M39" s="3326">
        <v>2.7684482758620699</v>
      </c>
      <c r="N39" s="3326">
        <v>1.9418965517241378</v>
      </c>
      <c r="O39" s="1710"/>
      <c r="P39" s="3324" t="s">
        <v>1892</v>
      </c>
      <c r="Q39" s="3325"/>
      <c r="R39" s="3326">
        <v>54.71</v>
      </c>
      <c r="S39" s="3326">
        <v>5.6</v>
      </c>
      <c r="T39" s="3326">
        <v>2.5299999999999998</v>
      </c>
      <c r="U39" s="3326">
        <v>1.76</v>
      </c>
      <c r="W39" s="3324" t="s">
        <v>1892</v>
      </c>
      <c r="X39" s="3326">
        <v>63.722999999999999</v>
      </c>
      <c r="Y39" s="3326">
        <v>3.8580000000000005</v>
      </c>
      <c r="Z39" s="3326">
        <v>2.2210000000000001</v>
      </c>
      <c r="AA39" s="3326">
        <v>0.24424809766926642</v>
      </c>
    </row>
    <row r="40" spans="4:27" ht="28.5" hidden="1" x14ac:dyDescent="0.45">
      <c r="D40" s="3324" t="s">
        <v>1935</v>
      </c>
      <c r="E40" s="3325"/>
      <c r="F40" s="3326">
        <v>61.508841269841277</v>
      </c>
      <c r="G40" s="3326">
        <v>3.5650793650793644</v>
      </c>
      <c r="H40" s="3326">
        <v>2.4058730158730164</v>
      </c>
      <c r="I40" s="1710"/>
      <c r="J40" s="3324" t="s">
        <v>1935</v>
      </c>
      <c r="K40" s="3325"/>
      <c r="L40" s="3326">
        <v>62.426810810810807</v>
      </c>
      <c r="M40" s="3326">
        <v>2.7586486486486481</v>
      </c>
      <c r="N40" s="3326">
        <v>1.7997297297297299</v>
      </c>
      <c r="O40" s="1710"/>
      <c r="P40" s="3324" t="s">
        <v>1935</v>
      </c>
      <c r="Q40" s="3325"/>
      <c r="R40" s="3326">
        <v>55.77</v>
      </c>
      <c r="S40" s="3326">
        <v>5.04</v>
      </c>
      <c r="T40" s="3326">
        <v>2.65</v>
      </c>
      <c r="U40" s="3326">
        <v>1.79</v>
      </c>
      <c r="W40" s="3324" t="s">
        <v>1935</v>
      </c>
      <c r="X40" s="3326">
        <v>63.663076923076922</v>
      </c>
      <c r="Y40" s="3326">
        <v>3.79</v>
      </c>
      <c r="Z40" s="3326">
        <v>2.4600000000000004</v>
      </c>
      <c r="AA40" s="3326">
        <v>0.25097425509297505</v>
      </c>
    </row>
    <row r="41" spans="4:27" ht="28.5" hidden="1" x14ac:dyDescent="0.45">
      <c r="D41" s="3324" t="s">
        <v>1960</v>
      </c>
      <c r="E41" s="3325"/>
      <c r="F41" s="3326">
        <v>61.76</v>
      </c>
      <c r="G41" s="3326">
        <v>3.52</v>
      </c>
      <c r="H41" s="3326">
        <v>2.09</v>
      </c>
      <c r="I41" s="1710"/>
      <c r="J41" s="3324" t="s">
        <v>1960</v>
      </c>
      <c r="K41" s="3325"/>
      <c r="L41" s="3326">
        <v>62.4</v>
      </c>
      <c r="M41" s="3326">
        <v>2.99</v>
      </c>
      <c r="N41" s="3326">
        <v>1.62</v>
      </c>
      <c r="O41" s="1710"/>
      <c r="P41" s="3324" t="s">
        <v>1960</v>
      </c>
      <c r="Q41" s="3325"/>
      <c r="R41" s="3326">
        <v>55.7</v>
      </c>
      <c r="S41" s="3326">
        <v>5.23</v>
      </c>
      <c r="T41" s="3326">
        <v>2.71</v>
      </c>
      <c r="U41" s="3326">
        <v>1.79</v>
      </c>
      <c r="W41" s="3324" t="s">
        <v>1960</v>
      </c>
      <c r="X41" s="3326">
        <v>63.581379310344822</v>
      </c>
      <c r="Y41" s="3326">
        <v>3.9189655172413791</v>
      </c>
      <c r="Z41" s="3326">
        <v>2.4296551724137938</v>
      </c>
      <c r="AA41" s="3326">
        <v>0.23173078734818464</v>
      </c>
    </row>
    <row r="42" spans="4:27" ht="28.5" hidden="1" x14ac:dyDescent="0.45">
      <c r="D42" s="3324" t="s">
        <v>1978</v>
      </c>
      <c r="E42" s="3325"/>
      <c r="F42" s="3326">
        <v>61.220569444444465</v>
      </c>
      <c r="G42" s="3326">
        <v>4.3161111111111099</v>
      </c>
      <c r="H42" s="3326">
        <v>2.3977777777777782</v>
      </c>
      <c r="I42" s="1710"/>
      <c r="J42" s="3324" t="s">
        <v>1978</v>
      </c>
      <c r="K42" s="3325"/>
      <c r="L42" s="3326">
        <v>62.312097560975616</v>
      </c>
      <c r="M42" s="3326">
        <v>3.2736585365853652</v>
      </c>
      <c r="N42" s="3326">
        <v>1.6480487804878043</v>
      </c>
      <c r="O42" s="1710"/>
      <c r="P42" s="3324" t="s">
        <v>1978</v>
      </c>
      <c r="Q42" s="3325"/>
      <c r="R42" s="3326">
        <v>55.53</v>
      </c>
      <c r="S42" s="3326">
        <v>5.43</v>
      </c>
      <c r="T42" s="3326">
        <v>2.5</v>
      </c>
      <c r="U42" s="3326">
        <v>1.76</v>
      </c>
      <c r="W42" s="3324" t="s">
        <v>1978</v>
      </c>
      <c r="X42" s="3326">
        <v>63.542749999999984</v>
      </c>
      <c r="Y42" s="3326">
        <v>4.3265000000000002</v>
      </c>
      <c r="Z42" s="3326">
        <v>2.011166666666667</v>
      </c>
      <c r="AA42" s="3326">
        <v>0.20099980381637836</v>
      </c>
    </row>
    <row r="43" spans="4:27" ht="28.5" hidden="1" x14ac:dyDescent="0.45">
      <c r="D43" s="3324" t="s">
        <v>2000</v>
      </c>
      <c r="E43" s="3325"/>
      <c r="F43" s="3326">
        <v>60.76</v>
      </c>
      <c r="G43" s="3326">
        <v>4.8</v>
      </c>
      <c r="H43" s="3326">
        <v>2.64</v>
      </c>
      <c r="I43" s="1710"/>
      <c r="J43" s="3324" t="s">
        <v>2000</v>
      </c>
      <c r="K43" s="3325"/>
      <c r="L43" s="3326">
        <v>62.21</v>
      </c>
      <c r="M43" s="3326">
        <v>3.43</v>
      </c>
      <c r="N43" s="3326">
        <v>1.65</v>
      </c>
      <c r="O43" s="1710"/>
      <c r="P43" s="3324" t="s">
        <v>2000</v>
      </c>
      <c r="Q43" s="3325"/>
      <c r="R43" s="3326">
        <v>55.61</v>
      </c>
      <c r="S43" s="3326">
        <v>5.49</v>
      </c>
      <c r="T43" s="3326">
        <v>2.5299999999999998</v>
      </c>
      <c r="U43" s="3326">
        <v>1.76</v>
      </c>
      <c r="W43" s="3324" t="s">
        <v>2000</v>
      </c>
      <c r="X43" s="3326">
        <v>63.683207547169815</v>
      </c>
      <c r="Y43" s="3326">
        <v>4.268301886792452</v>
      </c>
      <c r="Z43" s="3326">
        <v>1.9194339622641508</v>
      </c>
      <c r="AA43" s="3326">
        <v>0.22300139315036285</v>
      </c>
    </row>
    <row r="44" spans="4:27" ht="28.5" hidden="1" x14ac:dyDescent="0.45">
      <c r="D44" s="3324" t="s">
        <v>2017</v>
      </c>
      <c r="E44" s="3325"/>
      <c r="F44" s="3326">
        <v>60.77</v>
      </c>
      <c r="G44" s="3326">
        <v>5.14</v>
      </c>
      <c r="H44" s="3326">
        <v>2.27</v>
      </c>
      <c r="I44" s="1710"/>
      <c r="J44" s="3324" t="s">
        <v>2017</v>
      </c>
      <c r="K44" s="3325"/>
      <c r="L44" s="3326">
        <v>61.98</v>
      </c>
      <c r="M44" s="3326">
        <v>4.04</v>
      </c>
      <c r="N44" s="3326">
        <v>1.47</v>
      </c>
      <c r="O44" s="1710"/>
      <c r="P44" s="3324" t="s">
        <v>2017</v>
      </c>
      <c r="Q44" s="3325"/>
      <c r="R44" s="3326">
        <v>55.38</v>
      </c>
      <c r="S44" s="3326">
        <v>5.92</v>
      </c>
      <c r="T44" s="3326">
        <v>2.21</v>
      </c>
      <c r="U44" s="3326">
        <v>1.71</v>
      </c>
      <c r="W44" s="3324" t="s">
        <v>2017</v>
      </c>
      <c r="X44" s="3326">
        <v>63.17813559322034</v>
      </c>
      <c r="Y44" s="3326">
        <v>4.8271186440677969</v>
      </c>
      <c r="Z44" s="3326">
        <v>2.095084745762712</v>
      </c>
      <c r="AA44" s="3326">
        <v>0.2069234884341811</v>
      </c>
    </row>
    <row r="45" spans="4:27" ht="28.5" hidden="1" x14ac:dyDescent="0.45">
      <c r="D45" s="5626" t="s">
        <v>2019</v>
      </c>
      <c r="E45" s="5627"/>
      <c r="F45" s="5628">
        <v>60.28</v>
      </c>
      <c r="G45" s="5628">
        <v>5.9</v>
      </c>
      <c r="H45" s="5628">
        <v>2.3199999999999998</v>
      </c>
      <c r="I45" s="1710"/>
      <c r="J45" s="5626" t="s">
        <v>2019</v>
      </c>
      <c r="K45" s="5627"/>
      <c r="L45" s="5628">
        <v>63.36</v>
      </c>
      <c r="M45" s="5628">
        <v>1.94</v>
      </c>
      <c r="N45" s="5628">
        <v>1.1599999999999999</v>
      </c>
      <c r="O45" s="1710"/>
      <c r="P45" s="5626" t="s">
        <v>2019</v>
      </c>
      <c r="Q45" s="5627"/>
      <c r="R45" s="5628">
        <v>55.14</v>
      </c>
      <c r="S45" s="5628">
        <v>6.21</v>
      </c>
      <c r="T45" s="5628">
        <v>1.86</v>
      </c>
      <c r="U45" s="5628">
        <v>1.65</v>
      </c>
      <c r="W45" s="5626" t="s">
        <v>2019</v>
      </c>
      <c r="X45" s="5628">
        <v>63.24</v>
      </c>
      <c r="Y45" s="5628">
        <v>4.7233333333333336</v>
      </c>
      <c r="Z45" s="5628">
        <v>1.9799999999999998</v>
      </c>
      <c r="AA45" s="5628">
        <v>0.21128274280341786</v>
      </c>
    </row>
    <row r="46" spans="4:27" ht="28.5" hidden="1" x14ac:dyDescent="0.45">
      <c r="D46" s="5626" t="s">
        <v>2050</v>
      </c>
      <c r="E46" s="5627"/>
      <c r="F46" s="5628">
        <v>60.800194029850751</v>
      </c>
      <c r="G46" s="5628">
        <v>5.4104477611940291</v>
      </c>
      <c r="H46" s="5628">
        <v>2.5916417910447751</v>
      </c>
      <c r="I46" s="1710"/>
      <c r="J46" s="5626" t="s">
        <v>2050</v>
      </c>
      <c r="K46" s="5627"/>
      <c r="L46" s="5628">
        <v>62.609470588235297</v>
      </c>
      <c r="M46" s="5628">
        <v>3.2664705882352947</v>
      </c>
      <c r="N46" s="5628">
        <v>1.8623529411764705</v>
      </c>
      <c r="O46" s="1710"/>
      <c r="P46" s="5626" t="s">
        <v>2050</v>
      </c>
      <c r="Q46" s="5627"/>
      <c r="R46" s="5628">
        <v>55.163473084886107</v>
      </c>
      <c r="S46" s="5628">
        <v>6.0949327122153214</v>
      </c>
      <c r="T46" s="5628">
        <v>2.0597308488612844</v>
      </c>
      <c r="U46" s="5628">
        <v>1.6836904761904761</v>
      </c>
      <c r="W46" s="5626" t="s">
        <v>2050</v>
      </c>
      <c r="X46" s="5628">
        <v>63.52533333333335</v>
      </c>
      <c r="Y46" s="5628">
        <v>4.3021666666666674</v>
      </c>
      <c r="Z46" s="5628">
        <v>2.052</v>
      </c>
      <c r="AA46" s="5628">
        <v>0.23174986094325872</v>
      </c>
    </row>
    <row r="47" spans="4:27" ht="28.5" hidden="1" x14ac:dyDescent="0.45">
      <c r="D47" s="6154" t="s">
        <v>2146</v>
      </c>
      <c r="E47" s="6155"/>
      <c r="F47" s="6156">
        <v>61.573957142857161</v>
      </c>
      <c r="G47" s="6156">
        <v>4.7048571428571444</v>
      </c>
      <c r="H47" s="6156">
        <v>2.452285714285714</v>
      </c>
      <c r="I47" s="1710"/>
      <c r="J47" s="6154" t="s">
        <v>2146</v>
      </c>
      <c r="K47" s="6155"/>
      <c r="L47" s="6156">
        <v>62.925323529411756</v>
      </c>
      <c r="M47" s="6156">
        <v>3.1526470588235291</v>
      </c>
      <c r="N47" s="6156">
        <v>1.9364705882352942</v>
      </c>
      <c r="O47" s="1710"/>
      <c r="P47" s="6154" t="s">
        <v>2146</v>
      </c>
      <c r="Q47" s="6155"/>
      <c r="R47" s="6156">
        <v>55.2</v>
      </c>
      <c r="S47" s="6156">
        <v>6.21</v>
      </c>
      <c r="T47" s="6156">
        <v>2.08</v>
      </c>
      <c r="U47" s="6156">
        <v>1.67</v>
      </c>
      <c r="W47" s="6154" t="s">
        <v>2146</v>
      </c>
      <c r="X47" s="6156">
        <v>63.535666666666678</v>
      </c>
      <c r="Y47" s="6156">
        <v>4.4913333333333316</v>
      </c>
      <c r="Z47" s="6156">
        <v>1.9189999999999994</v>
      </c>
      <c r="AA47" s="6156">
        <v>0.23026334028515716</v>
      </c>
    </row>
    <row r="48" spans="4:27" ht="28.5" hidden="1" x14ac:dyDescent="0.45">
      <c r="D48" s="6331" t="s">
        <v>2154</v>
      </c>
      <c r="E48" s="6332"/>
      <c r="F48" s="6333">
        <v>61.4</v>
      </c>
      <c r="G48" s="6333">
        <v>4.8082857142857129</v>
      </c>
      <c r="H48" s="6333">
        <v>2.6940000000000004</v>
      </c>
      <c r="I48" s="1710"/>
      <c r="J48" s="6331" t="s">
        <v>2154</v>
      </c>
      <c r="K48" s="6332"/>
      <c r="L48" s="6333">
        <v>62.508307692307682</v>
      </c>
      <c r="M48" s="6333">
        <v>3.5346153846153849</v>
      </c>
      <c r="N48" s="6333">
        <v>2.2957692307692303</v>
      </c>
      <c r="O48" s="1710"/>
      <c r="P48" s="6331" t="s">
        <v>2154</v>
      </c>
      <c r="Q48" s="6332"/>
      <c r="R48" s="6333">
        <v>56.4</v>
      </c>
      <c r="S48" s="6333">
        <v>5.55</v>
      </c>
      <c r="T48" s="6333">
        <v>2.15</v>
      </c>
      <c r="U48" s="6333">
        <v>1.68</v>
      </c>
      <c r="W48" s="6331" t="s">
        <v>2154</v>
      </c>
      <c r="X48" s="6333">
        <v>63.485769230769215</v>
      </c>
      <c r="Y48" s="6333">
        <v>4.4263461538461533</v>
      </c>
      <c r="Z48" s="6333">
        <v>2.1021153846153844</v>
      </c>
      <c r="AA48" s="6333">
        <v>0.22496538083195233</v>
      </c>
    </row>
    <row r="49" spans="4:27" ht="28.5" hidden="1" x14ac:dyDescent="0.45">
      <c r="D49" s="6575" t="s">
        <v>2177</v>
      </c>
      <c r="E49" s="6576"/>
      <c r="F49" s="6577">
        <v>61.197309278350545</v>
      </c>
      <c r="G49" s="6577">
        <v>4.8077319587628855</v>
      </c>
      <c r="H49" s="6577">
        <v>3.0503092783505159</v>
      </c>
      <c r="I49" s="1710"/>
      <c r="J49" s="6575" t="s">
        <v>2177</v>
      </c>
      <c r="K49" s="6576"/>
      <c r="L49" s="6577">
        <v>62.936629032258054</v>
      </c>
      <c r="M49" s="6577">
        <v>3.0269354838709677</v>
      </c>
      <c r="N49" s="6577">
        <v>2.02</v>
      </c>
      <c r="O49" s="1710"/>
      <c r="P49" s="6575" t="s">
        <v>2177</v>
      </c>
      <c r="Q49" s="6576"/>
      <c r="R49" s="6577">
        <v>55.72</v>
      </c>
      <c r="S49" s="6577">
        <v>5.85</v>
      </c>
      <c r="T49" s="6577">
        <v>2.48</v>
      </c>
      <c r="U49" s="6577">
        <v>1.66</v>
      </c>
      <c r="W49" s="6575" t="s">
        <v>2177</v>
      </c>
      <c r="X49" s="6577">
        <v>63.674318181818172</v>
      </c>
      <c r="Y49" s="6577">
        <v>4.153863636363635</v>
      </c>
      <c r="Z49" s="6577">
        <v>2.2145454545454539</v>
      </c>
      <c r="AA49" s="6577">
        <v>0.23569111501689316</v>
      </c>
    </row>
    <row r="50" spans="4:27" ht="28.5" x14ac:dyDescent="0.45">
      <c r="D50" s="3126" t="s">
        <v>2297</v>
      </c>
      <c r="E50" s="3127"/>
      <c r="F50" s="3128">
        <f>AVERAGE(F38:F49)</f>
        <v>61.099378732776579</v>
      </c>
      <c r="G50" s="3128">
        <f t="shared" ref="G50:H50" si="5">AVERAGE(G38:G49)</f>
        <v>4.6180713821457813</v>
      </c>
      <c r="H50" s="3128">
        <f t="shared" si="5"/>
        <v>2.5083106627432215</v>
      </c>
      <c r="J50" s="3126" t="s">
        <v>2297</v>
      </c>
      <c r="K50" s="3127"/>
      <c r="L50" s="3128">
        <f>AVERAGE(L38:L49)</f>
        <v>62.49458288407353</v>
      </c>
      <c r="M50" s="3128">
        <f t="shared" ref="M50:N50" si="6">AVERAGE(M38:M49)</f>
        <v>3.1254681270856959</v>
      </c>
      <c r="N50" s="3128">
        <f t="shared" si="6"/>
        <v>1.7758395228112978</v>
      </c>
      <c r="P50" s="3126" t="s">
        <v>2297</v>
      </c>
      <c r="Q50" s="3127"/>
      <c r="R50" s="3128">
        <v>55.364096471484046</v>
      </c>
      <c r="S50" s="3128">
        <v>5.691699348023473</v>
      </c>
      <c r="T50" s="3128">
        <v>2.3946434167015349</v>
      </c>
      <c r="U50" s="3128">
        <v>1.7271057079087773</v>
      </c>
      <c r="W50" s="3126" t="s">
        <v>2297</v>
      </c>
      <c r="X50" s="3128">
        <v>63.552863669724786</v>
      </c>
      <c r="Y50" s="3128">
        <v>4.261779816513755</v>
      </c>
      <c r="Z50" s="3128">
        <v>2.1195045871559608</v>
      </c>
      <c r="AA50" s="3128">
        <v>0.22869575335704986</v>
      </c>
    </row>
    <row r="51" spans="4:27" ht="10.5" customHeight="1" x14ac:dyDescent="0.25">
      <c r="I51" s="1710"/>
      <c r="O51" s="1710"/>
    </row>
    <row r="52" spans="4:27" ht="28.5" x14ac:dyDescent="0.45">
      <c r="D52" s="2894" t="s">
        <v>2257</v>
      </c>
      <c r="F52" s="2896">
        <v>61.06</v>
      </c>
      <c r="G52" s="2896">
        <v>4.62</v>
      </c>
      <c r="H52" s="2896">
        <v>2.98</v>
      </c>
      <c r="I52" s="1710"/>
      <c r="J52" s="2894" t="s">
        <v>2257</v>
      </c>
      <c r="L52" s="2896">
        <v>62.47</v>
      </c>
      <c r="M52" s="2896">
        <v>3.84</v>
      </c>
      <c r="N52" s="2896">
        <v>2.13</v>
      </c>
      <c r="O52" s="1710"/>
      <c r="P52" s="2894" t="s">
        <v>2257</v>
      </c>
      <c r="R52" s="2896">
        <v>55.430739802849317</v>
      </c>
      <c r="S52" s="2896">
        <v>5.3691091749165931</v>
      </c>
      <c r="T52" s="2896">
        <v>2.7277716029417967</v>
      </c>
      <c r="U52" s="2896">
        <v>1.7221171729653546</v>
      </c>
      <c r="W52" s="2894"/>
      <c r="X52" s="2896"/>
      <c r="Y52" s="2896"/>
      <c r="Z52" s="2896"/>
      <c r="AA52" s="2896"/>
    </row>
    <row r="53" spans="4:27" ht="28.5" x14ac:dyDescent="0.45">
      <c r="D53" s="3324" t="s">
        <v>2296</v>
      </c>
      <c r="E53" s="3325"/>
      <c r="F53" s="3326">
        <v>61.33</v>
      </c>
      <c r="G53" s="3326">
        <v>4.9000000000000004</v>
      </c>
      <c r="H53" s="3326">
        <v>2.75</v>
      </c>
      <c r="I53" s="1710"/>
      <c r="J53" s="3324" t="s">
        <v>2296</v>
      </c>
      <c r="K53" s="3325"/>
      <c r="L53" s="3326">
        <v>62.97</v>
      </c>
      <c r="M53" s="3326">
        <v>3.26</v>
      </c>
      <c r="N53" s="3326">
        <v>1.76</v>
      </c>
      <c r="O53" s="1710"/>
      <c r="P53" s="3324" t="s">
        <v>2296</v>
      </c>
      <c r="Q53" s="3325"/>
      <c r="R53" s="3326">
        <v>57.06</v>
      </c>
      <c r="S53" s="3326">
        <v>5.18</v>
      </c>
      <c r="T53" s="3326">
        <v>2.21</v>
      </c>
      <c r="U53" s="3326">
        <v>1.67</v>
      </c>
      <c r="W53" s="3324" t="s">
        <v>2296</v>
      </c>
      <c r="X53" s="3326"/>
      <c r="Y53" s="3326"/>
      <c r="Z53" s="3326"/>
      <c r="AA53" s="3326"/>
    </row>
    <row r="54" spans="4:27" ht="28.5" x14ac:dyDescent="0.45">
      <c r="D54" s="3324" t="s">
        <v>2323</v>
      </c>
      <c r="E54" s="3325"/>
      <c r="F54" s="3326">
        <v>62.17</v>
      </c>
      <c r="G54" s="3326">
        <v>4.08</v>
      </c>
      <c r="H54" s="3326">
        <v>2.25</v>
      </c>
      <c r="I54" s="1710"/>
      <c r="J54" s="3324" t="s">
        <v>2323</v>
      </c>
      <c r="K54" s="3325"/>
      <c r="L54" s="3326">
        <v>63.05</v>
      </c>
      <c r="M54" s="3326">
        <v>3.07</v>
      </c>
      <c r="N54" s="3326">
        <v>1.79</v>
      </c>
      <c r="O54" s="1710"/>
      <c r="P54" s="3324" t="s">
        <v>2323</v>
      </c>
      <c r="Q54" s="3325"/>
      <c r="R54" s="3326">
        <v>56.88</v>
      </c>
      <c r="S54" s="3326">
        <v>5.22</v>
      </c>
      <c r="T54" s="3326">
        <v>2.36</v>
      </c>
      <c r="U54" s="3326">
        <v>1.67</v>
      </c>
      <c r="W54" s="3324"/>
      <c r="X54" s="3326"/>
      <c r="Y54" s="3326"/>
      <c r="Z54" s="3326"/>
      <c r="AA54" s="3326"/>
    </row>
    <row r="55" spans="4:27" ht="28.5" hidden="1" x14ac:dyDescent="0.45">
      <c r="D55" s="3324"/>
      <c r="E55" s="3325"/>
      <c r="F55" s="3326"/>
      <c r="G55" s="3326"/>
      <c r="H55" s="3326"/>
      <c r="I55" s="1710"/>
      <c r="J55" s="3324"/>
      <c r="K55" s="3325"/>
      <c r="L55" s="3326"/>
      <c r="M55" s="3326"/>
      <c r="N55" s="3326"/>
      <c r="O55" s="1710"/>
      <c r="P55" s="3324"/>
      <c r="Q55" s="3325"/>
      <c r="R55" s="3326"/>
      <c r="S55" s="3326"/>
      <c r="T55" s="3326"/>
      <c r="U55" s="3326"/>
      <c r="W55" s="3324"/>
      <c r="X55" s="3326"/>
      <c r="Y55" s="3326"/>
      <c r="Z55" s="3326"/>
      <c r="AA55" s="3326"/>
    </row>
    <row r="56" spans="4:27" ht="28.5" hidden="1" x14ac:dyDescent="0.45">
      <c r="D56" s="3324"/>
      <c r="E56" s="3325"/>
      <c r="F56" s="3326"/>
      <c r="G56" s="3326"/>
      <c r="H56" s="3326"/>
      <c r="I56" s="1710"/>
      <c r="J56" s="3324"/>
      <c r="K56" s="3325"/>
      <c r="L56" s="3326"/>
      <c r="M56" s="3326"/>
      <c r="N56" s="3326"/>
      <c r="O56" s="1710"/>
      <c r="P56" s="3324"/>
      <c r="Q56" s="3325"/>
      <c r="R56" s="3326"/>
      <c r="S56" s="3326"/>
      <c r="T56" s="3326"/>
      <c r="U56" s="3326"/>
      <c r="W56" s="3324"/>
      <c r="X56" s="3326"/>
      <c r="Y56" s="3326"/>
      <c r="Z56" s="3326"/>
      <c r="AA56" s="3326"/>
    </row>
    <row r="57" spans="4:27" ht="28.5" hidden="1" x14ac:dyDescent="0.45">
      <c r="D57" s="3324"/>
      <c r="E57" s="3325"/>
      <c r="F57" s="3326"/>
      <c r="G57" s="3326"/>
      <c r="H57" s="3326"/>
      <c r="I57" s="1710"/>
      <c r="J57" s="3324"/>
      <c r="K57" s="3325"/>
      <c r="L57" s="3326"/>
      <c r="M57" s="3326"/>
      <c r="N57" s="3326"/>
      <c r="O57" s="1710"/>
      <c r="P57" s="3324"/>
      <c r="Q57" s="3325"/>
      <c r="R57" s="3326"/>
      <c r="S57" s="3326"/>
      <c r="T57" s="3326"/>
      <c r="U57" s="3326"/>
      <c r="W57" s="3324"/>
      <c r="X57" s="3326"/>
      <c r="Y57" s="3326"/>
      <c r="Z57" s="3326"/>
      <c r="AA57" s="3326"/>
    </row>
    <row r="58" spans="4:27" ht="28.5" hidden="1" x14ac:dyDescent="0.45">
      <c r="D58" s="3324"/>
      <c r="E58" s="3325"/>
      <c r="F58" s="3326"/>
      <c r="G58" s="3326"/>
      <c r="H58" s="3326"/>
      <c r="I58" s="1710"/>
      <c r="J58" s="3324"/>
      <c r="K58" s="3325"/>
      <c r="L58" s="3326"/>
      <c r="M58" s="3326"/>
      <c r="N58" s="3326"/>
      <c r="O58" s="1710"/>
      <c r="P58" s="3324"/>
      <c r="Q58" s="3325"/>
      <c r="R58" s="3326"/>
      <c r="S58" s="3326"/>
      <c r="T58" s="3326"/>
      <c r="U58" s="3326"/>
      <c r="W58" s="3324"/>
      <c r="X58" s="3326"/>
      <c r="Y58" s="3326"/>
      <c r="Z58" s="3326"/>
      <c r="AA58" s="3326"/>
    </row>
    <row r="59" spans="4:27" ht="28.5" hidden="1" x14ac:dyDescent="0.45">
      <c r="D59" s="3324"/>
      <c r="E59" s="3325"/>
      <c r="F59" s="3326"/>
      <c r="G59" s="3326"/>
      <c r="H59" s="3326"/>
      <c r="I59" s="1710"/>
      <c r="J59" s="3324"/>
      <c r="K59" s="3325"/>
      <c r="L59" s="3326"/>
      <c r="M59" s="3326"/>
      <c r="N59" s="3326"/>
      <c r="O59" s="1710"/>
      <c r="P59" s="3324"/>
      <c r="Q59" s="3325"/>
      <c r="R59" s="3326"/>
      <c r="S59" s="3326"/>
      <c r="T59" s="3326"/>
      <c r="U59" s="3326"/>
      <c r="W59" s="3324"/>
      <c r="X59" s="3326"/>
      <c r="Y59" s="3326"/>
      <c r="Z59" s="3326"/>
      <c r="AA59" s="3326"/>
    </row>
    <row r="60" spans="4:27" ht="28.5" hidden="1" x14ac:dyDescent="0.45">
      <c r="D60" s="5626"/>
      <c r="E60" s="5627"/>
      <c r="F60" s="5628"/>
      <c r="G60" s="5628"/>
      <c r="H60" s="5628"/>
      <c r="I60" s="1710"/>
      <c r="J60" s="5626"/>
      <c r="K60" s="5627"/>
      <c r="L60" s="5628"/>
      <c r="M60" s="5628"/>
      <c r="N60" s="5628"/>
      <c r="O60" s="1710"/>
      <c r="P60" s="5626"/>
      <c r="Q60" s="5627"/>
      <c r="R60" s="5628"/>
      <c r="S60" s="5628"/>
      <c r="T60" s="5628"/>
      <c r="U60" s="5628"/>
      <c r="W60" s="5626"/>
      <c r="X60" s="5628"/>
      <c r="Y60" s="5628"/>
      <c r="Z60" s="5628"/>
      <c r="AA60" s="5628"/>
    </row>
    <row r="61" spans="4:27" ht="28.5" hidden="1" x14ac:dyDescent="0.45">
      <c r="D61" s="5626"/>
      <c r="E61" s="5627"/>
      <c r="F61" s="5628"/>
      <c r="G61" s="5628"/>
      <c r="H61" s="5628"/>
      <c r="I61" s="1710"/>
      <c r="J61" s="5626"/>
      <c r="K61" s="5627"/>
      <c r="L61" s="5628"/>
      <c r="M61" s="5628"/>
      <c r="N61" s="5628"/>
      <c r="O61" s="1710"/>
      <c r="P61" s="5626"/>
      <c r="Q61" s="5627"/>
      <c r="R61" s="5628"/>
      <c r="S61" s="5628"/>
      <c r="T61" s="5628"/>
      <c r="U61" s="5628"/>
      <c r="W61" s="5626"/>
      <c r="X61" s="5628"/>
      <c r="Y61" s="5628"/>
      <c r="Z61" s="5628"/>
      <c r="AA61" s="5628"/>
    </row>
    <row r="62" spans="4:27" ht="28.5" hidden="1" x14ac:dyDescent="0.45">
      <c r="D62" s="6154"/>
      <c r="E62" s="6155"/>
      <c r="F62" s="6156"/>
      <c r="G62" s="6156"/>
      <c r="H62" s="6156"/>
      <c r="I62" s="1710"/>
      <c r="J62" s="6154"/>
      <c r="K62" s="6155"/>
      <c r="L62" s="6156"/>
      <c r="M62" s="6156"/>
      <c r="N62" s="6156"/>
      <c r="O62" s="1710"/>
      <c r="P62" s="6154"/>
      <c r="Q62" s="6155"/>
      <c r="R62" s="6156"/>
      <c r="S62" s="6156"/>
      <c r="T62" s="6156"/>
      <c r="U62" s="6156"/>
      <c r="W62" s="6154"/>
      <c r="X62" s="6156"/>
      <c r="Y62" s="6156"/>
      <c r="Z62" s="6156"/>
      <c r="AA62" s="6156"/>
    </row>
    <row r="63" spans="4:27" ht="28.5" hidden="1" x14ac:dyDescent="0.45">
      <c r="D63" s="6331"/>
      <c r="E63" s="6332"/>
      <c r="F63" s="6333"/>
      <c r="G63" s="6333"/>
      <c r="H63" s="6333"/>
      <c r="I63" s="1710"/>
      <c r="J63" s="6331"/>
      <c r="K63" s="6332"/>
      <c r="L63" s="6333"/>
      <c r="M63" s="6333"/>
      <c r="N63" s="6333"/>
      <c r="O63" s="1710"/>
      <c r="P63" s="6331"/>
      <c r="Q63" s="6332"/>
      <c r="R63" s="6333"/>
      <c r="S63" s="6333"/>
      <c r="T63" s="6333"/>
      <c r="U63" s="6333"/>
      <c r="W63" s="6331"/>
      <c r="X63" s="6333"/>
      <c r="Y63" s="6333"/>
      <c r="Z63" s="6333"/>
      <c r="AA63" s="6333"/>
    </row>
    <row r="64" spans="4:27" ht="28.5" hidden="1" x14ac:dyDescent="0.45">
      <c r="D64" s="6575"/>
      <c r="E64" s="6576"/>
      <c r="F64" s="6577"/>
      <c r="G64" s="6577"/>
      <c r="H64" s="6577"/>
      <c r="I64" s="1710"/>
      <c r="J64" s="6575"/>
      <c r="K64" s="6576"/>
      <c r="L64" s="6577"/>
      <c r="M64" s="6577"/>
      <c r="N64" s="6577"/>
      <c r="O64" s="1710"/>
      <c r="P64" s="6575"/>
      <c r="Q64" s="6576"/>
      <c r="R64" s="6577"/>
      <c r="S64" s="6577"/>
      <c r="T64" s="6577"/>
      <c r="U64" s="6577"/>
      <c r="W64" s="6575"/>
      <c r="X64" s="6577"/>
      <c r="Y64" s="6577"/>
      <c r="Z64" s="6577"/>
      <c r="AA64" s="6577"/>
    </row>
    <row r="65" spans="4:27" ht="28.5" x14ac:dyDescent="0.45">
      <c r="D65" s="5491" t="s">
        <v>1514</v>
      </c>
      <c r="E65" s="5492"/>
      <c r="F65" s="5493">
        <f>AVERAGE(F53:F64)</f>
        <v>61.75</v>
      </c>
      <c r="G65" s="5493">
        <f t="shared" ref="G65:H65" si="7">AVERAGE(G53:G64)</f>
        <v>4.49</v>
      </c>
      <c r="H65" s="5493">
        <f t="shared" si="7"/>
        <v>2.5</v>
      </c>
      <c r="I65" s="1710"/>
      <c r="J65" s="5491" t="s">
        <v>1514</v>
      </c>
      <c r="K65" s="5492"/>
      <c r="L65" s="5493">
        <f>AVERAGE(L53:L64)</f>
        <v>63.01</v>
      </c>
      <c r="M65" s="5493">
        <f>AVERAGE(M53:M64)</f>
        <v>3.165</v>
      </c>
      <c r="N65" s="5493">
        <f>AVERAGE(N53:N64)</f>
        <v>1.7749999999999999</v>
      </c>
      <c r="O65" s="1710"/>
      <c r="P65" s="5491" t="s">
        <v>1514</v>
      </c>
      <c r="Q65" s="5492"/>
      <c r="R65" s="5493">
        <v>56.965550613170763</v>
      </c>
      <c r="S65" s="5493">
        <v>5.2009887526287182</v>
      </c>
      <c r="T65" s="5493">
        <v>2.2887078223576949</v>
      </c>
      <c r="U65" s="5493">
        <v>1.6700000000000002</v>
      </c>
      <c r="W65" s="5491"/>
      <c r="X65" s="5493">
        <v>63.552863669724786</v>
      </c>
      <c r="Y65" s="5493">
        <v>4.261779816513755</v>
      </c>
      <c r="Z65" s="5493">
        <v>2.1195045871559608</v>
      </c>
      <c r="AA65" s="5493">
        <v>0.22869575335704986</v>
      </c>
    </row>
    <row r="66" spans="4:27" x14ac:dyDescent="0.25">
      <c r="G66" s="3796">
        <f>G52+H52</f>
        <v>7.6</v>
      </c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48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P1" workbookViewId="0">
      <selection activeCell="AC18" sqref="AC18"/>
    </sheetView>
  </sheetViews>
  <sheetFormatPr defaultRowHeight="15" x14ac:dyDescent="0.25"/>
  <cols>
    <col min="1" max="2" width="9.140625" style="1740"/>
    <col min="3" max="3" width="15.140625" style="1740" bestFit="1" customWidth="1"/>
    <col min="4" max="4" width="34.140625" style="261" customWidth="1"/>
    <col min="5" max="5" width="12.140625" style="1740" customWidth="1"/>
    <col min="6" max="6" width="10.85546875" style="1740" customWidth="1"/>
    <col min="7" max="18" width="10.5703125" style="1740" bestFit="1" customWidth="1"/>
    <col min="19" max="19" width="9.140625" style="1740"/>
    <col min="20" max="20" width="9.5703125" style="1740" bestFit="1" customWidth="1"/>
    <col min="21" max="21" width="9.140625" style="1740"/>
    <col min="22" max="22" width="11.28515625" style="1740" customWidth="1"/>
    <col min="23" max="16384" width="9.140625" style="1740"/>
  </cols>
  <sheetData>
    <row r="5" spans="4:31" ht="15.75" thickBot="1" x14ac:dyDescent="0.3"/>
    <row r="6" spans="4:31" ht="20.25" x14ac:dyDescent="0.25">
      <c r="D6" s="1741"/>
      <c r="E6" s="1742" t="s">
        <v>172</v>
      </c>
      <c r="F6" s="1742" t="s">
        <v>1565</v>
      </c>
      <c r="G6" s="1742" t="s">
        <v>1283</v>
      </c>
      <c r="H6" s="1742" t="s">
        <v>1291</v>
      </c>
      <c r="I6" s="1742" t="s">
        <v>1306</v>
      </c>
      <c r="J6" s="1742" t="s">
        <v>1332</v>
      </c>
      <c r="K6" s="1742" t="s">
        <v>1347</v>
      </c>
      <c r="L6" s="1742" t="s">
        <v>1353</v>
      </c>
      <c r="M6" s="1742" t="s">
        <v>1362</v>
      </c>
      <c r="N6" s="1742" t="s">
        <v>1373</v>
      </c>
      <c r="O6" s="1742" t="s">
        <v>1379</v>
      </c>
      <c r="P6" s="1742" t="s">
        <v>1413</v>
      </c>
      <c r="Q6" s="1742" t="s">
        <v>1472</v>
      </c>
      <c r="R6" s="1742" t="s">
        <v>1533</v>
      </c>
      <c r="S6" s="1742" t="s">
        <v>1569</v>
      </c>
      <c r="T6" s="1742" t="s">
        <v>1594</v>
      </c>
      <c r="U6" s="1742" t="s">
        <v>1646</v>
      </c>
      <c r="V6" s="1742" t="s">
        <v>1665</v>
      </c>
      <c r="W6" s="1742" t="s">
        <v>1681</v>
      </c>
      <c r="X6" s="1742" t="s">
        <v>1704</v>
      </c>
      <c r="Y6" s="1742" t="s">
        <v>1714</v>
      </c>
      <c r="Z6" s="1742" t="s">
        <v>1728</v>
      </c>
      <c r="AA6" s="1742" t="s">
        <v>1750</v>
      </c>
      <c r="AB6" s="1742" t="s">
        <v>1868</v>
      </c>
      <c r="AC6" s="1742" t="s">
        <v>1903</v>
      </c>
      <c r="AD6" s="1742" t="s">
        <v>1937</v>
      </c>
      <c r="AE6" s="1742" t="s">
        <v>1961</v>
      </c>
    </row>
    <row r="7" spans="4:31" ht="20.25" x14ac:dyDescent="0.25">
      <c r="D7" s="1743" t="s">
        <v>1060</v>
      </c>
      <c r="E7" s="1744" t="s">
        <v>242</v>
      </c>
      <c r="F7" s="1745">
        <v>374.24192914750546</v>
      </c>
      <c r="G7" s="1745">
        <v>357.13669784896041</v>
      </c>
      <c r="H7" s="1745">
        <v>472</v>
      </c>
      <c r="I7" s="1745">
        <v>409.69792586754374</v>
      </c>
      <c r="J7" s="1745">
        <v>440.43140676817086</v>
      </c>
      <c r="K7" s="1745">
        <v>481.25602212932353</v>
      </c>
      <c r="L7" s="1745">
        <v>451.91513133247309</v>
      </c>
      <c r="M7" s="1745">
        <v>426.63557542874275</v>
      </c>
      <c r="N7" s="1745">
        <v>401.9331179747503</v>
      </c>
      <c r="O7" s="1745">
        <v>455.89765866079711</v>
      </c>
      <c r="P7" s="1745">
        <v>487.6115537966208</v>
      </c>
      <c r="Q7" s="1745">
        <v>400.09125379052409</v>
      </c>
      <c r="R7" s="1745">
        <v>459.97111985484503</v>
      </c>
      <c r="S7" s="1746">
        <v>478.76881203570764</v>
      </c>
      <c r="T7" s="1746">
        <f>'B-FCE'!X81</f>
        <v>374.1912623113173</v>
      </c>
      <c r="U7" s="1746">
        <v>430.55008343128634</v>
      </c>
      <c r="V7" s="1746">
        <v>450.85902064106665</v>
      </c>
      <c r="W7" s="1746">
        <v>454.32705717078858</v>
      </c>
      <c r="X7" s="1746">
        <v>402.60355006683147</v>
      </c>
      <c r="Y7" s="1746">
        <v>434.45952244838372</v>
      </c>
      <c r="Z7" s="1746">
        <v>474.25515248511829</v>
      </c>
      <c r="AA7" s="1746">
        <v>425.42493880593219</v>
      </c>
      <c r="AB7" s="1746">
        <v>422.86102463240701</v>
      </c>
      <c r="AC7" s="1746">
        <v>431.81690095398017</v>
      </c>
      <c r="AD7" s="1746">
        <v>391.22822874347389</v>
      </c>
      <c r="AE7" s="1746">
        <v>394.64163765643218</v>
      </c>
    </row>
    <row r="8" spans="4:31" ht="21" thickBot="1" x14ac:dyDescent="0.3">
      <c r="D8" s="1747"/>
      <c r="E8" s="1748"/>
      <c r="F8" s="1748"/>
      <c r="G8" s="1748"/>
      <c r="H8" s="1748"/>
      <c r="I8" s="1748"/>
      <c r="J8" s="1748"/>
      <c r="K8" s="1748"/>
      <c r="L8" s="1748"/>
      <c r="M8" s="1748"/>
      <c r="N8" s="1748"/>
      <c r="O8" s="1748"/>
      <c r="P8" s="1748"/>
      <c r="Q8" s="1748"/>
      <c r="R8" s="1748"/>
      <c r="S8" s="1749"/>
      <c r="T8" s="1749"/>
      <c r="U8" s="1749"/>
      <c r="V8" s="1749"/>
      <c r="W8" s="1749"/>
      <c r="X8" s="1749"/>
      <c r="Y8" s="1749"/>
      <c r="Z8" s="1749"/>
      <c r="AA8" s="1749"/>
      <c r="AB8" s="1749"/>
      <c r="AC8" s="1749"/>
      <c r="AD8" s="1749"/>
      <c r="AE8" s="1749"/>
    </row>
    <row r="9" spans="4:31" ht="20.25" x14ac:dyDescent="0.25">
      <c r="D9" s="1750" t="s">
        <v>1566</v>
      </c>
      <c r="E9" s="1751"/>
      <c r="F9" s="1751"/>
      <c r="G9" s="1751"/>
      <c r="H9" s="1751"/>
      <c r="I9" s="1751"/>
      <c r="J9" s="1751"/>
      <c r="K9" s="1751"/>
      <c r="L9" s="1751"/>
      <c r="M9" s="1751"/>
      <c r="N9" s="1751"/>
      <c r="O9" s="1751"/>
      <c r="P9" s="1751"/>
      <c r="Q9" s="1751"/>
      <c r="R9" s="1751"/>
      <c r="S9" s="1752"/>
      <c r="T9" s="1752"/>
      <c r="U9" s="1752"/>
      <c r="V9" s="1752"/>
      <c r="W9" s="1752"/>
      <c r="X9" s="1752"/>
      <c r="Y9" s="1752"/>
      <c r="Z9" s="1752"/>
      <c r="AA9" s="1752"/>
      <c r="AB9" s="1752"/>
      <c r="AC9" s="1752"/>
      <c r="AD9" s="1752"/>
      <c r="AE9" s="1752"/>
    </row>
    <row r="10" spans="4:31" ht="20.25" x14ac:dyDescent="0.25">
      <c r="D10" s="1753" t="s">
        <v>430</v>
      </c>
      <c r="E10" s="7988" t="s">
        <v>49</v>
      </c>
      <c r="F10" s="1754">
        <v>4.9267088607594935</v>
      </c>
      <c r="G10" s="1754">
        <v>4.7988888888888859</v>
      </c>
      <c r="H10" s="1754">
        <v>5.7245762711864421</v>
      </c>
      <c r="I10" s="1754">
        <v>4.9452564102564098</v>
      </c>
      <c r="J10" s="1754">
        <v>6.1471428571428559</v>
      </c>
      <c r="K10" s="1754">
        <v>5.0889473684210529</v>
      </c>
      <c r="L10" s="1754">
        <v>4.9205882352941179</v>
      </c>
      <c r="M10" s="1754">
        <v>4.1611627906976736</v>
      </c>
      <c r="N10" s="1754">
        <v>3.4794444444444457</v>
      </c>
      <c r="O10" s="1754">
        <v>4.817380952380951</v>
      </c>
      <c r="P10" s="1754">
        <v>3.6630000000000003</v>
      </c>
      <c r="Q10" s="1754">
        <v>3.0872602739726025</v>
      </c>
      <c r="R10" s="1754">
        <v>4.4797802197802179</v>
      </c>
      <c r="S10" s="1755">
        <v>5.0039024390243911</v>
      </c>
      <c r="T10" s="1755">
        <f>Quality!G28</f>
        <v>4.1680000000000019</v>
      </c>
      <c r="U10" s="1755">
        <v>4.925841584158416</v>
      </c>
      <c r="V10" s="1755">
        <v>4.04</v>
      </c>
      <c r="W10" s="1755">
        <v>4.2097029702970303</v>
      </c>
      <c r="X10" s="1755">
        <v>3.8231868131868114</v>
      </c>
      <c r="Y10" s="1755">
        <v>4.5140845070422539</v>
      </c>
      <c r="Z10" s="1755">
        <v>4.3401204819277126</v>
      </c>
      <c r="AA10" s="1755">
        <v>4.1054929577464776</v>
      </c>
      <c r="AB10" s="1755">
        <v>4.34</v>
      </c>
      <c r="AC10" s="1755">
        <v>3.5650793650793644</v>
      </c>
      <c r="AD10" s="1755"/>
      <c r="AE10" s="1755"/>
    </row>
    <row r="11" spans="4:31" ht="20.25" x14ac:dyDescent="0.25">
      <c r="D11" s="1753" t="s">
        <v>431</v>
      </c>
      <c r="E11" s="7988"/>
      <c r="F11" s="1754">
        <v>2.4696202531645577</v>
      </c>
      <c r="G11" s="1754">
        <v>3.0506349206349213</v>
      </c>
      <c r="H11" s="1754">
        <v>3.3566101694915251</v>
      </c>
      <c r="I11" s="1754">
        <v>1.8442307692307698</v>
      </c>
      <c r="J11" s="1754">
        <v>2.6771428571428584</v>
      </c>
      <c r="K11" s="1754">
        <v>3.5796491228070182</v>
      </c>
      <c r="L11" s="1754">
        <v>2.886470588235293</v>
      </c>
      <c r="M11" s="1754">
        <v>2.9701162790697668</v>
      </c>
      <c r="N11" s="1754">
        <v>2.5795555555555554</v>
      </c>
      <c r="O11" s="1754">
        <v>3.3175000000000003</v>
      </c>
      <c r="P11" s="1754">
        <v>2.8299999999999987</v>
      </c>
      <c r="Q11" s="1754">
        <v>2.512876712328767</v>
      </c>
      <c r="R11" s="1754">
        <v>2.3717582417582417</v>
      </c>
      <c r="S11" s="1755">
        <v>2.4721951219512199</v>
      </c>
      <c r="T11" s="1755">
        <f>Quality!H28</f>
        <v>2.0210000000000008</v>
      </c>
      <c r="U11" s="1755">
        <v>2.2668316831683168</v>
      </c>
      <c r="V11" s="1755">
        <v>2.21</v>
      </c>
      <c r="W11" s="1755">
        <v>1.8356435643564362</v>
      </c>
      <c r="X11" s="1755">
        <v>2.1123076923076924</v>
      </c>
      <c r="Y11" s="1755">
        <v>2.9476056338028171</v>
      </c>
      <c r="Z11" s="1755">
        <v>2.8090361445783141</v>
      </c>
      <c r="AA11" s="1755">
        <v>2.1745070422535218</v>
      </c>
      <c r="AB11" s="1755">
        <v>3.01</v>
      </c>
      <c r="AC11" s="1755">
        <v>2.4058730158730164</v>
      </c>
      <c r="AD11" s="1755"/>
      <c r="AE11" s="1755"/>
    </row>
    <row r="12" spans="4:31" ht="20.25" x14ac:dyDescent="0.25">
      <c r="D12" s="1753" t="s">
        <v>1567</v>
      </c>
      <c r="E12" s="7988"/>
      <c r="F12" s="1754">
        <f>SUM(F10:F11)</f>
        <v>7.3963291139240512</v>
      </c>
      <c r="G12" s="1754">
        <f t="shared" ref="G12:Q12" si="0">SUM(G10:G11)</f>
        <v>7.8495238095238076</v>
      </c>
      <c r="H12" s="1754">
        <f t="shared" si="0"/>
        <v>9.0811864406779677</v>
      </c>
      <c r="I12" s="1754">
        <f t="shared" si="0"/>
        <v>6.7894871794871801</v>
      </c>
      <c r="J12" s="1754">
        <f t="shared" si="0"/>
        <v>8.8242857142857147</v>
      </c>
      <c r="K12" s="1754">
        <f t="shared" si="0"/>
        <v>8.6685964912280706</v>
      </c>
      <c r="L12" s="1754">
        <f t="shared" si="0"/>
        <v>7.8070588235294114</v>
      </c>
      <c r="M12" s="1754">
        <f t="shared" si="0"/>
        <v>7.1312790697674409</v>
      </c>
      <c r="N12" s="1754">
        <f t="shared" si="0"/>
        <v>6.0590000000000011</v>
      </c>
      <c r="O12" s="1754">
        <f t="shared" si="0"/>
        <v>8.1348809523809518</v>
      </c>
      <c r="P12" s="1754">
        <f t="shared" si="0"/>
        <v>6.4929999999999986</v>
      </c>
      <c r="Q12" s="1754">
        <f t="shared" si="0"/>
        <v>5.6001369863013695</v>
      </c>
      <c r="R12" s="1754">
        <f>SUM(R10:R11)</f>
        <v>6.8515384615384596</v>
      </c>
      <c r="S12" s="1755">
        <f>SUM(S10:S11)</f>
        <v>7.4760975609756111</v>
      </c>
      <c r="T12" s="1755">
        <f>SUM(T10:T11)</f>
        <v>6.1890000000000027</v>
      </c>
      <c r="U12" s="1755">
        <f t="shared" ref="U12:Z12" si="1">SUM(U10:U11)</f>
        <v>7.1926732673267324</v>
      </c>
      <c r="V12" s="1755">
        <f t="shared" si="1"/>
        <v>6.25</v>
      </c>
      <c r="W12" s="1755">
        <f t="shared" si="1"/>
        <v>6.0453465346534667</v>
      </c>
      <c r="X12" s="1755">
        <f t="shared" si="1"/>
        <v>5.9354945054945034</v>
      </c>
      <c r="Y12" s="1755">
        <f t="shared" si="1"/>
        <v>7.4616901408450715</v>
      </c>
      <c r="Z12" s="1755">
        <f t="shared" si="1"/>
        <v>7.1491566265060271</v>
      </c>
      <c r="AA12" s="1755">
        <f t="shared" ref="AA12:AB12" si="2">SUM(AA10:AA11)</f>
        <v>6.2799999999999994</v>
      </c>
      <c r="AB12" s="1755">
        <f t="shared" si="2"/>
        <v>7.35</v>
      </c>
      <c r="AC12" s="1755">
        <f t="shared" ref="AC12" si="3">SUM(AC10:AC11)</f>
        <v>5.9709523809523812</v>
      </c>
      <c r="AD12" s="1755"/>
      <c r="AE12" s="1755"/>
    </row>
    <row r="13" spans="4:31" ht="20.25" x14ac:dyDescent="0.25">
      <c r="D13" s="1753" t="s">
        <v>428</v>
      </c>
      <c r="E13" s="7988"/>
      <c r="F13" s="1754">
        <v>61.774987341772153</v>
      </c>
      <c r="G13" s="1754">
        <v>61.472809523809531</v>
      </c>
      <c r="H13" s="1754">
        <v>60.75215254237289</v>
      </c>
      <c r="I13" s="1754">
        <v>62.145769230769218</v>
      </c>
      <c r="J13" s="1754">
        <v>60.922680952380958</v>
      </c>
      <c r="K13" s="2148">
        <v>60.607298245614054</v>
      </c>
      <c r="L13" s="1754">
        <v>61.293882352941161</v>
      </c>
      <c r="M13" s="1754">
        <v>61.731558139534869</v>
      </c>
      <c r="N13" s="1754">
        <v>62.468644444444443</v>
      </c>
      <c r="O13" s="1754">
        <v>60.834380952380947</v>
      </c>
      <c r="P13" s="1754">
        <v>61.312799999999982</v>
      </c>
      <c r="Q13" s="1754">
        <v>61.834753424657535</v>
      </c>
      <c r="R13" s="1754">
        <v>61.09731868131869</v>
      </c>
      <c r="S13" s="1755">
        <v>60.579487804878084</v>
      </c>
      <c r="T13" s="1755">
        <f>Quality!F28</f>
        <v>61.352785714285709</v>
      </c>
      <c r="U13" s="1755">
        <v>60.652396039603971</v>
      </c>
      <c r="V13" s="1755">
        <v>61.29</v>
      </c>
      <c r="W13" s="1755">
        <v>61.497297029702963</v>
      </c>
      <c r="X13" s="1755">
        <v>61.49</v>
      </c>
      <c r="Y13" s="3002">
        <v>60.483788732394359</v>
      </c>
      <c r="Z13" s="1755">
        <v>60.709963855421684</v>
      </c>
      <c r="AA13" s="1755">
        <v>61.297225352112704</v>
      </c>
      <c r="AB13" s="1755">
        <v>60.62</v>
      </c>
      <c r="AC13" s="1755">
        <v>61.508841269841277</v>
      </c>
      <c r="AD13" s="1755"/>
      <c r="AE13" s="1755"/>
    </row>
    <row r="14" spans="4:31" ht="21" thickBot="1" x14ac:dyDescent="0.3">
      <c r="D14" s="1756" t="s">
        <v>1568</v>
      </c>
      <c r="E14" s="7989"/>
      <c r="F14" s="1757">
        <v>0.52992225621988387</v>
      </c>
      <c r="G14" s="1757">
        <v>0.67291826643164032</v>
      </c>
      <c r="H14" s="1757">
        <v>0.60981126148708042</v>
      </c>
      <c r="I14" s="1757">
        <v>0.38686942150253145</v>
      </c>
      <c r="J14" s="1757">
        <v>0.51310760194134475</v>
      </c>
      <c r="K14" s="1757">
        <v>0.75329559029059001</v>
      </c>
      <c r="L14" s="1757">
        <v>0.60371236906661097</v>
      </c>
      <c r="M14" s="1757">
        <v>0.7561847282687979</v>
      </c>
      <c r="N14" s="1757">
        <v>0.77364592036626434</v>
      </c>
      <c r="O14" s="1757">
        <v>0.74214809932243708</v>
      </c>
      <c r="P14" s="1757">
        <v>0.81354824866349373</v>
      </c>
      <c r="Q14" s="1757">
        <v>0.88543883501455878</v>
      </c>
      <c r="R14" s="1757">
        <f>+R11/R10</f>
        <v>0.52943629495167566</v>
      </c>
      <c r="S14" s="1758">
        <f>S11/S10</f>
        <v>0.49405342171963346</v>
      </c>
      <c r="T14" s="1758">
        <f>T11/T10</f>
        <v>0.48488483685220723</v>
      </c>
      <c r="U14" s="1758">
        <f t="shared" ref="U14:Z14" si="4">U11/U10</f>
        <v>0.46019175493959918</v>
      </c>
      <c r="V14" s="1758">
        <f t="shared" si="4"/>
        <v>0.54702970297029707</v>
      </c>
      <c r="W14" s="1758">
        <f t="shared" si="4"/>
        <v>0.43605061385766036</v>
      </c>
      <c r="X14" s="1758">
        <f t="shared" si="4"/>
        <v>0.55249920956569254</v>
      </c>
      <c r="Y14" s="1758">
        <f t="shared" si="4"/>
        <v>0.65297971918876752</v>
      </c>
      <c r="Z14" s="1758">
        <f t="shared" si="4"/>
        <v>0.64722538378258332</v>
      </c>
      <c r="AA14" s="1758">
        <f t="shared" ref="AA14:AB14" si="5">AA11/AA10</f>
        <v>0.52965796425263334</v>
      </c>
      <c r="AB14" s="1758">
        <f t="shared" si="5"/>
        <v>0.69354838709677413</v>
      </c>
      <c r="AC14" s="1758">
        <f t="shared" ref="AC14" si="6">AC11/AC10</f>
        <v>0.67484416740872688</v>
      </c>
      <c r="AD14" s="1758"/>
      <c r="AE14" s="1758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4"/>
  <sheetViews>
    <sheetView workbookViewId="0">
      <pane xSplit="4" ySplit="3" topLeftCell="E64" activePane="bottomRight" state="frozen"/>
      <selection pane="topRight" activeCell="E1" sqref="E1"/>
      <selection pane="bottomLeft" activeCell="A4" sqref="A4"/>
      <selection pane="bottomRight" activeCell="I68" sqref="I68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1" width="10.140625" customWidth="1"/>
    <col min="12" max="12" width="10.140625" hidden="1" customWidth="1"/>
    <col min="13" max="13" width="11.5703125" hidden="1" customWidth="1"/>
    <col min="14" max="14" width="10.140625" hidden="1" customWidth="1"/>
    <col min="15" max="15" width="9.85546875" hidden="1" customWidth="1"/>
    <col min="16" max="16" width="9.140625" hidden="1" customWidth="1"/>
    <col min="17" max="17" width="9.85546875" hidden="1" customWidth="1"/>
    <col min="18" max="18" width="9.140625" hidden="1" customWidth="1"/>
    <col min="19" max="21" width="9.85546875" hidden="1" customWidth="1"/>
    <col min="22" max="22" width="9.140625" hidden="1" customWidth="1"/>
    <col min="23" max="23" width="11.42578125" hidden="1" customWidth="1"/>
    <col min="24" max="24" width="11.42578125" style="2276" hidden="1" customWidth="1"/>
    <col min="25" max="25" width="9.85546875" style="2276" hidden="1" customWidth="1"/>
    <col min="26" max="26" width="9.140625" style="2276" hidden="1" customWidth="1"/>
    <col min="27" max="27" width="11.42578125" style="2276" hidden="1" customWidth="1"/>
    <col min="28" max="28" width="9.140625" hidden="1" customWidth="1"/>
    <col min="29" max="29" width="11.28515625" style="542" hidden="1" customWidth="1"/>
    <col min="30" max="30" width="9.140625" hidden="1" customWidth="1"/>
    <col min="31" max="31" width="9.85546875" hidden="1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hidden="1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hidden="1" customWidth="1"/>
    <col min="40" max="41" width="9.85546875" style="2775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3109" hidden="1" customWidth="1"/>
    <col min="55" max="55" width="9.85546875" style="3109" hidden="1" customWidth="1"/>
    <col min="56" max="56" width="9.140625" style="3109" hidden="1" customWidth="1"/>
    <col min="57" max="57" width="11.28515625" style="3109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7929" t="s">
        <v>2152</v>
      </c>
      <c r="D1" s="7929"/>
      <c r="E1" s="7929"/>
      <c r="F1" s="7929"/>
      <c r="G1" s="7929"/>
      <c r="H1" s="7929"/>
      <c r="I1" s="7929"/>
      <c r="J1" s="7929"/>
      <c r="K1" s="7929"/>
      <c r="L1" s="7929"/>
      <c r="M1" s="7929"/>
      <c r="N1" s="7929"/>
      <c r="O1" s="7929"/>
    </row>
    <row r="3" spans="3:62" x14ac:dyDescent="0.3">
      <c r="C3" s="553" t="s">
        <v>966</v>
      </c>
      <c r="D3" s="553" t="s">
        <v>850</v>
      </c>
      <c r="E3" s="553" t="s">
        <v>172</v>
      </c>
      <c r="F3" s="8004" t="s">
        <v>2290</v>
      </c>
      <c r="G3" s="8002"/>
      <c r="H3" s="8004" t="s">
        <v>2306</v>
      </c>
      <c r="I3" s="8002"/>
      <c r="J3" s="7992" t="s">
        <v>658</v>
      </c>
      <c r="K3" s="7993"/>
      <c r="L3" s="8004" t="s">
        <v>1903</v>
      </c>
      <c r="M3" s="8002"/>
      <c r="N3" s="7994" t="s">
        <v>637</v>
      </c>
      <c r="O3" s="8003"/>
      <c r="P3" s="8004" t="s">
        <v>1937</v>
      </c>
      <c r="Q3" s="8002"/>
      <c r="R3" s="7994" t="s">
        <v>651</v>
      </c>
      <c r="S3" s="8003"/>
      <c r="T3" s="7990">
        <v>45505</v>
      </c>
      <c r="U3" s="8002"/>
      <c r="V3" s="7994" t="s">
        <v>836</v>
      </c>
      <c r="W3" s="8003"/>
      <c r="X3" s="7990">
        <v>45536</v>
      </c>
      <c r="Y3" s="7991"/>
      <c r="Z3" s="7994" t="s">
        <v>660</v>
      </c>
      <c r="AA3" s="7995"/>
      <c r="AB3" s="7996" t="s">
        <v>512</v>
      </c>
      <c r="AC3" s="7996"/>
      <c r="AD3" s="7990">
        <v>45566</v>
      </c>
      <c r="AE3" s="7991"/>
      <c r="AF3" s="7994" t="s">
        <v>1102</v>
      </c>
      <c r="AG3" s="8003"/>
      <c r="AH3" s="7990">
        <v>45597</v>
      </c>
      <c r="AI3" s="7991"/>
      <c r="AJ3" s="7992" t="s">
        <v>1666</v>
      </c>
      <c r="AK3" s="7993"/>
      <c r="AL3" s="7990">
        <v>45627</v>
      </c>
      <c r="AM3" s="7991"/>
      <c r="AN3" s="7994" t="s">
        <v>662</v>
      </c>
      <c r="AO3" s="7995"/>
      <c r="AP3" s="7992" t="s">
        <v>918</v>
      </c>
      <c r="AQ3" s="7993"/>
      <c r="AR3" s="7990" t="s">
        <v>1704</v>
      </c>
      <c r="AS3" s="7991"/>
      <c r="AT3" s="7992" t="s">
        <v>1705</v>
      </c>
      <c r="AU3" s="7993"/>
      <c r="AV3" s="7990" t="s">
        <v>2151</v>
      </c>
      <c r="AW3" s="7991"/>
      <c r="AX3" s="7992" t="s">
        <v>1715</v>
      </c>
      <c r="AY3" s="7993"/>
      <c r="AZ3" s="7990" t="s">
        <v>2163</v>
      </c>
      <c r="BA3" s="7991"/>
      <c r="BB3" s="7994" t="s">
        <v>663</v>
      </c>
      <c r="BC3" s="7995"/>
      <c r="BD3" s="7996" t="s">
        <v>550</v>
      </c>
      <c r="BE3" s="7996"/>
      <c r="BF3" s="7992" t="s">
        <v>1765</v>
      </c>
      <c r="BG3" s="7993"/>
    </row>
    <row r="4" spans="3:62" x14ac:dyDescent="0.3">
      <c r="C4" s="554" t="s">
        <v>16</v>
      </c>
      <c r="D4" s="1638" t="s">
        <v>1384</v>
      </c>
      <c r="E4" s="6284"/>
      <c r="F4" s="554"/>
      <c r="G4" s="555">
        <f>+SUMIF(WRM!$C$7:$C$119,$D4,WRM!$F$7:$F$119)</f>
        <v>475.60000000000008</v>
      </c>
      <c r="H4" s="555"/>
      <c r="I4" s="555">
        <f>+SUMIF(WRM!$C$7:$C$119,$D4,WRM!$H$7:$H$119)</f>
        <v>1963.9</v>
      </c>
      <c r="J4" s="625"/>
      <c r="K4" s="625">
        <f t="shared" ref="K4:K36" si="0">+G4+I4</f>
        <v>2439.5</v>
      </c>
      <c r="L4" s="555"/>
      <c r="M4" s="555">
        <f>+SUMIF(WRM!$C$7:$C$119,$D4,WRM!$L$7:$L$119)</f>
        <v>1092.6499999999999</v>
      </c>
      <c r="N4" s="630"/>
      <c r="O4" s="630">
        <f t="shared" ref="O4:O36" si="1">+G4+I4+M4</f>
        <v>3532.1499999999996</v>
      </c>
      <c r="P4" s="555"/>
      <c r="Q4" s="555">
        <f>+SUMIF(WRM!$C$7:$C$119,$D4,WRM!P$7:$P$119)</f>
        <v>904.05</v>
      </c>
      <c r="R4" s="630"/>
      <c r="S4" s="630">
        <f>O4+Q4</f>
        <v>4436.2</v>
      </c>
      <c r="T4" s="555"/>
      <c r="U4" s="555">
        <f>+SUMIF(WRM!$C$7:$C$119,$D4,WRM!$T$7:T$119)</f>
        <v>1967.9999999999998</v>
      </c>
      <c r="V4" s="630"/>
      <c r="W4" s="630">
        <f>S4+U4</f>
        <v>6404.2</v>
      </c>
      <c r="X4" s="630"/>
      <c r="Y4" s="555">
        <f>+SUMIF(WRM!$C$7:$C$119,$D4,WRM!$X$7:X$119)</f>
        <v>1717.8999999999999</v>
      </c>
      <c r="Z4" s="630"/>
      <c r="AA4" s="2331">
        <f>Q4+U4+Y4</f>
        <v>4589.95</v>
      </c>
      <c r="AB4" s="2391"/>
      <c r="AC4" s="1175">
        <f>O4+AA4</f>
        <v>8122.0999999999995</v>
      </c>
      <c r="AD4" s="630"/>
      <c r="AE4" s="555">
        <f>+SUMIF(WRM!$C$7:$C$119,$D4,WRM!$AD$7:$AD$119)</f>
        <v>1795.8</v>
      </c>
      <c r="AF4" s="630"/>
      <c r="AG4" s="630">
        <f>AC4+AE4</f>
        <v>9917.9</v>
      </c>
      <c r="AH4" s="630"/>
      <c r="AI4" s="555">
        <f>+SUMIF(WRM!$C$7:$C$119,$D4,WRM!$AH$7:$AH$119)</f>
        <v>569.90000000000009</v>
      </c>
      <c r="AJ4" s="625"/>
      <c r="AK4" s="625">
        <f>AG4+AI4</f>
        <v>10487.8</v>
      </c>
      <c r="AL4" s="630"/>
      <c r="AM4" s="555">
        <f>+SUMIF(WRM!$C$7:$C$119,$D4,WRM!$AL$7:$AL$119)</f>
        <v>3212.3500000000004</v>
      </c>
      <c r="AN4" s="630"/>
      <c r="AO4" s="2331">
        <f>AE4+AI4+AM4</f>
        <v>5578.05</v>
      </c>
      <c r="AP4" s="625"/>
      <c r="AQ4" s="625">
        <f>AK4+AM4</f>
        <v>13700.15</v>
      </c>
      <c r="AR4" s="630"/>
      <c r="AS4" s="555">
        <f>+SUMIF(WRM!$C$7:$C$119,$D4,WRM!$AR$7:$AR$119)</f>
        <v>1314.05</v>
      </c>
      <c r="AT4" s="625"/>
      <c r="AU4" s="625">
        <f>AQ4+AS4</f>
        <v>15014.199999999999</v>
      </c>
      <c r="AV4" s="630"/>
      <c r="AW4" s="555">
        <f>+SUMIF(WRM!$C$7:$C$119,$D4,WRM!$AV$7:$AV$119)</f>
        <v>1385.8000000000002</v>
      </c>
      <c r="AX4" s="625"/>
      <c r="AY4" s="625">
        <f>AU4+AW4</f>
        <v>16400</v>
      </c>
      <c r="AZ4" s="630"/>
      <c r="BA4" s="555">
        <f>+SUMIF(WRM!$C$7:$C$119,$D4,WRM!$AZ$7:$AZ$119)</f>
        <v>1594.9</v>
      </c>
      <c r="BB4" s="630"/>
      <c r="BC4" s="2331">
        <f>AS4+AW4+BA4</f>
        <v>4294.75</v>
      </c>
      <c r="BD4" s="2391"/>
      <c r="BE4" s="1175">
        <f>AO4+BC4</f>
        <v>9872.7999999999993</v>
      </c>
      <c r="BF4" s="625"/>
      <c r="BG4" s="625">
        <f>AY4+BA4</f>
        <v>17994.900000000001</v>
      </c>
      <c r="BH4" s="26"/>
      <c r="BI4" s="26"/>
      <c r="BJ4" s="26"/>
    </row>
    <row r="5" spans="3:62" x14ac:dyDescent="0.3">
      <c r="C5" s="554" t="s">
        <v>16</v>
      </c>
      <c r="D5" s="1638" t="s">
        <v>1986</v>
      </c>
      <c r="E5" s="6285"/>
      <c r="F5" s="554"/>
      <c r="G5" s="555">
        <f>+SUMIF(WRM!$C$7:$C$119,$D5,WRM!$F$7:$F$119)</f>
        <v>1262.8000000000002</v>
      </c>
      <c r="H5" s="555"/>
      <c r="I5" s="555">
        <f>+SUMIF(WRM!$C$7:$C$119,$D5,WRM!$H$7:$H$119)</f>
        <v>0</v>
      </c>
      <c r="J5" s="625"/>
      <c r="K5" s="625">
        <f t="shared" si="0"/>
        <v>1262.8000000000002</v>
      </c>
      <c r="L5" s="555"/>
      <c r="M5" s="555">
        <f>+SUMIF(WRM!$C$7:$C$119,$D5,WRM!$L$7:$L$119)</f>
        <v>0</v>
      </c>
      <c r="N5" s="630"/>
      <c r="O5" s="630">
        <f t="shared" si="1"/>
        <v>1262.8000000000002</v>
      </c>
      <c r="P5" s="555"/>
      <c r="Q5" s="555">
        <f>+SUMIF(WRM!$C$7:$C$119,$D5,WRM!P$7:$P$119)</f>
        <v>0</v>
      </c>
      <c r="R5" s="630"/>
      <c r="S5" s="630">
        <f t="shared" ref="S5:S24" si="2">O5+Q5</f>
        <v>1262.8000000000002</v>
      </c>
      <c r="T5" s="555"/>
      <c r="U5" s="555">
        <f>+SUMIF(WRM!$C$7:$C$119,$D5,WRM!$T$7:T$119)</f>
        <v>0</v>
      </c>
      <c r="V5" s="630"/>
      <c r="W5" s="630">
        <f t="shared" ref="W5:W36" si="3">S5+U5</f>
        <v>1262.8000000000002</v>
      </c>
      <c r="X5" s="630"/>
      <c r="Y5" s="555">
        <f>+SUMIF(WRM!$C$7:$C$119,$D5,WRM!$X$7:X$119)</f>
        <v>1658.4499999999998</v>
      </c>
      <c r="Z5" s="630"/>
      <c r="AA5" s="2331">
        <f t="shared" ref="AA5:AA36" si="4">Q5+U5+Y5</f>
        <v>1658.4499999999998</v>
      </c>
      <c r="AB5" s="2391"/>
      <c r="AC5" s="1175">
        <f t="shared" ref="AC5:AC74" si="5">O5+AA5</f>
        <v>2921.25</v>
      </c>
      <c r="AD5" s="630"/>
      <c r="AE5" s="555">
        <f>+SUMIF(WRM!$C$7:$C$119,$D5,WRM!$AD$7:$AD$119)</f>
        <v>0</v>
      </c>
      <c r="AF5" s="630"/>
      <c r="AG5" s="630">
        <f t="shared" ref="AG5:AG36" si="6">AC5+AE5</f>
        <v>2921.25</v>
      </c>
      <c r="AH5" s="630"/>
      <c r="AI5" s="555">
        <f>+SUMIF(WRM!$C$7:$C$119,$D5,WRM!$AH$7:$AH$119)</f>
        <v>0</v>
      </c>
      <c r="AJ5" s="625"/>
      <c r="AK5" s="625">
        <f t="shared" ref="AK5:AK36" si="7">AG5+AI5</f>
        <v>2921.25</v>
      </c>
      <c r="AL5" s="630"/>
      <c r="AM5" s="555">
        <f>+SUMIF(WRM!$C$7:$C$119,$D5,WRM!$AL$7:$AL$119)</f>
        <v>0</v>
      </c>
      <c r="AN5" s="630"/>
      <c r="AO5" s="2331">
        <f t="shared" ref="AO5:AO36" si="8">AE5+AI5+AM5</f>
        <v>0</v>
      </c>
      <c r="AP5" s="625"/>
      <c r="AQ5" s="625">
        <f t="shared" ref="AQ5:AQ36" si="9">AK5+AM5</f>
        <v>2921.25</v>
      </c>
      <c r="AR5" s="630"/>
      <c r="AS5" s="555">
        <f>+SUMIF(WRM!$C$7:$C$119,$D5,WRM!$AR$7:$AR$119)</f>
        <v>678.55000000000007</v>
      </c>
      <c r="AT5" s="625"/>
      <c r="AU5" s="625">
        <f t="shared" ref="AU5:AU36" si="10">AQ5+AS5</f>
        <v>3599.8</v>
      </c>
      <c r="AV5" s="630"/>
      <c r="AW5" s="555">
        <f>+SUMIF(WRM!$C$7:$C$119,$D5,WRM!$AV$7:$AV$119)</f>
        <v>0</v>
      </c>
      <c r="AX5" s="625"/>
      <c r="AY5" s="625">
        <f t="shared" ref="AY5:AY36" si="11">AU5+AW5</f>
        <v>3599.8</v>
      </c>
      <c r="AZ5" s="630"/>
      <c r="BA5" s="555">
        <f>+SUMIF(WRM!$C$7:$C$119,$D5,WRM!$AZ$7:$AZ$119)</f>
        <v>0</v>
      </c>
      <c r="BB5" s="630"/>
      <c r="BC5" s="2331">
        <f t="shared" ref="BC5:BC36" si="12">AS5+AW5+BA5</f>
        <v>678.55000000000007</v>
      </c>
      <c r="BD5" s="2391"/>
      <c r="BE5" s="1175">
        <f t="shared" ref="BE5:BE66" si="13">AO5+BC5</f>
        <v>678.55000000000007</v>
      </c>
      <c r="BF5" s="625"/>
      <c r="BG5" s="625">
        <f t="shared" ref="BG5:BG68" si="14">AY5+BA5</f>
        <v>3599.8</v>
      </c>
      <c r="BH5" s="26"/>
      <c r="BI5" s="26"/>
      <c r="BJ5" s="26"/>
    </row>
    <row r="6" spans="3:62" x14ac:dyDescent="0.3">
      <c r="C6" s="554" t="s">
        <v>16</v>
      </c>
      <c r="D6" s="1638" t="s">
        <v>1333</v>
      </c>
      <c r="E6" s="6285"/>
      <c r="F6" s="554"/>
      <c r="G6" s="555">
        <f>+SUMIF(WRM!$C$7:$C$119,$D6,WRM!$F$7:$F$119)</f>
        <v>0</v>
      </c>
      <c r="H6" s="555"/>
      <c r="I6" s="555">
        <f>+SUMIF(WRM!$C$7:$C$119,$D6,WRM!$H$7:$H$119)</f>
        <v>0</v>
      </c>
      <c r="J6" s="625"/>
      <c r="K6" s="625">
        <f t="shared" si="0"/>
        <v>0</v>
      </c>
      <c r="L6" s="555"/>
      <c r="M6" s="555">
        <f>+SUMIF(WRM!$C$7:$C$119,$D6,WRM!$L$7:$L$119)</f>
        <v>0</v>
      </c>
      <c r="N6" s="630"/>
      <c r="O6" s="630">
        <f t="shared" si="1"/>
        <v>0</v>
      </c>
      <c r="P6" s="555"/>
      <c r="Q6" s="555">
        <f>+SUMIF(WRM!$C$7:$C$119,$D6,WRM!P$7:$P$119)</f>
        <v>608.85</v>
      </c>
      <c r="R6" s="630"/>
      <c r="S6" s="630">
        <f t="shared" si="2"/>
        <v>608.85</v>
      </c>
      <c r="T6" s="555"/>
      <c r="U6" s="555">
        <f>+SUMIF(WRM!$C$7:$C$119,$D6,WRM!$T$7:T$119)</f>
        <v>910.2</v>
      </c>
      <c r="V6" s="630"/>
      <c r="W6" s="630">
        <f t="shared" si="3"/>
        <v>1519.0500000000002</v>
      </c>
      <c r="X6" s="630"/>
      <c r="Y6" s="555">
        <f>+SUMIF(WRM!$C$7:$C$119,$D6,WRM!$X$7:X$119)</f>
        <v>569.90000000000009</v>
      </c>
      <c r="Z6" s="630"/>
      <c r="AA6" s="2331">
        <f t="shared" si="4"/>
        <v>2088.9500000000003</v>
      </c>
      <c r="AB6" s="2391"/>
      <c r="AC6" s="1175">
        <f t="shared" si="5"/>
        <v>2088.9500000000003</v>
      </c>
      <c r="AD6" s="630"/>
      <c r="AE6" s="555">
        <f>+SUMIF(WRM!$C$7:$C$119,$D6,WRM!$AD$7:$AD$119)</f>
        <v>731.85000000000014</v>
      </c>
      <c r="AF6" s="630"/>
      <c r="AG6" s="630">
        <f t="shared" si="6"/>
        <v>2820.8</v>
      </c>
      <c r="AH6" s="630"/>
      <c r="AI6" s="555">
        <f>+SUMIF(WRM!$C$7:$C$119,$D6,WRM!$AH$7:$AH$119)</f>
        <v>147.6</v>
      </c>
      <c r="AJ6" s="625"/>
      <c r="AK6" s="625">
        <f t="shared" si="7"/>
        <v>2968.4</v>
      </c>
      <c r="AL6" s="630"/>
      <c r="AM6" s="555">
        <f>+SUMIF(WRM!$C$7:$C$119,$D6,WRM!$AL$7:$AL$119)</f>
        <v>573.99999999999989</v>
      </c>
      <c r="AN6" s="630"/>
      <c r="AO6" s="2331">
        <f t="shared" si="8"/>
        <v>1453.45</v>
      </c>
      <c r="AP6" s="625"/>
      <c r="AQ6" s="625">
        <f t="shared" si="9"/>
        <v>3542.4</v>
      </c>
      <c r="AR6" s="630"/>
      <c r="AS6" s="555">
        <f>+SUMIF(WRM!$C$7:$C$119,$D6,WRM!$AR$7:$AR$119)</f>
        <v>196.79999999999998</v>
      </c>
      <c r="AT6" s="625"/>
      <c r="AU6" s="625">
        <f t="shared" si="10"/>
        <v>3739.2000000000003</v>
      </c>
      <c r="AV6" s="630"/>
      <c r="AW6" s="555">
        <f>+SUMIF(WRM!$C$7:$C$119,$D6,WRM!$AV$7:$AV$119)</f>
        <v>592.45000000000005</v>
      </c>
      <c r="AX6" s="625"/>
      <c r="AY6" s="625">
        <f t="shared" si="11"/>
        <v>4331.6500000000005</v>
      </c>
      <c r="AZ6" s="630"/>
      <c r="BA6" s="555">
        <f>+SUMIF(WRM!$C$7:$C$119,$D6,WRM!$AZ$7:$AZ$119)</f>
        <v>0</v>
      </c>
      <c r="BB6" s="630"/>
      <c r="BC6" s="2331">
        <f t="shared" si="12"/>
        <v>789.25</v>
      </c>
      <c r="BD6" s="2391"/>
      <c r="BE6" s="1175">
        <f t="shared" si="13"/>
        <v>2242.6999999999998</v>
      </c>
      <c r="BF6" s="625"/>
      <c r="BG6" s="625">
        <f t="shared" si="14"/>
        <v>4331.6500000000005</v>
      </c>
      <c r="BH6" s="26"/>
      <c r="BI6" s="26"/>
      <c r="BJ6" s="26"/>
    </row>
    <row r="7" spans="3:62" x14ac:dyDescent="0.3">
      <c r="C7" s="554" t="s">
        <v>16</v>
      </c>
      <c r="D7" s="1638" t="s">
        <v>951</v>
      </c>
      <c r="E7" s="6285"/>
      <c r="F7" s="554"/>
      <c r="G7" s="555">
        <f>+SUMIF(WRM!$C$7:$C$119,$D7,WRM!$F$7:$F$119)</f>
        <v>0</v>
      </c>
      <c r="H7" s="555"/>
      <c r="I7" s="555">
        <f>+SUMIF(WRM!$C$7:$C$119,$D7,WRM!$H$7:$H$119)</f>
        <v>104.55</v>
      </c>
      <c r="J7" s="625"/>
      <c r="K7" s="625">
        <f t="shared" si="0"/>
        <v>104.55</v>
      </c>
      <c r="L7" s="555"/>
      <c r="M7" s="555">
        <f>+SUMIF(WRM!$C$7:$C$119,$D7,WRM!$L$7:$L$119)</f>
        <v>0</v>
      </c>
      <c r="N7" s="630"/>
      <c r="O7" s="630">
        <f t="shared" si="1"/>
        <v>104.55</v>
      </c>
      <c r="P7" s="555"/>
      <c r="Q7" s="555">
        <f>+SUMIF(WRM!$C$7:$C$119,$D7,WRM!P$7:$P$119)</f>
        <v>47.150000000000006</v>
      </c>
      <c r="R7" s="630"/>
      <c r="S7" s="630">
        <f t="shared" si="2"/>
        <v>151.69999999999999</v>
      </c>
      <c r="T7" s="555"/>
      <c r="U7" s="555">
        <f>+SUMIF(WRM!$C$7:$C$119,$D7,WRM!$T$7:T$119)</f>
        <v>0</v>
      </c>
      <c r="V7" s="630"/>
      <c r="W7" s="630">
        <f t="shared" si="3"/>
        <v>151.69999999999999</v>
      </c>
      <c r="X7" s="630"/>
      <c r="Y7" s="555">
        <f>+SUMIF(WRM!$C$7:$C$119,$D7,WRM!$X$7:X$119)</f>
        <v>0</v>
      </c>
      <c r="Z7" s="630"/>
      <c r="AA7" s="2331">
        <f t="shared" si="4"/>
        <v>47.150000000000006</v>
      </c>
      <c r="AB7" s="2391"/>
      <c r="AC7" s="1175">
        <f t="shared" si="5"/>
        <v>151.69999999999999</v>
      </c>
      <c r="AD7" s="630"/>
      <c r="AE7" s="555">
        <f>+SUMIF(WRM!$C$7:$C$119,$D7,WRM!$AD$7:$AD$119)</f>
        <v>0</v>
      </c>
      <c r="AF7" s="630"/>
      <c r="AG7" s="630">
        <f t="shared" si="6"/>
        <v>151.69999999999999</v>
      </c>
      <c r="AH7" s="630"/>
      <c r="AI7" s="555">
        <f>+SUMIF(WRM!$C$7:$C$119,$D7,WRM!$AH$7:$AH$119)</f>
        <v>0</v>
      </c>
      <c r="AJ7" s="625"/>
      <c r="AK7" s="625">
        <f t="shared" si="7"/>
        <v>151.69999999999999</v>
      </c>
      <c r="AL7" s="630"/>
      <c r="AM7" s="555">
        <f>+SUMIF(WRM!$C$7:$C$119,$D7,WRM!$AL$7:$AL$119)</f>
        <v>0</v>
      </c>
      <c r="AN7" s="630"/>
      <c r="AO7" s="2331">
        <f t="shared" si="8"/>
        <v>0</v>
      </c>
      <c r="AP7" s="625"/>
      <c r="AQ7" s="625">
        <f t="shared" si="9"/>
        <v>151.69999999999999</v>
      </c>
      <c r="AR7" s="630"/>
      <c r="AS7" s="555">
        <f>+SUMIF(WRM!$C$7:$C$119,$D7,WRM!$AR$7:$AR$119)</f>
        <v>0</v>
      </c>
      <c r="AT7" s="625"/>
      <c r="AU7" s="625">
        <f t="shared" si="10"/>
        <v>151.69999999999999</v>
      </c>
      <c r="AV7" s="630"/>
      <c r="AW7" s="555">
        <f>+SUMIF(WRM!$C$7:$C$119,$D7,WRM!$AV$7:$AV$119)</f>
        <v>0</v>
      </c>
      <c r="AX7" s="625"/>
      <c r="AY7" s="625">
        <f t="shared" si="11"/>
        <v>151.69999999999999</v>
      </c>
      <c r="AZ7" s="630"/>
      <c r="BA7" s="555">
        <f>+SUMIF(WRM!$C$7:$C$119,$D7,WRM!$AZ$7:$AZ$119)</f>
        <v>0</v>
      </c>
      <c r="BB7" s="630"/>
      <c r="BC7" s="2331">
        <f t="shared" si="12"/>
        <v>0</v>
      </c>
      <c r="BD7" s="2391"/>
      <c r="BE7" s="1175">
        <f t="shared" si="13"/>
        <v>0</v>
      </c>
      <c r="BF7" s="625"/>
      <c r="BG7" s="625">
        <f t="shared" si="14"/>
        <v>151.69999999999999</v>
      </c>
      <c r="BH7" s="26"/>
      <c r="BI7" s="26"/>
      <c r="BJ7" s="26"/>
    </row>
    <row r="8" spans="3:62" x14ac:dyDescent="0.3">
      <c r="C8" s="554" t="s">
        <v>16</v>
      </c>
      <c r="D8" s="1638" t="s">
        <v>1385</v>
      </c>
      <c r="E8" s="6285"/>
      <c r="F8" s="554"/>
      <c r="G8" s="555">
        <f>+SUMIF(WRM!$C$7:$C$119,$D8,WRM!$F$7:$F$119)</f>
        <v>0</v>
      </c>
      <c r="H8" s="555"/>
      <c r="I8" s="555">
        <f>+SUMIF(WRM!$C$7:$C$119,$D8,WRM!$H$7:$H$119)</f>
        <v>0</v>
      </c>
      <c r="J8" s="625"/>
      <c r="K8" s="625">
        <f t="shared" si="0"/>
        <v>0</v>
      </c>
      <c r="L8" s="555"/>
      <c r="M8" s="555">
        <f>+SUMIF(WRM!$C$7:$C$119,$D8,WRM!$L$7:$L$119)</f>
        <v>0</v>
      </c>
      <c r="N8" s="630"/>
      <c r="O8" s="630">
        <f t="shared" si="1"/>
        <v>0</v>
      </c>
      <c r="P8" s="555"/>
      <c r="Q8" s="555">
        <f>+SUMIF(WRM!$C$7:$C$119,$D8,WRM!P$7:$P$119)</f>
        <v>0</v>
      </c>
      <c r="R8" s="630"/>
      <c r="S8" s="630">
        <f t="shared" si="2"/>
        <v>0</v>
      </c>
      <c r="T8" s="555"/>
      <c r="U8" s="555">
        <f>+SUMIF(WRM!$C$7:$C$119,$D8,WRM!$T$7:T$119)</f>
        <v>0</v>
      </c>
      <c r="V8" s="630"/>
      <c r="W8" s="630">
        <f t="shared" si="3"/>
        <v>0</v>
      </c>
      <c r="X8" s="630"/>
      <c r="Y8" s="555">
        <f>+SUMIF(WRM!$C$7:$C$119,$D8,WRM!$X$7:X$119)</f>
        <v>0</v>
      </c>
      <c r="Z8" s="630"/>
      <c r="AA8" s="2331">
        <f t="shared" si="4"/>
        <v>0</v>
      </c>
      <c r="AB8" s="2391"/>
      <c r="AC8" s="1175">
        <f t="shared" si="5"/>
        <v>0</v>
      </c>
      <c r="AD8" s="630"/>
      <c r="AE8" s="555">
        <f>+SUMIF(WRM!$C$7:$C$119,$D8,WRM!$AD$7:$AD$119)</f>
        <v>0</v>
      </c>
      <c r="AF8" s="630"/>
      <c r="AG8" s="630">
        <f t="shared" si="6"/>
        <v>0</v>
      </c>
      <c r="AH8" s="630"/>
      <c r="AI8" s="555">
        <f>+SUMIF(WRM!$C$7:$C$119,$D8,WRM!$AH$7:$AH$119)</f>
        <v>0</v>
      </c>
      <c r="AJ8" s="625"/>
      <c r="AK8" s="625">
        <f t="shared" si="7"/>
        <v>0</v>
      </c>
      <c r="AL8" s="630"/>
      <c r="AM8" s="555">
        <f>+SUMIF(WRM!$C$7:$C$119,$D8,WRM!$AL$7:$AL$119)</f>
        <v>0</v>
      </c>
      <c r="AN8" s="630"/>
      <c r="AO8" s="2331">
        <f t="shared" si="8"/>
        <v>0</v>
      </c>
      <c r="AP8" s="625"/>
      <c r="AQ8" s="625">
        <f t="shared" si="9"/>
        <v>0</v>
      </c>
      <c r="AR8" s="630"/>
      <c r="AS8" s="555">
        <f>+SUMIF(WRM!$C$7:$C$119,$D8,WRM!$AR$7:$AR$119)</f>
        <v>0</v>
      </c>
      <c r="AT8" s="625"/>
      <c r="AU8" s="625">
        <f t="shared" si="10"/>
        <v>0</v>
      </c>
      <c r="AV8" s="630"/>
      <c r="AW8" s="555">
        <f>+SUMIF(WRM!$C$7:$C$119,$D8,WRM!$AV$7:$AV$119)</f>
        <v>0</v>
      </c>
      <c r="AX8" s="625"/>
      <c r="AY8" s="625">
        <f t="shared" si="11"/>
        <v>0</v>
      </c>
      <c r="AZ8" s="630"/>
      <c r="BA8" s="555">
        <f>+SUMIF(WRM!$C$7:$C$119,$D8,WRM!$AZ$7:$AZ$119)</f>
        <v>0</v>
      </c>
      <c r="BB8" s="630"/>
      <c r="BC8" s="2331">
        <f t="shared" si="12"/>
        <v>0</v>
      </c>
      <c r="BD8" s="2391"/>
      <c r="BE8" s="1175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">
      <c r="C9" s="554" t="s">
        <v>16</v>
      </c>
      <c r="D9" s="1638" t="s">
        <v>874</v>
      </c>
      <c r="E9" s="6285"/>
      <c r="F9" s="554"/>
      <c r="G9" s="555">
        <f>+SUMIF(WRM!$C$7:$C$119,$D9,WRM!$F$7:$F$119)</f>
        <v>4233.3500000000004</v>
      </c>
      <c r="H9" s="555"/>
      <c r="I9" s="555">
        <f>+SUMIF(WRM!$C$7:$C$119,$D9,WRM!$H$7:$H$119)</f>
        <v>9493.5499999999993</v>
      </c>
      <c r="J9" s="625"/>
      <c r="K9" s="625">
        <f t="shared" si="0"/>
        <v>13726.9</v>
      </c>
      <c r="L9" s="555"/>
      <c r="M9" s="555">
        <f>+SUMIF(WRM!$C$7:$C$119,$D9,WRM!$L$7:$L$119)</f>
        <v>4327.55</v>
      </c>
      <c r="N9" s="630"/>
      <c r="O9" s="630">
        <f t="shared" si="1"/>
        <v>18054.45</v>
      </c>
      <c r="P9" s="555"/>
      <c r="Q9" s="555">
        <f>+SUMIF(WRM!$C$7:$C$119,$D9,WRM!P$7:$P$119)</f>
        <v>7363.6000000000049</v>
      </c>
      <c r="R9" s="630"/>
      <c r="S9" s="630">
        <f t="shared" si="2"/>
        <v>25418.050000000007</v>
      </c>
      <c r="T9" s="555"/>
      <c r="U9" s="555">
        <f>+SUMIF(WRM!$C$7:$C$119,$D9,WRM!$T$7:T$119)</f>
        <v>5600.5999999999995</v>
      </c>
      <c r="V9" s="630"/>
      <c r="W9" s="630">
        <f t="shared" si="3"/>
        <v>31018.650000000005</v>
      </c>
      <c r="X9" s="630"/>
      <c r="Y9" s="555">
        <f>+SUMIF(WRM!$C$7:$C$119,$D9,WRM!$X$7:X$119)</f>
        <v>6152.05</v>
      </c>
      <c r="Z9" s="630"/>
      <c r="AA9" s="2331">
        <f t="shared" si="4"/>
        <v>19116.250000000004</v>
      </c>
      <c r="AB9" s="2391"/>
      <c r="AC9" s="1175">
        <f t="shared" si="5"/>
        <v>37170.700000000004</v>
      </c>
      <c r="AD9" s="630"/>
      <c r="AE9" s="555">
        <f>+SUMIF(WRM!$C$7:$C$119,$D9,WRM!$AD$7:$AD$119)</f>
        <v>7002.8000000000075</v>
      </c>
      <c r="AF9" s="630"/>
      <c r="AG9" s="630">
        <f t="shared" si="6"/>
        <v>44173.500000000015</v>
      </c>
      <c r="AH9" s="630"/>
      <c r="AI9" s="555">
        <f>+SUMIF(WRM!$C$7:$C$119,$D9,WRM!$AH$7:$AH$119)</f>
        <v>3649</v>
      </c>
      <c r="AJ9" s="625"/>
      <c r="AK9" s="625">
        <f t="shared" si="7"/>
        <v>47822.500000000015</v>
      </c>
      <c r="AL9" s="630"/>
      <c r="AM9" s="555">
        <f>+SUMIF(WRM!$C$7:$C$119,$D9,WRM!$AL$7:$AL$119)</f>
        <v>6063.9</v>
      </c>
      <c r="AN9" s="630"/>
      <c r="AO9" s="2331">
        <f t="shared" si="8"/>
        <v>16715.700000000004</v>
      </c>
      <c r="AP9" s="625"/>
      <c r="AQ9" s="625">
        <f t="shared" si="9"/>
        <v>53886.400000000016</v>
      </c>
      <c r="AR9" s="630"/>
      <c r="AS9" s="555">
        <f>+SUMIF(WRM!$C$7:$C$119,$D9,WRM!$AR$7:$AR$119)</f>
        <v>7312.35</v>
      </c>
      <c r="AT9" s="625"/>
      <c r="AU9" s="625">
        <f t="shared" si="10"/>
        <v>61198.750000000015</v>
      </c>
      <c r="AV9" s="630"/>
      <c r="AW9" s="555">
        <f>+SUMIF(WRM!$C$7:$C$119,$D9,WRM!$AV$7:$AV$119)</f>
        <v>7252.9</v>
      </c>
      <c r="AX9" s="625"/>
      <c r="AY9" s="625">
        <f t="shared" si="11"/>
        <v>68451.650000000009</v>
      </c>
      <c r="AZ9" s="630"/>
      <c r="BA9" s="555">
        <f>+SUMIF(WRM!$C$7:$C$119,$D9,WRM!$AZ$7:$AZ$119)</f>
        <v>4592.0000000000009</v>
      </c>
      <c r="BB9" s="630"/>
      <c r="BC9" s="2331">
        <f t="shared" si="12"/>
        <v>19157.25</v>
      </c>
      <c r="BD9" s="2391"/>
      <c r="BE9" s="1175">
        <f t="shared" si="13"/>
        <v>35872.950000000004</v>
      </c>
      <c r="BF9" s="625"/>
      <c r="BG9" s="625">
        <f t="shared" si="14"/>
        <v>73043.650000000009</v>
      </c>
      <c r="BH9" s="26"/>
      <c r="BI9" s="26"/>
      <c r="BJ9" s="26"/>
    </row>
    <row r="10" spans="3:62" x14ac:dyDescent="0.3">
      <c r="C10" s="554" t="s">
        <v>16</v>
      </c>
      <c r="D10" s="1638" t="s">
        <v>877</v>
      </c>
      <c r="E10" s="6285"/>
      <c r="F10" s="554"/>
      <c r="G10" s="555">
        <f>+SUMIF(WRM!$C$7:$C$119,$D10,WRM!$F$7:$F$119)</f>
        <v>0</v>
      </c>
      <c r="H10" s="555"/>
      <c r="I10" s="555">
        <f>+SUMIF(WRM!$C$7:$C$119,$D10,WRM!$H$7:$H$119)</f>
        <v>0</v>
      </c>
      <c r="J10" s="625"/>
      <c r="K10" s="625">
        <f t="shared" si="0"/>
        <v>0</v>
      </c>
      <c r="L10" s="555"/>
      <c r="M10" s="555">
        <f>+SUMIF(WRM!$C$7:$C$119,$D10,WRM!$L$7:$L$119)</f>
        <v>0</v>
      </c>
      <c r="N10" s="630"/>
      <c r="O10" s="630">
        <f t="shared" si="1"/>
        <v>0</v>
      </c>
      <c r="P10" s="555"/>
      <c r="Q10" s="555">
        <f>+SUMIF(WRM!$C$7:$C$119,$D10,WRM!P$7:$P$119)</f>
        <v>0</v>
      </c>
      <c r="R10" s="630"/>
      <c r="S10" s="630">
        <f t="shared" si="2"/>
        <v>0</v>
      </c>
      <c r="T10" s="555"/>
      <c r="U10" s="555">
        <f>+SUMIF(WRM!$C$7:$C$119,$D10,WRM!$T$7:T$119)</f>
        <v>0</v>
      </c>
      <c r="V10" s="630"/>
      <c r="W10" s="630">
        <f t="shared" si="3"/>
        <v>0</v>
      </c>
      <c r="X10" s="630"/>
      <c r="Y10" s="555">
        <f>+SUMIF(WRM!$C$7:$C$119,$D10,WRM!$X$7:X$119)</f>
        <v>0</v>
      </c>
      <c r="Z10" s="630"/>
      <c r="AA10" s="2331">
        <f t="shared" si="4"/>
        <v>0</v>
      </c>
      <c r="AB10" s="2391"/>
      <c r="AC10" s="1175">
        <f t="shared" si="5"/>
        <v>0</v>
      </c>
      <c r="AD10" s="630"/>
      <c r="AE10" s="555">
        <f>+SUMIF(WRM!$C$7:$C$119,$D10,WRM!$AD$7:$AD$119)</f>
        <v>0</v>
      </c>
      <c r="AF10" s="630"/>
      <c r="AG10" s="630">
        <f t="shared" si="6"/>
        <v>0</v>
      </c>
      <c r="AH10" s="630"/>
      <c r="AI10" s="555">
        <f>+SUMIF(WRM!$C$7:$C$119,$D10,WRM!$AH$7:$AH$119)</f>
        <v>0</v>
      </c>
      <c r="AJ10" s="625"/>
      <c r="AK10" s="625">
        <f t="shared" si="7"/>
        <v>0</v>
      </c>
      <c r="AL10" s="630"/>
      <c r="AM10" s="555">
        <f>+SUMIF(WRM!$C$7:$C$119,$D10,WRM!$AL$7:$AL$119)</f>
        <v>0</v>
      </c>
      <c r="AN10" s="630"/>
      <c r="AO10" s="2331">
        <f t="shared" si="8"/>
        <v>0</v>
      </c>
      <c r="AP10" s="625"/>
      <c r="AQ10" s="625">
        <f t="shared" si="9"/>
        <v>0</v>
      </c>
      <c r="AR10" s="630"/>
      <c r="AS10" s="555">
        <f>+SUMIF(WRM!$C$7:$C$119,$D10,WRM!$AR$7:$AR$119)</f>
        <v>0</v>
      </c>
      <c r="AT10" s="625"/>
      <c r="AU10" s="625">
        <f t="shared" si="10"/>
        <v>0</v>
      </c>
      <c r="AV10" s="630"/>
      <c r="AW10" s="555">
        <f>+SUMIF(WRM!$C$7:$C$119,$D10,WRM!$AV$7:$AV$119)</f>
        <v>0</v>
      </c>
      <c r="AX10" s="625"/>
      <c r="AY10" s="625">
        <f t="shared" si="11"/>
        <v>0</v>
      </c>
      <c r="AZ10" s="630"/>
      <c r="BA10" s="555">
        <f>+SUMIF(WRM!$C$7:$C$119,$D10,WRM!$AZ$7:$AZ$119)</f>
        <v>0</v>
      </c>
      <c r="BB10" s="630"/>
      <c r="BC10" s="2331">
        <f t="shared" si="12"/>
        <v>0</v>
      </c>
      <c r="BD10" s="2391"/>
      <c r="BE10" s="1175">
        <f t="shared" si="13"/>
        <v>0</v>
      </c>
      <c r="BF10" s="625"/>
      <c r="BG10" s="625">
        <f t="shared" si="14"/>
        <v>0</v>
      </c>
      <c r="BH10" s="26"/>
      <c r="BI10" s="26"/>
      <c r="BJ10" s="26"/>
    </row>
    <row r="11" spans="3:62" x14ac:dyDescent="0.3">
      <c r="C11" s="554" t="s">
        <v>16</v>
      </c>
      <c r="D11" s="1638" t="s">
        <v>1275</v>
      </c>
      <c r="E11" s="6285"/>
      <c r="F11" s="554"/>
      <c r="G11" s="555">
        <f>+SUMIF(WRM!$C$7:$C$119,$D11,WRM!$F$7:$F$119)</f>
        <v>0</v>
      </c>
      <c r="H11" s="555"/>
      <c r="I11" s="555">
        <f>+SUMIF(WRM!$C$7:$C$119,$D11,WRM!$H$7:$H$119)</f>
        <v>0</v>
      </c>
      <c r="J11" s="625"/>
      <c r="K11" s="625">
        <f t="shared" si="0"/>
        <v>0</v>
      </c>
      <c r="L11" s="555"/>
      <c r="M11" s="555">
        <f>+SUMIF(WRM!$C$7:$C$119,$D11,WRM!$L$7:$L$119)</f>
        <v>0</v>
      </c>
      <c r="N11" s="630"/>
      <c r="O11" s="630">
        <f t="shared" si="1"/>
        <v>0</v>
      </c>
      <c r="P11" s="555"/>
      <c r="Q11" s="555">
        <f>+SUMIF(WRM!$C$7:$C$119,$D11,WRM!P$7:$P$119)</f>
        <v>0</v>
      </c>
      <c r="R11" s="630"/>
      <c r="S11" s="630">
        <f t="shared" si="2"/>
        <v>0</v>
      </c>
      <c r="T11" s="555"/>
      <c r="U11" s="555">
        <f>+SUMIF(WRM!$C$7:$C$119,$D11,WRM!$T$7:T$119)</f>
        <v>0</v>
      </c>
      <c r="V11" s="630"/>
      <c r="W11" s="630">
        <f t="shared" si="3"/>
        <v>0</v>
      </c>
      <c r="X11" s="630"/>
      <c r="Y11" s="555">
        <f>+SUMIF(WRM!$C$7:$C$119,$D11,WRM!$X$7:X$119)</f>
        <v>0</v>
      </c>
      <c r="Z11" s="630"/>
      <c r="AA11" s="2331">
        <f t="shared" si="4"/>
        <v>0</v>
      </c>
      <c r="AB11" s="2391"/>
      <c r="AC11" s="1175">
        <f t="shared" si="5"/>
        <v>0</v>
      </c>
      <c r="AD11" s="630"/>
      <c r="AE11" s="555">
        <f>+SUMIF(WRM!$C$7:$C$119,$D11,WRM!$AD$7:$AD$119)</f>
        <v>0</v>
      </c>
      <c r="AF11" s="630"/>
      <c r="AG11" s="630">
        <f t="shared" si="6"/>
        <v>0</v>
      </c>
      <c r="AH11" s="630"/>
      <c r="AI11" s="555">
        <f>+SUMIF(WRM!$C$7:$C$119,$D11,WRM!$AH$7:$AH$119)</f>
        <v>0</v>
      </c>
      <c r="AJ11" s="625"/>
      <c r="AK11" s="625">
        <f t="shared" si="7"/>
        <v>0</v>
      </c>
      <c r="AL11" s="630"/>
      <c r="AM11" s="555">
        <f>+SUMIF(WRM!$C$7:$C$119,$D11,WRM!$AL$7:$AL$119)</f>
        <v>0</v>
      </c>
      <c r="AN11" s="630"/>
      <c r="AO11" s="2331">
        <f t="shared" si="8"/>
        <v>0</v>
      </c>
      <c r="AP11" s="625"/>
      <c r="AQ11" s="625">
        <f t="shared" si="9"/>
        <v>0</v>
      </c>
      <c r="AR11" s="630"/>
      <c r="AS11" s="555">
        <f>+SUMIF(WRM!$C$7:$C$119,$D11,WRM!$AR$7:$AR$119)</f>
        <v>0</v>
      </c>
      <c r="AT11" s="625"/>
      <c r="AU11" s="625">
        <f t="shared" si="10"/>
        <v>0</v>
      </c>
      <c r="AV11" s="630"/>
      <c r="AW11" s="555">
        <f>+SUMIF(WRM!$C$7:$C$119,$D11,WRM!$AV$7:$AV$119)</f>
        <v>0</v>
      </c>
      <c r="AX11" s="625"/>
      <c r="AY11" s="625">
        <f t="shared" si="11"/>
        <v>0</v>
      </c>
      <c r="AZ11" s="630"/>
      <c r="BA11" s="555">
        <f>+SUMIF(WRM!$C$7:$C$119,$D11,WRM!$AZ$7:$AZ$119)</f>
        <v>0</v>
      </c>
      <c r="BB11" s="630"/>
      <c r="BC11" s="2331">
        <f t="shared" si="12"/>
        <v>0</v>
      </c>
      <c r="BD11" s="2391"/>
      <c r="BE11" s="1175">
        <f t="shared" si="13"/>
        <v>0</v>
      </c>
      <c r="BF11" s="625"/>
      <c r="BG11" s="625">
        <f t="shared" si="14"/>
        <v>0</v>
      </c>
      <c r="BH11" s="26"/>
      <c r="BI11" s="26"/>
      <c r="BJ11" s="26"/>
    </row>
    <row r="12" spans="3:62" x14ac:dyDescent="0.3">
      <c r="C12" s="554" t="s">
        <v>16</v>
      </c>
      <c r="D12" s="1638" t="s">
        <v>972</v>
      </c>
      <c r="E12" s="6285"/>
      <c r="F12" s="554"/>
      <c r="G12" s="555">
        <f>+SUMIF(WRM!$C$7:$C$119,$D12,WRM!$F$7:$F$119)</f>
        <v>1096.75</v>
      </c>
      <c r="H12" s="555"/>
      <c r="I12" s="555">
        <f>+SUMIF(WRM!$C$7:$C$119,$D12,WRM!$H$7:$H$119)</f>
        <v>223.45000000000002</v>
      </c>
      <c r="J12" s="625"/>
      <c r="K12" s="625">
        <f t="shared" si="0"/>
        <v>1320.2</v>
      </c>
      <c r="L12" s="555"/>
      <c r="M12" s="555">
        <f>+SUMIF(WRM!$C$7:$C$119,$D12,WRM!$L$7:$L$119)</f>
        <v>0</v>
      </c>
      <c r="N12" s="630"/>
      <c r="O12" s="630">
        <f t="shared" si="1"/>
        <v>1320.2</v>
      </c>
      <c r="P12" s="555"/>
      <c r="Q12" s="555">
        <f>+SUMIF(WRM!$C$7:$C$119,$D12,WRM!P$7:$P$119)</f>
        <v>832.30000000000007</v>
      </c>
      <c r="R12" s="630"/>
      <c r="S12" s="630">
        <f t="shared" si="2"/>
        <v>2152.5</v>
      </c>
      <c r="T12" s="555"/>
      <c r="U12" s="555">
        <f>+SUMIF(WRM!$C$7:$C$119,$D12,WRM!$T$7:T$119)</f>
        <v>1031.1499999999999</v>
      </c>
      <c r="V12" s="630"/>
      <c r="W12" s="630">
        <f t="shared" si="3"/>
        <v>3183.6499999999996</v>
      </c>
      <c r="X12" s="630"/>
      <c r="Y12" s="555">
        <f>+SUMIF(WRM!$C$7:$C$119,$D12,WRM!$X$7:X$119)</f>
        <v>957.34999999999991</v>
      </c>
      <c r="Z12" s="630"/>
      <c r="AA12" s="2331">
        <f t="shared" si="4"/>
        <v>2820.7999999999997</v>
      </c>
      <c r="AB12" s="2391"/>
      <c r="AC12" s="1175">
        <f t="shared" si="5"/>
        <v>4141</v>
      </c>
      <c r="AD12" s="630"/>
      <c r="AE12" s="555">
        <f>+SUMIF(WRM!$C$7:$C$119,$D12,WRM!$AD$7:$AD$119)</f>
        <v>770.80000000000018</v>
      </c>
      <c r="AF12" s="630"/>
      <c r="AG12" s="630">
        <f t="shared" si="6"/>
        <v>4911.8</v>
      </c>
      <c r="AH12" s="630"/>
      <c r="AI12" s="555">
        <f>+SUMIF(WRM!$C$7:$C$119,$D12,WRM!$AH$7:$AH$119)</f>
        <v>0</v>
      </c>
      <c r="AJ12" s="625"/>
      <c r="AK12" s="625">
        <f t="shared" si="7"/>
        <v>4911.8</v>
      </c>
      <c r="AL12" s="630"/>
      <c r="AM12" s="555">
        <f>+SUMIF(WRM!$C$7:$C$119,$D12,WRM!$AL$7:$AL$119)</f>
        <v>1014.7500000000001</v>
      </c>
      <c r="AN12" s="630"/>
      <c r="AO12" s="2331">
        <f t="shared" si="8"/>
        <v>1785.5500000000002</v>
      </c>
      <c r="AP12" s="625"/>
      <c r="AQ12" s="625">
        <f t="shared" si="9"/>
        <v>5926.55</v>
      </c>
      <c r="AR12" s="630"/>
      <c r="AS12" s="555">
        <f>+SUMIF(WRM!$C$7:$C$119,$D12,WRM!$AR$7:$AR$119)</f>
        <v>1070.1000000000004</v>
      </c>
      <c r="AT12" s="625"/>
      <c r="AU12" s="625">
        <f t="shared" si="10"/>
        <v>6996.6500000000005</v>
      </c>
      <c r="AV12" s="630"/>
      <c r="AW12" s="555">
        <f>+SUMIF(WRM!$C$7:$C$119,$D12,WRM!$AV$7:$AV$119)</f>
        <v>604.75</v>
      </c>
      <c r="AX12" s="625"/>
      <c r="AY12" s="625">
        <f t="shared" si="11"/>
        <v>7601.4000000000005</v>
      </c>
      <c r="AZ12" s="630"/>
      <c r="BA12" s="555">
        <f>+SUMIF(WRM!$C$7:$C$119,$D12,WRM!$AZ$7:$AZ$119)</f>
        <v>104.55</v>
      </c>
      <c r="BB12" s="630"/>
      <c r="BC12" s="2331">
        <f t="shared" si="12"/>
        <v>1779.4000000000003</v>
      </c>
      <c r="BD12" s="2391"/>
      <c r="BE12" s="1175">
        <f t="shared" si="13"/>
        <v>3564.9500000000007</v>
      </c>
      <c r="BF12" s="625"/>
      <c r="BG12" s="625">
        <f t="shared" si="14"/>
        <v>7705.9500000000007</v>
      </c>
      <c r="BH12" s="26"/>
      <c r="BI12" s="26"/>
      <c r="BJ12" s="26"/>
    </row>
    <row r="13" spans="3:62" s="2649" customFormat="1" x14ac:dyDescent="0.3">
      <c r="C13" s="554" t="s">
        <v>16</v>
      </c>
      <c r="D13" s="1638" t="s">
        <v>1648</v>
      </c>
      <c r="E13" s="6285"/>
      <c r="F13" s="554"/>
      <c r="G13" s="555">
        <f>+SUMIF(WRM!$C$7:$C$119,$D13,WRM!$F$7:$F$119)</f>
        <v>0</v>
      </c>
      <c r="H13" s="555"/>
      <c r="I13" s="555">
        <f>+SUMIF(WRM!$C$7:$C$119,$D13,WRM!$H$7:$H$119)</f>
        <v>0</v>
      </c>
      <c r="J13" s="625"/>
      <c r="K13" s="625">
        <f t="shared" si="0"/>
        <v>0</v>
      </c>
      <c r="L13" s="555"/>
      <c r="M13" s="555">
        <f>+SUMIF(WRM!$C$7:$C$119,$D13,WRM!$L$7:$L$119)</f>
        <v>0</v>
      </c>
      <c r="N13" s="630"/>
      <c r="O13" s="630">
        <f t="shared" si="1"/>
        <v>0</v>
      </c>
      <c r="P13" s="555"/>
      <c r="Q13" s="555">
        <f>+SUMIF(WRM!$C$7:$C$119,$D13,WRM!P$7:$P$119)</f>
        <v>0</v>
      </c>
      <c r="R13" s="630"/>
      <c r="S13" s="630">
        <f t="shared" si="2"/>
        <v>0</v>
      </c>
      <c r="T13" s="555"/>
      <c r="U13" s="555">
        <f>+SUMIF(WRM!$C$7:$C$119,$D13,WRM!$T$7:T$119)</f>
        <v>0</v>
      </c>
      <c r="V13" s="630"/>
      <c r="W13" s="630">
        <f t="shared" si="3"/>
        <v>0</v>
      </c>
      <c r="X13" s="630"/>
      <c r="Y13" s="555">
        <f>+SUMIF(WRM!$C$7:$C$119,$D13,WRM!$X$7:X$119)</f>
        <v>0</v>
      </c>
      <c r="Z13" s="630"/>
      <c r="AA13" s="2331">
        <f t="shared" si="4"/>
        <v>0</v>
      </c>
      <c r="AB13" s="2391"/>
      <c r="AC13" s="1175">
        <f t="shared" si="5"/>
        <v>0</v>
      </c>
      <c r="AD13" s="630"/>
      <c r="AE13" s="555">
        <f>+SUMIF(WRM!$C$7:$C$119,$D13,WRM!$AD$7:$AD$119)</f>
        <v>0</v>
      </c>
      <c r="AF13" s="630"/>
      <c r="AG13" s="630">
        <f t="shared" si="6"/>
        <v>0</v>
      </c>
      <c r="AH13" s="630"/>
      <c r="AI13" s="555">
        <f>+SUMIF(WRM!$C$7:$C$119,$D13,WRM!$AH$7:$AH$119)</f>
        <v>0</v>
      </c>
      <c r="AJ13" s="625"/>
      <c r="AK13" s="625">
        <f t="shared" si="7"/>
        <v>0</v>
      </c>
      <c r="AL13" s="630"/>
      <c r="AM13" s="555">
        <f>+SUMIF(WRM!$C$7:$C$119,$D13,WRM!$AL$7:$AL$119)</f>
        <v>0</v>
      </c>
      <c r="AN13" s="630"/>
      <c r="AO13" s="2331">
        <f t="shared" si="8"/>
        <v>0</v>
      </c>
      <c r="AP13" s="625"/>
      <c r="AQ13" s="625">
        <f t="shared" si="9"/>
        <v>0</v>
      </c>
      <c r="AR13" s="630"/>
      <c r="AS13" s="555">
        <f>+SUMIF(WRM!$C$7:$C$119,$D13,WRM!$AR$7:$AR$119)</f>
        <v>0</v>
      </c>
      <c r="AT13" s="625"/>
      <c r="AU13" s="625">
        <f t="shared" si="10"/>
        <v>0</v>
      </c>
      <c r="AV13" s="630"/>
      <c r="AW13" s="555">
        <f>+SUMIF(WRM!$C$7:$C$119,$D13,WRM!$AV$7:$AV$119)</f>
        <v>0</v>
      </c>
      <c r="AX13" s="625"/>
      <c r="AY13" s="625">
        <f t="shared" si="11"/>
        <v>0</v>
      </c>
      <c r="AZ13" s="630"/>
      <c r="BA13" s="555">
        <f>+SUMIF(WRM!$C$7:$C$119,$D13,WRM!$AZ$7:$AZ$119)</f>
        <v>0</v>
      </c>
      <c r="BB13" s="630"/>
      <c r="BC13" s="2331">
        <f t="shared" si="12"/>
        <v>0</v>
      </c>
      <c r="BD13" s="2391"/>
      <c r="BE13" s="1175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s="3336" customFormat="1" x14ac:dyDescent="0.3">
      <c r="C14" s="3331" t="s">
        <v>16</v>
      </c>
      <c r="D14" s="3332" t="s">
        <v>975</v>
      </c>
      <c r="E14" s="6285"/>
      <c r="F14" s="3331"/>
      <c r="G14" s="555">
        <f>+SUMIF(WRM!$C$7:$C$119,$D14,WRM!$F$7:$F$119)</f>
        <v>559.65</v>
      </c>
      <c r="H14" s="3333"/>
      <c r="I14" s="555">
        <f>+SUMIF(WRM!$C$7:$C$119,$D14,WRM!$H$7:$H$119)</f>
        <v>565.79999999999995</v>
      </c>
      <c r="J14" s="3334"/>
      <c r="K14" s="625">
        <f t="shared" si="0"/>
        <v>1125.4499999999998</v>
      </c>
      <c r="L14" s="3333"/>
      <c r="M14" s="555">
        <f>+SUMIF(WRM!$C$7:$C$119,$D14,WRM!$L$7:$L$119)</f>
        <v>0</v>
      </c>
      <c r="N14" s="3335"/>
      <c r="O14" s="630">
        <f t="shared" si="1"/>
        <v>1125.4499999999998</v>
      </c>
      <c r="P14" s="3333"/>
      <c r="Q14" s="555">
        <f>+SUMIF(WRM!$C$7:$C$119,$D14,WRM!P$7:$P$119)</f>
        <v>106.60000000000001</v>
      </c>
      <c r="R14" s="3335"/>
      <c r="S14" s="630">
        <f t="shared" si="2"/>
        <v>1232.0499999999997</v>
      </c>
      <c r="T14" s="3333"/>
      <c r="U14" s="555">
        <f>+SUMIF(WRM!$C$7:$C$119,$D14,WRM!$T$7:T$119)</f>
        <v>606.79999999999995</v>
      </c>
      <c r="V14" s="3335"/>
      <c r="W14" s="630">
        <f t="shared" si="3"/>
        <v>1838.8499999999997</v>
      </c>
      <c r="X14" s="3335"/>
      <c r="Y14" s="555">
        <f>+SUMIF(WRM!$C$7:$C$119,$D14,WRM!$X$7:X$119)</f>
        <v>1316.1000000000001</v>
      </c>
      <c r="Z14" s="3335"/>
      <c r="AA14" s="2331">
        <f t="shared" ref="AA14" si="15">Q14+U14+Y14</f>
        <v>2029.5</v>
      </c>
      <c r="AB14" s="2391"/>
      <c r="AC14" s="1175">
        <f t="shared" ref="AC14" si="16">O14+AA14</f>
        <v>3154.95</v>
      </c>
      <c r="AD14" s="3335"/>
      <c r="AE14" s="555">
        <f>+SUMIF(WRM!$C$7:$C$119,$D14,WRM!$AD$7:$AD$119)</f>
        <v>287</v>
      </c>
      <c r="AF14" s="3335"/>
      <c r="AG14" s="630">
        <f t="shared" si="6"/>
        <v>3441.95</v>
      </c>
      <c r="AH14" s="3335"/>
      <c r="AI14" s="555">
        <f>+SUMIF(WRM!$C$7:$C$119,$D14,WRM!$AH$7:$AH$119)</f>
        <v>0</v>
      </c>
      <c r="AJ14" s="3334"/>
      <c r="AK14" s="625">
        <f t="shared" si="7"/>
        <v>3441.95</v>
      </c>
      <c r="AL14" s="3335"/>
      <c r="AM14" s="555">
        <f>+SUMIF(WRM!$C$7:$C$119,$D14,WRM!$AL$7:$AL$119)</f>
        <v>524.79999999999995</v>
      </c>
      <c r="AN14" s="3335"/>
      <c r="AO14" s="2331">
        <f t="shared" si="8"/>
        <v>811.8</v>
      </c>
      <c r="AP14" s="3334"/>
      <c r="AQ14" s="625">
        <f t="shared" si="9"/>
        <v>3966.75</v>
      </c>
      <c r="AR14" s="3335"/>
      <c r="AS14" s="555">
        <f>+SUMIF(WRM!$C$7:$C$119,$D14,WRM!$AR$7:$AR$119)</f>
        <v>694.95</v>
      </c>
      <c r="AT14" s="3334"/>
      <c r="AU14" s="625">
        <f t="shared" si="10"/>
        <v>4661.7</v>
      </c>
      <c r="AV14" s="3335"/>
      <c r="AW14" s="555">
        <f>+SUMIF(WRM!$C$7:$C$119,$D14,WRM!$AV$7:$AV$119)</f>
        <v>1381.6999999999998</v>
      </c>
      <c r="AX14" s="3334"/>
      <c r="AY14" s="625">
        <f t="shared" si="11"/>
        <v>6043.4</v>
      </c>
      <c r="AZ14" s="3335"/>
      <c r="BA14" s="555">
        <f>+SUMIF(WRM!$C$7:$C$119,$D14,WRM!$AZ$7:$AZ$119)</f>
        <v>442.7999999999999</v>
      </c>
      <c r="BB14" s="3335"/>
      <c r="BC14" s="2331">
        <f t="shared" si="12"/>
        <v>2519.4499999999994</v>
      </c>
      <c r="BD14" s="3338"/>
      <c r="BE14" s="1175">
        <f t="shared" si="13"/>
        <v>3331.2499999999991</v>
      </c>
      <c r="BF14" s="3334"/>
      <c r="BG14" s="625">
        <f t="shared" si="14"/>
        <v>6486.2</v>
      </c>
      <c r="BH14" s="26"/>
      <c r="BI14" s="26"/>
      <c r="BJ14" s="26"/>
    </row>
    <row r="15" spans="3:62" x14ac:dyDescent="0.3">
      <c r="C15" s="554" t="s">
        <v>16</v>
      </c>
      <c r="D15" s="1638" t="s">
        <v>974</v>
      </c>
      <c r="E15" s="6285"/>
      <c r="F15" s="554"/>
      <c r="G15" s="555">
        <f>+SUMIF(WRM!$C$7:$C$119,$D15,WRM!$F$7:$F$119)</f>
        <v>596.54999999999995</v>
      </c>
      <c r="H15" s="555"/>
      <c r="I15" s="555">
        <f>+SUMIF(WRM!$C$7:$C$119,$D15,WRM!$H$7:$H$119)</f>
        <v>906.1</v>
      </c>
      <c r="J15" s="625"/>
      <c r="K15" s="625">
        <f t="shared" si="0"/>
        <v>1502.65</v>
      </c>
      <c r="L15" s="555"/>
      <c r="M15" s="555">
        <f>+SUMIF(WRM!$C$7:$C$119,$D15,WRM!$L$7:$L$119)</f>
        <v>549.40000000000009</v>
      </c>
      <c r="N15" s="630"/>
      <c r="O15" s="630">
        <f t="shared" si="1"/>
        <v>2052.0500000000002</v>
      </c>
      <c r="P15" s="555"/>
      <c r="Q15" s="555">
        <f>+SUMIF(WRM!$C$7:$C$119,$D15,WRM!P$7:$P$119)</f>
        <v>1125.45</v>
      </c>
      <c r="R15" s="630"/>
      <c r="S15" s="630">
        <f t="shared" si="2"/>
        <v>3177.5</v>
      </c>
      <c r="T15" s="555"/>
      <c r="U15" s="555">
        <f>+SUMIF(WRM!$C$7:$C$119,$D15,WRM!$T$7:T$119)</f>
        <v>2168.9</v>
      </c>
      <c r="V15" s="630"/>
      <c r="W15" s="630">
        <f t="shared" si="3"/>
        <v>5346.4</v>
      </c>
      <c r="X15" s="630"/>
      <c r="Y15" s="555">
        <f>+SUMIF(WRM!$C$7:$C$119,$D15,WRM!$X$7:X$119)</f>
        <v>940.95</v>
      </c>
      <c r="Z15" s="630"/>
      <c r="AA15" s="2331">
        <f t="shared" si="4"/>
        <v>4235.3</v>
      </c>
      <c r="AB15" s="2391"/>
      <c r="AC15" s="1175">
        <f t="shared" si="5"/>
        <v>6287.35</v>
      </c>
      <c r="AD15" s="630"/>
      <c r="AE15" s="555">
        <f>+SUMIF(WRM!$C$7:$C$119,$D15,WRM!$AD$7:$AD$119)</f>
        <v>2459.9900000000007</v>
      </c>
      <c r="AF15" s="630"/>
      <c r="AG15" s="630">
        <f t="shared" si="6"/>
        <v>8747.34</v>
      </c>
      <c r="AH15" s="630"/>
      <c r="AI15" s="555">
        <f>+SUMIF(WRM!$C$7:$C$119,$D15,WRM!$AH$7:$AH$119)</f>
        <v>1221.8000000000002</v>
      </c>
      <c r="AJ15" s="625"/>
      <c r="AK15" s="625">
        <f t="shared" si="7"/>
        <v>9969.14</v>
      </c>
      <c r="AL15" s="630"/>
      <c r="AM15" s="555">
        <f>+SUMIF(WRM!$C$7:$C$119,$D15,WRM!$AL$7:$AL$119)</f>
        <v>2088.9499999999998</v>
      </c>
      <c r="AN15" s="630"/>
      <c r="AO15" s="2331">
        <f t="shared" si="8"/>
        <v>5770.7400000000007</v>
      </c>
      <c r="AP15" s="625"/>
      <c r="AQ15" s="625">
        <f t="shared" si="9"/>
        <v>12058.09</v>
      </c>
      <c r="AR15" s="630"/>
      <c r="AS15" s="555">
        <f>+SUMIF(WRM!$C$7:$C$119,$D15,WRM!$AR$7:$AR$119)</f>
        <v>1227.95</v>
      </c>
      <c r="AT15" s="625"/>
      <c r="AU15" s="625">
        <f t="shared" si="10"/>
        <v>13286.04</v>
      </c>
      <c r="AV15" s="630"/>
      <c r="AW15" s="555">
        <f>+SUMIF(WRM!$C$7:$C$119,$D15,WRM!$AV$7:$AV$119)</f>
        <v>2193.5</v>
      </c>
      <c r="AX15" s="625"/>
      <c r="AY15" s="625">
        <f t="shared" si="11"/>
        <v>15479.54</v>
      </c>
      <c r="AZ15" s="630"/>
      <c r="BA15" s="555">
        <f>+SUMIF(WRM!$C$7:$C$119,$D15,WRM!$AZ$7:$AZ$119)</f>
        <v>2525.6</v>
      </c>
      <c r="BB15" s="630"/>
      <c r="BC15" s="2331">
        <f t="shared" si="12"/>
        <v>5947.0499999999993</v>
      </c>
      <c r="BD15" s="2391"/>
      <c r="BE15" s="1175">
        <f t="shared" si="13"/>
        <v>11717.79</v>
      </c>
      <c r="BF15" s="625"/>
      <c r="BG15" s="625">
        <f t="shared" si="14"/>
        <v>18005.14</v>
      </c>
      <c r="BH15" s="26"/>
      <c r="BI15" s="26"/>
      <c r="BJ15" s="26"/>
    </row>
    <row r="16" spans="3:62" x14ac:dyDescent="0.3">
      <c r="C16" s="554" t="s">
        <v>16</v>
      </c>
      <c r="D16" s="1638" t="s">
        <v>1138</v>
      </c>
      <c r="E16" s="6285"/>
      <c r="F16" s="554"/>
      <c r="G16" s="555">
        <f>+SUMIF(WRM!$C$7:$C$119,$D16,WRM!$F$7:$F$119)</f>
        <v>252.14999999999998</v>
      </c>
      <c r="H16" s="555"/>
      <c r="I16" s="555">
        <f>+SUMIF(WRM!$C$7:$C$119,$D16,WRM!$H$7:$H$119)</f>
        <v>243.95000000000002</v>
      </c>
      <c r="J16" s="625"/>
      <c r="K16" s="625">
        <f t="shared" si="0"/>
        <v>496.1</v>
      </c>
      <c r="L16" s="555"/>
      <c r="M16" s="555">
        <f>+SUMIF(WRM!$C$7:$C$119,$D16,WRM!$L$7:$L$119)</f>
        <v>0</v>
      </c>
      <c r="N16" s="630"/>
      <c r="O16" s="630">
        <f t="shared" si="1"/>
        <v>496.1</v>
      </c>
      <c r="P16" s="555"/>
      <c r="Q16" s="555">
        <f>+SUMIF(WRM!$C$7:$C$119,$D16,WRM!P$7:$P$119)</f>
        <v>98.4</v>
      </c>
      <c r="R16" s="630"/>
      <c r="S16" s="630">
        <f t="shared" si="2"/>
        <v>594.5</v>
      </c>
      <c r="T16" s="555"/>
      <c r="U16" s="555">
        <f>+SUMIF(WRM!$C$7:$C$119,$D16,WRM!$T$7:T$119)</f>
        <v>116.85</v>
      </c>
      <c r="V16" s="630"/>
      <c r="W16" s="630">
        <f t="shared" si="3"/>
        <v>711.35</v>
      </c>
      <c r="X16" s="630"/>
      <c r="Y16" s="555">
        <f>+SUMIF(WRM!$C$7:$C$119,$D16,WRM!$X$7:X$119)</f>
        <v>207.05</v>
      </c>
      <c r="Z16" s="630"/>
      <c r="AA16" s="2331">
        <f t="shared" si="4"/>
        <v>422.3</v>
      </c>
      <c r="AB16" s="2391"/>
      <c r="AC16" s="1175">
        <f t="shared" si="5"/>
        <v>918.40000000000009</v>
      </c>
      <c r="AD16" s="630"/>
      <c r="AE16" s="555">
        <f>+SUMIF(WRM!$C$7:$C$119,$D16,WRM!$AD$7:$AD$119)</f>
        <v>0</v>
      </c>
      <c r="AF16" s="630"/>
      <c r="AG16" s="630">
        <f t="shared" si="6"/>
        <v>918.40000000000009</v>
      </c>
      <c r="AH16" s="630"/>
      <c r="AI16" s="555">
        <f>+SUMIF(WRM!$C$7:$C$119,$D16,WRM!$AH$7:$AH$119)</f>
        <v>0</v>
      </c>
      <c r="AJ16" s="625"/>
      <c r="AK16" s="625">
        <f t="shared" si="7"/>
        <v>918.40000000000009</v>
      </c>
      <c r="AL16" s="630"/>
      <c r="AM16" s="555">
        <f>+SUMIF(WRM!$C$7:$C$119,$D16,WRM!$AL$7:$AL$119)</f>
        <v>0</v>
      </c>
      <c r="AN16" s="630"/>
      <c r="AO16" s="2331">
        <f t="shared" si="8"/>
        <v>0</v>
      </c>
      <c r="AP16" s="625"/>
      <c r="AQ16" s="625">
        <f t="shared" si="9"/>
        <v>918.40000000000009</v>
      </c>
      <c r="AR16" s="630"/>
      <c r="AS16" s="555">
        <f>+SUMIF(WRM!$C$7:$C$119,$D16,WRM!$AR$7:$AR$119)</f>
        <v>221.40000000000003</v>
      </c>
      <c r="AT16" s="625"/>
      <c r="AU16" s="625">
        <f t="shared" si="10"/>
        <v>1139.8000000000002</v>
      </c>
      <c r="AV16" s="630"/>
      <c r="AW16" s="555">
        <f>+SUMIF(WRM!$C$7:$C$119,$D16,WRM!$AV$7:$AV$119)</f>
        <v>0</v>
      </c>
      <c r="AX16" s="625"/>
      <c r="AY16" s="625">
        <f t="shared" si="11"/>
        <v>1139.8000000000002</v>
      </c>
      <c r="AZ16" s="630"/>
      <c r="BA16" s="555">
        <f>+SUMIF(WRM!$C$7:$C$119,$D16,WRM!$AZ$7:$AZ$119)</f>
        <v>0</v>
      </c>
      <c r="BB16" s="630"/>
      <c r="BC16" s="2331">
        <f t="shared" si="12"/>
        <v>221.40000000000003</v>
      </c>
      <c r="BD16" s="2391"/>
      <c r="BE16" s="1175">
        <f t="shared" si="13"/>
        <v>221.40000000000003</v>
      </c>
      <c r="BF16" s="625"/>
      <c r="BG16" s="625">
        <f t="shared" si="14"/>
        <v>1139.8000000000002</v>
      </c>
      <c r="BH16" s="26"/>
      <c r="BI16" s="26"/>
      <c r="BJ16" s="26"/>
    </row>
    <row r="17" spans="3:62" x14ac:dyDescent="0.3">
      <c r="C17" s="554" t="s">
        <v>16</v>
      </c>
      <c r="D17" s="1638" t="s">
        <v>976</v>
      </c>
      <c r="E17" s="6285"/>
      <c r="F17" s="554"/>
      <c r="G17" s="555">
        <f>+SUMIF(WRM!$C$7:$C$119,$D17,WRM!$F$7:$F$119)</f>
        <v>1332.4999999999995</v>
      </c>
      <c r="H17" s="555"/>
      <c r="I17" s="555">
        <f>+SUMIF(WRM!$C$7:$C$119,$D17,WRM!$H$7:$H$119)</f>
        <v>2179.1499999999996</v>
      </c>
      <c r="J17" s="625"/>
      <c r="K17" s="625">
        <f t="shared" si="0"/>
        <v>3511.6499999999992</v>
      </c>
      <c r="L17" s="555"/>
      <c r="M17" s="555">
        <f>+SUMIF(WRM!$C$7:$C$119,$D17,WRM!$L$7:$L$119)</f>
        <v>178.35</v>
      </c>
      <c r="N17" s="630"/>
      <c r="O17" s="630">
        <f t="shared" si="1"/>
        <v>3689.9999999999991</v>
      </c>
      <c r="P17" s="555"/>
      <c r="Q17" s="555">
        <f>+SUMIF(WRM!$C$7:$C$119,$D17,WRM!P$7:$P$119)</f>
        <v>1031.1500000000001</v>
      </c>
      <c r="R17" s="630"/>
      <c r="S17" s="630">
        <f t="shared" si="2"/>
        <v>4721.1499999999996</v>
      </c>
      <c r="T17" s="555"/>
      <c r="U17" s="555">
        <f>+SUMIF(WRM!$C$7:$C$119,$D17,WRM!$T$7:T$119)</f>
        <v>2652.7</v>
      </c>
      <c r="V17" s="630"/>
      <c r="W17" s="630">
        <f t="shared" si="3"/>
        <v>7373.8499999999995</v>
      </c>
      <c r="X17" s="630"/>
      <c r="Y17" s="555">
        <f>+SUMIF(WRM!$C$7:$C$119,$D17,WRM!$X$7:X$119)</f>
        <v>1810.1499999999996</v>
      </c>
      <c r="Z17" s="630"/>
      <c r="AA17" s="2331">
        <f t="shared" si="4"/>
        <v>5494</v>
      </c>
      <c r="AB17" s="2391"/>
      <c r="AC17" s="1175">
        <f t="shared" si="5"/>
        <v>9184</v>
      </c>
      <c r="AD17" s="630"/>
      <c r="AE17" s="555">
        <f>+SUMIF(WRM!$C$7:$C$119,$D17,WRM!$AD$7:$AD$119)</f>
        <v>1045.5</v>
      </c>
      <c r="AF17" s="630"/>
      <c r="AG17" s="630">
        <f t="shared" si="6"/>
        <v>10229.5</v>
      </c>
      <c r="AH17" s="630"/>
      <c r="AI17" s="555">
        <f>+SUMIF(WRM!$C$7:$C$119,$D17,WRM!$AH$7:$AH$119)</f>
        <v>0</v>
      </c>
      <c r="AJ17" s="625"/>
      <c r="AK17" s="625">
        <f t="shared" si="7"/>
        <v>10229.5</v>
      </c>
      <c r="AL17" s="630"/>
      <c r="AM17" s="555">
        <f>+SUMIF(WRM!$C$7:$C$119,$D17,WRM!$AL$7:$AL$119)</f>
        <v>2144.2999999999997</v>
      </c>
      <c r="AN17" s="630"/>
      <c r="AO17" s="2331">
        <f t="shared" si="8"/>
        <v>3189.7999999999997</v>
      </c>
      <c r="AP17" s="625"/>
      <c r="AQ17" s="625">
        <f t="shared" si="9"/>
        <v>12373.8</v>
      </c>
      <c r="AR17" s="630"/>
      <c r="AS17" s="555">
        <f>+SUMIF(WRM!$C$7:$C$119,$D17,WRM!$AR$7:$AR$119)</f>
        <v>1896.2500000000002</v>
      </c>
      <c r="AT17" s="625"/>
      <c r="AU17" s="625">
        <f t="shared" si="10"/>
        <v>14270.05</v>
      </c>
      <c r="AV17" s="630"/>
      <c r="AW17" s="555">
        <f>+SUMIF(WRM!$C$7:$C$119,$D17,WRM!$AV$7:$AV$119)</f>
        <v>2480.5</v>
      </c>
      <c r="AX17" s="625"/>
      <c r="AY17" s="625">
        <f t="shared" si="11"/>
        <v>16750.55</v>
      </c>
      <c r="AZ17" s="630"/>
      <c r="BA17" s="555">
        <f>+SUMIF(WRM!$C$7:$C$119,$D17,WRM!$AZ$7:$AZ$119)</f>
        <v>971.7</v>
      </c>
      <c r="BB17" s="630"/>
      <c r="BC17" s="2331">
        <f t="shared" si="12"/>
        <v>5348.45</v>
      </c>
      <c r="BD17" s="2391"/>
      <c r="BE17" s="1175">
        <f t="shared" si="13"/>
        <v>8538.25</v>
      </c>
      <c r="BF17" s="625"/>
      <c r="BG17" s="625">
        <f t="shared" si="14"/>
        <v>17722.25</v>
      </c>
      <c r="BH17" s="26"/>
      <c r="BI17" s="26"/>
      <c r="BJ17" s="26"/>
    </row>
    <row r="18" spans="3:62" x14ac:dyDescent="0.3">
      <c r="C18" s="554" t="s">
        <v>16</v>
      </c>
      <c r="D18" s="1638" t="s">
        <v>1142</v>
      </c>
      <c r="E18" s="6285"/>
      <c r="F18" s="554"/>
      <c r="G18" s="555">
        <f>+SUMIF(WRM!$C$7:$C$119,$D18,WRM!$F$7:$F$119)</f>
        <v>18.45</v>
      </c>
      <c r="H18" s="555"/>
      <c r="I18" s="555">
        <f>+SUMIF(WRM!$C$7:$C$119,$D18,WRM!$H$7:$H$119)</f>
        <v>4.0999999999999996</v>
      </c>
      <c r="J18" s="625"/>
      <c r="K18" s="625">
        <f t="shared" si="0"/>
        <v>22.549999999999997</v>
      </c>
      <c r="L18" s="555"/>
      <c r="M18" s="555">
        <f>+SUMIF(WRM!$C$7:$C$119,$D18,WRM!$L$7:$L$119)</f>
        <v>2.0499999999999998</v>
      </c>
      <c r="N18" s="630"/>
      <c r="O18" s="630">
        <f t="shared" si="1"/>
        <v>24.599999999999998</v>
      </c>
      <c r="P18" s="555"/>
      <c r="Q18" s="555">
        <f>+SUMIF(WRM!$C$7:$C$119,$D18,WRM!P$7:$P$119)</f>
        <v>82</v>
      </c>
      <c r="R18" s="630"/>
      <c r="S18" s="630">
        <f t="shared" si="2"/>
        <v>106.6</v>
      </c>
      <c r="T18" s="555"/>
      <c r="U18" s="555">
        <f>+SUMIF(WRM!$C$7:$C$119,$D18,WRM!$T$7:T$119)</f>
        <v>0</v>
      </c>
      <c r="V18" s="630"/>
      <c r="W18" s="630">
        <f t="shared" si="3"/>
        <v>106.6</v>
      </c>
      <c r="X18" s="630"/>
      <c r="Y18" s="555">
        <f>+SUMIF(WRM!$C$7:$C$119,$D18,WRM!$X$7:X$119)</f>
        <v>149.65</v>
      </c>
      <c r="Z18" s="630"/>
      <c r="AA18" s="2331">
        <f t="shared" si="4"/>
        <v>231.65</v>
      </c>
      <c r="AB18" s="2391"/>
      <c r="AC18" s="1175">
        <f t="shared" si="5"/>
        <v>256.25</v>
      </c>
      <c r="AD18" s="630"/>
      <c r="AE18" s="555">
        <f>+SUMIF(WRM!$C$7:$C$119,$D18,WRM!$AD$7:$AD$119)</f>
        <v>0</v>
      </c>
      <c r="AF18" s="630"/>
      <c r="AG18" s="630">
        <f t="shared" si="6"/>
        <v>256.25</v>
      </c>
      <c r="AH18" s="630"/>
      <c r="AI18" s="555">
        <f>+SUMIF(WRM!$C$7:$C$119,$D18,WRM!$AH$7:$AH$119)</f>
        <v>0</v>
      </c>
      <c r="AJ18" s="625"/>
      <c r="AK18" s="625">
        <f t="shared" si="7"/>
        <v>256.25</v>
      </c>
      <c r="AL18" s="630"/>
      <c r="AM18" s="555">
        <f>+SUMIF(WRM!$C$7:$C$119,$D18,WRM!$AL$7:$AL$119)</f>
        <v>4.0999999999999996</v>
      </c>
      <c r="AN18" s="630"/>
      <c r="AO18" s="2331">
        <f t="shared" si="8"/>
        <v>4.0999999999999996</v>
      </c>
      <c r="AP18" s="625"/>
      <c r="AQ18" s="625">
        <f t="shared" si="9"/>
        <v>260.35000000000002</v>
      </c>
      <c r="AR18" s="630"/>
      <c r="AS18" s="555">
        <f>+SUMIF(WRM!$C$7:$C$119,$D18,WRM!$AR$7:$AR$119)</f>
        <v>174.25</v>
      </c>
      <c r="AT18" s="625"/>
      <c r="AU18" s="625">
        <f t="shared" si="10"/>
        <v>434.6</v>
      </c>
      <c r="AV18" s="630"/>
      <c r="AW18" s="555">
        <f>+SUMIF(WRM!$C$7:$C$119,$D18,WRM!$AV$7:$AV$119)</f>
        <v>77.900000000000006</v>
      </c>
      <c r="AX18" s="625"/>
      <c r="AY18" s="625">
        <f t="shared" si="11"/>
        <v>512.5</v>
      </c>
      <c r="AZ18" s="630"/>
      <c r="BA18" s="555">
        <f>+SUMIF(WRM!$C$7:$C$119,$D18,WRM!$AZ$7:$AZ$119)</f>
        <v>0</v>
      </c>
      <c r="BB18" s="630"/>
      <c r="BC18" s="2331">
        <f t="shared" si="12"/>
        <v>252.15</v>
      </c>
      <c r="BD18" s="2391"/>
      <c r="BE18" s="1175">
        <f t="shared" si="13"/>
        <v>256.25</v>
      </c>
      <c r="BF18" s="625"/>
      <c r="BG18" s="625">
        <f t="shared" si="14"/>
        <v>512.5</v>
      </c>
      <c r="BH18" s="26"/>
      <c r="BI18" s="26"/>
      <c r="BJ18" s="26"/>
    </row>
    <row r="19" spans="3:62" s="2680" customFormat="1" x14ac:dyDescent="0.3">
      <c r="C19" s="554" t="s">
        <v>16</v>
      </c>
      <c r="D19" s="1638" t="s">
        <v>977</v>
      </c>
      <c r="E19" s="6285"/>
      <c r="F19" s="554"/>
      <c r="G19" s="555">
        <f>+SUMIF(WRM!$C$7:$C$119,$D19,WRM!$F$7:$F$119)</f>
        <v>108.65</v>
      </c>
      <c r="H19" s="555"/>
      <c r="I19" s="555">
        <f>+SUMIF(WRM!$C$7:$C$119,$D19,WRM!$H$7:$H$119)</f>
        <v>0</v>
      </c>
      <c r="J19" s="625"/>
      <c r="K19" s="625">
        <f t="shared" si="0"/>
        <v>108.65</v>
      </c>
      <c r="L19" s="555"/>
      <c r="M19" s="555">
        <f>+SUMIF(WRM!$C$7:$C$119,$D19,WRM!$L$7:$L$119)</f>
        <v>0</v>
      </c>
      <c r="N19" s="630"/>
      <c r="O19" s="630">
        <f t="shared" si="1"/>
        <v>108.65</v>
      </c>
      <c r="P19" s="555"/>
      <c r="Q19" s="555">
        <f>+SUMIF(WRM!$C$7:$C$119,$D19,WRM!P$7:$P$119)</f>
        <v>0</v>
      </c>
      <c r="R19" s="630"/>
      <c r="S19" s="630">
        <f t="shared" si="2"/>
        <v>108.65</v>
      </c>
      <c r="T19" s="555"/>
      <c r="U19" s="555">
        <f>+SUMIF(WRM!$C$7:$C$119,$D19,WRM!$T$7:T$119)</f>
        <v>0</v>
      </c>
      <c r="V19" s="630"/>
      <c r="W19" s="630">
        <f t="shared" si="3"/>
        <v>108.65</v>
      </c>
      <c r="X19" s="630"/>
      <c r="Y19" s="555">
        <f>+SUMIF(WRM!$C$7:$C$119,$D19,WRM!$X$7:X$119)</f>
        <v>98.399999999999991</v>
      </c>
      <c r="Z19" s="630"/>
      <c r="AA19" s="2331">
        <f t="shared" si="4"/>
        <v>98.399999999999991</v>
      </c>
      <c r="AB19" s="2391"/>
      <c r="AC19" s="1175">
        <f t="shared" si="5"/>
        <v>207.05</v>
      </c>
      <c r="AD19" s="630"/>
      <c r="AE19" s="555">
        <f>+SUMIF(WRM!$C$7:$C$119,$D19,WRM!$AD$7:$AD$119)</f>
        <v>0</v>
      </c>
      <c r="AF19" s="630"/>
      <c r="AG19" s="630">
        <f t="shared" si="6"/>
        <v>207.05</v>
      </c>
      <c r="AH19" s="630"/>
      <c r="AI19" s="555">
        <f>+SUMIF(WRM!$C$7:$C$119,$D19,WRM!$AH$7:$AH$119)</f>
        <v>0</v>
      </c>
      <c r="AJ19" s="625"/>
      <c r="AK19" s="625">
        <f t="shared" si="7"/>
        <v>207.05</v>
      </c>
      <c r="AL19" s="630"/>
      <c r="AM19" s="555">
        <f>+SUMIF(WRM!$C$7:$C$119,$D19,WRM!$AL$7:$AL$119)</f>
        <v>104.55000000000001</v>
      </c>
      <c r="AN19" s="630"/>
      <c r="AO19" s="2331">
        <f t="shared" si="8"/>
        <v>104.55000000000001</v>
      </c>
      <c r="AP19" s="625"/>
      <c r="AQ19" s="625">
        <f t="shared" si="9"/>
        <v>311.60000000000002</v>
      </c>
      <c r="AR19" s="630"/>
      <c r="AS19" s="555">
        <f>+SUMIF(WRM!$C$7:$C$119,$D19,WRM!$AR$7:$AR$119)</f>
        <v>0</v>
      </c>
      <c r="AT19" s="625"/>
      <c r="AU19" s="625">
        <f t="shared" si="10"/>
        <v>311.60000000000002</v>
      </c>
      <c r="AV19" s="630"/>
      <c r="AW19" s="555">
        <f>+SUMIF(WRM!$C$7:$C$119,$D19,WRM!$AV$7:$AV$119)</f>
        <v>0</v>
      </c>
      <c r="AX19" s="625"/>
      <c r="AY19" s="625">
        <f t="shared" si="11"/>
        <v>311.60000000000002</v>
      </c>
      <c r="AZ19" s="630"/>
      <c r="BA19" s="555">
        <f>+SUMIF(WRM!$C$7:$C$119,$D19,WRM!$AZ$7:$AZ$119)</f>
        <v>0</v>
      </c>
      <c r="BB19" s="630"/>
      <c r="BC19" s="2331">
        <f t="shared" si="12"/>
        <v>0</v>
      </c>
      <c r="BD19" s="2391"/>
      <c r="BE19" s="1175">
        <f t="shared" si="13"/>
        <v>104.55000000000001</v>
      </c>
      <c r="BF19" s="625"/>
      <c r="BG19" s="625">
        <f t="shared" si="14"/>
        <v>311.60000000000002</v>
      </c>
      <c r="BH19" s="26"/>
      <c r="BI19" s="26"/>
      <c r="BJ19" s="26"/>
    </row>
    <row r="20" spans="3:62" x14ac:dyDescent="0.3">
      <c r="C20" s="6287" t="s">
        <v>16</v>
      </c>
      <c r="D20" s="6288" t="s">
        <v>2010</v>
      </c>
      <c r="E20" s="6285"/>
      <c r="F20" s="6287"/>
      <c r="G20" s="555">
        <f>+SUMIF(WRM!$C$7:$C$119,$D20,WRM!$F$7:$F$119)</f>
        <v>0</v>
      </c>
      <c r="H20" s="555"/>
      <c r="I20" s="555">
        <f>+SUMIF(WRM!$C$7:$C$119,$D20,WRM!$H$7:$H$119)</f>
        <v>0</v>
      </c>
      <c r="J20" s="625"/>
      <c r="K20" s="625">
        <f t="shared" ref="K20:K21" si="17">+G20+I20</f>
        <v>0</v>
      </c>
      <c r="L20" s="555"/>
      <c r="M20" s="555">
        <f>+SUMIF(WRM!$C$7:$C$119,$D20,WRM!$L$7:$L$119)</f>
        <v>0</v>
      </c>
      <c r="N20" s="630"/>
      <c r="O20" s="630">
        <f t="shared" ref="O20:O21" si="18">+G20+I20+M20</f>
        <v>0</v>
      </c>
      <c r="P20" s="555"/>
      <c r="Q20" s="555">
        <f>+SUMIF(WRM!$C$7:$C$119,$D20,WRM!P$7:$P$119)</f>
        <v>0</v>
      </c>
      <c r="R20" s="630"/>
      <c r="S20" s="630">
        <f t="shared" ref="S20:S21" si="19">O20+Q20</f>
        <v>0</v>
      </c>
      <c r="T20" s="555"/>
      <c r="U20" s="555">
        <f>+SUMIF(WRM!$C$7:$C$119,$D20,WRM!$T$7:T$119)</f>
        <v>0</v>
      </c>
      <c r="V20" s="630"/>
      <c r="W20" s="630">
        <f t="shared" ref="W20:W21" si="20">S20+U20</f>
        <v>0</v>
      </c>
      <c r="X20" s="630"/>
      <c r="Y20" s="555">
        <f>+SUMIF(WRM!$C$7:$C$119,$D20,WRM!$X$7:X$119)</f>
        <v>0</v>
      </c>
      <c r="Z20" s="630"/>
      <c r="AA20" s="2331">
        <f t="shared" ref="AA20:AA21" si="21">Q20+U20+Y20</f>
        <v>0</v>
      </c>
      <c r="AB20" s="2391"/>
      <c r="AC20" s="1175">
        <f t="shared" ref="AC20:AC21" si="22">O20+AA20</f>
        <v>0</v>
      </c>
      <c r="AD20" s="630"/>
      <c r="AE20" s="555">
        <f>+SUMIF(WRM!$C$7:$C$119,$D20,WRM!$AD$7:$AD$119)</f>
        <v>131.19999999999999</v>
      </c>
      <c r="AF20" s="630"/>
      <c r="AG20" s="630">
        <f t="shared" si="6"/>
        <v>131.19999999999999</v>
      </c>
      <c r="AH20" s="630"/>
      <c r="AI20" s="555">
        <f>+SUMIF(WRM!$C$7:$C$119,$D20,WRM!$AH$7:$AH$119)</f>
        <v>0</v>
      </c>
      <c r="AJ20" s="625"/>
      <c r="AK20" s="625">
        <f t="shared" si="7"/>
        <v>131.19999999999999</v>
      </c>
      <c r="AL20" s="630"/>
      <c r="AM20" s="555">
        <f>+SUMIF(WRM!$C$7:$C$119,$D20,WRM!$AL$7:$AL$119)</f>
        <v>0</v>
      </c>
      <c r="AN20" s="630"/>
      <c r="AO20" s="2331">
        <f t="shared" ref="AO20:AO21" si="23">AE20+AI20+AM20</f>
        <v>131.19999999999999</v>
      </c>
      <c r="AP20" s="625"/>
      <c r="AQ20" s="625">
        <f t="shared" si="9"/>
        <v>131.19999999999999</v>
      </c>
      <c r="AR20" s="630"/>
      <c r="AS20" s="555">
        <f>+SUMIF(WRM!$C$7:$C$119,$D20,WRM!$AR$7:$AR$119)</f>
        <v>403.85</v>
      </c>
      <c r="AT20" s="625"/>
      <c r="AU20" s="625">
        <f t="shared" ref="AU20:AU21" si="24">AQ20+AS20</f>
        <v>535.04999999999995</v>
      </c>
      <c r="AV20" s="630"/>
      <c r="AW20" s="555">
        <f>+SUMIF(WRM!$C$7:$C$119,$D20,WRM!$AV$7:$AV$119)</f>
        <v>0</v>
      </c>
      <c r="AX20" s="625"/>
      <c r="AY20" s="625">
        <f t="shared" si="11"/>
        <v>535.04999999999995</v>
      </c>
      <c r="AZ20" s="630"/>
      <c r="BA20" s="555">
        <f>+SUMIF(WRM!$C$7:$C$119,$D20,WRM!$AZ$7:$AZ$119)</f>
        <v>0</v>
      </c>
      <c r="BB20" s="630"/>
      <c r="BC20" s="2331">
        <f t="shared" si="12"/>
        <v>403.85</v>
      </c>
      <c r="BD20" s="2391"/>
      <c r="BE20" s="1175">
        <f t="shared" si="13"/>
        <v>535.04999999999995</v>
      </c>
      <c r="BF20" s="625"/>
      <c r="BG20" s="625">
        <f t="shared" si="14"/>
        <v>535.04999999999995</v>
      </c>
      <c r="BH20" s="26"/>
      <c r="BI20" s="26"/>
      <c r="BJ20" s="26"/>
    </row>
    <row r="21" spans="3:62" x14ac:dyDescent="0.3">
      <c r="C21" s="6287" t="s">
        <v>16</v>
      </c>
      <c r="D21" s="6288" t="s">
        <v>2011</v>
      </c>
      <c r="E21" s="6285"/>
      <c r="F21" s="6287"/>
      <c r="G21" s="555">
        <f>+SUMIF(WRM!$C$7:$C$119,$D21,WRM!$F$7:$F$119)</f>
        <v>498.15000000000003</v>
      </c>
      <c r="H21" s="555"/>
      <c r="I21" s="555">
        <f>+SUMIF(WRM!$C$7:$C$119,$D21,WRM!$H$7:$H$119)</f>
        <v>590.4</v>
      </c>
      <c r="J21" s="625"/>
      <c r="K21" s="625">
        <f t="shared" si="17"/>
        <v>1088.55</v>
      </c>
      <c r="L21" s="555"/>
      <c r="M21" s="555">
        <f>+SUMIF(WRM!$C$7:$C$119,$D21,WRM!$L$7:$L$119)</f>
        <v>0</v>
      </c>
      <c r="N21" s="630"/>
      <c r="O21" s="630">
        <f t="shared" si="18"/>
        <v>1088.55</v>
      </c>
      <c r="P21" s="555"/>
      <c r="Q21" s="555">
        <f>+SUMIF(WRM!$C$7:$C$119,$D21,WRM!P$7:$P$119)</f>
        <v>0</v>
      </c>
      <c r="R21" s="630"/>
      <c r="S21" s="630">
        <f t="shared" si="19"/>
        <v>1088.55</v>
      </c>
      <c r="T21" s="555"/>
      <c r="U21" s="555">
        <f>+SUMIF(WRM!$C$7:$C$119,$D21,WRM!$T$7:T$119)</f>
        <v>0</v>
      </c>
      <c r="V21" s="630"/>
      <c r="W21" s="630">
        <f t="shared" si="20"/>
        <v>1088.55</v>
      </c>
      <c r="X21" s="630"/>
      <c r="Y21" s="555">
        <f>+SUMIF(WRM!$C$7:$C$119,$D21,WRM!$X$7:X$119)</f>
        <v>0</v>
      </c>
      <c r="Z21" s="630"/>
      <c r="AA21" s="2331">
        <f t="shared" si="21"/>
        <v>0</v>
      </c>
      <c r="AB21" s="2391"/>
      <c r="AC21" s="1175">
        <f t="shared" si="22"/>
        <v>1088.55</v>
      </c>
      <c r="AD21" s="630"/>
      <c r="AE21" s="555">
        <f>+SUMIF(WRM!$C$7:$C$119,$D21,WRM!$AD$7:$AD$119)</f>
        <v>67.650000000000006</v>
      </c>
      <c r="AF21" s="630"/>
      <c r="AG21" s="630">
        <f t="shared" si="6"/>
        <v>1156.2</v>
      </c>
      <c r="AH21" s="630"/>
      <c r="AI21" s="555">
        <f>+SUMIF(WRM!$C$7:$C$119,$D21,WRM!$AH$7:$AH$119)</f>
        <v>0</v>
      </c>
      <c r="AJ21" s="625"/>
      <c r="AK21" s="625">
        <f t="shared" si="7"/>
        <v>1156.2</v>
      </c>
      <c r="AL21" s="630"/>
      <c r="AM21" s="555">
        <f>+SUMIF(WRM!$C$7:$C$119,$D21,WRM!$AL$7:$AL$119)</f>
        <v>0</v>
      </c>
      <c r="AN21" s="630"/>
      <c r="AO21" s="2331">
        <f t="shared" si="23"/>
        <v>67.650000000000006</v>
      </c>
      <c r="AP21" s="625"/>
      <c r="AQ21" s="625">
        <f t="shared" si="9"/>
        <v>1156.2</v>
      </c>
      <c r="AR21" s="630"/>
      <c r="AS21" s="555">
        <f>+SUMIF(WRM!$C$7:$C$119,$D21,WRM!$AR$7:$AR$119)</f>
        <v>0</v>
      </c>
      <c r="AT21" s="625"/>
      <c r="AU21" s="625">
        <f t="shared" si="24"/>
        <v>1156.2</v>
      </c>
      <c r="AV21" s="630"/>
      <c r="AW21" s="555">
        <f>+SUMIF(WRM!$C$7:$C$119,$D21,WRM!$AV$7:$AV$119)</f>
        <v>0</v>
      </c>
      <c r="AX21" s="625"/>
      <c r="AY21" s="625">
        <f t="shared" si="11"/>
        <v>1156.2</v>
      </c>
      <c r="AZ21" s="630"/>
      <c r="BA21" s="555">
        <f>+SUMIF(WRM!$C$7:$C$119,$D21,WRM!$AZ$7:$AZ$119)</f>
        <v>446.89999999999992</v>
      </c>
      <c r="BB21" s="630"/>
      <c r="BC21" s="2331">
        <f t="shared" si="12"/>
        <v>446.89999999999992</v>
      </c>
      <c r="BD21" s="2391"/>
      <c r="BE21" s="1175">
        <f t="shared" si="13"/>
        <v>514.54999999999995</v>
      </c>
      <c r="BF21" s="625"/>
      <c r="BG21" s="625">
        <f t="shared" si="14"/>
        <v>1603.1</v>
      </c>
      <c r="BH21" s="26"/>
      <c r="BI21" s="26"/>
      <c r="BJ21" s="26"/>
    </row>
    <row r="22" spans="3:62" x14ac:dyDescent="0.3">
      <c r="C22" s="6287" t="s">
        <v>16</v>
      </c>
      <c r="D22" s="6288" t="s">
        <v>1943</v>
      </c>
      <c r="E22" s="6285"/>
      <c r="F22" s="6287"/>
      <c r="G22" s="555">
        <f>+SUMIF(WRM!$C$7:$C$119,$D22,WRM!$F$7:$F$119)</f>
        <v>0</v>
      </c>
      <c r="H22" s="555"/>
      <c r="I22" s="555">
        <f>+SUMIF(WRM!$C$7:$C$119,$D22,WRM!$H$7:$H$119)</f>
        <v>0</v>
      </c>
      <c r="J22" s="625"/>
      <c r="K22" s="625">
        <f t="shared" ref="K22" si="25">+G22+I22</f>
        <v>0</v>
      </c>
      <c r="L22" s="555"/>
      <c r="M22" s="555">
        <f>+SUMIF(WRM!$C$7:$C$119,$D22,WRM!$L$7:$L$119)</f>
        <v>0</v>
      </c>
      <c r="N22" s="630"/>
      <c r="O22" s="630">
        <f t="shared" ref="O22" si="26">+G22+I22+M22</f>
        <v>0</v>
      </c>
      <c r="P22" s="555"/>
      <c r="Q22" s="555">
        <f>+SUMIF(WRM!$C$7:$C$119,$D22,WRM!P$7:$P$119)</f>
        <v>84.05</v>
      </c>
      <c r="R22" s="630"/>
      <c r="S22" s="630">
        <f t="shared" ref="S22" si="27">O22+Q22</f>
        <v>84.05</v>
      </c>
      <c r="T22" s="555"/>
      <c r="U22" s="555">
        <f>+SUMIF(WRM!$C$7:$C$119,$D22,WRM!$T$7:T$119)</f>
        <v>0</v>
      </c>
      <c r="V22" s="630"/>
      <c r="W22" s="630">
        <f t="shared" ref="W22" si="28">S22+U22</f>
        <v>84.05</v>
      </c>
      <c r="X22" s="630"/>
      <c r="Y22" s="555">
        <f>+SUMIF(WRM!$C$7:$C$119,$D22,WRM!$X$7:X$119)</f>
        <v>0</v>
      </c>
      <c r="Z22" s="630"/>
      <c r="AA22" s="2331">
        <f t="shared" ref="AA22" si="29">Q22+U22+Y22</f>
        <v>84.05</v>
      </c>
      <c r="AB22" s="2391"/>
      <c r="AC22" s="1175">
        <f t="shared" ref="AC22" si="30">O22+AA22</f>
        <v>84.05</v>
      </c>
      <c r="AD22" s="630"/>
      <c r="AE22" s="555">
        <f>+SUMIF(WRM!$C$7:$C$119,$D22,WRM!$AD$7:$AD$119)</f>
        <v>0</v>
      </c>
      <c r="AF22" s="630"/>
      <c r="AG22" s="630">
        <f t="shared" si="6"/>
        <v>84.05</v>
      </c>
      <c r="AH22" s="630"/>
      <c r="AI22" s="555">
        <f>+SUMIF(WRM!$C$7:$C$119,$D22,WRM!$AH$7:$AH$119)</f>
        <v>0</v>
      </c>
      <c r="AJ22" s="625"/>
      <c r="AK22" s="625">
        <f t="shared" si="7"/>
        <v>84.05</v>
      </c>
      <c r="AL22" s="630"/>
      <c r="AM22" s="555">
        <f>+SUMIF(WRM!$C$7:$C$119,$D22,WRM!$AL$7:$AL$119)</f>
        <v>0</v>
      </c>
      <c r="AN22" s="630"/>
      <c r="AO22" s="2331">
        <f t="shared" ref="AO22" si="31">AE22+AI22+AM22</f>
        <v>0</v>
      </c>
      <c r="AP22" s="625"/>
      <c r="AQ22" s="625">
        <f t="shared" si="9"/>
        <v>84.05</v>
      </c>
      <c r="AR22" s="630"/>
      <c r="AS22" s="555">
        <f>+SUMIF(WRM!$C$7:$C$119,$D22,WRM!$AR$7:$AR$119)</f>
        <v>0</v>
      </c>
      <c r="AT22" s="625"/>
      <c r="AU22" s="625">
        <f t="shared" ref="AU22" si="32">AQ22+AS22</f>
        <v>84.05</v>
      </c>
      <c r="AV22" s="630"/>
      <c r="AW22" s="555">
        <f>+SUMIF(WRM!$C$7:$C$119,$D22,WRM!$AV$7:$AV$119)</f>
        <v>0</v>
      </c>
      <c r="AX22" s="625"/>
      <c r="AY22" s="625">
        <f t="shared" si="11"/>
        <v>84.05</v>
      </c>
      <c r="AZ22" s="630"/>
      <c r="BA22" s="555">
        <f>+SUMIF(WRM!$C$7:$C$119,$D22,WRM!$AZ$7:$AZ$119)</f>
        <v>0</v>
      </c>
      <c r="BB22" s="630"/>
      <c r="BC22" s="2331">
        <f t="shared" si="12"/>
        <v>0</v>
      </c>
      <c r="BD22" s="2391"/>
      <c r="BE22" s="1175">
        <f t="shared" si="13"/>
        <v>0</v>
      </c>
      <c r="BF22" s="625"/>
      <c r="BG22" s="625">
        <f t="shared" si="14"/>
        <v>84.05</v>
      </c>
      <c r="BH22" s="26"/>
      <c r="BI22" s="26"/>
      <c r="BJ22" s="26"/>
    </row>
    <row r="23" spans="3:62" x14ac:dyDescent="0.3">
      <c r="C23" s="6287" t="s">
        <v>16</v>
      </c>
      <c r="D23" s="6288" t="s">
        <v>1626</v>
      </c>
      <c r="E23" s="6285"/>
      <c r="F23" s="6287"/>
      <c r="G23" s="555">
        <f>+SUMIF(WRM!$C$7:$C$119,$D23,WRM!$F$7:$F$119)</f>
        <v>627.29999999999995</v>
      </c>
      <c r="H23" s="555"/>
      <c r="I23" s="555">
        <f>+SUMIF(WRM!$C$7:$C$119,$D23,WRM!$H$7:$H$119)</f>
        <v>0</v>
      </c>
      <c r="J23" s="625"/>
      <c r="K23" s="625">
        <f t="shared" ref="K23" si="33">+G23+I23</f>
        <v>627.29999999999995</v>
      </c>
      <c r="L23" s="555"/>
      <c r="M23" s="555">
        <f>+SUMIF(WRM!$C$7:$C$119,$D23,WRM!$L$7:$L$119)</f>
        <v>0</v>
      </c>
      <c r="N23" s="630"/>
      <c r="O23" s="630">
        <f t="shared" ref="O23" si="34">+G23+I23+M23</f>
        <v>627.29999999999995</v>
      </c>
      <c r="P23" s="555"/>
      <c r="Q23" s="555">
        <f>+SUMIF(WRM!$C$7:$C$119,$D23,WRM!P$7:$P$119)</f>
        <v>0</v>
      </c>
      <c r="R23" s="630"/>
      <c r="S23" s="630">
        <f t="shared" ref="S23" si="35">O23+Q23</f>
        <v>627.29999999999995</v>
      </c>
      <c r="T23" s="555"/>
      <c r="U23" s="555">
        <f>+SUMIF(WRM!$C$7:$C$119,$D23,WRM!$T$7:T$119)</f>
        <v>0</v>
      </c>
      <c r="V23" s="630"/>
      <c r="W23" s="630">
        <f t="shared" ref="W23" si="36">S23+U23</f>
        <v>627.29999999999995</v>
      </c>
      <c r="X23" s="630"/>
      <c r="Y23" s="555">
        <f>+SUMIF(WRM!$C$7:$C$119,$D23,WRM!$X$7:X$119)</f>
        <v>0</v>
      </c>
      <c r="Z23" s="630"/>
      <c r="AA23" s="2331">
        <f t="shared" ref="AA23" si="37">Q23+U23+Y23</f>
        <v>0</v>
      </c>
      <c r="AB23" s="2391"/>
      <c r="AC23" s="1175">
        <f t="shared" ref="AC23" si="38">O23+AA23</f>
        <v>627.29999999999995</v>
      </c>
      <c r="AD23" s="630"/>
      <c r="AE23" s="555">
        <f>+SUMIF(WRM!$C$7:$C$119,$D23,WRM!$AD$7:$AD$119)</f>
        <v>0</v>
      </c>
      <c r="AF23" s="630"/>
      <c r="AG23" s="630">
        <f t="shared" si="6"/>
        <v>627.29999999999995</v>
      </c>
      <c r="AH23" s="630"/>
      <c r="AI23" s="555">
        <f>+SUMIF(WRM!$C$7:$C$119,$D23,WRM!$AH$7:$AH$119)</f>
        <v>0</v>
      </c>
      <c r="AJ23" s="625"/>
      <c r="AK23" s="625">
        <f t="shared" si="7"/>
        <v>627.29999999999995</v>
      </c>
      <c r="AL23" s="630"/>
      <c r="AM23" s="555">
        <f>+SUMIF(WRM!$C$7:$C$119,$D23,WRM!$AL$7:$AL$119)</f>
        <v>0</v>
      </c>
      <c r="AN23" s="630"/>
      <c r="AO23" s="2331">
        <f t="shared" ref="AO23" si="39">AE23+AI23+AM23</f>
        <v>0</v>
      </c>
      <c r="AP23" s="625"/>
      <c r="AQ23" s="625">
        <f t="shared" si="9"/>
        <v>627.29999999999995</v>
      </c>
      <c r="AR23" s="630"/>
      <c r="AS23" s="555">
        <f>+SUMIF(WRM!$C$7:$C$119,$D23,WRM!$AR$7:$AR$119)</f>
        <v>55.35</v>
      </c>
      <c r="AT23" s="625"/>
      <c r="AU23" s="625">
        <f t="shared" ref="AU23" si="40">AQ23+AS23</f>
        <v>682.65</v>
      </c>
      <c r="AV23" s="630"/>
      <c r="AW23" s="555">
        <f>+SUMIF(WRM!$C$7:$C$119,$D23,WRM!$AV$7:$AV$119)</f>
        <v>0</v>
      </c>
      <c r="AX23" s="625"/>
      <c r="AY23" s="625">
        <f t="shared" si="11"/>
        <v>682.65</v>
      </c>
      <c r="AZ23" s="630"/>
      <c r="BA23" s="555">
        <f>+SUMIF(WRM!$C$7:$C$119,$D23,WRM!$AZ$7:$AZ$119)</f>
        <v>0</v>
      </c>
      <c r="BB23" s="630"/>
      <c r="BC23" s="2331">
        <f t="shared" si="12"/>
        <v>55.35</v>
      </c>
      <c r="BD23" s="2391"/>
      <c r="BE23" s="1175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">
      <c r="C24" s="554" t="s">
        <v>16</v>
      </c>
      <c r="D24" s="1638" t="s">
        <v>1143</v>
      </c>
      <c r="E24" s="6285"/>
      <c r="F24" s="554"/>
      <c r="G24" s="555">
        <f>+SUMIF(WRM!$C$7:$C$119,$D24,WRM!$F$7:$F$119)</f>
        <v>6223.8</v>
      </c>
      <c r="H24" s="555"/>
      <c r="I24" s="555">
        <f>+SUMIF(WRM!$C$7:$C$119,$D24,WRM!$H$7:$H$119)</f>
        <v>3849.9</v>
      </c>
      <c r="J24" s="625"/>
      <c r="K24" s="625">
        <f t="shared" si="0"/>
        <v>10073.700000000001</v>
      </c>
      <c r="L24" s="555"/>
      <c r="M24" s="555">
        <f>+SUMIF(WRM!$C$7:$C$119,$D24,WRM!$L$7:$L$119)</f>
        <v>8156.9499999999989</v>
      </c>
      <c r="N24" s="630"/>
      <c r="O24" s="630">
        <f t="shared" si="1"/>
        <v>18230.650000000001</v>
      </c>
      <c r="P24" s="555"/>
      <c r="Q24" s="555">
        <f>+SUMIF(WRM!$C$7:$C$119,$D24,WRM!P$7:$P$119)</f>
        <v>4637.1000000000004</v>
      </c>
      <c r="R24" s="630"/>
      <c r="S24" s="630">
        <f t="shared" si="2"/>
        <v>22867.75</v>
      </c>
      <c r="T24" s="555"/>
      <c r="U24" s="555">
        <f>+SUMIF(WRM!$C$7:$C$119,$D24,WRM!$T$7:T$119)</f>
        <v>14854.300000000001</v>
      </c>
      <c r="V24" s="630"/>
      <c r="W24" s="630">
        <f t="shared" si="3"/>
        <v>37722.050000000003</v>
      </c>
      <c r="X24" s="630"/>
      <c r="Y24" s="555">
        <f>+SUMIF(WRM!$C$7:$C$119,$D24,WRM!$X$7:X$119)</f>
        <v>8230.75</v>
      </c>
      <c r="Z24" s="630"/>
      <c r="AA24" s="2331">
        <f t="shared" si="4"/>
        <v>27722.15</v>
      </c>
      <c r="AB24" s="2391"/>
      <c r="AC24" s="1175">
        <f t="shared" si="5"/>
        <v>45952.800000000003</v>
      </c>
      <c r="AD24" s="630"/>
      <c r="AE24" s="555">
        <f>+SUMIF(WRM!$C$7:$C$119,$D24,WRM!$AD$7:$AD$119)</f>
        <v>13357.8</v>
      </c>
      <c r="AF24" s="630"/>
      <c r="AG24" s="630">
        <f t="shared" si="6"/>
        <v>59310.600000000006</v>
      </c>
      <c r="AH24" s="630"/>
      <c r="AI24" s="555">
        <f>+SUMIF(WRM!$C$7:$C$119,$D24,WRM!$AH$7:$AH$119)</f>
        <v>7810.5000000000036</v>
      </c>
      <c r="AJ24" s="625"/>
      <c r="AK24" s="625">
        <f t="shared" si="7"/>
        <v>67121.100000000006</v>
      </c>
      <c r="AL24" s="630"/>
      <c r="AM24" s="555">
        <f>+SUMIF(WRM!$C$7:$C$119,$D24,WRM!$AL$7:$AL$119)</f>
        <v>8860.1000000000095</v>
      </c>
      <c r="AN24" s="630"/>
      <c r="AO24" s="2331">
        <f t="shared" si="8"/>
        <v>30028.400000000012</v>
      </c>
      <c r="AP24" s="625"/>
      <c r="AQ24" s="625">
        <f t="shared" si="9"/>
        <v>75981.200000000012</v>
      </c>
      <c r="AR24" s="630"/>
      <c r="AS24" s="555">
        <f>+SUMIF(WRM!$C$7:$C$119,$D24,WRM!$AR$7:$AR$119)</f>
        <v>12025.300000000001</v>
      </c>
      <c r="AT24" s="625"/>
      <c r="AU24" s="625">
        <f t="shared" si="10"/>
        <v>88006.500000000015</v>
      </c>
      <c r="AV24" s="630"/>
      <c r="AW24" s="555">
        <f>+SUMIF(WRM!$C$7:$C$119,$D24,WRM!$AV$7:$AV$119)</f>
        <v>6549.7500000000009</v>
      </c>
      <c r="AX24" s="625"/>
      <c r="AY24" s="625">
        <f t="shared" si="11"/>
        <v>94556.250000000015</v>
      </c>
      <c r="AZ24" s="630"/>
      <c r="BA24" s="555">
        <f>+SUMIF(WRM!$C$7:$C$119,$D24,WRM!$AZ$7:$AZ$119)</f>
        <v>6424.7000000000044</v>
      </c>
      <c r="BB24" s="630"/>
      <c r="BC24" s="2331">
        <f t="shared" si="12"/>
        <v>24999.750000000007</v>
      </c>
      <c r="BD24" s="2391"/>
      <c r="BE24" s="1175">
        <f t="shared" si="13"/>
        <v>55028.150000000023</v>
      </c>
      <c r="BF24" s="625"/>
      <c r="BG24" s="625">
        <f t="shared" si="14"/>
        <v>100980.95000000001</v>
      </c>
      <c r="BH24" s="26"/>
      <c r="BI24" s="26"/>
      <c r="BJ24" s="26"/>
    </row>
    <row r="25" spans="3:62" x14ac:dyDescent="0.3">
      <c r="C25" s="554" t="s">
        <v>16</v>
      </c>
      <c r="D25" s="1638" t="s">
        <v>875</v>
      </c>
      <c r="E25" s="6285"/>
      <c r="F25" s="554"/>
      <c r="G25" s="555">
        <f>+SUMIF(WRM!$C$7:$C$119,$D25,WRM!$F$7:$F$119)</f>
        <v>522.75</v>
      </c>
      <c r="H25" s="555"/>
      <c r="I25" s="555">
        <f>+SUMIF(WRM!$C$7:$C$119,$D25,WRM!$H$7:$H$119)</f>
        <v>485.84999999999997</v>
      </c>
      <c r="J25" s="625"/>
      <c r="K25" s="625">
        <f t="shared" si="0"/>
        <v>1008.5999999999999</v>
      </c>
      <c r="L25" s="555"/>
      <c r="M25" s="555">
        <f>+SUMIF(WRM!$C$7:$C$119,$D25,WRM!$L$7:$L$119)</f>
        <v>0</v>
      </c>
      <c r="N25" s="630"/>
      <c r="O25" s="630">
        <f t="shared" si="1"/>
        <v>1008.5999999999999</v>
      </c>
      <c r="P25" s="555"/>
      <c r="Q25" s="555">
        <f>+SUMIF(WRM!$C$7:$C$119,$D25,WRM!P$7:$P$119)</f>
        <v>1535.4499999999996</v>
      </c>
      <c r="R25" s="630"/>
      <c r="S25" s="630">
        <f t="shared" ref="S25:S66" si="41">O25+Q25</f>
        <v>2544.0499999999993</v>
      </c>
      <c r="T25" s="555"/>
      <c r="U25" s="555">
        <f>+SUMIF(WRM!$C$7:$C$119,$D25,WRM!$T$7:T$119)</f>
        <v>1529.2999999999997</v>
      </c>
      <c r="V25" s="630"/>
      <c r="W25" s="630">
        <f t="shared" si="3"/>
        <v>4073.349999999999</v>
      </c>
      <c r="X25" s="630"/>
      <c r="Y25" s="555">
        <f>+SUMIF(WRM!$C$7:$C$119,$D25,WRM!$X$7:X$119)</f>
        <v>713.4</v>
      </c>
      <c r="Z25" s="630"/>
      <c r="AA25" s="2331">
        <f t="shared" si="4"/>
        <v>3778.1499999999992</v>
      </c>
      <c r="AB25" s="2391"/>
      <c r="AC25" s="1175">
        <f t="shared" si="5"/>
        <v>4786.7499999999991</v>
      </c>
      <c r="AD25" s="630"/>
      <c r="AE25" s="555">
        <f>+SUMIF(WRM!$C$7:$C$119,$D25,WRM!$AD$7:$AD$119)</f>
        <v>1414.5000000000002</v>
      </c>
      <c r="AF25" s="630"/>
      <c r="AG25" s="630">
        <f t="shared" si="6"/>
        <v>6201.2499999999991</v>
      </c>
      <c r="AH25" s="630"/>
      <c r="AI25" s="555">
        <f>+SUMIF(WRM!$C$7:$C$119,$D25,WRM!$AH$7:$AH$119)</f>
        <v>764.65</v>
      </c>
      <c r="AJ25" s="625"/>
      <c r="AK25" s="625">
        <f t="shared" si="7"/>
        <v>6965.8999999999987</v>
      </c>
      <c r="AL25" s="630"/>
      <c r="AM25" s="555">
        <f>+SUMIF(WRM!$C$7:$C$119,$D25,WRM!$AL$7:$AL$119)</f>
        <v>772.85</v>
      </c>
      <c r="AN25" s="630"/>
      <c r="AO25" s="2331">
        <f t="shared" si="8"/>
        <v>2952</v>
      </c>
      <c r="AP25" s="625"/>
      <c r="AQ25" s="625">
        <f t="shared" si="9"/>
        <v>7738.7499999999991</v>
      </c>
      <c r="AR25" s="630"/>
      <c r="AS25" s="555">
        <f>+SUMIF(WRM!$C$7:$C$119,$D25,WRM!$AR$7:$AR$119)</f>
        <v>133.25</v>
      </c>
      <c r="AT25" s="625"/>
      <c r="AU25" s="625">
        <f t="shared" si="10"/>
        <v>7871.9999999999991</v>
      </c>
      <c r="AV25" s="630"/>
      <c r="AW25" s="555">
        <f>+SUMIF(WRM!$C$7:$C$119,$D25,WRM!$AV$7:$AV$119)</f>
        <v>205</v>
      </c>
      <c r="AX25" s="625"/>
      <c r="AY25" s="625">
        <f t="shared" si="11"/>
        <v>8076.9999999999991</v>
      </c>
      <c r="AZ25" s="630"/>
      <c r="BA25" s="555">
        <f>+SUMIF(WRM!$C$7:$C$119,$D25,WRM!$AZ$7:$AZ$119)</f>
        <v>0</v>
      </c>
      <c r="BB25" s="630"/>
      <c r="BC25" s="2331">
        <f t="shared" si="12"/>
        <v>338.25</v>
      </c>
      <c r="BD25" s="2391"/>
      <c r="BE25" s="1175">
        <f t="shared" si="13"/>
        <v>3290.25</v>
      </c>
      <c r="BF25" s="625"/>
      <c r="BG25" s="625">
        <f t="shared" si="14"/>
        <v>8076.9999999999991</v>
      </c>
      <c r="BH25" s="26"/>
      <c r="BI25" s="26"/>
      <c r="BJ25" s="26"/>
    </row>
    <row r="26" spans="3:62" x14ac:dyDescent="0.3">
      <c r="C26" s="6287" t="s">
        <v>16</v>
      </c>
      <c r="D26" s="6288" t="s">
        <v>2008</v>
      </c>
      <c r="E26" s="6285"/>
      <c r="F26" s="6287"/>
      <c r="G26" s="555">
        <f>+SUMIF(WRM!$C$7:$C$119,$D26,WRM!$F$7:$F$119)</f>
        <v>116.85000000000001</v>
      </c>
      <c r="H26" s="555"/>
      <c r="I26" s="555">
        <f>+SUMIF(WRM!$C$7:$C$119,$D26,WRM!$H$7:$H$119)</f>
        <v>0</v>
      </c>
      <c r="J26" s="625"/>
      <c r="K26" s="625">
        <f t="shared" ref="K26" si="42">+G26+I26</f>
        <v>116.85000000000001</v>
      </c>
      <c r="L26" s="555"/>
      <c r="M26" s="555">
        <f>+SUMIF(WRM!$C$7:$C$119,$D26,WRM!$L$7:$L$119)</f>
        <v>0</v>
      </c>
      <c r="N26" s="630"/>
      <c r="O26" s="630">
        <f t="shared" ref="O26" si="43">+G26+I26+M26</f>
        <v>116.85000000000001</v>
      </c>
      <c r="P26" s="555"/>
      <c r="Q26" s="555">
        <f>+SUMIF(WRM!$C$7:$C$119,$D26,WRM!P$7:$P$119)</f>
        <v>0</v>
      </c>
      <c r="R26" s="630"/>
      <c r="S26" s="630">
        <f t="shared" ref="S26" si="44">O26+Q26</f>
        <v>116.85000000000001</v>
      </c>
      <c r="T26" s="555"/>
      <c r="U26" s="555">
        <f>+SUMIF(WRM!$C$7:$C$119,$D26,WRM!$T$7:T$119)</f>
        <v>0</v>
      </c>
      <c r="V26" s="630"/>
      <c r="W26" s="630">
        <f t="shared" ref="W26" si="45">S26+U26</f>
        <v>116.85000000000001</v>
      </c>
      <c r="X26" s="630"/>
      <c r="Y26" s="555">
        <f>+SUMIF(WRM!$C$7:$C$119,$D26,WRM!$X$7:X$119)</f>
        <v>0</v>
      </c>
      <c r="Z26" s="630"/>
      <c r="AA26" s="2331">
        <f t="shared" ref="AA26" si="46">Q26+U26+Y26</f>
        <v>0</v>
      </c>
      <c r="AB26" s="2391"/>
      <c r="AC26" s="1175">
        <f t="shared" ref="AC26" si="47">O26+AA26</f>
        <v>116.85000000000001</v>
      </c>
      <c r="AD26" s="630"/>
      <c r="AE26" s="555">
        <f>+SUMIF(WRM!$C$7:$C$119,$D26,WRM!$AD$7:$AD$119)</f>
        <v>205</v>
      </c>
      <c r="AF26" s="630"/>
      <c r="AG26" s="630">
        <f t="shared" ref="AG26" si="48">AC26+AE26</f>
        <v>321.85000000000002</v>
      </c>
      <c r="AH26" s="630"/>
      <c r="AI26" s="555">
        <f>+SUMIF(WRM!$C$7:$C$119,$D26,WRM!$AH$7:$AH$119)</f>
        <v>0</v>
      </c>
      <c r="AJ26" s="625"/>
      <c r="AK26" s="625">
        <f t="shared" ref="AK26" si="49">AG26+AI26</f>
        <v>321.85000000000002</v>
      </c>
      <c r="AL26" s="630"/>
      <c r="AM26" s="555">
        <f>+SUMIF(WRM!$C$7:$C$119,$D26,WRM!$AL$7:$AL$119)</f>
        <v>0</v>
      </c>
      <c r="AN26" s="630"/>
      <c r="AO26" s="2331">
        <f t="shared" ref="AO26" si="50">AE26+AI26+AM26</f>
        <v>205</v>
      </c>
      <c r="AP26" s="625"/>
      <c r="AQ26" s="625">
        <f t="shared" ref="AQ26" si="51">AK26+AM26</f>
        <v>321.85000000000002</v>
      </c>
      <c r="AR26" s="630"/>
      <c r="AS26" s="555">
        <f>+SUMIF(WRM!$C$7:$C$119,$D26,WRM!$AR$7:$AR$119)</f>
        <v>0</v>
      </c>
      <c r="AT26" s="625"/>
      <c r="AU26" s="625">
        <f t="shared" ref="AU26" si="52">AQ26+AS26</f>
        <v>321.85000000000002</v>
      </c>
      <c r="AV26" s="630"/>
      <c r="AW26" s="555">
        <f>+SUMIF(WRM!$C$7:$C$119,$D26,WRM!$AV$7:$AV$119)</f>
        <v>0</v>
      </c>
      <c r="AX26" s="625"/>
      <c r="AY26" s="625">
        <f t="shared" si="11"/>
        <v>321.85000000000002</v>
      </c>
      <c r="AZ26" s="630"/>
      <c r="BA26" s="555">
        <f>+SUMIF(WRM!$C$7:$C$119,$D26,WRM!$AZ$7:$AZ$119)</f>
        <v>0</v>
      </c>
      <c r="BB26" s="630"/>
      <c r="BC26" s="2331">
        <f t="shared" si="12"/>
        <v>0</v>
      </c>
      <c r="BD26" s="2391"/>
      <c r="BE26" s="1175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">
      <c r="C27" s="554" t="s">
        <v>16</v>
      </c>
      <c r="D27" s="1638" t="s">
        <v>971</v>
      </c>
      <c r="E27" s="6285"/>
      <c r="F27" s="554"/>
      <c r="G27" s="555">
        <f>+SUMIF(WRM!$C$7:$C$119,$D27,WRM!$F$7:$F$119)</f>
        <v>4930.2300000000005</v>
      </c>
      <c r="H27" s="555"/>
      <c r="I27" s="555">
        <f>+SUMIF(WRM!$C$7:$C$119,$D27,WRM!$H$7:$H$119)</f>
        <v>5530.9</v>
      </c>
      <c r="J27" s="625"/>
      <c r="K27" s="625">
        <f t="shared" si="0"/>
        <v>10461.130000000001</v>
      </c>
      <c r="L27" s="555"/>
      <c r="M27" s="555">
        <f>+SUMIF(WRM!$C$7:$C$119,$D27,WRM!$L$7:$L$119)</f>
        <v>8624.35</v>
      </c>
      <c r="N27" s="630"/>
      <c r="O27" s="630">
        <f t="shared" si="1"/>
        <v>19085.480000000003</v>
      </c>
      <c r="P27" s="555"/>
      <c r="Q27" s="555">
        <f>+SUMIF(WRM!$C$7:$C$119,$D27,WRM!P$7:$P$119)</f>
        <v>5787.1500000000005</v>
      </c>
      <c r="R27" s="630"/>
      <c r="S27" s="630">
        <f t="shared" si="41"/>
        <v>24872.630000000005</v>
      </c>
      <c r="T27" s="555"/>
      <c r="U27" s="555">
        <f>+SUMIF(WRM!$C$7:$C$119,$D27,WRM!$T$7:T$119)</f>
        <v>4083.6</v>
      </c>
      <c r="V27" s="630"/>
      <c r="W27" s="630">
        <f t="shared" si="3"/>
        <v>28956.230000000003</v>
      </c>
      <c r="X27" s="630"/>
      <c r="Y27" s="555">
        <f>+SUMIF(WRM!$C$7:$C$119,$D27,WRM!$X$7:X$119)</f>
        <v>2365.6999999999998</v>
      </c>
      <c r="Z27" s="630"/>
      <c r="AA27" s="2331">
        <f t="shared" si="4"/>
        <v>12236.45</v>
      </c>
      <c r="AB27" s="2391"/>
      <c r="AC27" s="1175">
        <f t="shared" si="5"/>
        <v>31321.930000000004</v>
      </c>
      <c r="AD27" s="630"/>
      <c r="AE27" s="555">
        <f>+SUMIF(WRM!$C$7:$C$119,$D27,WRM!$AD$7:$AD$119)</f>
        <v>3950.35</v>
      </c>
      <c r="AF27" s="630"/>
      <c r="AG27" s="630">
        <f t="shared" si="6"/>
        <v>35272.280000000006</v>
      </c>
      <c r="AH27" s="630"/>
      <c r="AI27" s="555">
        <f>+SUMIF(WRM!$C$7:$C$119,$D27,WRM!$AH$7:$AH$119)</f>
        <v>1066</v>
      </c>
      <c r="AJ27" s="625"/>
      <c r="AK27" s="625">
        <f t="shared" si="7"/>
        <v>36338.280000000006</v>
      </c>
      <c r="AL27" s="630"/>
      <c r="AM27" s="555">
        <f>+SUMIF(WRM!$C$7:$C$119,$D27,WRM!$AL$7:$AL$119)</f>
        <v>2179.15</v>
      </c>
      <c r="AN27" s="630"/>
      <c r="AO27" s="2331">
        <f t="shared" si="8"/>
        <v>7195.5</v>
      </c>
      <c r="AP27" s="625"/>
      <c r="AQ27" s="625">
        <f t="shared" si="9"/>
        <v>38517.430000000008</v>
      </c>
      <c r="AR27" s="630"/>
      <c r="AS27" s="555">
        <f>+SUMIF(WRM!$C$7:$C$119,$D27,WRM!$AR$7:$AR$119)</f>
        <v>4042.6</v>
      </c>
      <c r="AT27" s="625"/>
      <c r="AU27" s="625">
        <f t="shared" si="10"/>
        <v>42560.030000000006</v>
      </c>
      <c r="AV27" s="630"/>
      <c r="AW27" s="555">
        <f>+SUMIF(WRM!$C$7:$C$119,$D27,WRM!$AV$7:$AV$119)</f>
        <v>6957.6</v>
      </c>
      <c r="AX27" s="625"/>
      <c r="AY27" s="625">
        <f t="shared" si="11"/>
        <v>49517.630000000005</v>
      </c>
      <c r="AZ27" s="630"/>
      <c r="BA27" s="555">
        <f>+SUMIF(WRM!$C$7:$C$119,$D27,WRM!$AZ$7:$AZ$119)</f>
        <v>8398.8500000000022</v>
      </c>
      <c r="BB27" s="630"/>
      <c r="BC27" s="2331">
        <f t="shared" si="12"/>
        <v>19399.050000000003</v>
      </c>
      <c r="BD27" s="2391"/>
      <c r="BE27" s="1175">
        <f t="shared" si="13"/>
        <v>26594.550000000003</v>
      </c>
      <c r="BF27" s="625"/>
      <c r="BG27" s="625">
        <f t="shared" si="14"/>
        <v>57916.48000000001</v>
      </c>
      <c r="BH27" s="26"/>
      <c r="BI27" s="26"/>
      <c r="BJ27" s="26"/>
    </row>
    <row r="28" spans="3:62" x14ac:dyDescent="0.3">
      <c r="C28" s="554" t="s">
        <v>16</v>
      </c>
      <c r="D28" s="1638" t="s">
        <v>973</v>
      </c>
      <c r="E28" s="6285"/>
      <c r="F28" s="554"/>
      <c r="G28" s="555">
        <f>+SUMIF(WRM!$C$7:$C$119,$D28,WRM!$F$7:$F$119)</f>
        <v>2039.65</v>
      </c>
      <c r="H28" s="555"/>
      <c r="I28" s="555">
        <f>+SUMIF(WRM!$C$7:$C$119,$D28,WRM!$H$7:$H$119)</f>
        <v>2564.5499999999997</v>
      </c>
      <c r="J28" s="625"/>
      <c r="K28" s="625">
        <f t="shared" si="0"/>
        <v>4604.2</v>
      </c>
      <c r="L28" s="555"/>
      <c r="M28" s="555">
        <f>+SUMIF(WRM!$C$7:$C$119,$D28,WRM!$L$7:$L$119)</f>
        <v>3825.3</v>
      </c>
      <c r="N28" s="630"/>
      <c r="O28" s="630">
        <f t="shared" si="1"/>
        <v>8429.5</v>
      </c>
      <c r="P28" s="555"/>
      <c r="Q28" s="555">
        <f>+SUMIF(WRM!$C$7:$C$119,$D28,WRM!P$7:$P$119)</f>
        <v>2222.1999999999998</v>
      </c>
      <c r="R28" s="630"/>
      <c r="S28" s="630">
        <f t="shared" si="41"/>
        <v>10651.7</v>
      </c>
      <c r="T28" s="555"/>
      <c r="U28" s="555">
        <f>+SUMIF(WRM!$C$7:$C$119,$D28,WRM!$T$7:T$119)</f>
        <v>1988.4999999999986</v>
      </c>
      <c r="V28" s="630"/>
      <c r="W28" s="630">
        <f t="shared" si="3"/>
        <v>12640.199999999999</v>
      </c>
      <c r="X28" s="630"/>
      <c r="Y28" s="555">
        <f>+SUMIF(WRM!$C$7:$C$119,$D28,WRM!$X$7:X$119)</f>
        <v>2265.25</v>
      </c>
      <c r="Z28" s="630"/>
      <c r="AA28" s="2331">
        <f t="shared" si="4"/>
        <v>6475.9499999999989</v>
      </c>
      <c r="AB28" s="2391"/>
      <c r="AC28" s="1175">
        <f t="shared" si="5"/>
        <v>14905.449999999999</v>
      </c>
      <c r="AD28" s="630"/>
      <c r="AE28" s="555">
        <f>+SUMIF(WRM!$C$7:$C$119,$D28,WRM!$AD$7:$AD$119)</f>
        <v>867.15</v>
      </c>
      <c r="AF28" s="630"/>
      <c r="AG28" s="630">
        <f t="shared" si="6"/>
        <v>15772.599999999999</v>
      </c>
      <c r="AH28" s="630"/>
      <c r="AI28" s="555">
        <f>+SUMIF(WRM!$C$7:$C$119,$D28,WRM!$AH$7:$AH$119)</f>
        <v>1605.15</v>
      </c>
      <c r="AJ28" s="625"/>
      <c r="AK28" s="625">
        <f t="shared" si="7"/>
        <v>17377.75</v>
      </c>
      <c r="AL28" s="630"/>
      <c r="AM28" s="555">
        <f>+SUMIF(WRM!$C$7:$C$119,$D28,WRM!$AL$7:$AL$119)</f>
        <v>2175.0499999999988</v>
      </c>
      <c r="AN28" s="630"/>
      <c r="AO28" s="2331">
        <f t="shared" si="8"/>
        <v>4647.3499999999985</v>
      </c>
      <c r="AP28" s="625"/>
      <c r="AQ28" s="625">
        <f t="shared" si="9"/>
        <v>19552.8</v>
      </c>
      <c r="AR28" s="630"/>
      <c r="AS28" s="555">
        <f>+SUMIF(WRM!$C$7:$C$119,$D28,WRM!$AR$7:$AR$119)</f>
        <v>1785.5500000000002</v>
      </c>
      <c r="AT28" s="625"/>
      <c r="AU28" s="625">
        <f t="shared" si="10"/>
        <v>21338.35</v>
      </c>
      <c r="AV28" s="630"/>
      <c r="AW28" s="555">
        <f>+SUMIF(WRM!$C$7:$C$119,$D28,WRM!$AV$7:$AV$119)</f>
        <v>2632.2</v>
      </c>
      <c r="AX28" s="625"/>
      <c r="AY28" s="625">
        <f t="shared" si="11"/>
        <v>23970.55</v>
      </c>
      <c r="AZ28" s="630"/>
      <c r="BA28" s="555">
        <f>+SUMIF(WRM!$C$7:$C$119,$D28,WRM!$AZ$7:$AZ$119)</f>
        <v>9173.7500000000036</v>
      </c>
      <c r="BB28" s="630"/>
      <c r="BC28" s="2331">
        <f t="shared" si="12"/>
        <v>13591.500000000004</v>
      </c>
      <c r="BD28" s="2391"/>
      <c r="BE28" s="1175">
        <f t="shared" si="13"/>
        <v>18238.850000000002</v>
      </c>
      <c r="BF28" s="625"/>
      <c r="BG28" s="625">
        <f t="shared" si="14"/>
        <v>33144.300000000003</v>
      </c>
      <c r="BH28" s="26"/>
      <c r="BI28" s="26"/>
      <c r="BJ28" s="26"/>
    </row>
    <row r="29" spans="3:62" x14ac:dyDescent="0.3">
      <c r="C29" s="554" t="s">
        <v>16</v>
      </c>
      <c r="D29" s="1638" t="s">
        <v>1124</v>
      </c>
      <c r="E29" s="6285"/>
      <c r="F29" s="554"/>
      <c r="G29" s="555">
        <f>+SUMIF(WRM!$C$7:$C$119,$D29,WRM!$F$7:$F$119)</f>
        <v>1906.5</v>
      </c>
      <c r="H29" s="555"/>
      <c r="I29" s="555">
        <f>+SUMIF(WRM!$C$7:$C$119,$D29,WRM!$H$7:$H$119)</f>
        <v>2402.5999999999995</v>
      </c>
      <c r="J29" s="625"/>
      <c r="K29" s="625">
        <f t="shared" si="0"/>
        <v>4309.0999999999995</v>
      </c>
      <c r="L29" s="555"/>
      <c r="M29" s="555">
        <f>+SUMIF(WRM!$C$7:$C$119,$D29,WRM!$L$7:$L$119)</f>
        <v>1824.5000000000002</v>
      </c>
      <c r="N29" s="630"/>
      <c r="O29" s="630">
        <f t="shared" si="1"/>
        <v>6133.5999999999995</v>
      </c>
      <c r="P29" s="555"/>
      <c r="Q29" s="555">
        <f>+SUMIF(WRM!$C$7:$C$119,$D29,WRM!P$7:$P$119)</f>
        <v>164</v>
      </c>
      <c r="R29" s="630"/>
      <c r="S29" s="630">
        <f t="shared" si="41"/>
        <v>6297.5999999999995</v>
      </c>
      <c r="T29" s="555"/>
      <c r="U29" s="555">
        <f>+SUMIF(WRM!$C$7:$C$119,$D29,WRM!$T$7:T$119)</f>
        <v>3417.3500000000008</v>
      </c>
      <c r="V29" s="630"/>
      <c r="W29" s="630">
        <f t="shared" si="3"/>
        <v>9714.9500000000007</v>
      </c>
      <c r="X29" s="630"/>
      <c r="Y29" s="555">
        <f>+SUMIF(WRM!$C$7:$C$119,$D29,WRM!$X$7:X$119)</f>
        <v>1336.5999999999997</v>
      </c>
      <c r="Z29" s="630"/>
      <c r="AA29" s="2331">
        <f t="shared" si="4"/>
        <v>4917.9500000000007</v>
      </c>
      <c r="AB29" s="2391"/>
      <c r="AC29" s="1175">
        <f t="shared" si="5"/>
        <v>11051.55</v>
      </c>
      <c r="AD29" s="630"/>
      <c r="AE29" s="555">
        <f>+SUMIF(WRM!$C$7:$C$119,$D29,WRM!$AD$7:$AD$119)</f>
        <v>4007.75</v>
      </c>
      <c r="AF29" s="630"/>
      <c r="AG29" s="630">
        <f t="shared" si="6"/>
        <v>15059.3</v>
      </c>
      <c r="AH29" s="630"/>
      <c r="AI29" s="555">
        <f>+SUMIF(WRM!$C$7:$C$119,$D29,WRM!$AH$7:$AH$119)</f>
        <v>1394</v>
      </c>
      <c r="AJ29" s="625"/>
      <c r="AK29" s="625">
        <f t="shared" si="7"/>
        <v>16453.3</v>
      </c>
      <c r="AL29" s="630"/>
      <c r="AM29" s="555">
        <f>+SUMIF(WRM!$C$7:$C$119,$D29,WRM!$AL$7:$AL$119)</f>
        <v>1818.3500000000006</v>
      </c>
      <c r="AN29" s="630"/>
      <c r="AO29" s="2331">
        <f t="shared" si="8"/>
        <v>7220.1</v>
      </c>
      <c r="AP29" s="625"/>
      <c r="AQ29" s="625">
        <f t="shared" si="9"/>
        <v>18271.650000000001</v>
      </c>
      <c r="AR29" s="630"/>
      <c r="AS29" s="555">
        <f>+SUMIF(WRM!$C$7:$C$119,$D29,WRM!$AR$7:$AR$119)</f>
        <v>0</v>
      </c>
      <c r="AT29" s="625"/>
      <c r="AU29" s="625">
        <f t="shared" si="10"/>
        <v>18271.650000000001</v>
      </c>
      <c r="AV29" s="630"/>
      <c r="AW29" s="555">
        <f>+SUMIF(WRM!$C$7:$C$119,$D29,WRM!$AV$7:$AV$119)</f>
        <v>1025</v>
      </c>
      <c r="AX29" s="625"/>
      <c r="AY29" s="625">
        <f t="shared" si="11"/>
        <v>19296.650000000001</v>
      </c>
      <c r="AZ29" s="630"/>
      <c r="BA29" s="555">
        <f>+SUMIF(WRM!$C$7:$C$119,$D29,WRM!$AZ$7:$AZ$119)</f>
        <v>1512.9</v>
      </c>
      <c r="BB29" s="630"/>
      <c r="BC29" s="2331">
        <f t="shared" si="12"/>
        <v>2537.9</v>
      </c>
      <c r="BD29" s="2391"/>
      <c r="BE29" s="1175">
        <f t="shared" si="13"/>
        <v>9758</v>
      </c>
      <c r="BF29" s="625"/>
      <c r="BG29" s="625">
        <f t="shared" si="14"/>
        <v>20809.550000000003</v>
      </c>
      <c r="BH29" s="26"/>
      <c r="BI29" s="26"/>
      <c r="BJ29" s="26"/>
    </row>
    <row r="30" spans="3:62" s="1734" customFormat="1" x14ac:dyDescent="0.3">
      <c r="C30" s="554" t="s">
        <v>16</v>
      </c>
      <c r="D30" s="1638" t="s">
        <v>1039</v>
      </c>
      <c r="E30" s="6285"/>
      <c r="F30" s="554"/>
      <c r="G30" s="555">
        <f>+SUMIF(WRM!$C$7:$C$119,$D30,WRM!$F$7:$F$119)</f>
        <v>3593.6499999999996</v>
      </c>
      <c r="H30" s="555"/>
      <c r="I30" s="555">
        <f>+SUMIF(WRM!$C$7:$C$119,$D30,WRM!$H$7:$H$119)</f>
        <v>2585.0500000000002</v>
      </c>
      <c r="J30" s="625"/>
      <c r="K30" s="625">
        <f t="shared" si="0"/>
        <v>6178.7</v>
      </c>
      <c r="L30" s="555"/>
      <c r="M30" s="555">
        <f>+SUMIF(WRM!$C$7:$C$119,$D30,WRM!$L$7:$L$119)</f>
        <v>1420.65</v>
      </c>
      <c r="N30" s="630"/>
      <c r="O30" s="630">
        <f t="shared" si="1"/>
        <v>7599.35</v>
      </c>
      <c r="P30" s="555"/>
      <c r="Q30" s="555">
        <f>+SUMIF(WRM!$C$7:$C$119,$D30,WRM!P$7:$P$119)</f>
        <v>2941.75</v>
      </c>
      <c r="R30" s="630"/>
      <c r="S30" s="630">
        <f t="shared" si="41"/>
        <v>10541.1</v>
      </c>
      <c r="T30" s="555"/>
      <c r="U30" s="555">
        <f>+SUMIF(WRM!$C$7:$C$119,$D30,WRM!$T$7:T$119)</f>
        <v>0</v>
      </c>
      <c r="V30" s="630"/>
      <c r="W30" s="630">
        <f t="shared" si="3"/>
        <v>10541.1</v>
      </c>
      <c r="X30" s="630"/>
      <c r="Y30" s="555">
        <f>+SUMIF(WRM!$C$7:$C$119,$D30,WRM!$X$7:X$119)</f>
        <v>3511.6499999999996</v>
      </c>
      <c r="Z30" s="630"/>
      <c r="AA30" s="2331">
        <f t="shared" si="4"/>
        <v>6453.4</v>
      </c>
      <c r="AB30" s="2391"/>
      <c r="AC30" s="1175">
        <f t="shared" si="5"/>
        <v>14052.75</v>
      </c>
      <c r="AD30" s="630"/>
      <c r="AE30" s="555">
        <f>+SUMIF(WRM!$C$7:$C$119,$D30,WRM!$AD$7:$AD$119)</f>
        <v>67.650000000000006</v>
      </c>
      <c r="AF30" s="630"/>
      <c r="AG30" s="630">
        <f t="shared" si="6"/>
        <v>14120.4</v>
      </c>
      <c r="AH30" s="630"/>
      <c r="AI30" s="555">
        <f>+SUMIF(WRM!$C$7:$C$119,$D30,WRM!$AH$7:$AH$119)</f>
        <v>910.2</v>
      </c>
      <c r="AJ30" s="625"/>
      <c r="AK30" s="625">
        <f t="shared" si="7"/>
        <v>15030.6</v>
      </c>
      <c r="AL30" s="630"/>
      <c r="AM30" s="555">
        <f>+SUMIF(WRM!$C$7:$C$119,$D30,WRM!$AL$7:$AL$119)</f>
        <v>2747</v>
      </c>
      <c r="AN30" s="630"/>
      <c r="AO30" s="2331">
        <f t="shared" si="8"/>
        <v>3724.85</v>
      </c>
      <c r="AP30" s="625"/>
      <c r="AQ30" s="625">
        <f t="shared" si="9"/>
        <v>17777.599999999999</v>
      </c>
      <c r="AR30" s="630"/>
      <c r="AS30" s="555">
        <f>+SUMIF(WRM!$C$7:$C$119,$D30,WRM!$AR$7:$AR$119)</f>
        <v>922.50000000000011</v>
      </c>
      <c r="AT30" s="625"/>
      <c r="AU30" s="625">
        <f t="shared" si="10"/>
        <v>18700.099999999999</v>
      </c>
      <c r="AV30" s="630"/>
      <c r="AW30" s="555">
        <f>+SUMIF(WRM!$C$7:$C$119,$D30,WRM!$AV$7:$AV$119)</f>
        <v>0</v>
      </c>
      <c r="AX30" s="625"/>
      <c r="AY30" s="625">
        <f t="shared" si="11"/>
        <v>18700.099999999999</v>
      </c>
      <c r="AZ30" s="630"/>
      <c r="BA30" s="555">
        <f>+SUMIF(WRM!$C$7:$C$119,$D30,WRM!$AZ$7:$AZ$119)</f>
        <v>2240.6499999999996</v>
      </c>
      <c r="BB30" s="630"/>
      <c r="BC30" s="2331">
        <f t="shared" si="12"/>
        <v>3163.1499999999996</v>
      </c>
      <c r="BD30" s="2391"/>
      <c r="BE30" s="1175">
        <f t="shared" si="13"/>
        <v>6888</v>
      </c>
      <c r="BF30" s="625"/>
      <c r="BG30" s="625">
        <f t="shared" si="14"/>
        <v>20940.75</v>
      </c>
      <c r="BH30" s="26"/>
      <c r="BI30" s="26"/>
      <c r="BJ30" s="26"/>
    </row>
    <row r="31" spans="3:62" x14ac:dyDescent="0.3">
      <c r="C31" s="554" t="s">
        <v>16</v>
      </c>
      <c r="D31" s="1638" t="s">
        <v>1040</v>
      </c>
      <c r="E31" s="6285"/>
      <c r="F31" s="554"/>
      <c r="G31" s="555">
        <f>+SUMIF(WRM!$C$7:$C$119,$D31,WRM!$F$7:$F$119)</f>
        <v>4366.5</v>
      </c>
      <c r="H31" s="555"/>
      <c r="I31" s="555">
        <f>+SUMIF(WRM!$C$7:$C$119,$D31,WRM!$H$7:$H$119)</f>
        <v>2429.25</v>
      </c>
      <c r="J31" s="625"/>
      <c r="K31" s="625">
        <f t="shared" si="0"/>
        <v>6795.75</v>
      </c>
      <c r="L31" s="555"/>
      <c r="M31" s="555">
        <f>+SUMIF(WRM!$C$7:$C$119,$D31,WRM!$L$7:$L$119)</f>
        <v>6100.8</v>
      </c>
      <c r="N31" s="630"/>
      <c r="O31" s="630">
        <f t="shared" si="1"/>
        <v>12896.55</v>
      </c>
      <c r="P31" s="555"/>
      <c r="Q31" s="555">
        <f>+SUMIF(WRM!$C$7:$C$119,$D31,WRM!P$7:$P$119)</f>
        <v>4516.1499999999996</v>
      </c>
      <c r="R31" s="630"/>
      <c r="S31" s="630">
        <f t="shared" si="41"/>
        <v>17412.699999999997</v>
      </c>
      <c r="T31" s="555"/>
      <c r="U31" s="555">
        <f>+SUMIF(WRM!$C$7:$C$119,$D31,WRM!$T$7:T$119)</f>
        <v>0</v>
      </c>
      <c r="V31" s="630"/>
      <c r="W31" s="630">
        <f t="shared" si="3"/>
        <v>17412.699999999997</v>
      </c>
      <c r="X31" s="630"/>
      <c r="Y31" s="555">
        <f>+SUMIF(WRM!$C$7:$C$119,$D31,WRM!$X$7:X$119)</f>
        <v>2714.2</v>
      </c>
      <c r="Z31" s="630"/>
      <c r="AA31" s="2331">
        <f t="shared" si="4"/>
        <v>7230.3499999999995</v>
      </c>
      <c r="AB31" s="2391"/>
      <c r="AC31" s="1175">
        <f t="shared" si="5"/>
        <v>20126.899999999998</v>
      </c>
      <c r="AD31" s="630"/>
      <c r="AE31" s="555">
        <f>+SUMIF(WRM!$C$7:$C$119,$D31,WRM!$AD$7:$AD$119)</f>
        <v>2119.6999999999998</v>
      </c>
      <c r="AF31" s="630"/>
      <c r="AG31" s="630">
        <f t="shared" si="6"/>
        <v>22246.6</v>
      </c>
      <c r="AH31" s="630"/>
      <c r="AI31" s="555">
        <f>+SUMIF(WRM!$C$7:$C$119,$D31,WRM!$AH$7:$AH$119)</f>
        <v>627.30000000000007</v>
      </c>
      <c r="AJ31" s="625"/>
      <c r="AK31" s="625">
        <f t="shared" si="7"/>
        <v>22873.899999999998</v>
      </c>
      <c r="AL31" s="630"/>
      <c r="AM31" s="555">
        <f>+SUMIF(WRM!$C$7:$C$119,$D31,WRM!$AL$7:$AL$119)</f>
        <v>4175.8500000000004</v>
      </c>
      <c r="AN31" s="630"/>
      <c r="AO31" s="2331">
        <f t="shared" si="8"/>
        <v>6922.85</v>
      </c>
      <c r="AP31" s="625"/>
      <c r="AQ31" s="625">
        <f t="shared" si="9"/>
        <v>27049.75</v>
      </c>
      <c r="AR31" s="630"/>
      <c r="AS31" s="555">
        <f>+SUMIF(WRM!$C$7:$C$119,$D31,WRM!$AR$7:$AR$119)</f>
        <v>2429.25</v>
      </c>
      <c r="AT31" s="625"/>
      <c r="AU31" s="625">
        <f t="shared" si="10"/>
        <v>29479</v>
      </c>
      <c r="AV31" s="630"/>
      <c r="AW31" s="555">
        <f>+SUMIF(WRM!$C$7:$C$119,$D31,WRM!$AV$7:$AV$119)</f>
        <v>0</v>
      </c>
      <c r="AX31" s="625"/>
      <c r="AY31" s="625">
        <f t="shared" si="11"/>
        <v>29479</v>
      </c>
      <c r="AZ31" s="630"/>
      <c r="BA31" s="555">
        <f>+SUMIF(WRM!$C$7:$C$119,$D31,WRM!$AZ$7:$AZ$119)</f>
        <v>2291.9</v>
      </c>
      <c r="BB31" s="630"/>
      <c r="BC31" s="2331">
        <f t="shared" si="12"/>
        <v>4721.1499999999996</v>
      </c>
      <c r="BD31" s="2391"/>
      <c r="BE31" s="1175">
        <f t="shared" si="13"/>
        <v>11644</v>
      </c>
      <c r="BF31" s="625"/>
      <c r="BG31" s="625">
        <f t="shared" si="14"/>
        <v>31770.9</v>
      </c>
      <c r="BH31" s="26"/>
      <c r="BI31" s="26"/>
      <c r="BJ31" s="26"/>
    </row>
    <row r="32" spans="3:62" x14ac:dyDescent="0.3">
      <c r="C32" s="554" t="s">
        <v>16</v>
      </c>
      <c r="D32" s="1638" t="s">
        <v>1627</v>
      </c>
      <c r="E32" s="6285"/>
      <c r="F32" s="554"/>
      <c r="G32" s="555">
        <f>+SUMIF(WRM!$C$7:$C$119,$D32,WRM!$F$7:$F$119)</f>
        <v>0</v>
      </c>
      <c r="H32" s="555"/>
      <c r="I32" s="555">
        <f>+SUMIF(WRM!$C$7:$C$119,$D32,WRM!$H$7:$H$119)</f>
        <v>0</v>
      </c>
      <c r="J32" s="625"/>
      <c r="K32" s="625">
        <f t="shared" si="0"/>
        <v>0</v>
      </c>
      <c r="L32" s="555"/>
      <c r="M32" s="555">
        <f>+SUMIF(WRM!$C$7:$C$119,$D32,WRM!$L$7:$L$119)</f>
        <v>0</v>
      </c>
      <c r="N32" s="630"/>
      <c r="O32" s="630">
        <f t="shared" si="1"/>
        <v>0</v>
      </c>
      <c r="P32" s="555"/>
      <c r="Q32" s="555">
        <f>+SUMIF(WRM!$C$7:$C$119,$D32,WRM!P$7:$P$119)</f>
        <v>0</v>
      </c>
      <c r="R32" s="630"/>
      <c r="S32" s="630">
        <f t="shared" si="41"/>
        <v>0</v>
      </c>
      <c r="T32" s="555"/>
      <c r="U32" s="555">
        <f>+SUMIF(WRM!$C$7:$C$119,$D32,WRM!$T$7:T$119)</f>
        <v>0</v>
      </c>
      <c r="V32" s="630"/>
      <c r="W32" s="630">
        <f t="shared" si="3"/>
        <v>0</v>
      </c>
      <c r="X32" s="630"/>
      <c r="Y32" s="555">
        <f>+SUMIF(WRM!$C$7:$C$119,$D32,WRM!$X$7:X$119)</f>
        <v>0</v>
      </c>
      <c r="Z32" s="630"/>
      <c r="AA32" s="2331">
        <f t="shared" si="4"/>
        <v>0</v>
      </c>
      <c r="AB32" s="2391"/>
      <c r="AC32" s="1175">
        <f t="shared" si="5"/>
        <v>0</v>
      </c>
      <c r="AD32" s="630"/>
      <c r="AE32" s="555">
        <f>+SUMIF(WRM!$C$7:$C$119,$D32,WRM!$AD$7:$AD$119)</f>
        <v>0</v>
      </c>
      <c r="AF32" s="630"/>
      <c r="AG32" s="630">
        <f t="shared" si="6"/>
        <v>0</v>
      </c>
      <c r="AH32" s="630"/>
      <c r="AI32" s="555">
        <f>+SUMIF(WRM!$C$7:$C$119,$D32,WRM!$AH$7:$AH$119)</f>
        <v>0</v>
      </c>
      <c r="AJ32" s="625"/>
      <c r="AK32" s="625">
        <f t="shared" si="7"/>
        <v>0</v>
      </c>
      <c r="AL32" s="630"/>
      <c r="AM32" s="555">
        <f>+SUMIF(WRM!$C$7:$C$119,$D32,WRM!$AL$7:$AL$119)</f>
        <v>0</v>
      </c>
      <c r="AN32" s="630"/>
      <c r="AO32" s="2331">
        <f t="shared" si="8"/>
        <v>0</v>
      </c>
      <c r="AP32" s="625"/>
      <c r="AQ32" s="625">
        <f t="shared" si="9"/>
        <v>0</v>
      </c>
      <c r="AR32" s="630"/>
      <c r="AS32" s="555">
        <f>+SUMIF(WRM!$C$7:$C$119,$D32,WRM!$AR$7:$AR$119)</f>
        <v>0</v>
      </c>
      <c r="AT32" s="625"/>
      <c r="AU32" s="625">
        <f t="shared" si="10"/>
        <v>0</v>
      </c>
      <c r="AV32" s="635"/>
      <c r="AW32" s="555">
        <f>+SUMIF(WRM!$C$7:$C$119,$D32,WRM!$AV$7:$AV$119)</f>
        <v>0</v>
      </c>
      <c r="AX32" s="625"/>
      <c r="AY32" s="625">
        <f t="shared" si="11"/>
        <v>0</v>
      </c>
      <c r="AZ32" s="635"/>
      <c r="BA32" s="555">
        <f>+SUMIF(WRM!$C$7:$C$119,$D32,WRM!$AZ$7:$AZ$119)</f>
        <v>0</v>
      </c>
      <c r="BB32" s="635"/>
      <c r="BC32" s="2331">
        <f t="shared" si="12"/>
        <v>0</v>
      </c>
      <c r="BD32" s="2391"/>
      <c r="BE32" s="1175">
        <f t="shared" si="13"/>
        <v>0</v>
      </c>
      <c r="BF32" s="635"/>
      <c r="BG32" s="625">
        <f t="shared" si="14"/>
        <v>0</v>
      </c>
      <c r="BH32" s="26"/>
      <c r="BI32" s="26"/>
      <c r="BJ32" s="26"/>
    </row>
    <row r="33" spans="3:62" x14ac:dyDescent="0.3">
      <c r="C33" s="554" t="s">
        <v>16</v>
      </c>
      <c r="D33" s="1638" t="s">
        <v>1416</v>
      </c>
      <c r="E33" s="6285"/>
      <c r="F33" s="554"/>
      <c r="G33" s="555">
        <f>+SUMIF(WRM!$C$7:$C$119,$D33,WRM!$F$7:$F$119)</f>
        <v>0</v>
      </c>
      <c r="H33" s="555"/>
      <c r="I33" s="555">
        <f>+SUMIF(WRM!$C$7:$C$119,$D33,WRM!$H$7:$H$119)</f>
        <v>0</v>
      </c>
      <c r="J33" s="625"/>
      <c r="K33" s="625">
        <f t="shared" si="0"/>
        <v>0</v>
      </c>
      <c r="L33" s="555"/>
      <c r="M33" s="555">
        <f>+SUMIF(WRM!$C$7:$C$119,$D33,WRM!$L$7:$L$119)</f>
        <v>0</v>
      </c>
      <c r="N33" s="630"/>
      <c r="O33" s="630">
        <f t="shared" si="1"/>
        <v>0</v>
      </c>
      <c r="P33" s="555"/>
      <c r="Q33" s="555">
        <f>+SUMIF(WRM!$C$7:$C$119,$D33,WRM!P$7:$P$119)</f>
        <v>0</v>
      </c>
      <c r="R33" s="630"/>
      <c r="S33" s="630">
        <f t="shared" si="41"/>
        <v>0</v>
      </c>
      <c r="T33" s="555"/>
      <c r="U33" s="555">
        <f>+SUMIF(WRM!$C$7:$C$119,$D33,WRM!$T$7:T$119)</f>
        <v>0</v>
      </c>
      <c r="V33" s="630"/>
      <c r="W33" s="630">
        <f t="shared" si="3"/>
        <v>0</v>
      </c>
      <c r="X33" s="630"/>
      <c r="Y33" s="555">
        <f>+SUMIF(WRM!$C$7:$C$119,$D33,WRM!$X$7:X$119)</f>
        <v>0</v>
      </c>
      <c r="Z33" s="630"/>
      <c r="AA33" s="2331">
        <f t="shared" si="4"/>
        <v>0</v>
      </c>
      <c r="AB33" s="2391"/>
      <c r="AC33" s="1175">
        <f t="shared" si="5"/>
        <v>0</v>
      </c>
      <c r="AD33" s="630"/>
      <c r="AE33" s="555">
        <f>+SUMIF(WRM!$C$7:$C$119,$D33,WRM!$AD$7:$AD$119)</f>
        <v>0</v>
      </c>
      <c r="AF33" s="630"/>
      <c r="AG33" s="630">
        <f t="shared" si="6"/>
        <v>0</v>
      </c>
      <c r="AH33" s="630"/>
      <c r="AI33" s="555">
        <f>+SUMIF(WRM!$C$7:$C$119,$D33,WRM!$AH$7:$AH$119)</f>
        <v>0</v>
      </c>
      <c r="AJ33" s="625"/>
      <c r="AK33" s="625">
        <f t="shared" si="7"/>
        <v>0</v>
      </c>
      <c r="AL33" s="630"/>
      <c r="AM33" s="555">
        <f>+SUMIF(WRM!$C$7:$C$119,$D33,WRM!$AL$7:$AL$119)</f>
        <v>0</v>
      </c>
      <c r="AN33" s="630"/>
      <c r="AO33" s="2331">
        <f t="shared" si="8"/>
        <v>0</v>
      </c>
      <c r="AP33" s="625"/>
      <c r="AQ33" s="625">
        <f t="shared" si="9"/>
        <v>0</v>
      </c>
      <c r="AR33" s="630"/>
      <c r="AS33" s="555">
        <f>+SUMIF(WRM!$C$7:$C$119,$D33,WRM!$AR$7:$AR$119)</f>
        <v>0</v>
      </c>
      <c r="AT33" s="625"/>
      <c r="AU33" s="625">
        <f t="shared" si="10"/>
        <v>0</v>
      </c>
      <c r="AV33" s="630"/>
      <c r="AW33" s="555">
        <f>+SUMIF(WRM!$C$7:$C$119,$D33,WRM!$AV$7:$AV$119)</f>
        <v>0</v>
      </c>
      <c r="AX33" s="625"/>
      <c r="AY33" s="625">
        <f t="shared" si="11"/>
        <v>0</v>
      </c>
      <c r="AZ33" s="630"/>
      <c r="BA33" s="555">
        <f>+SUMIF(WRM!$C$7:$C$119,$D33,WRM!$AZ$7:$AZ$119)</f>
        <v>0</v>
      </c>
      <c r="BB33" s="630"/>
      <c r="BC33" s="2331">
        <f t="shared" si="12"/>
        <v>0</v>
      </c>
      <c r="BD33" s="2391"/>
      <c r="BE33" s="1175">
        <f t="shared" si="13"/>
        <v>0</v>
      </c>
      <c r="BF33" s="630"/>
      <c r="BG33" s="625">
        <f t="shared" si="14"/>
        <v>0</v>
      </c>
      <c r="BH33" s="26"/>
      <c r="BI33" s="26"/>
      <c r="BJ33" s="26"/>
    </row>
    <row r="34" spans="3:62" x14ac:dyDescent="0.3">
      <c r="C34" s="554" t="s">
        <v>16</v>
      </c>
      <c r="D34" s="1638" t="s">
        <v>1475</v>
      </c>
      <c r="E34" s="6285"/>
      <c r="F34" s="554"/>
      <c r="G34" s="555">
        <f>+SUMIF(WRM!$C$7:$C$119,$D34,WRM!$F$7:$F$119)</f>
        <v>229.6</v>
      </c>
      <c r="H34" s="555"/>
      <c r="I34" s="555">
        <f>+SUMIF(WRM!$C$7:$C$119,$D34,WRM!$H$7:$H$119)</f>
        <v>0</v>
      </c>
      <c r="J34" s="625"/>
      <c r="K34" s="625">
        <f t="shared" si="0"/>
        <v>229.6</v>
      </c>
      <c r="L34" s="555"/>
      <c r="M34" s="555">
        <f>+SUMIF(WRM!$C$7:$C$119,$D34,WRM!$L$7:$L$119)</f>
        <v>108.64999999999999</v>
      </c>
      <c r="N34" s="630"/>
      <c r="O34" s="630">
        <f t="shared" si="1"/>
        <v>338.25</v>
      </c>
      <c r="P34" s="555"/>
      <c r="Q34" s="555">
        <f>+SUMIF(WRM!$C$7:$C$119,$D34,WRM!P$7:$P$119)</f>
        <v>461.25</v>
      </c>
      <c r="R34" s="630"/>
      <c r="S34" s="630">
        <f t="shared" si="41"/>
        <v>799.5</v>
      </c>
      <c r="T34" s="555"/>
      <c r="U34" s="555">
        <f>+SUMIF(WRM!$C$7:$C$119,$D34,WRM!$T$7:T$119)</f>
        <v>0</v>
      </c>
      <c r="V34" s="630"/>
      <c r="W34" s="630">
        <f t="shared" si="3"/>
        <v>799.5</v>
      </c>
      <c r="X34" s="630"/>
      <c r="Y34" s="555">
        <f>+SUMIF(WRM!$C$7:$C$119,$D34,WRM!$X$7:X$119)</f>
        <v>928.65000000000009</v>
      </c>
      <c r="Z34" s="630"/>
      <c r="AA34" s="2331">
        <f t="shared" si="4"/>
        <v>1389.9</v>
      </c>
      <c r="AB34" s="2391"/>
      <c r="AC34" s="1175">
        <f t="shared" si="5"/>
        <v>1728.15</v>
      </c>
      <c r="AD34" s="630"/>
      <c r="AE34" s="555">
        <f>+SUMIF(WRM!$C$7:$C$119,$D34,WRM!$AD$7:$AD$119)</f>
        <v>0</v>
      </c>
      <c r="AF34" s="630"/>
      <c r="AG34" s="630">
        <f t="shared" si="6"/>
        <v>1728.15</v>
      </c>
      <c r="AH34" s="630"/>
      <c r="AI34" s="555">
        <f>+SUMIF(WRM!$C$7:$C$119,$D34,WRM!$AH$7:$AH$119)</f>
        <v>0</v>
      </c>
      <c r="AJ34" s="625"/>
      <c r="AK34" s="625">
        <f t="shared" si="7"/>
        <v>1728.15</v>
      </c>
      <c r="AL34" s="630"/>
      <c r="AM34" s="555">
        <f>+SUMIF(WRM!$C$7:$C$119,$D34,WRM!$AL$7:$AL$119)</f>
        <v>202.95</v>
      </c>
      <c r="AN34" s="630"/>
      <c r="AO34" s="2331">
        <f t="shared" si="8"/>
        <v>202.95</v>
      </c>
      <c r="AP34" s="625"/>
      <c r="AQ34" s="625">
        <f t="shared" si="9"/>
        <v>1931.1000000000001</v>
      </c>
      <c r="AR34" s="630"/>
      <c r="AS34" s="555">
        <f>+SUMIF(WRM!$C$7:$C$119,$D34,WRM!$AR$7:$AR$119)</f>
        <v>885.59999999999991</v>
      </c>
      <c r="AT34" s="625"/>
      <c r="AU34" s="625">
        <f t="shared" si="10"/>
        <v>2816.7</v>
      </c>
      <c r="AV34" s="630"/>
      <c r="AW34" s="555">
        <f>+SUMIF(WRM!$C$7:$C$119,$D34,WRM!$AV$7:$AV$119)</f>
        <v>0</v>
      </c>
      <c r="AX34" s="625"/>
      <c r="AY34" s="625">
        <f t="shared" si="11"/>
        <v>2816.7</v>
      </c>
      <c r="AZ34" s="630"/>
      <c r="BA34" s="555">
        <f>+SUMIF(WRM!$C$7:$C$119,$D34,WRM!$AZ$7:$AZ$119)</f>
        <v>381.3</v>
      </c>
      <c r="BB34" s="630"/>
      <c r="BC34" s="2331">
        <f t="shared" si="12"/>
        <v>1266.8999999999999</v>
      </c>
      <c r="BD34" s="2391"/>
      <c r="BE34" s="1175">
        <f t="shared" si="13"/>
        <v>1469.85</v>
      </c>
      <c r="BF34" s="630"/>
      <c r="BG34" s="625">
        <f t="shared" si="14"/>
        <v>3198</v>
      </c>
      <c r="BH34" s="26"/>
      <c r="BI34" s="26"/>
      <c r="BJ34" s="26"/>
    </row>
    <row r="35" spans="3:62" x14ac:dyDescent="0.3">
      <c r="C35" s="554" t="s">
        <v>16</v>
      </c>
      <c r="D35" s="1638" t="s">
        <v>1535</v>
      </c>
      <c r="E35" s="6285"/>
      <c r="F35" s="554"/>
      <c r="G35" s="555">
        <f>+SUMIF(WRM!$C$7:$C$119,$D35,WRM!$F$7:$F$119)</f>
        <v>0</v>
      </c>
      <c r="H35" s="555"/>
      <c r="I35" s="555">
        <f>+SUMIF(WRM!$C$7:$C$119,$D35,WRM!$H$7:$H$119)</f>
        <v>0</v>
      </c>
      <c r="J35" s="625"/>
      <c r="K35" s="625">
        <f t="shared" si="0"/>
        <v>0</v>
      </c>
      <c r="L35" s="555"/>
      <c r="M35" s="555">
        <f>+SUMIF(WRM!$C$7:$C$119,$D35,WRM!$L$7:$L$119)</f>
        <v>0</v>
      </c>
      <c r="N35" s="630"/>
      <c r="O35" s="630">
        <f t="shared" si="1"/>
        <v>0</v>
      </c>
      <c r="P35" s="555"/>
      <c r="Q35" s="555">
        <f>+SUMIF(WRM!$C$7:$C$119,$D35,WRM!P$7:$P$119)</f>
        <v>0</v>
      </c>
      <c r="R35" s="630"/>
      <c r="S35" s="630">
        <f t="shared" si="41"/>
        <v>0</v>
      </c>
      <c r="T35" s="555"/>
      <c r="U35" s="555">
        <f>+SUMIF(WRM!$C$7:$C$119,$D35,WRM!$T$7:T$119)</f>
        <v>0</v>
      </c>
      <c r="V35" s="630"/>
      <c r="W35" s="630">
        <f t="shared" si="3"/>
        <v>0</v>
      </c>
      <c r="X35" s="630"/>
      <c r="Y35" s="555">
        <f>+SUMIF(WRM!$C$7:$C$119,$D35,WRM!$X$7:X$119)</f>
        <v>0</v>
      </c>
      <c r="Z35" s="630"/>
      <c r="AA35" s="2331">
        <f t="shared" si="4"/>
        <v>0</v>
      </c>
      <c r="AB35" s="2391"/>
      <c r="AC35" s="1175">
        <f t="shared" si="5"/>
        <v>0</v>
      </c>
      <c r="AD35" s="630"/>
      <c r="AE35" s="555">
        <f>+SUMIF(WRM!$C$7:$C$119,$D35,WRM!$AD$7:$AD$119)</f>
        <v>0</v>
      </c>
      <c r="AF35" s="630"/>
      <c r="AG35" s="630">
        <f t="shared" si="6"/>
        <v>0</v>
      </c>
      <c r="AH35" s="630"/>
      <c r="AI35" s="555">
        <f>+SUMIF(WRM!$C$7:$C$119,$D35,WRM!$AH$7:$AH$119)</f>
        <v>0</v>
      </c>
      <c r="AJ35" s="625"/>
      <c r="AK35" s="625">
        <f t="shared" si="7"/>
        <v>0</v>
      </c>
      <c r="AL35" s="630"/>
      <c r="AM35" s="555">
        <f>+SUMIF(WRM!$C$7:$C$119,$D35,WRM!$AL$7:$AL$119)</f>
        <v>0</v>
      </c>
      <c r="AN35" s="630"/>
      <c r="AO35" s="2331">
        <f t="shared" si="8"/>
        <v>0</v>
      </c>
      <c r="AP35" s="625"/>
      <c r="AQ35" s="625">
        <f t="shared" si="9"/>
        <v>0</v>
      </c>
      <c r="AR35" s="630"/>
      <c r="AS35" s="555">
        <f>+SUMIF(WRM!$C$7:$C$119,$D35,WRM!$AR$7:$AR$119)</f>
        <v>0</v>
      </c>
      <c r="AT35" s="625"/>
      <c r="AU35" s="625">
        <f t="shared" si="10"/>
        <v>0</v>
      </c>
      <c r="AV35" s="630"/>
      <c r="AW35" s="555">
        <f>+SUMIF(WRM!$C$7:$C$119,$D35,WRM!$AV$7:$AV$119)</f>
        <v>0</v>
      </c>
      <c r="AX35" s="625"/>
      <c r="AY35" s="625">
        <f t="shared" si="11"/>
        <v>0</v>
      </c>
      <c r="AZ35" s="630"/>
      <c r="BA35" s="555">
        <f>+SUMIF(WRM!$C$7:$C$119,$D35,WRM!$AZ$7:$AZ$119)</f>
        <v>0</v>
      </c>
      <c r="BB35" s="630"/>
      <c r="BC35" s="2331">
        <f t="shared" si="12"/>
        <v>0</v>
      </c>
      <c r="BD35" s="2391"/>
      <c r="BE35" s="1175">
        <f t="shared" si="13"/>
        <v>0</v>
      </c>
      <c r="BF35" s="630"/>
      <c r="BG35" s="625">
        <f t="shared" si="14"/>
        <v>0</v>
      </c>
      <c r="BH35" s="26"/>
      <c r="BI35" s="26"/>
      <c r="BJ35" s="26"/>
    </row>
    <row r="36" spans="3:62" x14ac:dyDescent="0.3">
      <c r="C36" s="554" t="s">
        <v>16</v>
      </c>
      <c r="D36" s="1638" t="s">
        <v>1477</v>
      </c>
      <c r="E36" s="6285"/>
      <c r="F36" s="554"/>
      <c r="G36" s="555">
        <f>+SUMIF(WRM!$C$7:$C$119,$D36,WRM!$F$7:$F$119)</f>
        <v>412.05</v>
      </c>
      <c r="H36" s="555"/>
      <c r="I36" s="555">
        <f>+SUMIF(WRM!$C$7:$C$119,$D36,WRM!$H$7:$H$119)</f>
        <v>200.89999999999998</v>
      </c>
      <c r="J36" s="625"/>
      <c r="K36" s="625">
        <f t="shared" si="0"/>
        <v>612.95000000000005</v>
      </c>
      <c r="L36" s="555"/>
      <c r="M36" s="555">
        <f>+SUMIF(WRM!$C$7:$C$119,$D36,WRM!$L$7:$L$119)</f>
        <v>680.6</v>
      </c>
      <c r="N36" s="630"/>
      <c r="O36" s="630">
        <f t="shared" si="1"/>
        <v>1293.5500000000002</v>
      </c>
      <c r="P36" s="555"/>
      <c r="Q36" s="555">
        <f>+SUMIF(WRM!$C$7:$C$119,$D36,WRM!P$7:$P$119)</f>
        <v>1246.4000000000001</v>
      </c>
      <c r="R36" s="630"/>
      <c r="S36" s="630">
        <f t="shared" si="41"/>
        <v>2539.9500000000003</v>
      </c>
      <c r="T36" s="555"/>
      <c r="U36" s="555">
        <f>+SUMIF(WRM!$C$7:$C$119,$D36,WRM!$T$7:T$119)</f>
        <v>0</v>
      </c>
      <c r="V36" s="630"/>
      <c r="W36" s="630">
        <f t="shared" si="3"/>
        <v>2539.9500000000003</v>
      </c>
      <c r="X36" s="630"/>
      <c r="Y36" s="555">
        <f>+SUMIF(WRM!$C$7:$C$119,$D36,WRM!$X$7:X$119)</f>
        <v>3169.3</v>
      </c>
      <c r="Z36" s="630"/>
      <c r="AA36" s="2331">
        <f t="shared" si="4"/>
        <v>4415.7000000000007</v>
      </c>
      <c r="AB36" s="2391"/>
      <c r="AC36" s="1175">
        <f t="shared" si="5"/>
        <v>5709.2500000000009</v>
      </c>
      <c r="AD36" s="630"/>
      <c r="AE36" s="555">
        <f>+SUMIF(WRM!$C$7:$C$119,$D36,WRM!$AD$7:$AD$119)</f>
        <v>414.1</v>
      </c>
      <c r="AF36" s="630"/>
      <c r="AG36" s="630">
        <f t="shared" si="6"/>
        <v>6123.3500000000013</v>
      </c>
      <c r="AH36" s="630"/>
      <c r="AI36" s="555">
        <f>+SUMIF(WRM!$C$7:$C$119,$D36,WRM!$AH$7:$AH$119)</f>
        <v>184.5</v>
      </c>
      <c r="AJ36" s="625"/>
      <c r="AK36" s="625">
        <f t="shared" si="7"/>
        <v>6307.8500000000013</v>
      </c>
      <c r="AL36" s="630"/>
      <c r="AM36" s="555">
        <f>+SUMIF(WRM!$C$7:$C$119,$D36,WRM!$AL$7:$AL$119)</f>
        <v>280.85000000000002</v>
      </c>
      <c r="AN36" s="630"/>
      <c r="AO36" s="2331">
        <f t="shared" si="8"/>
        <v>879.45</v>
      </c>
      <c r="AP36" s="625"/>
      <c r="AQ36" s="625">
        <f t="shared" si="9"/>
        <v>6588.7000000000016</v>
      </c>
      <c r="AR36" s="630"/>
      <c r="AS36" s="555">
        <f>+SUMIF(WRM!$C$7:$C$119,$D36,WRM!$AR$7:$AR$119)</f>
        <v>756.45</v>
      </c>
      <c r="AT36" s="625"/>
      <c r="AU36" s="625">
        <f t="shared" si="10"/>
        <v>7345.1500000000015</v>
      </c>
      <c r="AV36" s="630"/>
      <c r="AW36" s="555">
        <f>+SUMIF(WRM!$C$7:$C$119,$D36,WRM!$AV$7:$AV$119)</f>
        <v>0</v>
      </c>
      <c r="AX36" s="625"/>
      <c r="AY36" s="625">
        <f t="shared" si="11"/>
        <v>7345.1500000000015</v>
      </c>
      <c r="AZ36" s="630"/>
      <c r="BA36" s="555">
        <f>+SUMIF(WRM!$C$7:$C$119,$D36,WRM!$AZ$7:$AZ$119)</f>
        <v>397.7</v>
      </c>
      <c r="BB36" s="630"/>
      <c r="BC36" s="2331">
        <f t="shared" si="12"/>
        <v>1154.1500000000001</v>
      </c>
      <c r="BD36" s="2391"/>
      <c r="BE36" s="1175">
        <f t="shared" si="13"/>
        <v>2033.6000000000001</v>
      </c>
      <c r="BF36" s="630"/>
      <c r="BG36" s="625">
        <f t="shared" si="14"/>
        <v>7742.8500000000013</v>
      </c>
      <c r="BH36" s="26"/>
      <c r="BI36" s="26"/>
      <c r="BJ36" s="26"/>
    </row>
    <row r="37" spans="3:62" x14ac:dyDescent="0.3">
      <c r="C37" s="8000" t="s">
        <v>968</v>
      </c>
      <c r="D37" s="8000"/>
      <c r="E37" s="6285"/>
      <c r="F37" s="634"/>
      <c r="G37" s="635">
        <f>SUM(G4:G36)</f>
        <v>35403.480000000003</v>
      </c>
      <c r="H37" s="635"/>
      <c r="I37" s="635">
        <f>SUM(I4:I36)</f>
        <v>36323.949999999997</v>
      </c>
      <c r="J37" s="635"/>
      <c r="K37" s="636">
        <f>SUM(K4:K36)</f>
        <v>71727.430000000008</v>
      </c>
      <c r="L37" s="635"/>
      <c r="M37" s="635">
        <f>SUM(M4:M36)</f>
        <v>36891.800000000003</v>
      </c>
      <c r="N37" s="635"/>
      <c r="O37" s="635">
        <f>SUM(O4:O36)</f>
        <v>108619.23000000003</v>
      </c>
      <c r="P37" s="635"/>
      <c r="Q37" s="635">
        <f>SUM(Q4:Q36)</f>
        <v>35795.05000000001</v>
      </c>
      <c r="R37" s="635"/>
      <c r="S37" s="635">
        <f>SUM(S4:S36)</f>
        <v>144414.28000000003</v>
      </c>
      <c r="T37" s="635"/>
      <c r="U37" s="635">
        <f>SUM(U4:U36)</f>
        <v>40928.25</v>
      </c>
      <c r="V37" s="635"/>
      <c r="W37" s="635">
        <f>SUM(W4:W36)</f>
        <v>185342.53000000009</v>
      </c>
      <c r="X37" s="635"/>
      <c r="Y37" s="635">
        <f>SUM(Y4:Y36)</f>
        <v>40813.449999999997</v>
      </c>
      <c r="Z37" s="635"/>
      <c r="AA37" s="2332">
        <f>SUM(AA4:AA36)</f>
        <v>117536.75</v>
      </c>
      <c r="AB37" s="2391"/>
      <c r="AC37" s="2332">
        <f t="shared" si="5"/>
        <v>226155.98000000004</v>
      </c>
      <c r="AD37" s="635"/>
      <c r="AE37" s="635">
        <f>SUM(AE4:AE36)</f>
        <v>40696.590000000004</v>
      </c>
      <c r="AF37" s="635"/>
      <c r="AG37" s="635">
        <f>SUM(AG4:AG36)</f>
        <v>266852.57</v>
      </c>
      <c r="AH37" s="635"/>
      <c r="AI37" s="635">
        <f>SUM(AI4:AI36)</f>
        <v>19950.600000000002</v>
      </c>
      <c r="AJ37" s="635"/>
      <c r="AK37" s="635">
        <f>SUM(AK4:AK36)</f>
        <v>286803.17000000004</v>
      </c>
      <c r="AL37" s="635"/>
      <c r="AM37" s="635">
        <f>SUM(AM4:AM36)</f>
        <v>38943.850000000006</v>
      </c>
      <c r="AN37" s="635"/>
      <c r="AO37" s="2332">
        <f>SUM(AO4:AO36)</f>
        <v>99591.040000000037</v>
      </c>
      <c r="AP37" s="635"/>
      <c r="AQ37" s="635">
        <f>SUM(AQ4:AQ36)</f>
        <v>325747.02</v>
      </c>
      <c r="AR37" s="635"/>
      <c r="AS37" s="635">
        <f>SUM(AS4:AS36)</f>
        <v>38226.35</v>
      </c>
      <c r="AT37" s="635"/>
      <c r="AU37" s="635">
        <f>SUM(AU4:AU36)</f>
        <v>363973.37000000005</v>
      </c>
      <c r="AV37" s="630"/>
      <c r="AW37" s="635">
        <f>SUM(AW4:AW36)</f>
        <v>33339.050000000003</v>
      </c>
      <c r="AX37" s="635"/>
      <c r="AY37" s="635">
        <f>SUM(AY4:AY36)</f>
        <v>397312.42000000004</v>
      </c>
      <c r="AZ37" s="630"/>
      <c r="BA37" s="635">
        <f>SUM(BA4:BA36)</f>
        <v>41500.200000000019</v>
      </c>
      <c r="BB37" s="630"/>
      <c r="BC37" s="2332">
        <f>SUM(BC4:BC36)</f>
        <v>113065.59999999998</v>
      </c>
      <c r="BD37" s="2391"/>
      <c r="BE37" s="2332">
        <f>AO37+BC37</f>
        <v>212656.64000000001</v>
      </c>
      <c r="BF37" s="630"/>
      <c r="BG37" s="635">
        <f>SUM(BG4:BG36)</f>
        <v>438812.61999999988</v>
      </c>
      <c r="BH37" s="4713"/>
      <c r="BI37" s="26"/>
      <c r="BJ37" s="26"/>
    </row>
    <row r="38" spans="3:62" x14ac:dyDescent="0.3">
      <c r="C38" s="554" t="s">
        <v>91</v>
      </c>
      <c r="D38" s="554" t="s">
        <v>1044</v>
      </c>
      <c r="E38" s="6285"/>
      <c r="F38" s="554"/>
      <c r="G38" s="555">
        <f>+SUMIF(BM!$C$7:$C$40,$D38,BM!$F$7:$F$40)</f>
        <v>8938.2249999999985</v>
      </c>
      <c r="H38" s="555"/>
      <c r="I38" s="555">
        <f>+SUMIF(BM!$C$7:$C$40,$D38,BM!$H$7:$H$40)</f>
        <v>19895.290000000015</v>
      </c>
      <c r="J38" s="625"/>
      <c r="K38" s="625">
        <f t="shared" ref="K38:K74" si="53">+G38+I38</f>
        <v>28833.515000000014</v>
      </c>
      <c r="L38" s="555"/>
      <c r="M38" s="555">
        <f>+SUMIF(BM!$C$7:$C$40,$D38,BM!$L$7:$L$40)</f>
        <v>17825.280000000021</v>
      </c>
      <c r="N38" s="630"/>
      <c r="O38" s="630">
        <f t="shared" ref="O38:O74" si="54">+G38+I38+M38</f>
        <v>46658.795000000035</v>
      </c>
      <c r="P38" s="555"/>
      <c r="Q38" s="555">
        <f>+SUMIF(BM!$C$7:$C$40,$D38,BM!$P$7:$P$40)</f>
        <v>28577.170000000027</v>
      </c>
      <c r="R38" s="630"/>
      <c r="S38" s="630">
        <f t="shared" si="41"/>
        <v>75235.965000000055</v>
      </c>
      <c r="T38" s="555"/>
      <c r="U38" s="555">
        <f>+SUMIF(BM!$C$7:$C$40,$D38,BM!$T$7:$T$40)</f>
        <v>33213.27600000002</v>
      </c>
      <c r="V38" s="630"/>
      <c r="W38" s="630">
        <f t="shared" ref="W38:W43" si="55">S38+U38</f>
        <v>108449.24100000007</v>
      </c>
      <c r="X38" s="630"/>
      <c r="Y38" s="555">
        <f>+SUMIF(BM!$C$7:$C$40,$D38,BM!$X$7:$X$40)</f>
        <v>20386.04500000002</v>
      </c>
      <c r="Z38" s="630"/>
      <c r="AA38" s="2331">
        <f>Q38+U38+Y38</f>
        <v>82176.491000000067</v>
      </c>
      <c r="AB38" s="2391"/>
      <c r="AC38" s="1175">
        <f t="shared" si="5"/>
        <v>128835.28600000011</v>
      </c>
      <c r="AD38" s="630"/>
      <c r="AE38" s="555">
        <f>+SUMIF(BM!$C$7:$C$40,$D38,BM!$AD$7:$AD$40)</f>
        <v>18856.439999999999</v>
      </c>
      <c r="AF38" s="630"/>
      <c r="AG38" s="630">
        <f t="shared" ref="AG38:AG43" si="56">AC38+AE38</f>
        <v>147691.72600000011</v>
      </c>
      <c r="AH38" s="630"/>
      <c r="AI38" s="555">
        <f>+SUMIF(BM!$C$7:$C$40,$D38,BM!$AH$7:$AH$40)</f>
        <v>1674.8249999999998</v>
      </c>
      <c r="AJ38" s="630"/>
      <c r="AK38" s="625">
        <f t="shared" ref="AK38:AK43" si="57">AG38+AI38</f>
        <v>149366.55100000012</v>
      </c>
      <c r="AL38" s="630"/>
      <c r="AM38" s="555">
        <f>+SUMIF(BM!$C$7:$C$40,$D38,BM!$AL$7:$AL$40)</f>
        <v>16538.060000000005</v>
      </c>
      <c r="AN38" s="630"/>
      <c r="AO38" s="2331">
        <f>AE38+AI38+AM38</f>
        <v>37069.325000000004</v>
      </c>
      <c r="AP38" s="630"/>
      <c r="AQ38" s="625">
        <f t="shared" ref="AQ38:AQ43" si="58">AK38+AM38</f>
        <v>165904.61100000012</v>
      </c>
      <c r="AR38" s="630"/>
      <c r="AS38" s="555">
        <f>+SUMIF(BM!$C$7:$C$40,$D38,BM!$AR$7:$AR$40)</f>
        <v>12937.125000000004</v>
      </c>
      <c r="AT38" s="630"/>
      <c r="AU38" s="625">
        <f t="shared" ref="AU38:AU43" si="59">AQ38+AS38</f>
        <v>178841.73600000012</v>
      </c>
      <c r="AV38" s="630"/>
      <c r="AW38" s="555">
        <f>+SUMIF(BM!$C$7:$C$40,$D38,BM!$AV$7:$AV$40)</f>
        <v>20498.365000000005</v>
      </c>
      <c r="AX38" s="630"/>
      <c r="AY38" s="625">
        <f t="shared" ref="AY38:AY43" si="60">AU38+AW38</f>
        <v>199340.10100000014</v>
      </c>
      <c r="AZ38" s="630"/>
      <c r="BA38" s="555">
        <f>+SUMIF(BM!$C$7:$C$40,$D38,BM!$AZ$7:$AZ$40)</f>
        <v>16234.730000000005</v>
      </c>
      <c r="BB38" s="630"/>
      <c r="BC38" s="2331">
        <f>AS38+AW38+BA38</f>
        <v>49670.220000000008</v>
      </c>
      <c r="BD38" s="2391"/>
      <c r="BE38" s="1175">
        <f t="shared" si="13"/>
        <v>86739.545000000013</v>
      </c>
      <c r="BF38" s="630"/>
      <c r="BG38" s="625">
        <f t="shared" si="14"/>
        <v>215574.83100000015</v>
      </c>
      <c r="BH38" s="26"/>
      <c r="BI38" s="26"/>
      <c r="BJ38" s="26"/>
    </row>
    <row r="39" spans="3:62" x14ac:dyDescent="0.3">
      <c r="C39" s="554" t="s">
        <v>91</v>
      </c>
      <c r="D39" s="554" t="s">
        <v>1045</v>
      </c>
      <c r="E39" s="6285"/>
      <c r="F39" s="554"/>
      <c r="G39" s="555">
        <f>+SUMIF(BM!$C$7:$C$40,$D39,BM!$F$7:$F$40)</f>
        <v>23478.605000000014</v>
      </c>
      <c r="H39" s="555"/>
      <c r="I39" s="555">
        <f>+SUMIF(BM!$C$7:$C$40,$D39,BM!$H$7:$H$40)</f>
        <v>26257.105000000018</v>
      </c>
      <c r="J39" s="625"/>
      <c r="K39" s="625">
        <f t="shared" si="53"/>
        <v>49735.710000000036</v>
      </c>
      <c r="L39" s="555"/>
      <c r="M39" s="555">
        <f>+SUMIF(BM!$C$7:$C$40,$D39,BM!$L$7:$L$40)</f>
        <v>6337.454999999999</v>
      </c>
      <c r="N39" s="630"/>
      <c r="O39" s="630">
        <f t="shared" si="54"/>
        <v>56073.165000000037</v>
      </c>
      <c r="P39" s="555"/>
      <c r="Q39" s="555">
        <f>+SUMIF(BM!$C$7:$C$40,$D39,BM!$P$7:$P$40)</f>
        <v>14871.390000000003</v>
      </c>
      <c r="R39" s="630"/>
      <c r="S39" s="630">
        <f t="shared" si="41"/>
        <v>70944.555000000037</v>
      </c>
      <c r="T39" s="555"/>
      <c r="U39" s="555">
        <f>+SUMIF(BM!$C$7:$C$40,$D39,BM!$T$7:$T$40)</f>
        <v>16333.137000000002</v>
      </c>
      <c r="V39" s="630"/>
      <c r="W39" s="630">
        <f t="shared" si="55"/>
        <v>87277.692000000039</v>
      </c>
      <c r="X39" s="630"/>
      <c r="Y39" s="555">
        <f>+SUMIF(BM!$C$7:$C$40,$D39,BM!$X$7:$X$40)</f>
        <v>23319.195</v>
      </c>
      <c r="Z39" s="630"/>
      <c r="AA39" s="2331">
        <f t="shared" ref="AA39:AA43" si="61">Q39+U39+Y39</f>
        <v>54523.722000000009</v>
      </c>
      <c r="AB39" s="2391"/>
      <c r="AC39" s="1175">
        <f t="shared" si="5"/>
        <v>110596.88700000005</v>
      </c>
      <c r="AD39" s="630"/>
      <c r="AE39" s="555">
        <f>+SUMIF(BM!$C$7:$C$40,$D39,BM!$AD$7:$AD$40)</f>
        <v>11991.88</v>
      </c>
      <c r="AF39" s="630"/>
      <c r="AG39" s="630">
        <f t="shared" si="56"/>
        <v>122588.76700000005</v>
      </c>
      <c r="AH39" s="630"/>
      <c r="AI39" s="555">
        <f>+SUMIF(BM!$C$7:$C$40,$D39,BM!$AH$7:$AH$40)</f>
        <v>0</v>
      </c>
      <c r="AJ39" s="630"/>
      <c r="AK39" s="625">
        <f t="shared" si="57"/>
        <v>122588.76700000005</v>
      </c>
      <c r="AL39" s="630"/>
      <c r="AM39" s="555">
        <f>+SUMIF(BM!$C$7:$C$40,$D39,BM!$AL$7:$AL$40)</f>
        <v>19161.365000000013</v>
      </c>
      <c r="AN39" s="630"/>
      <c r="AO39" s="2331">
        <f t="shared" ref="AO39:AO43" si="62">AE39+AI39+AM39</f>
        <v>31153.24500000001</v>
      </c>
      <c r="AP39" s="630"/>
      <c r="AQ39" s="625">
        <f t="shared" si="58"/>
        <v>141750.13200000007</v>
      </c>
      <c r="AR39" s="630"/>
      <c r="AS39" s="555">
        <f>+SUMIF(BM!$C$7:$C$40,$D39,BM!$AR$7:$AR$40)</f>
        <v>19081.88</v>
      </c>
      <c r="AT39" s="630"/>
      <c r="AU39" s="625">
        <f t="shared" si="59"/>
        <v>160832.01200000008</v>
      </c>
      <c r="AV39" s="635"/>
      <c r="AW39" s="555">
        <f>+SUMIF(BM!$C$7:$C$40,$D39,BM!$AV$7:$AV$40)</f>
        <v>13546.21000000001</v>
      </c>
      <c r="AX39" s="630"/>
      <c r="AY39" s="625">
        <f t="shared" si="60"/>
        <v>174378.2220000001</v>
      </c>
      <c r="AZ39" s="635"/>
      <c r="BA39" s="555">
        <f>+SUMIF(BM!$C$7:$C$40,$D39,BM!$AZ$7:$AZ$40)</f>
        <v>26490.700000000019</v>
      </c>
      <c r="BB39" s="635"/>
      <c r="BC39" s="2331">
        <f t="shared" ref="BC39:BC43" si="63">AS39+AW39+BA39</f>
        <v>59118.79000000003</v>
      </c>
      <c r="BD39" s="2391"/>
      <c r="BE39" s="1175">
        <f t="shared" si="13"/>
        <v>90272.035000000033</v>
      </c>
      <c r="BF39" s="635"/>
      <c r="BG39" s="625">
        <f t="shared" si="14"/>
        <v>200868.92200000011</v>
      </c>
      <c r="BH39" s="26"/>
      <c r="BI39" s="26"/>
      <c r="BJ39" s="26"/>
    </row>
    <row r="40" spans="3:62" x14ac:dyDescent="0.3">
      <c r="C40" s="554" t="s">
        <v>91</v>
      </c>
      <c r="D40" s="554" t="s">
        <v>1149</v>
      </c>
      <c r="E40" s="6285"/>
      <c r="F40" s="554"/>
      <c r="G40" s="555">
        <f>+SUMIF(BM!$C$7:$C$40,$D40,BM!$F$7:$F$40)</f>
        <v>31546.220000000012</v>
      </c>
      <c r="H40" s="555"/>
      <c r="I40" s="555">
        <f>+SUMIF(BM!$C$7:$C$40,$D40,BM!$H$7:$H$40)</f>
        <v>29282.950000000026</v>
      </c>
      <c r="J40" s="625"/>
      <c r="K40" s="625">
        <f t="shared" si="53"/>
        <v>60829.170000000042</v>
      </c>
      <c r="L40" s="555"/>
      <c r="M40" s="555">
        <f>+SUMIF(BM!$C$7:$C$40,$D40,BM!$L$7:$L$40)</f>
        <v>23975.393000000033</v>
      </c>
      <c r="N40" s="630"/>
      <c r="O40" s="630">
        <f t="shared" si="54"/>
        <v>84804.563000000082</v>
      </c>
      <c r="P40" s="555"/>
      <c r="Q40" s="555">
        <f>+SUMIF(BM!$C$7:$C$40,$D40,BM!$P$7:$P$40)</f>
        <v>24292.735000000041</v>
      </c>
      <c r="R40" s="630"/>
      <c r="S40" s="630">
        <f t="shared" si="41"/>
        <v>109097.29800000013</v>
      </c>
      <c r="T40" s="555"/>
      <c r="U40" s="555">
        <f>+SUMIF(BM!$C$7:$C$40,$D40,BM!$T$7:$T$40)</f>
        <v>21617.730000000025</v>
      </c>
      <c r="V40" s="630"/>
      <c r="W40" s="630">
        <f t="shared" si="55"/>
        <v>130715.02800000015</v>
      </c>
      <c r="X40" s="630"/>
      <c r="Y40" s="555">
        <f>+SUMIF(BM!$C$7:$C$40,$D40,BM!$X$7:$X$40)</f>
        <v>24613.715000000018</v>
      </c>
      <c r="Z40" s="630"/>
      <c r="AA40" s="2331">
        <f t="shared" si="61"/>
        <v>70524.18000000008</v>
      </c>
      <c r="AB40" s="2391"/>
      <c r="AC40" s="1175">
        <f t="shared" si="5"/>
        <v>155328.74300000016</v>
      </c>
      <c r="AD40" s="630"/>
      <c r="AE40" s="555">
        <f>+SUMIF(BM!$C$7:$C$40,$D40,BM!$AD$7:$AD$40)</f>
        <v>34364.19</v>
      </c>
      <c r="AF40" s="630"/>
      <c r="AG40" s="630">
        <f t="shared" si="56"/>
        <v>189692.93300000016</v>
      </c>
      <c r="AH40" s="630"/>
      <c r="AI40" s="555">
        <f>+SUMIF(BM!$C$7:$C$40,$D40,BM!$AH$7:$AH$40)</f>
        <v>1494.8950000000002</v>
      </c>
      <c r="AJ40" s="630"/>
      <c r="AK40" s="625">
        <f t="shared" si="57"/>
        <v>191187.82800000015</v>
      </c>
      <c r="AL40" s="630"/>
      <c r="AM40" s="555">
        <f>+SUMIF(BM!$C$7:$C$40,$D40,BM!$AL$7:$AL$40)</f>
        <v>33898.930000000044</v>
      </c>
      <c r="AN40" s="630"/>
      <c r="AO40" s="2331">
        <f t="shared" si="62"/>
        <v>69758.015000000043</v>
      </c>
      <c r="AP40" s="630"/>
      <c r="AQ40" s="625">
        <f t="shared" si="58"/>
        <v>225086.75800000021</v>
      </c>
      <c r="AR40" s="630"/>
      <c r="AS40" s="555">
        <f>+SUMIF(BM!$C$7:$C$40,$D40,BM!$AR$7:$AR$40)</f>
        <v>35524.17500000009</v>
      </c>
      <c r="AT40" s="630"/>
      <c r="AU40" s="625">
        <f t="shared" si="59"/>
        <v>260610.93300000031</v>
      </c>
      <c r="AV40" s="630"/>
      <c r="AW40" s="555">
        <f>+SUMIF(BM!$C$7:$C$40,$D40,BM!$AV$7:$AV$40)</f>
        <v>28920.870000000039</v>
      </c>
      <c r="AX40" s="630"/>
      <c r="AY40" s="625">
        <f t="shared" si="60"/>
        <v>289531.80300000036</v>
      </c>
      <c r="AZ40" s="630"/>
      <c r="BA40" s="555">
        <f>+SUMIF(BM!$C$7:$C$40,$D40,BM!$AZ$7:$AZ$40)</f>
        <v>35285.180000000037</v>
      </c>
      <c r="BB40" s="630"/>
      <c r="BC40" s="2331">
        <f t="shared" si="63"/>
        <v>99730.225000000166</v>
      </c>
      <c r="BD40" s="2391"/>
      <c r="BE40" s="1175">
        <f t="shared" si="13"/>
        <v>169488.24000000022</v>
      </c>
      <c r="BF40" s="630"/>
      <c r="BG40" s="625">
        <f t="shared" si="14"/>
        <v>324816.98300000041</v>
      </c>
      <c r="BH40" s="26"/>
      <c r="BI40" s="26"/>
      <c r="BJ40" s="26"/>
    </row>
    <row r="41" spans="3:62" s="2649" customFormat="1" x14ac:dyDescent="0.3">
      <c r="C41" s="554" t="s">
        <v>91</v>
      </c>
      <c r="D41" s="554" t="s">
        <v>1127</v>
      </c>
      <c r="E41" s="6285"/>
      <c r="F41" s="554"/>
      <c r="G41" s="555">
        <f>+SUMIF(BM!$C$7:$C$40,$D41,BM!$F$7:$F$40)</f>
        <v>0</v>
      </c>
      <c r="H41" s="555"/>
      <c r="I41" s="555">
        <f>+SUMIF(BM!$C$7:$C$40,$D41,BM!$H$7:$H$40)</f>
        <v>137.01500000000001</v>
      </c>
      <c r="J41" s="625"/>
      <c r="K41" s="625">
        <f t="shared" si="53"/>
        <v>137.01500000000001</v>
      </c>
      <c r="L41" s="555"/>
      <c r="M41" s="555">
        <f>+SUMIF(BM!$C$7:$C$40,$D41,BM!$L$7:$L$40)</f>
        <v>0</v>
      </c>
      <c r="N41" s="630"/>
      <c r="O41" s="630">
        <f t="shared" si="54"/>
        <v>137.01500000000001</v>
      </c>
      <c r="P41" s="555"/>
      <c r="Q41" s="555">
        <f>+SUMIF(BM!$C$7:$C$40,$D41,BM!$P$7:$P$40)</f>
        <v>0</v>
      </c>
      <c r="R41" s="630"/>
      <c r="S41" s="630">
        <f t="shared" si="41"/>
        <v>137.01500000000001</v>
      </c>
      <c r="T41" s="555"/>
      <c r="U41" s="555">
        <f>+SUMIF(BM!$C$7:$C$40,$D41,BM!$T$7:$T$40)</f>
        <v>0</v>
      </c>
      <c r="V41" s="630"/>
      <c r="W41" s="630">
        <f t="shared" si="55"/>
        <v>137.01500000000001</v>
      </c>
      <c r="X41" s="630"/>
      <c r="Y41" s="555">
        <f>+SUMIF(BM!$C$7:$C$40,$D41,BM!$X$7:$X$40)</f>
        <v>0</v>
      </c>
      <c r="Z41" s="630"/>
      <c r="AA41" s="2331">
        <f t="shared" si="61"/>
        <v>0</v>
      </c>
      <c r="AB41" s="2391"/>
      <c r="AC41" s="1175">
        <f t="shared" si="5"/>
        <v>137.01500000000001</v>
      </c>
      <c r="AD41" s="630"/>
      <c r="AE41" s="555">
        <f>+SUMIF(BM!$C$7:$C$40,$D41,BM!$AD$7:$AD$40)</f>
        <v>0</v>
      </c>
      <c r="AF41" s="630"/>
      <c r="AG41" s="630">
        <f t="shared" si="56"/>
        <v>137.01500000000001</v>
      </c>
      <c r="AH41" s="630"/>
      <c r="AI41" s="555">
        <f>+SUMIF(BM!$C$7:$C$40,$D41,BM!$AH$7:$AH$40)</f>
        <v>0</v>
      </c>
      <c r="AJ41" s="630"/>
      <c r="AK41" s="625">
        <f t="shared" si="57"/>
        <v>137.01500000000001</v>
      </c>
      <c r="AL41" s="630"/>
      <c r="AM41" s="555">
        <f>+SUMIF(BM!$C$7:$C$40,$D41,BM!$AL$7:$AL$40)</f>
        <v>0</v>
      </c>
      <c r="AN41" s="630"/>
      <c r="AO41" s="2331">
        <f t="shared" si="62"/>
        <v>0</v>
      </c>
      <c r="AP41" s="630"/>
      <c r="AQ41" s="625">
        <f t="shared" si="58"/>
        <v>137.01500000000001</v>
      </c>
      <c r="AR41" s="630"/>
      <c r="AS41" s="555">
        <f>+SUMIF(BM!$C$7:$C$40,$D41,BM!$AR$7:$AR$40)</f>
        <v>0</v>
      </c>
      <c r="AT41" s="630"/>
      <c r="AU41" s="625">
        <f t="shared" si="59"/>
        <v>137.01500000000001</v>
      </c>
      <c r="AV41" s="630"/>
      <c r="AW41" s="555">
        <f>+SUMIF(BM!$C$7:$C$40,$D41,BM!$AV$7:$AV$40)</f>
        <v>0</v>
      </c>
      <c r="AX41" s="630"/>
      <c r="AY41" s="625">
        <f t="shared" si="60"/>
        <v>137.01500000000001</v>
      </c>
      <c r="AZ41" s="630"/>
      <c r="BA41" s="555">
        <f>+SUMIF(BM!$C$7:$C$40,$D41,BM!$AZ$7:$AZ$40)</f>
        <v>0</v>
      </c>
      <c r="BB41" s="630"/>
      <c r="BC41" s="2331">
        <f t="shared" si="63"/>
        <v>0</v>
      </c>
      <c r="BD41" s="2391"/>
      <c r="BE41" s="1175">
        <f t="shared" si="13"/>
        <v>0</v>
      </c>
      <c r="BF41" s="630"/>
      <c r="BG41" s="625">
        <f t="shared" si="14"/>
        <v>137.01500000000001</v>
      </c>
      <c r="BH41" s="26"/>
      <c r="BI41" s="26"/>
      <c r="BJ41" s="26"/>
    </row>
    <row r="42" spans="3:62" s="2602" customFormat="1" x14ac:dyDescent="0.3">
      <c r="C42" s="554" t="s">
        <v>91</v>
      </c>
      <c r="D42" s="554" t="s">
        <v>1046</v>
      </c>
      <c r="E42" s="6285"/>
      <c r="F42" s="554"/>
      <c r="G42" s="555">
        <f>+SUMIF(BM!$C$7:$C$40,$D42,BM!$F$7:$F$40)</f>
        <v>2932.4049999999997</v>
      </c>
      <c r="H42" s="555"/>
      <c r="I42" s="555">
        <f>+SUMIF(BM!$C$7:$C$40,$D42,BM!$H$7:$H$40)</f>
        <v>603.27499999999998</v>
      </c>
      <c r="J42" s="625"/>
      <c r="K42" s="625">
        <f t="shared" si="53"/>
        <v>3535.68</v>
      </c>
      <c r="L42" s="555"/>
      <c r="M42" s="555">
        <f>+SUMIF(BM!$C$7:$C$40,$D42,BM!$L$7:$L$40)</f>
        <v>1537.84</v>
      </c>
      <c r="N42" s="630"/>
      <c r="O42" s="630">
        <f t="shared" si="54"/>
        <v>5073.5199999999995</v>
      </c>
      <c r="P42" s="555"/>
      <c r="Q42" s="555">
        <f>+SUMIF(BM!$C$7:$C$40,$D42,BM!$P$7:$P$40)</f>
        <v>2355.8399999999997</v>
      </c>
      <c r="R42" s="630"/>
      <c r="S42" s="630">
        <f t="shared" si="41"/>
        <v>7429.3599999999988</v>
      </c>
      <c r="T42" s="555"/>
      <c r="U42" s="555">
        <f>+SUMIF(BM!$C$7:$C$40,$D42,BM!$T$7:$T$40)</f>
        <v>0</v>
      </c>
      <c r="V42" s="630"/>
      <c r="W42" s="630">
        <f t="shared" si="55"/>
        <v>7429.3599999999988</v>
      </c>
      <c r="X42" s="630"/>
      <c r="Y42" s="555">
        <f>+SUMIF(BM!$C$7:$C$40,$D42,BM!$X$7:$X$40)</f>
        <v>1519.4350000000002</v>
      </c>
      <c r="Z42" s="630"/>
      <c r="AA42" s="2331">
        <f t="shared" si="61"/>
        <v>3875.2749999999996</v>
      </c>
      <c r="AB42" s="2391"/>
      <c r="AC42" s="1175">
        <f t="shared" si="5"/>
        <v>8948.7949999999983</v>
      </c>
      <c r="AD42" s="630"/>
      <c r="AE42" s="555">
        <f>+SUMIF(BM!$C$7:$C$40,$D42,BM!$AD$7:$AD$40)</f>
        <v>0</v>
      </c>
      <c r="AF42" s="630"/>
      <c r="AG42" s="630">
        <f t="shared" si="56"/>
        <v>8948.7949999999983</v>
      </c>
      <c r="AH42" s="630"/>
      <c r="AI42" s="555">
        <f>+SUMIF(BM!$C$7:$C$40,$D42,BM!$AH$7:$AH$40)</f>
        <v>0</v>
      </c>
      <c r="AJ42" s="630"/>
      <c r="AK42" s="625">
        <f t="shared" si="57"/>
        <v>8948.7949999999983</v>
      </c>
      <c r="AL42" s="630"/>
      <c r="AM42" s="555">
        <f>+SUMIF(BM!$C$7:$C$40,$D42,BM!$AL$7:$AL$40)</f>
        <v>1032.2749999999999</v>
      </c>
      <c r="AN42" s="630"/>
      <c r="AO42" s="2331">
        <f t="shared" si="62"/>
        <v>1032.2749999999999</v>
      </c>
      <c r="AP42" s="630"/>
      <c r="AQ42" s="625">
        <f t="shared" si="58"/>
        <v>9981.0699999999979</v>
      </c>
      <c r="AR42" s="630"/>
      <c r="AS42" s="555">
        <f>+SUMIF(BM!$C$7:$C$40,$D42,BM!$AR$7:$AR$40)</f>
        <v>1811.87</v>
      </c>
      <c r="AT42" s="630"/>
      <c r="AU42" s="625">
        <f t="shared" si="59"/>
        <v>11792.939999999999</v>
      </c>
      <c r="AV42" s="630"/>
      <c r="AW42" s="555">
        <f>+SUMIF(BM!$C$7:$C$40,$D42,BM!$AV$7:$AV$40)</f>
        <v>1799.5999999999995</v>
      </c>
      <c r="AX42" s="630"/>
      <c r="AY42" s="625">
        <f t="shared" si="60"/>
        <v>13592.539999999997</v>
      </c>
      <c r="AZ42" s="630"/>
      <c r="BA42" s="555">
        <f>+SUMIF(BM!$C$7:$C$40,$D42,BM!$AZ$7:$AZ$40)</f>
        <v>0</v>
      </c>
      <c r="BB42" s="630"/>
      <c r="BC42" s="2331">
        <f t="shared" si="63"/>
        <v>3611.4699999999993</v>
      </c>
      <c r="BD42" s="2391"/>
      <c r="BE42" s="1175">
        <f t="shared" si="13"/>
        <v>4643.744999999999</v>
      </c>
      <c r="BF42" s="630"/>
      <c r="BG42" s="625">
        <f t="shared" si="14"/>
        <v>13592.539999999997</v>
      </c>
      <c r="BH42" s="26"/>
      <c r="BI42" s="26"/>
      <c r="BJ42" s="26"/>
    </row>
    <row r="43" spans="3:62" x14ac:dyDescent="0.3">
      <c r="C43" s="554" t="s">
        <v>91</v>
      </c>
      <c r="D43" s="554" t="s">
        <v>1014</v>
      </c>
      <c r="E43" s="6285"/>
      <c r="F43" s="554"/>
      <c r="G43" s="555">
        <f>+SUMIF(BM!$C$7:$C$40,$D43,BM!$F$7:$F$40)</f>
        <v>0</v>
      </c>
      <c r="H43" s="555"/>
      <c r="I43" s="555">
        <f>+SUMIF(BM!$C$7:$C$40,$D43,BM!$H$7:$H$40)</f>
        <v>0</v>
      </c>
      <c r="J43" s="625"/>
      <c r="K43" s="625">
        <f t="shared" si="53"/>
        <v>0</v>
      </c>
      <c r="L43" s="555"/>
      <c r="M43" s="555">
        <f>+SUMIF(BM!$C$7:$C$40,$D43,BM!$L$7:$L$40)</f>
        <v>0</v>
      </c>
      <c r="N43" s="630"/>
      <c r="O43" s="630">
        <f t="shared" si="54"/>
        <v>0</v>
      </c>
      <c r="P43" s="555"/>
      <c r="Q43" s="555">
        <f>+SUMIF(BM!$C$7:$C$40,$D43,BM!$P$7:$P$40)</f>
        <v>0</v>
      </c>
      <c r="R43" s="630"/>
      <c r="S43" s="630">
        <f t="shared" si="41"/>
        <v>0</v>
      </c>
      <c r="T43" s="555"/>
      <c r="U43" s="555">
        <f>+SUMIF(BM!$C$7:$C$40,$D43,BM!$T$7:$T$40)</f>
        <v>0</v>
      </c>
      <c r="V43" s="630"/>
      <c r="W43" s="630">
        <f t="shared" si="55"/>
        <v>0</v>
      </c>
      <c r="X43" s="630"/>
      <c r="Y43" s="555">
        <f>+SUMIF(BM!$C$7:$C$40,$D43,BM!$X$7:$X$40)</f>
        <v>646.2199999999998</v>
      </c>
      <c r="Z43" s="630"/>
      <c r="AA43" s="2331">
        <f t="shared" si="61"/>
        <v>646.2199999999998</v>
      </c>
      <c r="AB43" s="2391"/>
      <c r="AC43" s="1175">
        <f t="shared" si="5"/>
        <v>646.2199999999998</v>
      </c>
      <c r="AD43" s="630"/>
      <c r="AE43" s="555">
        <f>+SUMIF(BM!$C$7:$C$40,$D43,BM!$AD$7:$AD$40)</f>
        <v>1535.2900000000002</v>
      </c>
      <c r="AF43" s="630"/>
      <c r="AG43" s="630">
        <f t="shared" si="56"/>
        <v>2181.5100000000002</v>
      </c>
      <c r="AH43" s="630"/>
      <c r="AI43" s="555">
        <f>+SUMIF(BM!$C$7:$C$40,$D43,BM!$AH$7:$AH$40)</f>
        <v>0</v>
      </c>
      <c r="AJ43" s="630"/>
      <c r="AK43" s="625">
        <f t="shared" si="57"/>
        <v>2181.5100000000002</v>
      </c>
      <c r="AL43" s="630"/>
      <c r="AM43" s="555">
        <f>+SUMIF(BM!$C$7:$C$40,$D43,BM!$AL$7:$AL$40)</f>
        <v>0</v>
      </c>
      <c r="AN43" s="630"/>
      <c r="AO43" s="2331">
        <f t="shared" si="62"/>
        <v>1535.2900000000002</v>
      </c>
      <c r="AP43" s="630"/>
      <c r="AQ43" s="625">
        <f t="shared" si="58"/>
        <v>2181.5100000000002</v>
      </c>
      <c r="AR43" s="630"/>
      <c r="AS43" s="555">
        <f>+SUMIF(BM!$C$7:$C$40,$D43,BM!$AR$7:$AR$40)</f>
        <v>730.06499999999994</v>
      </c>
      <c r="AT43" s="630"/>
      <c r="AU43" s="625">
        <f t="shared" si="59"/>
        <v>2911.5750000000003</v>
      </c>
      <c r="AV43" s="635"/>
      <c r="AW43" s="555">
        <f>+SUMIF(BM!$C$7:$C$40,$D43,BM!$AV$7:$AV$40)</f>
        <v>1224.9549999999997</v>
      </c>
      <c r="AX43" s="630"/>
      <c r="AY43" s="625">
        <f t="shared" si="60"/>
        <v>4136.53</v>
      </c>
      <c r="AZ43" s="635"/>
      <c r="BA43" s="555">
        <f>+SUMIF(BM!$C$7:$C$40,$D43,BM!$AZ$7:$AZ$40)</f>
        <v>0</v>
      </c>
      <c r="BB43" s="635"/>
      <c r="BC43" s="2331">
        <f t="shared" si="63"/>
        <v>1955.0199999999995</v>
      </c>
      <c r="BD43" s="2391"/>
      <c r="BE43" s="1175">
        <f t="shared" si="13"/>
        <v>3490.3099999999995</v>
      </c>
      <c r="BF43" s="635"/>
      <c r="BG43" s="625">
        <f t="shared" si="14"/>
        <v>4136.53</v>
      </c>
      <c r="BH43" s="26"/>
      <c r="BI43" s="26"/>
      <c r="BJ43" s="26"/>
    </row>
    <row r="44" spans="3:62" x14ac:dyDescent="0.3">
      <c r="C44" s="8000" t="s">
        <v>969</v>
      </c>
      <c r="D44" s="8000"/>
      <c r="E44" s="6285"/>
      <c r="F44" s="634"/>
      <c r="G44" s="635">
        <f>SUM(G38:G43)</f>
        <v>66895.455000000031</v>
      </c>
      <c r="H44" s="635"/>
      <c r="I44" s="635">
        <f>SUM(I38:I43)</f>
        <v>76175.635000000053</v>
      </c>
      <c r="J44" s="635"/>
      <c r="K44" s="636">
        <f>SUM(K38:K43)</f>
        <v>143071.09000000008</v>
      </c>
      <c r="L44" s="635"/>
      <c r="M44" s="635">
        <f>SUM(M38:M43)</f>
        <v>49675.968000000052</v>
      </c>
      <c r="N44" s="635"/>
      <c r="O44" s="635">
        <f>SUM(O38:O43)</f>
        <v>192747.05800000016</v>
      </c>
      <c r="P44" s="635"/>
      <c r="Q44" s="635">
        <f>SUM(Q38:Q43)</f>
        <v>70097.135000000068</v>
      </c>
      <c r="R44" s="635"/>
      <c r="S44" s="635">
        <f>SUM(S38:S43)</f>
        <v>262844.1930000002</v>
      </c>
      <c r="T44" s="635"/>
      <c r="U44" s="635">
        <f>SUM(U38:U43)</f>
        <v>71164.14300000004</v>
      </c>
      <c r="V44" s="635"/>
      <c r="W44" s="635">
        <f>SUM(W38:W43)</f>
        <v>334008.33600000024</v>
      </c>
      <c r="X44" s="635"/>
      <c r="Y44" s="635">
        <f>SUM(Y38:Y43)</f>
        <v>70484.610000000044</v>
      </c>
      <c r="Z44" s="635"/>
      <c r="AA44" s="2332">
        <f>SUM(AA38:AA43)</f>
        <v>211745.88800000015</v>
      </c>
      <c r="AB44" s="2391"/>
      <c r="AC44" s="2332">
        <f t="shared" si="5"/>
        <v>404492.94600000035</v>
      </c>
      <c r="AD44" s="635"/>
      <c r="AE44" s="635">
        <f>SUM(AE38:AE43)</f>
        <v>66747.8</v>
      </c>
      <c r="AF44" s="635"/>
      <c r="AG44" s="635">
        <f>SUM(AG38:AG43)</f>
        <v>471240.74600000033</v>
      </c>
      <c r="AH44" s="635"/>
      <c r="AI44" s="635">
        <f>SUM(AI38:AI43)</f>
        <v>3169.7200000000003</v>
      </c>
      <c r="AJ44" s="635"/>
      <c r="AK44" s="635">
        <f>SUM(AK38:AK43)</f>
        <v>474410.46600000036</v>
      </c>
      <c r="AL44" s="635"/>
      <c r="AM44" s="635">
        <f>SUM(AM38:AM43)</f>
        <v>70630.630000000063</v>
      </c>
      <c r="AN44" s="635"/>
      <c r="AO44" s="2332">
        <f>SUM(AO38:AO43)</f>
        <v>140548.15000000005</v>
      </c>
      <c r="AP44" s="635"/>
      <c r="AQ44" s="635">
        <f>SUM(AQ38:AQ43)</f>
        <v>545041.09600000037</v>
      </c>
      <c r="AR44" s="635"/>
      <c r="AS44" s="635">
        <f>SUM(AS38:AS43)</f>
        <v>70085.115000000093</v>
      </c>
      <c r="AT44" s="635"/>
      <c r="AU44" s="635">
        <f>SUM(AU38:AU43)</f>
        <v>615126.21100000048</v>
      </c>
      <c r="AV44" s="630"/>
      <c r="AW44" s="635">
        <f>SUM(AW38:AW43)</f>
        <v>65990.000000000044</v>
      </c>
      <c r="AX44" s="635"/>
      <c r="AY44" s="635">
        <f>SUM(AY38:AY43)</f>
        <v>681116.21100000071</v>
      </c>
      <c r="AZ44" s="630"/>
      <c r="BA44" s="635">
        <f>SUM(BA38:BA43)</f>
        <v>78010.610000000059</v>
      </c>
      <c r="BB44" s="630"/>
      <c r="BC44" s="2332">
        <f>SUM(BC38:BC43)</f>
        <v>214085.72500000021</v>
      </c>
      <c r="BD44" s="2391"/>
      <c r="BE44" s="2332">
        <f>AO44+BC44</f>
        <v>354633.87500000023</v>
      </c>
      <c r="BF44" s="630"/>
      <c r="BG44" s="635">
        <f>SUM(BG38:BG43)</f>
        <v>759126.82100000081</v>
      </c>
      <c r="BH44" s="26"/>
      <c r="BI44" s="26"/>
      <c r="BJ44" s="26"/>
    </row>
    <row r="45" spans="3:62" x14ac:dyDescent="0.3">
      <c r="C45" s="554" t="s">
        <v>109</v>
      </c>
      <c r="D45" s="554" t="s">
        <v>948</v>
      </c>
      <c r="E45" s="6285"/>
      <c r="F45" s="554"/>
      <c r="G45" s="555">
        <f>SUMIF(USM!$C$6:$C$73,$D45,USM!$G$6:$G$73)</f>
        <v>13213.612999999999</v>
      </c>
      <c r="H45" s="555"/>
      <c r="I45" s="555">
        <f>SUMIF(USM!$C$6:$C$73,$D45,USM!$I$6:$I$73)</f>
        <v>12437.809000000001</v>
      </c>
      <c r="J45" s="625"/>
      <c r="K45" s="625">
        <f t="shared" si="53"/>
        <v>25651.421999999999</v>
      </c>
      <c r="L45" s="555"/>
      <c r="M45" s="555">
        <f>SUMIF(USM!$C$6:$C$73,$D45,USM!$M$6:$M$73)</f>
        <v>7595.3889999999992</v>
      </c>
      <c r="N45" s="630"/>
      <c r="O45" s="630">
        <f t="shared" si="54"/>
        <v>33246.811000000002</v>
      </c>
      <c r="P45" s="555"/>
      <c r="Q45" s="555">
        <f>SUMIF(USM!$C$6:$C$73,$D45,USM!$Q$6:$Q$73)</f>
        <v>15160.198</v>
      </c>
      <c r="R45" s="630"/>
      <c r="S45" s="630">
        <f t="shared" si="41"/>
        <v>48407.009000000005</v>
      </c>
      <c r="T45" s="555"/>
      <c r="U45" s="555">
        <f>SUMIF(USM!$C$6:$C$73,$D45,USM!$U$6:$U$73)</f>
        <v>7849.5549999999994</v>
      </c>
      <c r="V45" s="630"/>
      <c r="W45" s="630">
        <f t="shared" ref="W45:W48" si="64">S45+U45</f>
        <v>56256.564000000006</v>
      </c>
      <c r="X45" s="630"/>
      <c r="Y45" s="555">
        <f>SUMIF(USM!$C$6:$C$73,$D45,USM!$Y$6:$Y$73)</f>
        <v>5341.393</v>
      </c>
      <c r="Z45" s="630"/>
      <c r="AA45" s="2331">
        <f>Q45+U45+Y45</f>
        <v>28351.146000000001</v>
      </c>
      <c r="AB45" s="2391"/>
      <c r="AC45" s="1175">
        <f t="shared" si="5"/>
        <v>61597.957000000002</v>
      </c>
      <c r="AD45" s="630"/>
      <c r="AE45" s="555">
        <f>SUMIF(USM!$C$6:$C$73,$D45,USM!$AE$6:$AE$73)</f>
        <v>7930.5840000000007</v>
      </c>
      <c r="AF45" s="630"/>
      <c r="AG45" s="630">
        <f t="shared" ref="AG45:AG48" si="65">AC45+AE45</f>
        <v>69528.540999999997</v>
      </c>
      <c r="AH45" s="630"/>
      <c r="AI45" s="555">
        <f>SUMIF(USM!$C$6:$C$73,$D45,USM!$AI$6:$AI$73)</f>
        <v>148.166</v>
      </c>
      <c r="AJ45" s="630"/>
      <c r="AK45" s="625">
        <f t="shared" ref="AK45:AK48" si="66">AG45+AI45</f>
        <v>69676.706999999995</v>
      </c>
      <c r="AL45" s="630"/>
      <c r="AM45" s="555">
        <f>SUMIF(USM!$C$6:$C$73,$D45,USM!$AM$6:$AM$73)</f>
        <v>9144.7129999999997</v>
      </c>
      <c r="AN45" s="630"/>
      <c r="AO45" s="2331">
        <f>AE45+AI45+AM45</f>
        <v>17223.463</v>
      </c>
      <c r="AP45" s="630"/>
      <c r="AQ45" s="625">
        <f t="shared" ref="AQ45:AQ48" si="67">AK45+AM45</f>
        <v>78821.42</v>
      </c>
      <c r="AR45" s="630"/>
      <c r="AS45" s="555">
        <f>SUMIF(USM!$C$6:$C$73,$D45,USM!$AS$6:$AS$73)</f>
        <v>12416.546000000002</v>
      </c>
      <c r="AT45" s="630"/>
      <c r="AU45" s="625">
        <f t="shared" ref="AU45:AU48" si="68">AQ45+AS45</f>
        <v>91237.966</v>
      </c>
      <c r="AV45" s="630"/>
      <c r="AW45" s="555">
        <f>SUMIF(USM!$C$6:$C$73,$D45,USM!$AW$6:$AW$73)</f>
        <v>16339.8</v>
      </c>
      <c r="AX45" s="630"/>
      <c r="AY45" s="625">
        <f t="shared" ref="AY45:AY48" si="69">AU45+AW45</f>
        <v>107577.766</v>
      </c>
      <c r="AZ45" s="630"/>
      <c r="BA45" s="555">
        <f>SUMIF(USM!$C$6:$C$73,$D45,USM!$BA$6:$BA$73)</f>
        <v>14636.821999999998</v>
      </c>
      <c r="BB45" s="630"/>
      <c r="BC45" s="2331">
        <f>AS45+AW45+BA45</f>
        <v>43393.167999999998</v>
      </c>
      <c r="BD45" s="2391"/>
      <c r="BE45" s="1175">
        <f t="shared" si="13"/>
        <v>60616.630999999994</v>
      </c>
      <c r="BF45" s="630"/>
      <c r="BG45" s="625">
        <f t="shared" si="14"/>
        <v>122214.588</v>
      </c>
      <c r="BH45" s="26"/>
      <c r="BI45" s="26"/>
      <c r="BJ45" s="26"/>
    </row>
    <row r="46" spans="3:62" s="4712" customFormat="1" x14ac:dyDescent="0.3">
      <c r="C46" s="6287" t="s">
        <v>109</v>
      </c>
      <c r="D46" s="6287" t="s">
        <v>1364</v>
      </c>
      <c r="E46" s="6285"/>
      <c r="F46" s="6287"/>
      <c r="G46" s="555">
        <f>SUMIF(USM!$C$6:$C$73,$D46,USM!$G$6:$G$73)</f>
        <v>2807.8309999999992</v>
      </c>
      <c r="H46" s="555"/>
      <c r="I46" s="555">
        <f>SUMIF(USM!$C$6:$C$73,$D46,USM!$I$6:$I$73)</f>
        <v>3069.2429999999995</v>
      </c>
      <c r="J46" s="625"/>
      <c r="K46" s="625">
        <f t="shared" ref="K46" si="70">+G46+I46</f>
        <v>5877.0739999999987</v>
      </c>
      <c r="L46" s="555"/>
      <c r="M46" s="555">
        <f>SUMIF(USM!$C$6:$C$73,$D46,USM!$M$6:$M$73)</f>
        <v>2549.9639999999999</v>
      </c>
      <c r="N46" s="630"/>
      <c r="O46" s="630">
        <f t="shared" ref="O46" si="71">+G46+I46+M46</f>
        <v>8427.0379999999986</v>
      </c>
      <c r="P46" s="555"/>
      <c r="Q46" s="555">
        <f>SUMIF(USM!$C$6:$C$73,$D46,USM!$Q$6:$Q$73)</f>
        <v>0</v>
      </c>
      <c r="R46" s="630"/>
      <c r="S46" s="630">
        <f t="shared" ref="S46" si="72">O46+Q46</f>
        <v>8427.0379999999986</v>
      </c>
      <c r="T46" s="555"/>
      <c r="U46" s="555">
        <f>SUMIF(USM!$C$6:$C$73,$D46,USM!$U$6:$U$73)</f>
        <v>0</v>
      </c>
      <c r="V46" s="630"/>
      <c r="W46" s="630">
        <f t="shared" ref="W46" si="73">S46+U46</f>
        <v>8427.0379999999986</v>
      </c>
      <c r="X46" s="630"/>
      <c r="Y46" s="555">
        <f>SUMIF(USM!$C$6:$C$73,$D46,USM!$Y$6:$Y$73)</f>
        <v>2044.2550000000001</v>
      </c>
      <c r="Z46" s="630"/>
      <c r="AA46" s="2331">
        <f>Q46+U46+Y46</f>
        <v>2044.2550000000001</v>
      </c>
      <c r="AB46" s="2391"/>
      <c r="AC46" s="1175">
        <f t="shared" ref="AC46" si="74">O46+AA46</f>
        <v>10471.292999999998</v>
      </c>
      <c r="AD46" s="630"/>
      <c r="AE46" s="555">
        <f>SUMIF(USM!$C$6:$C$73,$D46,USM!$AE$6:$AE$73)</f>
        <v>71.840999999999994</v>
      </c>
      <c r="AF46" s="630"/>
      <c r="AG46" s="630">
        <f t="shared" ref="AG46" si="75">AC46+AE46</f>
        <v>10543.133999999998</v>
      </c>
      <c r="AH46" s="630"/>
      <c r="AI46" s="555">
        <f>SUMIF(USM!$C$6:$C$73,$D46,USM!$AI$6:$AI$73)</f>
        <v>0</v>
      </c>
      <c r="AJ46" s="630"/>
      <c r="AK46" s="625">
        <f t="shared" ref="AK46" si="76">AG46+AI46</f>
        <v>10543.133999999998</v>
      </c>
      <c r="AL46" s="630"/>
      <c r="AM46" s="555">
        <f>SUMIF(USM!$C$6:$C$73,$D46,USM!$AM$6:$AM$73)</f>
        <v>3830.9300000000003</v>
      </c>
      <c r="AN46" s="630"/>
      <c r="AO46" s="2331">
        <f>AE46+AI46+AM46</f>
        <v>3902.7710000000002</v>
      </c>
      <c r="AP46" s="630"/>
      <c r="AQ46" s="625">
        <f t="shared" ref="AQ46" si="77">AK46+AM46</f>
        <v>14374.063999999998</v>
      </c>
      <c r="AR46" s="630"/>
      <c r="AS46" s="555">
        <f>SUMIF(USM!$C$6:$C$73,$D46,USM!$AS$6:$AS$73)</f>
        <v>0</v>
      </c>
      <c r="AT46" s="630"/>
      <c r="AU46" s="625">
        <f t="shared" ref="AU46" si="78">AQ46+AS46</f>
        <v>14374.063999999998</v>
      </c>
      <c r="AV46" s="3335"/>
      <c r="AW46" s="555">
        <f>SUMIF(USM!$C$6:$C$73,$D46,USM!$AW$6:$AW$73)</f>
        <v>4167.0959999999995</v>
      </c>
      <c r="AX46" s="630"/>
      <c r="AY46" s="625">
        <f t="shared" si="69"/>
        <v>18541.159999999996</v>
      </c>
      <c r="AZ46" s="3335"/>
      <c r="BA46" s="555">
        <f>SUMIF(USM!$C$6:$C$73,$D46,USM!$BA$6:$BA$73)</f>
        <v>2843.715999999999</v>
      </c>
      <c r="BB46" s="3335"/>
      <c r="BC46" s="2331">
        <f>AS46+AW46+BA46</f>
        <v>7010.8119999999981</v>
      </c>
      <c r="BD46" s="3338"/>
      <c r="BE46" s="1175">
        <f t="shared" si="13"/>
        <v>10913.582999999999</v>
      </c>
      <c r="BF46" s="3335"/>
      <c r="BG46" s="625">
        <f t="shared" si="14"/>
        <v>21384.875999999997</v>
      </c>
      <c r="BH46" s="26"/>
      <c r="BI46" s="26"/>
      <c r="BJ46" s="26"/>
    </row>
    <row r="47" spans="3:62" x14ac:dyDescent="0.3">
      <c r="C47" s="554" t="s">
        <v>109</v>
      </c>
      <c r="D47" s="554" t="s">
        <v>1650</v>
      </c>
      <c r="E47" s="6285"/>
      <c r="F47" s="554"/>
      <c r="G47" s="555">
        <f>SUMIF(USM!$C$6:$C$73,$D47,USM!$G$6:$G$73)</f>
        <v>0</v>
      </c>
      <c r="H47" s="555"/>
      <c r="I47" s="555">
        <f>SUMIF(USM!$C$6:$C$73,$D47,USM!$I$6:$I$73)</f>
        <v>0</v>
      </c>
      <c r="J47" s="625"/>
      <c r="K47" s="625">
        <f t="shared" si="53"/>
        <v>0</v>
      </c>
      <c r="L47" s="555"/>
      <c r="M47" s="555">
        <f>SUMIF(USM!$C$6:$C$73,$D47,USM!$M$6:$M$73)</f>
        <v>0</v>
      </c>
      <c r="N47" s="630"/>
      <c r="O47" s="630">
        <f t="shared" si="54"/>
        <v>0</v>
      </c>
      <c r="P47" s="555"/>
      <c r="Q47" s="555">
        <f>SUMIF(USM!$C$6:$C$73,$D47,USM!$Q$6:$Q$73)</f>
        <v>0</v>
      </c>
      <c r="R47" s="630"/>
      <c r="S47" s="630">
        <f t="shared" si="41"/>
        <v>0</v>
      </c>
      <c r="T47" s="555"/>
      <c r="U47" s="555">
        <f>SUMIF(USM!$C$6:$C$73,$D47,USM!$U$6:$U$73)</f>
        <v>0</v>
      </c>
      <c r="V47" s="630"/>
      <c r="W47" s="630">
        <f t="shared" si="64"/>
        <v>0</v>
      </c>
      <c r="X47" s="630"/>
      <c r="Y47" s="555">
        <f>SUMIF(USM!$C$6:$C$73,$D47,USM!$Y$6:$Y$73)</f>
        <v>0</v>
      </c>
      <c r="Z47" s="630"/>
      <c r="AA47" s="2331">
        <f>Q47+U47+Y47</f>
        <v>0</v>
      </c>
      <c r="AB47" s="2391"/>
      <c r="AC47" s="1175">
        <f t="shared" si="5"/>
        <v>0</v>
      </c>
      <c r="AD47" s="630"/>
      <c r="AE47" s="555">
        <f>SUMIF(USM!$C$6:$C$73,$D47,USM!$AE$6:$AE$73)</f>
        <v>0</v>
      </c>
      <c r="AF47" s="630"/>
      <c r="AG47" s="630">
        <f t="shared" si="65"/>
        <v>0</v>
      </c>
      <c r="AH47" s="630"/>
      <c r="AI47" s="555">
        <f>SUMIF(USM!$C$6:$C$73,$D47,USM!$AI$6:$AI$73)</f>
        <v>0</v>
      </c>
      <c r="AJ47" s="630"/>
      <c r="AK47" s="625">
        <f t="shared" si="66"/>
        <v>0</v>
      </c>
      <c r="AL47" s="630"/>
      <c r="AM47" s="555">
        <f>SUMIF(USM!$C$6:$C$73,$D47,USM!$AM$6:$AM$73)</f>
        <v>0</v>
      </c>
      <c r="AN47" s="630"/>
      <c r="AO47" s="2331">
        <f t="shared" ref="AO47:AO48" si="79">AE47+AI47+AM47</f>
        <v>0</v>
      </c>
      <c r="AP47" s="630"/>
      <c r="AQ47" s="625">
        <f t="shared" si="67"/>
        <v>0</v>
      </c>
      <c r="AR47" s="630"/>
      <c r="AS47" s="555">
        <f>SUMIF(USM!$C$6:$C$73,$D47,USM!$AS$6:$AS$73)</f>
        <v>0</v>
      </c>
      <c r="AT47" s="630"/>
      <c r="AU47" s="625">
        <f t="shared" si="68"/>
        <v>0</v>
      </c>
      <c r="AV47" s="630"/>
      <c r="AW47" s="555">
        <f>SUMIF(USM!$C$6:$C$73,$D47,USM!$AW$6:$AW$73)</f>
        <v>0</v>
      </c>
      <c r="AX47" s="630"/>
      <c r="AY47" s="625">
        <f t="shared" si="69"/>
        <v>0</v>
      </c>
      <c r="AZ47" s="630"/>
      <c r="BA47" s="555">
        <f>SUMIF(USM!$C$6:$C$73,$D47,USM!$BA$6:$BA$73)</f>
        <v>0</v>
      </c>
      <c r="BB47" s="630"/>
      <c r="BC47" s="2331">
        <f t="shared" ref="BC47:BC48" si="80">AS47+AW47+BA47</f>
        <v>0</v>
      </c>
      <c r="BD47" s="2391"/>
      <c r="BE47" s="1175">
        <f t="shared" si="13"/>
        <v>0</v>
      </c>
      <c r="BF47" s="630"/>
      <c r="BG47" s="625">
        <f t="shared" si="14"/>
        <v>0</v>
      </c>
      <c r="BH47" s="26"/>
      <c r="BI47" s="26"/>
      <c r="BJ47" s="26"/>
    </row>
    <row r="48" spans="3:62" x14ac:dyDescent="0.3">
      <c r="C48" s="554" t="s">
        <v>109</v>
      </c>
      <c r="D48" s="554" t="s">
        <v>1632</v>
      </c>
      <c r="E48" s="6285"/>
      <c r="F48" s="554"/>
      <c r="G48" s="555">
        <f>SUMIF(USM!$C$6:$C$73,$D48,USM!$G$6:$G$73)</f>
        <v>0</v>
      </c>
      <c r="H48" s="555"/>
      <c r="I48" s="555">
        <f>SUMIF(USM!$C$6:$C$73,$D48,USM!$I$6:$I$73)</f>
        <v>332.20299999999997</v>
      </c>
      <c r="J48" s="625"/>
      <c r="K48" s="625">
        <f t="shared" si="53"/>
        <v>332.20299999999997</v>
      </c>
      <c r="L48" s="555"/>
      <c r="M48" s="555">
        <f>SUMIF(USM!$C$6:$C$73,$D48,USM!$M$6:$M$73)</f>
        <v>0</v>
      </c>
      <c r="N48" s="630"/>
      <c r="O48" s="630">
        <f t="shared" si="54"/>
        <v>332.20299999999997</v>
      </c>
      <c r="P48" s="555"/>
      <c r="Q48" s="555">
        <f>SUMIF(USM!$C$6:$C$73,$D48,USM!$Q$6:$Q$73)</f>
        <v>268.32400000000001</v>
      </c>
      <c r="R48" s="630"/>
      <c r="S48" s="630">
        <f t="shared" si="41"/>
        <v>600.52700000000004</v>
      </c>
      <c r="T48" s="555"/>
      <c r="U48" s="555">
        <f>SUMIF(USM!$C$6:$C$73,$D48,USM!$U$6:$U$73)</f>
        <v>1062.982</v>
      </c>
      <c r="V48" s="630"/>
      <c r="W48" s="630">
        <f t="shared" si="64"/>
        <v>1663.509</v>
      </c>
      <c r="X48" s="630"/>
      <c r="Y48" s="555">
        <f>SUMIF(USM!$C$6:$C$73,$D48,USM!$Y$6:$Y$73)</f>
        <v>404.58</v>
      </c>
      <c r="Z48" s="630"/>
      <c r="AA48" s="2331">
        <f>Q48+U48+Y48</f>
        <v>1735.886</v>
      </c>
      <c r="AB48" s="2391"/>
      <c r="AC48" s="1175">
        <f t="shared" si="5"/>
        <v>2068.0889999999999</v>
      </c>
      <c r="AD48" s="630"/>
      <c r="AE48" s="555">
        <f>SUMIF(USM!$C$6:$C$73,$D48,USM!$AE$6:$AE$73)</f>
        <v>0</v>
      </c>
      <c r="AF48" s="630"/>
      <c r="AG48" s="630">
        <f t="shared" si="65"/>
        <v>2068.0889999999999</v>
      </c>
      <c r="AH48" s="630"/>
      <c r="AI48" s="555">
        <f>SUMIF(USM!$C$6:$C$73,$D48,USM!$AI$6:$AI$73)</f>
        <v>0</v>
      </c>
      <c r="AJ48" s="630"/>
      <c r="AK48" s="625">
        <f t="shared" si="66"/>
        <v>2068.0889999999999</v>
      </c>
      <c r="AL48" s="630"/>
      <c r="AM48" s="555">
        <f>SUMIF(USM!$C$6:$C$73,$D48,USM!$AM$6:$AM$73)</f>
        <v>0</v>
      </c>
      <c r="AN48" s="630"/>
      <c r="AO48" s="2331">
        <f t="shared" si="79"/>
        <v>0</v>
      </c>
      <c r="AP48" s="630"/>
      <c r="AQ48" s="625">
        <f t="shared" si="67"/>
        <v>2068.0889999999999</v>
      </c>
      <c r="AR48" s="630"/>
      <c r="AS48" s="555">
        <f>SUMIF(USM!$C$6:$C$73,$D48,USM!$AS$6:$AS$73)</f>
        <v>558.58299999999997</v>
      </c>
      <c r="AT48" s="630"/>
      <c r="AU48" s="625">
        <f t="shared" si="68"/>
        <v>2626.672</v>
      </c>
      <c r="AV48" s="630"/>
      <c r="AW48" s="555">
        <f>SUMIF(USM!$C$6:$C$73,$D48,USM!$AW$6:$AW$73)</f>
        <v>0</v>
      </c>
      <c r="AX48" s="630"/>
      <c r="AY48" s="625">
        <f t="shared" si="69"/>
        <v>2626.672</v>
      </c>
      <c r="AZ48" s="630"/>
      <c r="BA48" s="555">
        <f>SUMIF(USM!$C$6:$C$73,$D48,USM!$BA$6:$BA$73)</f>
        <v>0</v>
      </c>
      <c r="BB48" s="630"/>
      <c r="BC48" s="2331">
        <f t="shared" si="80"/>
        <v>558.58299999999997</v>
      </c>
      <c r="BD48" s="2391"/>
      <c r="BE48" s="1175">
        <f t="shared" si="13"/>
        <v>558.58299999999997</v>
      </c>
      <c r="BF48" s="630"/>
      <c r="BG48" s="625">
        <f t="shared" si="14"/>
        <v>2626.672</v>
      </c>
      <c r="BH48" s="26"/>
      <c r="BI48" s="26"/>
      <c r="BJ48" s="26"/>
    </row>
    <row r="49" spans="3:62" x14ac:dyDescent="0.3">
      <c r="C49" s="8000" t="s">
        <v>970</v>
      </c>
      <c r="D49" s="8000"/>
      <c r="E49" s="6285"/>
      <c r="F49" s="634"/>
      <c r="G49" s="635">
        <f>SUM(G45:G48)</f>
        <v>16021.444</v>
      </c>
      <c r="H49" s="635"/>
      <c r="I49" s="635">
        <f>SUM(I45:I48)</f>
        <v>15839.254999999999</v>
      </c>
      <c r="J49" s="635"/>
      <c r="K49" s="636">
        <f>SUM(K45:K48)</f>
        <v>31860.699000000001</v>
      </c>
      <c r="L49" s="635"/>
      <c r="M49" s="635">
        <f>SUM(M45:M48)</f>
        <v>10145.352999999999</v>
      </c>
      <c r="N49" s="635"/>
      <c r="O49" s="635">
        <f>SUM(O45:O48)</f>
        <v>42006.052000000003</v>
      </c>
      <c r="P49" s="635"/>
      <c r="Q49" s="635">
        <f>SUM(Q45:Q48)</f>
        <v>15428.522000000001</v>
      </c>
      <c r="R49" s="635"/>
      <c r="S49" s="635">
        <f>SUM(S45:S45)</f>
        <v>48407.009000000005</v>
      </c>
      <c r="T49" s="635"/>
      <c r="U49" s="635">
        <f>SUM(U45:U48)</f>
        <v>8912.5370000000003</v>
      </c>
      <c r="V49" s="635"/>
      <c r="W49" s="635">
        <f>SUM(W45:W45)</f>
        <v>56256.564000000006</v>
      </c>
      <c r="X49" s="635"/>
      <c r="Y49" s="635">
        <f>SUM(Y45:Y48)</f>
        <v>7790.2280000000001</v>
      </c>
      <c r="Z49" s="635"/>
      <c r="AA49" s="2332">
        <f>SUM(AA45:AA48)</f>
        <v>32131.287</v>
      </c>
      <c r="AB49" s="2391"/>
      <c r="AC49" s="2332">
        <f>SUM(AC45:AC48)</f>
        <v>74137.339000000007</v>
      </c>
      <c r="AD49" s="635"/>
      <c r="AE49" s="635">
        <f>SUM(AE45:AE48)</f>
        <v>8002.4250000000011</v>
      </c>
      <c r="AF49" s="635"/>
      <c r="AG49" s="635">
        <f>SUM(AG45:AG45)</f>
        <v>69528.540999999997</v>
      </c>
      <c r="AH49" s="635"/>
      <c r="AI49" s="635">
        <f>SUM(AI45:AI48)</f>
        <v>148.166</v>
      </c>
      <c r="AJ49" s="635"/>
      <c r="AK49" s="635">
        <f>SUM(AK45:AK45)</f>
        <v>69676.706999999995</v>
      </c>
      <c r="AL49" s="635"/>
      <c r="AM49" s="635">
        <f>SUM(AM45:AM48)</f>
        <v>12975.643</v>
      </c>
      <c r="AN49" s="635"/>
      <c r="AO49" s="2332">
        <f>SUM(AO45:AO48)</f>
        <v>21126.234</v>
      </c>
      <c r="AP49" s="635"/>
      <c r="AQ49" s="635">
        <f>SUM(AQ45:AQ45)</f>
        <v>78821.42</v>
      </c>
      <c r="AR49" s="635"/>
      <c r="AS49" s="635">
        <f>SUM(AS45:AS48)</f>
        <v>12975.129000000003</v>
      </c>
      <c r="AT49" s="635"/>
      <c r="AU49" s="635">
        <f>SUM(AU45:AU48)</f>
        <v>108238.702</v>
      </c>
      <c r="AV49" s="630"/>
      <c r="AW49" s="635">
        <f>SUM(AW45:AW48)</f>
        <v>20506.896000000001</v>
      </c>
      <c r="AX49" s="635"/>
      <c r="AY49" s="635">
        <f>SUM(AY45:AY48)</f>
        <v>128745.59800000001</v>
      </c>
      <c r="AZ49" s="630"/>
      <c r="BA49" s="635">
        <f>SUM(BA45:BA48)</f>
        <v>17480.537999999997</v>
      </c>
      <c r="BB49" s="630"/>
      <c r="BC49" s="2332">
        <f>SUM(BC45:BC48)</f>
        <v>50962.562999999995</v>
      </c>
      <c r="BD49" s="2391"/>
      <c r="BE49" s="2332">
        <f>SUM(BE45:BE48)</f>
        <v>72088.796999999991</v>
      </c>
      <c r="BF49" s="630"/>
      <c r="BG49" s="635">
        <f>SUM(BG45:BG48)</f>
        <v>146226.136</v>
      </c>
      <c r="BH49" s="1222"/>
      <c r="BI49" s="26"/>
      <c r="BJ49" s="26"/>
    </row>
    <row r="50" spans="3:62" s="2685" customFormat="1" x14ac:dyDescent="0.3">
      <c r="C50" s="554" t="s">
        <v>979</v>
      </c>
      <c r="D50" s="554" t="s">
        <v>946</v>
      </c>
      <c r="E50" s="6285"/>
      <c r="F50" s="554"/>
      <c r="G50" s="581">
        <f>SUMIF('Value added steel '!$D$54:$D$76,'Special steel '!$D50,'Value added steel '!$G$54:$G$76)</f>
        <v>0</v>
      </c>
      <c r="H50" s="581"/>
      <c r="I50" s="581">
        <f>SUMIF('Value added steel '!$D$54:$D$76,'Special steel '!$D50,'Value added steel '!$I$54:$I$76)</f>
        <v>0</v>
      </c>
      <c r="J50" s="625"/>
      <c r="K50" s="625">
        <f t="shared" si="53"/>
        <v>0</v>
      </c>
      <c r="L50" s="581"/>
      <c r="M50" s="581">
        <f>SUMIF('Value added steel '!$D$54:$D$76,'Special steel '!$D50,'Value added steel '!$M$54:$M$76)</f>
        <v>0</v>
      </c>
      <c r="N50" s="630"/>
      <c r="O50" s="630">
        <f t="shared" si="54"/>
        <v>0</v>
      </c>
      <c r="P50" s="581"/>
      <c r="Q50" s="581">
        <f>SUMIF('Value added steel '!$D$54:$D$76,'Special steel '!$D50,'Value added steel '!$Q$54:$Q$76)</f>
        <v>0</v>
      </c>
      <c r="R50" s="630"/>
      <c r="S50" s="630">
        <f t="shared" si="41"/>
        <v>0</v>
      </c>
      <c r="T50" s="581"/>
      <c r="U50" s="581">
        <f>SUMIF('Value added steel '!$D$54:$D$76,'Special steel '!$D50,'Value added steel '!$U$54:$U$76)</f>
        <v>0</v>
      </c>
      <c r="V50" s="630"/>
      <c r="W50" s="630">
        <f t="shared" ref="W50:W66" si="81">S50+U50</f>
        <v>0</v>
      </c>
      <c r="X50" s="630"/>
      <c r="Y50" s="581">
        <f>SUMIF('Value added steel '!$D$54:$D$76,'Special steel '!$D50,'Value added steel '!$Y$54:$Y$76)</f>
        <v>0</v>
      </c>
      <c r="Z50" s="630"/>
      <c r="AA50" s="2331">
        <f>Q50+U50+Y50</f>
        <v>0</v>
      </c>
      <c r="AB50" s="2391"/>
      <c r="AC50" s="1175">
        <f t="shared" si="5"/>
        <v>0</v>
      </c>
      <c r="AD50" s="630"/>
      <c r="AE50" s="581">
        <f>SUMIF('Value added steel '!$D$54:$D$76,'Special steel '!$D50,'Value added steel '!$AE$54:$AE$76)</f>
        <v>0</v>
      </c>
      <c r="AF50" s="630"/>
      <c r="AG50" s="630">
        <f t="shared" ref="AG50:AG66" si="82">AC50+AE50</f>
        <v>0</v>
      </c>
      <c r="AH50" s="630"/>
      <c r="AI50" s="581">
        <f>SUMIF('Value added steel '!$D$54:$D$76,'Special steel '!$D50,'Value added steel '!$AI$54:$AI$76)</f>
        <v>0</v>
      </c>
      <c r="AJ50" s="630"/>
      <c r="AK50" s="625">
        <f t="shared" ref="AK50:AK66" si="83">AG50+AI50</f>
        <v>0</v>
      </c>
      <c r="AL50" s="630"/>
      <c r="AM50" s="581">
        <f>SUMIF('Value added steel '!$D$54:$D$76,'Special steel '!$D50,'Value added steel '!$AM$54:$AM$76)</f>
        <v>0</v>
      </c>
      <c r="AN50" s="630"/>
      <c r="AO50" s="2331">
        <f>AE50+AI50+AM50</f>
        <v>0</v>
      </c>
      <c r="AP50" s="630"/>
      <c r="AQ50" s="625">
        <f t="shared" ref="AQ50:AQ66" si="84">AK50+AM50</f>
        <v>0</v>
      </c>
      <c r="AR50" s="630"/>
      <c r="AS50" s="581">
        <f>SUMIF('Value added steel '!$D$54:$D$76,'Special steel '!$D50,'Value added steel '!$AS$54:$AS$76)</f>
        <v>0</v>
      </c>
      <c r="AT50" s="630"/>
      <c r="AU50" s="625">
        <f t="shared" ref="AU50:AU66" si="85">AQ50+AS50</f>
        <v>0</v>
      </c>
      <c r="AV50" s="630"/>
      <c r="AW50" s="581">
        <f>SUMIF('Value added steel '!$D$54:$D$76,'Special steel '!$D50,'Value added steel '!$AW$54:$AW$76)</f>
        <v>0</v>
      </c>
      <c r="AX50" s="630"/>
      <c r="AY50" s="625">
        <f t="shared" ref="AY50:AY66" si="86">AU50+AW50</f>
        <v>0</v>
      </c>
      <c r="AZ50" s="630"/>
      <c r="BA50" s="581">
        <f>SUMIF('Value added steel '!$D$54:$D$76,'Special steel '!$D50,'Value added steel '!$BA$54:$BA$76)</f>
        <v>0</v>
      </c>
      <c r="BB50" s="630"/>
      <c r="BC50" s="2331">
        <f>AS50+AW50+BA50</f>
        <v>0</v>
      </c>
      <c r="BD50" s="2391"/>
      <c r="BE50" s="1175">
        <f t="shared" si="13"/>
        <v>0</v>
      </c>
      <c r="BF50" s="630"/>
      <c r="BG50" s="625">
        <f t="shared" si="14"/>
        <v>0</v>
      </c>
      <c r="BH50" s="26"/>
      <c r="BI50" s="26"/>
      <c r="BJ50" s="26"/>
    </row>
    <row r="51" spans="3:62" s="2685" customFormat="1" x14ac:dyDescent="0.3">
      <c r="C51" s="554" t="s">
        <v>979</v>
      </c>
      <c r="D51" s="554" t="s">
        <v>1281</v>
      </c>
      <c r="E51" s="6285"/>
      <c r="F51" s="554"/>
      <c r="G51" s="581">
        <f>SUMIF('Value added steel '!$D$54:$D$76,'Special steel '!$D51,'Value added steel '!$G$54:$G$76)</f>
        <v>0</v>
      </c>
      <c r="H51" s="581"/>
      <c r="I51" s="581">
        <f>SUMIF('Value added steel '!$D$54:$D$76,'Special steel '!$D51,'Value added steel '!$I$54:$I$76)</f>
        <v>0</v>
      </c>
      <c r="J51" s="625"/>
      <c r="K51" s="625">
        <f t="shared" si="53"/>
        <v>0</v>
      </c>
      <c r="L51" s="581"/>
      <c r="M51" s="581">
        <f>SUMIF('Value added steel '!$D$54:$D$76,'Special steel '!$D51,'Value added steel '!$M$54:$M$76)</f>
        <v>0</v>
      </c>
      <c r="N51" s="630"/>
      <c r="O51" s="630">
        <f t="shared" si="54"/>
        <v>0</v>
      </c>
      <c r="P51" s="581"/>
      <c r="Q51" s="581">
        <f>SUMIF('Value added steel '!$D$54:$D$76,'Special steel '!$D51,'Value added steel '!$Q$54:$Q$76)</f>
        <v>0</v>
      </c>
      <c r="R51" s="630"/>
      <c r="S51" s="630">
        <f t="shared" si="41"/>
        <v>0</v>
      </c>
      <c r="T51" s="581"/>
      <c r="U51" s="581">
        <f>SUMIF('Value added steel '!$D$54:$D$76,'Special steel '!$D51,'Value added steel '!$U$54:$U$76)</f>
        <v>0</v>
      </c>
      <c r="V51" s="630"/>
      <c r="W51" s="630">
        <f t="shared" si="81"/>
        <v>0</v>
      </c>
      <c r="X51" s="630"/>
      <c r="Y51" s="581">
        <f>SUMIF('Value added steel '!$D$54:$D$76,'Special steel '!$D51,'Value added steel '!$Y$54:$Y$76)</f>
        <v>0</v>
      </c>
      <c r="Z51" s="630"/>
      <c r="AA51" s="2331">
        <f t="shared" ref="AA51:AA66" si="87">Q51+U51+Y51</f>
        <v>0</v>
      </c>
      <c r="AB51" s="2391"/>
      <c r="AC51" s="1175">
        <f t="shared" si="5"/>
        <v>0</v>
      </c>
      <c r="AD51" s="630"/>
      <c r="AE51" s="581">
        <f>SUMIF('Value added steel '!$D$54:$D$76,'Special steel '!$D51,'Value added steel '!$AE$54:$AE$76)</f>
        <v>0</v>
      </c>
      <c r="AF51" s="630"/>
      <c r="AG51" s="630">
        <f t="shared" si="82"/>
        <v>0</v>
      </c>
      <c r="AH51" s="630"/>
      <c r="AI51" s="581">
        <f>SUMIF('Value added steel '!$D$54:$D$76,'Special steel '!$D51,'Value added steel '!$AI$54:$AI$76)</f>
        <v>0</v>
      </c>
      <c r="AJ51" s="630"/>
      <c r="AK51" s="625">
        <f t="shared" si="83"/>
        <v>0</v>
      </c>
      <c r="AL51" s="630"/>
      <c r="AM51" s="581">
        <f>SUMIF('Value added steel '!$D$54:$D$76,'Special steel '!$D51,'Value added steel '!$AM$54:$AM$76)</f>
        <v>0</v>
      </c>
      <c r="AN51" s="630"/>
      <c r="AO51" s="2331">
        <f t="shared" ref="AO51:AO66" si="88">AE51+AI51+AM51</f>
        <v>0</v>
      </c>
      <c r="AP51" s="630"/>
      <c r="AQ51" s="625">
        <f t="shared" si="84"/>
        <v>0</v>
      </c>
      <c r="AR51" s="630"/>
      <c r="AS51" s="581">
        <f>SUMIF('Value added steel '!$D$54:$D$76,'Special steel '!$D51,'Value added steel '!$AS$54:$AS$76)</f>
        <v>0</v>
      </c>
      <c r="AT51" s="630"/>
      <c r="AU51" s="625">
        <f t="shared" si="85"/>
        <v>0</v>
      </c>
      <c r="AV51" s="630"/>
      <c r="AW51" s="581">
        <f>SUMIF('Value added steel '!$D$54:$D$76,'Special steel '!$D51,'Value added steel '!$AW$54:$AW$76)</f>
        <v>0</v>
      </c>
      <c r="AX51" s="630"/>
      <c r="AY51" s="625">
        <f t="shared" si="86"/>
        <v>0</v>
      </c>
      <c r="AZ51" s="630"/>
      <c r="BA51" s="581">
        <f>SUMIF('Value added steel '!$D$54:$D$76,'Special steel '!$D51,'Value added steel '!$BA$54:$BA$76)</f>
        <v>0</v>
      </c>
      <c r="BB51" s="630"/>
      <c r="BC51" s="2331">
        <f t="shared" ref="BC51:BC66" si="89">AS51+AW51+BA51</f>
        <v>0</v>
      </c>
      <c r="BD51" s="2391"/>
      <c r="BE51" s="1175">
        <f t="shared" si="13"/>
        <v>0</v>
      </c>
      <c r="BF51" s="630"/>
      <c r="BG51" s="625">
        <f t="shared" si="14"/>
        <v>0</v>
      </c>
      <c r="BH51" s="26"/>
      <c r="BI51" s="26"/>
    </row>
    <row r="52" spans="3:62" s="2659" customFormat="1" x14ac:dyDescent="0.3">
      <c r="C52" s="3331" t="s">
        <v>979</v>
      </c>
      <c r="D52" s="3331" t="s">
        <v>1962</v>
      </c>
      <c r="E52" s="6285"/>
      <c r="F52" s="3331"/>
      <c r="G52" s="581">
        <f>SUMIF('Value added steel '!$D$54:$D$76,'Special steel '!$D52,'Value added steel '!$G$54:$G$76)</f>
        <v>0</v>
      </c>
      <c r="H52" s="581"/>
      <c r="I52" s="581">
        <f>SUMIF('Value added steel '!$D$54:$D$76,'Special steel '!$D52,'Value added steel '!$I$54:$I$76)</f>
        <v>0</v>
      </c>
      <c r="J52" s="625"/>
      <c r="K52" s="625">
        <f t="shared" ref="K52" si="90">+G52+I52</f>
        <v>0</v>
      </c>
      <c r="L52" s="581"/>
      <c r="M52" s="581">
        <f>SUMIF('Value added steel '!$D$54:$D$76,'Special steel '!$D52,'Value added steel '!$M$54:$M$76)</f>
        <v>0</v>
      </c>
      <c r="N52" s="630"/>
      <c r="O52" s="630">
        <f t="shared" ref="O52" si="91">+G52+I52+M52</f>
        <v>0</v>
      </c>
      <c r="P52" s="3181"/>
      <c r="Q52" s="581">
        <f>SUMIF('Value added steel '!$D$54:$D$76,'Special steel '!$D52,'Value added steel '!$Q$54:$Q$76)</f>
        <v>0</v>
      </c>
      <c r="R52" s="3335"/>
      <c r="S52" s="630">
        <f t="shared" si="41"/>
        <v>0</v>
      </c>
      <c r="T52" s="3181"/>
      <c r="U52" s="581">
        <f>SUMIF('Value added steel '!$D$54:$D$76,'Special steel '!$D52,'Value added steel '!$U$54:$U$76)</f>
        <v>1442</v>
      </c>
      <c r="V52" s="3335"/>
      <c r="W52" s="630">
        <f t="shared" si="81"/>
        <v>1442</v>
      </c>
      <c r="X52" s="3335"/>
      <c r="Y52" s="581">
        <f>SUMIF('Value added steel '!$D$54:$D$76,'Special steel '!$D52,'Value added steel '!$Y$54:$Y$76)</f>
        <v>150.09399999999999</v>
      </c>
      <c r="Z52" s="3335"/>
      <c r="AA52" s="3337"/>
      <c r="AB52" s="3338"/>
      <c r="AC52" s="3330"/>
      <c r="AD52" s="3335"/>
      <c r="AE52" s="581">
        <f>SUMIF('Value added steel '!$D$54:$D$76,'Special steel '!$D52,'Value added steel '!$AE$54:$AE$76)</f>
        <v>0</v>
      </c>
      <c r="AF52" s="3335"/>
      <c r="AG52" s="3335"/>
      <c r="AH52" s="3335"/>
      <c r="AI52" s="581">
        <f>SUMIF('Value added steel '!$D$54:$D$76,'Special steel '!$D52,'Value added steel '!$AI$54:$AI$76)</f>
        <v>0</v>
      </c>
      <c r="AJ52" s="3335"/>
      <c r="AK52" s="625">
        <f t="shared" si="83"/>
        <v>0</v>
      </c>
      <c r="AL52" s="3335"/>
      <c r="AM52" s="581">
        <f>SUMIF('Value added steel '!$D$54:$D$76,'Special steel '!$D52,'Value added steel '!$AM$54:$AM$76)</f>
        <v>109.928</v>
      </c>
      <c r="AN52" s="3335"/>
      <c r="AO52" s="2331">
        <f t="shared" si="88"/>
        <v>109.928</v>
      </c>
      <c r="AP52" s="3335"/>
      <c r="AQ52" s="625">
        <f t="shared" si="84"/>
        <v>109.928</v>
      </c>
      <c r="AR52" s="3335"/>
      <c r="AS52" s="581">
        <f>SUMIF('Value added steel '!$D$54:$D$76,'Special steel '!$D52,'Value added steel '!$AS$54:$AS$76)</f>
        <v>0</v>
      </c>
      <c r="AT52" s="3335"/>
      <c r="AU52" s="625">
        <f t="shared" si="85"/>
        <v>109.928</v>
      </c>
      <c r="AV52" s="630"/>
      <c r="AW52" s="581">
        <f>SUMIF('Value added steel '!$D$54:$D$76,'Special steel '!$D52,'Value added steel '!$AW$54:$AW$76)</f>
        <v>0</v>
      </c>
      <c r="AX52" s="3335"/>
      <c r="AY52" s="625">
        <f t="shared" si="86"/>
        <v>109.928</v>
      </c>
      <c r="AZ52" s="630"/>
      <c r="BA52" s="581">
        <f>SUMIF('Value added steel '!$D$54:$D$76,'Special steel '!$D52,'Value added steel '!$BA$54:$BA$76)</f>
        <v>0</v>
      </c>
      <c r="BB52" s="630"/>
      <c r="BC52" s="2331">
        <f t="shared" si="89"/>
        <v>0</v>
      </c>
      <c r="BD52" s="2391"/>
      <c r="BE52" s="1175">
        <f t="shared" si="13"/>
        <v>109.928</v>
      </c>
      <c r="BF52" s="630"/>
      <c r="BG52" s="625">
        <f t="shared" si="14"/>
        <v>109.928</v>
      </c>
      <c r="BH52" s="26"/>
      <c r="BI52" s="26"/>
    </row>
    <row r="53" spans="3:62" x14ac:dyDescent="0.3">
      <c r="C53" s="554" t="s">
        <v>979</v>
      </c>
      <c r="D53" s="554" t="s">
        <v>1110</v>
      </c>
      <c r="E53" s="6285"/>
      <c r="F53" s="554"/>
      <c r="G53" s="581">
        <f>SUMIF('Value added steel '!$D$54:$D$76,'Special steel '!$D53,'Value added steel '!$G$54:$G$76)</f>
        <v>685</v>
      </c>
      <c r="H53" s="581"/>
      <c r="I53" s="581">
        <f>SUMIF('Value added steel '!$D$54:$D$76,'Special steel '!$D53,'Value added steel '!$I$54:$I$76)</f>
        <v>480</v>
      </c>
      <c r="J53" s="625"/>
      <c r="K53" s="625">
        <f t="shared" si="53"/>
        <v>1165</v>
      </c>
      <c r="L53" s="581"/>
      <c r="M53" s="581">
        <f>SUMIF('Value added steel '!$D$54:$D$76,'Special steel '!$D53,'Value added steel '!$M$54:$M$76)</f>
        <v>0</v>
      </c>
      <c r="N53" s="630"/>
      <c r="O53" s="630">
        <f t="shared" si="54"/>
        <v>1165</v>
      </c>
      <c r="P53" s="581"/>
      <c r="Q53" s="581">
        <f>SUMIF('Value added steel '!$D$54:$D$76,'Special steel '!$D53,'Value added steel '!$Q$54:$Q$76)</f>
        <v>0</v>
      </c>
      <c r="R53" s="630"/>
      <c r="S53" s="630">
        <f t="shared" si="41"/>
        <v>1165</v>
      </c>
      <c r="T53" s="581"/>
      <c r="U53" s="581">
        <f>SUMIF('Value added steel '!$D$54:$D$76,'Special steel '!$D53,'Value added steel '!$U$54:$U$76)</f>
        <v>0</v>
      </c>
      <c r="V53" s="630"/>
      <c r="W53" s="630">
        <f t="shared" si="81"/>
        <v>1165</v>
      </c>
      <c r="X53" s="630"/>
      <c r="Y53" s="581">
        <f>SUMIF('Value added steel '!$D$54:$D$76,'Special steel '!$D53,'Value added steel '!$Y$54:$Y$76)</f>
        <v>689.16399999999999</v>
      </c>
      <c r="Z53" s="630"/>
      <c r="AA53" s="2331">
        <f t="shared" si="87"/>
        <v>689.16399999999999</v>
      </c>
      <c r="AB53" s="2391"/>
      <c r="AC53" s="1175">
        <f t="shared" si="5"/>
        <v>1854.164</v>
      </c>
      <c r="AD53" s="630"/>
      <c r="AE53" s="581">
        <f>SUMIF('Value added steel '!$D$54:$D$76,'Special steel '!$D53,'Value added steel '!$AE$54:$AE$76)</f>
        <v>0</v>
      </c>
      <c r="AF53" s="630"/>
      <c r="AG53" s="630">
        <f t="shared" si="82"/>
        <v>1854.164</v>
      </c>
      <c r="AH53" s="630"/>
      <c r="AI53" s="581">
        <f>SUMIF('Value added steel '!$D$54:$D$76,'Special steel '!$D53,'Value added steel '!$AI$54:$AI$76)</f>
        <v>0</v>
      </c>
      <c r="AJ53" s="630"/>
      <c r="AK53" s="625">
        <f t="shared" si="83"/>
        <v>1854.164</v>
      </c>
      <c r="AL53" s="630"/>
      <c r="AM53" s="581">
        <f>SUMIF('Value added steel '!$D$54:$D$76,'Special steel '!$D53,'Value added steel '!$AM$54:$AM$76)</f>
        <v>0</v>
      </c>
      <c r="AN53" s="630"/>
      <c r="AO53" s="2331">
        <f t="shared" si="88"/>
        <v>0</v>
      </c>
      <c r="AP53" s="630"/>
      <c r="AQ53" s="625">
        <f t="shared" si="84"/>
        <v>1854.164</v>
      </c>
      <c r="AR53" s="630"/>
      <c r="AS53" s="581">
        <f>SUMIF('Value added steel '!$D$54:$D$76,'Special steel '!$D53,'Value added steel '!$AS$54:$AS$76)</f>
        <v>0</v>
      </c>
      <c r="AT53" s="630"/>
      <c r="AU53" s="625">
        <f t="shared" si="85"/>
        <v>1854.164</v>
      </c>
      <c r="AV53" s="630"/>
      <c r="AW53" s="581">
        <f>SUMIF('Value added steel '!$D$54:$D$76,'Special steel '!$D53,'Value added steel '!$AW$54:$AW$76)</f>
        <v>0</v>
      </c>
      <c r="AX53" s="630"/>
      <c r="AY53" s="625">
        <f t="shared" si="86"/>
        <v>1854.164</v>
      </c>
      <c r="AZ53" s="630"/>
      <c r="BA53" s="581">
        <f>SUMIF('Value added steel '!$D$54:$D$76,'Special steel '!$D53,'Value added steel '!$BA$54:$BA$76)</f>
        <v>0</v>
      </c>
      <c r="BB53" s="630"/>
      <c r="BC53" s="2331">
        <f t="shared" si="89"/>
        <v>0</v>
      </c>
      <c r="BD53" s="2391"/>
      <c r="BE53" s="1175">
        <f t="shared" si="13"/>
        <v>0</v>
      </c>
      <c r="BF53" s="630"/>
      <c r="BG53" s="625">
        <f t="shared" si="14"/>
        <v>1854.164</v>
      </c>
      <c r="BH53" s="26"/>
      <c r="BI53" s="26"/>
    </row>
    <row r="54" spans="3:62" x14ac:dyDescent="0.3">
      <c r="C54" s="554" t="s">
        <v>979</v>
      </c>
      <c r="D54" s="554" t="s">
        <v>1105</v>
      </c>
      <c r="E54" s="6285"/>
      <c r="F54" s="554"/>
      <c r="G54" s="581">
        <f>SUMIF('Value added steel '!$D$54:$D$76,'Special steel '!$D54,'Value added steel '!$G$54:$G$76)</f>
        <v>0</v>
      </c>
      <c r="H54" s="581"/>
      <c r="I54" s="581">
        <f>SUMIF('Value added steel '!$D$54:$D$76,'Special steel '!$D54,'Value added steel '!$I$54:$I$76)</f>
        <v>0</v>
      </c>
      <c r="J54" s="625"/>
      <c r="K54" s="625">
        <f t="shared" si="53"/>
        <v>0</v>
      </c>
      <c r="L54" s="581"/>
      <c r="M54" s="581">
        <f>SUMIF('Value added steel '!$D$54:$D$76,'Special steel '!$D54,'Value added steel '!$M$54:$M$76)</f>
        <v>0</v>
      </c>
      <c r="N54" s="630"/>
      <c r="O54" s="630">
        <f t="shared" si="54"/>
        <v>0</v>
      </c>
      <c r="P54" s="581"/>
      <c r="Q54" s="581">
        <f>SUMIF('Value added steel '!$D$54:$D$76,'Special steel '!$D54,'Value added steel '!$Q$54:$Q$76)</f>
        <v>0</v>
      </c>
      <c r="R54" s="630"/>
      <c r="S54" s="630">
        <f t="shared" si="41"/>
        <v>0</v>
      </c>
      <c r="T54" s="581"/>
      <c r="U54" s="581">
        <f>SUMIF('Value added steel '!$D$54:$D$76,'Special steel '!$D54,'Value added steel '!$U$54:$U$76)</f>
        <v>0</v>
      </c>
      <c r="V54" s="630"/>
      <c r="W54" s="630">
        <f t="shared" si="81"/>
        <v>0</v>
      </c>
      <c r="X54" s="630"/>
      <c r="Y54" s="581">
        <f>SUMIF('Value added steel '!$D$54:$D$76,'Special steel '!$D54,'Value added steel '!$Y$54:$Y$76)</f>
        <v>0</v>
      </c>
      <c r="Z54" s="630"/>
      <c r="AA54" s="2331">
        <f t="shared" si="87"/>
        <v>0</v>
      </c>
      <c r="AB54" s="2391"/>
      <c r="AC54" s="1175">
        <f t="shared" si="5"/>
        <v>0</v>
      </c>
      <c r="AD54" s="630"/>
      <c r="AE54" s="581">
        <f>SUMIF('Value added steel '!$D$54:$D$76,'Special steel '!$D54,'Value added steel '!$AE$54:$AE$76)</f>
        <v>0</v>
      </c>
      <c r="AF54" s="630"/>
      <c r="AG54" s="630">
        <f t="shared" si="82"/>
        <v>0</v>
      </c>
      <c r="AH54" s="630"/>
      <c r="AI54" s="581">
        <f>SUMIF('Value added steel '!$D$54:$D$76,'Special steel '!$D54,'Value added steel '!$AI$54:$AI$76)</f>
        <v>0</v>
      </c>
      <c r="AJ54" s="630"/>
      <c r="AK54" s="625">
        <f t="shared" si="83"/>
        <v>0</v>
      </c>
      <c r="AL54" s="630"/>
      <c r="AM54" s="581">
        <f>SUMIF('Value added steel '!$D$54:$D$76,'Special steel '!$D54,'Value added steel '!$AM$54:$AM$76)</f>
        <v>0</v>
      </c>
      <c r="AN54" s="630"/>
      <c r="AO54" s="2331">
        <f t="shared" si="88"/>
        <v>0</v>
      </c>
      <c r="AP54" s="630"/>
      <c r="AQ54" s="625">
        <f t="shared" si="84"/>
        <v>0</v>
      </c>
      <c r="AR54" s="630"/>
      <c r="AS54" s="581">
        <f>SUMIF('Value added steel '!$D$54:$D$76,'Special steel '!$D54,'Value added steel '!$AS$54:$AS$76)</f>
        <v>0</v>
      </c>
      <c r="AT54" s="630"/>
      <c r="AU54" s="625">
        <f t="shared" si="85"/>
        <v>0</v>
      </c>
      <c r="AV54" s="630"/>
      <c r="AW54" s="581">
        <f>SUMIF('Value added steel '!$D$54:$D$76,'Special steel '!$D54,'Value added steel '!$AW$54:$AW$76)</f>
        <v>0</v>
      </c>
      <c r="AX54" s="630"/>
      <c r="AY54" s="625">
        <f t="shared" si="86"/>
        <v>0</v>
      </c>
      <c r="AZ54" s="630"/>
      <c r="BA54" s="581">
        <f>SUMIF('Value added steel '!$D$54:$D$76,'Special steel '!$D54,'Value added steel '!$BA$54:$BA$76)</f>
        <v>0</v>
      </c>
      <c r="BB54" s="630"/>
      <c r="BC54" s="2331">
        <f t="shared" si="89"/>
        <v>0</v>
      </c>
      <c r="BD54" s="2391"/>
      <c r="BE54" s="1175">
        <f t="shared" si="13"/>
        <v>0</v>
      </c>
      <c r="BF54" s="630"/>
      <c r="BG54" s="625">
        <f t="shared" si="14"/>
        <v>0</v>
      </c>
      <c r="BH54" s="26"/>
      <c r="BI54" s="26"/>
    </row>
    <row r="55" spans="3:62" s="2690" customFormat="1" x14ac:dyDescent="0.3">
      <c r="C55" s="554" t="s">
        <v>979</v>
      </c>
      <c r="D55" s="554" t="s">
        <v>1077</v>
      </c>
      <c r="E55" s="6285"/>
      <c r="F55" s="554"/>
      <c r="G55" s="581">
        <f>SUMIF('Value added steel '!$D$54:$D$76,'Special steel '!$D55,'Value added steel '!$G$54:$G$76)</f>
        <v>0</v>
      </c>
      <c r="H55" s="581"/>
      <c r="I55" s="581">
        <f>SUMIF('Value added steel '!$D$54:$D$76,'Special steel '!$D55,'Value added steel '!$I$54:$I$76)</f>
        <v>0</v>
      </c>
      <c r="J55" s="625"/>
      <c r="K55" s="625">
        <f t="shared" si="53"/>
        <v>0</v>
      </c>
      <c r="L55" s="581"/>
      <c r="M55" s="581">
        <f>SUMIF('Value added steel '!$D$54:$D$76,'Special steel '!$D55,'Value added steel '!$M$54:$M$76)</f>
        <v>3049</v>
      </c>
      <c r="N55" s="630"/>
      <c r="O55" s="630">
        <f t="shared" si="54"/>
        <v>3049</v>
      </c>
      <c r="P55" s="581"/>
      <c r="Q55" s="581">
        <f>SUMIF('Value added steel '!$D$54:$D$76,'Special steel '!$D55,'Value added steel '!$Q$54:$Q$76)</f>
        <v>564</v>
      </c>
      <c r="R55" s="630"/>
      <c r="S55" s="630">
        <f t="shared" si="41"/>
        <v>3613</v>
      </c>
      <c r="T55" s="581"/>
      <c r="U55" s="581">
        <f>SUMIF('Value added steel '!$D$54:$D$76,'Special steel '!$D55,'Value added steel '!$U$54:$U$76)</f>
        <v>1205</v>
      </c>
      <c r="V55" s="630"/>
      <c r="W55" s="630">
        <f t="shared" si="81"/>
        <v>4818</v>
      </c>
      <c r="X55" s="630"/>
      <c r="Y55" s="581">
        <f>SUMIF('Value added steel '!$D$54:$D$76,'Special steel '!$D55,'Value added steel '!$Y$54:$Y$76)</f>
        <v>517.92999999999995</v>
      </c>
      <c r="Z55" s="630"/>
      <c r="AA55" s="2331">
        <f t="shared" si="87"/>
        <v>2286.9299999999998</v>
      </c>
      <c r="AB55" s="2391"/>
      <c r="AC55" s="1175">
        <f t="shared" si="5"/>
        <v>5335.93</v>
      </c>
      <c r="AD55" s="630"/>
      <c r="AE55" s="581">
        <f>SUMIF('Value added steel '!$D$54:$D$76,'Special steel '!$D55,'Value added steel '!$AE$54:$AE$76)</f>
        <v>0</v>
      </c>
      <c r="AF55" s="630"/>
      <c r="AG55" s="630">
        <f t="shared" si="82"/>
        <v>5335.93</v>
      </c>
      <c r="AH55" s="630"/>
      <c r="AI55" s="581">
        <f>SUMIF('Value added steel '!$D$54:$D$76,'Special steel '!$D55,'Value added steel '!$AI$54:$AI$76)</f>
        <v>0</v>
      </c>
      <c r="AJ55" s="630"/>
      <c r="AK55" s="625">
        <f t="shared" si="83"/>
        <v>5335.93</v>
      </c>
      <c r="AL55" s="630"/>
      <c r="AM55" s="581">
        <f>SUMIF('Value added steel '!$D$54:$D$76,'Special steel '!$D55,'Value added steel '!$AM$54:$AM$76)</f>
        <v>7426.482</v>
      </c>
      <c r="AN55" s="630"/>
      <c r="AO55" s="2331">
        <f t="shared" si="88"/>
        <v>7426.482</v>
      </c>
      <c r="AP55" s="630"/>
      <c r="AQ55" s="625">
        <f t="shared" si="84"/>
        <v>12762.412</v>
      </c>
      <c r="AR55" s="630"/>
      <c r="AS55" s="581">
        <f>SUMIF('Value added steel '!$D$54:$D$76,'Special steel '!$D55,'Value added steel '!$AS$54:$AS$76)</f>
        <v>5065.1440000000002</v>
      </c>
      <c r="AT55" s="630"/>
      <c r="AU55" s="625">
        <f t="shared" si="85"/>
        <v>17827.556</v>
      </c>
      <c r="AV55" s="630"/>
      <c r="AW55" s="581">
        <f>SUMIF('Value added steel '!$D$54:$D$76,'Special steel '!$D55,'Value added steel '!$AW$54:$AW$76)</f>
        <v>3792.5160000000001</v>
      </c>
      <c r="AX55" s="630"/>
      <c r="AY55" s="625">
        <f t="shared" si="86"/>
        <v>21620.072</v>
      </c>
      <c r="AZ55" s="630"/>
      <c r="BA55" s="581">
        <f>SUMIF('Value added steel '!$D$54:$D$76,'Special steel '!$D55,'Value added steel '!$BA$54:$BA$76)</f>
        <v>1951</v>
      </c>
      <c r="BB55" s="630"/>
      <c r="BC55" s="2331">
        <f t="shared" si="89"/>
        <v>10808.66</v>
      </c>
      <c r="BD55" s="2391"/>
      <c r="BE55" s="1175">
        <f t="shared" si="13"/>
        <v>18235.142</v>
      </c>
      <c r="BF55" s="630"/>
      <c r="BG55" s="625">
        <f t="shared" si="14"/>
        <v>23571.072</v>
      </c>
      <c r="BH55" s="26"/>
      <c r="BI55" s="26"/>
    </row>
    <row r="56" spans="3:62" x14ac:dyDescent="0.3">
      <c r="C56" s="554" t="s">
        <v>979</v>
      </c>
      <c r="D56" s="554" t="s">
        <v>1670</v>
      </c>
      <c r="E56" s="6285"/>
      <c r="F56" s="554"/>
      <c r="G56" s="581">
        <f>SUMIF('Value added steel '!$D$54:$D$76,'Special steel '!$D56,'Value added steel '!$G$54:$G$76)</f>
        <v>0</v>
      </c>
      <c r="H56" s="581"/>
      <c r="I56" s="581">
        <f>SUMIF('Value added steel '!$D$54:$D$76,'Special steel '!$D56,'Value added steel '!$I$54:$I$76)</f>
        <v>0</v>
      </c>
      <c r="J56" s="625"/>
      <c r="K56" s="625">
        <f t="shared" si="53"/>
        <v>0</v>
      </c>
      <c r="L56" s="581"/>
      <c r="M56" s="581">
        <f>SUMIF('Value added steel '!$D$54:$D$76,'Special steel '!$D56,'Value added steel '!$M$54:$M$76)</f>
        <v>0</v>
      </c>
      <c r="N56" s="630"/>
      <c r="O56" s="630">
        <f t="shared" si="54"/>
        <v>0</v>
      </c>
      <c r="P56" s="581"/>
      <c r="Q56" s="581">
        <f>SUMIF('Value added steel '!$D$54:$D$76,'Special steel '!$D56,'Value added steel '!$Q$54:$Q$76)</f>
        <v>583</v>
      </c>
      <c r="R56" s="630"/>
      <c r="S56" s="630">
        <f t="shared" si="41"/>
        <v>583</v>
      </c>
      <c r="T56" s="581"/>
      <c r="U56" s="581">
        <f>SUMIF('Value added steel '!$D$54:$D$76,'Special steel '!$D56,'Value added steel '!$U$54:$U$76)</f>
        <v>0</v>
      </c>
      <c r="V56" s="630"/>
      <c r="W56" s="630">
        <f t="shared" si="81"/>
        <v>583</v>
      </c>
      <c r="X56" s="630"/>
      <c r="Y56" s="581">
        <f>SUMIF('Value added steel '!$D$54:$D$76,'Special steel '!$D56,'Value added steel '!$Y$54:$Y$76)</f>
        <v>160.66399999999999</v>
      </c>
      <c r="Z56" s="630"/>
      <c r="AA56" s="2331">
        <f t="shared" si="87"/>
        <v>743.66399999999999</v>
      </c>
      <c r="AB56" s="2391"/>
      <c r="AC56" s="1175">
        <f t="shared" si="5"/>
        <v>743.66399999999999</v>
      </c>
      <c r="AD56" s="630"/>
      <c r="AE56" s="581">
        <f>SUMIF('Value added steel '!$D$54:$D$76,'Special steel '!$D56,'Value added steel '!$AE$54:$AE$76)</f>
        <v>0</v>
      </c>
      <c r="AF56" s="630"/>
      <c r="AG56" s="630">
        <f t="shared" si="82"/>
        <v>743.66399999999999</v>
      </c>
      <c r="AH56" s="630"/>
      <c r="AI56" s="581">
        <f>SUMIF('Value added steel '!$D$54:$D$76,'Special steel '!$D56,'Value added steel '!$AI$54:$AI$76)</f>
        <v>0</v>
      </c>
      <c r="AJ56" s="630"/>
      <c r="AK56" s="625">
        <f t="shared" si="83"/>
        <v>743.66399999999999</v>
      </c>
      <c r="AL56" s="630"/>
      <c r="AM56" s="581">
        <f>SUMIF('Value added steel '!$D$54:$D$76,'Special steel '!$D56,'Value added steel '!$AM$54:$AM$76)</f>
        <v>0</v>
      </c>
      <c r="AN56" s="630"/>
      <c r="AO56" s="2331">
        <f t="shared" si="88"/>
        <v>0</v>
      </c>
      <c r="AP56" s="630"/>
      <c r="AQ56" s="625">
        <f t="shared" si="84"/>
        <v>743.66399999999999</v>
      </c>
      <c r="AR56" s="630"/>
      <c r="AS56" s="581">
        <f>SUMIF('Value added steel '!$D$54:$D$76,'Special steel '!$D56,'Value added steel '!$AS$54:$AS$76)</f>
        <v>0</v>
      </c>
      <c r="AT56" s="630"/>
      <c r="AU56" s="625">
        <f t="shared" si="85"/>
        <v>743.66399999999999</v>
      </c>
      <c r="AV56" s="630"/>
      <c r="AW56" s="581">
        <f>SUMIF('Value added steel '!$D$54:$D$76,'Special steel '!$D56,'Value added steel '!$AW$54:$AW$76)</f>
        <v>0</v>
      </c>
      <c r="AX56" s="630"/>
      <c r="AY56" s="625">
        <f t="shared" si="86"/>
        <v>743.66399999999999</v>
      </c>
      <c r="AZ56" s="630"/>
      <c r="BA56" s="581">
        <f>SUMIF('Value added steel '!$D$54:$D$76,'Special steel '!$D56,'Value added steel '!$BA$54:$BA$76)</f>
        <v>0</v>
      </c>
      <c r="BB56" s="630"/>
      <c r="BC56" s="2331">
        <f t="shared" si="89"/>
        <v>0</v>
      </c>
      <c r="BD56" s="2391"/>
      <c r="BE56" s="1175">
        <f t="shared" si="13"/>
        <v>0</v>
      </c>
      <c r="BF56" s="630"/>
      <c r="BG56" s="625">
        <f t="shared" si="14"/>
        <v>743.66399999999999</v>
      </c>
      <c r="BH56" s="26"/>
      <c r="BI56" s="26"/>
    </row>
    <row r="57" spans="3:62" x14ac:dyDescent="0.3">
      <c r="C57" s="554" t="s">
        <v>979</v>
      </c>
      <c r="D57" s="554" t="s">
        <v>1671</v>
      </c>
      <c r="E57" s="6285"/>
      <c r="F57" s="554"/>
      <c r="G57" s="581">
        <f>SUMIF('Value added steel '!$D$54:$D$76,'Special steel '!$D57,'Value added steel '!$G$54:$G$76)</f>
        <v>0</v>
      </c>
      <c r="H57" s="581"/>
      <c r="I57" s="581">
        <f>SUMIF('Value added steel '!$D$54:$D$76,'Special steel '!$D57,'Value added steel '!$I$54:$I$76)</f>
        <v>0</v>
      </c>
      <c r="J57" s="625"/>
      <c r="K57" s="625">
        <f t="shared" si="53"/>
        <v>0</v>
      </c>
      <c r="L57" s="581"/>
      <c r="M57" s="581">
        <f>SUMIF('Value added steel '!$D$54:$D$76,'Special steel '!$D57,'Value added steel '!$M$54:$M$76)</f>
        <v>0</v>
      </c>
      <c r="N57" s="630"/>
      <c r="O57" s="630">
        <f t="shared" si="54"/>
        <v>0</v>
      </c>
      <c r="P57" s="581"/>
      <c r="Q57" s="581">
        <f>SUMIF('Value added steel '!$D$54:$D$76,'Special steel '!$D57,'Value added steel '!$Q$54:$Q$76)</f>
        <v>0</v>
      </c>
      <c r="R57" s="630"/>
      <c r="S57" s="630">
        <f t="shared" si="41"/>
        <v>0</v>
      </c>
      <c r="T57" s="581"/>
      <c r="U57" s="581">
        <f>SUMIF('Value added steel '!$D$54:$D$76,'Special steel '!$D57,'Value added steel '!$U$54:$U$76)</f>
        <v>651</v>
      </c>
      <c r="V57" s="630"/>
      <c r="W57" s="630">
        <f t="shared" si="81"/>
        <v>651</v>
      </c>
      <c r="X57" s="630"/>
      <c r="Y57" s="581">
        <f>SUMIF('Value added steel '!$D$54:$D$76,'Special steel '!$D57,'Value added steel '!$Y$54:$Y$76)</f>
        <v>0</v>
      </c>
      <c r="Z57" s="630"/>
      <c r="AA57" s="2331">
        <f t="shared" si="87"/>
        <v>651</v>
      </c>
      <c r="AB57" s="2391"/>
      <c r="AC57" s="1175">
        <f t="shared" si="5"/>
        <v>651</v>
      </c>
      <c r="AD57" s="630"/>
      <c r="AE57" s="581">
        <f>SUMIF('Value added steel '!$D$54:$D$76,'Special steel '!$D57,'Value added steel '!$AE$54:$AE$76)</f>
        <v>0</v>
      </c>
      <c r="AF57" s="630"/>
      <c r="AG57" s="630">
        <f t="shared" si="82"/>
        <v>651</v>
      </c>
      <c r="AH57" s="630"/>
      <c r="AI57" s="581">
        <f>SUMIF('Value added steel '!$D$54:$D$76,'Special steel '!$D57,'Value added steel '!$AI$54:$AI$76)</f>
        <v>0</v>
      </c>
      <c r="AJ57" s="630"/>
      <c r="AK57" s="625">
        <f t="shared" si="83"/>
        <v>651</v>
      </c>
      <c r="AL57" s="630"/>
      <c r="AM57" s="581">
        <f>SUMIF('Value added steel '!$D$54:$D$76,'Special steel '!$D57,'Value added steel '!$AM$54:$AM$76)</f>
        <v>0</v>
      </c>
      <c r="AN57" s="630"/>
      <c r="AO57" s="2331">
        <f t="shared" si="88"/>
        <v>0</v>
      </c>
      <c r="AP57" s="630"/>
      <c r="AQ57" s="625">
        <f t="shared" si="84"/>
        <v>651</v>
      </c>
      <c r="AR57" s="630"/>
      <c r="AS57" s="581">
        <f>SUMIF('Value added steel '!$D$54:$D$76,'Special steel '!$D57,'Value added steel '!$AS$54:$AS$76)</f>
        <v>0</v>
      </c>
      <c r="AT57" s="630"/>
      <c r="AU57" s="625">
        <f t="shared" si="85"/>
        <v>651</v>
      </c>
      <c r="AV57" s="630"/>
      <c r="AW57" s="581">
        <f>SUMIF('Value added steel '!$D$54:$D$76,'Special steel '!$D57,'Value added steel '!$AW$54:$AW$76)</f>
        <v>0</v>
      </c>
      <c r="AX57" s="630"/>
      <c r="AY57" s="625">
        <f t="shared" si="86"/>
        <v>651</v>
      </c>
      <c r="AZ57" s="630"/>
      <c r="BA57" s="581">
        <f>SUMIF('Value added steel '!$D$54:$D$76,'Special steel '!$D57,'Value added steel '!$BA$54:$BA$76)</f>
        <v>0</v>
      </c>
      <c r="BB57" s="630"/>
      <c r="BC57" s="2331">
        <f t="shared" si="89"/>
        <v>0</v>
      </c>
      <c r="BD57" s="2391"/>
      <c r="BE57" s="1175">
        <f t="shared" si="13"/>
        <v>0</v>
      </c>
      <c r="BF57" s="630"/>
      <c r="BG57" s="625">
        <f t="shared" si="14"/>
        <v>651</v>
      </c>
      <c r="BH57" s="26"/>
      <c r="BI57" s="26"/>
    </row>
    <row r="58" spans="3:62" x14ac:dyDescent="0.3">
      <c r="C58" s="554" t="s">
        <v>979</v>
      </c>
      <c r="D58" s="554" t="s">
        <v>1548</v>
      </c>
      <c r="E58" s="6285"/>
      <c r="F58" s="554"/>
      <c r="G58" s="581">
        <f>SUMIF('Value added steel '!$D$54:$D$76,'Special steel '!$D58,'Value added steel '!$G$54:$G$76)</f>
        <v>0</v>
      </c>
      <c r="H58" s="581"/>
      <c r="I58" s="581">
        <f>SUMIF('Value added steel '!$D$54:$D$76,'Special steel '!$D58,'Value added steel '!$I$54:$I$76)</f>
        <v>0</v>
      </c>
      <c r="J58" s="625"/>
      <c r="K58" s="625">
        <f t="shared" si="53"/>
        <v>0</v>
      </c>
      <c r="L58" s="581"/>
      <c r="M58" s="581">
        <f>SUMIF('Value added steel '!$D$54:$D$76,'Special steel '!$D58,'Value added steel '!$M$54:$M$76)</f>
        <v>588</v>
      </c>
      <c r="N58" s="630"/>
      <c r="O58" s="630">
        <f t="shared" si="54"/>
        <v>588</v>
      </c>
      <c r="P58" s="581"/>
      <c r="Q58" s="581">
        <f>SUMIF('Value added steel '!$D$54:$D$76,'Special steel '!$D58,'Value added steel '!$Q$54:$Q$76)</f>
        <v>254</v>
      </c>
      <c r="R58" s="630"/>
      <c r="S58" s="630">
        <f t="shared" si="41"/>
        <v>842</v>
      </c>
      <c r="T58" s="581"/>
      <c r="U58" s="581">
        <f>SUMIF('Value added steel '!$D$54:$D$76,'Special steel '!$D58,'Value added steel '!$U$54:$U$76)</f>
        <v>0</v>
      </c>
      <c r="V58" s="630"/>
      <c r="W58" s="630">
        <f t="shared" si="81"/>
        <v>842</v>
      </c>
      <c r="X58" s="630"/>
      <c r="Y58" s="581">
        <f>SUMIF('Value added steel '!$D$54:$D$76,'Special steel '!$D58,'Value added steel '!$Y$54:$Y$76)</f>
        <v>0</v>
      </c>
      <c r="Z58" s="630"/>
      <c r="AA58" s="2331">
        <f t="shared" ref="AA58" si="92">Q58+U58+Y58</f>
        <v>254</v>
      </c>
      <c r="AB58" s="2391"/>
      <c r="AC58" s="1175">
        <f t="shared" si="5"/>
        <v>842</v>
      </c>
      <c r="AD58" s="630"/>
      <c r="AE58" s="581">
        <f>SUMIF('Value added steel '!$D$54:$D$76,'Special steel '!$D58,'Value added steel '!$AE$54:$AE$76)</f>
        <v>0</v>
      </c>
      <c r="AF58" s="630"/>
      <c r="AG58" s="630">
        <f t="shared" si="82"/>
        <v>842</v>
      </c>
      <c r="AH58" s="630"/>
      <c r="AI58" s="581">
        <f>SUMIF('Value added steel '!$D$54:$D$76,'Special steel '!$D58,'Value added steel '!$AI$54:$AI$76)</f>
        <v>0</v>
      </c>
      <c r="AJ58" s="630"/>
      <c r="AK58" s="625">
        <f t="shared" si="83"/>
        <v>842</v>
      </c>
      <c r="AL58" s="630"/>
      <c r="AM58" s="581">
        <f>SUMIF('Value added steel '!$D$54:$D$76,'Special steel '!$D58,'Value added steel '!$AM$54:$AM$76)</f>
        <v>0</v>
      </c>
      <c r="AN58" s="630"/>
      <c r="AO58" s="2331">
        <f t="shared" si="88"/>
        <v>0</v>
      </c>
      <c r="AP58" s="630"/>
      <c r="AQ58" s="625">
        <f t="shared" si="84"/>
        <v>842</v>
      </c>
      <c r="AR58" s="630"/>
      <c r="AS58" s="581">
        <f>SUMIF('Value added steel '!$D$54:$D$76,'Special steel '!$D58,'Value added steel '!$AS$54:$AS$76)</f>
        <v>0</v>
      </c>
      <c r="AT58" s="630"/>
      <c r="AU58" s="625">
        <f t="shared" si="85"/>
        <v>842</v>
      </c>
      <c r="AV58" s="630"/>
      <c r="AW58" s="581">
        <f>SUMIF('Value added steel '!$D$54:$D$76,'Special steel '!$D58,'Value added steel '!$AW$54:$AW$76)</f>
        <v>0</v>
      </c>
      <c r="AX58" s="630"/>
      <c r="AY58" s="625">
        <f t="shared" si="86"/>
        <v>842</v>
      </c>
      <c r="AZ58" s="630"/>
      <c r="BA58" s="581">
        <f>SUMIF('Value added steel '!$D$54:$D$76,'Special steel '!$D58,'Value added steel '!$BA$54:$BA$76)</f>
        <v>0</v>
      </c>
      <c r="BB58" s="630"/>
      <c r="BC58" s="2331">
        <f t="shared" si="89"/>
        <v>0</v>
      </c>
      <c r="BD58" s="2391"/>
      <c r="BE58" s="1175">
        <f t="shared" si="13"/>
        <v>0</v>
      </c>
      <c r="BF58" s="630"/>
      <c r="BG58" s="625">
        <f t="shared" si="14"/>
        <v>842</v>
      </c>
      <c r="BH58" s="26"/>
      <c r="BI58" s="26"/>
    </row>
    <row r="59" spans="3:62" x14ac:dyDescent="0.3">
      <c r="C59" s="554" t="s">
        <v>979</v>
      </c>
      <c r="D59" s="554" t="s">
        <v>1078</v>
      </c>
      <c r="E59" s="6285"/>
      <c r="F59" s="554"/>
      <c r="G59" s="581">
        <f>SUMIF('Value added steel '!$D$54:$D$76,'Special steel '!$D59,'Value added steel '!$G$54:$G$76)</f>
        <v>0</v>
      </c>
      <c r="H59" s="581"/>
      <c r="I59" s="581">
        <f>SUMIF('Value added steel '!$D$54:$D$76,'Special steel '!$D59,'Value added steel '!$I$54:$I$76)</f>
        <v>0</v>
      </c>
      <c r="J59" s="625"/>
      <c r="K59" s="625">
        <f t="shared" si="53"/>
        <v>0</v>
      </c>
      <c r="L59" s="581"/>
      <c r="M59" s="581">
        <f>SUMIF('Value added steel '!$D$54:$D$76,'Special steel '!$D59,'Value added steel '!$M$54:$M$76)</f>
        <v>0</v>
      </c>
      <c r="N59" s="630"/>
      <c r="O59" s="630">
        <f t="shared" si="54"/>
        <v>0</v>
      </c>
      <c r="P59" s="581"/>
      <c r="Q59" s="581">
        <f>SUMIF('Value added steel '!$D$54:$D$76,'Special steel '!$D59,'Value added steel '!$Q$54:$Q$76)</f>
        <v>0</v>
      </c>
      <c r="R59" s="630"/>
      <c r="S59" s="630">
        <f t="shared" si="41"/>
        <v>0</v>
      </c>
      <c r="T59" s="581"/>
      <c r="U59" s="581">
        <f>SUMIF('Value added steel '!$D$54:$D$76,'Special steel '!$D59,'Value added steel '!$U$54:$U$76)</f>
        <v>0</v>
      </c>
      <c r="V59" s="630"/>
      <c r="W59" s="630">
        <f t="shared" si="81"/>
        <v>0</v>
      </c>
      <c r="X59" s="630"/>
      <c r="Y59" s="581">
        <f>SUMIF('Value added steel '!$D$54:$D$76,'Special steel '!$D59,'Value added steel '!$Y$54:$Y$76)</f>
        <v>0</v>
      </c>
      <c r="Z59" s="630"/>
      <c r="AA59" s="2331">
        <f t="shared" si="87"/>
        <v>0</v>
      </c>
      <c r="AB59" s="2391"/>
      <c r="AC59" s="1175">
        <f t="shared" si="5"/>
        <v>0</v>
      </c>
      <c r="AD59" s="630"/>
      <c r="AE59" s="581">
        <f>SUMIF('Value added steel '!$D$54:$D$76,'Special steel '!$D59,'Value added steel '!$AE$54:$AE$76)</f>
        <v>0</v>
      </c>
      <c r="AF59" s="630"/>
      <c r="AG59" s="630">
        <f t="shared" si="82"/>
        <v>0</v>
      </c>
      <c r="AH59" s="630"/>
      <c r="AI59" s="581">
        <f>SUMIF('Value added steel '!$D$54:$D$76,'Special steel '!$D59,'Value added steel '!$AI$54:$AI$76)</f>
        <v>0</v>
      </c>
      <c r="AJ59" s="630"/>
      <c r="AK59" s="625">
        <f t="shared" si="83"/>
        <v>0</v>
      </c>
      <c r="AL59" s="630"/>
      <c r="AM59" s="581">
        <f>SUMIF('Value added steel '!$D$54:$D$76,'Special steel '!$D59,'Value added steel '!$AM$54:$AM$76)</f>
        <v>0</v>
      </c>
      <c r="AN59" s="630"/>
      <c r="AO59" s="2331">
        <f t="shared" si="88"/>
        <v>0</v>
      </c>
      <c r="AP59" s="630"/>
      <c r="AQ59" s="625">
        <f t="shared" si="84"/>
        <v>0</v>
      </c>
      <c r="AR59" s="630"/>
      <c r="AS59" s="581">
        <f>SUMIF('Value added steel '!$D$54:$D$76,'Special steel '!$D59,'Value added steel '!$AS$54:$AS$76)</f>
        <v>0</v>
      </c>
      <c r="AT59" s="630"/>
      <c r="AU59" s="625">
        <f t="shared" si="85"/>
        <v>0</v>
      </c>
      <c r="AV59" s="630"/>
      <c r="AW59" s="581">
        <f>SUMIF('Value added steel '!$D$54:$D$76,'Special steel '!$D59,'Value added steel '!$AW$54:$AW$76)</f>
        <v>0</v>
      </c>
      <c r="AX59" s="630"/>
      <c r="AY59" s="625">
        <f t="shared" si="86"/>
        <v>0</v>
      </c>
      <c r="AZ59" s="630"/>
      <c r="BA59" s="581">
        <f>SUMIF('Value added steel '!$D$54:$D$76,'Special steel '!$D59,'Value added steel '!$BA$54:$BA$76)</f>
        <v>0</v>
      </c>
      <c r="BB59" s="632"/>
      <c r="BC59" s="2331">
        <f t="shared" si="89"/>
        <v>0</v>
      </c>
      <c r="BD59" s="2391"/>
      <c r="BE59" s="1175">
        <f t="shared" si="13"/>
        <v>0</v>
      </c>
      <c r="BF59" s="632"/>
      <c r="BG59" s="625">
        <f t="shared" si="14"/>
        <v>0</v>
      </c>
      <c r="BH59" s="26"/>
      <c r="BI59" s="26"/>
    </row>
    <row r="60" spans="3:62" x14ac:dyDescent="0.3">
      <c r="C60" s="554" t="s">
        <v>979</v>
      </c>
      <c r="D60" s="554" t="s">
        <v>1372</v>
      </c>
      <c r="E60" s="6285"/>
      <c r="F60" s="554"/>
      <c r="G60" s="581">
        <f>SUMIF('Value added steel '!$D$54:$D$76,'Special steel '!$D60,'Value added steel '!$G$54:$G$76)</f>
        <v>0</v>
      </c>
      <c r="H60" s="581"/>
      <c r="I60" s="581">
        <f>SUMIF('Value added steel '!$D$54:$D$76,'Special steel '!$D60,'Value added steel '!$I$54:$I$76)</f>
        <v>0</v>
      </c>
      <c r="J60" s="625"/>
      <c r="K60" s="625">
        <f t="shared" si="53"/>
        <v>0</v>
      </c>
      <c r="L60" s="581"/>
      <c r="M60" s="581">
        <f>SUMIF('Value added steel '!$D$54:$D$76,'Special steel '!$D60,'Value added steel '!$M$54:$M$76)</f>
        <v>0</v>
      </c>
      <c r="N60" s="630"/>
      <c r="O60" s="630">
        <f t="shared" si="54"/>
        <v>0</v>
      </c>
      <c r="P60" s="581"/>
      <c r="Q60" s="581">
        <f>SUMIF('Value added steel '!$D$54:$D$76,'Special steel '!$D60,'Value added steel '!$Q$54:$Q$76)</f>
        <v>0</v>
      </c>
      <c r="R60" s="630"/>
      <c r="S60" s="630">
        <f t="shared" si="41"/>
        <v>0</v>
      </c>
      <c r="T60" s="581"/>
      <c r="U60" s="581">
        <f>SUMIF('Value added steel '!$D$54:$D$76,'Special steel '!$D60,'Value added steel '!$U$54:$U$76)</f>
        <v>0</v>
      </c>
      <c r="V60" s="630"/>
      <c r="W60" s="630">
        <f t="shared" si="81"/>
        <v>0</v>
      </c>
      <c r="X60" s="630"/>
      <c r="Y60" s="581">
        <f>SUMIF('Value added steel '!$D$54:$D$76,'Special steel '!$D60,'Value added steel '!$Y$54:$Y$76)</f>
        <v>0</v>
      </c>
      <c r="Z60" s="630"/>
      <c r="AA60" s="2331">
        <f t="shared" si="87"/>
        <v>0</v>
      </c>
      <c r="AB60" s="2391"/>
      <c r="AC60" s="1175">
        <f t="shared" si="5"/>
        <v>0</v>
      </c>
      <c r="AD60" s="630"/>
      <c r="AE60" s="581">
        <f>SUMIF('Value added steel '!$D$54:$D$76,'Special steel '!$D60,'Value added steel '!$AE$54:$AE$76)</f>
        <v>0</v>
      </c>
      <c r="AF60" s="630"/>
      <c r="AG60" s="630">
        <f t="shared" si="82"/>
        <v>0</v>
      </c>
      <c r="AH60" s="630"/>
      <c r="AI60" s="581">
        <f>SUMIF('Value added steel '!$D$54:$D$76,'Special steel '!$D60,'Value added steel '!$AI$54:$AI$76)</f>
        <v>0</v>
      </c>
      <c r="AJ60" s="630"/>
      <c r="AK60" s="625">
        <f t="shared" si="83"/>
        <v>0</v>
      </c>
      <c r="AL60" s="630"/>
      <c r="AM60" s="581">
        <f>SUMIF('Value added steel '!$D$54:$D$76,'Special steel '!$D60,'Value added steel '!$AM$54:$AM$76)</f>
        <v>0</v>
      </c>
      <c r="AN60" s="630"/>
      <c r="AO60" s="2331">
        <f t="shared" si="88"/>
        <v>0</v>
      </c>
      <c r="AP60" s="630"/>
      <c r="AQ60" s="625">
        <f t="shared" si="84"/>
        <v>0</v>
      </c>
      <c r="AR60" s="630"/>
      <c r="AS60" s="581">
        <f>SUMIF('Value added steel '!$D$54:$D$76,'Special steel '!$D60,'Value added steel '!$AS$54:$AS$76)</f>
        <v>0</v>
      </c>
      <c r="AT60" s="630"/>
      <c r="AU60" s="625">
        <f t="shared" si="85"/>
        <v>0</v>
      </c>
      <c r="AV60" s="635"/>
      <c r="AW60" s="581">
        <f>SUMIF('Value added steel '!$D$54:$D$76,'Special steel '!$D60,'Value added steel '!$AW$54:$AW$76)</f>
        <v>0</v>
      </c>
      <c r="AX60" s="630"/>
      <c r="AY60" s="625">
        <f t="shared" si="86"/>
        <v>0</v>
      </c>
      <c r="AZ60" s="635"/>
      <c r="BA60" s="581">
        <f>SUMIF('Value added steel '!$D$54:$D$76,'Special steel '!$D60,'Value added steel '!$BA$54:$BA$76)</f>
        <v>0</v>
      </c>
      <c r="BB60" s="635"/>
      <c r="BC60" s="2331">
        <f t="shared" si="89"/>
        <v>0</v>
      </c>
      <c r="BD60" s="2391"/>
      <c r="BE60" s="1175">
        <f t="shared" si="13"/>
        <v>0</v>
      </c>
      <c r="BF60" s="635"/>
      <c r="BG60" s="625">
        <f t="shared" si="14"/>
        <v>0</v>
      </c>
      <c r="BH60" s="26"/>
      <c r="BI60" s="26"/>
    </row>
    <row r="61" spans="3:62" x14ac:dyDescent="0.3">
      <c r="C61" s="554" t="s">
        <v>979</v>
      </c>
      <c r="D61" s="554" t="s">
        <v>1586</v>
      </c>
      <c r="E61" s="6285"/>
      <c r="F61" s="554"/>
      <c r="G61" s="581">
        <f>SUMIF('Value added steel '!$D$54:$D$76,'Special steel '!$D61,'Value added steel '!$G$54:$G$76)</f>
        <v>723</v>
      </c>
      <c r="H61" s="581"/>
      <c r="I61" s="581">
        <f>SUMIF('Value added steel '!$D$54:$D$76,'Special steel '!$D61,'Value added steel '!$I$54:$I$76)</f>
        <v>590</v>
      </c>
      <c r="J61" s="625"/>
      <c r="K61" s="625">
        <f t="shared" si="53"/>
        <v>1313</v>
      </c>
      <c r="L61" s="581"/>
      <c r="M61" s="581">
        <f>SUMIF('Value added steel '!$D$54:$D$76,'Special steel '!$D61,'Value added steel '!$M$54:$M$76)</f>
        <v>0</v>
      </c>
      <c r="N61" s="630"/>
      <c r="O61" s="630"/>
      <c r="P61" s="581"/>
      <c r="Q61" s="581">
        <f>SUMIF('Value added steel '!$D$54:$D$76,'Special steel '!$D61,'Value added steel '!$Q$54:$Q$76)</f>
        <v>3702</v>
      </c>
      <c r="R61" s="630"/>
      <c r="S61" s="630">
        <f t="shared" si="41"/>
        <v>3702</v>
      </c>
      <c r="T61" s="581"/>
      <c r="U61" s="581">
        <f>SUMIF('Value added steel '!$D$54:$D$76,'Special steel '!$D61,'Value added steel '!$U$54:$U$76)</f>
        <v>408</v>
      </c>
      <c r="V61" s="630"/>
      <c r="W61" s="630"/>
      <c r="X61" s="630"/>
      <c r="Y61" s="581">
        <f>SUMIF('Value added steel '!$D$54:$D$76,'Special steel '!$D61,'Value added steel '!$Y$54:$Y$76)</f>
        <v>0</v>
      </c>
      <c r="Z61" s="630"/>
      <c r="AA61" s="2331">
        <f t="shared" si="87"/>
        <v>4110</v>
      </c>
      <c r="AB61" s="2391"/>
      <c r="AC61" s="1175">
        <f t="shared" si="5"/>
        <v>4110</v>
      </c>
      <c r="AD61" s="630"/>
      <c r="AE61" s="581">
        <f>SUMIF('Value added steel '!$D$54:$D$76,'Special steel '!$D61,'Value added steel '!$AE$54:$AE$76)</f>
        <v>0</v>
      </c>
      <c r="AF61" s="630"/>
      <c r="AG61" s="630">
        <f t="shared" si="82"/>
        <v>4110</v>
      </c>
      <c r="AH61" s="630"/>
      <c r="AI61" s="581">
        <f>SUMIF('Value added steel '!$D$54:$D$76,'Special steel '!$D61,'Value added steel '!$AI$54:$AI$76)</f>
        <v>0</v>
      </c>
      <c r="AJ61" s="630"/>
      <c r="AK61" s="625">
        <f t="shared" si="83"/>
        <v>4110</v>
      </c>
      <c r="AL61" s="630"/>
      <c r="AM61" s="581">
        <f>SUMIF('Value added steel '!$D$54:$D$76,'Special steel '!$D61,'Value added steel '!$AM$54:$AM$76)</f>
        <v>0</v>
      </c>
      <c r="AN61" s="630"/>
      <c r="AO61" s="2331">
        <f t="shared" si="88"/>
        <v>0</v>
      </c>
      <c r="AP61" s="630"/>
      <c r="AQ61" s="625">
        <f t="shared" si="84"/>
        <v>4110</v>
      </c>
      <c r="AR61" s="630"/>
      <c r="AS61" s="581">
        <f>SUMIF('Value added steel '!$D$54:$D$76,'Special steel '!$D61,'Value added steel '!$AS$54:$AS$76)</f>
        <v>832.91600000000005</v>
      </c>
      <c r="AT61" s="630"/>
      <c r="AU61" s="625">
        <f t="shared" si="85"/>
        <v>4942.9160000000002</v>
      </c>
      <c r="AV61" s="630"/>
      <c r="AW61" s="581">
        <f>SUMIF('Value added steel '!$D$54:$D$76,'Special steel '!$D61,'Value added steel '!$AW$54:$AW$76)</f>
        <v>1663.7180000000001</v>
      </c>
      <c r="AX61" s="630"/>
      <c r="AY61" s="625">
        <f t="shared" si="86"/>
        <v>6606.634</v>
      </c>
      <c r="AZ61" s="630"/>
      <c r="BA61" s="581">
        <f>SUMIF('Value added steel '!$D$54:$D$76,'Special steel '!$D61,'Value added steel '!$BA$54:$BA$76)</f>
        <v>0</v>
      </c>
      <c r="BB61" s="632"/>
      <c r="BC61" s="2331">
        <f t="shared" si="89"/>
        <v>2496.634</v>
      </c>
      <c r="BD61" s="2391"/>
      <c r="BE61" s="1175">
        <f t="shared" si="13"/>
        <v>2496.634</v>
      </c>
      <c r="BF61" s="632"/>
      <c r="BG61" s="625">
        <f t="shared" si="14"/>
        <v>6606.634</v>
      </c>
      <c r="BH61" s="26"/>
      <c r="BI61" s="26"/>
    </row>
    <row r="62" spans="3:62" s="2276" customFormat="1" x14ac:dyDescent="0.3">
      <c r="C62" s="6337" t="s">
        <v>979</v>
      </c>
      <c r="D62" s="6337" t="s">
        <v>2153</v>
      </c>
      <c r="E62" s="6285"/>
      <c r="F62" s="6337"/>
      <c r="G62" s="581">
        <f>SUMIF('Value added steel '!$D$54:$D$76,'Special steel '!$D62,'Value added steel '!$G$54:$G$76)</f>
        <v>0</v>
      </c>
      <c r="H62" s="581"/>
      <c r="I62" s="581">
        <f>SUMIF('Value added steel '!$D$54:$D$76,'Special steel '!$D62,'Value added steel '!$I$54:$I$76)</f>
        <v>0</v>
      </c>
      <c r="J62" s="625"/>
      <c r="K62" s="625">
        <f t="shared" ref="K62" si="93">+G62+I62</f>
        <v>0</v>
      </c>
      <c r="L62" s="581"/>
      <c r="M62" s="581">
        <f>SUMIF('Value added steel '!$D$54:$D$76,'Special steel '!$D62,'Value added steel '!$M$54:$M$76)</f>
        <v>0</v>
      </c>
      <c r="N62" s="630"/>
      <c r="O62" s="630"/>
      <c r="P62" s="581"/>
      <c r="Q62" s="581">
        <f>SUMIF('Value added steel '!$D$54:$D$76,'Special steel '!$D62,'Value added steel '!$Q$54:$Q$76)</f>
        <v>0</v>
      </c>
      <c r="R62" s="630"/>
      <c r="S62" s="630">
        <f t="shared" ref="S62" si="94">O62+Q62</f>
        <v>0</v>
      </c>
      <c r="T62" s="581"/>
      <c r="U62" s="581">
        <f>SUMIF('Value added steel '!$D$54:$D$76,'Special steel '!$D62,'Value added steel '!$U$54:$U$76)</f>
        <v>0</v>
      </c>
      <c r="V62" s="630"/>
      <c r="W62" s="630"/>
      <c r="X62" s="630"/>
      <c r="Y62" s="581">
        <f>SUMIF('Value added steel '!$D$54:$D$76,'Special steel '!$D62,'Value added steel '!$Y$54:$Y$76)</f>
        <v>0</v>
      </c>
      <c r="Z62" s="630"/>
      <c r="AA62" s="2331">
        <f t="shared" ref="AA62" si="95">Q62+U62+Y62</f>
        <v>0</v>
      </c>
      <c r="AB62" s="2391"/>
      <c r="AC62" s="1175">
        <f t="shared" ref="AC62" si="96">O62+AA62</f>
        <v>0</v>
      </c>
      <c r="AD62" s="630"/>
      <c r="AE62" s="581">
        <f>SUMIF('Value added steel '!$D$54:$D$76,'Special steel '!$D62,'Value added steel '!$AE$54:$AE$76)</f>
        <v>0</v>
      </c>
      <c r="AF62" s="630"/>
      <c r="AG62" s="630">
        <f t="shared" ref="AG62" si="97">AC62+AE62</f>
        <v>0</v>
      </c>
      <c r="AH62" s="630"/>
      <c r="AI62" s="581">
        <f>SUMIF('Value added steel '!$D$54:$D$76,'Special steel '!$D62,'Value added steel '!$AI$54:$AI$76)</f>
        <v>0</v>
      </c>
      <c r="AJ62" s="630"/>
      <c r="AK62" s="625">
        <f t="shared" ref="AK62" si="98">AG62+AI62</f>
        <v>0</v>
      </c>
      <c r="AL62" s="630"/>
      <c r="AM62" s="581">
        <f>SUMIF('Value added steel '!$D$54:$D$76,'Special steel '!$D62,'Value added steel '!$AM$54:$AM$76)</f>
        <v>0</v>
      </c>
      <c r="AN62" s="630"/>
      <c r="AO62" s="2331">
        <f t="shared" ref="AO62" si="99">AE62+AI62+AM62</f>
        <v>0</v>
      </c>
      <c r="AP62" s="630"/>
      <c r="AQ62" s="625">
        <f t="shared" ref="AQ62" si="100">AK62+AM62</f>
        <v>0</v>
      </c>
      <c r="AR62" s="630"/>
      <c r="AS62" s="581">
        <f>SUMIF('Value added steel '!$D$54:$D$76,'Special steel '!$D62,'Value added steel '!$AS$54:$AS$76)</f>
        <v>0</v>
      </c>
      <c r="AT62" s="630"/>
      <c r="AU62" s="625">
        <f t="shared" ref="AU62" si="101">AQ62+AS62</f>
        <v>0</v>
      </c>
      <c r="AV62" s="630"/>
      <c r="AW62" s="581">
        <f>SUMIF('Value added steel '!$D$54:$D$76,'Special steel '!$D62,'Value added steel '!$AW$54:$AW$76)</f>
        <v>0</v>
      </c>
      <c r="AX62" s="630"/>
      <c r="AY62" s="625">
        <f t="shared" si="86"/>
        <v>0</v>
      </c>
      <c r="AZ62" s="630"/>
      <c r="BA62" s="581">
        <f>SUMIF('Value added steel '!$D$54:$D$76,'Special steel '!$D62,'Value added steel '!$BA$54:$BA$76)</f>
        <v>0</v>
      </c>
      <c r="BB62" s="632"/>
      <c r="BC62" s="2331">
        <f t="shared" si="89"/>
        <v>0</v>
      </c>
      <c r="BD62" s="2391"/>
      <c r="BE62" s="1175">
        <f t="shared" si="13"/>
        <v>0</v>
      </c>
      <c r="BF62" s="632"/>
      <c r="BG62" s="625">
        <f t="shared" si="14"/>
        <v>0</v>
      </c>
      <c r="BH62" s="26"/>
      <c r="BI62" s="26"/>
    </row>
    <row r="63" spans="3:62" x14ac:dyDescent="0.3">
      <c r="C63" s="554" t="s">
        <v>979</v>
      </c>
      <c r="D63" s="554" t="s">
        <v>1282</v>
      </c>
      <c r="E63" s="6285"/>
      <c r="F63" s="554"/>
      <c r="G63" s="581">
        <f>SUMIF('Value added steel '!$D$54:$D$76,'Special steel '!$D63,'Value added steel '!$G$54:$G$76)</f>
        <v>0</v>
      </c>
      <c r="H63" s="581"/>
      <c r="I63" s="581">
        <f>SUMIF('Value added steel '!$D$54:$D$76,'Special steel '!$D63,'Value added steel '!$I$54:$I$76)</f>
        <v>0</v>
      </c>
      <c r="J63" s="625"/>
      <c r="K63" s="625">
        <f t="shared" si="53"/>
        <v>0</v>
      </c>
      <c r="L63" s="581"/>
      <c r="M63" s="581">
        <f>SUMIF('Value added steel '!$D$54:$D$76,'Special steel '!$D63,'Value added steel '!$M$54:$M$76)</f>
        <v>0</v>
      </c>
      <c r="N63" s="630"/>
      <c r="O63" s="630">
        <f t="shared" si="54"/>
        <v>0</v>
      </c>
      <c r="P63" s="581"/>
      <c r="Q63" s="581">
        <f>SUMIF('Value added steel '!$D$54:$D$76,'Special steel '!$D63,'Value added steel '!$Q$54:$Q$76)</f>
        <v>0</v>
      </c>
      <c r="R63" s="630"/>
      <c r="S63" s="630">
        <f t="shared" si="41"/>
        <v>0</v>
      </c>
      <c r="T63" s="581"/>
      <c r="U63" s="581">
        <f>SUMIF('Value added steel '!$D$54:$D$76,'Special steel '!$D63,'Value added steel '!$U$54:$U$76)</f>
        <v>0</v>
      </c>
      <c r="V63" s="630"/>
      <c r="W63" s="630">
        <f t="shared" si="81"/>
        <v>0</v>
      </c>
      <c r="X63" s="630"/>
      <c r="Y63" s="581">
        <f>SUMIF('Value added steel '!$D$54:$D$76,'Special steel '!$D63,'Value added steel '!$Y$54:$Y$76)</f>
        <v>0</v>
      </c>
      <c r="Z63" s="630"/>
      <c r="AA63" s="2331">
        <f t="shared" si="87"/>
        <v>0</v>
      </c>
      <c r="AB63" s="2391"/>
      <c r="AC63" s="1175">
        <f t="shared" si="5"/>
        <v>0</v>
      </c>
      <c r="AD63" s="630"/>
      <c r="AE63" s="581">
        <f>SUMIF('Value added steel '!$D$54:$D$76,'Special steel '!$D63,'Value added steel '!$AE$54:$AE$76)</f>
        <v>0</v>
      </c>
      <c r="AF63" s="630"/>
      <c r="AG63" s="630">
        <f t="shared" si="82"/>
        <v>0</v>
      </c>
      <c r="AH63" s="630"/>
      <c r="AI63" s="581">
        <f>SUMIF('Value added steel '!$D$54:$D$76,'Special steel '!$D63,'Value added steel '!$AI$54:$AI$76)</f>
        <v>0</v>
      </c>
      <c r="AJ63" s="630"/>
      <c r="AK63" s="625">
        <f t="shared" si="83"/>
        <v>0</v>
      </c>
      <c r="AL63" s="630"/>
      <c r="AM63" s="581">
        <f>SUMIF('Value added steel '!$D$54:$D$76,'Special steel '!$D63,'Value added steel '!$AM$54:$AM$76)</f>
        <v>0</v>
      </c>
      <c r="AN63" s="630"/>
      <c r="AO63" s="2331">
        <f t="shared" si="88"/>
        <v>0</v>
      </c>
      <c r="AP63" s="630"/>
      <c r="AQ63" s="625">
        <f t="shared" si="84"/>
        <v>0</v>
      </c>
      <c r="AR63" s="630"/>
      <c r="AS63" s="581">
        <f>SUMIF('Value added steel '!$D$54:$D$76,'Special steel '!$D63,'Value added steel '!$AS$54:$AS$76)</f>
        <v>0</v>
      </c>
      <c r="AT63" s="630"/>
      <c r="AU63" s="625">
        <f t="shared" si="85"/>
        <v>0</v>
      </c>
      <c r="AV63" s="630"/>
      <c r="AW63" s="581">
        <f>SUMIF('Value added steel '!$D$54:$D$76,'Special steel '!$D63,'Value added steel '!$AW$54:$AW$76)</f>
        <v>0</v>
      </c>
      <c r="AX63" s="630"/>
      <c r="AY63" s="625">
        <f t="shared" si="86"/>
        <v>0</v>
      </c>
      <c r="AZ63" s="630"/>
      <c r="BA63" s="581">
        <f>SUMIF('Value added steel '!$D$54:$D$76,'Special steel '!$D63,'Value added steel '!$BA$54:$BA$76)</f>
        <v>0</v>
      </c>
      <c r="BB63" s="632"/>
      <c r="BC63" s="2331">
        <f t="shared" si="89"/>
        <v>0</v>
      </c>
      <c r="BD63" s="2391"/>
      <c r="BE63" s="1175">
        <f t="shared" si="13"/>
        <v>0</v>
      </c>
      <c r="BF63" s="632"/>
      <c r="BG63" s="625">
        <f t="shared" si="14"/>
        <v>0</v>
      </c>
      <c r="BH63" s="26"/>
      <c r="BI63" s="26"/>
    </row>
    <row r="64" spans="3:62" x14ac:dyDescent="0.3">
      <c r="C64" s="554" t="s">
        <v>979</v>
      </c>
      <c r="D64" s="554" t="s">
        <v>1269</v>
      </c>
      <c r="E64" s="6285"/>
      <c r="F64" s="554"/>
      <c r="G64" s="581">
        <f>SUMIF('Value added steel '!$D$54:$D$76,'Special steel '!$D64,'Value added steel '!$G$54:$G$76)</f>
        <v>442</v>
      </c>
      <c r="H64" s="581"/>
      <c r="I64" s="581">
        <f>SUMIF('Value added steel '!$D$54:$D$76,'Special steel '!$D64,'Value added steel '!$I$54:$I$76)</f>
        <v>104</v>
      </c>
      <c r="J64" s="625"/>
      <c r="K64" s="625">
        <f t="shared" si="53"/>
        <v>546</v>
      </c>
      <c r="L64" s="581"/>
      <c r="M64" s="581">
        <f>SUMIF('Value added steel '!$D$54:$D$76,'Special steel '!$D64,'Value added steel '!$M$54:$M$76)</f>
        <v>0</v>
      </c>
      <c r="N64" s="630"/>
      <c r="O64" s="630">
        <f t="shared" si="54"/>
        <v>546</v>
      </c>
      <c r="P64" s="581"/>
      <c r="Q64" s="581">
        <f>SUMIF('Value added steel '!$D$54:$D$76,'Special steel '!$D64,'Value added steel '!$Q$54:$Q$76)</f>
        <v>0</v>
      </c>
      <c r="R64" s="630"/>
      <c r="S64" s="630">
        <f t="shared" si="41"/>
        <v>546</v>
      </c>
      <c r="T64" s="581"/>
      <c r="U64" s="581">
        <f>SUMIF('Value added steel '!$D$54:$D$76,'Special steel '!$D64,'Value added steel '!$U$54:$U$76)</f>
        <v>268</v>
      </c>
      <c r="V64" s="630"/>
      <c r="W64" s="630">
        <f t="shared" si="81"/>
        <v>814</v>
      </c>
      <c r="X64" s="630"/>
      <c r="Y64" s="581">
        <f>SUMIF('Value added steel '!$D$54:$D$76,'Special steel '!$D64,'Value added steel '!$Y$54:$Y$76)</f>
        <v>253.68</v>
      </c>
      <c r="Z64" s="630"/>
      <c r="AA64" s="2331">
        <f t="shared" si="87"/>
        <v>521.68000000000006</v>
      </c>
      <c r="AB64" s="2391"/>
      <c r="AC64" s="1175">
        <f t="shared" si="5"/>
        <v>1067.68</v>
      </c>
      <c r="AD64" s="630"/>
      <c r="AE64" s="581">
        <f>SUMIF('Value added steel '!$D$54:$D$76,'Special steel '!$D64,'Value added steel '!$AE$54:$AE$76)</f>
        <v>0</v>
      </c>
      <c r="AF64" s="630"/>
      <c r="AG64" s="630">
        <f t="shared" si="82"/>
        <v>1067.68</v>
      </c>
      <c r="AH64" s="630"/>
      <c r="AI64" s="581">
        <f>SUMIF('Value added steel '!$D$54:$D$76,'Special steel '!$D64,'Value added steel '!$AI$54:$AI$76)</f>
        <v>0</v>
      </c>
      <c r="AJ64" s="630"/>
      <c r="AK64" s="625">
        <f t="shared" si="83"/>
        <v>1067.68</v>
      </c>
      <c r="AL64" s="630"/>
      <c r="AM64" s="581">
        <f>SUMIF('Value added steel '!$D$54:$D$76,'Special steel '!$D64,'Value added steel '!$AM$54:$AM$76)</f>
        <v>257.90800000000002</v>
      </c>
      <c r="AN64" s="630"/>
      <c r="AO64" s="2331">
        <f t="shared" si="88"/>
        <v>257.90800000000002</v>
      </c>
      <c r="AP64" s="630"/>
      <c r="AQ64" s="625">
        <f t="shared" si="84"/>
        <v>1325.5880000000002</v>
      </c>
      <c r="AR64" s="630"/>
      <c r="AS64" s="581">
        <f>SUMIF('Value added steel '!$D$54:$D$76,'Special steel '!$D64,'Value added steel '!$AS$54:$AS$76)</f>
        <v>0</v>
      </c>
      <c r="AT64" s="630"/>
      <c r="AU64" s="625">
        <f t="shared" si="85"/>
        <v>1325.5880000000002</v>
      </c>
      <c r="AV64" s="630"/>
      <c r="AW64" s="581">
        <f>SUMIF('Value added steel '!$D$54:$D$76,'Special steel '!$D64,'Value added steel '!$AW$54:$AW$76)</f>
        <v>215.62799999999999</v>
      </c>
      <c r="AX64" s="630"/>
      <c r="AY64" s="625">
        <f t="shared" si="86"/>
        <v>1541.2160000000001</v>
      </c>
      <c r="AZ64" s="630"/>
      <c r="BA64" s="581">
        <f>SUMIF('Value added steel '!$D$54:$D$76,'Special steel '!$D64,'Value added steel '!$BA$54:$BA$76)</f>
        <v>0</v>
      </c>
      <c r="BB64" s="632"/>
      <c r="BC64" s="2331">
        <f t="shared" si="89"/>
        <v>215.62799999999999</v>
      </c>
      <c r="BD64" s="2391"/>
      <c r="BE64" s="1175">
        <f t="shared" si="13"/>
        <v>473.536</v>
      </c>
      <c r="BF64" s="632"/>
      <c r="BG64" s="625">
        <f t="shared" si="14"/>
        <v>1541.2160000000001</v>
      </c>
      <c r="BH64" s="26"/>
      <c r="BI64" s="26"/>
    </row>
    <row r="65" spans="3:61" x14ac:dyDescent="0.3">
      <c r="C65" s="554" t="s">
        <v>979</v>
      </c>
      <c r="D65" s="554" t="s">
        <v>1135</v>
      </c>
      <c r="E65" s="6285"/>
      <c r="F65" s="554"/>
      <c r="G65" s="581">
        <f>SUMIF('Value added steel '!$D$54:$D$76,'Special steel '!$D65,'Value added steel '!$G$54:$G$76)</f>
        <v>0</v>
      </c>
      <c r="H65" s="581"/>
      <c r="I65" s="581">
        <f>SUMIF('Value added steel '!$D$54:$D$76,'Special steel '!$D65,'Value added steel '!$I$54:$I$76)</f>
        <v>268.39999999999998</v>
      </c>
      <c r="J65" s="625"/>
      <c r="K65" s="625">
        <f t="shared" si="53"/>
        <v>268.39999999999998</v>
      </c>
      <c r="L65" s="581"/>
      <c r="M65" s="581">
        <f>SUMIF('Value added steel '!$D$54:$D$76,'Special steel '!$D65,'Value added steel '!$M$54:$M$76)</f>
        <v>0</v>
      </c>
      <c r="N65" s="630"/>
      <c r="O65" s="630">
        <f t="shared" si="54"/>
        <v>268.39999999999998</v>
      </c>
      <c r="P65" s="581"/>
      <c r="Q65" s="581">
        <f>SUMIF('Value added steel '!$D$54:$D$76,'Special steel '!$D65,'Value added steel '!$Q$54:$Q$76)</f>
        <v>108</v>
      </c>
      <c r="R65" s="630"/>
      <c r="S65" s="630">
        <f t="shared" si="41"/>
        <v>376.4</v>
      </c>
      <c r="T65" s="581"/>
      <c r="U65" s="581">
        <f>SUMIF('Value added steel '!$D$54:$D$76,'Special steel '!$D65,'Value added steel '!$U$54:$U$76)</f>
        <v>0</v>
      </c>
      <c r="V65" s="630"/>
      <c r="W65" s="630">
        <f t="shared" si="81"/>
        <v>376.4</v>
      </c>
      <c r="X65" s="630"/>
      <c r="Y65" s="581">
        <f>SUMIF('Value added steel '!$D$54:$D$76,'Special steel '!$D65,'Value added steel '!$Y$54:$Y$76)</f>
        <v>777.952</v>
      </c>
      <c r="Z65" s="630"/>
      <c r="AA65" s="2331">
        <f t="shared" si="87"/>
        <v>885.952</v>
      </c>
      <c r="AB65" s="2391"/>
      <c r="AC65" s="1175">
        <f t="shared" si="5"/>
        <v>1154.3519999999999</v>
      </c>
      <c r="AD65" s="630"/>
      <c r="AE65" s="581">
        <f>SUMIF('Value added steel '!$D$54:$D$76,'Special steel '!$D65,'Value added steel '!$AE$54:$AE$76)</f>
        <v>105.7</v>
      </c>
      <c r="AF65" s="630"/>
      <c r="AG65" s="630">
        <f t="shared" si="82"/>
        <v>1260.0519999999999</v>
      </c>
      <c r="AH65" s="630"/>
      <c r="AI65" s="581">
        <f>SUMIF('Value added steel '!$D$54:$D$76,'Special steel '!$D65,'Value added steel '!$AI$54:$AI$76)</f>
        <v>0</v>
      </c>
      <c r="AJ65" s="630"/>
      <c r="AK65" s="625">
        <f t="shared" si="83"/>
        <v>1260.0519999999999</v>
      </c>
      <c r="AL65" s="630"/>
      <c r="AM65" s="581">
        <f>SUMIF('Value added steel '!$D$54:$D$76,'Special steel '!$D65,'Value added steel '!$AM$54:$AM$76)</f>
        <v>1010.492</v>
      </c>
      <c r="AN65" s="630"/>
      <c r="AO65" s="2331">
        <f t="shared" si="88"/>
        <v>1116.192</v>
      </c>
      <c r="AP65" s="630"/>
      <c r="AQ65" s="625">
        <f t="shared" si="84"/>
        <v>2270.5439999999999</v>
      </c>
      <c r="AR65" s="630"/>
      <c r="AS65" s="581">
        <f>SUMIF('Value added steel '!$D$54:$D$76,'Special steel '!$D65,'Value added steel '!$AS$54:$AS$76)</f>
        <v>323.44200000000001</v>
      </c>
      <c r="AT65" s="630"/>
      <c r="AU65" s="625">
        <f t="shared" si="85"/>
        <v>2593.9859999999999</v>
      </c>
      <c r="AV65" s="630"/>
      <c r="AW65" s="581">
        <f>SUMIF('Value added steel '!$D$54:$D$76,'Special steel '!$D65,'Value added steel '!$AW$54:$AW$76)</f>
        <v>109.928</v>
      </c>
      <c r="AX65" s="630"/>
      <c r="AY65" s="625">
        <f t="shared" si="86"/>
        <v>2703.9139999999998</v>
      </c>
      <c r="AZ65" s="630"/>
      <c r="BA65" s="581">
        <f>SUMIF('Value added steel '!$D$54:$D$76,'Special steel '!$D65,'Value added steel '!$BA$54:$BA$76)</f>
        <v>0</v>
      </c>
      <c r="BB65" s="632"/>
      <c r="BC65" s="2331">
        <f t="shared" si="89"/>
        <v>433.37</v>
      </c>
      <c r="BD65" s="2391"/>
      <c r="BE65" s="1175">
        <f t="shared" si="13"/>
        <v>1549.5619999999999</v>
      </c>
      <c r="BF65" s="632"/>
      <c r="BG65" s="625">
        <f t="shared" si="14"/>
        <v>2703.9139999999998</v>
      </c>
      <c r="BH65" s="26"/>
      <c r="BI65" s="26"/>
    </row>
    <row r="66" spans="3:61" x14ac:dyDescent="0.3">
      <c r="C66" s="554" t="s">
        <v>979</v>
      </c>
      <c r="D66" s="554" t="s">
        <v>992</v>
      </c>
      <c r="E66" s="6285"/>
      <c r="F66" s="554"/>
      <c r="G66" s="581">
        <f>SUMIF('Value added steel '!$D$54:$D$76,'Special steel '!$D66,'Value added steel '!$G$54:$G$76)</f>
        <v>13156</v>
      </c>
      <c r="H66" s="580"/>
      <c r="I66" s="581">
        <f>SUMIF('Value added steel '!$D$54:$D$76,'Special steel '!$D66,'Value added steel '!$I$54:$I$76)</f>
        <v>13247</v>
      </c>
      <c r="J66" s="627"/>
      <c r="K66" s="625">
        <f t="shared" si="53"/>
        <v>26403</v>
      </c>
      <c r="L66" s="580"/>
      <c r="M66" s="581">
        <f>SUMIF('Value added steel '!$D$54:$D$76,'Special steel '!$D66,'Value added steel '!$M$54:$M$76)</f>
        <v>2932</v>
      </c>
      <c r="N66" s="632"/>
      <c r="O66" s="630">
        <f t="shared" si="54"/>
        <v>29335</v>
      </c>
      <c r="P66" s="580"/>
      <c r="Q66" s="581">
        <f>SUMIF('Value added steel '!$D$54:$D$76,'Special steel '!$D66,'Value added steel '!$Q$54:$Q$76)</f>
        <v>16119</v>
      </c>
      <c r="R66" s="632"/>
      <c r="S66" s="630">
        <f t="shared" si="41"/>
        <v>45454</v>
      </c>
      <c r="T66" s="580"/>
      <c r="U66" s="581">
        <f>SUMIF('Value added steel '!$D$54:$D$76,'Special steel '!$D66,'Value added steel '!$U$54:$U$76)</f>
        <v>17118</v>
      </c>
      <c r="V66" s="632"/>
      <c r="W66" s="630">
        <f t="shared" si="81"/>
        <v>62572</v>
      </c>
      <c r="X66" s="630"/>
      <c r="Y66" s="581">
        <f>SUMIF('Value added steel '!$D$54:$D$76,'Special steel '!$D66,'Value added steel '!$Y$54:$Y$76)</f>
        <v>15444.884</v>
      </c>
      <c r="Z66" s="632"/>
      <c r="AA66" s="2331">
        <f t="shared" si="87"/>
        <v>48681.883999999998</v>
      </c>
      <c r="AB66" s="2391"/>
      <c r="AC66" s="1175">
        <f t="shared" si="5"/>
        <v>78016.883999999991</v>
      </c>
      <c r="AD66" s="630"/>
      <c r="AE66" s="581">
        <f>SUMIF('Value added steel '!$D$54:$D$76,'Special steel '!$D66,'Value added steel '!$AE$54:$AE$76)</f>
        <v>105.7</v>
      </c>
      <c r="AF66" s="632"/>
      <c r="AG66" s="630">
        <f t="shared" si="82"/>
        <v>78122.583999999988</v>
      </c>
      <c r="AH66" s="630"/>
      <c r="AI66" s="581">
        <f>SUMIF('Value added steel '!$D$54:$D$76,'Special steel '!$D66,'Value added steel '!$AI$54:$AI$76)</f>
        <v>0</v>
      </c>
      <c r="AJ66" s="632"/>
      <c r="AK66" s="625">
        <f t="shared" si="83"/>
        <v>78122.583999999988</v>
      </c>
      <c r="AL66" s="630"/>
      <c r="AM66" s="581">
        <f>SUMIF('Value added steel '!$D$54:$D$76,'Special steel '!$D66,'Value added steel '!$AM$54:$AM$76)</f>
        <v>17175.242000000002</v>
      </c>
      <c r="AN66" s="632"/>
      <c r="AO66" s="2331">
        <f t="shared" si="88"/>
        <v>17280.942000000003</v>
      </c>
      <c r="AP66" s="632"/>
      <c r="AQ66" s="625">
        <f t="shared" si="84"/>
        <v>95297.825999999986</v>
      </c>
      <c r="AR66" s="630"/>
      <c r="AS66" s="581">
        <f>SUMIF('Value added steel '!$D$54:$D$76,'Special steel '!$D66,'Value added steel '!$AS$54:$AS$76)</f>
        <v>20455</v>
      </c>
      <c r="AT66" s="632"/>
      <c r="AU66" s="625">
        <f t="shared" si="85"/>
        <v>115752.82599999999</v>
      </c>
      <c r="AV66" s="630"/>
      <c r="AW66" s="581">
        <f>SUMIF('Value added steel '!$D$54:$D$76,'Special steel '!$D66,'Value added steel '!$AW$54:$AW$76)</f>
        <v>15495.62</v>
      </c>
      <c r="AX66" s="632"/>
      <c r="AY66" s="625">
        <f t="shared" si="86"/>
        <v>131248.446</v>
      </c>
      <c r="AZ66" s="630"/>
      <c r="BA66" s="581">
        <f>SUMIF('Value added steel '!$D$54:$D$76,'Special steel '!$D66,'Value added steel '!$BA$54:$BA$76)</f>
        <v>16130</v>
      </c>
      <c r="BB66" s="632"/>
      <c r="BC66" s="2331">
        <f t="shared" si="89"/>
        <v>52080.62</v>
      </c>
      <c r="BD66" s="2391"/>
      <c r="BE66" s="1175">
        <f t="shared" si="13"/>
        <v>69361.562000000005</v>
      </c>
      <c r="BF66" s="632"/>
      <c r="BG66" s="625">
        <f t="shared" si="14"/>
        <v>147378.446</v>
      </c>
      <c r="BH66" s="26"/>
      <c r="BI66" s="26"/>
    </row>
    <row r="67" spans="3:61" x14ac:dyDescent="0.3">
      <c r="C67" s="8000" t="s">
        <v>1042</v>
      </c>
      <c r="D67" s="8000"/>
      <c r="E67" s="6285"/>
      <c r="F67" s="634"/>
      <c r="G67" s="635">
        <f>SUM(G50:G66)</f>
        <v>15006</v>
      </c>
      <c r="H67" s="635"/>
      <c r="I67" s="635">
        <f>SUM(I50:I66)</f>
        <v>14689.4</v>
      </c>
      <c r="J67" s="635"/>
      <c r="K67" s="636">
        <f>SUM(K50:K66)</f>
        <v>29695.4</v>
      </c>
      <c r="L67" s="635"/>
      <c r="M67" s="635">
        <f>SUM(M50:M66)</f>
        <v>6569</v>
      </c>
      <c r="N67" s="635"/>
      <c r="O67" s="635">
        <f>SUM(O50:O66)</f>
        <v>34951.4</v>
      </c>
      <c r="P67" s="635"/>
      <c r="Q67" s="635">
        <f>SUM(Q50:Q66)</f>
        <v>21330</v>
      </c>
      <c r="R67" s="635"/>
      <c r="S67" s="635">
        <f>SUM(S50:S66)</f>
        <v>56281.4</v>
      </c>
      <c r="T67" s="635"/>
      <c r="U67" s="635">
        <f>SUM(U50:U66)</f>
        <v>21092</v>
      </c>
      <c r="V67" s="635"/>
      <c r="W67" s="635">
        <f>SUM(W50:W66)</f>
        <v>73263.399999999994</v>
      </c>
      <c r="X67" s="635"/>
      <c r="Y67" s="635">
        <f>SUM(Y50:Y66)</f>
        <v>17994.368000000002</v>
      </c>
      <c r="Z67" s="635"/>
      <c r="AA67" s="2332">
        <f>SUM(AA50:AA66)</f>
        <v>58824.273999999998</v>
      </c>
      <c r="AB67" s="2391"/>
      <c r="AC67" s="2332">
        <f t="shared" si="5"/>
        <v>93775.673999999999</v>
      </c>
      <c r="AD67" s="635"/>
      <c r="AE67" s="635">
        <f>SUM(AE50:AE66)</f>
        <v>211.4</v>
      </c>
      <c r="AF67" s="635"/>
      <c r="AG67" s="635">
        <f>SUM(AG50:AG66)</f>
        <v>93987.073999999993</v>
      </c>
      <c r="AH67" s="635"/>
      <c r="AI67" s="635">
        <f>SUM(AI50:AI66)</f>
        <v>0</v>
      </c>
      <c r="AJ67" s="635"/>
      <c r="AK67" s="635">
        <f>SUM(AK50:AK66)</f>
        <v>93987.073999999993</v>
      </c>
      <c r="AL67" s="635"/>
      <c r="AM67" s="635">
        <f>SUM(AM50:AM66)</f>
        <v>25980.052000000003</v>
      </c>
      <c r="AN67" s="635"/>
      <c r="AO67" s="2332">
        <f>SUM(AO50:AO66)</f>
        <v>26191.452000000005</v>
      </c>
      <c r="AP67" s="635"/>
      <c r="AQ67" s="635">
        <f>SUM(AQ50:AQ66)</f>
        <v>119967.12599999999</v>
      </c>
      <c r="AR67" s="635"/>
      <c r="AS67" s="635">
        <f>SUM(AS50:AS66)</f>
        <v>26676.502</v>
      </c>
      <c r="AT67" s="635"/>
      <c r="AU67" s="635">
        <f>SUM(AU50:AU66)</f>
        <v>146643.628</v>
      </c>
      <c r="AV67" s="630"/>
      <c r="AW67" s="635">
        <f>SUM(AW50:AW66)</f>
        <v>21277.41</v>
      </c>
      <c r="AX67" s="635"/>
      <c r="AY67" s="635">
        <f>SUM(AY50:AY66)</f>
        <v>167921.038</v>
      </c>
      <c r="AZ67" s="630"/>
      <c r="BA67" s="635">
        <f>SUM(BA50:BA66)</f>
        <v>18081</v>
      </c>
      <c r="BB67" s="632"/>
      <c r="BC67" s="2332">
        <f>SUM(BC50:BC66)</f>
        <v>66034.912000000011</v>
      </c>
      <c r="BD67" s="2391"/>
      <c r="BE67" s="2332">
        <f>AO67+BC67</f>
        <v>92226.364000000016</v>
      </c>
      <c r="BF67" s="632"/>
      <c r="BG67" s="635">
        <f>SUM(BG50:BG66)</f>
        <v>186002.038</v>
      </c>
      <c r="BH67" s="26"/>
      <c r="BI67" s="26"/>
    </row>
    <row r="68" spans="3:61" x14ac:dyDescent="0.3">
      <c r="C68" s="554" t="s">
        <v>980</v>
      </c>
      <c r="D68" s="554" t="s">
        <v>1640</v>
      </c>
      <c r="E68" s="6285"/>
      <c r="F68" s="554"/>
      <c r="G68" s="555">
        <f>SUMIF('Value added steel '!$D$78:$D$88,$D68,'Value added steel '!$G$78:$G$88)</f>
        <v>0</v>
      </c>
      <c r="H68" s="2279"/>
      <c r="I68" s="555">
        <f>SUMIF('Value added steel '!$D$78:$D$88,$D68,'Value added steel '!$I$78:$I$88)</f>
        <v>0</v>
      </c>
      <c r="J68" s="627"/>
      <c r="K68" s="625">
        <f t="shared" si="53"/>
        <v>0</v>
      </c>
      <c r="L68" s="2279"/>
      <c r="M68" s="555">
        <f>SUMIF('Value added steel '!$D$78:$D$88,$D68,'Value added steel '!$M$78:$M$88)</f>
        <v>0</v>
      </c>
      <c r="N68" s="632"/>
      <c r="O68" s="630"/>
      <c r="P68" s="2279"/>
      <c r="Q68" s="555">
        <f>SUMIF('Value added steel '!$D$78:$D$88,$D68,'Value added steel '!$Q$78:$Q$88)</f>
        <v>0</v>
      </c>
      <c r="R68" s="632"/>
      <c r="S68" s="630"/>
      <c r="T68" s="2279"/>
      <c r="U68" s="555">
        <f>SUMIF('Value added steel '!$D$78:$D$88,$D68,'Value added steel '!$U$78:$U$88)</f>
        <v>0</v>
      </c>
      <c r="V68" s="632"/>
      <c r="W68" s="630"/>
      <c r="X68" s="630"/>
      <c r="Y68" s="555">
        <f>SUMIF('Value added steel '!$D$78:$D$88,$D68,'Value added steel '!$Y$78:$Y$88)</f>
        <v>0</v>
      </c>
      <c r="Z68" s="632"/>
      <c r="AA68" s="2331">
        <f t="shared" ref="AA68:AA72" si="102">Q68+U68+Y68</f>
        <v>0</v>
      </c>
      <c r="AB68" s="2391"/>
      <c r="AC68" s="1175">
        <f t="shared" si="5"/>
        <v>0</v>
      </c>
      <c r="AD68" s="630"/>
      <c r="AE68" s="555">
        <f>SUMIF('Value added steel '!$D$78:$D$88,$D68,'Value added steel '!$AE$78:$AE$88)</f>
        <v>0</v>
      </c>
      <c r="AF68" s="632"/>
      <c r="AG68" s="630">
        <f t="shared" ref="AG68:AG72" si="103">+Y68+AA68+AE68</f>
        <v>0</v>
      </c>
      <c r="AH68" s="630"/>
      <c r="AI68" s="555">
        <f>SUMIF('Value added steel '!$D$78:$D$88,$D68,'Value added steel '!$AI$78:$AI$88)</f>
        <v>0</v>
      </c>
      <c r="AJ68" s="632"/>
      <c r="AK68" s="625">
        <f t="shared" ref="AK68:AK72" si="104">+AC68+AE68+AI68</f>
        <v>0</v>
      </c>
      <c r="AL68" s="630"/>
      <c r="AM68" s="555">
        <f>SUMIF('Value added steel '!$D$78:$D$88,$D68,'Value added steel '!$AM$78:$AM$88)</f>
        <v>0</v>
      </c>
      <c r="AN68" s="632"/>
      <c r="AO68" s="2331">
        <f t="shared" ref="AO68:AO72" si="105">AE68+AI68+AM68</f>
        <v>0</v>
      </c>
      <c r="AP68" s="632"/>
      <c r="AQ68" s="625">
        <f t="shared" ref="AQ68:AQ72" si="106">+AG68+AI68+AM68</f>
        <v>0</v>
      </c>
      <c r="AR68" s="630"/>
      <c r="AS68" s="555">
        <f>SUMIF('Value added steel '!$D$78:$D$88,$D68,'Value added steel '!$AS$78:$AS$88)</f>
        <v>0</v>
      </c>
      <c r="AT68" s="632"/>
      <c r="AU68" s="625">
        <f t="shared" ref="AU68:AU74" si="107">AQ68+AS68</f>
        <v>0</v>
      </c>
      <c r="AV68" s="635"/>
      <c r="AW68" s="555">
        <f>SUMIF('Value added steel '!$D$78:$D$88,$D68,'Value added steel '!$AW$78:$AW$88)</f>
        <v>0</v>
      </c>
      <c r="AX68" s="632"/>
      <c r="AY68" s="625">
        <f t="shared" ref="AY68:AY72" si="108">AU68+AW68</f>
        <v>0</v>
      </c>
      <c r="AZ68" s="635"/>
      <c r="BA68" s="555">
        <f>SUMIF('Value added steel '!$D$78:$D$88,$D68,'Value added steel '!$BA$78:$BA$88)</f>
        <v>0</v>
      </c>
      <c r="BB68" s="3111"/>
      <c r="BC68" s="2331">
        <f t="shared" ref="BC68:BC72" si="109">AS68+AW68+BA68</f>
        <v>0</v>
      </c>
      <c r="BD68" s="2391"/>
      <c r="BE68" s="1175">
        <f>AO68+BC68</f>
        <v>0</v>
      </c>
      <c r="BF68" s="3111"/>
      <c r="BG68" s="625">
        <f t="shared" si="14"/>
        <v>0</v>
      </c>
      <c r="BH68" s="26"/>
      <c r="BI68" s="26"/>
    </row>
    <row r="69" spans="3:61" x14ac:dyDescent="0.3">
      <c r="C69" s="554" t="s">
        <v>980</v>
      </c>
      <c r="D69" s="554" t="s">
        <v>676</v>
      </c>
      <c r="E69" s="6285"/>
      <c r="F69" s="554"/>
      <c r="G69" s="555">
        <f>SUMIF('Value added steel '!$D$78:$D$88,$D69,'Value added steel '!$G$78:$G$88)</f>
        <v>0</v>
      </c>
      <c r="H69" s="1095"/>
      <c r="I69" s="555">
        <f>SUMIF('Value added steel '!$D$78:$D$88,$D69,'Value added steel '!$I$78:$I$88)</f>
        <v>2204</v>
      </c>
      <c r="J69" s="627"/>
      <c r="K69" s="625">
        <f t="shared" si="53"/>
        <v>2204</v>
      </c>
      <c r="L69" s="1095"/>
      <c r="M69" s="555">
        <f>SUMIF('Value added steel '!$D$78:$D$88,$D69,'Value added steel '!$M$78:$M$88)</f>
        <v>1532</v>
      </c>
      <c r="N69" s="632"/>
      <c r="O69" s="630">
        <f t="shared" si="54"/>
        <v>3736</v>
      </c>
      <c r="P69" s="1732"/>
      <c r="Q69" s="555">
        <f>SUMIF('Value added steel '!$D$78:$D$88,$D69,'Value added steel '!$Q$78:$Q$88)</f>
        <v>3338</v>
      </c>
      <c r="R69" s="632"/>
      <c r="S69" s="630">
        <f t="shared" ref="S69:S71" si="110">O69+Q69</f>
        <v>7074</v>
      </c>
      <c r="T69" s="1834"/>
      <c r="U69" s="555">
        <f>SUMIF('Value added steel '!$D$78:$D$88,$D69,'Value added steel '!$U$78:$U$88)</f>
        <v>5159</v>
      </c>
      <c r="V69" s="632"/>
      <c r="W69" s="630">
        <f t="shared" ref="W69:W71" si="111">S69+U69</f>
        <v>12233</v>
      </c>
      <c r="X69" s="630"/>
      <c r="Y69" s="555">
        <f>SUMIF('Value added steel '!$D$78:$D$88,$D69,'Value added steel '!$Y$78:$Y$88)</f>
        <v>982.56600000000003</v>
      </c>
      <c r="Z69" s="632"/>
      <c r="AA69" s="2331">
        <f t="shared" si="102"/>
        <v>9479.5660000000007</v>
      </c>
      <c r="AB69" s="2391"/>
      <c r="AC69" s="1175">
        <f t="shared" si="5"/>
        <v>13215.566000000001</v>
      </c>
      <c r="AD69" s="630"/>
      <c r="AE69" s="555">
        <f>SUMIF('Value added steel '!$D$78:$D$88,$D69,'Value added steel '!$AE$78:$AE$88)</f>
        <v>5183.3339999999998</v>
      </c>
      <c r="AF69" s="632"/>
      <c r="AG69" s="630">
        <f t="shared" si="103"/>
        <v>15645.466</v>
      </c>
      <c r="AH69" s="630"/>
      <c r="AI69" s="555">
        <f>SUMIF('Value added steel '!$D$78:$D$88,$D69,'Value added steel '!$AI$78:$AI$88)</f>
        <v>0</v>
      </c>
      <c r="AJ69" s="632"/>
      <c r="AK69" s="625">
        <f t="shared" si="104"/>
        <v>18398.900000000001</v>
      </c>
      <c r="AL69" s="630"/>
      <c r="AM69" s="555">
        <f>SUMIF('Value added steel '!$D$78:$D$88,$D69,'Value added steel '!$AM$78:$AM$88)</f>
        <v>10406.448</v>
      </c>
      <c r="AN69" s="632"/>
      <c r="AO69" s="2331">
        <f t="shared" si="105"/>
        <v>15589.781999999999</v>
      </c>
      <c r="AP69" s="632"/>
      <c r="AQ69" s="625">
        <f t="shared" si="106"/>
        <v>26051.914000000001</v>
      </c>
      <c r="AR69" s="630"/>
      <c r="AS69" s="555">
        <f>SUMIF('Value added steel '!$D$78:$D$88,$D69,'Value added steel '!$AS$78:$AS$88)</f>
        <v>10251.306</v>
      </c>
      <c r="AT69" s="632"/>
      <c r="AU69" s="625">
        <f t="shared" si="107"/>
        <v>36303.22</v>
      </c>
      <c r="AV69" s="631"/>
      <c r="AW69" s="555">
        <f>SUMIF('Value added steel '!$D$78:$D$88,$D69,'Value added steel '!$AW$78:$AW$88)</f>
        <v>0</v>
      </c>
      <c r="AX69" s="632"/>
      <c r="AY69" s="625">
        <f t="shared" si="108"/>
        <v>36303.22</v>
      </c>
      <c r="AZ69" s="631"/>
      <c r="BA69" s="555">
        <f>SUMIF('Value added steel '!$D$78:$D$88,$D69,'Value added steel '!$BA$78:$BA$88)</f>
        <v>0</v>
      </c>
      <c r="BB69" s="631"/>
      <c r="BC69" s="2331">
        <f t="shared" si="109"/>
        <v>10251.306</v>
      </c>
      <c r="BD69" s="2391"/>
      <c r="BE69" s="1175">
        <f t="shared" ref="BE69:BE72" si="112">AO69+BC69</f>
        <v>25841.088</v>
      </c>
      <c r="BF69" s="631"/>
      <c r="BG69" s="625">
        <f t="shared" ref="BG69:BG72" si="113">AY69+BA69</f>
        <v>36303.22</v>
      </c>
      <c r="BH69" s="26"/>
      <c r="BI69" s="26"/>
    </row>
    <row r="70" spans="3:61" x14ac:dyDescent="0.3">
      <c r="C70" s="554" t="s">
        <v>980</v>
      </c>
      <c r="D70" s="554" t="s">
        <v>1123</v>
      </c>
      <c r="E70" s="6285"/>
      <c r="F70" s="554"/>
      <c r="G70" s="555">
        <f>SUMIF('Value added steel '!$D$78:$D$88,$D70,'Value added steel '!$G$78:$G$88)</f>
        <v>0</v>
      </c>
      <c r="H70" s="1095"/>
      <c r="I70" s="555">
        <f>SUMIF('Value added steel '!$D$78:$D$88,$D70,'Value added steel '!$I$78:$I$88)</f>
        <v>0</v>
      </c>
      <c r="J70" s="627"/>
      <c r="K70" s="625">
        <f t="shared" si="53"/>
        <v>0</v>
      </c>
      <c r="L70" s="1095"/>
      <c r="M70" s="555">
        <f>SUMIF('Value added steel '!$D$78:$D$88,$D70,'Value added steel '!$M$78:$M$88)</f>
        <v>0</v>
      </c>
      <c r="N70" s="632"/>
      <c r="O70" s="630">
        <f t="shared" si="54"/>
        <v>0</v>
      </c>
      <c r="P70" s="1732"/>
      <c r="Q70" s="555">
        <f>SUMIF('Value added steel '!$D$78:$D$88,$D70,'Value added steel '!$Q$78:$Q$88)</f>
        <v>0</v>
      </c>
      <c r="R70" s="632"/>
      <c r="S70" s="630">
        <f t="shared" si="110"/>
        <v>0</v>
      </c>
      <c r="T70" s="1834"/>
      <c r="U70" s="555">
        <f>SUMIF('Value added steel '!$D$78:$D$88,$D70,'Value added steel '!$U$78:$U$88)</f>
        <v>0</v>
      </c>
      <c r="V70" s="632"/>
      <c r="W70" s="630">
        <f t="shared" si="111"/>
        <v>0</v>
      </c>
      <c r="X70" s="630"/>
      <c r="Y70" s="555">
        <f>SUMIF('Value added steel '!$D$78:$D$88,$D70,'Value added steel '!$Y$78:$Y$88)</f>
        <v>0</v>
      </c>
      <c r="Z70" s="632"/>
      <c r="AA70" s="2331">
        <f t="shared" si="102"/>
        <v>0</v>
      </c>
      <c r="AB70" s="2391"/>
      <c r="AC70" s="1175">
        <f t="shared" si="5"/>
        <v>0</v>
      </c>
      <c r="AD70" s="630"/>
      <c r="AE70" s="555">
        <f>SUMIF('Value added steel '!$D$78:$D$88,$D70,'Value added steel '!$AE$78:$AE$88)</f>
        <v>0</v>
      </c>
      <c r="AF70" s="632"/>
      <c r="AG70" s="630">
        <f t="shared" si="103"/>
        <v>0</v>
      </c>
      <c r="AH70" s="630"/>
      <c r="AI70" s="555">
        <f>SUMIF('Value added steel '!$D$78:$D$88,$D70,'Value added steel '!$AI$78:$AI$88)</f>
        <v>0</v>
      </c>
      <c r="AJ70" s="632"/>
      <c r="AK70" s="625">
        <f t="shared" si="104"/>
        <v>0</v>
      </c>
      <c r="AL70" s="630"/>
      <c r="AM70" s="555">
        <f>SUMIF('Value added steel '!$D$78:$D$88,$D70,'Value added steel '!$AM$78:$AM$88)</f>
        <v>0</v>
      </c>
      <c r="AN70" s="632"/>
      <c r="AO70" s="2331">
        <f t="shared" si="105"/>
        <v>0</v>
      </c>
      <c r="AP70" s="632"/>
      <c r="AQ70" s="625">
        <f t="shared" si="106"/>
        <v>0</v>
      </c>
      <c r="AR70" s="630"/>
      <c r="AS70" s="555">
        <f>SUMIF('Value added steel '!$D$78:$D$88,$D70,'Value added steel '!$AS$78:$AS$88)</f>
        <v>0</v>
      </c>
      <c r="AT70" s="632"/>
      <c r="AU70" s="625">
        <f t="shared" si="107"/>
        <v>0</v>
      </c>
      <c r="AV70" s="699"/>
      <c r="AW70" s="555">
        <f>SUMIF('Value added steel '!$D$78:$D$88,$D70,'Value added steel '!$AW$78:$AW$88)</f>
        <v>0</v>
      </c>
      <c r="AX70" s="632"/>
      <c r="AY70" s="625">
        <f t="shared" si="108"/>
        <v>0</v>
      </c>
      <c r="AZ70" s="699"/>
      <c r="BA70" s="555">
        <f>SUMIF('Value added steel '!$D$78:$D$88,$D70,'Value added steel '!$BA$78:$BA$88)</f>
        <v>0</v>
      </c>
      <c r="BB70" s="699"/>
      <c r="BC70" s="2331">
        <f t="shared" si="109"/>
        <v>0</v>
      </c>
      <c r="BD70" s="2391"/>
      <c r="BE70" s="1175">
        <f t="shared" si="112"/>
        <v>0</v>
      </c>
      <c r="BF70" s="699"/>
      <c r="BG70" s="625">
        <f t="shared" si="113"/>
        <v>0</v>
      </c>
      <c r="BH70" s="26"/>
      <c r="BI70" s="1222"/>
    </row>
    <row r="71" spans="3:61" s="149" customFormat="1" x14ac:dyDescent="0.3">
      <c r="C71" s="554" t="s">
        <v>980</v>
      </c>
      <c r="D71" s="554" t="s">
        <v>675</v>
      </c>
      <c r="E71" s="6285"/>
      <c r="F71" s="554"/>
      <c r="G71" s="555">
        <f>SUMIF('Value added steel '!$D$78:$D$88,$D71,'Value added steel '!$G$78:$G$88)</f>
        <v>0</v>
      </c>
      <c r="H71" s="1095"/>
      <c r="I71" s="555">
        <f>SUMIF('Value added steel '!$D$78:$D$88,$D71,'Value added steel '!$I$78:$I$88)</f>
        <v>0</v>
      </c>
      <c r="J71" s="627"/>
      <c r="K71" s="625">
        <f t="shared" si="53"/>
        <v>0</v>
      </c>
      <c r="L71" s="1095"/>
      <c r="M71" s="555">
        <f>SUMIF('Value added steel '!$D$78:$D$88,$D71,'Value added steel '!$M$78:$M$88)</f>
        <v>0</v>
      </c>
      <c r="N71" s="632"/>
      <c r="O71" s="630">
        <f t="shared" si="54"/>
        <v>0</v>
      </c>
      <c r="P71" s="1732"/>
      <c r="Q71" s="555">
        <f>SUMIF('Value added steel '!$D$78:$D$88,$D71,'Value added steel '!$Q$78:$Q$88)</f>
        <v>716</v>
      </c>
      <c r="R71" s="632"/>
      <c r="S71" s="630">
        <f t="shared" si="110"/>
        <v>716</v>
      </c>
      <c r="T71" s="1834"/>
      <c r="U71" s="555">
        <f>SUMIF('Value added steel '!$D$78:$D$88,$D71,'Value added steel '!$U$78:$U$88)</f>
        <v>0</v>
      </c>
      <c r="V71" s="632"/>
      <c r="W71" s="630">
        <f t="shared" si="111"/>
        <v>716</v>
      </c>
      <c r="X71" s="630"/>
      <c r="Y71" s="555">
        <f>SUMIF('Value added steel '!$D$78:$D$88,$D71,'Value added steel '!$Y$78:$Y$88)</f>
        <v>0</v>
      </c>
      <c r="Z71" s="632"/>
      <c r="AA71" s="2331">
        <f t="shared" si="102"/>
        <v>716</v>
      </c>
      <c r="AB71" s="2391"/>
      <c r="AC71" s="1175">
        <f t="shared" si="5"/>
        <v>716</v>
      </c>
      <c r="AD71" s="630"/>
      <c r="AE71" s="555">
        <f>SUMIF('Value added steel '!$D$78:$D$88,$D71,'Value added steel '!$AE$78:$AE$88)</f>
        <v>0</v>
      </c>
      <c r="AF71" s="632"/>
      <c r="AG71" s="630">
        <f t="shared" si="103"/>
        <v>716</v>
      </c>
      <c r="AH71" s="630"/>
      <c r="AI71" s="555">
        <f>SUMIF('Value added steel '!$D$78:$D$88,$D71,'Value added steel '!$AI$78:$AI$88)</f>
        <v>0</v>
      </c>
      <c r="AJ71" s="632"/>
      <c r="AK71" s="625">
        <f t="shared" si="104"/>
        <v>716</v>
      </c>
      <c r="AL71" s="630"/>
      <c r="AM71" s="555">
        <f>SUMIF('Value added steel '!$D$78:$D$88,$D71,'Value added steel '!$AM$78:$AM$88)</f>
        <v>0</v>
      </c>
      <c r="AN71" s="632"/>
      <c r="AO71" s="2331">
        <f t="shared" si="105"/>
        <v>0</v>
      </c>
      <c r="AP71" s="632"/>
      <c r="AQ71" s="625">
        <f t="shared" si="106"/>
        <v>716</v>
      </c>
      <c r="AR71" s="630"/>
      <c r="AS71" s="555">
        <f>SUMIF('Value added steel '!$D$78:$D$88,$D71,'Value added steel '!$AS$78:$AS$88)</f>
        <v>0</v>
      </c>
      <c r="AT71" s="632"/>
      <c r="AU71" s="625">
        <f t="shared" si="107"/>
        <v>716</v>
      </c>
      <c r="AW71" s="555">
        <f>SUMIF('Value added steel '!$D$78:$D$88,$D71,'Value added steel '!$AW$78:$AW$88)</f>
        <v>0</v>
      </c>
      <c r="AX71" s="632"/>
      <c r="AY71" s="625">
        <f t="shared" si="108"/>
        <v>716</v>
      </c>
      <c r="BA71" s="555">
        <f>SUMIF('Value added steel '!$D$78:$D$88,$D71,'Value added steel '!$BA$78:$BA$88)</f>
        <v>0</v>
      </c>
      <c r="BC71" s="2331">
        <f t="shared" si="109"/>
        <v>0</v>
      </c>
      <c r="BE71" s="1175">
        <f t="shared" si="112"/>
        <v>0</v>
      </c>
      <c r="BG71" s="625">
        <f t="shared" si="113"/>
        <v>716</v>
      </c>
      <c r="BH71" s="26"/>
      <c r="BI71" s="26"/>
    </row>
    <row r="72" spans="3:61" x14ac:dyDescent="0.3">
      <c r="C72" s="554" t="s">
        <v>980</v>
      </c>
      <c r="D72" s="554" t="s">
        <v>1080</v>
      </c>
      <c r="E72" s="6285"/>
      <c r="F72" s="554"/>
      <c r="G72" s="555">
        <f>SUMIF('Value added steel '!$D$78:$D$88,$D72,'Value added steel '!$G$78:$G$88)</f>
        <v>0</v>
      </c>
      <c r="H72" s="1095"/>
      <c r="I72" s="555">
        <f>SUMIF('Value added steel '!$D$78:$D$88,$D72,'Value added steel '!$I$78:$I$88)</f>
        <v>0</v>
      </c>
      <c r="J72" s="627"/>
      <c r="K72" s="625">
        <f t="shared" si="53"/>
        <v>0</v>
      </c>
      <c r="L72" s="1095"/>
      <c r="M72" s="555">
        <f>SUMIF('Value added steel '!$D$78:$D$88,$D72,'Value added steel '!$M$78:$M$88)</f>
        <v>0</v>
      </c>
      <c r="N72" s="632"/>
      <c r="O72" s="630">
        <f t="shared" si="54"/>
        <v>0</v>
      </c>
      <c r="P72" s="1732"/>
      <c r="Q72" s="555">
        <f>SUMIF('Value added steel '!$D$78:$D$88,$D72,'Value added steel '!$Q$78:$Q$88)</f>
        <v>0</v>
      </c>
      <c r="R72" s="632"/>
      <c r="S72" s="630">
        <f t="shared" ref="S72" si="114">+K72+M72+Q72</f>
        <v>0</v>
      </c>
      <c r="T72" s="1834"/>
      <c r="U72" s="555">
        <f>SUMIF('Value added steel '!$D$78:$D$88,$D72,'Value added steel '!$U$78:$U$88)</f>
        <v>0</v>
      </c>
      <c r="V72" s="632"/>
      <c r="W72" s="630">
        <f t="shared" ref="W72" si="115">+O72+Q72+U72</f>
        <v>0</v>
      </c>
      <c r="X72" s="630"/>
      <c r="Y72" s="555">
        <f>SUMIF('Value added steel '!$D$78:$D$88,$D72,'Value added steel '!$Y$78:$Y$88)</f>
        <v>0</v>
      </c>
      <c r="Z72" s="632"/>
      <c r="AA72" s="2331">
        <f t="shared" si="102"/>
        <v>0</v>
      </c>
      <c r="AB72" s="2391"/>
      <c r="AC72" s="1175">
        <f t="shared" si="5"/>
        <v>0</v>
      </c>
      <c r="AD72" s="630"/>
      <c r="AE72" s="555">
        <f>SUMIF('Value added steel '!$D$78:$D$88,$D72,'Value added steel '!$AE$78:$AE$88)</f>
        <v>0</v>
      </c>
      <c r="AF72" s="632"/>
      <c r="AG72" s="630">
        <f t="shared" si="103"/>
        <v>0</v>
      </c>
      <c r="AH72" s="630"/>
      <c r="AI72" s="555">
        <f>SUMIF('Value added steel '!$D$78:$D$88,$D72,'Value added steel '!$AI$78:$AI$88)</f>
        <v>0</v>
      </c>
      <c r="AJ72" s="632"/>
      <c r="AK72" s="625">
        <f t="shared" si="104"/>
        <v>0</v>
      </c>
      <c r="AL72" s="630"/>
      <c r="AM72" s="555">
        <f>SUMIF('Value added steel '!$D$78:$D$88,$D72,'Value added steel '!$AM$78:$AM$88)</f>
        <v>0</v>
      </c>
      <c r="AN72" s="632"/>
      <c r="AO72" s="2331">
        <f t="shared" si="105"/>
        <v>0</v>
      </c>
      <c r="AP72" s="632"/>
      <c r="AQ72" s="625">
        <f t="shared" si="106"/>
        <v>0</v>
      </c>
      <c r="AR72" s="630"/>
      <c r="AS72" s="555">
        <f>SUMIF('Value added steel '!$D$78:$D$88,$D72,'Value added steel '!$AS$78:$AS$88)</f>
        <v>0</v>
      </c>
      <c r="AT72" s="632"/>
      <c r="AU72" s="625">
        <f t="shared" si="107"/>
        <v>0</v>
      </c>
      <c r="AW72" s="555">
        <f>SUMIF('Value added steel '!$D$78:$D$88,$D72,'Value added steel '!$AW$78:$AW$88)</f>
        <v>0</v>
      </c>
      <c r="AX72" s="632"/>
      <c r="AY72" s="625">
        <f t="shared" si="108"/>
        <v>0</v>
      </c>
      <c r="BA72" s="555">
        <f>SUMIF('Value added steel '!$D$78:$D$88,$D72,'Value added steel '!$BA$78:$BA$88)</f>
        <v>0</v>
      </c>
      <c r="BC72" s="2331">
        <f t="shared" si="109"/>
        <v>0</v>
      </c>
      <c r="BE72" s="1175">
        <f t="shared" si="112"/>
        <v>0</v>
      </c>
      <c r="BG72" s="625">
        <f t="shared" si="113"/>
        <v>0</v>
      </c>
      <c r="BH72" s="26"/>
    </row>
    <row r="73" spans="3:61" x14ac:dyDescent="0.3">
      <c r="C73" s="8000" t="s">
        <v>1043</v>
      </c>
      <c r="D73" s="8000"/>
      <c r="E73" s="6285"/>
      <c r="F73" s="634"/>
      <c r="G73" s="635">
        <f>SUM(G68:G72)</f>
        <v>0</v>
      </c>
      <c r="H73" s="637"/>
      <c r="I73" s="635">
        <f>SUM(I68:I72)</f>
        <v>2204</v>
      </c>
      <c r="J73" s="637"/>
      <c r="K73" s="636">
        <f>SUM(K68:K72)</f>
        <v>2204</v>
      </c>
      <c r="L73" s="637"/>
      <c r="M73" s="635">
        <f>SUM(M68:M72)</f>
        <v>1532</v>
      </c>
      <c r="N73" s="637"/>
      <c r="O73" s="635">
        <f>SUM(O68:O72)</f>
        <v>3736</v>
      </c>
      <c r="P73" s="1733"/>
      <c r="Q73" s="635">
        <f>SUM(Q68:Q72)</f>
        <v>4054</v>
      </c>
      <c r="R73" s="1733"/>
      <c r="S73" s="635">
        <f>SUM(S68:S72)</f>
        <v>7790</v>
      </c>
      <c r="T73" s="1835"/>
      <c r="U73" s="635">
        <f>SUM(U68:U72)</f>
        <v>5159</v>
      </c>
      <c r="V73" s="1835"/>
      <c r="W73" s="635">
        <f>SUM(W68:W72)</f>
        <v>12949</v>
      </c>
      <c r="X73" s="635"/>
      <c r="Y73" s="635">
        <f>SUM(Y68:Y72)</f>
        <v>982.56600000000003</v>
      </c>
      <c r="Z73" s="2280"/>
      <c r="AA73" s="2332">
        <f>SUM(AA68:AA72)</f>
        <v>10195.566000000001</v>
      </c>
      <c r="AB73" s="2391"/>
      <c r="AC73" s="2332">
        <f t="shared" si="5"/>
        <v>13931.566000000001</v>
      </c>
      <c r="AD73" s="635"/>
      <c r="AE73" s="635">
        <f>SUM(AE68:AE72)</f>
        <v>5183.3339999999998</v>
      </c>
      <c r="AF73" s="2650"/>
      <c r="AG73" s="635">
        <f>SUM(AG68:AG72)</f>
        <v>16361.466</v>
      </c>
      <c r="AH73" s="635"/>
      <c r="AI73" s="635">
        <f>SUM(AI68:AI72)</f>
        <v>0</v>
      </c>
      <c r="AJ73" s="2681"/>
      <c r="AK73" s="635">
        <f>SUM(AK68:AK72)</f>
        <v>19114.900000000001</v>
      </c>
      <c r="AL73" s="635"/>
      <c r="AM73" s="635">
        <f>SUM(AM68:AM72)</f>
        <v>10406.448</v>
      </c>
      <c r="AN73" s="2776"/>
      <c r="AO73" s="2332">
        <f>SUM(AO68:AO72)</f>
        <v>15589.781999999999</v>
      </c>
      <c r="AP73" s="2776"/>
      <c r="AQ73" s="635">
        <f>SUM(AQ68:AQ72)</f>
        <v>26767.914000000001</v>
      </c>
      <c r="AR73" s="635"/>
      <c r="AS73" s="635">
        <f>SUM(AS68:AS72)</f>
        <v>10251.306</v>
      </c>
      <c r="AT73" s="2822"/>
      <c r="AU73" s="635">
        <f>SUM(AU68:AU72)</f>
        <v>37019.22</v>
      </c>
      <c r="AW73" s="635">
        <f>SUM(AW68:AW72)</f>
        <v>0</v>
      </c>
      <c r="AX73" s="6336"/>
      <c r="AY73" s="635">
        <f>SUM(AY68:AY72)</f>
        <v>37019.22</v>
      </c>
      <c r="BA73" s="635">
        <f>SUM(BA68:BA72)</f>
        <v>0</v>
      </c>
      <c r="BC73" s="2332">
        <f>SUM(BC68:BC72)</f>
        <v>10251.306</v>
      </c>
      <c r="BE73" s="2332">
        <f>AO73+BC73</f>
        <v>25841.088</v>
      </c>
      <c r="BG73" s="635">
        <f>SUM(BG68:BG72)</f>
        <v>37019.22</v>
      </c>
    </row>
    <row r="74" spans="3:61" x14ac:dyDescent="0.3">
      <c r="C74" s="8001" t="s">
        <v>981</v>
      </c>
      <c r="D74" s="8001"/>
      <c r="E74" s="6286"/>
      <c r="F74" s="556"/>
      <c r="G74" s="557">
        <f>+G73+G67+G49+G44+G37</f>
        <v>133326.37900000004</v>
      </c>
      <c r="H74" s="557"/>
      <c r="I74" s="557">
        <f>+I73+I67+I49+I44+I37</f>
        <v>145232.24000000005</v>
      </c>
      <c r="J74" s="626"/>
      <c r="K74" s="625">
        <f t="shared" si="53"/>
        <v>278558.61900000006</v>
      </c>
      <c r="L74" s="557"/>
      <c r="M74" s="557">
        <f>+M73+M67+M49+M44+M37</f>
        <v>104814.12100000006</v>
      </c>
      <c r="N74" s="631"/>
      <c r="O74" s="631">
        <f t="shared" si="54"/>
        <v>383372.74000000011</v>
      </c>
      <c r="P74" s="557"/>
      <c r="Q74" s="557">
        <f>+Q73+Q67+Q49+Q44+Q37</f>
        <v>146704.70700000008</v>
      </c>
      <c r="R74" s="631"/>
      <c r="S74" s="631">
        <f t="shared" ref="S74" si="116">O74+Q74</f>
        <v>530077.44700000016</v>
      </c>
      <c r="T74" s="557"/>
      <c r="U74" s="557">
        <f>+U73+U67+U49+U44+U37</f>
        <v>147255.93000000005</v>
      </c>
      <c r="V74" s="631"/>
      <c r="W74" s="631">
        <f t="shared" ref="W74" si="117">S74+U74</f>
        <v>677333.37700000021</v>
      </c>
      <c r="X74" s="631"/>
      <c r="Y74" s="557">
        <f>+Y73+Y67+Y49+Y44+Y37</f>
        <v>138065.22200000004</v>
      </c>
      <c r="Z74" s="631"/>
      <c r="AA74" s="2333">
        <f>Q74+U74+Y74</f>
        <v>432025.85900000017</v>
      </c>
      <c r="AB74" s="2391"/>
      <c r="AC74" s="2605">
        <f t="shared" si="5"/>
        <v>815398.59900000028</v>
      </c>
      <c r="AD74" s="631"/>
      <c r="AE74" s="557">
        <f>+AE73+AE67+AE49+AE44+AE37</f>
        <v>120841.549</v>
      </c>
      <c r="AF74" s="631"/>
      <c r="AG74" s="631">
        <f t="shared" ref="AG74" si="118">AC74+AE74</f>
        <v>936240.14800000028</v>
      </c>
      <c r="AH74" s="631"/>
      <c r="AI74" s="557">
        <f>+AI73+AI67+AI49+AI44+AI37</f>
        <v>23268.486000000004</v>
      </c>
      <c r="AJ74" s="631"/>
      <c r="AK74" s="626">
        <f t="shared" ref="AK74" si="119">AG74+AI74</f>
        <v>959508.63400000031</v>
      </c>
      <c r="AL74" s="631"/>
      <c r="AM74" s="557">
        <f>+AM73+AM67+AM49+AM44+AM37</f>
        <v>158936.62300000008</v>
      </c>
      <c r="AN74" s="631"/>
      <c r="AO74" s="2333">
        <f>AE74+AI74+AM74</f>
        <v>303046.65800000005</v>
      </c>
      <c r="AP74" s="631"/>
      <c r="AQ74" s="626">
        <f t="shared" ref="AQ74" si="120">AK74+AM74</f>
        <v>1118445.2570000004</v>
      </c>
      <c r="AR74" s="631"/>
      <c r="AS74" s="557">
        <f>+AS73+AS67+AS49+AS44+AS37</f>
        <v>158214.40200000009</v>
      </c>
      <c r="AT74" s="631"/>
      <c r="AU74" s="626">
        <f t="shared" si="107"/>
        <v>1276659.6590000005</v>
      </c>
      <c r="AW74" s="557">
        <f>+AW73+AW67+AW49+AW44+AW37</f>
        <v>141113.35600000003</v>
      </c>
      <c r="AX74" s="631"/>
      <c r="AY74" s="626">
        <f t="shared" ref="AY74" si="121">AU74+AW74</f>
        <v>1417773.0150000006</v>
      </c>
      <c r="BA74" s="557">
        <f>+BA73+BA67+BA49+BA44+BA37</f>
        <v>155072.34800000009</v>
      </c>
      <c r="BC74" s="2333">
        <f>AS74+AW74+BA74</f>
        <v>454400.10600000026</v>
      </c>
      <c r="BE74" s="2605">
        <f>AO74+BC74</f>
        <v>757446.76400000032</v>
      </c>
      <c r="BG74" s="625">
        <f t="shared" ref="BG74" si="122">AY74+BA74</f>
        <v>1572845.3630000006</v>
      </c>
    </row>
    <row r="75" spans="3:61" x14ac:dyDescent="0.3">
      <c r="C75" s="7997" t="s">
        <v>982</v>
      </c>
      <c r="D75" s="7997"/>
      <c r="E75" s="554" t="s">
        <v>983</v>
      </c>
      <c r="F75" s="554"/>
      <c r="G75" s="1124">
        <f>+G74/G77</f>
        <v>0.67065582997987949</v>
      </c>
      <c r="H75" s="638"/>
      <c r="I75" s="1124">
        <f>+I74/I77</f>
        <v>0.63607646094880776</v>
      </c>
      <c r="J75" s="1446"/>
      <c r="K75" s="1446">
        <f>+K74/K77</f>
        <v>0.65217099179383575</v>
      </c>
      <c r="L75" s="638"/>
      <c r="M75" s="1124">
        <f>+M74/M77</f>
        <v>0.70999433225836306</v>
      </c>
      <c r="N75" s="699"/>
      <c r="O75" s="699">
        <f>+O74/O77</f>
        <v>0.66702308716442027</v>
      </c>
      <c r="P75" s="638"/>
      <c r="Q75" s="1124">
        <f>+Q74/Q77</f>
        <v>0.66301216475754832</v>
      </c>
      <c r="R75" s="699"/>
      <c r="S75" s="699">
        <f>+S74/S77</f>
        <v>0.66590817198158325</v>
      </c>
      <c r="T75" s="638"/>
      <c r="U75" s="1124">
        <f>+U74/U77</f>
        <v>0.69705653989624095</v>
      </c>
      <c r="V75" s="699"/>
      <c r="W75" s="699">
        <f>+W74/W77</f>
        <v>0.67244085669516906</v>
      </c>
      <c r="X75" s="699"/>
      <c r="Y75" s="1124">
        <f>+Y74/Y77</f>
        <v>0.63866777073156833</v>
      </c>
      <c r="Z75" s="699"/>
      <c r="AA75" s="2334">
        <f>+AA74/AA77</f>
        <v>0.6659862816455927</v>
      </c>
      <c r="AB75" s="2391"/>
      <c r="AC75" s="2604">
        <f>AC74/AC77</f>
        <v>0.66647335064702318</v>
      </c>
      <c r="AD75" s="699"/>
      <c r="AE75" s="638">
        <f>+AE74/AE77</f>
        <v>0.6467981510450993</v>
      </c>
      <c r="AF75" s="699"/>
      <c r="AG75" s="699">
        <f>+AG74/AG77</f>
        <v>0.66386683478036024</v>
      </c>
      <c r="AH75" s="699"/>
      <c r="AI75" s="638">
        <f>+AI74/AI77</f>
        <v>0.57726641926201649</v>
      </c>
      <c r="AJ75" s="699"/>
      <c r="AK75" s="1446">
        <f>+AK74/AK77</f>
        <v>0.66146044044704544</v>
      </c>
      <c r="AL75" s="699"/>
      <c r="AM75" s="638">
        <f>+AM74/AM77</f>
        <v>0.69923570075064256</v>
      </c>
      <c r="AN75" s="699"/>
      <c r="AO75" s="2334">
        <f>+AO74/AO77</f>
        <v>0.66685891515697815</v>
      </c>
      <c r="AP75" s="699"/>
      <c r="AQ75" s="1446">
        <f>+AQ74/AQ77</f>
        <v>0.66657777665770557</v>
      </c>
      <c r="AR75" s="699"/>
      <c r="AS75" s="638">
        <f>+AS74/AS77</f>
        <v>0.67209971733302998</v>
      </c>
      <c r="AT75" s="699"/>
      <c r="AU75" s="1446">
        <f>+AU74/AU77</f>
        <v>0.66725717135447982</v>
      </c>
      <c r="AW75" s="638">
        <f>+AW74/AW77</f>
        <v>0.67577814162796845</v>
      </c>
      <c r="AX75" s="699"/>
      <c r="AY75" s="1446">
        <f>+AY74/AY77</f>
        <v>0.66809563639528347</v>
      </c>
      <c r="BA75" s="638">
        <f>+BA74/BA77</f>
        <v>0.64405488857753335</v>
      </c>
      <c r="BC75" s="2334">
        <f>+BC74/BC77</f>
        <v>0.66336332247264485</v>
      </c>
      <c r="BE75" s="2604">
        <f>BE74/BE77</f>
        <v>0.66475746594063645</v>
      </c>
      <c r="BG75" s="1446">
        <f>+BG74/BG77</f>
        <v>0.66564591497683789</v>
      </c>
    </row>
    <row r="76" spans="3:61" x14ac:dyDescent="0.3"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2343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W76" s="149"/>
      <c r="AX76" s="149"/>
      <c r="AY76" s="149"/>
      <c r="BA76" s="149"/>
      <c r="BC76" s="149"/>
      <c r="BE76" s="2343"/>
      <c r="BG76" s="149"/>
    </row>
    <row r="77" spans="3:61" x14ac:dyDescent="0.3">
      <c r="C77" s="7998" t="s">
        <v>1041</v>
      </c>
      <c r="D77" s="7999"/>
      <c r="E77" s="556" t="s">
        <v>66</v>
      </c>
      <c r="F77" s="624">
        <f>+'Maj Production Summ'!E37</f>
        <v>228999.81536860339</v>
      </c>
      <c r="G77" s="624">
        <f>+'Maj Production Summ'!F37</f>
        <v>198800</v>
      </c>
      <c r="H77" s="624"/>
      <c r="I77" s="624">
        <f>+'Maj Production Summ'!H37</f>
        <v>228325.12900000007</v>
      </c>
      <c r="J77" s="629"/>
      <c r="K77" s="629">
        <f>+'Maj Production Summ'!J37</f>
        <v>427125.12900000007</v>
      </c>
      <c r="L77" s="624">
        <f>+'Maj Production Summ'!K37</f>
        <v>142529.06735751301</v>
      </c>
      <c r="M77" s="624">
        <f>+'Maj Production Summ'!L37</f>
        <v>147626.70100000006</v>
      </c>
      <c r="N77" s="633"/>
      <c r="O77" s="633">
        <f>+G77+I77+M77</f>
        <v>574751.83000000007</v>
      </c>
      <c r="P77" s="624">
        <f>+'Maj Production Summ'!O37</f>
        <v>81183.229706390324</v>
      </c>
      <c r="Q77" s="624">
        <f>+'Maj Production Summ'!P37</f>
        <v>221270.00800000009</v>
      </c>
      <c r="R77" s="633"/>
      <c r="S77" s="633">
        <f t="shared" ref="S77" si="123">O77+Q77</f>
        <v>796021.83800000022</v>
      </c>
      <c r="T77" s="624">
        <f>+'Maj Production Summ'!S37</f>
        <v>217952.17645827011</v>
      </c>
      <c r="U77" s="624">
        <f>+'Maj Production Summ'!T37</f>
        <v>211253.92500000008</v>
      </c>
      <c r="V77" s="633"/>
      <c r="W77" s="633">
        <f t="shared" ref="W77" si="124">S77+U77</f>
        <v>1007275.7630000003</v>
      </c>
      <c r="X77" s="633"/>
      <c r="Y77" s="624">
        <f>+'Maj Production Summ'!X37</f>
        <v>216176.90500000003</v>
      </c>
      <c r="Z77" s="633"/>
      <c r="AA77" s="2335">
        <f>Q77+U77+Y77</f>
        <v>648700.83800000022</v>
      </c>
      <c r="AB77" s="2336"/>
      <c r="AC77" s="1175">
        <f>O77+AA77</f>
        <v>1223452.6680000003</v>
      </c>
      <c r="AD77" s="633"/>
      <c r="AE77" s="624">
        <f>+'Maj Production Summ'!AD37</f>
        <v>186830.38720000003</v>
      </c>
      <c r="AF77" s="633"/>
      <c r="AG77" s="633">
        <f t="shared" ref="AG77" si="125">AC77+AE77</f>
        <v>1410283.0552000003</v>
      </c>
      <c r="AH77" s="633"/>
      <c r="AI77" s="624">
        <f>+'Maj Production Summ'!AH37</f>
        <v>40308.054000000004</v>
      </c>
      <c r="AJ77" s="633"/>
      <c r="AK77" s="629">
        <f t="shared" ref="AK77" si="126">AG77+AI77</f>
        <v>1450591.1092000003</v>
      </c>
      <c r="AL77" s="633"/>
      <c r="AM77" s="624">
        <f>+'Maj Production Summ'!AL37</f>
        <v>227300.49800000008</v>
      </c>
      <c r="AN77" s="633"/>
      <c r="AO77" s="2335">
        <f>AE77+AI77+AM77</f>
        <v>454438.93920000014</v>
      </c>
      <c r="AP77" s="633"/>
      <c r="AQ77" s="629">
        <f t="shared" ref="AQ77" si="127">AK77+AM77</f>
        <v>1677891.6072000004</v>
      </c>
      <c r="AR77" s="633"/>
      <c r="AS77" s="624">
        <f>+'Maj Production Summ'!AR37</f>
        <v>235403.16700000007</v>
      </c>
      <c r="AT77" s="633"/>
      <c r="AU77" s="629">
        <f t="shared" ref="AU77" si="128">AQ77+AS77</f>
        <v>1913294.7742000006</v>
      </c>
      <c r="AW77" s="624">
        <f>+'Maj Production Summ'!AV37</f>
        <v>208816.1</v>
      </c>
      <c r="AX77" s="633"/>
      <c r="AY77" s="629">
        <f t="shared" ref="AY77" si="129">AU77+AW77</f>
        <v>2122110.8742000004</v>
      </c>
      <c r="BA77" s="624">
        <f>+'Maj Production Summ'!AZ37</f>
        <v>240775.0500000001</v>
      </c>
      <c r="BC77" s="2335">
        <f>AS77+AW77+BA77</f>
        <v>684994.31700000027</v>
      </c>
      <c r="BE77" s="1175">
        <f>AO77+BC77</f>
        <v>1139433.2562000004</v>
      </c>
      <c r="BG77" s="625">
        <f t="shared" ref="BG77" si="130">AY77+BA77</f>
        <v>2362885.9242000007</v>
      </c>
    </row>
    <row r="78" spans="3:61" x14ac:dyDescent="0.3">
      <c r="BE78" s="542"/>
    </row>
    <row r="80" spans="3:61" x14ac:dyDescent="0.3">
      <c r="G80" s="26"/>
      <c r="H80" s="26"/>
      <c r="I80" s="26"/>
      <c r="J80" s="26"/>
      <c r="K80" s="26"/>
      <c r="L80" s="26"/>
      <c r="M80" s="26"/>
      <c r="O80" s="26"/>
    </row>
    <row r="81" spans="7:15" x14ac:dyDescent="0.3">
      <c r="G81" s="26"/>
      <c r="I81" s="26"/>
      <c r="K81" s="26"/>
      <c r="M81" s="26"/>
      <c r="O81" s="26"/>
    </row>
    <row r="82" spans="7:15" x14ac:dyDescent="0.3">
      <c r="G82" s="26"/>
      <c r="I82" s="26"/>
      <c r="K82" s="26"/>
      <c r="M82" s="26"/>
      <c r="O82" s="26"/>
    </row>
    <row r="83" spans="7:15" x14ac:dyDescent="0.3">
      <c r="G83" s="26"/>
      <c r="I83" s="26"/>
      <c r="M83" s="26"/>
    </row>
    <row r="84" spans="7:15" x14ac:dyDescent="0.3">
      <c r="G84" s="26"/>
      <c r="I84" s="26"/>
      <c r="K84" s="26"/>
      <c r="M84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5:D75"/>
    <mergeCell ref="C77:D77"/>
    <mergeCell ref="C37:D37"/>
    <mergeCell ref="C44:D44"/>
    <mergeCell ref="C49:D49"/>
    <mergeCell ref="C67:D67"/>
    <mergeCell ref="C73:D73"/>
    <mergeCell ref="C74:D74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3" workbookViewId="0">
      <pane xSplit="2" topLeftCell="D1" activePane="topRight" state="frozen"/>
      <selection activeCell="B1" sqref="B1"/>
      <selection pane="topRight" activeCell="D21" sqref="D21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345" hidden="1" customWidth="1"/>
    <col min="4" max="4" width="8" bestFit="1" customWidth="1"/>
    <col min="5" max="5" width="9.140625" style="3345" hidden="1" customWidth="1"/>
    <col min="6" max="6" width="9.140625" hidden="1" customWidth="1"/>
    <col min="7" max="9" width="9.140625" style="3345" hidden="1" customWidth="1"/>
    <col min="10" max="10" width="9.140625" hidden="1" customWidth="1"/>
    <col min="11" max="13" width="9.140625" style="3345" hidden="1" customWidth="1"/>
    <col min="14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011" t="s">
        <v>2307</v>
      </c>
      <c r="C2" s="8011"/>
      <c r="D2" s="8011"/>
      <c r="E2" s="8011"/>
      <c r="F2" s="8011"/>
      <c r="G2" s="8011"/>
      <c r="H2" s="8011"/>
      <c r="I2" s="8011"/>
      <c r="J2" s="8011"/>
      <c r="K2" s="8011"/>
      <c r="L2" s="8011"/>
      <c r="M2" s="8011"/>
      <c r="N2" s="8011"/>
      <c r="O2" s="8011"/>
      <c r="P2" s="8011"/>
      <c r="Q2" s="8011"/>
      <c r="R2" s="8011"/>
      <c r="S2" s="8011"/>
      <c r="T2" s="8011"/>
      <c r="U2" s="8011"/>
      <c r="V2" s="8011"/>
      <c r="W2" s="8011"/>
      <c r="X2" s="8011"/>
      <c r="Y2" s="8011"/>
      <c r="Z2" s="8011"/>
      <c r="AA2" s="8011"/>
      <c r="AB2" s="8011"/>
      <c r="AC2" s="8011"/>
      <c r="AD2" s="8011"/>
      <c r="AE2" s="8011"/>
      <c r="AF2" s="8011"/>
      <c r="AG2" s="8011"/>
      <c r="AH2" s="8011"/>
      <c r="AI2" s="8011"/>
      <c r="AJ2" s="8011"/>
      <c r="AK2" s="8011"/>
      <c r="AL2" s="8011"/>
      <c r="AM2" s="8011"/>
      <c r="AN2" s="8011"/>
      <c r="AO2" s="8011"/>
      <c r="AP2" s="8011"/>
      <c r="AQ2" s="8011"/>
      <c r="AR2" s="8011"/>
      <c r="AS2" s="8011"/>
      <c r="AT2" s="8011"/>
      <c r="AU2" s="8011"/>
      <c r="AV2" s="8011"/>
      <c r="AW2" s="8011"/>
      <c r="AX2" s="8011"/>
      <c r="AY2" s="8011"/>
      <c r="AZ2" s="8011"/>
      <c r="BA2" s="8011"/>
      <c r="BB2" s="8011"/>
      <c r="BC2" s="8011"/>
      <c r="BD2" s="8011"/>
    </row>
    <row r="3" spans="2:58" ht="21" customHeight="1" x14ac:dyDescent="0.25">
      <c r="B3" s="8011"/>
      <c r="C3" s="8011"/>
      <c r="D3" s="8011"/>
      <c r="E3" s="8011"/>
      <c r="F3" s="8011"/>
      <c r="G3" s="8011"/>
      <c r="H3" s="8011"/>
      <c r="I3" s="8011"/>
      <c r="J3" s="8011"/>
      <c r="K3" s="8011"/>
      <c r="L3" s="8011"/>
      <c r="M3" s="8011"/>
      <c r="N3" s="8011"/>
      <c r="O3" s="8011"/>
      <c r="P3" s="8011"/>
      <c r="Q3" s="8011"/>
      <c r="R3" s="8011"/>
      <c r="S3" s="8011"/>
      <c r="T3" s="8011"/>
      <c r="U3" s="8011"/>
      <c r="V3" s="8011"/>
      <c r="W3" s="8011"/>
      <c r="X3" s="8011"/>
      <c r="Y3" s="8011"/>
      <c r="Z3" s="8011"/>
      <c r="AA3" s="8011"/>
      <c r="AB3" s="8011"/>
      <c r="AC3" s="8011"/>
      <c r="AD3" s="8011"/>
      <c r="AE3" s="8011"/>
      <c r="AF3" s="8011"/>
      <c r="AG3" s="8011"/>
      <c r="AH3" s="8011"/>
      <c r="AI3" s="8011"/>
      <c r="AJ3" s="8011"/>
      <c r="AK3" s="8011"/>
      <c r="AL3" s="8011"/>
      <c r="AM3" s="8011"/>
      <c r="AN3" s="8011"/>
      <c r="AO3" s="8011"/>
      <c r="AP3" s="8011"/>
      <c r="AQ3" s="8011"/>
      <c r="AR3" s="8011"/>
      <c r="AS3" s="8011"/>
      <c r="AT3" s="8011"/>
      <c r="AU3" s="8011"/>
      <c r="AV3" s="8011"/>
      <c r="AW3" s="8011"/>
      <c r="AX3" s="8011"/>
      <c r="AY3" s="8011"/>
      <c r="AZ3" s="8011"/>
      <c r="BA3" s="8011"/>
      <c r="BB3" s="8011"/>
      <c r="BC3" s="8011"/>
      <c r="BD3" s="8011"/>
    </row>
    <row r="4" spans="2:58" ht="15.75" thickBot="1" x14ac:dyDescent="0.3">
      <c r="B4" s="3349"/>
      <c r="C4" s="3349"/>
      <c r="D4" s="3349"/>
      <c r="E4" s="3349"/>
      <c r="F4" s="3349"/>
      <c r="G4" s="3349"/>
      <c r="H4" s="3349"/>
      <c r="I4" s="3349"/>
      <c r="J4" s="3349"/>
      <c r="K4" s="3349"/>
      <c r="L4" s="3349"/>
      <c r="M4" s="3349"/>
      <c r="N4" s="3349"/>
      <c r="O4" s="3349"/>
      <c r="P4" s="3349"/>
      <c r="Q4" s="3349"/>
      <c r="R4" s="3349"/>
      <c r="S4" s="3349"/>
      <c r="T4" s="3349"/>
      <c r="U4" s="3349"/>
      <c r="V4" s="3349"/>
      <c r="W4" s="3349"/>
    </row>
    <row r="5" spans="2:58" ht="20.25" x14ac:dyDescent="0.25">
      <c r="B5" s="6365" t="s">
        <v>1780</v>
      </c>
      <c r="C5" s="8008" t="s">
        <v>2254</v>
      </c>
      <c r="D5" s="8008"/>
      <c r="E5" s="8008" t="s">
        <v>2306</v>
      </c>
      <c r="F5" s="8008"/>
      <c r="G5" s="8008" t="s">
        <v>14</v>
      </c>
      <c r="H5" s="8008"/>
      <c r="I5" s="8005" t="s">
        <v>1903</v>
      </c>
      <c r="J5" s="8006"/>
      <c r="K5" s="8009" t="s">
        <v>637</v>
      </c>
      <c r="L5" s="8010"/>
      <c r="M5" s="8005" t="s">
        <v>1937</v>
      </c>
      <c r="N5" s="8006"/>
      <c r="O5" s="8007" t="s">
        <v>17</v>
      </c>
      <c r="P5" s="8007"/>
      <c r="Q5" s="8005" t="s">
        <v>1961</v>
      </c>
      <c r="R5" s="8006"/>
      <c r="S5" s="8007" t="s">
        <v>18</v>
      </c>
      <c r="T5" s="8007"/>
      <c r="U5" s="8005" t="s">
        <v>1983</v>
      </c>
      <c r="V5" s="8006"/>
      <c r="W5" s="8012" t="s">
        <v>839</v>
      </c>
      <c r="X5" s="8012"/>
      <c r="Y5" s="8013" t="s">
        <v>657</v>
      </c>
      <c r="Z5" s="8013"/>
      <c r="AA5" s="8005" t="s">
        <v>2002</v>
      </c>
      <c r="AB5" s="8006"/>
      <c r="AC5" s="8007" t="s">
        <v>24</v>
      </c>
      <c r="AD5" s="8007"/>
      <c r="AE5" s="8005" t="s">
        <v>2018</v>
      </c>
      <c r="AF5" s="8006"/>
      <c r="AG5" s="8007" t="s">
        <v>27</v>
      </c>
      <c r="AH5" s="8007"/>
      <c r="AI5" s="8005" t="s">
        <v>2033</v>
      </c>
      <c r="AJ5" s="8006"/>
      <c r="AK5" s="8012" t="s">
        <v>1682</v>
      </c>
      <c r="AL5" s="8012"/>
      <c r="AM5" s="8007" t="s">
        <v>1683</v>
      </c>
      <c r="AN5" s="8007"/>
      <c r="AO5" s="8005" t="s">
        <v>2137</v>
      </c>
      <c r="AP5" s="8006"/>
      <c r="AQ5" s="8007" t="s">
        <v>28</v>
      </c>
      <c r="AR5" s="8007"/>
      <c r="AS5" s="8005" t="s">
        <v>2151</v>
      </c>
      <c r="AT5" s="8006"/>
      <c r="AU5" s="8007" t="s">
        <v>30</v>
      </c>
      <c r="AV5" s="8007"/>
      <c r="AW5" s="8005" t="s">
        <v>2163</v>
      </c>
      <c r="AX5" s="8006"/>
      <c r="AY5" s="8012" t="s">
        <v>1727</v>
      </c>
      <c r="AZ5" s="8012"/>
      <c r="BA5" s="8013" t="s">
        <v>671</v>
      </c>
      <c r="BB5" s="8013"/>
      <c r="BC5" s="8007" t="s">
        <v>1765</v>
      </c>
      <c r="BD5" s="8014"/>
    </row>
    <row r="6" spans="2:58" ht="18" x14ac:dyDescent="0.25">
      <c r="B6" s="6366" t="s">
        <v>1781</v>
      </c>
      <c r="C6" s="6367"/>
      <c r="D6" s="6364">
        <v>31061</v>
      </c>
      <c r="E6" s="6367"/>
      <c r="F6" s="6364">
        <v>33803</v>
      </c>
      <c r="G6" s="6367"/>
      <c r="H6" s="6364">
        <f>D6+F6</f>
        <v>64864</v>
      </c>
      <c r="I6" s="6367"/>
      <c r="J6" s="6364">
        <v>26950</v>
      </c>
      <c r="K6" s="6368"/>
      <c r="L6" s="6368">
        <f>H6+J6</f>
        <v>91814</v>
      </c>
      <c r="M6" s="6368"/>
      <c r="N6" s="6368">
        <v>25504</v>
      </c>
      <c r="O6" s="6368"/>
      <c r="P6" s="6368">
        <f>L6+N6</f>
        <v>117318</v>
      </c>
      <c r="Q6" s="6368"/>
      <c r="R6" s="6368">
        <v>26202</v>
      </c>
      <c r="S6" s="6368"/>
      <c r="T6" s="6368">
        <f>P6+R6</f>
        <v>143520</v>
      </c>
      <c r="U6" s="6368"/>
      <c r="V6" s="6368">
        <v>26219</v>
      </c>
      <c r="W6" s="6369"/>
      <c r="X6" s="6370">
        <f>N6+R6+V6</f>
        <v>77925</v>
      </c>
      <c r="Y6" s="6371"/>
      <c r="Z6" s="6370">
        <f>L6+X6</f>
        <v>169739</v>
      </c>
      <c r="AA6" s="6371"/>
      <c r="AB6" s="6371">
        <v>25690</v>
      </c>
      <c r="AC6" s="6371"/>
      <c r="AD6" s="6370">
        <f>Z6+AB6</f>
        <v>195429</v>
      </c>
      <c r="AE6" s="6371"/>
      <c r="AF6" s="6371">
        <v>6802</v>
      </c>
      <c r="AG6" s="6371"/>
      <c r="AH6" s="6370">
        <f>AD6+AF6</f>
        <v>202231</v>
      </c>
      <c r="AI6" s="6371"/>
      <c r="AJ6" s="6371">
        <v>29413</v>
      </c>
      <c r="AK6" s="6371"/>
      <c r="AL6" s="6371">
        <f>AB6+AF6+AJ6</f>
        <v>61905</v>
      </c>
      <c r="AM6" s="6371"/>
      <c r="AN6" s="6370">
        <f>AH6+AJ6</f>
        <v>231644</v>
      </c>
      <c r="AO6" s="6371"/>
      <c r="AP6" s="6371">
        <v>27430</v>
      </c>
      <c r="AQ6" s="6371"/>
      <c r="AR6" s="6370">
        <f>AN6+AP6</f>
        <v>259074</v>
      </c>
      <c r="AS6" s="6371"/>
      <c r="AT6" s="6371">
        <v>23976</v>
      </c>
      <c r="AU6" s="6371"/>
      <c r="AV6" s="6370">
        <f>AR6+AT6</f>
        <v>283050</v>
      </c>
      <c r="AW6" s="6371"/>
      <c r="AX6" s="6371">
        <v>28936</v>
      </c>
      <c r="AY6" s="6371"/>
      <c r="AZ6" s="6371">
        <f>AP6+AT6+AX6</f>
        <v>80342</v>
      </c>
      <c r="BA6" s="6371"/>
      <c r="BB6" s="6371">
        <f>AL6+AZ6</f>
        <v>142247</v>
      </c>
      <c r="BC6" s="6371"/>
      <c r="BD6" s="6372">
        <f>AV6+AX6</f>
        <v>311986</v>
      </c>
      <c r="BF6" s="26"/>
    </row>
    <row r="7" spans="2:58" ht="18" x14ac:dyDescent="0.25">
      <c r="B7" s="6366" t="s">
        <v>1782</v>
      </c>
      <c r="C7" s="6367"/>
      <c r="D7" s="6364">
        <v>85589</v>
      </c>
      <c r="E7" s="6367"/>
      <c r="F7" s="6364">
        <v>101897</v>
      </c>
      <c r="G7" s="6367"/>
      <c r="H7" s="6364">
        <f t="shared" ref="H7:H21" si="0">D7+F7</f>
        <v>187486</v>
      </c>
      <c r="I7" s="6367"/>
      <c r="J7" s="6364">
        <v>81588</v>
      </c>
      <c r="K7" s="6368"/>
      <c r="L7" s="6368">
        <f t="shared" ref="L7:L21" si="1">H7+J7</f>
        <v>269074</v>
      </c>
      <c r="M7" s="6368"/>
      <c r="N7" s="6368">
        <v>67677</v>
      </c>
      <c r="O7" s="6368"/>
      <c r="P7" s="6368">
        <f t="shared" ref="P7:P20" si="2">L7+N7</f>
        <v>336751</v>
      </c>
      <c r="Q7" s="6368"/>
      <c r="R7" s="6368">
        <v>42448</v>
      </c>
      <c r="S7" s="6368"/>
      <c r="T7" s="6368">
        <f t="shared" ref="T7:T20" si="3">P7+R7</f>
        <v>379199</v>
      </c>
      <c r="U7" s="6368"/>
      <c r="V7" s="6368">
        <v>41058</v>
      </c>
      <c r="W7" s="6369"/>
      <c r="X7" s="6370">
        <f t="shared" ref="X7:X20" si="4">N7+R7+V7</f>
        <v>151183</v>
      </c>
      <c r="Y7" s="6371"/>
      <c r="Z7" s="6370">
        <f t="shared" ref="Z7:Z20" si="5">L7+X7</f>
        <v>420257</v>
      </c>
      <c r="AA7" s="6371"/>
      <c r="AB7" s="6371">
        <v>51726</v>
      </c>
      <c r="AC7" s="6371"/>
      <c r="AD7" s="6370">
        <f t="shared" ref="AD7:AD20" si="6">Z7+AB7</f>
        <v>471983</v>
      </c>
      <c r="AE7" s="6371"/>
      <c r="AF7" s="6371">
        <v>16386</v>
      </c>
      <c r="AG7" s="6371"/>
      <c r="AH7" s="6370">
        <f t="shared" ref="AH7:AH20" si="7">AD7+AF7</f>
        <v>488369</v>
      </c>
      <c r="AI7" s="6371"/>
      <c r="AJ7" s="6371">
        <v>46444</v>
      </c>
      <c r="AK7" s="6371"/>
      <c r="AL7" s="6371">
        <f t="shared" ref="AL7:AL20" si="8">AB7+AF7+AJ7</f>
        <v>114556</v>
      </c>
      <c r="AM7" s="6371"/>
      <c r="AN7" s="6370">
        <f t="shared" ref="AN7:AN20" si="9">AH7+AJ7</f>
        <v>534813</v>
      </c>
      <c r="AO7" s="6371"/>
      <c r="AP7" s="6371">
        <v>43058</v>
      </c>
      <c r="AQ7" s="6371"/>
      <c r="AR7" s="6370">
        <f t="shared" ref="AR7:AR20" si="10">AN7+AP7</f>
        <v>577871</v>
      </c>
      <c r="AS7" s="6371"/>
      <c r="AT7" s="6371">
        <v>42951</v>
      </c>
      <c r="AU7" s="6371"/>
      <c r="AV7" s="6370">
        <f t="shared" ref="AV7:AV20" si="11">AR7+AT7</f>
        <v>620822</v>
      </c>
      <c r="AW7" s="6371"/>
      <c r="AX7" s="6371">
        <v>93687</v>
      </c>
      <c r="AY7" s="6371"/>
      <c r="AZ7" s="6371">
        <f t="shared" ref="AZ7:AZ20" si="12">AP7+AT7+AX7</f>
        <v>179696</v>
      </c>
      <c r="BA7" s="6371"/>
      <c r="BB7" s="6371">
        <f t="shared" ref="BB7:BB20" si="13">AL7+AZ7</f>
        <v>294252</v>
      </c>
      <c r="BC7" s="6371"/>
      <c r="BD7" s="6372">
        <f t="shared" ref="BD7:BD20" si="14">AV7+AX7</f>
        <v>714509</v>
      </c>
      <c r="BF7" s="26"/>
    </row>
    <row r="8" spans="2:58" ht="18" x14ac:dyDescent="0.25">
      <c r="B8" s="6366" t="s">
        <v>1783</v>
      </c>
      <c r="C8" s="6367"/>
      <c r="D8" s="6364">
        <v>88480</v>
      </c>
      <c r="E8" s="6367"/>
      <c r="F8" s="6364">
        <v>117397</v>
      </c>
      <c r="G8" s="6367"/>
      <c r="H8" s="6364">
        <f t="shared" si="0"/>
        <v>205877</v>
      </c>
      <c r="I8" s="6367"/>
      <c r="J8" s="6364">
        <v>85515</v>
      </c>
      <c r="K8" s="6368"/>
      <c r="L8" s="6368">
        <f t="shared" si="1"/>
        <v>291392</v>
      </c>
      <c r="M8" s="6368"/>
      <c r="N8" s="6368">
        <v>70305</v>
      </c>
      <c r="O8" s="6368"/>
      <c r="P8" s="6368">
        <f t="shared" si="2"/>
        <v>361697</v>
      </c>
      <c r="Q8" s="6368"/>
      <c r="R8" s="6368">
        <v>49224</v>
      </c>
      <c r="S8" s="6368"/>
      <c r="T8" s="6368">
        <f t="shared" si="3"/>
        <v>410921</v>
      </c>
      <c r="U8" s="6368"/>
      <c r="V8" s="6368">
        <v>51868</v>
      </c>
      <c r="W8" s="6369"/>
      <c r="X8" s="6370">
        <f t="shared" si="4"/>
        <v>171397</v>
      </c>
      <c r="Y8" s="6371"/>
      <c r="Z8" s="6370">
        <f t="shared" si="5"/>
        <v>462789</v>
      </c>
      <c r="AA8" s="6371"/>
      <c r="AB8" s="6371">
        <v>58974</v>
      </c>
      <c r="AC8" s="6371"/>
      <c r="AD8" s="6370">
        <f t="shared" si="6"/>
        <v>521763</v>
      </c>
      <c r="AE8" s="6371"/>
      <c r="AF8" s="6371">
        <v>20312</v>
      </c>
      <c r="AG8" s="6371"/>
      <c r="AH8" s="6370">
        <f t="shared" si="7"/>
        <v>542075</v>
      </c>
      <c r="AI8" s="6371"/>
      <c r="AJ8" s="6371">
        <v>50334</v>
      </c>
      <c r="AK8" s="6371"/>
      <c r="AL8" s="6371">
        <f t="shared" si="8"/>
        <v>129620</v>
      </c>
      <c r="AM8" s="6371"/>
      <c r="AN8" s="6370">
        <f t="shared" si="9"/>
        <v>592409</v>
      </c>
      <c r="AO8" s="6371"/>
      <c r="AP8" s="6371">
        <v>47415</v>
      </c>
      <c r="AQ8" s="6371"/>
      <c r="AR8" s="6370">
        <f t="shared" si="10"/>
        <v>639824</v>
      </c>
      <c r="AS8" s="6371"/>
      <c r="AT8" s="6371">
        <v>48472</v>
      </c>
      <c r="AU8" s="6371"/>
      <c r="AV8" s="6370">
        <f t="shared" si="11"/>
        <v>688296</v>
      </c>
      <c r="AW8" s="6371"/>
      <c r="AX8" s="6371">
        <v>96800</v>
      </c>
      <c r="AY8" s="6371"/>
      <c r="AZ8" s="6371">
        <f t="shared" si="12"/>
        <v>192687</v>
      </c>
      <c r="BA8" s="6371"/>
      <c r="BB8" s="6371">
        <f t="shared" si="13"/>
        <v>322307</v>
      </c>
      <c r="BC8" s="6371"/>
      <c r="BD8" s="6372">
        <f t="shared" si="14"/>
        <v>785096</v>
      </c>
      <c r="BF8" s="26"/>
    </row>
    <row r="9" spans="2:58" ht="18" x14ac:dyDescent="0.25">
      <c r="B9" s="6366" t="s">
        <v>1784</v>
      </c>
      <c r="C9" s="6367"/>
      <c r="D9" s="6364">
        <v>62118</v>
      </c>
      <c r="E9" s="6367"/>
      <c r="F9" s="6364">
        <v>72343</v>
      </c>
      <c r="G9" s="6367"/>
      <c r="H9" s="6364">
        <f t="shared" si="0"/>
        <v>134461</v>
      </c>
      <c r="I9" s="6367"/>
      <c r="J9" s="6364">
        <v>64525</v>
      </c>
      <c r="K9" s="6368"/>
      <c r="L9" s="6368">
        <f t="shared" si="1"/>
        <v>198986</v>
      </c>
      <c r="M9" s="6368"/>
      <c r="N9" s="6368">
        <v>72425</v>
      </c>
      <c r="O9" s="6368"/>
      <c r="P9" s="6368">
        <f t="shared" si="2"/>
        <v>271411</v>
      </c>
      <c r="Q9" s="6368"/>
      <c r="R9" s="6368">
        <v>69863</v>
      </c>
      <c r="S9" s="6373"/>
      <c r="T9" s="6368">
        <f t="shared" si="3"/>
        <v>341274</v>
      </c>
      <c r="U9" s="6368"/>
      <c r="V9" s="6368">
        <v>67708</v>
      </c>
      <c r="W9" s="6369"/>
      <c r="X9" s="6370">
        <f t="shared" si="4"/>
        <v>209996</v>
      </c>
      <c r="Y9" s="6371"/>
      <c r="Z9" s="6370">
        <f t="shared" si="5"/>
        <v>408982</v>
      </c>
      <c r="AA9" s="6371"/>
      <c r="AB9" s="6371">
        <v>67235</v>
      </c>
      <c r="AC9" s="6371"/>
      <c r="AD9" s="6370">
        <f t="shared" si="6"/>
        <v>476217</v>
      </c>
      <c r="AE9" s="6371"/>
      <c r="AF9" s="6371">
        <v>52250</v>
      </c>
      <c r="AG9" s="6371"/>
      <c r="AH9" s="6370">
        <f t="shared" si="7"/>
        <v>528467</v>
      </c>
      <c r="AI9" s="6371"/>
      <c r="AJ9" s="6371">
        <v>74093</v>
      </c>
      <c r="AK9" s="6371"/>
      <c r="AL9" s="6371">
        <f t="shared" si="8"/>
        <v>193578</v>
      </c>
      <c r="AM9" s="6371"/>
      <c r="AN9" s="6370">
        <f t="shared" si="9"/>
        <v>602560</v>
      </c>
      <c r="AO9" s="6371"/>
      <c r="AP9" s="6371">
        <v>69686</v>
      </c>
      <c r="AQ9" s="6371"/>
      <c r="AR9" s="6370">
        <f t="shared" si="10"/>
        <v>672246</v>
      </c>
      <c r="AS9" s="6371"/>
      <c r="AT9" s="6371">
        <v>65099</v>
      </c>
      <c r="AU9" s="6371"/>
      <c r="AV9" s="6370">
        <f t="shared" si="11"/>
        <v>737345</v>
      </c>
      <c r="AW9" s="6371"/>
      <c r="AX9" s="6371">
        <v>63570</v>
      </c>
      <c r="AY9" s="6371"/>
      <c r="AZ9" s="6371">
        <f t="shared" si="12"/>
        <v>198355</v>
      </c>
      <c r="BA9" s="6371"/>
      <c r="BB9" s="6371">
        <f t="shared" si="13"/>
        <v>391933</v>
      </c>
      <c r="BC9" s="6371"/>
      <c r="BD9" s="6372">
        <f t="shared" si="14"/>
        <v>800915</v>
      </c>
      <c r="BF9" s="26"/>
    </row>
    <row r="10" spans="2:58" ht="18" x14ac:dyDescent="0.25">
      <c r="B10" s="6366" t="s">
        <v>15</v>
      </c>
      <c r="C10" s="6367"/>
      <c r="D10" s="6364">
        <v>149122</v>
      </c>
      <c r="E10" s="6367"/>
      <c r="F10" s="6364">
        <v>153610</v>
      </c>
      <c r="G10" s="6367"/>
      <c r="H10" s="6364">
        <f t="shared" si="0"/>
        <v>302732</v>
      </c>
      <c r="I10" s="6367"/>
      <c r="J10" s="6364">
        <v>167317</v>
      </c>
      <c r="K10" s="6368"/>
      <c r="L10" s="6368">
        <f t="shared" si="1"/>
        <v>470049</v>
      </c>
      <c r="M10" s="6368"/>
      <c r="N10" s="6368">
        <v>182753</v>
      </c>
      <c r="O10" s="6368"/>
      <c r="P10" s="6368">
        <f t="shared" si="2"/>
        <v>652802</v>
      </c>
      <c r="Q10" s="6368"/>
      <c r="R10" s="6368">
        <v>166219</v>
      </c>
      <c r="S10" s="6373"/>
      <c r="T10" s="6368">
        <f t="shared" si="3"/>
        <v>819021</v>
      </c>
      <c r="U10" s="6368"/>
      <c r="V10" s="6368">
        <v>165981</v>
      </c>
      <c r="W10" s="6369"/>
      <c r="X10" s="6370">
        <f t="shared" si="4"/>
        <v>514953</v>
      </c>
      <c r="Y10" s="6371"/>
      <c r="Z10" s="6370">
        <f t="shared" si="5"/>
        <v>985002</v>
      </c>
      <c r="AA10" s="6371"/>
      <c r="AB10" s="6371">
        <v>158107</v>
      </c>
      <c r="AC10" s="6371"/>
      <c r="AD10" s="6370">
        <f t="shared" si="6"/>
        <v>1143109</v>
      </c>
      <c r="AE10" s="6371"/>
      <c r="AF10" s="6371">
        <v>61201</v>
      </c>
      <c r="AG10" s="6371"/>
      <c r="AH10" s="6370">
        <f t="shared" si="7"/>
        <v>1204310</v>
      </c>
      <c r="AI10" s="6371"/>
      <c r="AJ10" s="6371">
        <v>174558</v>
      </c>
      <c r="AK10" s="6371"/>
      <c r="AL10" s="6371">
        <f t="shared" si="8"/>
        <v>393866</v>
      </c>
      <c r="AM10" s="6371"/>
      <c r="AN10" s="6370">
        <f t="shared" si="9"/>
        <v>1378868</v>
      </c>
      <c r="AO10" s="6371"/>
      <c r="AP10" s="6371">
        <v>176198</v>
      </c>
      <c r="AQ10" s="6371"/>
      <c r="AR10" s="6370">
        <f t="shared" si="10"/>
        <v>1555066</v>
      </c>
      <c r="AS10" s="6371"/>
      <c r="AT10" s="6371">
        <v>155185</v>
      </c>
      <c r="AU10" s="6371"/>
      <c r="AV10" s="6370">
        <f t="shared" si="11"/>
        <v>1710251</v>
      </c>
      <c r="AW10" s="6371"/>
      <c r="AX10" s="6371">
        <v>181605</v>
      </c>
      <c r="AY10" s="6371"/>
      <c r="AZ10" s="6371">
        <f t="shared" si="12"/>
        <v>512988</v>
      </c>
      <c r="BA10" s="6371"/>
      <c r="BB10" s="6371">
        <f t="shared" si="13"/>
        <v>906854</v>
      </c>
      <c r="BC10" s="6371"/>
      <c r="BD10" s="6372">
        <f t="shared" si="14"/>
        <v>1891856</v>
      </c>
      <c r="BF10" s="26"/>
    </row>
    <row r="11" spans="2:58" ht="18" x14ac:dyDescent="0.25">
      <c r="B11" s="6366" t="s">
        <v>1785</v>
      </c>
      <c r="C11" s="6367"/>
      <c r="D11" s="6364">
        <v>6760</v>
      </c>
      <c r="E11" s="6367"/>
      <c r="F11" s="6364">
        <v>284</v>
      </c>
      <c r="G11" s="6367"/>
      <c r="H11" s="6364">
        <f t="shared" si="0"/>
        <v>7044</v>
      </c>
      <c r="I11" s="6367"/>
      <c r="J11" s="6364">
        <v>1022</v>
      </c>
      <c r="K11" s="6368"/>
      <c r="L11" s="6368">
        <f t="shared" si="1"/>
        <v>8066</v>
      </c>
      <c r="M11" s="6368"/>
      <c r="N11" s="6368">
        <v>0</v>
      </c>
      <c r="O11" s="6368"/>
      <c r="P11" s="6368">
        <f t="shared" si="2"/>
        <v>8066</v>
      </c>
      <c r="Q11" s="6368"/>
      <c r="R11" s="6368">
        <v>487</v>
      </c>
      <c r="S11" s="6373"/>
      <c r="T11" s="6368">
        <f t="shared" si="3"/>
        <v>8553</v>
      </c>
      <c r="U11" s="6368"/>
      <c r="V11" s="6368">
        <v>0</v>
      </c>
      <c r="W11" s="6369"/>
      <c r="X11" s="6370">
        <f t="shared" si="4"/>
        <v>487</v>
      </c>
      <c r="Y11" s="6371"/>
      <c r="Z11" s="6370">
        <f t="shared" si="5"/>
        <v>8553</v>
      </c>
      <c r="AA11" s="6371"/>
      <c r="AB11" s="6371">
        <v>648</v>
      </c>
      <c r="AC11" s="6371"/>
      <c r="AD11" s="6370">
        <f t="shared" si="6"/>
        <v>9201</v>
      </c>
      <c r="AE11" s="6371"/>
      <c r="AF11" s="6371">
        <v>0</v>
      </c>
      <c r="AG11" s="6371"/>
      <c r="AH11" s="6370">
        <f t="shared" si="7"/>
        <v>9201</v>
      </c>
      <c r="AI11" s="6371"/>
      <c r="AJ11" s="6371">
        <v>1481</v>
      </c>
      <c r="AK11" s="6371"/>
      <c r="AL11" s="6371">
        <f t="shared" si="8"/>
        <v>2129</v>
      </c>
      <c r="AM11" s="6371"/>
      <c r="AN11" s="6370">
        <f t="shared" si="9"/>
        <v>10682</v>
      </c>
      <c r="AO11" s="6371"/>
      <c r="AP11" s="6371">
        <v>0</v>
      </c>
      <c r="AQ11" s="6371"/>
      <c r="AR11" s="6370">
        <f t="shared" si="10"/>
        <v>10682</v>
      </c>
      <c r="AS11" s="6371"/>
      <c r="AT11" s="6371">
        <v>236</v>
      </c>
      <c r="AU11" s="6371"/>
      <c r="AV11" s="6370">
        <f t="shared" si="11"/>
        <v>10918</v>
      </c>
      <c r="AW11" s="6371"/>
      <c r="AX11" s="6371">
        <v>0</v>
      </c>
      <c r="AY11" s="6371"/>
      <c r="AZ11" s="6371">
        <f t="shared" si="12"/>
        <v>236</v>
      </c>
      <c r="BA11" s="6371"/>
      <c r="BB11" s="6371">
        <f t="shared" si="13"/>
        <v>2365</v>
      </c>
      <c r="BC11" s="6371"/>
      <c r="BD11" s="6372">
        <f t="shared" si="14"/>
        <v>10918</v>
      </c>
      <c r="BF11" s="26"/>
    </row>
    <row r="12" spans="2:58" ht="18" x14ac:dyDescent="0.25">
      <c r="B12" s="6366" t="s">
        <v>1786</v>
      </c>
      <c r="C12" s="6367"/>
      <c r="D12" s="6364">
        <v>8963</v>
      </c>
      <c r="E12" s="6367"/>
      <c r="F12" s="6364">
        <v>10336</v>
      </c>
      <c r="G12" s="6367"/>
      <c r="H12" s="6364">
        <f t="shared" si="0"/>
        <v>19299</v>
      </c>
      <c r="I12" s="6367"/>
      <c r="J12" s="6364">
        <v>9937</v>
      </c>
      <c r="K12" s="6368"/>
      <c r="L12" s="6368">
        <f t="shared" si="1"/>
        <v>29236</v>
      </c>
      <c r="M12" s="6368"/>
      <c r="N12" s="6368">
        <v>10388</v>
      </c>
      <c r="O12" s="6368"/>
      <c r="P12" s="6368">
        <f t="shared" si="2"/>
        <v>39624</v>
      </c>
      <c r="Q12" s="6368"/>
      <c r="R12" s="6368">
        <v>9319</v>
      </c>
      <c r="S12" s="6373"/>
      <c r="T12" s="6368">
        <f t="shared" si="3"/>
        <v>48943</v>
      </c>
      <c r="U12" s="6368"/>
      <c r="V12" s="6368">
        <v>10025</v>
      </c>
      <c r="W12" s="6369"/>
      <c r="X12" s="6370">
        <f t="shared" si="4"/>
        <v>29732</v>
      </c>
      <c r="Y12" s="6371"/>
      <c r="Z12" s="6370">
        <f t="shared" si="5"/>
        <v>58968</v>
      </c>
      <c r="AA12" s="6371"/>
      <c r="AB12" s="6371">
        <v>9814</v>
      </c>
      <c r="AC12" s="6371"/>
      <c r="AD12" s="6370">
        <f t="shared" si="6"/>
        <v>68782</v>
      </c>
      <c r="AE12" s="6371"/>
      <c r="AF12" s="6371">
        <v>4827</v>
      </c>
      <c r="AG12" s="6371"/>
      <c r="AH12" s="6370">
        <f t="shared" si="7"/>
        <v>73609</v>
      </c>
      <c r="AI12" s="6371"/>
      <c r="AJ12" s="6371">
        <v>9331</v>
      </c>
      <c r="AK12" s="6371"/>
      <c r="AL12" s="6371">
        <f t="shared" si="8"/>
        <v>23972</v>
      </c>
      <c r="AM12" s="6371"/>
      <c r="AN12" s="6370">
        <f t="shared" si="9"/>
        <v>82940</v>
      </c>
      <c r="AO12" s="6371"/>
      <c r="AP12" s="6371">
        <v>9299</v>
      </c>
      <c r="AQ12" s="6371"/>
      <c r="AR12" s="6370">
        <f t="shared" si="10"/>
        <v>92239</v>
      </c>
      <c r="AS12" s="6371"/>
      <c r="AT12" s="6371">
        <v>8448</v>
      </c>
      <c r="AU12" s="6371"/>
      <c r="AV12" s="6370">
        <f t="shared" si="11"/>
        <v>100687</v>
      </c>
      <c r="AW12" s="6371"/>
      <c r="AX12" s="6371">
        <v>10076</v>
      </c>
      <c r="AY12" s="6371"/>
      <c r="AZ12" s="6371">
        <f t="shared" si="12"/>
        <v>27823</v>
      </c>
      <c r="BA12" s="6371"/>
      <c r="BB12" s="6371">
        <f t="shared" si="13"/>
        <v>51795</v>
      </c>
      <c r="BC12" s="6371"/>
      <c r="BD12" s="6372">
        <f t="shared" si="14"/>
        <v>110763</v>
      </c>
      <c r="BF12" s="26"/>
    </row>
    <row r="13" spans="2:58" ht="18" x14ac:dyDescent="0.25">
      <c r="B13" s="6366" t="s">
        <v>57</v>
      </c>
      <c r="C13" s="6367"/>
      <c r="D13" s="6364">
        <v>140723</v>
      </c>
      <c r="E13" s="6367"/>
      <c r="F13" s="6364">
        <v>145535</v>
      </c>
      <c r="G13" s="6367"/>
      <c r="H13" s="6364">
        <f t="shared" si="0"/>
        <v>286258</v>
      </c>
      <c r="I13" s="6367"/>
      <c r="J13" s="6364">
        <v>138656</v>
      </c>
      <c r="K13" s="6368"/>
      <c r="L13" s="6368">
        <f t="shared" si="1"/>
        <v>424914</v>
      </c>
      <c r="M13" s="6368"/>
      <c r="N13" s="6368">
        <v>161684</v>
      </c>
      <c r="O13" s="6368"/>
      <c r="P13" s="6368">
        <f t="shared" si="2"/>
        <v>586598</v>
      </c>
      <c r="Q13" s="6368"/>
      <c r="R13" s="6368">
        <v>158672</v>
      </c>
      <c r="S13" s="6373"/>
      <c r="T13" s="6368">
        <f t="shared" si="3"/>
        <v>745270</v>
      </c>
      <c r="U13" s="6368"/>
      <c r="V13" s="6368">
        <v>161035</v>
      </c>
      <c r="W13" s="6369"/>
      <c r="X13" s="6370">
        <f t="shared" si="4"/>
        <v>481391</v>
      </c>
      <c r="Y13" s="6371"/>
      <c r="Z13" s="6370">
        <f t="shared" si="5"/>
        <v>906305</v>
      </c>
      <c r="AA13" s="6371"/>
      <c r="AB13" s="6371">
        <v>153252</v>
      </c>
      <c r="AC13" s="6371"/>
      <c r="AD13" s="6370">
        <f t="shared" si="6"/>
        <v>1059557</v>
      </c>
      <c r="AE13" s="6371"/>
      <c r="AF13" s="6371">
        <v>27441</v>
      </c>
      <c r="AG13" s="6371"/>
      <c r="AH13" s="6370">
        <f t="shared" si="7"/>
        <v>1086998</v>
      </c>
      <c r="AI13" s="6371"/>
      <c r="AJ13" s="6371">
        <v>159510</v>
      </c>
      <c r="AK13" s="6371"/>
      <c r="AL13" s="6371">
        <f t="shared" si="8"/>
        <v>340203</v>
      </c>
      <c r="AM13" s="6371"/>
      <c r="AN13" s="6370">
        <f t="shared" si="9"/>
        <v>1246508</v>
      </c>
      <c r="AO13" s="6371"/>
      <c r="AP13" s="6371">
        <v>172843</v>
      </c>
      <c r="AQ13" s="6371"/>
      <c r="AR13" s="6370">
        <f t="shared" si="10"/>
        <v>1419351</v>
      </c>
      <c r="AS13" s="6371"/>
      <c r="AT13" s="6371">
        <v>146314</v>
      </c>
      <c r="AU13" s="6371"/>
      <c r="AV13" s="6370">
        <f t="shared" si="11"/>
        <v>1565665</v>
      </c>
      <c r="AW13" s="6371"/>
      <c r="AX13" s="6371">
        <v>165294</v>
      </c>
      <c r="AY13" s="6371"/>
      <c r="AZ13" s="6371">
        <f t="shared" si="12"/>
        <v>484451</v>
      </c>
      <c r="BA13" s="6371"/>
      <c r="BB13" s="6371">
        <f t="shared" si="13"/>
        <v>824654</v>
      </c>
      <c r="BC13" s="6371"/>
      <c r="BD13" s="6372">
        <f t="shared" si="14"/>
        <v>1730959</v>
      </c>
      <c r="BF13" s="26"/>
    </row>
    <row r="14" spans="2:58" ht="18" x14ac:dyDescent="0.25">
      <c r="B14" s="6366" t="s">
        <v>58</v>
      </c>
      <c r="C14" s="6367"/>
      <c r="D14" s="6364">
        <v>86786</v>
      </c>
      <c r="E14" s="6367"/>
      <c r="F14" s="6364">
        <v>95985</v>
      </c>
      <c r="G14" s="6367"/>
      <c r="H14" s="6364">
        <f t="shared" si="0"/>
        <v>182771</v>
      </c>
      <c r="I14" s="6367"/>
      <c r="J14" s="6364">
        <v>88516</v>
      </c>
      <c r="K14" s="6368"/>
      <c r="L14" s="6368">
        <f t="shared" si="1"/>
        <v>271287</v>
      </c>
      <c r="M14" s="6368"/>
      <c r="N14" s="6368">
        <v>100049</v>
      </c>
      <c r="O14" s="6368"/>
      <c r="P14" s="6368">
        <f t="shared" si="2"/>
        <v>371336</v>
      </c>
      <c r="Q14" s="6368"/>
      <c r="R14" s="6368">
        <v>97165</v>
      </c>
      <c r="S14" s="6373"/>
      <c r="T14" s="6368">
        <f t="shared" si="3"/>
        <v>468501</v>
      </c>
      <c r="U14" s="6368"/>
      <c r="V14" s="6368">
        <v>96442</v>
      </c>
      <c r="W14" s="6369"/>
      <c r="X14" s="6370">
        <f t="shared" si="4"/>
        <v>293656</v>
      </c>
      <c r="Y14" s="6371"/>
      <c r="Z14" s="6370">
        <f t="shared" si="5"/>
        <v>564943</v>
      </c>
      <c r="AA14" s="6371"/>
      <c r="AB14" s="6371">
        <v>97439</v>
      </c>
      <c r="AC14" s="6371"/>
      <c r="AD14" s="6370">
        <f t="shared" si="6"/>
        <v>662382</v>
      </c>
      <c r="AE14" s="6371"/>
      <c r="AF14" s="6371">
        <v>23184</v>
      </c>
      <c r="AG14" s="6371"/>
      <c r="AH14" s="6370">
        <f t="shared" si="7"/>
        <v>685566</v>
      </c>
      <c r="AI14" s="6371"/>
      <c r="AJ14" s="6371">
        <v>105436</v>
      </c>
      <c r="AK14" s="6371"/>
      <c r="AL14" s="6371">
        <f t="shared" si="8"/>
        <v>226059</v>
      </c>
      <c r="AM14" s="6371"/>
      <c r="AN14" s="6370">
        <f t="shared" si="9"/>
        <v>791002</v>
      </c>
      <c r="AO14" s="6371"/>
      <c r="AP14" s="6371">
        <v>101985</v>
      </c>
      <c r="AQ14" s="6371"/>
      <c r="AR14" s="6370">
        <f t="shared" si="10"/>
        <v>892987</v>
      </c>
      <c r="AS14" s="6371"/>
      <c r="AT14" s="6371">
        <v>92048</v>
      </c>
      <c r="AU14" s="6371"/>
      <c r="AV14" s="6370">
        <f t="shared" si="11"/>
        <v>985035</v>
      </c>
      <c r="AW14" s="6371"/>
      <c r="AX14" s="6371">
        <v>99111</v>
      </c>
      <c r="AY14" s="6371"/>
      <c r="AZ14" s="6371">
        <f t="shared" si="12"/>
        <v>293144</v>
      </c>
      <c r="BA14" s="6371"/>
      <c r="BB14" s="6371">
        <f t="shared" si="13"/>
        <v>519203</v>
      </c>
      <c r="BC14" s="6371"/>
      <c r="BD14" s="6372">
        <f t="shared" si="14"/>
        <v>1084146</v>
      </c>
      <c r="BF14" s="26"/>
    </row>
    <row r="15" spans="2:58" ht="18" x14ac:dyDescent="0.25">
      <c r="B15" s="6366" t="s">
        <v>1303</v>
      </c>
      <c r="C15" s="6367"/>
      <c r="D15" s="6364">
        <v>43771</v>
      </c>
      <c r="E15" s="6367"/>
      <c r="F15" s="6364">
        <v>65207</v>
      </c>
      <c r="G15" s="6367"/>
      <c r="H15" s="6364">
        <f t="shared" si="0"/>
        <v>108978</v>
      </c>
      <c r="I15" s="6367"/>
      <c r="J15" s="6364">
        <v>61657</v>
      </c>
      <c r="K15" s="6368"/>
      <c r="L15" s="6368">
        <f t="shared" si="1"/>
        <v>170635</v>
      </c>
      <c r="M15" s="6368"/>
      <c r="N15" s="6368">
        <v>61514</v>
      </c>
      <c r="O15" s="6368"/>
      <c r="P15" s="6368">
        <f t="shared" si="2"/>
        <v>232149</v>
      </c>
      <c r="Q15" s="6368"/>
      <c r="R15" s="6368">
        <v>63358</v>
      </c>
      <c r="S15" s="6368"/>
      <c r="T15" s="6368">
        <f t="shared" si="3"/>
        <v>295507</v>
      </c>
      <c r="U15" s="6368"/>
      <c r="V15" s="6368">
        <v>61989</v>
      </c>
      <c r="W15" s="6369"/>
      <c r="X15" s="6370">
        <f t="shared" si="4"/>
        <v>186861</v>
      </c>
      <c r="Y15" s="6371"/>
      <c r="Z15" s="6370">
        <f t="shared" si="5"/>
        <v>357496</v>
      </c>
      <c r="AA15" s="6371"/>
      <c r="AB15" s="6371">
        <v>62188</v>
      </c>
      <c r="AC15" s="6371"/>
      <c r="AD15" s="6370">
        <f t="shared" si="6"/>
        <v>419684</v>
      </c>
      <c r="AE15" s="6371"/>
      <c r="AF15" s="6371">
        <v>18165</v>
      </c>
      <c r="AG15" s="6371"/>
      <c r="AH15" s="6370">
        <f t="shared" si="7"/>
        <v>437849</v>
      </c>
      <c r="AI15" s="6371"/>
      <c r="AJ15" s="6371">
        <v>67665</v>
      </c>
      <c r="AK15" s="6371"/>
      <c r="AL15" s="6371">
        <f t="shared" si="8"/>
        <v>148018</v>
      </c>
      <c r="AM15" s="6371"/>
      <c r="AN15" s="6370">
        <f t="shared" si="9"/>
        <v>505514</v>
      </c>
      <c r="AO15" s="6371"/>
      <c r="AP15" s="6371">
        <v>59125</v>
      </c>
      <c r="AQ15" s="6371"/>
      <c r="AR15" s="6370">
        <f t="shared" si="10"/>
        <v>564639</v>
      </c>
      <c r="AS15" s="6371"/>
      <c r="AT15" s="6371">
        <v>61109</v>
      </c>
      <c r="AU15" s="6371"/>
      <c r="AV15" s="6370">
        <f t="shared" si="11"/>
        <v>625748</v>
      </c>
      <c r="AW15" s="6371"/>
      <c r="AX15" s="6371">
        <v>60719</v>
      </c>
      <c r="AY15" s="6371"/>
      <c r="AZ15" s="6371">
        <f t="shared" si="12"/>
        <v>180953</v>
      </c>
      <c r="BA15" s="6371"/>
      <c r="BB15" s="6371">
        <f t="shared" si="13"/>
        <v>328971</v>
      </c>
      <c r="BC15" s="6371"/>
      <c r="BD15" s="6372">
        <f t="shared" si="14"/>
        <v>686467</v>
      </c>
      <c r="BF15" s="26"/>
    </row>
    <row r="16" spans="2:58" ht="18" x14ac:dyDescent="0.25">
      <c r="B16" s="6366" t="s">
        <v>1787</v>
      </c>
      <c r="C16" s="6367"/>
      <c r="D16" s="6364">
        <v>41946</v>
      </c>
      <c r="E16" s="6367"/>
      <c r="F16" s="6364">
        <v>38061</v>
      </c>
      <c r="G16" s="6367"/>
      <c r="H16" s="6364">
        <f t="shared" si="0"/>
        <v>80007</v>
      </c>
      <c r="I16" s="6367"/>
      <c r="J16" s="6364">
        <v>37156</v>
      </c>
      <c r="K16" s="6368"/>
      <c r="L16" s="6368">
        <f t="shared" si="1"/>
        <v>117163</v>
      </c>
      <c r="M16" s="6368"/>
      <c r="N16" s="6368">
        <v>41281</v>
      </c>
      <c r="O16" s="6368"/>
      <c r="P16" s="6368">
        <f t="shared" si="2"/>
        <v>158444</v>
      </c>
      <c r="Q16" s="6368"/>
      <c r="R16" s="6368">
        <v>40238</v>
      </c>
      <c r="S16" s="6368"/>
      <c r="T16" s="6368">
        <f t="shared" si="3"/>
        <v>198682</v>
      </c>
      <c r="U16" s="6368"/>
      <c r="V16" s="6368">
        <v>41378</v>
      </c>
      <c r="W16" s="6369"/>
      <c r="X16" s="6370">
        <f t="shared" si="4"/>
        <v>122897</v>
      </c>
      <c r="Y16" s="6371"/>
      <c r="Z16" s="6370">
        <f t="shared" si="5"/>
        <v>240060</v>
      </c>
      <c r="AA16" s="6371"/>
      <c r="AB16" s="6371">
        <v>42011</v>
      </c>
      <c r="AC16" s="6371"/>
      <c r="AD16" s="6370">
        <f t="shared" si="6"/>
        <v>282071</v>
      </c>
      <c r="AE16" s="6371"/>
      <c r="AF16" s="6371">
        <v>13901</v>
      </c>
      <c r="AG16" s="6371"/>
      <c r="AH16" s="6370">
        <f t="shared" si="7"/>
        <v>295972</v>
      </c>
      <c r="AI16" s="6371"/>
      <c r="AJ16" s="6371">
        <v>42654</v>
      </c>
      <c r="AK16" s="6371"/>
      <c r="AL16" s="6371">
        <f t="shared" si="8"/>
        <v>98566</v>
      </c>
      <c r="AM16" s="6371"/>
      <c r="AN16" s="6370">
        <f t="shared" si="9"/>
        <v>338626</v>
      </c>
      <c r="AO16" s="6371"/>
      <c r="AP16" s="6371">
        <v>41435</v>
      </c>
      <c r="AQ16" s="6371"/>
      <c r="AR16" s="6370">
        <f t="shared" si="10"/>
        <v>380061</v>
      </c>
      <c r="AS16" s="6371"/>
      <c r="AT16" s="6371">
        <v>41060</v>
      </c>
      <c r="AU16" s="6371"/>
      <c r="AV16" s="6370">
        <f t="shared" si="11"/>
        <v>421121</v>
      </c>
      <c r="AW16" s="6371"/>
      <c r="AX16" s="6371">
        <v>41782</v>
      </c>
      <c r="AY16" s="6371"/>
      <c r="AZ16" s="6371">
        <f t="shared" si="12"/>
        <v>124277</v>
      </c>
      <c r="BA16" s="6371"/>
      <c r="BB16" s="6371">
        <f t="shared" si="13"/>
        <v>222843</v>
      </c>
      <c r="BC16" s="6371"/>
      <c r="BD16" s="6372">
        <f t="shared" si="14"/>
        <v>462903</v>
      </c>
      <c r="BF16" s="26"/>
    </row>
    <row r="17" spans="2:58" ht="18" x14ac:dyDescent="0.25">
      <c r="B17" s="6366" t="s">
        <v>1788</v>
      </c>
      <c r="C17" s="6367"/>
      <c r="D17" s="6364">
        <v>38101</v>
      </c>
      <c r="E17" s="6367"/>
      <c r="F17" s="6364">
        <v>42768</v>
      </c>
      <c r="G17" s="6367"/>
      <c r="H17" s="6364">
        <f t="shared" si="0"/>
        <v>80869</v>
      </c>
      <c r="I17" s="6367"/>
      <c r="J17" s="6364">
        <v>37591</v>
      </c>
      <c r="K17" s="6368"/>
      <c r="L17" s="6368">
        <f t="shared" si="1"/>
        <v>118460</v>
      </c>
      <c r="M17" s="6368"/>
      <c r="N17" s="6368">
        <v>37501</v>
      </c>
      <c r="O17" s="6368"/>
      <c r="P17" s="6368">
        <f t="shared" si="2"/>
        <v>155961</v>
      </c>
      <c r="Q17" s="6368"/>
      <c r="R17" s="6368">
        <v>38702</v>
      </c>
      <c r="S17" s="6368"/>
      <c r="T17" s="6368">
        <f t="shared" si="3"/>
        <v>194663</v>
      </c>
      <c r="U17" s="6368"/>
      <c r="V17" s="6368">
        <v>39049</v>
      </c>
      <c r="W17" s="6369"/>
      <c r="X17" s="6370">
        <f t="shared" si="4"/>
        <v>115252</v>
      </c>
      <c r="Y17" s="6371"/>
      <c r="Z17" s="6370">
        <f t="shared" si="5"/>
        <v>233712</v>
      </c>
      <c r="AA17" s="6371"/>
      <c r="AB17" s="6371">
        <v>39547</v>
      </c>
      <c r="AC17" s="6371"/>
      <c r="AD17" s="6370">
        <f t="shared" si="6"/>
        <v>273259</v>
      </c>
      <c r="AE17" s="6371"/>
      <c r="AF17" s="6371">
        <v>37770</v>
      </c>
      <c r="AG17" s="6371"/>
      <c r="AH17" s="6370">
        <f t="shared" si="7"/>
        <v>311029</v>
      </c>
      <c r="AI17" s="6371"/>
      <c r="AJ17" s="6371">
        <v>36160</v>
      </c>
      <c r="AK17" s="6371"/>
      <c r="AL17" s="6371">
        <f t="shared" si="8"/>
        <v>113477</v>
      </c>
      <c r="AM17" s="6371"/>
      <c r="AN17" s="6370">
        <f t="shared" si="9"/>
        <v>347189</v>
      </c>
      <c r="AO17" s="6371"/>
      <c r="AP17" s="6371">
        <v>39213</v>
      </c>
      <c r="AQ17" s="6371"/>
      <c r="AR17" s="6370">
        <f t="shared" si="10"/>
        <v>386402</v>
      </c>
      <c r="AS17" s="6371"/>
      <c r="AT17" s="6371">
        <v>37166</v>
      </c>
      <c r="AU17" s="6371"/>
      <c r="AV17" s="6370">
        <f t="shared" si="11"/>
        <v>423568</v>
      </c>
      <c r="AW17" s="6371"/>
      <c r="AX17" s="6371">
        <v>41950</v>
      </c>
      <c r="AY17" s="6371"/>
      <c r="AZ17" s="6371">
        <f t="shared" si="12"/>
        <v>118329</v>
      </c>
      <c r="BA17" s="6371"/>
      <c r="BB17" s="6371">
        <f t="shared" si="13"/>
        <v>231806</v>
      </c>
      <c r="BC17" s="6371"/>
      <c r="BD17" s="6372">
        <f t="shared" si="14"/>
        <v>465518</v>
      </c>
      <c r="BF17" s="26"/>
    </row>
    <row r="18" spans="2:58" ht="18" x14ac:dyDescent="0.25">
      <c r="B18" s="6366" t="s">
        <v>1789</v>
      </c>
      <c r="C18" s="6367"/>
      <c r="D18" s="6364">
        <v>474899</v>
      </c>
      <c r="E18" s="6367"/>
      <c r="F18" s="6364">
        <v>540064</v>
      </c>
      <c r="G18" s="6367"/>
      <c r="H18" s="6364">
        <f t="shared" si="0"/>
        <v>1014963</v>
      </c>
      <c r="I18" s="6367"/>
      <c r="J18" s="6364">
        <v>422926</v>
      </c>
      <c r="K18" s="6368"/>
      <c r="L18" s="6368">
        <f t="shared" si="1"/>
        <v>1437889</v>
      </c>
      <c r="M18" s="6368"/>
      <c r="N18" s="6368">
        <v>468492</v>
      </c>
      <c r="O18" s="6368"/>
      <c r="P18" s="6368">
        <f t="shared" si="2"/>
        <v>1906381</v>
      </c>
      <c r="Q18" s="6368"/>
      <c r="R18" s="6368">
        <v>435531</v>
      </c>
      <c r="S18" s="6368"/>
      <c r="T18" s="6368">
        <f t="shared" si="3"/>
        <v>2341912</v>
      </c>
      <c r="U18" s="6368"/>
      <c r="V18" s="6368">
        <v>367922</v>
      </c>
      <c r="W18" s="6369"/>
      <c r="X18" s="6370">
        <f t="shared" si="4"/>
        <v>1271945</v>
      </c>
      <c r="Y18" s="6371"/>
      <c r="Z18" s="6370">
        <f t="shared" si="5"/>
        <v>2709834</v>
      </c>
      <c r="AA18" s="6371"/>
      <c r="AB18" s="6371">
        <v>469523</v>
      </c>
      <c r="AC18" s="6371"/>
      <c r="AD18" s="6370">
        <f t="shared" si="6"/>
        <v>3179357</v>
      </c>
      <c r="AE18" s="6371"/>
      <c r="AF18" s="6371">
        <v>329732</v>
      </c>
      <c r="AG18" s="6371"/>
      <c r="AH18" s="6370">
        <f t="shared" si="7"/>
        <v>3509089</v>
      </c>
      <c r="AI18" s="6371"/>
      <c r="AJ18" s="6371">
        <v>399732</v>
      </c>
      <c r="AK18" s="6371"/>
      <c r="AL18" s="6371">
        <f t="shared" si="8"/>
        <v>1198987</v>
      </c>
      <c r="AM18" s="6371"/>
      <c r="AN18" s="6370">
        <f t="shared" si="9"/>
        <v>3908821</v>
      </c>
      <c r="AO18" s="6371"/>
      <c r="AP18" s="6371">
        <v>398642</v>
      </c>
      <c r="AQ18" s="6371"/>
      <c r="AR18" s="6370">
        <f t="shared" si="10"/>
        <v>4307463</v>
      </c>
      <c r="AS18" s="6371"/>
      <c r="AT18" s="6371">
        <v>374931</v>
      </c>
      <c r="AU18" s="6371"/>
      <c r="AV18" s="6370">
        <f t="shared" si="11"/>
        <v>4682394</v>
      </c>
      <c r="AW18" s="6371"/>
      <c r="AX18" s="6371">
        <v>466818</v>
      </c>
      <c r="AY18" s="6371"/>
      <c r="AZ18" s="6371">
        <f t="shared" si="12"/>
        <v>1240391</v>
      </c>
      <c r="BA18" s="6371"/>
      <c r="BB18" s="6371">
        <f t="shared" si="13"/>
        <v>2439378</v>
      </c>
      <c r="BC18" s="6371"/>
      <c r="BD18" s="6372">
        <f t="shared" si="14"/>
        <v>5149212</v>
      </c>
      <c r="BF18" s="26"/>
    </row>
    <row r="19" spans="2:58" ht="18" x14ac:dyDescent="0.25">
      <c r="B19" s="6366" t="s">
        <v>1790</v>
      </c>
      <c r="C19" s="6367"/>
      <c r="D19" s="6364">
        <v>7020</v>
      </c>
      <c r="E19" s="6367"/>
      <c r="F19" s="6364">
        <v>5167</v>
      </c>
      <c r="G19" s="6367"/>
      <c r="H19" s="6364">
        <f t="shared" si="0"/>
        <v>12187</v>
      </c>
      <c r="I19" s="6367"/>
      <c r="J19" s="6364">
        <v>4970</v>
      </c>
      <c r="K19" s="6368"/>
      <c r="L19" s="6368">
        <f t="shared" si="1"/>
        <v>17157</v>
      </c>
      <c r="M19" s="6368"/>
      <c r="N19" s="6368">
        <v>5197</v>
      </c>
      <c r="O19" s="6368"/>
      <c r="P19" s="6368">
        <f t="shared" si="2"/>
        <v>22354</v>
      </c>
      <c r="Q19" s="6368"/>
      <c r="R19" s="6368">
        <v>7279</v>
      </c>
      <c r="S19" s="6368"/>
      <c r="T19" s="6368">
        <f t="shared" si="3"/>
        <v>29633</v>
      </c>
      <c r="U19" s="6368"/>
      <c r="V19" s="6368">
        <v>8477</v>
      </c>
      <c r="W19" s="6369"/>
      <c r="X19" s="6370">
        <f t="shared" si="4"/>
        <v>20953</v>
      </c>
      <c r="Y19" s="6371"/>
      <c r="Z19" s="6370">
        <f t="shared" si="5"/>
        <v>38110</v>
      </c>
      <c r="AA19" s="6371"/>
      <c r="AB19" s="6371">
        <v>8913</v>
      </c>
      <c r="AC19" s="6371"/>
      <c r="AD19" s="6370">
        <f t="shared" si="6"/>
        <v>47023</v>
      </c>
      <c r="AE19" s="6371"/>
      <c r="AF19" s="6371">
        <v>6157</v>
      </c>
      <c r="AG19" s="6371"/>
      <c r="AH19" s="6370">
        <f t="shared" si="7"/>
        <v>53180</v>
      </c>
      <c r="AI19" s="6371"/>
      <c r="AJ19" s="6371">
        <v>8686</v>
      </c>
      <c r="AK19" s="6371"/>
      <c r="AL19" s="6371">
        <f t="shared" si="8"/>
        <v>23756</v>
      </c>
      <c r="AM19" s="6371"/>
      <c r="AN19" s="6370">
        <f t="shared" si="9"/>
        <v>61866</v>
      </c>
      <c r="AO19" s="6371"/>
      <c r="AP19" s="6371">
        <v>8435</v>
      </c>
      <c r="AQ19" s="6371"/>
      <c r="AR19" s="6370">
        <f t="shared" si="10"/>
        <v>70301</v>
      </c>
      <c r="AS19" s="6371"/>
      <c r="AT19" s="6371">
        <v>6343</v>
      </c>
      <c r="AU19" s="6371"/>
      <c r="AV19" s="6370">
        <f t="shared" si="11"/>
        <v>76644</v>
      </c>
      <c r="AW19" s="6371"/>
      <c r="AX19" s="6371">
        <v>8915</v>
      </c>
      <c r="AY19" s="6371"/>
      <c r="AZ19" s="6371">
        <f t="shared" si="12"/>
        <v>23693</v>
      </c>
      <c r="BA19" s="6371"/>
      <c r="BB19" s="6371">
        <f t="shared" si="13"/>
        <v>47449</v>
      </c>
      <c r="BC19" s="6371"/>
      <c r="BD19" s="6372">
        <f t="shared" si="14"/>
        <v>85559</v>
      </c>
      <c r="BF19" s="26"/>
    </row>
    <row r="20" spans="2:58" ht="18" x14ac:dyDescent="0.25">
      <c r="B20" s="6366" t="s">
        <v>1791</v>
      </c>
      <c r="C20" s="6367"/>
      <c r="D20" s="6364">
        <v>9430</v>
      </c>
      <c r="E20" s="6367"/>
      <c r="F20" s="6364">
        <v>10842</v>
      </c>
      <c r="G20" s="6367"/>
      <c r="H20" s="6364">
        <f t="shared" si="0"/>
        <v>20272</v>
      </c>
      <c r="I20" s="6367"/>
      <c r="J20" s="6364">
        <v>10145</v>
      </c>
      <c r="K20" s="6368"/>
      <c r="L20" s="6368">
        <f t="shared" si="1"/>
        <v>30417</v>
      </c>
      <c r="M20" s="6368"/>
      <c r="N20" s="6368">
        <v>9696</v>
      </c>
      <c r="O20" s="6368"/>
      <c r="P20" s="6368">
        <f t="shared" si="2"/>
        <v>40113</v>
      </c>
      <c r="Q20" s="6368"/>
      <c r="R20" s="6368">
        <v>9094</v>
      </c>
      <c r="S20" s="6368"/>
      <c r="T20" s="6368">
        <f t="shared" si="3"/>
        <v>49207</v>
      </c>
      <c r="U20" s="6368"/>
      <c r="V20" s="6368">
        <v>8879</v>
      </c>
      <c r="W20" s="6369"/>
      <c r="X20" s="6370">
        <f t="shared" si="4"/>
        <v>27669</v>
      </c>
      <c r="Y20" s="6371"/>
      <c r="Z20" s="6370">
        <f t="shared" si="5"/>
        <v>58086</v>
      </c>
      <c r="AA20" s="6371"/>
      <c r="AB20" s="6371">
        <v>9236</v>
      </c>
      <c r="AC20" s="6371"/>
      <c r="AD20" s="6370">
        <f t="shared" si="6"/>
        <v>67322</v>
      </c>
      <c r="AE20" s="6371"/>
      <c r="AF20" s="6371">
        <v>5883</v>
      </c>
      <c r="AG20" s="6371"/>
      <c r="AH20" s="6370">
        <f t="shared" si="7"/>
        <v>73205</v>
      </c>
      <c r="AI20" s="6371"/>
      <c r="AJ20" s="6371">
        <v>8902</v>
      </c>
      <c r="AK20" s="6371"/>
      <c r="AL20" s="6371">
        <f t="shared" si="8"/>
        <v>24021</v>
      </c>
      <c r="AM20" s="6371"/>
      <c r="AN20" s="6370">
        <f t="shared" si="9"/>
        <v>82107</v>
      </c>
      <c r="AO20" s="6371"/>
      <c r="AP20" s="6371">
        <v>8400</v>
      </c>
      <c r="AQ20" s="6371"/>
      <c r="AR20" s="6370">
        <f t="shared" si="10"/>
        <v>90507</v>
      </c>
      <c r="AS20" s="6371"/>
      <c r="AT20" s="6371">
        <v>7436</v>
      </c>
      <c r="AU20" s="6371"/>
      <c r="AV20" s="6370">
        <f t="shared" si="11"/>
        <v>97943</v>
      </c>
      <c r="AW20" s="6371"/>
      <c r="AX20" s="6371">
        <v>8119</v>
      </c>
      <c r="AY20" s="6371"/>
      <c r="AZ20" s="6371">
        <f t="shared" si="12"/>
        <v>23955</v>
      </c>
      <c r="BA20" s="6371"/>
      <c r="BB20" s="6371">
        <f t="shared" si="13"/>
        <v>47976</v>
      </c>
      <c r="BC20" s="6371"/>
      <c r="BD20" s="6372">
        <f t="shared" si="14"/>
        <v>106062</v>
      </c>
      <c r="BF20" s="26"/>
    </row>
    <row r="21" spans="2:58" ht="18.75" thickBot="1" x14ac:dyDescent="0.3">
      <c r="B21" s="6374" t="s">
        <v>1792</v>
      </c>
      <c r="C21" s="6375"/>
      <c r="D21" s="6376">
        <f>SUM(D6:D20)</f>
        <v>1274769</v>
      </c>
      <c r="E21" s="6375"/>
      <c r="F21" s="6376">
        <f>SUM(F6:F20)</f>
        <v>1433299</v>
      </c>
      <c r="G21" s="6375"/>
      <c r="H21" s="6376">
        <f t="shared" si="0"/>
        <v>2708068</v>
      </c>
      <c r="I21" s="6375"/>
      <c r="J21" s="6376">
        <f>SUM(J6:J20)</f>
        <v>1238471</v>
      </c>
      <c r="K21" s="6376"/>
      <c r="L21" s="6377">
        <f t="shared" si="1"/>
        <v>3946539</v>
      </c>
      <c r="M21" s="6376"/>
      <c r="N21" s="6376">
        <f t="shared" ref="N21:BD21" si="15">SUM(N6:N20)</f>
        <v>1314466</v>
      </c>
      <c r="O21" s="6376">
        <f t="shared" si="15"/>
        <v>0</v>
      </c>
      <c r="P21" s="6376">
        <f t="shared" si="15"/>
        <v>5261005</v>
      </c>
      <c r="Q21" s="6376">
        <f t="shared" si="15"/>
        <v>0</v>
      </c>
      <c r="R21" s="6376">
        <f t="shared" si="15"/>
        <v>1213801</v>
      </c>
      <c r="S21" s="6376">
        <f t="shared" si="15"/>
        <v>0</v>
      </c>
      <c r="T21" s="6376">
        <f t="shared" si="15"/>
        <v>6474806</v>
      </c>
      <c r="U21" s="6376">
        <f t="shared" si="15"/>
        <v>0</v>
      </c>
      <c r="V21" s="6376">
        <f t="shared" si="15"/>
        <v>1148030</v>
      </c>
      <c r="W21" s="6376">
        <f t="shared" si="15"/>
        <v>0</v>
      </c>
      <c r="X21" s="6376">
        <f t="shared" si="15"/>
        <v>3676297</v>
      </c>
      <c r="Y21" s="6376">
        <f t="shared" si="15"/>
        <v>0</v>
      </c>
      <c r="Z21" s="6376">
        <f t="shared" si="15"/>
        <v>7622836</v>
      </c>
      <c r="AA21" s="6376">
        <f t="shared" si="15"/>
        <v>0</v>
      </c>
      <c r="AB21" s="6376">
        <f t="shared" si="15"/>
        <v>1254303</v>
      </c>
      <c r="AC21" s="6376">
        <f t="shared" si="15"/>
        <v>0</v>
      </c>
      <c r="AD21" s="6376">
        <f t="shared" si="15"/>
        <v>8877139</v>
      </c>
      <c r="AE21" s="6376">
        <f t="shared" si="15"/>
        <v>0</v>
      </c>
      <c r="AF21" s="6376">
        <f t="shared" si="15"/>
        <v>624011</v>
      </c>
      <c r="AG21" s="6376">
        <f t="shared" si="15"/>
        <v>0</v>
      </c>
      <c r="AH21" s="6376">
        <f t="shared" si="15"/>
        <v>9501150</v>
      </c>
      <c r="AI21" s="6376">
        <f t="shared" si="15"/>
        <v>0</v>
      </c>
      <c r="AJ21" s="6376">
        <f t="shared" si="15"/>
        <v>1214399</v>
      </c>
      <c r="AK21" s="6376">
        <f t="shared" si="15"/>
        <v>0</v>
      </c>
      <c r="AL21" s="6376">
        <f t="shared" si="15"/>
        <v>3092713</v>
      </c>
      <c r="AM21" s="6376">
        <f t="shared" si="15"/>
        <v>0</v>
      </c>
      <c r="AN21" s="6376">
        <f t="shared" si="15"/>
        <v>10715549</v>
      </c>
      <c r="AO21" s="6376">
        <f t="shared" si="15"/>
        <v>0</v>
      </c>
      <c r="AP21" s="6376">
        <f t="shared" si="15"/>
        <v>1203164</v>
      </c>
      <c r="AQ21" s="6376">
        <f t="shared" si="15"/>
        <v>0</v>
      </c>
      <c r="AR21" s="6376">
        <f t="shared" si="15"/>
        <v>11918713</v>
      </c>
      <c r="AS21" s="6376">
        <f t="shared" si="15"/>
        <v>0</v>
      </c>
      <c r="AT21" s="6376">
        <f t="shared" si="15"/>
        <v>1110774</v>
      </c>
      <c r="AU21" s="6376">
        <f t="shared" si="15"/>
        <v>0</v>
      </c>
      <c r="AV21" s="6376">
        <f t="shared" si="15"/>
        <v>13029487</v>
      </c>
      <c r="AW21" s="6376">
        <f t="shared" si="15"/>
        <v>0</v>
      </c>
      <c r="AX21" s="6376">
        <f t="shared" si="15"/>
        <v>1367382</v>
      </c>
      <c r="AY21" s="6376">
        <f t="shared" si="15"/>
        <v>0</v>
      </c>
      <c r="AZ21" s="6376">
        <f t="shared" si="15"/>
        <v>3681320</v>
      </c>
      <c r="BA21" s="6376">
        <f t="shared" si="15"/>
        <v>0</v>
      </c>
      <c r="BB21" s="6376">
        <f t="shared" si="15"/>
        <v>6774033</v>
      </c>
      <c r="BC21" s="6376">
        <f t="shared" si="15"/>
        <v>0</v>
      </c>
      <c r="BD21" s="6378">
        <f t="shared" si="15"/>
        <v>14396869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Q41"/>
  <sheetViews>
    <sheetView topLeftCell="C19" zoomScaleNormal="100" workbookViewId="0">
      <selection activeCell="L9" sqref="L9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427" bestFit="1" customWidth="1"/>
    <col min="10" max="12" width="8.28515625" style="3427" bestFit="1" customWidth="1"/>
    <col min="13" max="13" width="13.42578125" bestFit="1" customWidth="1"/>
    <col min="17" max="17" width="13.42578125" bestFit="1" customWidth="1"/>
  </cols>
  <sheetData>
    <row r="1" spans="3:17" s="3345" customFormat="1" x14ac:dyDescent="0.25">
      <c r="I1" s="3427"/>
      <c r="J1" s="3427"/>
      <c r="K1" s="3427"/>
      <c r="L1" s="3427"/>
    </row>
    <row r="2" spans="3:17" ht="23.25" x14ac:dyDescent="0.35">
      <c r="C2" s="3427"/>
      <c r="D2" s="8027" t="s">
        <v>1802</v>
      </c>
      <c r="E2" s="8028"/>
      <c r="F2" s="8015" t="s">
        <v>1750</v>
      </c>
      <c r="G2" s="8015"/>
      <c r="H2" s="8015"/>
      <c r="I2" s="8015"/>
      <c r="J2" s="8015" t="s">
        <v>1868</v>
      </c>
      <c r="K2" s="8015"/>
      <c r="L2" s="8015"/>
      <c r="M2" s="8015"/>
      <c r="N2" s="8015" t="s">
        <v>1903</v>
      </c>
      <c r="O2" s="8015"/>
      <c r="P2" s="8015"/>
      <c r="Q2" s="8015"/>
    </row>
    <row r="3" spans="3:17" ht="23.25" x14ac:dyDescent="0.35">
      <c r="C3" s="3427"/>
      <c r="D3" s="8030" t="s">
        <v>1804</v>
      </c>
      <c r="E3" s="8030"/>
      <c r="F3" s="3352" t="s">
        <v>1798</v>
      </c>
      <c r="G3" s="3352" t="s">
        <v>1799</v>
      </c>
      <c r="H3" s="3352" t="s">
        <v>1800</v>
      </c>
      <c r="I3" s="3352" t="s">
        <v>1801</v>
      </c>
      <c r="J3" s="3433" t="s">
        <v>1798</v>
      </c>
      <c r="K3" s="3433" t="s">
        <v>1799</v>
      </c>
      <c r="L3" s="3433" t="s">
        <v>1800</v>
      </c>
      <c r="M3" s="3433" t="s">
        <v>1801</v>
      </c>
      <c r="N3" s="4658" t="s">
        <v>1798</v>
      </c>
      <c r="O3" s="4658" t="s">
        <v>1799</v>
      </c>
      <c r="P3" s="4658" t="s">
        <v>1800</v>
      </c>
      <c r="Q3" s="4658" t="s">
        <v>1801</v>
      </c>
    </row>
    <row r="4" spans="3:17" ht="23.25" x14ac:dyDescent="0.35">
      <c r="C4" s="3427"/>
      <c r="D4" s="8029" t="s">
        <v>430</v>
      </c>
      <c r="E4" s="8029" t="s">
        <v>430</v>
      </c>
      <c r="F4" s="3351">
        <v>36.14</v>
      </c>
      <c r="G4" s="3351">
        <v>32.92</v>
      </c>
      <c r="H4" s="3351">
        <v>34.428380024360521</v>
      </c>
      <c r="I4" s="3351">
        <v>0.5641775207481774</v>
      </c>
      <c r="J4" s="3351">
        <v>36.33</v>
      </c>
      <c r="K4" s="3351">
        <v>31.84</v>
      </c>
      <c r="L4" s="3351">
        <v>34.230310391362991</v>
      </c>
      <c r="M4" s="3351">
        <v>0.83384782833818349</v>
      </c>
      <c r="N4" s="3351"/>
      <c r="O4" s="3351"/>
      <c r="P4" s="3351"/>
      <c r="Q4" s="3351"/>
    </row>
    <row r="5" spans="3:17" ht="23.25" x14ac:dyDescent="0.35">
      <c r="C5" s="3427"/>
      <c r="D5" s="8029" t="s">
        <v>431</v>
      </c>
      <c r="E5" s="8029" t="s">
        <v>431</v>
      </c>
      <c r="F5" s="3351">
        <v>19.3</v>
      </c>
      <c r="G5" s="3351">
        <v>15.75</v>
      </c>
      <c r="H5" s="3351">
        <v>17.152082825822188</v>
      </c>
      <c r="I5" s="3351">
        <v>0.73910421916672531</v>
      </c>
      <c r="J5" s="3351">
        <v>19.149999999999999</v>
      </c>
      <c r="K5" s="3351">
        <v>14.95</v>
      </c>
      <c r="L5" s="3351">
        <v>16.985883940620781</v>
      </c>
      <c r="M5" s="3351">
        <v>0.90495404244881439</v>
      </c>
      <c r="N5" s="3351"/>
      <c r="O5" s="3351"/>
      <c r="P5" s="3351"/>
      <c r="Q5" s="3351"/>
    </row>
    <row r="6" spans="3:17" ht="23.25" x14ac:dyDescent="0.35">
      <c r="C6" s="3427"/>
      <c r="D6" s="8029" t="s">
        <v>432</v>
      </c>
      <c r="E6" s="8029" t="s">
        <v>432</v>
      </c>
      <c r="F6" s="3351">
        <v>38.44</v>
      </c>
      <c r="G6" s="3351">
        <v>33.33</v>
      </c>
      <c r="H6" s="3351">
        <v>35.960511571254585</v>
      </c>
      <c r="I6" s="3351">
        <v>0.7532310767944127</v>
      </c>
      <c r="J6" s="3351">
        <v>38.35</v>
      </c>
      <c r="K6" s="3351">
        <v>32.54</v>
      </c>
      <c r="L6" s="3351">
        <v>36.158758434547906</v>
      </c>
      <c r="M6" s="3351">
        <v>0.86626057012371283</v>
      </c>
      <c r="N6" s="3351"/>
      <c r="O6" s="3351"/>
      <c r="P6" s="3351"/>
      <c r="Q6" s="3351"/>
    </row>
    <row r="7" spans="3:17" ht="23.25" x14ac:dyDescent="0.35">
      <c r="C7" s="3427"/>
      <c r="D7" s="8029" t="s">
        <v>433</v>
      </c>
      <c r="E7" s="8029" t="s">
        <v>433</v>
      </c>
      <c r="F7" s="3351">
        <v>10.85</v>
      </c>
      <c r="G7" s="3351">
        <v>8.17</v>
      </c>
      <c r="H7" s="3351">
        <v>9.3357247259439635</v>
      </c>
      <c r="I7" s="3351">
        <v>0.48390925095122456</v>
      </c>
      <c r="J7" s="3351">
        <v>10.98</v>
      </c>
      <c r="K7" s="3351">
        <v>7.93</v>
      </c>
      <c r="L7" s="3351">
        <v>9.412024291497973</v>
      </c>
      <c r="M7" s="3351">
        <v>0.57940365843609043</v>
      </c>
      <c r="N7" s="3351"/>
      <c r="O7" s="3351"/>
      <c r="P7" s="3351"/>
      <c r="Q7" s="3351"/>
    </row>
    <row r="8" spans="3:17" ht="23.25" x14ac:dyDescent="0.35">
      <c r="C8" s="3427"/>
      <c r="D8" s="8029" t="s">
        <v>429</v>
      </c>
      <c r="E8" s="8029" t="s">
        <v>429</v>
      </c>
      <c r="F8" s="3351">
        <v>3.63</v>
      </c>
      <c r="G8" s="3351">
        <v>0.2</v>
      </c>
      <c r="H8" s="3351">
        <v>0.50203410475030497</v>
      </c>
      <c r="I8" s="3351">
        <v>0.20547299105955444</v>
      </c>
      <c r="J8" s="3351">
        <v>2.79</v>
      </c>
      <c r="K8" s="3351">
        <v>0.18</v>
      </c>
      <c r="L8" s="3351">
        <v>0.52140350877192987</v>
      </c>
      <c r="M8" s="3351">
        <v>0.21385629284094501</v>
      </c>
      <c r="N8" s="3351"/>
      <c r="O8" s="3351"/>
      <c r="P8" s="3351"/>
      <c r="Q8" s="3351"/>
    </row>
    <row r="9" spans="3:17" ht="23.25" x14ac:dyDescent="0.35">
      <c r="C9" s="3427"/>
      <c r="D9" s="8029" t="s">
        <v>1793</v>
      </c>
      <c r="E9" s="8029" t="s">
        <v>1793</v>
      </c>
      <c r="F9" s="3351">
        <v>0.64</v>
      </c>
      <c r="G9" s="3351">
        <v>0.4</v>
      </c>
      <c r="H9" s="3351">
        <v>0.51976857490864736</v>
      </c>
      <c r="I9" s="3351">
        <v>3.5559226260352364E-2</v>
      </c>
      <c r="J9" s="3351">
        <v>0.77</v>
      </c>
      <c r="K9" s="3351">
        <v>0.38</v>
      </c>
      <c r="L9" s="3351">
        <v>0.52600539811066072</v>
      </c>
      <c r="M9" s="3351">
        <v>5.4321067268601989E-2</v>
      </c>
      <c r="N9" s="3351"/>
      <c r="O9" s="3351"/>
      <c r="P9" s="3351"/>
      <c r="Q9" s="3351"/>
    </row>
    <row r="10" spans="3:17" ht="23.25" x14ac:dyDescent="0.35">
      <c r="C10" s="3427"/>
      <c r="D10" s="8029" t="s">
        <v>1794</v>
      </c>
      <c r="E10" s="8029" t="s">
        <v>1794</v>
      </c>
      <c r="F10" s="3351">
        <v>0.75</v>
      </c>
      <c r="G10" s="3351">
        <v>0.56999999999999995</v>
      </c>
      <c r="H10" s="3351">
        <v>0.66038976857490872</v>
      </c>
      <c r="I10" s="3351">
        <v>2.6390021997791779E-2</v>
      </c>
      <c r="J10" s="3351">
        <v>0.76</v>
      </c>
      <c r="K10" s="3351">
        <v>0.37</v>
      </c>
      <c r="L10" s="3351">
        <v>0.64441295546558619</v>
      </c>
      <c r="M10" s="3351">
        <v>5.643304614136966E-2</v>
      </c>
      <c r="N10" s="3351"/>
      <c r="O10" s="3351"/>
      <c r="P10" s="3351"/>
      <c r="Q10" s="3351"/>
    </row>
    <row r="11" spans="3:17" ht="23.25" x14ac:dyDescent="0.35">
      <c r="C11" s="3427"/>
      <c r="D11" s="8029" t="s">
        <v>1795</v>
      </c>
      <c r="E11" s="8029" t="s">
        <v>1795</v>
      </c>
      <c r="F11" s="3351">
        <v>0.72</v>
      </c>
      <c r="G11" s="3351">
        <v>0.47</v>
      </c>
      <c r="H11" s="3351">
        <v>0.60640682095006027</v>
      </c>
      <c r="I11" s="3351">
        <v>3.3475512014566874E-2</v>
      </c>
      <c r="J11" s="3351">
        <v>0.87</v>
      </c>
      <c r="K11" s="3351">
        <v>0.47</v>
      </c>
      <c r="L11" s="3351">
        <v>0.59983805668016299</v>
      </c>
      <c r="M11" s="3351">
        <v>4.7819770970571003E-2</v>
      </c>
      <c r="N11" s="3351"/>
      <c r="O11" s="3351"/>
      <c r="P11" s="3351"/>
      <c r="Q11" s="3351"/>
    </row>
    <row r="12" spans="3:17" ht="23.25" x14ac:dyDescent="0.35">
      <c r="C12" s="3427"/>
      <c r="D12" s="8026" t="s">
        <v>1796</v>
      </c>
      <c r="E12" s="8026" t="s">
        <v>1796</v>
      </c>
      <c r="F12" s="3449">
        <v>1.1399999999999999</v>
      </c>
      <c r="G12" s="3449">
        <v>0.95</v>
      </c>
      <c r="H12" s="3449">
        <v>1.0444336175395783</v>
      </c>
      <c r="I12" s="3449">
        <v>2.9744063399394519E-2</v>
      </c>
      <c r="J12" s="3449">
        <v>1.1299999999999999</v>
      </c>
      <c r="K12" s="3449">
        <v>0.96</v>
      </c>
      <c r="L12" s="3449">
        <v>1.056194331983805</v>
      </c>
      <c r="M12" s="3449">
        <v>3.039087736952726E-2</v>
      </c>
      <c r="N12" s="3449"/>
      <c r="O12" s="3449"/>
      <c r="P12" s="3449"/>
      <c r="Q12" s="3449"/>
    </row>
    <row r="13" spans="3:17" ht="23.25" x14ac:dyDescent="0.35">
      <c r="C13" s="3427"/>
      <c r="D13" s="8026" t="s">
        <v>1797</v>
      </c>
      <c r="E13" s="8026" t="s">
        <v>1797</v>
      </c>
      <c r="F13" s="3449">
        <v>1.4283110571081408</v>
      </c>
      <c r="G13" s="3449">
        <v>1.212872666480914</v>
      </c>
      <c r="H13" s="3449">
        <v>1.3163142786378568</v>
      </c>
      <c r="I13" s="3449">
        <v>3.813629628500264E-2</v>
      </c>
      <c r="J13" s="3449">
        <v>1.4389182468138018</v>
      </c>
      <c r="K13" s="3449">
        <v>1.2040533037201555</v>
      </c>
      <c r="L13" s="3449">
        <v>1.3321848747140657</v>
      </c>
      <c r="M13" s="3449">
        <v>4.1761426616425242E-2</v>
      </c>
      <c r="N13" s="3449"/>
      <c r="O13" s="3449"/>
      <c r="P13" s="3449"/>
      <c r="Q13" s="3449"/>
    </row>
    <row r="14" spans="3:17" x14ac:dyDescent="0.25">
      <c r="I14"/>
      <c r="J14"/>
      <c r="K14"/>
      <c r="L14"/>
      <c r="N14" s="3427"/>
      <c r="O14" s="3427"/>
      <c r="P14" s="3427"/>
      <c r="Q14" s="3427"/>
    </row>
    <row r="15" spans="3:17" ht="23.25" x14ac:dyDescent="0.25">
      <c r="D15" s="8024" t="s">
        <v>1803</v>
      </c>
      <c r="E15" s="8025"/>
      <c r="F15" s="8015" t="s">
        <v>1750</v>
      </c>
      <c r="G15" s="8015"/>
      <c r="H15" s="8015"/>
      <c r="J15" s="8015" t="s">
        <v>1868</v>
      </c>
      <c r="K15" s="8015"/>
      <c r="L15" s="8015"/>
      <c r="N15" s="8015" t="s">
        <v>1903</v>
      </c>
      <c r="O15" s="8015"/>
      <c r="P15" s="8015"/>
      <c r="Q15" s="3427"/>
    </row>
    <row r="16" spans="3:17" ht="23.25" x14ac:dyDescent="0.35">
      <c r="D16" s="8018" t="s">
        <v>1804</v>
      </c>
      <c r="E16" s="8019"/>
      <c r="F16" s="3352" t="s">
        <v>1798</v>
      </c>
      <c r="G16" s="3352" t="s">
        <v>1799</v>
      </c>
      <c r="H16" s="3352" t="s">
        <v>1800</v>
      </c>
      <c r="J16" s="3433" t="s">
        <v>1798</v>
      </c>
      <c r="K16" s="3433" t="s">
        <v>1799</v>
      </c>
      <c r="L16" s="3433" t="s">
        <v>1800</v>
      </c>
      <c r="N16" s="4658" t="s">
        <v>1798</v>
      </c>
      <c r="O16" s="4658" t="s">
        <v>1799</v>
      </c>
      <c r="P16" s="4658" t="s">
        <v>1800</v>
      </c>
      <c r="Q16" s="3427"/>
    </row>
    <row r="17" spans="4:17" ht="23.25" x14ac:dyDescent="0.25">
      <c r="D17" s="8020" t="s">
        <v>432</v>
      </c>
      <c r="E17" s="8021"/>
      <c r="F17" s="3351">
        <v>55.59</v>
      </c>
      <c r="G17" s="3351">
        <v>45.21</v>
      </c>
      <c r="H17" s="3351">
        <v>49.825262172284624</v>
      </c>
      <c r="J17" s="3351"/>
      <c r="K17" s="3351"/>
      <c r="L17" s="3351"/>
      <c r="N17" s="3351"/>
      <c r="O17" s="3351"/>
      <c r="P17" s="3351"/>
      <c r="Q17" s="3427"/>
    </row>
    <row r="18" spans="4:17" ht="23.25" x14ac:dyDescent="0.25">
      <c r="D18" s="8020" t="s">
        <v>430</v>
      </c>
      <c r="E18" s="8021"/>
      <c r="F18" s="3351">
        <v>19.61</v>
      </c>
      <c r="G18" s="3351">
        <v>13.25</v>
      </c>
      <c r="H18" s="3351">
        <v>16.619307116104881</v>
      </c>
      <c r="J18" s="3351"/>
      <c r="K18" s="3351"/>
      <c r="L18" s="3351"/>
      <c r="N18" s="3351"/>
      <c r="O18" s="3351"/>
      <c r="P18" s="3351"/>
      <c r="Q18" s="3427"/>
    </row>
    <row r="19" spans="4:17" ht="23.25" x14ac:dyDescent="0.25">
      <c r="D19" s="8020" t="s">
        <v>431</v>
      </c>
      <c r="E19" s="8021"/>
      <c r="F19" s="3351">
        <v>1.65</v>
      </c>
      <c r="G19" s="3351">
        <v>0.41</v>
      </c>
      <c r="H19" s="3351">
        <v>0.94357677902621739</v>
      </c>
      <c r="J19" s="3351"/>
      <c r="K19" s="3351"/>
      <c r="L19" s="3351"/>
      <c r="N19" s="3351"/>
      <c r="O19" s="3351"/>
      <c r="P19" s="3351"/>
      <c r="Q19" s="3427"/>
    </row>
    <row r="20" spans="4:17" ht="23.25" x14ac:dyDescent="0.25">
      <c r="D20" s="8020" t="s">
        <v>433</v>
      </c>
      <c r="E20" s="8021"/>
      <c r="F20" s="3351">
        <v>10.07</v>
      </c>
      <c r="G20" s="3351">
        <v>3.19</v>
      </c>
      <c r="H20" s="3351">
        <v>6.5086142322097391</v>
      </c>
      <c r="J20" s="3351"/>
      <c r="K20" s="3351"/>
      <c r="L20" s="3351"/>
      <c r="N20" s="3351"/>
      <c r="O20" s="3351"/>
      <c r="P20" s="3351"/>
      <c r="Q20" s="3427"/>
    </row>
    <row r="21" spans="4:17" ht="26.25" x14ac:dyDescent="0.25">
      <c r="D21" s="8020" t="s">
        <v>1809</v>
      </c>
      <c r="E21" s="8021"/>
      <c r="F21" s="3351">
        <v>24.72</v>
      </c>
      <c r="G21" s="3351">
        <v>8.2200000000000006</v>
      </c>
      <c r="H21" s="3351">
        <v>18.187415730337094</v>
      </c>
      <c r="J21" s="3351"/>
      <c r="K21" s="3351"/>
      <c r="L21" s="3351"/>
      <c r="N21" s="3351"/>
      <c r="O21" s="3351"/>
      <c r="P21" s="3351"/>
      <c r="Q21" s="3427"/>
    </row>
    <row r="22" spans="4:17" ht="23.25" x14ac:dyDescent="0.25">
      <c r="D22" s="8020" t="s">
        <v>1805</v>
      </c>
      <c r="E22" s="8021"/>
      <c r="F22" s="3351">
        <v>2.57</v>
      </c>
      <c r="G22" s="3351">
        <v>0</v>
      </c>
      <c r="H22" s="3351">
        <v>1.327865168539325</v>
      </c>
      <c r="J22" s="3351"/>
      <c r="K22" s="3351"/>
      <c r="L22" s="3351"/>
      <c r="N22" s="3351"/>
      <c r="O22" s="3351"/>
      <c r="P22" s="3351"/>
      <c r="Q22" s="3427"/>
    </row>
    <row r="23" spans="4:17" ht="23.25" x14ac:dyDescent="0.25">
      <c r="D23" s="8020" t="s">
        <v>1806</v>
      </c>
      <c r="E23" s="8021"/>
      <c r="F23" s="3351">
        <v>2.5499999999999998</v>
      </c>
      <c r="G23" s="3351">
        <v>1.21</v>
      </c>
      <c r="H23" s="3351">
        <v>1.813014981273408</v>
      </c>
      <c r="J23" s="3351"/>
      <c r="K23" s="3351"/>
      <c r="L23" s="3351"/>
      <c r="N23" s="3351"/>
      <c r="O23" s="3351"/>
      <c r="P23" s="3351"/>
      <c r="Q23" s="3427"/>
    </row>
    <row r="24" spans="4:17" ht="23.25" x14ac:dyDescent="0.25">
      <c r="D24" s="8020" t="s">
        <v>1793</v>
      </c>
      <c r="E24" s="8021"/>
      <c r="F24" s="3351">
        <v>0.13</v>
      </c>
      <c r="G24" s="3351">
        <v>0</v>
      </c>
      <c r="H24" s="3351">
        <v>3.0205992509363094E-2</v>
      </c>
      <c r="J24" s="3351"/>
      <c r="K24" s="3351"/>
      <c r="L24" s="3351"/>
      <c r="N24" s="3351"/>
      <c r="O24" s="3351"/>
      <c r="P24" s="3351"/>
      <c r="Q24" s="3427"/>
    </row>
    <row r="25" spans="4:17" ht="23.25" x14ac:dyDescent="0.25">
      <c r="D25" s="8020" t="s">
        <v>1794</v>
      </c>
      <c r="E25" s="8021"/>
      <c r="F25" s="3351">
        <v>0.06</v>
      </c>
      <c r="G25" s="3351">
        <v>0</v>
      </c>
      <c r="H25" s="3351">
        <v>3.5580524344569291E-4</v>
      </c>
      <c r="J25" s="3351"/>
      <c r="K25" s="3351"/>
      <c r="L25" s="3351"/>
      <c r="N25" s="3351"/>
      <c r="O25" s="3351"/>
      <c r="P25" s="3351"/>
      <c r="Q25" s="3427"/>
    </row>
    <row r="26" spans="4:17" ht="23.25" x14ac:dyDescent="0.25">
      <c r="D26" s="8020" t="s">
        <v>1795</v>
      </c>
      <c r="E26" s="8021"/>
      <c r="F26" s="3351">
        <v>2.5499999999999998</v>
      </c>
      <c r="G26" s="3351">
        <v>1.21</v>
      </c>
      <c r="H26" s="3351">
        <v>1.813014981273408</v>
      </c>
      <c r="J26" s="3351"/>
      <c r="K26" s="3351"/>
      <c r="L26" s="3351"/>
      <c r="N26" s="3351"/>
      <c r="O26" s="3351"/>
      <c r="P26" s="3351"/>
      <c r="Q26" s="3427"/>
    </row>
    <row r="27" spans="4:17" ht="23.25" x14ac:dyDescent="0.25">
      <c r="D27" s="8022" t="s">
        <v>1807</v>
      </c>
      <c r="E27" s="8023"/>
      <c r="F27" s="3449">
        <v>3.63</v>
      </c>
      <c r="G27" s="3449">
        <v>2.44</v>
      </c>
      <c r="H27" s="3449">
        <v>3.0100000000000011</v>
      </c>
      <c r="J27" s="3449"/>
      <c r="K27" s="3449"/>
      <c r="L27" s="3449"/>
      <c r="N27" s="3449"/>
      <c r="O27" s="3449"/>
      <c r="P27" s="3449"/>
      <c r="Q27" s="3427"/>
    </row>
    <row r="28" spans="4:17" x14ac:dyDescent="0.25">
      <c r="D28" s="3345"/>
      <c r="E28" s="3345"/>
      <c r="F28" s="3345"/>
      <c r="G28" s="3345"/>
      <c r="H28" s="3345"/>
      <c r="N28" s="3427"/>
      <c r="O28" s="3427"/>
      <c r="P28" s="3427"/>
      <c r="Q28" s="3427"/>
    </row>
    <row r="29" spans="4:17" ht="23.25" x14ac:dyDescent="0.35">
      <c r="D29" s="8016" t="s">
        <v>1808</v>
      </c>
      <c r="E29" s="8017"/>
      <c r="F29" s="8015" t="s">
        <v>1750</v>
      </c>
      <c r="G29" s="8015"/>
      <c r="H29" s="8015"/>
      <c r="J29" s="8015" t="s">
        <v>1868</v>
      </c>
      <c r="K29" s="8015"/>
      <c r="L29" s="8015"/>
      <c r="N29" s="8015" t="s">
        <v>1903</v>
      </c>
      <c r="O29" s="8015"/>
      <c r="P29" s="8015"/>
      <c r="Q29" s="3427"/>
    </row>
    <row r="30" spans="4:17" ht="23.25" x14ac:dyDescent="0.35">
      <c r="D30" s="8018" t="s">
        <v>1804</v>
      </c>
      <c r="E30" s="8019"/>
      <c r="F30" s="3352" t="s">
        <v>1798</v>
      </c>
      <c r="G30" s="3352" t="s">
        <v>1799</v>
      </c>
      <c r="H30" s="3352" t="s">
        <v>1800</v>
      </c>
      <c r="J30" s="3433" t="s">
        <v>1798</v>
      </c>
      <c r="K30" s="3433" t="s">
        <v>1799</v>
      </c>
      <c r="L30" s="3433" t="s">
        <v>1800</v>
      </c>
      <c r="N30" s="4658" t="s">
        <v>1798</v>
      </c>
      <c r="O30" s="4658" t="s">
        <v>1799</v>
      </c>
      <c r="P30" s="4658" t="s">
        <v>1800</v>
      </c>
      <c r="Q30" s="3427"/>
    </row>
    <row r="31" spans="4:17" ht="23.25" x14ac:dyDescent="0.25">
      <c r="D31" s="8020" t="s">
        <v>432</v>
      </c>
      <c r="E31" s="8021"/>
      <c r="F31" s="3351">
        <v>55.27</v>
      </c>
      <c r="G31" s="3351">
        <v>37.93</v>
      </c>
      <c r="H31" s="3351">
        <v>48.229892473118248</v>
      </c>
      <c r="J31" s="3351"/>
      <c r="K31" s="3351"/>
      <c r="L31" s="3351"/>
      <c r="N31" s="3351"/>
      <c r="O31" s="3351"/>
      <c r="P31" s="3351"/>
      <c r="Q31" s="3427"/>
    </row>
    <row r="32" spans="4:17" ht="23.25" x14ac:dyDescent="0.25">
      <c r="D32" s="8020" t="s">
        <v>430</v>
      </c>
      <c r="E32" s="8021"/>
      <c r="F32" s="3351">
        <v>34.6</v>
      </c>
      <c r="G32" s="3351">
        <v>12.68</v>
      </c>
      <c r="H32" s="3351">
        <v>28.92258064516129</v>
      </c>
      <c r="J32" s="3351"/>
      <c r="K32" s="3351"/>
      <c r="L32" s="3351"/>
      <c r="N32" s="3351"/>
      <c r="O32" s="3351"/>
      <c r="P32" s="3351"/>
      <c r="Q32" s="3427"/>
    </row>
    <row r="33" spans="4:17" ht="23.25" x14ac:dyDescent="0.25">
      <c r="D33" s="8020" t="s">
        <v>431</v>
      </c>
      <c r="E33" s="8021"/>
      <c r="F33" s="3351">
        <v>26.98</v>
      </c>
      <c r="G33" s="3351">
        <v>3.85</v>
      </c>
      <c r="H33" s="3351">
        <v>9.0751182795699012</v>
      </c>
      <c r="J33" s="3351"/>
      <c r="K33" s="3351"/>
      <c r="L33" s="3351"/>
      <c r="N33" s="3351"/>
      <c r="O33" s="3351"/>
      <c r="P33" s="3351"/>
      <c r="Q33" s="3427"/>
    </row>
    <row r="34" spans="4:17" ht="23.25" x14ac:dyDescent="0.25">
      <c r="D34" s="8020" t="s">
        <v>433</v>
      </c>
      <c r="E34" s="8021"/>
      <c r="F34" s="3351">
        <v>22.5</v>
      </c>
      <c r="G34" s="3351">
        <v>5.33</v>
      </c>
      <c r="H34" s="3351">
        <v>9.2966021505376339</v>
      </c>
      <c r="J34" s="3351"/>
      <c r="K34" s="3351"/>
      <c r="L34" s="3351"/>
      <c r="N34" s="3351"/>
      <c r="O34" s="3351"/>
      <c r="P34" s="3351"/>
      <c r="Q34" s="3427"/>
    </row>
    <row r="35" spans="4:17" ht="26.25" x14ac:dyDescent="0.25">
      <c r="D35" s="8020" t="s">
        <v>1809</v>
      </c>
      <c r="E35" s="8021"/>
      <c r="F35" s="3351">
        <v>3.19</v>
      </c>
      <c r="G35" s="3351">
        <v>0.2</v>
      </c>
      <c r="H35" s="3351">
        <v>1.2209677419354843</v>
      </c>
      <c r="J35" s="3351"/>
      <c r="K35" s="3351"/>
      <c r="L35" s="3351"/>
      <c r="N35" s="3351"/>
      <c r="O35" s="3351"/>
      <c r="P35" s="3351"/>
      <c r="Q35" s="3427"/>
    </row>
    <row r="36" spans="4:17" ht="23.25" x14ac:dyDescent="0.25">
      <c r="D36" s="8020" t="s">
        <v>1805</v>
      </c>
      <c r="E36" s="8021"/>
      <c r="F36" s="3351">
        <v>6.32</v>
      </c>
      <c r="G36" s="3351">
        <v>0</v>
      </c>
      <c r="H36" s="3351">
        <v>1.2809677419354832</v>
      </c>
      <c r="J36" s="3351"/>
      <c r="K36" s="3351"/>
      <c r="L36" s="3351"/>
      <c r="N36" s="3351"/>
      <c r="O36" s="3351"/>
      <c r="P36" s="3351"/>
      <c r="Q36" s="3427"/>
    </row>
    <row r="37" spans="4:17" ht="23.25" x14ac:dyDescent="0.25">
      <c r="D37" s="8020" t="s">
        <v>1806</v>
      </c>
      <c r="E37" s="8021"/>
      <c r="F37" s="3351">
        <v>0.34</v>
      </c>
      <c r="G37" s="3351">
        <v>0.09</v>
      </c>
      <c r="H37" s="3351">
        <v>0.18750537634408601</v>
      </c>
      <c r="J37" s="3351"/>
      <c r="K37" s="3351"/>
      <c r="L37" s="3351"/>
      <c r="N37" s="3351"/>
      <c r="O37" s="3351"/>
      <c r="P37" s="3351"/>
      <c r="Q37" s="3427"/>
    </row>
    <row r="38" spans="4:17" ht="23.25" x14ac:dyDescent="0.25">
      <c r="D38" s="8020" t="s">
        <v>1793</v>
      </c>
      <c r="E38" s="8021"/>
      <c r="F38" s="3351">
        <v>0.65</v>
      </c>
      <c r="G38" s="3351">
        <v>0</v>
      </c>
      <c r="H38" s="3351">
        <v>0.12337634408602161</v>
      </c>
      <c r="J38" s="3351"/>
      <c r="K38" s="3351"/>
      <c r="L38" s="3351"/>
      <c r="N38" s="3351"/>
      <c r="O38" s="3351"/>
      <c r="P38" s="3351"/>
      <c r="Q38" s="3427"/>
    </row>
    <row r="39" spans="4:17" ht="23.25" x14ac:dyDescent="0.25">
      <c r="D39" s="8020" t="s">
        <v>1794</v>
      </c>
      <c r="E39" s="8021"/>
      <c r="F39" s="3351">
        <v>0.04</v>
      </c>
      <c r="G39" s="3351">
        <v>0</v>
      </c>
      <c r="H39" s="3351">
        <v>2.0236559139784958E-3</v>
      </c>
      <c r="J39" s="3351"/>
      <c r="K39" s="3351"/>
      <c r="L39" s="3351"/>
      <c r="N39" s="3351"/>
      <c r="O39" s="3351"/>
      <c r="P39" s="3351"/>
      <c r="Q39" s="3427"/>
    </row>
    <row r="40" spans="4:17" ht="23.25" x14ac:dyDescent="0.25">
      <c r="D40" s="8020" t="s">
        <v>1795</v>
      </c>
      <c r="E40" s="8021"/>
      <c r="F40" s="3351">
        <v>0.34</v>
      </c>
      <c r="G40" s="3351">
        <v>0.09</v>
      </c>
      <c r="H40" s="3351">
        <v>0.18750537634408601</v>
      </c>
      <c r="J40" s="3351"/>
      <c r="K40" s="3351"/>
      <c r="L40" s="3351"/>
      <c r="N40" s="3351"/>
      <c r="O40" s="3351"/>
      <c r="P40" s="3351"/>
      <c r="Q40" s="3427"/>
    </row>
    <row r="41" spans="4:17" ht="23.25" x14ac:dyDescent="0.25">
      <c r="D41" s="8022" t="s">
        <v>1807</v>
      </c>
      <c r="E41" s="8023"/>
      <c r="F41" s="3449">
        <v>3.88</v>
      </c>
      <c r="G41" s="3449">
        <v>1.24</v>
      </c>
      <c r="H41" s="3449">
        <v>1.6956559139784944</v>
      </c>
      <c r="J41" s="3449"/>
      <c r="K41" s="3449"/>
      <c r="L41" s="3449"/>
      <c r="N41" s="3449"/>
      <c r="O41" s="3449"/>
      <c r="P41" s="3449"/>
      <c r="Q41" s="3427"/>
    </row>
  </sheetData>
  <mergeCells count="47"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8:E8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I9" sqref="I9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031" t="s">
        <v>2229</v>
      </c>
      <c r="C2" s="8032" t="s">
        <v>2230</v>
      </c>
      <c r="D2" s="8032" t="s">
        <v>2231</v>
      </c>
      <c r="E2" s="8032"/>
      <c r="F2" s="8032"/>
      <c r="G2" s="8032"/>
      <c r="H2" s="8032"/>
      <c r="I2" s="8032"/>
      <c r="J2" s="8032"/>
      <c r="K2" s="8032"/>
      <c r="L2" s="8032"/>
      <c r="M2" s="8032"/>
      <c r="N2" s="8032"/>
    </row>
    <row r="3" spans="2:14" x14ac:dyDescent="0.25">
      <c r="B3" s="8031"/>
      <c r="C3" s="8032"/>
      <c r="D3" s="7013" t="s">
        <v>2232</v>
      </c>
      <c r="E3" s="7013" t="s">
        <v>2233</v>
      </c>
      <c r="F3" s="7014" t="s">
        <v>2234</v>
      </c>
      <c r="G3" s="7014" t="s">
        <v>2235</v>
      </c>
      <c r="H3" s="7014" t="s">
        <v>2236</v>
      </c>
      <c r="I3" s="7014" t="s">
        <v>2237</v>
      </c>
      <c r="J3" s="7014" t="s">
        <v>2238</v>
      </c>
      <c r="K3" s="7014" t="s">
        <v>2239</v>
      </c>
      <c r="L3" s="7015" t="s">
        <v>2240</v>
      </c>
      <c r="M3" s="7015" t="s">
        <v>2241</v>
      </c>
      <c r="N3" s="7014" t="s">
        <v>2242</v>
      </c>
    </row>
    <row r="4" spans="2:14" x14ac:dyDescent="0.25">
      <c r="B4" s="6980">
        <v>1</v>
      </c>
      <c r="C4" s="6980" t="s">
        <v>724</v>
      </c>
      <c r="D4" s="7016">
        <v>1.4869381913999498</v>
      </c>
      <c r="E4" s="7016">
        <v>2.15845320286676</v>
      </c>
      <c r="F4" s="7016">
        <v>3.8265360048269974</v>
      </c>
      <c r="G4" s="7016">
        <v>2.0417307356095398</v>
      </c>
      <c r="H4" s="7016">
        <v>1.5727786728404394</v>
      </c>
      <c r="I4" s="7016">
        <v>1.8722353622837475</v>
      </c>
      <c r="J4" s="7016">
        <v>1.5708253428049228</v>
      </c>
      <c r="K4" s="7016">
        <v>1.6260162601626016</v>
      </c>
      <c r="L4" s="7016">
        <v>1.9720980328401887</v>
      </c>
      <c r="M4" s="7016">
        <v>1.0633524766690596</v>
      </c>
      <c r="N4" s="7016">
        <v>0.89984890290369202</v>
      </c>
    </row>
    <row r="5" spans="2:14" x14ac:dyDescent="0.25">
      <c r="B5" s="6980">
        <v>2</v>
      </c>
      <c r="C5" s="6980" t="s">
        <v>377</v>
      </c>
      <c r="D5" s="7016">
        <v>0.20086377575358338</v>
      </c>
      <c r="E5" s="7016">
        <v>0.2604138405086579</v>
      </c>
      <c r="F5" s="7016">
        <v>0.48108857125023402</v>
      </c>
      <c r="G5" s="7016">
        <v>0.18887707717695823</v>
      </c>
      <c r="H5" s="7016">
        <v>0.21923505977242849</v>
      </c>
      <c r="I5" s="7016">
        <v>0.28701741262339525</v>
      </c>
      <c r="J5" s="7016">
        <v>1.7636956306440141</v>
      </c>
      <c r="K5" s="7016">
        <v>0.25428191376154596</v>
      </c>
      <c r="L5" s="7016">
        <v>0.60243948138514058</v>
      </c>
      <c r="M5" s="7016">
        <v>0.30081770459440049</v>
      </c>
      <c r="N5" s="7016">
        <v>0.21258244645907237</v>
      </c>
    </row>
    <row r="6" spans="2:14" x14ac:dyDescent="0.25">
      <c r="B6" s="6980">
        <v>3</v>
      </c>
      <c r="C6" s="6980" t="s">
        <v>2243</v>
      </c>
      <c r="D6" s="7016">
        <v>0</v>
      </c>
      <c r="E6" s="7016">
        <v>1.0344193192960465</v>
      </c>
      <c r="F6" s="7016">
        <v>0</v>
      </c>
      <c r="G6" s="7016">
        <v>0</v>
      </c>
      <c r="H6" s="7016">
        <v>0</v>
      </c>
      <c r="I6" s="7016">
        <v>0</v>
      </c>
      <c r="J6" s="7016">
        <v>0.87308384877868717</v>
      </c>
      <c r="K6" s="7016">
        <v>0.9531349763759418</v>
      </c>
      <c r="L6" s="7016">
        <v>0</v>
      </c>
      <c r="M6" s="7016">
        <v>0</v>
      </c>
      <c r="N6" s="7016">
        <v>0.91939298383918011</v>
      </c>
    </row>
    <row r="7" spans="2:14" x14ac:dyDescent="0.25">
      <c r="B7" s="6980">
        <v>4</v>
      </c>
      <c r="C7" s="6980" t="s">
        <v>2244</v>
      </c>
      <c r="D7" s="7016">
        <v>4.7720509733548369E-2</v>
      </c>
      <c r="E7" s="7016">
        <v>0.29941345638703287</v>
      </c>
      <c r="F7" s="7016">
        <v>0.3637829515427668</v>
      </c>
      <c r="G7" s="7016">
        <v>0.58441770818675276</v>
      </c>
      <c r="H7" s="7016">
        <v>0.29897372547156364</v>
      </c>
      <c r="I7" s="7016">
        <v>0.22196100644703784</v>
      </c>
      <c r="J7" s="7016">
        <v>0.27480395069731428</v>
      </c>
      <c r="K7" s="7016">
        <v>0.34569914442599925</v>
      </c>
      <c r="L7" s="7016">
        <v>0.30199154609006662</v>
      </c>
      <c r="M7" s="7016">
        <v>0.35572236180904521</v>
      </c>
      <c r="N7" s="7016">
        <v>0.45369366706083303</v>
      </c>
    </row>
    <row r="8" spans="2:14" x14ac:dyDescent="0.25">
      <c r="B8" s="6980">
        <v>5</v>
      </c>
      <c r="C8" s="6980" t="s">
        <v>2245</v>
      </c>
      <c r="D8" s="7016">
        <v>0.3170665838816577</v>
      </c>
      <c r="E8" s="7016">
        <v>0.35274046069885445</v>
      </c>
      <c r="F8" s="7016">
        <v>0</v>
      </c>
      <c r="G8" s="7016">
        <v>0</v>
      </c>
      <c r="H8" s="7016">
        <v>1.3605912308815336E-2</v>
      </c>
      <c r="I8" s="7016">
        <v>3.3726958649883901E-3</v>
      </c>
      <c r="J8" s="7016">
        <v>1.1704435981236889E-2</v>
      </c>
      <c r="K8" s="7016">
        <v>0.28944792065721703</v>
      </c>
      <c r="L8" s="7016">
        <v>4.0278003576654203E-2</v>
      </c>
      <c r="M8" s="7016">
        <v>3.4996410624551326E-3</v>
      </c>
      <c r="N8" s="7016">
        <v>6.4052029956641705E-3</v>
      </c>
    </row>
    <row r="9" spans="2:14" x14ac:dyDescent="0.25">
      <c r="B9" s="6980">
        <v>6</v>
      </c>
      <c r="C9" s="6980" t="s">
        <v>2246</v>
      </c>
      <c r="D9" s="7016">
        <v>3.5535965290870672</v>
      </c>
      <c r="E9" s="7016">
        <v>4.4219183842631438</v>
      </c>
      <c r="F9" s="7016">
        <v>5.7238814333964454</v>
      </c>
      <c r="G9" s="7016">
        <v>4.5469438368022246</v>
      </c>
      <c r="H9" s="7016">
        <v>4.0491518117460057</v>
      </c>
      <c r="I9" s="7016">
        <v>3.591700573790694</v>
      </c>
      <c r="J9" s="7016">
        <v>4.3530418028432782</v>
      </c>
      <c r="K9" s="7016">
        <v>4.4358549355127055</v>
      </c>
      <c r="L9" s="7016">
        <v>4.2978678263696954</v>
      </c>
      <c r="M9" s="7016">
        <v>3.4306832376166545</v>
      </c>
      <c r="N9" s="7016">
        <v>3.1741426060964395</v>
      </c>
    </row>
    <row r="10" spans="2:14" x14ac:dyDescent="0.25">
      <c r="B10" s="6980">
        <v>7</v>
      </c>
      <c r="C10" s="6980" t="s">
        <v>2247</v>
      </c>
      <c r="D10" s="7016">
        <v>0.65124593962247024</v>
      </c>
      <c r="E10" s="7016">
        <v>0.51545078694390811</v>
      </c>
      <c r="F10" s="7016">
        <v>0.53777333915902048</v>
      </c>
      <c r="G10" s="7016">
        <v>0.52655503106437607</v>
      </c>
      <c r="H10" s="7016">
        <v>0.55055754005105462</v>
      </c>
      <c r="I10" s="7016">
        <v>0.52766259204649135</v>
      </c>
      <c r="J10" s="7016">
        <v>0.55310662741178895</v>
      </c>
      <c r="K10" s="7016">
        <v>0.53541480440982425</v>
      </c>
      <c r="L10" s="7016">
        <v>0.51575353601040475</v>
      </c>
      <c r="M10" s="7016">
        <v>0.52069274946159361</v>
      </c>
      <c r="N10" s="7016">
        <v>0.51489209696491911</v>
      </c>
    </row>
    <row r="11" spans="2:14" x14ac:dyDescent="0.25">
      <c r="B11" s="6980">
        <v>8</v>
      </c>
      <c r="C11" s="6980" t="s">
        <v>2248</v>
      </c>
      <c r="D11" s="7016">
        <v>1.683622674511051</v>
      </c>
      <c r="E11" s="7016">
        <v>2.2742110849414212</v>
      </c>
      <c r="F11" s="7016">
        <v>1.5747019536857876</v>
      </c>
      <c r="G11" s="7016">
        <v>1.5100349660786396</v>
      </c>
      <c r="H11" s="7016">
        <v>1.5661408017553788</v>
      </c>
      <c r="I11" s="7016">
        <v>1.8292570123968195</v>
      </c>
      <c r="J11" s="7016">
        <v>1.8470577298796245</v>
      </c>
      <c r="K11" s="7016">
        <v>1.8874681394457926</v>
      </c>
      <c r="L11" s="7016">
        <v>1.6316754186311171</v>
      </c>
      <c r="M11" s="7016">
        <v>1.6926271536252691</v>
      </c>
      <c r="N11" s="7016">
        <v>1.5925302604782552</v>
      </c>
    </row>
    <row r="12" spans="2:14" x14ac:dyDescent="0.25">
      <c r="B12" s="6980">
        <v>9</v>
      </c>
      <c r="C12" s="6980" t="s">
        <v>2249</v>
      </c>
      <c r="D12" s="7016">
        <v>0.19318538036935237</v>
      </c>
      <c r="E12" s="7016">
        <v>6.0650782900522608E-2</v>
      </c>
      <c r="F12" s="7016">
        <v>0</v>
      </c>
      <c r="G12" s="7016">
        <v>6.8226494906465734E-2</v>
      </c>
      <c r="H12" s="7016">
        <v>0.18367117749452525</v>
      </c>
      <c r="I12" s="7016">
        <v>0.2565108164085978</v>
      </c>
      <c r="J12" s="7016">
        <v>0</v>
      </c>
      <c r="K12" s="7016">
        <v>6.8105393095815772E-2</v>
      </c>
      <c r="L12" s="7016">
        <v>4.8772557307754837E-2</v>
      </c>
      <c r="M12" s="7016">
        <v>0.19078876525484564</v>
      </c>
      <c r="N12" s="7016">
        <v>0.20744235317303902</v>
      </c>
    </row>
    <row r="13" spans="2:14" x14ac:dyDescent="0.25">
      <c r="B13" s="6980">
        <v>10</v>
      </c>
      <c r="C13" s="6980" t="s">
        <v>2250</v>
      </c>
      <c r="D13" s="7016">
        <v>1.2717897462689958</v>
      </c>
      <c r="E13" s="7016">
        <v>1.0812518321590667</v>
      </c>
      <c r="F13" s="7016">
        <v>1.3369258403900437</v>
      </c>
      <c r="G13" s="7016">
        <v>1.5904397624012314</v>
      </c>
      <c r="H13" s="7016">
        <v>1.2866009839450234</v>
      </c>
      <c r="I13" s="7016">
        <v>0.29108959696284414</v>
      </c>
      <c r="J13" s="7016">
        <v>0</v>
      </c>
      <c r="K13" s="7016">
        <v>0</v>
      </c>
      <c r="L13" s="7016">
        <v>0</v>
      </c>
      <c r="M13" s="7016">
        <v>0</v>
      </c>
      <c r="N13" s="7016">
        <v>0</v>
      </c>
    </row>
    <row r="14" spans="2:14" x14ac:dyDescent="0.25">
      <c r="B14" s="6980">
        <v>11</v>
      </c>
      <c r="C14" s="6980" t="s">
        <v>2251</v>
      </c>
      <c r="D14" s="7016">
        <v>7.4143061581446066E-3</v>
      </c>
      <c r="E14" s="7016">
        <v>6.8737553953925621E-3</v>
      </c>
      <c r="F14" s="7016">
        <v>0.18392526475667353</v>
      </c>
      <c r="G14" s="7016">
        <v>2.7290597962586295E-4</v>
      </c>
      <c r="H14" s="7016">
        <v>6.2198456268870109E-4</v>
      </c>
      <c r="I14" s="7016">
        <v>2.5597896821450347E-3</v>
      </c>
      <c r="J14" s="7016">
        <v>2.8810919338429267E-4</v>
      </c>
      <c r="K14" s="7016">
        <v>1.3621078619163154E-3</v>
      </c>
      <c r="L14" s="7016">
        <v>2.7605267436189237E-2</v>
      </c>
      <c r="M14" s="7016">
        <v>1.776740847092606E-2</v>
      </c>
      <c r="N14" s="7016">
        <v>5.044343713046906E-2</v>
      </c>
    </row>
    <row r="15" spans="2:14" x14ac:dyDescent="0.25">
      <c r="B15" s="6980">
        <v>12</v>
      </c>
      <c r="C15" s="6980" t="s">
        <v>2252</v>
      </c>
      <c r="D15" s="7016">
        <v>0</v>
      </c>
      <c r="E15" s="7016">
        <v>6.5705014808899495E-2</v>
      </c>
      <c r="F15" s="7016">
        <v>0.56419144317527692</v>
      </c>
      <c r="G15" s="7016">
        <v>0</v>
      </c>
      <c r="H15" s="7016">
        <v>0</v>
      </c>
      <c r="I15" s="7016">
        <v>0</v>
      </c>
      <c r="J15" s="7016">
        <v>2.8810919338429267E-4</v>
      </c>
      <c r="K15" s="7016">
        <v>6.946750095773209E-2</v>
      </c>
      <c r="L15" s="7016">
        <v>4.0643797756462367E-2</v>
      </c>
      <c r="M15" s="7016">
        <v>2.6920315865039485E-2</v>
      </c>
      <c r="N15" s="7016">
        <v>2.8741295493364866E-2</v>
      </c>
    </row>
    <row r="16" spans="2:14" x14ac:dyDescent="0.25">
      <c r="B16" s="6980">
        <v>13</v>
      </c>
      <c r="C16" s="6980" t="s">
        <v>82</v>
      </c>
      <c r="D16" s="7016">
        <v>0</v>
      </c>
      <c r="E16" s="7016">
        <v>0</v>
      </c>
      <c r="F16" s="7016">
        <v>8.3224101699852282E-2</v>
      </c>
      <c r="G16" s="7016">
        <v>0</v>
      </c>
      <c r="H16" s="7016">
        <v>0</v>
      </c>
      <c r="I16" s="7016">
        <v>0</v>
      </c>
      <c r="J16" s="7016">
        <v>0</v>
      </c>
      <c r="K16" s="7016">
        <v>7.7231515770655082E-2</v>
      </c>
      <c r="L16" s="7016">
        <v>0</v>
      </c>
      <c r="M16" s="7016">
        <v>0</v>
      </c>
      <c r="N16" s="7016">
        <v>8.2117987123899623E-3</v>
      </c>
    </row>
    <row r="17" spans="2:14" x14ac:dyDescent="0.25">
      <c r="B17" s="6980">
        <v>14</v>
      </c>
      <c r="C17" s="6980" t="s">
        <v>466</v>
      </c>
      <c r="D17" s="7016">
        <v>9.086159507530155E-3</v>
      </c>
      <c r="E17" s="7016">
        <v>5.0542319083768843E-3</v>
      </c>
      <c r="F17" s="7016">
        <v>2.0806025424963071E-2</v>
      </c>
      <c r="G17" s="7016">
        <v>0</v>
      </c>
      <c r="H17" s="7016">
        <v>0</v>
      </c>
      <c r="I17" s="7016">
        <v>0</v>
      </c>
      <c r="J17" s="7016">
        <v>0</v>
      </c>
      <c r="K17" s="7016">
        <v>0</v>
      </c>
      <c r="L17" s="7016">
        <v>2.8450658429523656E-2</v>
      </c>
      <c r="M17" s="7016">
        <v>0</v>
      </c>
      <c r="N17" s="7016">
        <v>0</v>
      </c>
    </row>
    <row r="18" spans="2:14" x14ac:dyDescent="0.25">
      <c r="B18" s="6980"/>
      <c r="C18" s="7017" t="s">
        <v>2253</v>
      </c>
      <c r="D18" s="7018">
        <f t="shared" ref="D18:N18" si="0">SUM(D4:D17)</f>
        <v>9.4225297962933503</v>
      </c>
      <c r="E18" s="7018">
        <f t="shared" si="0"/>
        <v>12.536556153078084</v>
      </c>
      <c r="F18" s="7018">
        <f t="shared" si="0"/>
        <v>14.696836929308061</v>
      </c>
      <c r="G18" s="7018">
        <f t="shared" si="0"/>
        <v>11.057498518205815</v>
      </c>
      <c r="H18" s="7018">
        <f t="shared" si="0"/>
        <v>9.7413376699479226</v>
      </c>
      <c r="I18" s="7018">
        <f t="shared" si="0"/>
        <v>8.8833668585067613</v>
      </c>
      <c r="J18" s="7018">
        <f t="shared" si="0"/>
        <v>11.247895587427637</v>
      </c>
      <c r="K18" s="7018">
        <f t="shared" si="0"/>
        <v>10.543484612437748</v>
      </c>
      <c r="L18" s="7018">
        <f t="shared" si="0"/>
        <v>9.5075761258332001</v>
      </c>
      <c r="M18" s="7018">
        <f t="shared" si="0"/>
        <v>7.6028718144292888</v>
      </c>
      <c r="N18" s="7018">
        <f t="shared" si="0"/>
        <v>8.0683270513073175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style="5172" customWidth="1"/>
    <col min="2" max="2" width="21.85546875" style="5172" customWidth="1"/>
    <col min="3" max="3" width="41.42578125" style="5172" bestFit="1" customWidth="1"/>
    <col min="4" max="4" width="8.42578125" style="5172" bestFit="1" customWidth="1"/>
    <col min="5" max="5" width="9.7109375" style="5172" bestFit="1" customWidth="1"/>
    <col min="6" max="6" width="11" style="5172" customWidth="1"/>
    <col min="7" max="7" width="8.42578125" style="5172" bestFit="1" customWidth="1"/>
    <col min="8" max="8" width="11" style="5172" customWidth="1"/>
    <col min="9" max="9" width="13.140625" style="5172" bestFit="1" customWidth="1"/>
    <col min="10" max="10" width="11" style="5172" customWidth="1"/>
    <col min="11" max="11" width="11.85546875" style="5172" bestFit="1" customWidth="1"/>
    <col min="12" max="12" width="12.85546875" style="5172" bestFit="1" customWidth="1"/>
    <col min="13" max="13" width="11.85546875" style="5172" bestFit="1" customWidth="1"/>
    <col min="14" max="16" width="9.5703125" style="5172" bestFit="1" customWidth="1"/>
    <col min="17" max="17" width="63.85546875" style="5172" bestFit="1" customWidth="1"/>
    <col min="18" max="18" width="10" style="5172" bestFit="1" customWidth="1"/>
    <col min="19" max="16384" width="8.85546875" style="5172"/>
  </cols>
  <sheetData>
    <row r="1" spans="1:13" x14ac:dyDescent="0.25">
      <c r="A1" s="3399"/>
      <c r="B1" s="3400"/>
      <c r="C1" s="3399"/>
      <c r="D1" s="3401"/>
      <c r="E1" s="3401"/>
      <c r="F1" s="3399"/>
      <c r="G1" s="3401"/>
      <c r="H1" s="3401"/>
      <c r="I1" s="3401"/>
      <c r="J1" s="3399"/>
      <c r="K1" s="3401"/>
      <c r="L1" s="3401"/>
      <c r="M1" s="3401"/>
    </row>
    <row r="2" spans="1:13" ht="20.25" customHeight="1" x14ac:dyDescent="0.3">
      <c r="A2" s="3399"/>
      <c r="B2" s="8034" t="s">
        <v>1839</v>
      </c>
      <c r="C2" s="8034"/>
      <c r="D2" s="8034"/>
      <c r="E2" s="8034"/>
      <c r="F2" s="8034"/>
      <c r="G2" s="8034"/>
      <c r="H2" s="8034"/>
      <c r="I2" s="8034"/>
      <c r="J2" s="8034"/>
      <c r="K2" s="8034"/>
      <c r="L2" s="8034"/>
      <c r="M2" s="8034"/>
    </row>
    <row r="3" spans="1:13" ht="20.25" x14ac:dyDescent="0.25">
      <c r="A3" s="3399"/>
      <c r="B3" s="8035" t="s">
        <v>1765</v>
      </c>
      <c r="C3" s="8035"/>
      <c r="D3" s="8035"/>
      <c r="E3" s="8035"/>
      <c r="F3" s="8035"/>
      <c r="G3" s="8035"/>
      <c r="H3" s="8035"/>
      <c r="I3" s="8035"/>
      <c r="J3" s="8035"/>
      <c r="K3" s="8035"/>
      <c r="L3" s="8035"/>
      <c r="M3" s="8035"/>
    </row>
    <row r="4" spans="1:13" x14ac:dyDescent="0.25">
      <c r="A4" s="3399"/>
      <c r="B4" s="6946" t="s">
        <v>1840</v>
      </c>
      <c r="C4" s="6947" t="s">
        <v>1840</v>
      </c>
      <c r="D4" s="6948" t="s">
        <v>1841</v>
      </c>
      <c r="E4" s="6948" t="s">
        <v>1842</v>
      </c>
      <c r="F4" s="6948"/>
      <c r="G4" s="6949" t="s">
        <v>1843</v>
      </c>
      <c r="H4" s="6949"/>
      <c r="I4" s="6948" t="s">
        <v>1066</v>
      </c>
      <c r="J4" s="6948"/>
      <c r="K4" s="6948" t="s">
        <v>59</v>
      </c>
      <c r="L4" s="6948" t="s">
        <v>95</v>
      </c>
      <c r="M4" s="6948" t="s">
        <v>1303</v>
      </c>
    </row>
    <row r="5" spans="1:13" x14ac:dyDescent="0.25">
      <c r="A5" s="3399"/>
      <c r="B5" s="8036" t="s">
        <v>1844</v>
      </c>
      <c r="C5" s="6950">
        <v>45383</v>
      </c>
      <c r="D5" s="6946">
        <v>720</v>
      </c>
      <c r="E5" s="6946">
        <v>720</v>
      </c>
      <c r="F5" s="6946"/>
      <c r="G5" s="6951">
        <v>720</v>
      </c>
      <c r="H5" s="6951"/>
      <c r="I5" s="6946">
        <v>2160</v>
      </c>
      <c r="J5" s="6946"/>
      <c r="K5" s="6946">
        <v>720</v>
      </c>
      <c r="L5" s="6946">
        <v>720</v>
      </c>
      <c r="M5" s="6946">
        <v>720</v>
      </c>
    </row>
    <row r="6" spans="1:13" x14ac:dyDescent="0.25">
      <c r="A6" s="3399"/>
      <c r="B6" s="8036"/>
      <c r="C6" s="6950">
        <v>45413</v>
      </c>
      <c r="D6" s="6946">
        <v>744</v>
      </c>
      <c r="E6" s="6946">
        <v>744</v>
      </c>
      <c r="F6" s="6952"/>
      <c r="G6" s="6946">
        <v>744</v>
      </c>
      <c r="H6" s="6946"/>
      <c r="I6" s="6946">
        <v>2232</v>
      </c>
      <c r="J6" s="6953"/>
      <c r="K6" s="6946">
        <v>744</v>
      </c>
      <c r="L6" s="6946">
        <v>744</v>
      </c>
      <c r="M6" s="6946">
        <v>744</v>
      </c>
    </row>
    <row r="7" spans="1:13" x14ac:dyDescent="0.25">
      <c r="A7" s="3399"/>
      <c r="B7" s="8036"/>
      <c r="C7" s="6950">
        <v>45444</v>
      </c>
      <c r="D7" s="6946">
        <v>720</v>
      </c>
      <c r="E7" s="6946">
        <v>720</v>
      </c>
      <c r="F7" s="6946"/>
      <c r="G7" s="6951">
        <v>720</v>
      </c>
      <c r="H7" s="6951"/>
      <c r="I7" s="6946">
        <v>2160</v>
      </c>
      <c r="J7" s="6946"/>
      <c r="K7" s="6946">
        <v>720</v>
      </c>
      <c r="L7" s="6946">
        <v>720</v>
      </c>
      <c r="M7" s="6946">
        <v>720</v>
      </c>
    </row>
    <row r="8" spans="1:13" x14ac:dyDescent="0.25">
      <c r="A8" s="3399"/>
      <c r="B8" s="8036"/>
      <c r="C8" s="6954" t="s">
        <v>1845</v>
      </c>
      <c r="D8" s="6955">
        <f t="shared" ref="D8:E8" si="0">SUM(D5:D7)</f>
        <v>2184</v>
      </c>
      <c r="E8" s="6955">
        <f t="shared" si="0"/>
        <v>2184</v>
      </c>
      <c r="F8" s="6956"/>
      <c r="G8" s="6955">
        <f>SUM(G5:G7)</f>
        <v>2184</v>
      </c>
      <c r="H8" s="6955"/>
      <c r="I8" s="6955">
        <f>SUM(I5:I7)</f>
        <v>6552</v>
      </c>
      <c r="J8" s="6956"/>
      <c r="K8" s="6955">
        <f t="shared" ref="K8:M8" si="1">SUM(K5:K7)</f>
        <v>2184</v>
      </c>
      <c r="L8" s="6955">
        <f t="shared" si="1"/>
        <v>2184</v>
      </c>
      <c r="M8" s="6955">
        <f t="shared" si="1"/>
        <v>2184</v>
      </c>
    </row>
    <row r="9" spans="1:13" ht="15" hidden="1" customHeight="1" x14ac:dyDescent="0.25">
      <c r="A9" s="3399"/>
      <c r="B9" s="8036"/>
      <c r="C9" s="6950">
        <v>45474</v>
      </c>
      <c r="D9" s="6957">
        <v>744</v>
      </c>
      <c r="E9" s="6957">
        <v>744</v>
      </c>
      <c r="F9" s="6953"/>
      <c r="G9" s="6957">
        <v>744</v>
      </c>
      <c r="H9" s="6957"/>
      <c r="I9" s="6957">
        <v>2232</v>
      </c>
      <c r="J9" s="6953"/>
      <c r="K9" s="6957">
        <v>744</v>
      </c>
      <c r="L9" s="6957">
        <v>744</v>
      </c>
      <c r="M9" s="6957">
        <v>744</v>
      </c>
    </row>
    <row r="10" spans="1:13" ht="15" hidden="1" customHeight="1" x14ac:dyDescent="0.25">
      <c r="A10" s="3399"/>
      <c r="B10" s="8036"/>
      <c r="C10" s="6950">
        <v>45505</v>
      </c>
      <c r="D10" s="6957">
        <v>744</v>
      </c>
      <c r="E10" s="6957">
        <v>744</v>
      </c>
      <c r="F10" s="6958"/>
      <c r="G10" s="6957">
        <v>744</v>
      </c>
      <c r="H10" s="6957"/>
      <c r="I10" s="6957">
        <v>2232</v>
      </c>
      <c r="J10" s="6958"/>
      <c r="K10" s="6957">
        <v>744</v>
      </c>
      <c r="L10" s="6957">
        <v>744</v>
      </c>
      <c r="M10" s="6957">
        <v>744</v>
      </c>
    </row>
    <row r="11" spans="1:13" ht="15" hidden="1" customHeight="1" x14ac:dyDescent="0.25">
      <c r="A11" s="3399"/>
      <c r="B11" s="8036"/>
      <c r="C11" s="6950">
        <v>45536</v>
      </c>
      <c r="D11" s="6959">
        <v>720</v>
      </c>
      <c r="E11" s="6959">
        <v>720</v>
      </c>
      <c r="F11" s="6958"/>
      <c r="G11" s="6959">
        <v>720</v>
      </c>
      <c r="H11" s="6959"/>
      <c r="I11" s="6959">
        <v>2160</v>
      </c>
      <c r="J11" s="6958"/>
      <c r="K11" s="6959">
        <v>720</v>
      </c>
      <c r="L11" s="6959">
        <v>720</v>
      </c>
      <c r="M11" s="6959">
        <v>720</v>
      </c>
    </row>
    <row r="12" spans="1:13" ht="15" hidden="1" customHeight="1" x14ac:dyDescent="0.25">
      <c r="A12" s="3399"/>
      <c r="B12" s="8036"/>
      <c r="C12" s="6954" t="s">
        <v>1846</v>
      </c>
      <c r="D12" s="6960">
        <f>D9+D10+D11</f>
        <v>2208</v>
      </c>
      <c r="E12" s="6960">
        <f t="shared" ref="E12:M12" si="2">E9+E10+E11</f>
        <v>2208</v>
      </c>
      <c r="F12" s="6960"/>
      <c r="G12" s="6960">
        <f t="shared" si="2"/>
        <v>2208</v>
      </c>
      <c r="H12" s="6960"/>
      <c r="I12" s="6960">
        <f t="shared" si="2"/>
        <v>6624</v>
      </c>
      <c r="J12" s="6960"/>
      <c r="K12" s="6960">
        <f t="shared" si="2"/>
        <v>2208</v>
      </c>
      <c r="L12" s="6960">
        <f t="shared" si="2"/>
        <v>2208</v>
      </c>
      <c r="M12" s="6960">
        <f t="shared" si="2"/>
        <v>2208</v>
      </c>
    </row>
    <row r="13" spans="1:13" ht="15" hidden="1" customHeight="1" x14ac:dyDescent="0.25">
      <c r="A13" s="3399"/>
      <c r="B13" s="8036"/>
      <c r="C13" s="6950">
        <v>45566</v>
      </c>
      <c r="D13" s="6958">
        <v>744</v>
      </c>
      <c r="E13" s="6958">
        <v>744</v>
      </c>
      <c r="F13" s="6953"/>
      <c r="G13" s="6957">
        <v>744</v>
      </c>
      <c r="H13" s="6957"/>
      <c r="I13" s="6957">
        <v>2232</v>
      </c>
      <c r="J13" s="6953"/>
      <c r="K13" s="6958">
        <v>744</v>
      </c>
      <c r="L13" s="6958">
        <v>744</v>
      </c>
      <c r="M13" s="6958">
        <v>744</v>
      </c>
    </row>
    <row r="14" spans="1:13" ht="15" hidden="1" customHeight="1" x14ac:dyDescent="0.25">
      <c r="A14" s="3399"/>
      <c r="B14" s="8036"/>
      <c r="C14" s="6950">
        <v>45597</v>
      </c>
      <c r="D14" s="6958">
        <v>720</v>
      </c>
      <c r="E14" s="6958">
        <v>720</v>
      </c>
      <c r="F14" s="6953"/>
      <c r="G14" s="6957">
        <v>720</v>
      </c>
      <c r="H14" s="6957"/>
      <c r="I14" s="6957">
        <v>2160</v>
      </c>
      <c r="J14" s="6953"/>
      <c r="K14" s="6958">
        <v>720</v>
      </c>
      <c r="L14" s="6958">
        <v>720</v>
      </c>
      <c r="M14" s="6958">
        <v>720</v>
      </c>
    </row>
    <row r="15" spans="1:13" ht="15" hidden="1" customHeight="1" x14ac:dyDescent="0.25">
      <c r="A15" s="3399"/>
      <c r="B15" s="8036"/>
      <c r="C15" s="6950">
        <v>45627</v>
      </c>
      <c r="D15" s="6957">
        <v>744</v>
      </c>
      <c r="E15" s="6957">
        <v>744</v>
      </c>
      <c r="F15" s="6961"/>
      <c r="G15" s="6957">
        <v>744</v>
      </c>
      <c r="H15" s="6957"/>
      <c r="I15" s="6957">
        <v>2232</v>
      </c>
      <c r="J15" s="6961"/>
      <c r="K15" s="6957">
        <v>744</v>
      </c>
      <c r="L15" s="6957">
        <v>744</v>
      </c>
      <c r="M15" s="6957">
        <v>744</v>
      </c>
    </row>
    <row r="16" spans="1:13" ht="15" hidden="1" customHeight="1" x14ac:dyDescent="0.25">
      <c r="A16" s="3399"/>
      <c r="B16" s="8036"/>
      <c r="C16" s="6954" t="s">
        <v>1847</v>
      </c>
      <c r="D16" s="6955">
        <f>D13+D14+D15</f>
        <v>2208</v>
      </c>
      <c r="E16" s="6955">
        <f t="shared" ref="E16:M16" si="3">E13+E14+E15</f>
        <v>2208</v>
      </c>
      <c r="F16" s="6955"/>
      <c r="G16" s="6955">
        <f t="shared" si="3"/>
        <v>2208</v>
      </c>
      <c r="H16" s="6955"/>
      <c r="I16" s="6955">
        <f t="shared" si="3"/>
        <v>6624</v>
      </c>
      <c r="J16" s="6955"/>
      <c r="K16" s="6955">
        <f t="shared" si="3"/>
        <v>2208</v>
      </c>
      <c r="L16" s="6955">
        <f t="shared" si="3"/>
        <v>2208</v>
      </c>
      <c r="M16" s="6955">
        <f t="shared" si="3"/>
        <v>2208</v>
      </c>
    </row>
    <row r="17" spans="1:16" ht="15" hidden="1" customHeight="1" x14ac:dyDescent="0.25">
      <c r="A17" s="3399"/>
      <c r="B17" s="8036"/>
      <c r="C17" s="6950">
        <v>45658</v>
      </c>
      <c r="D17" s="6957">
        <v>744</v>
      </c>
      <c r="E17" s="6957">
        <v>744</v>
      </c>
      <c r="F17" s="6961"/>
      <c r="G17" s="6957">
        <v>744</v>
      </c>
      <c r="H17" s="6957"/>
      <c r="I17" s="6957">
        <v>2232</v>
      </c>
      <c r="J17" s="6961"/>
      <c r="K17" s="6957">
        <v>744</v>
      </c>
      <c r="L17" s="6957">
        <v>744</v>
      </c>
      <c r="M17" s="6957">
        <v>744</v>
      </c>
    </row>
    <row r="18" spans="1:16" ht="15" hidden="1" customHeight="1" x14ac:dyDescent="0.25">
      <c r="A18" s="3399"/>
      <c r="B18" s="8036"/>
      <c r="C18" s="6950">
        <v>45689</v>
      </c>
      <c r="D18" s="6957">
        <v>672</v>
      </c>
      <c r="E18" s="6957">
        <v>672</v>
      </c>
      <c r="F18" s="6961"/>
      <c r="G18" s="6957">
        <v>672</v>
      </c>
      <c r="H18" s="6957"/>
      <c r="I18" s="6957">
        <v>2016</v>
      </c>
      <c r="J18" s="6961"/>
      <c r="K18" s="6957">
        <v>672</v>
      </c>
      <c r="L18" s="6957">
        <v>672</v>
      </c>
      <c r="M18" s="6957">
        <v>672</v>
      </c>
    </row>
    <row r="19" spans="1:16" ht="15" hidden="1" customHeight="1" x14ac:dyDescent="0.25">
      <c r="A19" s="3399"/>
      <c r="B19" s="8036"/>
      <c r="C19" s="6950">
        <v>45717</v>
      </c>
      <c r="D19" s="6957">
        <v>744</v>
      </c>
      <c r="E19" s="6957">
        <v>744</v>
      </c>
      <c r="F19" s="6953"/>
      <c r="G19" s="6957">
        <v>744</v>
      </c>
      <c r="H19" s="6957"/>
      <c r="I19" s="6957">
        <v>2232</v>
      </c>
      <c r="J19" s="6953"/>
      <c r="K19" s="6957">
        <v>744</v>
      </c>
      <c r="L19" s="6957">
        <v>744</v>
      </c>
      <c r="M19" s="6957">
        <v>744</v>
      </c>
    </row>
    <row r="20" spans="1:16" ht="15" hidden="1" customHeight="1" x14ac:dyDescent="0.25">
      <c r="A20" s="3399"/>
      <c r="B20" s="8036"/>
      <c r="C20" s="6954" t="s">
        <v>1848</v>
      </c>
      <c r="D20" s="6962">
        <f t="shared" ref="D20:E20" si="4">SUM(D17:D19)</f>
        <v>2160</v>
      </c>
      <c r="E20" s="6962">
        <f t="shared" si="4"/>
        <v>2160</v>
      </c>
      <c r="F20" s="6956"/>
      <c r="G20" s="6962">
        <f>SUM(G17:G19)</f>
        <v>2160</v>
      </c>
      <c r="H20" s="6962"/>
      <c r="I20" s="6962">
        <f>SUM(I17:I19)</f>
        <v>6480</v>
      </c>
      <c r="J20" s="6956"/>
      <c r="K20" s="6962">
        <f t="shared" ref="K20:M20" si="5">SUM(K17:K19)</f>
        <v>2160</v>
      </c>
      <c r="L20" s="6962">
        <f t="shared" si="5"/>
        <v>2160</v>
      </c>
      <c r="M20" s="6962">
        <f t="shared" si="5"/>
        <v>2160</v>
      </c>
    </row>
    <row r="21" spans="1:16" ht="15" hidden="1" customHeight="1" x14ac:dyDescent="0.25">
      <c r="A21" s="3399"/>
      <c r="B21" s="8036"/>
      <c r="C21" s="6954" t="s">
        <v>1765</v>
      </c>
      <c r="D21" s="6962">
        <f t="shared" ref="D21:E21" si="6">D20+D16+D8+D12</f>
        <v>8760</v>
      </c>
      <c r="E21" s="6962">
        <f t="shared" si="6"/>
        <v>8760</v>
      </c>
      <c r="F21" s="6956"/>
      <c r="G21" s="6962">
        <f>G20+G16+G8+G12</f>
        <v>8760</v>
      </c>
      <c r="H21" s="6962"/>
      <c r="I21" s="6962">
        <f>I20+I16+I8+I12</f>
        <v>26280</v>
      </c>
      <c r="J21" s="6956"/>
      <c r="K21" s="6962">
        <f t="shared" ref="K21:M21" si="7">K20+K16+K8+K12</f>
        <v>8760</v>
      </c>
      <c r="L21" s="6962">
        <f t="shared" si="7"/>
        <v>8760</v>
      </c>
      <c r="M21" s="6963">
        <f t="shared" si="7"/>
        <v>8760</v>
      </c>
    </row>
    <row r="22" spans="1:16" x14ac:dyDescent="0.25">
      <c r="A22" s="3399"/>
      <c r="B22" s="6946"/>
      <c r="C22" s="6947"/>
      <c r="D22" s="6946"/>
      <c r="E22" s="6946"/>
      <c r="F22" s="6964"/>
      <c r="G22" s="6946"/>
      <c r="H22" s="6946"/>
      <c r="I22" s="6946"/>
      <c r="J22" s="6964"/>
      <c r="K22" s="6946"/>
      <c r="L22" s="6946"/>
      <c r="M22" s="6946"/>
    </row>
    <row r="23" spans="1:16" x14ac:dyDescent="0.25">
      <c r="A23" s="3399"/>
      <c r="B23" s="6946"/>
      <c r="C23" s="6950"/>
      <c r="D23" s="6946"/>
      <c r="E23" s="6946"/>
      <c r="F23" s="6964"/>
      <c r="G23" s="6946"/>
      <c r="H23" s="6946"/>
      <c r="I23" s="6946"/>
      <c r="J23" s="6964"/>
      <c r="K23" s="6946"/>
      <c r="L23" s="6946"/>
      <c r="M23" s="6946"/>
    </row>
    <row r="24" spans="1:16" x14ac:dyDescent="0.25">
      <c r="A24" s="3399"/>
      <c r="B24" s="6946" t="s">
        <v>1840</v>
      </c>
      <c r="C24" s="6947" t="s">
        <v>1840</v>
      </c>
      <c r="D24" s="6948" t="s">
        <v>1841</v>
      </c>
      <c r="E24" s="6948" t="s">
        <v>1842</v>
      </c>
      <c r="F24" s="6965"/>
      <c r="G24" s="6948" t="s">
        <v>1843</v>
      </c>
      <c r="H24" s="6948"/>
      <c r="I24" s="6948" t="s">
        <v>1066</v>
      </c>
      <c r="J24" s="6965"/>
      <c r="K24" s="6948" t="s">
        <v>59</v>
      </c>
      <c r="L24" s="6948" t="s">
        <v>95</v>
      </c>
      <c r="M24" s="6948" t="s">
        <v>1303</v>
      </c>
    </row>
    <row r="25" spans="1:16" x14ac:dyDescent="0.25">
      <c r="A25" s="3399"/>
      <c r="B25" s="8036" t="s">
        <v>1849</v>
      </c>
      <c r="C25" s="6950">
        <v>45383</v>
      </c>
      <c r="D25" s="6951">
        <f>+D5-D66-D67</f>
        <v>699.5</v>
      </c>
      <c r="E25" s="6951">
        <f>+E5-E66-E67</f>
        <v>720</v>
      </c>
      <c r="F25" s="6946"/>
      <c r="G25" s="6951">
        <f>+G5-G66-G67</f>
        <v>720</v>
      </c>
      <c r="H25" s="6951"/>
      <c r="I25" s="6951">
        <f>+I5-I66-I67</f>
        <v>1596.71</v>
      </c>
      <c r="J25" s="6964"/>
      <c r="K25" s="6951">
        <f>+K5-K66-K67</f>
        <v>588.2166666666667</v>
      </c>
      <c r="L25" s="6951">
        <f>+L5-L66-L67</f>
        <v>636.9666666666667</v>
      </c>
      <c r="M25" s="6951">
        <f>+M5-M66-M67</f>
        <v>600.16666666666663</v>
      </c>
      <c r="N25" s="1222"/>
      <c r="O25" s="1222"/>
      <c r="P25" s="1222"/>
    </row>
    <row r="26" spans="1:16" x14ac:dyDescent="0.25">
      <c r="A26" s="3399"/>
      <c r="B26" s="8036"/>
      <c r="C26" s="6950">
        <v>45413</v>
      </c>
      <c r="D26" s="6951">
        <f>+D6-D88-D89</f>
        <v>689.34</v>
      </c>
      <c r="E26" s="6951">
        <f>+E6-E88-E89</f>
        <v>680.5</v>
      </c>
      <c r="F26" s="6952"/>
      <c r="G26" s="6951">
        <f>+G6-G88-G89</f>
        <v>705</v>
      </c>
      <c r="H26" s="6951"/>
      <c r="I26" s="6951">
        <f>+I6-I88-I89</f>
        <v>1565.47</v>
      </c>
      <c r="J26" s="6953"/>
      <c r="K26" s="6951">
        <f>+K6-K88-K89</f>
        <v>600.25</v>
      </c>
      <c r="L26" s="6951">
        <f>+L6-L88-L89</f>
        <v>625.13333333333333</v>
      </c>
      <c r="M26" s="6951">
        <f>+M6-M88-M89</f>
        <v>560.41666666666663</v>
      </c>
      <c r="N26" s="1222"/>
      <c r="O26" s="1222"/>
      <c r="P26" s="1222"/>
    </row>
    <row r="27" spans="1:16" x14ac:dyDescent="0.25">
      <c r="A27" s="3399"/>
      <c r="B27" s="8036"/>
      <c r="C27" s="6950">
        <v>45444</v>
      </c>
      <c r="D27" s="6966">
        <f>D7-D109-D110</f>
        <v>511</v>
      </c>
      <c r="E27" s="6966">
        <f>E7-E109-E110</f>
        <v>554.5</v>
      </c>
      <c r="F27" s="6966"/>
      <c r="G27" s="6966">
        <f>G7-G109-G110</f>
        <v>602.25</v>
      </c>
      <c r="H27" s="6966"/>
      <c r="I27" s="6966">
        <f>I7-I109-I110</f>
        <v>1733.12</v>
      </c>
      <c r="J27" s="6966"/>
      <c r="K27" s="6966">
        <f>K7-K109-K110</f>
        <v>584.98333333333335</v>
      </c>
      <c r="L27" s="6966">
        <f>L7-L109-L110</f>
        <v>463.98333333333335</v>
      </c>
      <c r="M27" s="6966">
        <f>M7-M109-M110</f>
        <v>417</v>
      </c>
    </row>
    <row r="28" spans="1:16" x14ac:dyDescent="0.25">
      <c r="A28" s="3399"/>
      <c r="B28" s="8036"/>
      <c r="C28" s="6954" t="s">
        <v>1845</v>
      </c>
      <c r="D28" s="6967">
        <f>SUM(D25:D27)</f>
        <v>1899.8400000000001</v>
      </c>
      <c r="E28" s="6967">
        <f>SUM(E25:E27)</f>
        <v>1955</v>
      </c>
      <c r="F28" s="6968"/>
      <c r="G28" s="6967">
        <f>SUM(G25:G27)</f>
        <v>2027.25</v>
      </c>
      <c r="H28" s="6967"/>
      <c r="I28" s="6967">
        <f>SUM(I25:I27)</f>
        <v>4895.3</v>
      </c>
      <c r="J28" s="6968"/>
      <c r="K28" s="6967">
        <f t="shared" ref="K28:M28" si="8">SUM(K25:K27)</f>
        <v>1773.45</v>
      </c>
      <c r="L28" s="6967">
        <f t="shared" si="8"/>
        <v>1726.0833333333333</v>
      </c>
      <c r="M28" s="6967">
        <f t="shared" si="8"/>
        <v>1577.5833333333333</v>
      </c>
    </row>
    <row r="29" spans="1:16" ht="15" hidden="1" customHeight="1" x14ac:dyDescent="0.25">
      <c r="A29" s="3399"/>
      <c r="B29" s="8036"/>
      <c r="C29" s="6950">
        <v>45474</v>
      </c>
      <c r="D29" s="6966">
        <f>D9-D131-D132</f>
        <v>733.5</v>
      </c>
      <c r="E29" s="6966">
        <f>E9-E131-E132</f>
        <v>732</v>
      </c>
      <c r="F29" s="6966"/>
      <c r="G29" s="6966">
        <f>G9-G131-G132</f>
        <v>744</v>
      </c>
      <c r="H29" s="6966"/>
      <c r="I29" s="6966">
        <f>I9-I131-I132</f>
        <v>1683.29</v>
      </c>
      <c r="J29" s="6966"/>
      <c r="K29" s="6966">
        <f>K9-K131-K132</f>
        <v>606.31666666666661</v>
      </c>
      <c r="L29" s="6966">
        <f>L9-L131-L132</f>
        <v>631.9</v>
      </c>
      <c r="M29" s="6969">
        <f>M9-M131-M132</f>
        <v>574</v>
      </c>
    </row>
    <row r="30" spans="1:16" ht="15" hidden="1" customHeight="1" x14ac:dyDescent="0.25">
      <c r="A30" s="3399"/>
      <c r="B30" s="8036"/>
      <c r="C30" s="6950">
        <v>45505</v>
      </c>
      <c r="D30" s="6970">
        <f>+D10-D153-D154</f>
        <v>711.75</v>
      </c>
      <c r="E30" s="6970">
        <f>+E10-E153-E154</f>
        <v>708.33</v>
      </c>
      <c r="F30" s="6970"/>
      <c r="G30" s="6970">
        <f>+G10-G153-G154</f>
        <v>720</v>
      </c>
      <c r="H30" s="6970"/>
      <c r="I30" s="6970">
        <f>+I10-I153-I154</f>
        <v>1639.95</v>
      </c>
      <c r="J30" s="6970"/>
      <c r="K30" s="6970">
        <f>+K10-K153-K154</f>
        <v>635.20000000000005</v>
      </c>
      <c r="L30" s="6970">
        <f>+L10-L153-L154</f>
        <v>627.91666666666663</v>
      </c>
      <c r="M30" s="6970">
        <f>+M10-M153-M154</f>
        <v>572.83333333333337</v>
      </c>
    </row>
    <row r="31" spans="1:16" ht="15" hidden="1" customHeight="1" x14ac:dyDescent="0.25">
      <c r="A31" s="3401"/>
      <c r="B31" s="8036"/>
      <c r="C31" s="6950">
        <v>45536</v>
      </c>
      <c r="D31" s="6970">
        <f>D11-D175-D176</f>
        <v>702</v>
      </c>
      <c r="E31" s="6970">
        <f>E11-E175-E176</f>
        <v>704</v>
      </c>
      <c r="F31" s="6970"/>
      <c r="G31" s="6970">
        <f>G11-G175-G176</f>
        <v>720</v>
      </c>
      <c r="H31" s="6970"/>
      <c r="I31" s="6970">
        <f>I11-I175-I176</f>
        <v>1612.45</v>
      </c>
      <c r="J31" s="6970"/>
      <c r="K31" s="6970">
        <f>K11-K175-K176</f>
        <v>598.06666666666661</v>
      </c>
      <c r="L31" s="6970">
        <f>L11-L175-L176</f>
        <v>629.15</v>
      </c>
      <c r="M31" s="6970">
        <f>M11-M175-M176</f>
        <v>572.91666666666663</v>
      </c>
    </row>
    <row r="32" spans="1:16" ht="15" hidden="1" customHeight="1" x14ac:dyDescent="0.25">
      <c r="A32" s="3399"/>
      <c r="B32" s="8036"/>
      <c r="C32" s="6954" t="s">
        <v>1846</v>
      </c>
      <c r="D32" s="6971">
        <f>SUM(D29:D31)</f>
        <v>2147.25</v>
      </c>
      <c r="E32" s="6971">
        <f t="shared" ref="E32:M32" si="9">SUM(E29:E31)</f>
        <v>2144.33</v>
      </c>
      <c r="F32" s="6971"/>
      <c r="G32" s="6971">
        <f t="shared" si="9"/>
        <v>2184</v>
      </c>
      <c r="H32" s="6971"/>
      <c r="I32" s="6971">
        <f t="shared" si="9"/>
        <v>4935.6899999999996</v>
      </c>
      <c r="J32" s="6971"/>
      <c r="K32" s="6971">
        <f t="shared" si="9"/>
        <v>1839.5833333333333</v>
      </c>
      <c r="L32" s="6971">
        <f t="shared" si="9"/>
        <v>1888.9666666666667</v>
      </c>
      <c r="M32" s="6971">
        <f t="shared" si="9"/>
        <v>1719.75</v>
      </c>
    </row>
    <row r="33" spans="1:16" ht="15" hidden="1" customHeight="1" x14ac:dyDescent="0.25">
      <c r="A33" s="3401"/>
      <c r="B33" s="8036"/>
      <c r="C33" s="6950">
        <v>45566</v>
      </c>
      <c r="D33" s="6966">
        <f>D13-D198-D199</f>
        <v>709.58</v>
      </c>
      <c r="E33" s="6966">
        <f>E13-E198-E199</f>
        <v>740.5</v>
      </c>
      <c r="F33" s="6972"/>
      <c r="G33" s="6966">
        <f>G13-G198-G199</f>
        <v>719.17</v>
      </c>
      <c r="H33" s="6966"/>
      <c r="I33" s="6966">
        <f>I13-I198-I199</f>
        <v>1654.02</v>
      </c>
      <c r="J33" s="6972"/>
      <c r="K33" s="6966">
        <f>K13-K198-K199</f>
        <v>626.51666666666665</v>
      </c>
      <c r="L33" s="6966">
        <f>L13-L198-L199</f>
        <v>662.31666666666661</v>
      </c>
      <c r="M33" s="6966">
        <f>M13-M198-M199</f>
        <v>595.91666666666663</v>
      </c>
    </row>
    <row r="34" spans="1:16" ht="15" hidden="1" customHeight="1" x14ac:dyDescent="0.25">
      <c r="A34" s="3399"/>
      <c r="B34" s="8036"/>
      <c r="C34" s="6950">
        <v>45597</v>
      </c>
      <c r="D34" s="6966">
        <f>D14-D221-D222</f>
        <v>97</v>
      </c>
      <c r="E34" s="6966">
        <f>E14-E221-E222</f>
        <v>56.5</v>
      </c>
      <c r="F34" s="6966"/>
      <c r="G34" s="6966">
        <f>G14-G221-G222</f>
        <v>69</v>
      </c>
      <c r="H34" s="6966"/>
      <c r="I34" s="6966">
        <f>I14-I221-I222</f>
        <v>116.55000000000018</v>
      </c>
      <c r="J34" s="6966"/>
      <c r="K34" s="6966">
        <f>K14-K221-K222</f>
        <v>321.49999999999994</v>
      </c>
      <c r="L34" s="6966">
        <f>L14-L221-L222</f>
        <v>41.350000000000023</v>
      </c>
      <c r="M34" s="6966">
        <f>M14-M221-M222</f>
        <v>157.58333333333337</v>
      </c>
    </row>
    <row r="35" spans="1:16" ht="15" hidden="1" customHeight="1" x14ac:dyDescent="0.25">
      <c r="A35" s="3399"/>
      <c r="B35" s="8036"/>
      <c r="C35" s="6950">
        <v>45627</v>
      </c>
      <c r="D35" s="6966">
        <f>D15-D244-D245</f>
        <v>744</v>
      </c>
      <c r="E35" s="6966">
        <f>E15-E244-E245</f>
        <v>688</v>
      </c>
      <c r="F35" s="6966"/>
      <c r="G35" s="6966">
        <f>G15-G244-G245</f>
        <v>738</v>
      </c>
      <c r="H35" s="6966"/>
      <c r="I35" s="6966">
        <f>I15-I244-I245</f>
        <v>1620.7</v>
      </c>
      <c r="J35" s="6966"/>
      <c r="K35" s="6966">
        <f>K15-K244-K245</f>
        <v>614.58333333333337</v>
      </c>
      <c r="L35" s="6966">
        <f>L15-L244-L245</f>
        <v>657.2</v>
      </c>
      <c r="M35" s="6966">
        <f>M15-M244-M245</f>
        <v>554.91666666666663</v>
      </c>
    </row>
    <row r="36" spans="1:16" ht="15" hidden="1" customHeight="1" x14ac:dyDescent="0.25">
      <c r="A36" s="3399"/>
      <c r="B36" s="8036"/>
      <c r="C36" s="6954" t="s">
        <v>1847</v>
      </c>
      <c r="D36" s="6967">
        <f>D33+D35+D34</f>
        <v>1550.58</v>
      </c>
      <c r="E36" s="6967">
        <f t="shared" ref="E36:M36" si="10">E33+E35+E34</f>
        <v>1485</v>
      </c>
      <c r="F36" s="6967"/>
      <c r="G36" s="6967">
        <f t="shared" si="10"/>
        <v>1526.17</v>
      </c>
      <c r="H36" s="6967"/>
      <c r="I36" s="6967">
        <f t="shared" si="10"/>
        <v>3391.2700000000004</v>
      </c>
      <c r="J36" s="6967"/>
      <c r="K36" s="6967">
        <f t="shared" si="10"/>
        <v>1562.6</v>
      </c>
      <c r="L36" s="6967">
        <f t="shared" si="10"/>
        <v>1360.8666666666668</v>
      </c>
      <c r="M36" s="6967">
        <f t="shared" si="10"/>
        <v>1308.4166666666665</v>
      </c>
    </row>
    <row r="37" spans="1:16" ht="15" hidden="1" customHeight="1" x14ac:dyDescent="0.25">
      <c r="A37" s="3399"/>
      <c r="B37" s="8036"/>
      <c r="C37" s="6950">
        <v>45658</v>
      </c>
      <c r="D37" s="6966">
        <f>D17-D266-D267</f>
        <v>689.5</v>
      </c>
      <c r="E37" s="6966">
        <f>E17-E266-E267</f>
        <v>701.92</v>
      </c>
      <c r="F37" s="6972"/>
      <c r="G37" s="6973">
        <f>G17-G266-G267</f>
        <v>711</v>
      </c>
      <c r="H37" s="6966"/>
      <c r="I37" s="6966">
        <f>I17-I266-I267</f>
        <v>1740.34</v>
      </c>
      <c r="J37" s="6966"/>
      <c r="K37" s="6966">
        <f>K17-K266-K267</f>
        <v>601.65</v>
      </c>
      <c r="L37" s="6966">
        <f>L17-L266-L267</f>
        <v>638.08333333333337</v>
      </c>
      <c r="M37" s="6966">
        <f>M17-M266-M267</f>
        <v>632.16666666666663</v>
      </c>
    </row>
    <row r="38" spans="1:16" ht="15" hidden="1" customHeight="1" x14ac:dyDescent="0.25">
      <c r="A38" s="3399"/>
      <c r="B38" s="8036"/>
      <c r="C38" s="6950">
        <v>45689</v>
      </c>
      <c r="D38" s="6966">
        <f>D18-D288-D289</f>
        <v>626</v>
      </c>
      <c r="E38" s="6966">
        <f>E18-E288-E289</f>
        <v>646</v>
      </c>
      <c r="F38" s="6966"/>
      <c r="G38" s="6966">
        <f>G18-G288-G289</f>
        <v>652.5</v>
      </c>
      <c r="H38" s="6966"/>
      <c r="I38" s="6966">
        <f>I18-I288-I289</f>
        <v>1567.22</v>
      </c>
      <c r="J38" s="6966"/>
      <c r="K38" s="6966">
        <f>K18-K288-K289</f>
        <v>553.41666666666663</v>
      </c>
      <c r="L38" s="6966">
        <f>L18-L288-L289</f>
        <v>591.20000000000005</v>
      </c>
      <c r="M38" s="6966">
        <f>M18-M288-M289</f>
        <v>541.25</v>
      </c>
      <c r="N38" s="1222"/>
      <c r="O38" s="1222"/>
      <c r="P38" s="1222"/>
    </row>
    <row r="39" spans="1:16" ht="15" hidden="1" customHeight="1" x14ac:dyDescent="0.25">
      <c r="A39" s="3399"/>
      <c r="B39" s="8036"/>
      <c r="C39" s="6950">
        <v>45717</v>
      </c>
      <c r="D39" s="6966">
        <f>D19-D310-D311</f>
        <v>744</v>
      </c>
      <c r="E39" s="6966">
        <f>E19-E310-E311</f>
        <v>744</v>
      </c>
      <c r="F39" s="6972"/>
      <c r="G39" s="6966">
        <f>G19-G310-G311</f>
        <v>727</v>
      </c>
      <c r="H39" s="6966"/>
      <c r="I39" s="6966">
        <f>I19-I310-I311</f>
        <v>1473.8200000000002</v>
      </c>
      <c r="J39" s="6972"/>
      <c r="K39" s="6966">
        <f>K19-K310-K311</f>
        <v>634.11666666666667</v>
      </c>
      <c r="L39" s="6966">
        <f>L19-L310-L311</f>
        <v>664.4</v>
      </c>
      <c r="M39" s="6966">
        <f>M19-M310-M311</f>
        <v>622.58333333333337</v>
      </c>
    </row>
    <row r="40" spans="1:16" ht="15" hidden="1" customHeight="1" x14ac:dyDescent="0.25">
      <c r="A40" s="3399"/>
      <c r="B40" s="8036"/>
      <c r="C40" s="6954" t="s">
        <v>1848</v>
      </c>
      <c r="D40" s="6967">
        <f t="shared" ref="D40:E40" si="11">SUM(D37:D39)</f>
        <v>2059.5</v>
      </c>
      <c r="E40" s="6967">
        <f t="shared" si="11"/>
        <v>2091.92</v>
      </c>
      <c r="F40" s="6974"/>
      <c r="G40" s="6967">
        <f>SUM(G37:G39)</f>
        <v>2090.5</v>
      </c>
      <c r="H40" s="6967"/>
      <c r="I40" s="6967">
        <f>SUM(I37:I39)</f>
        <v>4781.38</v>
      </c>
      <c r="J40" s="6974"/>
      <c r="K40" s="6967">
        <f t="shared" ref="K40:M40" si="12">SUM(K37:K39)</f>
        <v>1789.1833333333334</v>
      </c>
      <c r="L40" s="6967">
        <f t="shared" si="12"/>
        <v>1893.6833333333334</v>
      </c>
      <c r="M40" s="6967">
        <f t="shared" si="12"/>
        <v>1796</v>
      </c>
    </row>
    <row r="41" spans="1:16" ht="15" hidden="1" customHeight="1" x14ac:dyDescent="0.25">
      <c r="A41" s="3399"/>
      <c r="B41" s="8036"/>
      <c r="C41" s="6954" t="s">
        <v>1765</v>
      </c>
      <c r="D41" s="6967">
        <f t="shared" ref="D41:E41" si="13">D40+D36+D32+D28</f>
        <v>7657.17</v>
      </c>
      <c r="E41" s="6967">
        <f t="shared" si="13"/>
        <v>7676.25</v>
      </c>
      <c r="F41" s="6974"/>
      <c r="G41" s="6967">
        <f>G40+G36+G32+G28</f>
        <v>7827.92</v>
      </c>
      <c r="H41" s="6967"/>
      <c r="I41" s="6967">
        <f>I40+I36+I32+I28</f>
        <v>18003.64</v>
      </c>
      <c r="J41" s="6974"/>
      <c r="K41" s="6967">
        <f t="shared" ref="K41:M41" si="14">K40+K36+K32+K28</f>
        <v>6964.8166666666666</v>
      </c>
      <c r="L41" s="6967">
        <f t="shared" si="14"/>
        <v>6869.5999999999995</v>
      </c>
      <c r="M41" s="6967">
        <f t="shared" si="14"/>
        <v>6401.7499999999991</v>
      </c>
    </row>
    <row r="42" spans="1:16" x14ac:dyDescent="0.25">
      <c r="A42" s="3399"/>
      <c r="B42" s="6946"/>
      <c r="C42" s="6947"/>
      <c r="D42" s="6975"/>
      <c r="E42" s="6975"/>
      <c r="F42" s="6951"/>
      <c r="G42" s="6951"/>
      <c r="H42" s="6951"/>
      <c r="I42" s="6951"/>
      <c r="J42" s="6951"/>
      <c r="K42" s="6951"/>
      <c r="L42" s="6951"/>
      <c r="M42" s="6951"/>
      <c r="N42" s="26"/>
      <c r="O42" s="26"/>
      <c r="P42" s="26"/>
    </row>
    <row r="43" spans="1:16" x14ac:dyDescent="0.25">
      <c r="A43" s="3399"/>
      <c r="B43" s="6946"/>
      <c r="C43" s="6947"/>
      <c r="D43" s="6951"/>
      <c r="E43" s="6951"/>
      <c r="F43" s="6951"/>
      <c r="G43" s="6951"/>
      <c r="H43" s="6951"/>
      <c r="I43" s="6951"/>
      <c r="J43" s="6951"/>
      <c r="K43" s="6951"/>
      <c r="L43" s="6951"/>
      <c r="M43" s="6951"/>
    </row>
    <row r="44" spans="1:16" x14ac:dyDescent="0.25">
      <c r="A44" s="3399"/>
      <c r="B44" s="6946" t="s">
        <v>1840</v>
      </c>
      <c r="C44" s="6947" t="s">
        <v>1840</v>
      </c>
      <c r="D44" s="6948" t="s">
        <v>1841</v>
      </c>
      <c r="E44" s="6948" t="s">
        <v>1842</v>
      </c>
      <c r="F44" s="6948"/>
      <c r="G44" s="6948" t="s">
        <v>1843</v>
      </c>
      <c r="H44" s="6948"/>
      <c r="I44" s="6948" t="s">
        <v>1066</v>
      </c>
      <c r="J44" s="6948"/>
      <c r="K44" s="6976" t="s">
        <v>59</v>
      </c>
      <c r="L44" s="6976" t="s">
        <v>95</v>
      </c>
      <c r="M44" s="6976" t="s">
        <v>1303</v>
      </c>
    </row>
    <row r="45" spans="1:16" x14ac:dyDescent="0.25">
      <c r="A45" s="3399"/>
      <c r="B45" s="8036" t="s">
        <v>1850</v>
      </c>
      <c r="C45" s="6950">
        <v>45383</v>
      </c>
      <c r="D45" s="6951">
        <f t="shared" ref="D45:M45" si="15">+D25-SUM(D68:D85)</f>
        <v>682.59</v>
      </c>
      <c r="E45" s="6951">
        <f t="shared" si="15"/>
        <v>681.76</v>
      </c>
      <c r="F45" s="6951"/>
      <c r="G45" s="6977">
        <f>+G25-SUM(G68:G85)</f>
        <v>720</v>
      </c>
      <c r="H45" s="6951"/>
      <c r="I45" s="6951">
        <f t="shared" si="15"/>
        <v>1533.97</v>
      </c>
      <c r="J45" s="6951"/>
      <c r="K45" s="6951">
        <f t="shared" si="15"/>
        <v>514.30000000000007</v>
      </c>
      <c r="L45" s="6951">
        <f t="shared" si="15"/>
        <v>537.85</v>
      </c>
      <c r="M45" s="6951">
        <f t="shared" si="15"/>
        <v>514</v>
      </c>
    </row>
    <row r="46" spans="1:16" x14ac:dyDescent="0.25">
      <c r="A46" s="3399"/>
      <c r="B46" s="8036"/>
      <c r="C46" s="6950">
        <v>45413</v>
      </c>
      <c r="D46" s="6951">
        <f>+D26-SUM(D90:D107)</f>
        <v>652.84</v>
      </c>
      <c r="E46" s="6951">
        <f>+E26-SUM(E90:E107)</f>
        <v>646.91</v>
      </c>
      <c r="F46" s="6951"/>
      <c r="G46" s="6977">
        <f>+G26-SUM(G90:G107)</f>
        <v>705</v>
      </c>
      <c r="H46" s="6951"/>
      <c r="I46" s="6951">
        <f>+I26-SUM(I90:I107)</f>
        <v>1375.38</v>
      </c>
      <c r="J46" s="6951"/>
      <c r="K46" s="6951">
        <f>+K26-SUM(K90:K107)</f>
        <v>537.86666666666667</v>
      </c>
      <c r="L46" s="6951">
        <f>+L26-SUM(L90:L107)</f>
        <v>493.79999999999995</v>
      </c>
      <c r="M46" s="6951">
        <f>+M26-SUM(M90:M107)</f>
        <v>473.91666666666663</v>
      </c>
    </row>
    <row r="47" spans="1:16" x14ac:dyDescent="0.25">
      <c r="A47" s="3399"/>
      <c r="B47" s="8036"/>
      <c r="C47" s="6950">
        <v>45444</v>
      </c>
      <c r="D47" s="6966">
        <f>D27-SUM(D111:D128)</f>
        <v>491.96</v>
      </c>
      <c r="E47" s="6966">
        <f>E27-SUM(E111:E128)</f>
        <v>541.91999999999996</v>
      </c>
      <c r="F47" s="6966"/>
      <c r="G47" s="6973">
        <f>G27-SUM(G111:G128)</f>
        <v>602.25</v>
      </c>
      <c r="H47" s="6966"/>
      <c r="I47" s="6966">
        <f>I27-SUM(I111:I128)</f>
        <v>1051.7999999999997</v>
      </c>
      <c r="J47" s="6966"/>
      <c r="K47" s="6966">
        <f>K27-SUM(K111:K128)</f>
        <v>502.36666666666667</v>
      </c>
      <c r="L47" s="6966">
        <f>L27-SUM(L111:L128)</f>
        <v>389.08333333333337</v>
      </c>
      <c r="M47" s="6966">
        <f>M27-SUM(M111:M128)</f>
        <v>325.33333333333331</v>
      </c>
      <c r="N47" s="26"/>
    </row>
    <row r="48" spans="1:16" x14ac:dyDescent="0.25">
      <c r="A48" s="3399"/>
      <c r="B48" s="8036"/>
      <c r="C48" s="6954" t="s">
        <v>1845</v>
      </c>
      <c r="D48" s="6967">
        <f>SUM(D45:D47)</f>
        <v>1827.39</v>
      </c>
      <c r="E48" s="6967">
        <f t="shared" ref="E48:M48" si="16">SUM(E45:E47)</f>
        <v>1870.5900000000001</v>
      </c>
      <c r="F48" s="6967"/>
      <c r="G48" s="6967">
        <f t="shared" si="16"/>
        <v>2027.25</v>
      </c>
      <c r="H48" s="6967"/>
      <c r="I48" s="6967">
        <f t="shared" si="16"/>
        <v>3961.15</v>
      </c>
      <c r="J48" s="6967"/>
      <c r="K48" s="6967">
        <f t="shared" si="16"/>
        <v>1554.5333333333333</v>
      </c>
      <c r="L48" s="6967">
        <f t="shared" si="16"/>
        <v>1420.7333333333336</v>
      </c>
      <c r="M48" s="6967">
        <f t="shared" si="16"/>
        <v>1313.25</v>
      </c>
    </row>
    <row r="49" spans="1:19" x14ac:dyDescent="0.25">
      <c r="A49" s="3399"/>
      <c r="B49" s="8036"/>
      <c r="C49" s="6950">
        <v>45474</v>
      </c>
      <c r="D49" s="6966">
        <f>D29-SUM(D133:D150)</f>
        <v>705.84</v>
      </c>
      <c r="E49" s="6966">
        <f>E29-SUM(E133:E150)</f>
        <v>720.87</v>
      </c>
      <c r="F49" s="6966"/>
      <c r="G49" s="6966">
        <f>G29-SUM(G133:G150)</f>
        <v>726</v>
      </c>
      <c r="H49" s="6966"/>
      <c r="I49" s="6966">
        <f>I29-SUM(I133:I150)</f>
        <v>1606.1299999999999</v>
      </c>
      <c r="J49" s="6966"/>
      <c r="K49" s="6966">
        <f>K29-SUM(K133:K150)</f>
        <v>521.79999999999995</v>
      </c>
      <c r="L49" s="6966">
        <f>L29-SUM(L133:L150)</f>
        <v>552.83333333333326</v>
      </c>
      <c r="M49" s="6966">
        <f>M29-SUM(M133:M150)</f>
        <v>492.58333333333337</v>
      </c>
    </row>
    <row r="50" spans="1:19" x14ac:dyDescent="0.25">
      <c r="A50" s="3399"/>
      <c r="B50" s="8036"/>
      <c r="C50" s="6950">
        <v>45505</v>
      </c>
      <c r="D50" s="6970">
        <f>+D30-SUM(D155:D172)</f>
        <v>662.34</v>
      </c>
      <c r="E50" s="6970">
        <f>+E30-SUM(E155:E172)</f>
        <v>682.18000000000006</v>
      </c>
      <c r="F50" s="6970"/>
      <c r="G50" s="6970">
        <f>+G30-SUM(G155:G172)</f>
        <v>710</v>
      </c>
      <c r="H50" s="6970"/>
      <c r="I50" s="6970">
        <f>+I30-SUM(I155:I172)</f>
        <v>1534.45</v>
      </c>
      <c r="J50" s="6970"/>
      <c r="K50" s="6970">
        <f>+K30-SUM(K155:K172)</f>
        <v>578.90000000000009</v>
      </c>
      <c r="L50" s="6970">
        <f>+L30-SUM(L155:L172)</f>
        <v>559.76666666666665</v>
      </c>
      <c r="M50" s="6970">
        <f>+M30-SUM(M155:M172)</f>
        <v>422.58333333333337</v>
      </c>
    </row>
    <row r="51" spans="1:19" x14ac:dyDescent="0.25">
      <c r="A51" s="3399"/>
      <c r="B51" s="8036"/>
      <c r="C51" s="6950">
        <v>45536</v>
      </c>
      <c r="D51" s="6970">
        <f>D31-SUM(D177:D195)</f>
        <v>668.34</v>
      </c>
      <c r="E51" s="6970">
        <f>E31-SUM(E177:E195)</f>
        <v>659.58</v>
      </c>
      <c r="F51" s="6970"/>
      <c r="G51" s="6970">
        <f>G31-SUM(G177:G195)</f>
        <v>718</v>
      </c>
      <c r="H51" s="6970"/>
      <c r="I51" s="6970">
        <f>I31-SUM(I177:I195)</f>
        <v>1584.5900000000001</v>
      </c>
      <c r="J51" s="6970"/>
      <c r="K51" s="6970">
        <f>K31-SUM(K177:K195)</f>
        <v>536.68333333333328</v>
      </c>
      <c r="L51" s="6970">
        <f>L31-SUM(L177:L195)</f>
        <v>556.06666666666661</v>
      </c>
      <c r="M51" s="6970">
        <f>M31-SUM(M177:M195)</f>
        <v>511.41666666666663</v>
      </c>
    </row>
    <row r="52" spans="1:19" x14ac:dyDescent="0.25">
      <c r="A52" s="3399"/>
      <c r="B52" s="8036"/>
      <c r="C52" s="6954" t="s">
        <v>1846</v>
      </c>
      <c r="D52" s="6971">
        <f>SUM(D49:D51)</f>
        <v>2036.52</v>
      </c>
      <c r="E52" s="6971">
        <f t="shared" ref="E52:M52" si="17">SUM(E49:E51)</f>
        <v>2062.63</v>
      </c>
      <c r="F52" s="6971"/>
      <c r="G52" s="6971">
        <f t="shared" si="17"/>
        <v>2154</v>
      </c>
      <c r="H52" s="6971"/>
      <c r="I52" s="6971">
        <f t="shared" si="17"/>
        <v>4725.17</v>
      </c>
      <c r="J52" s="6971"/>
      <c r="K52" s="6971">
        <f t="shared" si="17"/>
        <v>1637.3833333333332</v>
      </c>
      <c r="L52" s="6971">
        <f t="shared" si="17"/>
        <v>1668.6666666666665</v>
      </c>
      <c r="M52" s="6971">
        <f t="shared" si="17"/>
        <v>1426.5833333333335</v>
      </c>
    </row>
    <row r="53" spans="1:19" x14ac:dyDescent="0.25">
      <c r="A53" s="3399"/>
      <c r="B53" s="8036"/>
      <c r="C53" s="6950">
        <v>45566</v>
      </c>
      <c r="D53" s="6966">
        <f>D33-SUM(D200:D218)</f>
        <v>667.98</v>
      </c>
      <c r="E53" s="6966">
        <f>E33-SUM(E200:E218)</f>
        <v>665.29</v>
      </c>
      <c r="F53" s="6972"/>
      <c r="G53" s="6966">
        <f>G33-SUM(G200:G218)</f>
        <v>719.17</v>
      </c>
      <c r="H53" s="6966"/>
      <c r="I53" s="6966">
        <f>I33-SUM(I200:I218)</f>
        <v>1522.4099999999999</v>
      </c>
      <c r="J53" s="6972"/>
      <c r="K53" s="6966">
        <f>K33-SUM(K200:K218)</f>
        <v>556.91666666666663</v>
      </c>
      <c r="L53" s="6966">
        <f>L33-SUM(L200:L218)</f>
        <v>527.96666666666658</v>
      </c>
      <c r="M53" s="6966">
        <f>M33-SUM(M200:M218)</f>
        <v>478.74999999999994</v>
      </c>
    </row>
    <row r="54" spans="1:19" x14ac:dyDescent="0.25">
      <c r="A54" s="3399"/>
      <c r="B54" s="8036"/>
      <c r="C54" s="6950">
        <v>45597</v>
      </c>
      <c r="D54" s="6966">
        <f>D34-SUM(D223:D240)</f>
        <v>66.75</v>
      </c>
      <c r="E54" s="6966">
        <f>E34-SUM(E223:E240)</f>
        <v>48.25</v>
      </c>
      <c r="F54" s="6972"/>
      <c r="G54" s="6966">
        <f>G34-SUM(G223:G240)</f>
        <v>69</v>
      </c>
      <c r="H54" s="6966"/>
      <c r="I54" s="6966">
        <f>I34-SUM(I223:I240)</f>
        <v>116.55000000000018</v>
      </c>
      <c r="J54" s="6972"/>
      <c r="K54" s="6966">
        <f>K34-SUM(K223:K240)</f>
        <v>264.64999999999992</v>
      </c>
      <c r="L54" s="6966">
        <f>L34-SUM(L223:L240)</f>
        <v>29.800000000000026</v>
      </c>
      <c r="M54" s="6966">
        <f>M34-SUM(M223:M240)</f>
        <v>138.08333333333337</v>
      </c>
    </row>
    <row r="55" spans="1:19" x14ac:dyDescent="0.25">
      <c r="A55" s="3399"/>
      <c r="B55" s="8036"/>
      <c r="C55" s="6950">
        <v>45627</v>
      </c>
      <c r="D55" s="6966">
        <f>D35-SUM(D246:D263)</f>
        <v>734</v>
      </c>
      <c r="E55" s="6966">
        <f>E35-SUM(E246:E263)</f>
        <v>682.84</v>
      </c>
      <c r="F55" s="6966"/>
      <c r="G55" s="6966">
        <f>G35-SUM(G246:G263)</f>
        <v>738</v>
      </c>
      <c r="H55" s="6966"/>
      <c r="I55" s="6966">
        <f>I35-SUM(I246:I263)</f>
        <v>1591.95</v>
      </c>
      <c r="J55" s="6966"/>
      <c r="K55" s="6966">
        <f>K35-SUM(K246:K263)</f>
        <v>514.88333333333333</v>
      </c>
      <c r="L55" s="6966">
        <f>L35-SUM(L246:L263)</f>
        <v>575.36666666666667</v>
      </c>
      <c r="M55" s="6966">
        <f>M35-SUM(M246:M263)</f>
        <v>414.58333333333326</v>
      </c>
      <c r="N55" s="1222"/>
    </row>
    <row r="56" spans="1:19" x14ac:dyDescent="0.25">
      <c r="A56" s="3399"/>
      <c r="B56" s="8036"/>
      <c r="C56" s="6954" t="s">
        <v>1847</v>
      </c>
      <c r="D56" s="6967">
        <f>D53+D54+D55</f>
        <v>1468.73</v>
      </c>
      <c r="E56" s="6967">
        <f t="shared" ref="E56:M56" si="18">E53+E54+E55</f>
        <v>1396.38</v>
      </c>
      <c r="F56" s="6967"/>
      <c r="G56" s="6967">
        <f t="shared" si="18"/>
        <v>1526.17</v>
      </c>
      <c r="H56" s="6967"/>
      <c r="I56" s="6978">
        <f t="shared" si="18"/>
        <v>3230.91</v>
      </c>
      <c r="J56" s="6967"/>
      <c r="K56" s="6967">
        <f t="shared" si="18"/>
        <v>1336.4499999999998</v>
      </c>
      <c r="L56" s="6967">
        <f t="shared" si="18"/>
        <v>1133.1333333333332</v>
      </c>
      <c r="M56" s="6967">
        <f t="shared" si="18"/>
        <v>1031.4166666666665</v>
      </c>
    </row>
    <row r="57" spans="1:19" ht="15" hidden="1" customHeight="1" x14ac:dyDescent="0.25">
      <c r="A57" s="3399"/>
      <c r="B57" s="8036"/>
      <c r="C57" s="6950">
        <v>45658</v>
      </c>
      <c r="D57" s="6966">
        <f>D37-SUM(D268:D285)</f>
        <v>665.08</v>
      </c>
      <c r="E57" s="6966">
        <f>E37-SUM(E268:E285)</f>
        <v>668.76</v>
      </c>
      <c r="F57" s="6979"/>
      <c r="G57" s="6966">
        <f>G37-SUM(G268:G285)</f>
        <v>711</v>
      </c>
      <c r="H57" s="6966"/>
      <c r="I57" s="6966">
        <f>I37-SUM(I268:I285)</f>
        <v>1633.08</v>
      </c>
      <c r="J57" s="6957"/>
      <c r="K57" s="6966">
        <f>K37-SUM(K268:K285)</f>
        <v>529.5333333333333</v>
      </c>
      <c r="L57" s="6966">
        <f>L37-SUM(L268:L285)</f>
        <v>556.86666666666667</v>
      </c>
      <c r="M57" s="6966">
        <f>M37-SUM(M268:M285)</f>
        <v>519.08333333333326</v>
      </c>
    </row>
    <row r="58" spans="1:19" ht="15" hidden="1" customHeight="1" x14ac:dyDescent="0.25">
      <c r="A58" s="3399"/>
      <c r="B58" s="8036"/>
      <c r="C58" s="6950">
        <v>45689</v>
      </c>
      <c r="D58" s="6966">
        <f>D38-(SUM(D290:D307))</f>
        <v>626</v>
      </c>
      <c r="E58" s="6966">
        <f>E38-(SUM(E290:E307))</f>
        <v>643.41999999999996</v>
      </c>
      <c r="F58" s="6966"/>
      <c r="G58" s="6966">
        <f>G38-(SUM(G290:G307))</f>
        <v>652.5</v>
      </c>
      <c r="H58" s="6966"/>
      <c r="I58" s="6966">
        <f>I38-(SUM(I290:I307))</f>
        <v>1429.17</v>
      </c>
      <c r="J58" s="6957"/>
      <c r="K58" s="6966">
        <f>K38-(SUM(K290:K307))</f>
        <v>494.95</v>
      </c>
      <c r="L58" s="6966">
        <f>L38-(SUM(L290:L307))</f>
        <v>501.31666666666672</v>
      </c>
      <c r="M58" s="6966">
        <f>M38-(SUM(M290:M307))</f>
        <v>477.25</v>
      </c>
    </row>
    <row r="59" spans="1:19" ht="15" hidden="1" customHeight="1" x14ac:dyDescent="0.25">
      <c r="A59" s="3399"/>
      <c r="B59" s="8036"/>
      <c r="C59" s="6950">
        <v>45717</v>
      </c>
      <c r="D59" s="6966">
        <f>D39-(SUM(D312:D330))</f>
        <v>704</v>
      </c>
      <c r="E59" s="6966">
        <f>E39-(SUM(E312:E330))</f>
        <v>715</v>
      </c>
      <c r="F59" s="6952"/>
      <c r="G59" s="6966">
        <f>G39-(SUM(G312:G330))</f>
        <v>725.5</v>
      </c>
      <c r="H59" s="6966"/>
      <c r="I59" s="6966">
        <f>I39-(SUM(I312:I330))</f>
        <v>1410.7200000000003</v>
      </c>
      <c r="J59" s="6952"/>
      <c r="K59" s="6966">
        <f>K39-(SUM(K312:K330))</f>
        <v>554.85</v>
      </c>
      <c r="L59" s="6966">
        <f>L39-(SUM(L312:L330))</f>
        <v>583.35</v>
      </c>
      <c r="M59" s="6966">
        <f>M39-(SUM(M312:M330))</f>
        <v>528.33333333333337</v>
      </c>
    </row>
    <row r="60" spans="1:19" ht="15" hidden="1" customHeight="1" x14ac:dyDescent="0.25">
      <c r="A60" s="3399"/>
      <c r="B60" s="8036"/>
      <c r="C60" s="6954" t="s">
        <v>1848</v>
      </c>
      <c r="D60" s="6967">
        <f t="shared" ref="D60:E60" si="19">SUM(D57:D59)</f>
        <v>1995.08</v>
      </c>
      <c r="E60" s="6967">
        <f t="shared" si="19"/>
        <v>2027.1799999999998</v>
      </c>
      <c r="F60" s="6974"/>
      <c r="G60" s="6967">
        <f>SUM(G57:G59)</f>
        <v>2089</v>
      </c>
      <c r="H60" s="6967"/>
      <c r="I60" s="6967">
        <f>SUM(I57:I59)</f>
        <v>4472.97</v>
      </c>
      <c r="J60" s="6974"/>
      <c r="K60" s="6967">
        <f t="shared" ref="K60:M60" si="20">SUM(K57:K59)</f>
        <v>1579.3333333333335</v>
      </c>
      <c r="L60" s="6967">
        <f t="shared" si="20"/>
        <v>1641.5333333333333</v>
      </c>
      <c r="M60" s="6967">
        <f t="shared" si="20"/>
        <v>1524.6666666666665</v>
      </c>
    </row>
    <row r="61" spans="1:19" x14ac:dyDescent="0.25">
      <c r="A61" s="3399"/>
      <c r="B61" s="8036"/>
      <c r="C61" s="6954" t="s">
        <v>1765</v>
      </c>
      <c r="D61" s="6967">
        <f t="shared" ref="D61:E61" si="21">D60+D56+D48+D52</f>
        <v>7327.7199999999993</v>
      </c>
      <c r="E61" s="6967">
        <f t="shared" si="21"/>
        <v>7356.78</v>
      </c>
      <c r="F61" s="6974"/>
      <c r="G61" s="6967">
        <f>G60+G56+G48+G52</f>
        <v>7796.42</v>
      </c>
      <c r="H61" s="6967"/>
      <c r="I61" s="6967">
        <f>I60+I56+I48+I52</f>
        <v>16390.2</v>
      </c>
      <c r="J61" s="6974"/>
      <c r="K61" s="6967">
        <f t="shared" ref="K61:M61" si="22">K60+K56+K48+K52</f>
        <v>6107.7</v>
      </c>
      <c r="L61" s="6967">
        <f t="shared" si="22"/>
        <v>5864.0666666666657</v>
      </c>
      <c r="M61" s="6967">
        <f t="shared" si="22"/>
        <v>5295.9166666666661</v>
      </c>
      <c r="O61" s="26"/>
      <c r="Q61" s="4713"/>
      <c r="R61" s="4713"/>
      <c r="S61" s="4713"/>
    </row>
    <row r="62" spans="1:19" x14ac:dyDescent="0.25">
      <c r="A62" s="3399"/>
      <c r="B62" s="6946"/>
      <c r="C62" s="6947"/>
      <c r="D62" s="6970"/>
      <c r="E62" s="6970"/>
      <c r="F62" s="6946"/>
      <c r="G62" s="6946"/>
      <c r="H62" s="6946"/>
      <c r="I62" s="6946"/>
      <c r="J62" s="6946"/>
      <c r="K62" s="6946"/>
      <c r="L62" s="6946"/>
      <c r="M62" s="6946"/>
    </row>
    <row r="63" spans="1:19" x14ac:dyDescent="0.25">
      <c r="A63" s="3399"/>
      <c r="B63" s="6946"/>
      <c r="C63" s="6947"/>
      <c r="D63" s="6946"/>
      <c r="E63" s="6946"/>
      <c r="F63" s="6946"/>
      <c r="G63" s="6946"/>
      <c r="H63" s="6946"/>
      <c r="I63" s="6946"/>
      <c r="J63" s="6946"/>
      <c r="K63" s="6946"/>
      <c r="L63" s="6946"/>
      <c r="M63" s="6946"/>
      <c r="N63" s="4713"/>
      <c r="O63" s="4713"/>
      <c r="P63" s="4713"/>
    </row>
    <row r="64" spans="1:19" x14ac:dyDescent="0.25">
      <c r="A64" s="3399"/>
      <c r="B64" s="6946"/>
      <c r="C64" s="6947" t="s">
        <v>1840</v>
      </c>
      <c r="D64" s="6948" t="s">
        <v>1841</v>
      </c>
      <c r="E64" s="6948" t="s">
        <v>1842</v>
      </c>
      <c r="F64" s="6948"/>
      <c r="G64" s="6948" t="s">
        <v>1843</v>
      </c>
      <c r="H64" s="6948"/>
      <c r="I64" s="6948" t="s">
        <v>1066</v>
      </c>
      <c r="J64" s="6948"/>
      <c r="K64" s="6948" t="s">
        <v>59</v>
      </c>
      <c r="L64" s="6948" t="s">
        <v>95</v>
      </c>
      <c r="M64" s="6948" t="s">
        <v>1303</v>
      </c>
    </row>
    <row r="65" spans="1:13" ht="15" customHeight="1" x14ac:dyDescent="0.25">
      <c r="A65" s="3399"/>
      <c r="B65" s="8037">
        <v>45383</v>
      </c>
      <c r="C65" s="6980"/>
      <c r="D65" s="6946"/>
      <c r="E65" s="6946"/>
      <c r="F65" s="6946"/>
      <c r="G65" s="6961" t="s">
        <v>1840</v>
      </c>
      <c r="H65" s="6961"/>
      <c r="I65" s="6946"/>
      <c r="J65" s="6948"/>
      <c r="K65" s="6948" t="s">
        <v>1840</v>
      </c>
      <c r="L65" s="6948" t="s">
        <v>1840</v>
      </c>
      <c r="M65" s="6948" t="s">
        <v>1840</v>
      </c>
    </row>
    <row r="66" spans="1:13" ht="15" customHeight="1" x14ac:dyDescent="0.25">
      <c r="A66" s="3399"/>
      <c r="B66" s="8037"/>
      <c r="C66" s="6981" t="s">
        <v>1851</v>
      </c>
      <c r="D66" s="6982">
        <v>20.5</v>
      </c>
      <c r="E66" s="6982"/>
      <c r="F66" s="6983"/>
      <c r="G66" s="6984">
        <v>0</v>
      </c>
      <c r="H66" s="6984"/>
      <c r="I66" s="6985">
        <v>563.29</v>
      </c>
      <c r="J66" s="6986"/>
      <c r="K66" s="6987">
        <v>131.78333333333333</v>
      </c>
      <c r="L66" s="6987">
        <v>83.033333333333331</v>
      </c>
      <c r="M66" s="6987">
        <v>119.83333333333333</v>
      </c>
    </row>
    <row r="67" spans="1:13" ht="15" customHeight="1" x14ac:dyDescent="0.25">
      <c r="A67" s="3399"/>
      <c r="B67" s="8037"/>
      <c r="C67" s="6981" t="s">
        <v>1852</v>
      </c>
      <c r="D67" s="6988"/>
      <c r="E67" s="6988"/>
      <c r="F67" s="6983"/>
      <c r="G67" s="6984">
        <v>0</v>
      </c>
      <c r="H67" s="6984"/>
      <c r="I67" s="6985">
        <v>0</v>
      </c>
      <c r="J67" s="6986"/>
      <c r="K67" s="6987"/>
      <c r="L67" s="6987"/>
      <c r="M67" s="6987"/>
    </row>
    <row r="68" spans="1:13" ht="15" customHeight="1" x14ac:dyDescent="0.25">
      <c r="A68" s="3399"/>
      <c r="B68" s="8037"/>
      <c r="C68" s="6981" t="s">
        <v>1853</v>
      </c>
      <c r="D68" s="6982"/>
      <c r="E68" s="6982">
        <v>2.33</v>
      </c>
      <c r="F68" s="6983"/>
      <c r="G68" s="6984"/>
      <c r="H68" s="6984"/>
      <c r="I68" s="6985">
        <v>6.5</v>
      </c>
      <c r="J68" s="6986"/>
      <c r="K68" s="6987">
        <v>16.183333333333334</v>
      </c>
      <c r="L68" s="6987">
        <v>54.266666666666666</v>
      </c>
      <c r="M68" s="6987">
        <v>5.666666666666667</v>
      </c>
    </row>
    <row r="69" spans="1:13" ht="15" customHeight="1" x14ac:dyDescent="0.25">
      <c r="A69" s="3399"/>
      <c r="B69" s="8037"/>
      <c r="C69" s="6981" t="s">
        <v>466</v>
      </c>
      <c r="D69" s="6988"/>
      <c r="E69" s="6988"/>
      <c r="F69" s="6983"/>
      <c r="G69" s="6984"/>
      <c r="H69" s="6984"/>
      <c r="I69" s="6985"/>
      <c r="J69" s="6986"/>
      <c r="K69" s="6989"/>
      <c r="L69" s="6989"/>
      <c r="M69" s="6989"/>
    </row>
    <row r="70" spans="1:13" ht="15" customHeight="1" x14ac:dyDescent="0.25">
      <c r="A70" s="3399"/>
      <c r="B70" s="8037"/>
      <c r="C70" s="6981" t="s">
        <v>1854</v>
      </c>
      <c r="D70" s="6988"/>
      <c r="E70" s="6988"/>
      <c r="F70" s="6983"/>
      <c r="G70" s="6984"/>
      <c r="H70" s="6984"/>
      <c r="I70" s="6985"/>
      <c r="J70" s="6986"/>
      <c r="K70" s="6989"/>
      <c r="L70" s="6989"/>
      <c r="M70" s="6989"/>
    </row>
    <row r="71" spans="1:13" ht="15" customHeight="1" x14ac:dyDescent="0.25">
      <c r="A71" s="3399"/>
      <c r="B71" s="8037"/>
      <c r="C71" s="6981" t="s">
        <v>1855</v>
      </c>
      <c r="D71" s="6982">
        <v>7.15</v>
      </c>
      <c r="E71" s="6982">
        <v>17.420000000000002</v>
      </c>
      <c r="F71" s="6983"/>
      <c r="G71" s="6984"/>
      <c r="H71" s="6984"/>
      <c r="I71" s="6985">
        <v>17.36</v>
      </c>
      <c r="J71" s="6986"/>
      <c r="K71" s="6987">
        <v>29.016666666666666</v>
      </c>
      <c r="L71" s="6987">
        <v>33.06666666666667</v>
      </c>
      <c r="M71" s="6987">
        <v>26.916666666666668</v>
      </c>
    </row>
    <row r="72" spans="1:13" ht="15" customHeight="1" x14ac:dyDescent="0.25">
      <c r="A72" s="3399"/>
      <c r="B72" s="8037"/>
      <c r="C72" s="6981" t="s">
        <v>1856</v>
      </c>
      <c r="D72" s="6982">
        <v>1.25</v>
      </c>
      <c r="E72" s="6982">
        <v>0.74</v>
      </c>
      <c r="F72" s="6983"/>
      <c r="G72" s="6984"/>
      <c r="H72" s="6984"/>
      <c r="I72" s="6985">
        <v>8</v>
      </c>
      <c r="J72" s="6986"/>
      <c r="K72" s="6987">
        <v>11.016666666666667</v>
      </c>
      <c r="L72" s="6987">
        <v>4.7833333333333332</v>
      </c>
      <c r="M72" s="6987">
        <v>21.583333333333332</v>
      </c>
    </row>
    <row r="73" spans="1:13" ht="15" customHeight="1" x14ac:dyDescent="0.25">
      <c r="A73" s="3399"/>
      <c r="B73" s="8037"/>
      <c r="C73" s="6981" t="s">
        <v>1857</v>
      </c>
      <c r="D73" s="6982">
        <v>1</v>
      </c>
      <c r="E73" s="6982">
        <v>2.5</v>
      </c>
      <c r="F73" s="6983"/>
      <c r="G73" s="6984"/>
      <c r="H73" s="6984"/>
      <c r="I73" s="6985"/>
      <c r="J73" s="6986"/>
      <c r="K73" s="6990"/>
      <c r="L73" s="6990"/>
      <c r="M73" s="6990"/>
    </row>
    <row r="74" spans="1:13" ht="15" customHeight="1" x14ac:dyDescent="0.25">
      <c r="A74" s="3399"/>
      <c r="B74" s="8037"/>
      <c r="C74" s="6981" t="s">
        <v>1858</v>
      </c>
      <c r="D74" s="6982">
        <v>7.51</v>
      </c>
      <c r="E74" s="6982">
        <v>7.67</v>
      </c>
      <c r="F74" s="6983"/>
      <c r="G74" s="6984"/>
      <c r="H74" s="6984"/>
      <c r="I74" s="6985"/>
      <c r="J74" s="6986"/>
      <c r="K74" s="6990"/>
      <c r="L74" s="6990"/>
      <c r="M74" s="6990"/>
    </row>
    <row r="75" spans="1:13" ht="15" customHeight="1" x14ac:dyDescent="0.25">
      <c r="A75" s="3399"/>
      <c r="B75" s="8037"/>
      <c r="C75" s="6981" t="s">
        <v>1859</v>
      </c>
      <c r="D75" s="6982"/>
      <c r="E75" s="6982"/>
      <c r="F75" s="6983"/>
      <c r="G75" s="6984"/>
      <c r="H75" s="6984"/>
      <c r="I75" s="6985"/>
      <c r="J75" s="6986"/>
      <c r="K75" s="6990"/>
      <c r="L75" s="6990"/>
      <c r="M75" s="6990"/>
    </row>
    <row r="76" spans="1:13" ht="15" customHeight="1" x14ac:dyDescent="0.25">
      <c r="A76" s="3399"/>
      <c r="B76" s="8037"/>
      <c r="C76" s="6981" t="s">
        <v>1860</v>
      </c>
      <c r="D76" s="6982"/>
      <c r="E76" s="6982"/>
      <c r="F76" s="6983"/>
      <c r="G76" s="6984"/>
      <c r="H76" s="6984"/>
      <c r="I76" s="6985">
        <v>9.57</v>
      </c>
      <c r="J76" s="6986"/>
      <c r="K76" s="6987">
        <v>17.116666666666667</v>
      </c>
      <c r="L76" s="6987">
        <v>6.333333333333333</v>
      </c>
      <c r="M76" s="6987">
        <v>28.833333333333332</v>
      </c>
    </row>
    <row r="77" spans="1:13" ht="15" customHeight="1" x14ac:dyDescent="0.25">
      <c r="A77" s="3399"/>
      <c r="B77" s="8037"/>
      <c r="C77" s="6981" t="s">
        <v>1861</v>
      </c>
      <c r="D77" s="6982"/>
      <c r="E77" s="6982">
        <v>6</v>
      </c>
      <c r="F77" s="6983"/>
      <c r="G77" s="6984"/>
      <c r="H77" s="6984"/>
      <c r="I77" s="6985"/>
      <c r="J77" s="6986"/>
      <c r="K77" s="6987">
        <v>0.58333333333333337</v>
      </c>
      <c r="L77" s="6987">
        <v>0.66666666666666663</v>
      </c>
      <c r="M77" s="6987">
        <v>3.1666666666666665</v>
      </c>
    </row>
    <row r="78" spans="1:13" ht="15" customHeight="1" x14ac:dyDescent="0.25">
      <c r="A78" s="3399"/>
      <c r="B78" s="8037"/>
      <c r="C78" s="6981" t="s">
        <v>1862</v>
      </c>
      <c r="D78" s="6982"/>
      <c r="E78" s="6982">
        <v>1.58</v>
      </c>
      <c r="F78" s="6983"/>
      <c r="G78" s="6984"/>
      <c r="H78" s="6984"/>
      <c r="I78" s="6985">
        <v>0.92</v>
      </c>
      <c r="J78" s="6986"/>
      <c r="K78" s="6991"/>
      <c r="L78" s="6991"/>
      <c r="M78" s="6991"/>
    </row>
    <row r="79" spans="1:13" ht="15" customHeight="1" x14ac:dyDescent="0.25">
      <c r="A79" s="3399"/>
      <c r="B79" s="8037"/>
      <c r="C79" s="6981" t="s">
        <v>1863</v>
      </c>
      <c r="D79" s="6982"/>
      <c r="E79" s="6982"/>
      <c r="F79" s="6983"/>
      <c r="G79" s="6984"/>
      <c r="H79" s="6984"/>
      <c r="I79" s="6985"/>
      <c r="J79" s="6986"/>
      <c r="K79" s="6991"/>
      <c r="L79" s="6991"/>
      <c r="M79" s="6991"/>
    </row>
    <row r="80" spans="1:13" ht="15" customHeight="1" x14ac:dyDescent="0.25">
      <c r="A80" s="3399"/>
      <c r="B80" s="8037"/>
      <c r="C80" s="6981" t="s">
        <v>1864</v>
      </c>
      <c r="D80" s="6983"/>
      <c r="E80" s="6983"/>
      <c r="F80" s="6983"/>
      <c r="G80" s="6984"/>
      <c r="H80" s="6984"/>
      <c r="I80" s="6985"/>
      <c r="J80" s="6986"/>
      <c r="K80" s="6991"/>
      <c r="L80" s="6991"/>
      <c r="M80" s="6991"/>
    </row>
    <row r="81" spans="1:13" ht="15" customHeight="1" x14ac:dyDescent="0.25">
      <c r="A81" s="3399"/>
      <c r="B81" s="8037"/>
      <c r="C81" s="6981" t="s">
        <v>82</v>
      </c>
      <c r="D81" s="6983"/>
      <c r="E81" s="6983"/>
      <c r="F81" s="6983"/>
      <c r="G81" s="6984"/>
      <c r="H81" s="6984"/>
      <c r="I81" s="6985"/>
      <c r="J81" s="6986"/>
      <c r="K81" s="6991"/>
      <c r="L81" s="6991"/>
      <c r="M81" s="6991"/>
    </row>
    <row r="82" spans="1:13" ht="15" customHeight="1" x14ac:dyDescent="0.25">
      <c r="A82" s="3399"/>
      <c r="B82" s="8037"/>
      <c r="C82" s="6981" t="s">
        <v>1865</v>
      </c>
      <c r="D82" s="6983"/>
      <c r="E82" s="6983"/>
      <c r="F82" s="6983"/>
      <c r="G82" s="6984"/>
      <c r="H82" s="6984"/>
      <c r="I82" s="6985">
        <v>5.14</v>
      </c>
      <c r="J82" s="6986"/>
      <c r="K82" s="6991"/>
      <c r="L82" s="6991"/>
      <c r="M82" s="6991"/>
    </row>
    <row r="83" spans="1:13" ht="15" customHeight="1" x14ac:dyDescent="0.25">
      <c r="A83" s="3399"/>
      <c r="B83" s="8037"/>
      <c r="C83" s="6981" t="s">
        <v>726</v>
      </c>
      <c r="D83" s="6989"/>
      <c r="E83" s="6989"/>
      <c r="F83" s="6983"/>
      <c r="G83" s="6984"/>
      <c r="H83" s="6984"/>
      <c r="I83" s="6985">
        <v>1.33</v>
      </c>
      <c r="J83" s="6986"/>
      <c r="K83" s="6991"/>
      <c r="L83" s="6991"/>
      <c r="M83" s="6991"/>
    </row>
    <row r="84" spans="1:13" ht="15" customHeight="1" x14ac:dyDescent="0.25">
      <c r="A84" s="3399"/>
      <c r="B84" s="8037"/>
      <c r="C84" s="6981" t="s">
        <v>58</v>
      </c>
      <c r="D84" s="6989"/>
      <c r="E84" s="6989"/>
      <c r="F84" s="6983"/>
      <c r="G84" s="6984"/>
      <c r="H84" s="6984"/>
      <c r="I84" s="6985">
        <v>7.25</v>
      </c>
      <c r="J84" s="6986"/>
      <c r="K84" s="6991"/>
      <c r="L84" s="6991"/>
      <c r="M84" s="6991"/>
    </row>
    <row r="85" spans="1:13" ht="15" customHeight="1" x14ac:dyDescent="0.25">
      <c r="A85" s="3399"/>
      <c r="B85" s="8037"/>
      <c r="C85" s="6981" t="s">
        <v>1866</v>
      </c>
      <c r="D85" s="6989"/>
      <c r="E85" s="6989"/>
      <c r="F85" s="6983"/>
      <c r="G85" s="6984"/>
      <c r="H85" s="6984"/>
      <c r="I85" s="6985">
        <v>6.67</v>
      </c>
      <c r="J85" s="6986"/>
      <c r="K85" s="6991"/>
      <c r="L85" s="6991"/>
      <c r="M85" s="6991"/>
    </row>
    <row r="86" spans="1:13" x14ac:dyDescent="0.25">
      <c r="A86" s="3399"/>
      <c r="B86" s="3403"/>
      <c r="C86" s="3404"/>
    </row>
    <row r="87" spans="1:13" ht="15" customHeight="1" x14ac:dyDescent="0.25">
      <c r="A87" s="3399"/>
      <c r="B87" s="8033">
        <v>45413</v>
      </c>
      <c r="C87" s="6980"/>
      <c r="D87" s="6948" t="s">
        <v>1841</v>
      </c>
      <c r="E87" s="6948" t="s">
        <v>1842</v>
      </c>
      <c r="F87" s="6992"/>
      <c r="G87" s="6948" t="s">
        <v>1843</v>
      </c>
      <c r="H87" s="6993"/>
      <c r="I87" s="6993" t="s">
        <v>1066</v>
      </c>
      <c r="J87" s="6948"/>
      <c r="K87" s="6948" t="s">
        <v>59</v>
      </c>
      <c r="L87" s="6948" t="s">
        <v>95</v>
      </c>
      <c r="M87" s="6948" t="s">
        <v>1303</v>
      </c>
    </row>
    <row r="88" spans="1:13" ht="15" customHeight="1" x14ac:dyDescent="0.25">
      <c r="A88" s="3399"/>
      <c r="B88" s="8033"/>
      <c r="C88" s="6981" t="s">
        <v>1851</v>
      </c>
      <c r="D88" s="6977">
        <v>54.66</v>
      </c>
      <c r="E88" s="6977">
        <v>63.5</v>
      </c>
      <c r="F88" s="6994"/>
      <c r="G88" s="6995">
        <v>24</v>
      </c>
      <c r="H88" s="6996"/>
      <c r="I88" s="6997">
        <v>666.53</v>
      </c>
      <c r="J88" s="6976"/>
      <c r="K88" s="6985">
        <v>143.75</v>
      </c>
      <c r="L88" s="6985">
        <v>118.86666666666666</v>
      </c>
      <c r="M88" s="6985">
        <v>183.58333333333334</v>
      </c>
    </row>
    <row r="89" spans="1:13" ht="15" customHeight="1" x14ac:dyDescent="0.25">
      <c r="A89" s="3399"/>
      <c r="B89" s="8033"/>
      <c r="C89" s="6981" t="s">
        <v>1852</v>
      </c>
      <c r="D89" s="6977"/>
      <c r="E89" s="6977"/>
      <c r="F89" s="6994"/>
      <c r="G89" s="6995">
        <v>15</v>
      </c>
      <c r="H89" s="6996"/>
      <c r="I89" s="6989"/>
      <c r="J89" s="6976"/>
      <c r="K89" s="6985"/>
      <c r="L89" s="6985"/>
      <c r="M89" s="6985"/>
    </row>
    <row r="90" spans="1:13" ht="15" customHeight="1" x14ac:dyDescent="0.25">
      <c r="A90" s="3399"/>
      <c r="B90" s="8033"/>
      <c r="C90" s="6981" t="s">
        <v>1853</v>
      </c>
      <c r="D90" s="6977"/>
      <c r="E90" s="6977">
        <v>0.92</v>
      </c>
      <c r="F90" s="6994"/>
      <c r="G90" s="6998"/>
      <c r="H90" s="6996"/>
      <c r="I90" s="6989"/>
      <c r="J90" s="6976"/>
      <c r="K90" s="6985">
        <v>12.15</v>
      </c>
      <c r="L90" s="6985">
        <v>41.466666666666669</v>
      </c>
      <c r="M90" s="6985">
        <v>9.0833333333333339</v>
      </c>
    </row>
    <row r="91" spans="1:13" ht="15" customHeight="1" x14ac:dyDescent="0.25">
      <c r="A91" s="3399"/>
      <c r="B91" s="8033"/>
      <c r="C91" s="6981" t="s">
        <v>466</v>
      </c>
      <c r="D91" s="6977"/>
      <c r="E91" s="6977"/>
      <c r="F91" s="6994"/>
      <c r="G91" s="6998"/>
      <c r="H91" s="6996"/>
      <c r="I91" s="6997"/>
      <c r="J91" s="6976"/>
      <c r="K91" s="6988"/>
      <c r="L91" s="6988"/>
      <c r="M91" s="6988"/>
    </row>
    <row r="92" spans="1:13" ht="15" customHeight="1" x14ac:dyDescent="0.25">
      <c r="A92" s="3399"/>
      <c r="B92" s="8033"/>
      <c r="C92" s="6981" t="s">
        <v>1854</v>
      </c>
      <c r="D92" s="6977"/>
      <c r="E92" s="6977"/>
      <c r="F92" s="6994"/>
      <c r="G92" s="6998"/>
      <c r="H92" s="6996"/>
      <c r="I92" s="6997"/>
      <c r="J92" s="6976"/>
      <c r="K92" s="6988"/>
      <c r="L92" s="6988"/>
      <c r="M92" s="6988"/>
    </row>
    <row r="93" spans="1:13" ht="15" customHeight="1" x14ac:dyDescent="0.25">
      <c r="A93" s="3399"/>
      <c r="B93" s="8033"/>
      <c r="C93" s="6981" t="s">
        <v>1855</v>
      </c>
      <c r="D93" s="6977">
        <v>3.67</v>
      </c>
      <c r="E93" s="6977">
        <v>0.33</v>
      </c>
      <c r="F93" s="6994"/>
      <c r="G93" s="6963"/>
      <c r="H93" s="6996"/>
      <c r="I93" s="6997">
        <v>7.08</v>
      </c>
      <c r="J93" s="6976"/>
      <c r="K93" s="6985">
        <v>24.916666666666668</v>
      </c>
      <c r="L93" s="6985">
        <v>37.68333333333333</v>
      </c>
      <c r="M93" s="6985">
        <v>34.333333333333336</v>
      </c>
    </row>
    <row r="94" spans="1:13" ht="15" customHeight="1" x14ac:dyDescent="0.25">
      <c r="A94" s="3399"/>
      <c r="B94" s="8033"/>
      <c r="C94" s="6981" t="s">
        <v>1856</v>
      </c>
      <c r="D94" s="6977"/>
      <c r="E94" s="6977">
        <v>0.42</v>
      </c>
      <c r="F94" s="6994"/>
      <c r="G94" s="6998"/>
      <c r="H94" s="6996"/>
      <c r="I94" s="6997"/>
      <c r="J94" s="6976"/>
      <c r="K94" s="6985">
        <v>5.05</v>
      </c>
      <c r="L94" s="6985">
        <v>15.65</v>
      </c>
      <c r="M94" s="6985">
        <v>17.916666666666668</v>
      </c>
    </row>
    <row r="95" spans="1:13" ht="15" customHeight="1" x14ac:dyDescent="0.25">
      <c r="A95" s="3399"/>
      <c r="B95" s="8033"/>
      <c r="C95" s="6981" t="s">
        <v>1857</v>
      </c>
      <c r="D95" s="6977"/>
      <c r="E95" s="6977">
        <v>0.17</v>
      </c>
      <c r="F95" s="6994"/>
      <c r="G95" s="6998"/>
      <c r="H95" s="6996"/>
      <c r="I95" s="6997"/>
      <c r="J95" s="6976"/>
      <c r="K95" s="6988"/>
      <c r="L95" s="6988"/>
      <c r="M95" s="6988"/>
    </row>
    <row r="96" spans="1:13" ht="15" customHeight="1" x14ac:dyDescent="0.25">
      <c r="A96" s="3399"/>
      <c r="B96" s="8033"/>
      <c r="C96" s="6981" t="s">
        <v>1858</v>
      </c>
      <c r="D96" s="6977">
        <v>30.91</v>
      </c>
      <c r="E96" s="6977">
        <v>30.58</v>
      </c>
      <c r="F96" s="6994"/>
      <c r="G96" s="6998"/>
      <c r="H96" s="6996"/>
      <c r="I96" s="6997"/>
      <c r="J96" s="6976"/>
      <c r="K96" s="6988"/>
      <c r="L96" s="6988"/>
      <c r="M96" s="6988"/>
    </row>
    <row r="97" spans="1:13" ht="15" customHeight="1" x14ac:dyDescent="0.25">
      <c r="A97" s="3399"/>
      <c r="B97" s="8033"/>
      <c r="C97" s="6981" t="s">
        <v>1859</v>
      </c>
      <c r="D97" s="6977"/>
      <c r="E97" s="6977"/>
      <c r="F97" s="6994"/>
      <c r="G97" s="6998"/>
      <c r="H97" s="6996"/>
      <c r="I97" s="6997"/>
      <c r="J97" s="6976"/>
      <c r="K97" s="6988"/>
      <c r="L97" s="6988"/>
      <c r="M97" s="6988"/>
    </row>
    <row r="98" spans="1:13" ht="15" customHeight="1" x14ac:dyDescent="0.25">
      <c r="A98" s="3399"/>
      <c r="B98" s="8033"/>
      <c r="C98" s="6981" t="s">
        <v>1860</v>
      </c>
      <c r="D98" s="6977"/>
      <c r="E98" s="6977"/>
      <c r="F98" s="6994"/>
      <c r="G98" s="6998"/>
      <c r="H98" s="6996"/>
      <c r="I98" s="6997">
        <v>2.0099999999999998</v>
      </c>
      <c r="J98" s="6976"/>
      <c r="K98" s="6985">
        <v>18.266666666666666</v>
      </c>
      <c r="L98" s="6985">
        <v>30.566666666666666</v>
      </c>
      <c r="M98" s="6985">
        <v>22.666666666666668</v>
      </c>
    </row>
    <row r="99" spans="1:13" ht="15" customHeight="1" x14ac:dyDescent="0.25">
      <c r="A99" s="3399"/>
      <c r="B99" s="8033"/>
      <c r="C99" s="6981" t="s">
        <v>1861</v>
      </c>
      <c r="D99" s="6977">
        <v>0.67</v>
      </c>
      <c r="E99" s="6977"/>
      <c r="F99" s="6994"/>
      <c r="G99" s="6998"/>
      <c r="H99" s="6996"/>
      <c r="I99" s="6997"/>
      <c r="J99" s="6976"/>
      <c r="K99" s="6985">
        <v>2</v>
      </c>
      <c r="L99" s="6985">
        <v>5.9666666666666668</v>
      </c>
      <c r="M99" s="6985">
        <v>2.5</v>
      </c>
    </row>
    <row r="100" spans="1:13" ht="15" customHeight="1" x14ac:dyDescent="0.25">
      <c r="A100" s="3399"/>
      <c r="B100" s="8033"/>
      <c r="C100" s="6981" t="s">
        <v>1862</v>
      </c>
      <c r="D100" s="6977"/>
      <c r="E100" s="6977">
        <v>0.17</v>
      </c>
      <c r="F100" s="6994"/>
      <c r="G100" s="6998"/>
      <c r="H100" s="6996"/>
      <c r="I100" s="6997">
        <v>1.5</v>
      </c>
      <c r="J100" s="6976"/>
      <c r="K100" s="6989"/>
      <c r="L100" s="6989"/>
      <c r="M100" s="6989"/>
    </row>
    <row r="101" spans="1:13" ht="15" customHeight="1" x14ac:dyDescent="0.25">
      <c r="A101" s="3399"/>
      <c r="B101" s="8033"/>
      <c r="C101" s="6981" t="s">
        <v>1863</v>
      </c>
      <c r="D101" s="6977"/>
      <c r="E101" s="6977"/>
      <c r="F101" s="6994"/>
      <c r="G101" s="6998"/>
      <c r="H101" s="6996"/>
      <c r="I101" s="6997"/>
      <c r="J101" s="6976"/>
      <c r="K101" s="6998"/>
      <c r="L101" s="6998"/>
      <c r="M101" s="6998"/>
    </row>
    <row r="102" spans="1:13" ht="15" customHeight="1" x14ac:dyDescent="0.25">
      <c r="A102" s="3399"/>
      <c r="B102" s="8033"/>
      <c r="C102" s="6981" t="s">
        <v>1864</v>
      </c>
      <c r="D102" s="6977">
        <v>1.25</v>
      </c>
      <c r="E102" s="6977">
        <v>1</v>
      </c>
      <c r="F102" s="6994"/>
      <c r="G102" s="6998"/>
      <c r="H102" s="6996"/>
      <c r="I102" s="6997"/>
      <c r="J102" s="6976"/>
      <c r="K102" s="6998"/>
      <c r="L102" s="6998"/>
      <c r="M102" s="6998"/>
    </row>
    <row r="103" spans="1:13" ht="15" customHeight="1" x14ac:dyDescent="0.25">
      <c r="A103" s="3399"/>
      <c r="B103" s="8033"/>
      <c r="C103" s="6981" t="s">
        <v>82</v>
      </c>
      <c r="D103" s="6977"/>
      <c r="E103" s="6985"/>
      <c r="F103" s="6994"/>
      <c r="G103" s="6998"/>
      <c r="H103" s="6996"/>
      <c r="I103" s="6997"/>
      <c r="J103" s="6976"/>
      <c r="K103" s="6998"/>
      <c r="L103" s="6998"/>
      <c r="M103" s="6998"/>
    </row>
    <row r="104" spans="1:13" ht="15" customHeight="1" x14ac:dyDescent="0.25">
      <c r="A104" s="3399"/>
      <c r="B104" s="8033"/>
      <c r="C104" s="6981" t="s">
        <v>1865</v>
      </c>
      <c r="D104" s="6977"/>
      <c r="E104" s="6990"/>
      <c r="F104" s="6994"/>
      <c r="G104" s="6998"/>
      <c r="H104" s="6996"/>
      <c r="I104" s="6997">
        <v>0.5</v>
      </c>
      <c r="J104" s="6976"/>
      <c r="K104" s="6998"/>
      <c r="L104" s="6998"/>
      <c r="M104" s="6998"/>
    </row>
    <row r="105" spans="1:13" ht="15" customHeight="1" x14ac:dyDescent="0.25">
      <c r="A105" s="3399"/>
      <c r="B105" s="8033"/>
      <c r="C105" s="6981" t="s">
        <v>726</v>
      </c>
      <c r="D105" s="6977"/>
      <c r="E105" s="6990"/>
      <c r="F105" s="6994"/>
      <c r="G105" s="6998"/>
      <c r="H105" s="6996"/>
      <c r="I105" s="6997"/>
      <c r="J105" s="6976"/>
      <c r="K105" s="6998"/>
      <c r="L105" s="6998"/>
      <c r="M105" s="6998"/>
    </row>
    <row r="106" spans="1:13" ht="15" customHeight="1" x14ac:dyDescent="0.25">
      <c r="A106" s="3399"/>
      <c r="B106" s="8033"/>
      <c r="C106" s="6981" t="s">
        <v>58</v>
      </c>
      <c r="D106" s="6977"/>
      <c r="E106" s="6990"/>
      <c r="F106" s="6994"/>
      <c r="G106" s="6998"/>
      <c r="H106" s="6996"/>
      <c r="I106" s="6997">
        <v>0.56000000000000005</v>
      </c>
      <c r="J106" s="6976"/>
      <c r="K106" s="6998"/>
      <c r="L106" s="6998"/>
      <c r="M106" s="6998"/>
    </row>
    <row r="107" spans="1:13" ht="15" customHeight="1" x14ac:dyDescent="0.25">
      <c r="A107" s="3399"/>
      <c r="B107" s="8033"/>
      <c r="C107" s="6981" t="s">
        <v>1866</v>
      </c>
      <c r="D107" s="6977"/>
      <c r="E107" s="6990"/>
      <c r="F107" s="6994"/>
      <c r="G107" s="6998"/>
      <c r="H107" s="6996"/>
      <c r="I107" s="6997">
        <v>178.44</v>
      </c>
      <c r="J107" s="6976"/>
      <c r="K107" s="6998"/>
      <c r="L107" s="6998"/>
      <c r="M107" s="6998"/>
    </row>
    <row r="108" spans="1:13" ht="15" customHeight="1" x14ac:dyDescent="0.25">
      <c r="A108" s="3399"/>
      <c r="B108" s="8033">
        <v>45444</v>
      </c>
      <c r="C108" s="6980"/>
      <c r="D108" s="6948" t="s">
        <v>1841</v>
      </c>
      <c r="E108" s="6948" t="s">
        <v>1842</v>
      </c>
      <c r="F108" s="6992"/>
      <c r="G108" s="6999" t="s">
        <v>1843</v>
      </c>
      <c r="H108" s="6993"/>
      <c r="I108" s="6993" t="s">
        <v>1066</v>
      </c>
      <c r="J108" s="6948"/>
      <c r="K108" s="6948" t="s">
        <v>59</v>
      </c>
      <c r="L108" s="6948" t="s">
        <v>95</v>
      </c>
      <c r="M108" s="6948" t="s">
        <v>1303</v>
      </c>
    </row>
    <row r="109" spans="1:13" ht="15" customHeight="1" x14ac:dyDescent="0.25">
      <c r="A109" s="3399"/>
      <c r="B109" s="8033"/>
      <c r="C109" s="7000" t="s">
        <v>1851</v>
      </c>
      <c r="D109" s="6977">
        <v>20.5</v>
      </c>
      <c r="E109" s="6977">
        <v>21</v>
      </c>
      <c r="F109" s="6998"/>
      <c r="G109" s="6977"/>
      <c r="H109" s="6977"/>
      <c r="I109" s="6977">
        <v>426.88</v>
      </c>
      <c r="J109" s="6977"/>
      <c r="K109" s="6985">
        <v>135.01666666666668</v>
      </c>
      <c r="L109" s="6985">
        <v>70.766666666666666</v>
      </c>
      <c r="M109" s="6985">
        <v>94.166666666666671</v>
      </c>
    </row>
    <row r="110" spans="1:13" ht="15" customHeight="1" x14ac:dyDescent="0.25">
      <c r="A110" s="3399"/>
      <c r="B110" s="8033"/>
      <c r="C110" s="7000" t="s">
        <v>1852</v>
      </c>
      <c r="D110" s="6977">
        <v>188.5</v>
      </c>
      <c r="E110" s="6977">
        <v>144.5</v>
      </c>
      <c r="F110" s="6998"/>
      <c r="G110" s="6977">
        <v>117.75</v>
      </c>
      <c r="H110" s="6977"/>
      <c r="I110" s="6977"/>
      <c r="J110" s="6977"/>
      <c r="K110" s="6985">
        <v>0</v>
      </c>
      <c r="L110" s="6985">
        <v>185.25</v>
      </c>
      <c r="M110" s="6985">
        <v>208.83333333333334</v>
      </c>
    </row>
    <row r="111" spans="1:13" ht="15" customHeight="1" x14ac:dyDescent="0.25">
      <c r="A111" s="3399"/>
      <c r="B111" s="8033"/>
      <c r="C111" s="7000" t="s">
        <v>1853</v>
      </c>
      <c r="D111" s="6977"/>
      <c r="E111" s="6977"/>
      <c r="F111" s="6998"/>
      <c r="G111" s="6977"/>
      <c r="H111" s="6977"/>
      <c r="I111" s="6977">
        <v>0.25</v>
      </c>
      <c r="J111" s="6977"/>
      <c r="K111" s="6985">
        <v>20.716666666666665</v>
      </c>
      <c r="L111" s="6985">
        <v>12.25</v>
      </c>
      <c r="M111" s="6985">
        <v>8.75</v>
      </c>
    </row>
    <row r="112" spans="1:13" ht="15" customHeight="1" x14ac:dyDescent="0.25">
      <c r="A112" s="3399"/>
      <c r="B112" s="8033"/>
      <c r="C112" s="7000" t="s">
        <v>466</v>
      </c>
      <c r="D112" s="6977"/>
      <c r="E112" s="6977"/>
      <c r="F112" s="6998"/>
      <c r="G112" s="6977"/>
      <c r="H112" s="6977"/>
      <c r="I112" s="6977"/>
      <c r="J112" s="6977"/>
      <c r="K112" s="6985"/>
      <c r="L112" s="6985"/>
      <c r="M112" s="6985"/>
    </row>
    <row r="113" spans="1:13" ht="15" customHeight="1" x14ac:dyDescent="0.25">
      <c r="A113" s="3399"/>
      <c r="B113" s="8033"/>
      <c r="C113" s="7000" t="s">
        <v>1854</v>
      </c>
      <c r="D113" s="6977"/>
      <c r="E113" s="6977"/>
      <c r="F113" s="6998"/>
      <c r="G113" s="6977"/>
      <c r="H113" s="6977"/>
      <c r="I113" s="6977"/>
      <c r="J113" s="6977"/>
      <c r="K113" s="6985"/>
      <c r="L113" s="6985"/>
      <c r="M113" s="6985"/>
    </row>
    <row r="114" spans="1:13" ht="15" customHeight="1" x14ac:dyDescent="0.25">
      <c r="A114" s="3399"/>
      <c r="B114" s="8033"/>
      <c r="C114" s="7000" t="s">
        <v>1855</v>
      </c>
      <c r="D114" s="6977">
        <v>5.2</v>
      </c>
      <c r="E114" s="6977">
        <v>0.5</v>
      </c>
      <c r="F114" s="6998"/>
      <c r="G114" s="6977"/>
      <c r="H114" s="6977"/>
      <c r="I114" s="6977">
        <v>1.18</v>
      </c>
      <c r="J114" s="6977"/>
      <c r="K114" s="6985">
        <v>30.116666666666667</v>
      </c>
      <c r="L114" s="6985">
        <v>44.883333333333333</v>
      </c>
      <c r="M114" s="6985">
        <v>49.583333333333336</v>
      </c>
    </row>
    <row r="115" spans="1:13" ht="15" customHeight="1" x14ac:dyDescent="0.25">
      <c r="A115" s="3399"/>
      <c r="B115" s="8033"/>
      <c r="C115" s="7000" t="s">
        <v>1856</v>
      </c>
      <c r="D115" s="6977">
        <v>0.17</v>
      </c>
      <c r="E115" s="6977"/>
      <c r="F115" s="6998"/>
      <c r="G115" s="6977"/>
      <c r="H115" s="6977"/>
      <c r="I115" s="6977">
        <v>7.39</v>
      </c>
      <c r="J115" s="6977"/>
      <c r="K115" s="6985">
        <v>16.866666666666667</v>
      </c>
      <c r="L115" s="6985">
        <v>4.4666666666666668</v>
      </c>
      <c r="M115" s="6985">
        <v>11.25</v>
      </c>
    </row>
    <row r="116" spans="1:13" ht="15" customHeight="1" x14ac:dyDescent="0.25">
      <c r="A116" s="3399"/>
      <c r="B116" s="8033"/>
      <c r="C116" s="7000" t="s">
        <v>1857</v>
      </c>
      <c r="D116" s="6977"/>
      <c r="E116" s="6977"/>
      <c r="F116" s="6998"/>
      <c r="G116" s="6977"/>
      <c r="H116" s="6977"/>
      <c r="I116" s="6977"/>
      <c r="J116" s="6977"/>
      <c r="K116" s="6985"/>
      <c r="L116" s="6985"/>
      <c r="M116" s="6985"/>
    </row>
    <row r="117" spans="1:13" ht="15" customHeight="1" x14ac:dyDescent="0.25">
      <c r="A117" s="3399"/>
      <c r="B117" s="8033"/>
      <c r="C117" s="7000" t="s">
        <v>1858</v>
      </c>
      <c r="D117" s="6977">
        <v>13.25</v>
      </c>
      <c r="E117" s="6977">
        <v>12.08</v>
      </c>
      <c r="F117" s="6998"/>
      <c r="G117" s="6977"/>
      <c r="H117" s="6977"/>
      <c r="I117" s="6977"/>
      <c r="J117" s="6977"/>
      <c r="K117" s="6985"/>
      <c r="L117" s="6985"/>
      <c r="M117" s="6985"/>
    </row>
    <row r="118" spans="1:13" ht="15" customHeight="1" x14ac:dyDescent="0.25">
      <c r="A118" s="3399"/>
      <c r="B118" s="8033"/>
      <c r="C118" s="6981" t="s">
        <v>1859</v>
      </c>
      <c r="D118" s="6977"/>
      <c r="E118" s="6977"/>
      <c r="F118" s="7001"/>
      <c r="G118" s="6977"/>
      <c r="H118" s="6977"/>
      <c r="I118" s="6977"/>
      <c r="J118" s="6977"/>
      <c r="K118" s="6985"/>
      <c r="L118" s="6985"/>
      <c r="M118" s="6985"/>
    </row>
    <row r="119" spans="1:13" ht="15" customHeight="1" x14ac:dyDescent="0.25">
      <c r="A119" s="3399"/>
      <c r="B119" s="8033"/>
      <c r="C119" s="7000" t="s">
        <v>1860</v>
      </c>
      <c r="D119" s="6977"/>
      <c r="E119" s="6977"/>
      <c r="F119" s="6998"/>
      <c r="G119" s="6977"/>
      <c r="H119" s="6977"/>
      <c r="I119" s="6977"/>
      <c r="J119" s="6977"/>
      <c r="K119" s="6985">
        <v>11.333333333333334</v>
      </c>
      <c r="L119" s="6985">
        <v>11.5</v>
      </c>
      <c r="M119" s="6985">
        <v>21.666666666666668</v>
      </c>
    </row>
    <row r="120" spans="1:13" ht="15" customHeight="1" x14ac:dyDescent="0.25">
      <c r="A120" s="3399"/>
      <c r="B120" s="8033"/>
      <c r="C120" s="7000" t="s">
        <v>1861</v>
      </c>
      <c r="D120" s="6977"/>
      <c r="E120" s="6977"/>
      <c r="F120" s="6998"/>
      <c r="G120" s="6977"/>
      <c r="H120" s="6977"/>
      <c r="I120" s="6977"/>
      <c r="J120" s="6977"/>
      <c r="K120" s="6985">
        <v>3.5833333333333335</v>
      </c>
      <c r="L120" s="6985">
        <v>1.8</v>
      </c>
      <c r="M120" s="6985">
        <v>0.41666666666666669</v>
      </c>
    </row>
    <row r="121" spans="1:13" ht="15" customHeight="1" x14ac:dyDescent="0.25">
      <c r="A121" s="3399"/>
      <c r="B121" s="8033"/>
      <c r="C121" s="7000" t="s">
        <v>1862</v>
      </c>
      <c r="D121" s="6977">
        <v>0.42</v>
      </c>
      <c r="E121" s="6977"/>
      <c r="F121" s="6998"/>
      <c r="G121" s="6977"/>
      <c r="H121" s="6977"/>
      <c r="I121" s="6977">
        <v>0.32</v>
      </c>
      <c r="J121" s="6977"/>
      <c r="K121" s="6977"/>
      <c r="L121" s="6977"/>
      <c r="M121" s="6977"/>
    </row>
    <row r="122" spans="1:13" ht="15" customHeight="1" x14ac:dyDescent="0.25">
      <c r="A122" s="3399"/>
      <c r="B122" s="8033"/>
      <c r="C122" s="6981" t="s">
        <v>1863</v>
      </c>
      <c r="D122" s="6977"/>
      <c r="E122" s="6977"/>
      <c r="F122" s="6998"/>
      <c r="G122" s="6977"/>
      <c r="H122" s="6977"/>
      <c r="I122" s="6977"/>
      <c r="J122" s="6977"/>
      <c r="K122" s="6977"/>
      <c r="L122" s="6977"/>
      <c r="M122" s="6977"/>
    </row>
    <row r="123" spans="1:13" ht="15" customHeight="1" x14ac:dyDescent="0.25">
      <c r="A123" s="3399"/>
      <c r="B123" s="8033"/>
      <c r="C123" s="7000" t="s">
        <v>1864</v>
      </c>
      <c r="D123" s="6977"/>
      <c r="E123" s="6977"/>
      <c r="F123" s="6998"/>
      <c r="G123" s="6977"/>
      <c r="H123" s="6977"/>
      <c r="I123" s="6977"/>
      <c r="J123" s="6977"/>
      <c r="K123" s="6977"/>
      <c r="L123" s="6977"/>
      <c r="M123" s="6977"/>
    </row>
    <row r="124" spans="1:13" ht="15" customHeight="1" x14ac:dyDescent="0.25">
      <c r="A124" s="3399"/>
      <c r="B124" s="8033"/>
      <c r="C124" s="3405" t="s">
        <v>82</v>
      </c>
      <c r="D124" s="6977"/>
      <c r="E124" s="6977"/>
      <c r="F124" s="6998"/>
      <c r="G124" s="6977"/>
      <c r="H124" s="6977"/>
      <c r="I124" s="6977"/>
      <c r="J124" s="6977"/>
      <c r="K124" s="6977"/>
      <c r="L124" s="6977"/>
      <c r="M124" s="6977"/>
    </row>
    <row r="125" spans="1:13" ht="15" customHeight="1" x14ac:dyDescent="0.25">
      <c r="A125" s="3399"/>
      <c r="B125" s="8033"/>
      <c r="C125" s="7000" t="s">
        <v>1865</v>
      </c>
      <c r="D125" s="6977"/>
      <c r="E125" s="6977"/>
      <c r="F125" s="6998"/>
      <c r="G125" s="6977"/>
      <c r="H125" s="6977"/>
      <c r="I125" s="6977">
        <v>8.5</v>
      </c>
      <c r="J125" s="6977"/>
      <c r="K125" s="6977"/>
      <c r="L125" s="6977"/>
      <c r="M125" s="6977"/>
    </row>
    <row r="126" spans="1:13" ht="15" customHeight="1" x14ac:dyDescent="0.25">
      <c r="A126" s="3399"/>
      <c r="B126" s="8033"/>
      <c r="C126" s="7000" t="s">
        <v>100</v>
      </c>
      <c r="D126" s="6977"/>
      <c r="E126" s="6977"/>
      <c r="F126" s="6998"/>
      <c r="G126" s="6977"/>
      <c r="H126" s="6977"/>
      <c r="I126" s="6977"/>
      <c r="J126" s="6977"/>
      <c r="K126" s="6977"/>
      <c r="L126" s="6977"/>
      <c r="M126" s="6977"/>
    </row>
    <row r="127" spans="1:13" ht="15" customHeight="1" x14ac:dyDescent="0.25">
      <c r="A127" s="3399"/>
      <c r="B127" s="8033"/>
      <c r="C127" s="7000" t="s">
        <v>58</v>
      </c>
      <c r="D127" s="6977"/>
      <c r="E127" s="6977"/>
      <c r="F127" s="6998"/>
      <c r="G127" s="6977"/>
      <c r="H127" s="6977"/>
      <c r="I127" s="6977">
        <v>2.08</v>
      </c>
      <c r="J127" s="6977"/>
      <c r="K127" s="6977"/>
      <c r="L127" s="6977"/>
      <c r="M127" s="6977"/>
    </row>
    <row r="128" spans="1:13" ht="15" customHeight="1" x14ac:dyDescent="0.25">
      <c r="A128" s="3399"/>
      <c r="B128" s="8033"/>
      <c r="C128" s="7002" t="s">
        <v>1866</v>
      </c>
      <c r="D128" s="6977"/>
      <c r="E128" s="6977"/>
      <c r="F128" s="6998"/>
      <c r="G128" s="6998"/>
      <c r="H128" s="6998"/>
      <c r="I128" s="6977">
        <v>661.6</v>
      </c>
      <c r="J128" s="6998"/>
      <c r="K128" s="6998"/>
      <c r="L128" s="6998"/>
      <c r="M128" s="6998"/>
    </row>
    <row r="129" spans="1:13" ht="15" customHeight="1" x14ac:dyDescent="0.25">
      <c r="A129" s="3399"/>
      <c r="B129" s="8038">
        <v>45474</v>
      </c>
      <c r="C129" s="7003" t="s">
        <v>1840</v>
      </c>
      <c r="D129" s="7004" t="s">
        <v>1840</v>
      </c>
      <c r="L129" s="7004" t="s">
        <v>1840</v>
      </c>
      <c r="M129" s="7004"/>
    </row>
    <row r="130" spans="1:13" ht="15" customHeight="1" x14ac:dyDescent="0.25">
      <c r="A130" s="3399"/>
      <c r="B130" s="8039"/>
      <c r="C130" s="7005"/>
      <c r="D130" s="6948" t="s">
        <v>1841</v>
      </c>
      <c r="E130" s="6948" t="s">
        <v>1842</v>
      </c>
      <c r="F130" s="6948"/>
      <c r="G130" s="6948" t="s">
        <v>1843</v>
      </c>
      <c r="H130" s="6948"/>
      <c r="I130" s="6948" t="s">
        <v>1066</v>
      </c>
      <c r="J130" s="6948"/>
      <c r="K130" s="6948" t="s">
        <v>59</v>
      </c>
      <c r="L130" s="6948" t="s">
        <v>95</v>
      </c>
      <c r="M130" s="6948" t="s">
        <v>1303</v>
      </c>
    </row>
    <row r="131" spans="1:13" ht="15" customHeight="1" x14ac:dyDescent="0.25">
      <c r="A131" s="3399"/>
      <c r="B131" s="8039"/>
      <c r="C131" s="7006" t="s">
        <v>1851</v>
      </c>
      <c r="D131" s="7007">
        <v>10.5</v>
      </c>
      <c r="E131" s="7007">
        <v>12</v>
      </c>
      <c r="F131" s="6998"/>
      <c r="G131" s="7007"/>
      <c r="H131" s="7007"/>
      <c r="I131" s="7007">
        <v>548.71</v>
      </c>
      <c r="J131" s="7007"/>
      <c r="K131" s="7008">
        <v>137.68333333333334</v>
      </c>
      <c r="L131" s="7008">
        <v>112.1</v>
      </c>
      <c r="M131" s="7008">
        <v>170</v>
      </c>
    </row>
    <row r="132" spans="1:13" ht="15" customHeight="1" x14ac:dyDescent="0.25">
      <c r="A132" s="3399"/>
      <c r="B132" s="8039"/>
      <c r="C132" s="7006" t="s">
        <v>1852</v>
      </c>
      <c r="D132" s="7007"/>
      <c r="E132" s="7007"/>
      <c r="F132" s="6998"/>
      <c r="G132" s="7007"/>
      <c r="H132" s="7007"/>
      <c r="I132" s="7007"/>
      <c r="J132" s="7007"/>
      <c r="K132" s="7008"/>
      <c r="L132" s="7008"/>
      <c r="M132" s="7008"/>
    </row>
    <row r="133" spans="1:13" ht="15" customHeight="1" x14ac:dyDescent="0.25">
      <c r="A133" s="3399"/>
      <c r="B133" s="8039"/>
      <c r="C133" s="7006" t="s">
        <v>1853</v>
      </c>
      <c r="D133" s="7007">
        <v>1.25</v>
      </c>
      <c r="E133" s="7007">
        <v>1.25</v>
      </c>
      <c r="F133" s="6998"/>
      <c r="G133" s="7007"/>
      <c r="H133" s="7007"/>
      <c r="I133" s="7007">
        <v>12</v>
      </c>
      <c r="J133" s="7007"/>
      <c r="K133" s="7008">
        <v>24.9</v>
      </c>
      <c r="L133" s="7008">
        <v>11.666666666666666</v>
      </c>
      <c r="M133" s="7008">
        <v>22.416666666666668</v>
      </c>
    </row>
    <row r="134" spans="1:13" ht="15" customHeight="1" x14ac:dyDescent="0.25">
      <c r="A134" s="3399"/>
      <c r="B134" s="8039"/>
      <c r="C134" s="7006" t="s">
        <v>466</v>
      </c>
      <c r="D134" s="7007"/>
      <c r="E134" s="7007"/>
      <c r="F134" s="6998"/>
      <c r="G134" s="7007"/>
      <c r="H134" s="7007"/>
      <c r="I134" s="7007"/>
      <c r="J134" s="7007"/>
      <c r="K134" s="7008"/>
      <c r="L134" s="7008"/>
      <c r="M134" s="7008"/>
    </row>
    <row r="135" spans="1:13" ht="15" customHeight="1" x14ac:dyDescent="0.25">
      <c r="A135" s="3399"/>
      <c r="B135" s="8039"/>
      <c r="C135" s="7006" t="s">
        <v>1854</v>
      </c>
      <c r="D135" s="7007"/>
      <c r="E135" s="7007"/>
      <c r="F135" s="6998"/>
      <c r="G135" s="7007"/>
      <c r="H135" s="7007"/>
      <c r="I135" s="7007"/>
      <c r="J135" s="7007"/>
      <c r="K135" s="7008"/>
      <c r="L135" s="7008"/>
      <c r="M135" s="7008"/>
    </row>
    <row r="136" spans="1:13" ht="15" customHeight="1" x14ac:dyDescent="0.25">
      <c r="A136" s="3399"/>
      <c r="B136" s="8039"/>
      <c r="C136" s="7006" t="s">
        <v>1855</v>
      </c>
      <c r="D136" s="7007">
        <v>3.07</v>
      </c>
      <c r="E136" s="7007">
        <v>1.67</v>
      </c>
      <c r="F136" s="6998"/>
      <c r="G136" s="7007">
        <v>18</v>
      </c>
      <c r="H136" s="7007"/>
      <c r="I136" s="7007">
        <v>37.15</v>
      </c>
      <c r="J136" s="7007"/>
      <c r="K136" s="7008">
        <v>32.783333333333331</v>
      </c>
      <c r="L136" s="7008">
        <v>42.633333333333333</v>
      </c>
      <c r="M136" s="7008">
        <v>24.333333333333332</v>
      </c>
    </row>
    <row r="137" spans="1:13" ht="15" customHeight="1" x14ac:dyDescent="0.25">
      <c r="A137" s="3399"/>
      <c r="B137" s="8039"/>
      <c r="C137" s="7006" t="s">
        <v>1856</v>
      </c>
      <c r="D137" s="6998"/>
      <c r="E137" s="7007">
        <v>0.57999999999999996</v>
      </c>
      <c r="F137" s="6998"/>
      <c r="G137" s="7007"/>
      <c r="H137" s="7007"/>
      <c r="I137" s="7007">
        <v>0.65</v>
      </c>
      <c r="J137" s="7007"/>
      <c r="K137" s="7008">
        <v>15.383333333333333</v>
      </c>
      <c r="L137" s="7008">
        <v>4.75</v>
      </c>
      <c r="M137" s="7008">
        <v>14.166666666666666</v>
      </c>
    </row>
    <row r="138" spans="1:13" ht="15" customHeight="1" x14ac:dyDescent="0.25">
      <c r="A138" s="3399"/>
      <c r="B138" s="8039"/>
      <c r="C138" s="7006" t="s">
        <v>1857</v>
      </c>
      <c r="D138" s="7007">
        <v>0.67</v>
      </c>
      <c r="E138" s="7007">
        <v>0.3</v>
      </c>
      <c r="F138" s="6998"/>
      <c r="G138" s="7007"/>
      <c r="H138" s="7007"/>
      <c r="I138" s="7007"/>
      <c r="J138" s="7007"/>
      <c r="K138" s="7008"/>
      <c r="L138" s="7008"/>
      <c r="M138" s="7008"/>
    </row>
    <row r="139" spans="1:13" ht="15" customHeight="1" x14ac:dyDescent="0.25">
      <c r="A139" s="3399"/>
      <c r="B139" s="8039"/>
      <c r="C139" s="7006" t="s">
        <v>1858</v>
      </c>
      <c r="D139" s="7007">
        <v>22.25</v>
      </c>
      <c r="E139" s="7007">
        <v>7.33</v>
      </c>
      <c r="F139" s="6998"/>
      <c r="G139" s="7007"/>
      <c r="H139" s="7007"/>
      <c r="I139" s="7007"/>
      <c r="J139" s="7007"/>
      <c r="K139" s="7008"/>
      <c r="L139" s="7008"/>
      <c r="M139" s="7008"/>
    </row>
    <row r="140" spans="1:13" ht="15" customHeight="1" x14ac:dyDescent="0.25">
      <c r="A140" s="3399"/>
      <c r="B140" s="8039"/>
      <c r="C140" s="7009" t="s">
        <v>1859</v>
      </c>
      <c r="D140" s="6998"/>
      <c r="E140" s="6998"/>
      <c r="F140" s="7001"/>
      <c r="G140" s="7007"/>
      <c r="H140" s="7007"/>
      <c r="I140" s="7007"/>
      <c r="J140" s="7007"/>
      <c r="K140" s="7008"/>
      <c r="L140" s="7008"/>
      <c r="M140" s="7008"/>
    </row>
    <row r="141" spans="1:13" ht="15" customHeight="1" x14ac:dyDescent="0.25">
      <c r="A141" s="3399"/>
      <c r="B141" s="8039"/>
      <c r="C141" s="7006" t="s">
        <v>1860</v>
      </c>
      <c r="D141" s="6998"/>
      <c r="E141" s="6998"/>
      <c r="F141" s="6998"/>
      <c r="G141" s="7007"/>
      <c r="H141" s="7007"/>
      <c r="I141" s="7007"/>
      <c r="J141" s="7007"/>
      <c r="K141" s="7008">
        <v>10.283333333333333</v>
      </c>
      <c r="L141" s="7008">
        <v>18.616666666666667</v>
      </c>
      <c r="M141" s="7008">
        <v>20</v>
      </c>
    </row>
    <row r="142" spans="1:13" ht="15" customHeight="1" x14ac:dyDescent="0.25">
      <c r="A142" s="3399"/>
      <c r="B142" s="8039"/>
      <c r="C142" s="7006" t="s">
        <v>1861</v>
      </c>
      <c r="D142" s="6998"/>
      <c r="E142" s="6998"/>
      <c r="F142" s="6998"/>
      <c r="G142" s="7007"/>
      <c r="H142" s="7007"/>
      <c r="I142" s="7007"/>
      <c r="J142" s="7007"/>
      <c r="K142" s="7008">
        <v>1.1666666666666667</v>
      </c>
      <c r="L142" s="7008">
        <v>1.4</v>
      </c>
      <c r="M142" s="7008">
        <v>0.5</v>
      </c>
    </row>
    <row r="143" spans="1:13" ht="15" customHeight="1" x14ac:dyDescent="0.25">
      <c r="A143" s="3399"/>
      <c r="B143" s="8039"/>
      <c r="C143" s="7006" t="s">
        <v>1862</v>
      </c>
      <c r="D143" s="7007">
        <v>0.42</v>
      </c>
      <c r="E143" s="6998"/>
      <c r="F143" s="6998"/>
      <c r="G143" s="7007"/>
      <c r="H143" s="7007"/>
      <c r="I143" s="7007"/>
      <c r="J143" s="7007"/>
      <c r="K143" s="7007"/>
      <c r="L143" s="7007"/>
      <c r="M143" s="7007"/>
    </row>
    <row r="144" spans="1:13" ht="15" customHeight="1" x14ac:dyDescent="0.25">
      <c r="A144" s="3399"/>
      <c r="B144" s="8039"/>
      <c r="C144" s="6981" t="s">
        <v>1863</v>
      </c>
      <c r="D144" s="6976"/>
      <c r="E144" s="6998"/>
      <c r="F144" s="6998"/>
      <c r="G144" s="7007"/>
      <c r="H144" s="7007"/>
      <c r="I144" s="7007"/>
      <c r="J144" s="7007"/>
      <c r="K144" s="7007"/>
      <c r="L144" s="7007"/>
      <c r="M144" s="7007"/>
    </row>
    <row r="145" spans="1:13" ht="15" customHeight="1" x14ac:dyDescent="0.25">
      <c r="A145" s="3399"/>
      <c r="B145" s="8039"/>
      <c r="C145" s="7006" t="s">
        <v>1864</v>
      </c>
      <c r="D145" s="6998"/>
      <c r="E145" s="6998"/>
      <c r="F145" s="6998"/>
      <c r="G145" s="7007"/>
      <c r="H145" s="7007"/>
      <c r="I145" s="7007"/>
      <c r="J145" s="7007"/>
      <c r="K145" s="7007"/>
      <c r="L145" s="7007"/>
      <c r="M145" s="7007"/>
    </row>
    <row r="146" spans="1:13" ht="15" customHeight="1" x14ac:dyDescent="0.25">
      <c r="A146" s="3399"/>
      <c r="B146" s="8039"/>
      <c r="C146" s="3406" t="s">
        <v>82</v>
      </c>
      <c r="D146" s="6998"/>
      <c r="E146" s="6998"/>
      <c r="F146" s="6998"/>
      <c r="G146" s="7007"/>
      <c r="H146" s="7007"/>
      <c r="I146" s="7007"/>
      <c r="J146" s="7007"/>
      <c r="K146" s="7007"/>
      <c r="L146" s="7007"/>
      <c r="M146" s="7007"/>
    </row>
    <row r="147" spans="1:13" ht="15" customHeight="1" x14ac:dyDescent="0.25">
      <c r="A147" s="3399"/>
      <c r="B147" s="8039"/>
      <c r="C147" s="7006" t="s">
        <v>1865</v>
      </c>
      <c r="D147" s="6998"/>
      <c r="E147" s="6998"/>
      <c r="F147" s="6998"/>
      <c r="G147" s="7007"/>
      <c r="H147" s="7007"/>
      <c r="I147" s="7007">
        <v>4.6500000000000004</v>
      </c>
      <c r="J147" s="7007"/>
      <c r="K147" s="7007"/>
      <c r="L147" s="7007"/>
      <c r="M147" s="7007"/>
    </row>
    <row r="148" spans="1:13" ht="15" customHeight="1" x14ac:dyDescent="0.25">
      <c r="A148" s="3399"/>
      <c r="B148" s="8039"/>
      <c r="C148" s="7006" t="s">
        <v>100</v>
      </c>
      <c r="D148" s="6998"/>
      <c r="E148" s="6998"/>
      <c r="F148" s="6998"/>
      <c r="G148" s="7007"/>
      <c r="H148" s="7007"/>
      <c r="I148" s="7007"/>
      <c r="J148" s="7007"/>
      <c r="K148" s="7007"/>
      <c r="L148" s="7007"/>
      <c r="M148" s="7007"/>
    </row>
    <row r="149" spans="1:13" ht="15" customHeight="1" x14ac:dyDescent="0.25">
      <c r="A149" s="3399"/>
      <c r="B149" s="8039"/>
      <c r="C149" s="7006" t="s">
        <v>58</v>
      </c>
      <c r="D149" s="6998"/>
      <c r="E149" s="6998"/>
      <c r="F149" s="6998"/>
      <c r="G149" s="7007"/>
      <c r="H149" s="7007"/>
      <c r="I149" s="7007">
        <v>5.04</v>
      </c>
      <c r="J149" s="7007"/>
      <c r="K149" s="7007"/>
      <c r="L149" s="7007"/>
      <c r="M149" s="7007"/>
    </row>
    <row r="150" spans="1:13" ht="15" customHeight="1" x14ac:dyDescent="0.25">
      <c r="A150" s="3399"/>
      <c r="B150" s="8039"/>
      <c r="C150" s="7006" t="s">
        <v>1866</v>
      </c>
      <c r="D150" s="6998"/>
      <c r="E150" s="6998"/>
      <c r="F150" s="6998"/>
      <c r="G150" s="7007"/>
      <c r="H150" s="7007"/>
      <c r="I150" s="7007">
        <v>17.670000000000002</v>
      </c>
      <c r="J150" s="7007"/>
      <c r="K150" s="7007"/>
      <c r="L150" s="7007"/>
      <c r="M150" s="7007"/>
    </row>
    <row r="151" spans="1:13" ht="15" customHeight="1" x14ac:dyDescent="0.25">
      <c r="B151" s="8033">
        <v>45505</v>
      </c>
      <c r="C151" s="6947" t="s">
        <v>1840</v>
      </c>
      <c r="D151" s="7004" t="s">
        <v>1840</v>
      </c>
      <c r="E151" s="6980"/>
      <c r="F151" s="6980"/>
      <c r="G151" s="6980"/>
      <c r="H151" s="6980"/>
      <c r="I151" s="6980"/>
      <c r="J151" s="6980"/>
      <c r="K151" s="6980"/>
      <c r="L151" s="7004" t="s">
        <v>1840</v>
      </c>
      <c r="M151" s="7004"/>
    </row>
    <row r="152" spans="1:13" ht="15" customHeight="1" x14ac:dyDescent="0.25">
      <c r="B152" s="8033"/>
      <c r="C152" s="7010"/>
      <c r="D152" s="6948" t="s">
        <v>1841</v>
      </c>
      <c r="E152" s="6948" t="s">
        <v>1842</v>
      </c>
      <c r="F152" s="6948"/>
      <c r="G152" s="6948" t="s">
        <v>1843</v>
      </c>
      <c r="H152" s="6948"/>
      <c r="I152" s="6948" t="s">
        <v>1066</v>
      </c>
      <c r="J152" s="6948"/>
      <c r="K152" s="6948" t="s">
        <v>59</v>
      </c>
      <c r="L152" s="6948" t="s">
        <v>95</v>
      </c>
      <c r="M152" s="6948" t="s">
        <v>1303</v>
      </c>
    </row>
    <row r="153" spans="1:13" ht="15" customHeight="1" x14ac:dyDescent="0.25">
      <c r="B153" s="8033"/>
      <c r="C153" s="7000" t="s">
        <v>1851</v>
      </c>
      <c r="D153" s="7008">
        <v>32.25</v>
      </c>
      <c r="E153" s="7008">
        <v>35.67</v>
      </c>
      <c r="F153" s="6998"/>
      <c r="G153" s="7008">
        <v>24</v>
      </c>
      <c r="H153" s="6998"/>
      <c r="I153" s="7008">
        <v>592.04999999999995</v>
      </c>
      <c r="J153" s="6998"/>
      <c r="K153" s="7008">
        <v>108.8</v>
      </c>
      <c r="L153" s="7008">
        <v>116.08333333333333</v>
      </c>
      <c r="M153" s="7008">
        <v>171.16666666666666</v>
      </c>
    </row>
    <row r="154" spans="1:13" ht="15" customHeight="1" x14ac:dyDescent="0.25">
      <c r="B154" s="8033"/>
      <c r="C154" s="7000" t="s">
        <v>1852</v>
      </c>
      <c r="D154" s="7008"/>
      <c r="E154" s="7008"/>
      <c r="F154" s="6998"/>
      <c r="G154" s="7008"/>
      <c r="H154" s="6998"/>
      <c r="I154" s="7008"/>
      <c r="J154" s="6998"/>
      <c r="K154" s="7008"/>
      <c r="L154" s="7008"/>
      <c r="M154" s="7008"/>
    </row>
    <row r="155" spans="1:13" ht="15" customHeight="1" x14ac:dyDescent="0.25">
      <c r="B155" s="8033"/>
      <c r="C155" s="7000" t="s">
        <v>1853</v>
      </c>
      <c r="D155" s="7008"/>
      <c r="E155" s="7008"/>
      <c r="F155" s="6998"/>
      <c r="G155" s="7008">
        <v>10</v>
      </c>
      <c r="H155" s="6998"/>
      <c r="I155" s="7008">
        <v>3</v>
      </c>
      <c r="J155" s="6998"/>
      <c r="K155" s="7008">
        <v>6.6333333333333329</v>
      </c>
      <c r="L155" s="7008">
        <v>10.25</v>
      </c>
      <c r="M155" s="7008">
        <v>9</v>
      </c>
    </row>
    <row r="156" spans="1:13" ht="15" customHeight="1" x14ac:dyDescent="0.25">
      <c r="B156" s="8033"/>
      <c r="C156" s="7000" t="s">
        <v>466</v>
      </c>
      <c r="D156" s="7008"/>
      <c r="E156" s="7008"/>
      <c r="F156" s="6998"/>
      <c r="G156" s="7008"/>
      <c r="H156" s="6998"/>
      <c r="I156" s="7008"/>
      <c r="J156" s="6998"/>
      <c r="K156" s="7008"/>
      <c r="L156" s="7008"/>
      <c r="M156" s="7008"/>
    </row>
    <row r="157" spans="1:13" ht="15" customHeight="1" x14ac:dyDescent="0.25">
      <c r="B157" s="8033"/>
      <c r="C157" s="7000" t="s">
        <v>1854</v>
      </c>
      <c r="D157" s="7008"/>
      <c r="E157" s="7008"/>
      <c r="F157" s="6998"/>
      <c r="G157" s="7008"/>
      <c r="H157" s="6998"/>
      <c r="I157" s="7008"/>
      <c r="J157" s="6998"/>
      <c r="K157" s="7008"/>
      <c r="L157" s="7008"/>
      <c r="M157" s="7008"/>
    </row>
    <row r="158" spans="1:13" ht="15" customHeight="1" x14ac:dyDescent="0.25">
      <c r="B158" s="8033"/>
      <c r="C158" s="7000" t="s">
        <v>1855</v>
      </c>
      <c r="D158" s="7011">
        <v>21.08</v>
      </c>
      <c r="E158" s="7011">
        <v>4.1500000000000004</v>
      </c>
      <c r="F158" s="6998"/>
      <c r="G158" s="7008"/>
      <c r="H158" s="6998"/>
      <c r="I158" s="7008">
        <v>4.5</v>
      </c>
      <c r="J158" s="6998"/>
      <c r="K158" s="7008">
        <v>13.85</v>
      </c>
      <c r="L158" s="7008">
        <v>32.716666666666669</v>
      </c>
      <c r="M158" s="7008">
        <v>84.5</v>
      </c>
    </row>
    <row r="159" spans="1:13" ht="15" customHeight="1" x14ac:dyDescent="0.25">
      <c r="B159" s="8033"/>
      <c r="C159" s="7000" t="s">
        <v>1856</v>
      </c>
      <c r="D159" s="7011">
        <v>0.33</v>
      </c>
      <c r="E159" s="7011">
        <v>1</v>
      </c>
      <c r="F159" s="6998"/>
      <c r="G159" s="7008"/>
      <c r="H159" s="6998"/>
      <c r="I159" s="7008">
        <v>3.66</v>
      </c>
      <c r="J159" s="6998"/>
      <c r="K159" s="7008">
        <v>8.6</v>
      </c>
      <c r="L159" s="7008">
        <v>10.199999999999999</v>
      </c>
      <c r="M159" s="7008">
        <v>41.166666666666664</v>
      </c>
    </row>
    <row r="160" spans="1:13" ht="15" customHeight="1" x14ac:dyDescent="0.25">
      <c r="B160" s="8033"/>
      <c r="C160" s="7000" t="s">
        <v>1857</v>
      </c>
      <c r="D160" s="7011"/>
      <c r="E160" s="7011"/>
      <c r="F160" s="6998"/>
      <c r="G160" s="6998"/>
      <c r="H160" s="6998"/>
      <c r="I160" s="7008"/>
      <c r="J160" s="6998"/>
      <c r="K160" s="7008"/>
      <c r="L160" s="7008"/>
      <c r="M160" s="7008"/>
    </row>
    <row r="161" spans="2:13" ht="15" customHeight="1" x14ac:dyDescent="0.25">
      <c r="B161" s="8033"/>
      <c r="C161" s="7000" t="s">
        <v>1858</v>
      </c>
      <c r="D161" s="7011">
        <v>11.5</v>
      </c>
      <c r="E161" s="7011">
        <v>11</v>
      </c>
      <c r="F161" s="6998"/>
      <c r="G161" s="6998"/>
      <c r="H161" s="6998"/>
      <c r="I161" s="7008"/>
      <c r="J161" s="6998"/>
      <c r="K161" s="7008"/>
      <c r="L161" s="7008"/>
      <c r="M161" s="7008"/>
    </row>
    <row r="162" spans="2:13" ht="15" customHeight="1" x14ac:dyDescent="0.25">
      <c r="B162" s="8033"/>
      <c r="C162" s="6981" t="s">
        <v>1859</v>
      </c>
      <c r="D162" s="7011"/>
      <c r="E162" s="7011"/>
      <c r="F162" s="7001"/>
      <c r="G162" s="6998"/>
      <c r="H162" s="7012"/>
      <c r="I162" s="7008"/>
      <c r="J162" s="7001"/>
      <c r="K162" s="7008"/>
      <c r="L162" s="7008"/>
      <c r="M162" s="7008"/>
    </row>
    <row r="163" spans="2:13" ht="15" customHeight="1" x14ac:dyDescent="0.25">
      <c r="B163" s="8033"/>
      <c r="C163" s="7000" t="s">
        <v>1860</v>
      </c>
      <c r="D163" s="7011"/>
      <c r="E163" s="7011"/>
      <c r="F163" s="6998"/>
      <c r="G163" s="6998"/>
      <c r="H163" s="6998"/>
      <c r="I163" s="7008">
        <v>0.5</v>
      </c>
      <c r="J163" s="6998"/>
      <c r="K163" s="7008">
        <v>24.383333333333333</v>
      </c>
      <c r="L163" s="7008">
        <v>8.9499999999999993</v>
      </c>
      <c r="M163" s="7008">
        <v>13.416666666666666</v>
      </c>
    </row>
    <row r="164" spans="2:13" ht="15" customHeight="1" x14ac:dyDescent="0.25">
      <c r="B164" s="8033"/>
      <c r="C164" s="7000" t="s">
        <v>1861</v>
      </c>
      <c r="D164" s="7011">
        <v>2</v>
      </c>
      <c r="E164" s="7011">
        <v>2</v>
      </c>
      <c r="F164" s="6998"/>
      <c r="G164" s="6998"/>
      <c r="H164" s="6998"/>
      <c r="I164" s="7008"/>
      <c r="J164" s="6998"/>
      <c r="K164" s="7008">
        <v>2.8333333333333335</v>
      </c>
      <c r="L164" s="7008">
        <v>6.0333333333333332</v>
      </c>
      <c r="M164" s="7008">
        <v>2.1666666666666665</v>
      </c>
    </row>
    <row r="165" spans="2:13" ht="15" customHeight="1" x14ac:dyDescent="0.25">
      <c r="B165" s="8033"/>
      <c r="C165" s="7000" t="s">
        <v>1862</v>
      </c>
      <c r="D165" s="7011">
        <v>0.75</v>
      </c>
      <c r="E165" s="7011"/>
      <c r="F165" s="6998"/>
      <c r="G165" s="6998"/>
      <c r="H165" s="6998"/>
      <c r="I165" s="7008"/>
      <c r="J165" s="6998"/>
      <c r="K165" s="7008"/>
      <c r="L165" s="7008"/>
      <c r="M165" s="7008"/>
    </row>
    <row r="166" spans="2:13" ht="15" customHeight="1" x14ac:dyDescent="0.25">
      <c r="B166" s="8033"/>
      <c r="C166" s="6981" t="s">
        <v>1863</v>
      </c>
      <c r="D166" s="7011"/>
      <c r="E166" s="7011"/>
      <c r="F166" s="6998"/>
      <c r="G166" s="6998"/>
      <c r="H166" s="6998"/>
      <c r="I166" s="7008"/>
      <c r="J166" s="6998"/>
      <c r="K166" s="7008"/>
      <c r="L166" s="7008"/>
      <c r="M166" s="7008"/>
    </row>
    <row r="167" spans="2:13" ht="15" customHeight="1" x14ac:dyDescent="0.25">
      <c r="B167" s="8033"/>
      <c r="C167" s="7000" t="s">
        <v>1864</v>
      </c>
      <c r="D167" s="7011">
        <v>13.75</v>
      </c>
      <c r="E167" s="7011">
        <v>8</v>
      </c>
      <c r="F167" s="6998"/>
      <c r="G167" s="6998"/>
      <c r="H167" s="6998"/>
      <c r="I167" s="7008"/>
      <c r="J167" s="6998"/>
      <c r="K167" s="7008"/>
      <c r="L167" s="7008"/>
      <c r="M167" s="7008"/>
    </row>
    <row r="168" spans="2:13" ht="15" customHeight="1" x14ac:dyDescent="0.25">
      <c r="B168" s="8033"/>
      <c r="C168" s="7000" t="s">
        <v>82</v>
      </c>
      <c r="D168" s="7008"/>
      <c r="E168" s="7008"/>
      <c r="F168" s="6998"/>
      <c r="G168" s="6998"/>
      <c r="H168" s="6998"/>
      <c r="I168" s="7008"/>
      <c r="J168" s="6998"/>
      <c r="K168" s="6998"/>
      <c r="L168" s="6998"/>
      <c r="M168" s="6998"/>
    </row>
    <row r="169" spans="2:13" ht="15" customHeight="1" x14ac:dyDescent="0.25">
      <c r="B169" s="8033"/>
      <c r="C169" s="7000" t="s">
        <v>1865</v>
      </c>
      <c r="D169" s="7008"/>
      <c r="E169" s="7008"/>
      <c r="F169" s="6998"/>
      <c r="G169" s="6998"/>
      <c r="H169" s="6998"/>
      <c r="I169" s="7008">
        <v>9.5</v>
      </c>
      <c r="J169" s="6998"/>
      <c r="K169" s="6998"/>
      <c r="L169" s="6998"/>
      <c r="M169" s="6998"/>
    </row>
    <row r="170" spans="2:13" ht="15" customHeight="1" x14ac:dyDescent="0.25">
      <c r="B170" s="8033"/>
      <c r="C170" s="7000" t="s">
        <v>100</v>
      </c>
      <c r="D170" s="7008"/>
      <c r="E170" s="7008"/>
      <c r="F170" s="6998"/>
      <c r="G170" s="6998"/>
      <c r="H170" s="6998"/>
      <c r="I170" s="7008">
        <v>0.63</v>
      </c>
      <c r="J170" s="6998"/>
      <c r="K170" s="6998"/>
      <c r="L170" s="6998"/>
      <c r="M170" s="6998"/>
    </row>
    <row r="171" spans="2:13" ht="15" customHeight="1" x14ac:dyDescent="0.25">
      <c r="B171" s="8033"/>
      <c r="C171" s="7000" t="s">
        <v>58</v>
      </c>
      <c r="D171" s="7008"/>
      <c r="E171" s="7008"/>
      <c r="F171" s="6998"/>
      <c r="G171" s="6998"/>
      <c r="H171" s="6998"/>
      <c r="I171" s="7008">
        <v>9.24</v>
      </c>
      <c r="J171" s="6998"/>
      <c r="K171" s="6998"/>
      <c r="L171" s="6998"/>
      <c r="M171" s="6998"/>
    </row>
    <row r="172" spans="2:13" ht="15" customHeight="1" x14ac:dyDescent="0.25">
      <c r="B172" s="8033"/>
      <c r="C172" s="7000" t="s">
        <v>1866</v>
      </c>
      <c r="D172" s="7008"/>
      <c r="E172" s="7008"/>
      <c r="F172" s="6998"/>
      <c r="G172" s="6998"/>
      <c r="H172" s="6998"/>
      <c r="I172" s="7008">
        <v>74.47</v>
      </c>
      <c r="J172" s="6998"/>
      <c r="K172" s="6998"/>
      <c r="L172" s="6998"/>
      <c r="M172" s="6998"/>
    </row>
    <row r="173" spans="2:13" ht="15" customHeight="1" x14ac:dyDescent="0.25">
      <c r="B173" s="8033">
        <v>45536</v>
      </c>
      <c r="C173" s="6947" t="s">
        <v>1840</v>
      </c>
      <c r="D173" s="7004" t="s">
        <v>1840</v>
      </c>
      <c r="E173" s="6980"/>
      <c r="F173" s="6980"/>
      <c r="G173" s="6980"/>
      <c r="H173" s="6980"/>
      <c r="I173" s="6980"/>
      <c r="J173" s="6980"/>
      <c r="K173" s="6980"/>
      <c r="L173" s="7004" t="s">
        <v>1840</v>
      </c>
      <c r="M173" s="7004"/>
    </row>
    <row r="174" spans="2:13" ht="15" customHeight="1" x14ac:dyDescent="0.25">
      <c r="B174" s="8033"/>
      <c r="C174" s="7010"/>
      <c r="D174" s="6948" t="s">
        <v>1841</v>
      </c>
      <c r="E174" s="6948" t="s">
        <v>1842</v>
      </c>
      <c r="F174" s="6948"/>
      <c r="G174" s="6948" t="s">
        <v>1843</v>
      </c>
      <c r="H174" s="6948"/>
      <c r="I174" s="6948" t="s">
        <v>1066</v>
      </c>
      <c r="J174" s="6948"/>
      <c r="K174" s="6948" t="s">
        <v>59</v>
      </c>
      <c r="L174" s="6948" t="s">
        <v>95</v>
      </c>
      <c r="M174" s="6948" t="s">
        <v>1303</v>
      </c>
    </row>
    <row r="175" spans="2:13" ht="15" customHeight="1" x14ac:dyDescent="0.25">
      <c r="B175" s="8033"/>
      <c r="C175" s="7000" t="s">
        <v>1851</v>
      </c>
      <c r="D175" s="7011">
        <v>18</v>
      </c>
      <c r="E175" s="7011">
        <v>16</v>
      </c>
      <c r="F175" s="7011"/>
      <c r="G175" s="7011"/>
      <c r="H175" s="7011"/>
      <c r="I175" s="7011">
        <v>547.54999999999995</v>
      </c>
      <c r="J175" s="7011"/>
      <c r="K175" s="7011">
        <v>121.93333333333334</v>
      </c>
      <c r="L175" s="7011">
        <v>90.85</v>
      </c>
      <c r="M175" s="7011">
        <v>147.08333333333334</v>
      </c>
    </row>
    <row r="176" spans="2:13" ht="15" customHeight="1" x14ac:dyDescent="0.25">
      <c r="B176" s="8033"/>
      <c r="C176" s="7000" t="s">
        <v>1852</v>
      </c>
      <c r="D176" s="7011"/>
      <c r="E176" s="7011"/>
      <c r="F176" s="7011"/>
      <c r="G176" s="7011"/>
      <c r="H176" s="7011"/>
      <c r="I176" s="7011"/>
      <c r="J176" s="7011"/>
      <c r="K176" s="7011"/>
      <c r="L176" s="7011"/>
      <c r="M176" s="7011"/>
    </row>
    <row r="177" spans="2:13" ht="15" customHeight="1" x14ac:dyDescent="0.25">
      <c r="B177" s="8033"/>
      <c r="C177" s="7000" t="s">
        <v>1853</v>
      </c>
      <c r="D177" s="7011"/>
      <c r="E177" s="7011">
        <v>1.92</v>
      </c>
      <c r="F177" s="7011"/>
      <c r="G177" s="7011"/>
      <c r="H177" s="7011"/>
      <c r="I177" s="7011"/>
      <c r="J177" s="7011"/>
      <c r="K177" s="7011">
        <v>22.25</v>
      </c>
      <c r="L177" s="7011">
        <v>14.633333333333333</v>
      </c>
      <c r="M177" s="7011">
        <v>10.166666666666666</v>
      </c>
    </row>
    <row r="178" spans="2:13" ht="15" customHeight="1" x14ac:dyDescent="0.25">
      <c r="B178" s="8033"/>
      <c r="C178" s="7000" t="s">
        <v>466</v>
      </c>
      <c r="D178" s="7011"/>
      <c r="E178" s="7011"/>
      <c r="F178" s="7011"/>
      <c r="G178" s="7011"/>
      <c r="H178" s="7011"/>
      <c r="I178" s="7011"/>
      <c r="J178" s="7011"/>
      <c r="K178" s="7011"/>
      <c r="L178" s="7011"/>
      <c r="M178" s="7011"/>
    </row>
    <row r="179" spans="2:13" ht="15" customHeight="1" x14ac:dyDescent="0.25">
      <c r="B179" s="8033"/>
      <c r="C179" s="7000" t="s">
        <v>1854</v>
      </c>
      <c r="D179" s="7011"/>
      <c r="E179" s="7011"/>
      <c r="F179" s="7011"/>
      <c r="G179" s="7011"/>
      <c r="H179" s="7011"/>
      <c r="I179" s="7011"/>
      <c r="J179" s="7011"/>
      <c r="K179" s="7011"/>
      <c r="L179" s="7011"/>
      <c r="M179" s="7011"/>
    </row>
    <row r="180" spans="2:13" ht="15" customHeight="1" x14ac:dyDescent="0.25">
      <c r="B180" s="8033"/>
      <c r="C180" s="7000" t="s">
        <v>1855</v>
      </c>
      <c r="D180" s="7011">
        <v>2</v>
      </c>
      <c r="E180" s="7011">
        <v>2.42</v>
      </c>
      <c r="F180" s="7011"/>
      <c r="G180" s="7011"/>
      <c r="H180" s="7011"/>
      <c r="I180" s="7011">
        <v>14.43</v>
      </c>
      <c r="J180" s="7011"/>
      <c r="K180" s="7011">
        <v>19.616666666666667</v>
      </c>
      <c r="L180" s="7011">
        <v>38.549999999999997</v>
      </c>
      <c r="M180" s="7011">
        <v>22.083333333333332</v>
      </c>
    </row>
    <row r="181" spans="2:13" ht="15" customHeight="1" x14ac:dyDescent="0.25">
      <c r="B181" s="8033"/>
      <c r="C181" s="7000" t="s">
        <v>1856</v>
      </c>
      <c r="D181" s="7011">
        <v>1.75</v>
      </c>
      <c r="E181" s="7011">
        <v>4</v>
      </c>
      <c r="F181" s="7011"/>
      <c r="G181" s="7011"/>
      <c r="H181" s="7011"/>
      <c r="I181" s="7011">
        <v>1.6</v>
      </c>
      <c r="J181" s="7011"/>
      <c r="K181" s="7011">
        <v>8.1833333333333336</v>
      </c>
      <c r="L181" s="7011">
        <v>6.35</v>
      </c>
      <c r="M181" s="7011">
        <v>10.75</v>
      </c>
    </row>
    <row r="182" spans="2:13" ht="15" customHeight="1" x14ac:dyDescent="0.25">
      <c r="B182" s="8033"/>
      <c r="C182" s="7000" t="s">
        <v>1857</v>
      </c>
      <c r="D182" s="7011"/>
      <c r="E182" s="7011">
        <v>1.25</v>
      </c>
      <c r="F182" s="7011"/>
      <c r="G182" s="7011"/>
      <c r="H182" s="7011"/>
      <c r="I182" s="7011"/>
      <c r="J182" s="7011"/>
      <c r="K182" s="7011"/>
      <c r="L182" s="7011"/>
      <c r="M182" s="7011"/>
    </row>
    <row r="183" spans="2:13" ht="15" customHeight="1" x14ac:dyDescent="0.25">
      <c r="B183" s="8033"/>
      <c r="C183" s="7000" t="s">
        <v>1858</v>
      </c>
      <c r="D183" s="7011">
        <v>18.329999999999998</v>
      </c>
      <c r="E183" s="7011">
        <v>22.83</v>
      </c>
      <c r="F183" s="7011"/>
      <c r="G183" s="7011"/>
      <c r="H183" s="7011"/>
      <c r="I183" s="7011"/>
      <c r="J183" s="7011"/>
      <c r="K183" s="7011"/>
      <c r="L183" s="7011"/>
      <c r="M183" s="7011"/>
    </row>
    <row r="184" spans="2:13" ht="15" customHeight="1" x14ac:dyDescent="0.25">
      <c r="B184" s="8033"/>
      <c r="C184" s="6981" t="s">
        <v>1859</v>
      </c>
      <c r="D184" s="7011"/>
      <c r="E184" s="7011"/>
      <c r="F184" s="7011"/>
      <c r="G184" s="7011"/>
      <c r="H184" s="7011"/>
      <c r="I184" s="7011"/>
      <c r="J184" s="7011"/>
      <c r="K184" s="7011"/>
      <c r="L184" s="7011"/>
      <c r="M184" s="7011"/>
    </row>
    <row r="185" spans="2:13" ht="15" customHeight="1" x14ac:dyDescent="0.25">
      <c r="B185" s="8033"/>
      <c r="C185" s="7000" t="s">
        <v>1860</v>
      </c>
      <c r="D185" s="7011"/>
      <c r="E185" s="7011"/>
      <c r="F185" s="7011"/>
      <c r="G185" s="7011"/>
      <c r="H185" s="7011"/>
      <c r="I185" s="7011"/>
      <c r="J185" s="7011"/>
      <c r="K185" s="7011">
        <v>11.083333333333334</v>
      </c>
      <c r="L185" s="7011">
        <v>9.75</v>
      </c>
      <c r="M185" s="7011">
        <v>14.083333333333334</v>
      </c>
    </row>
    <row r="186" spans="2:13" ht="15" customHeight="1" x14ac:dyDescent="0.25">
      <c r="B186" s="8033"/>
      <c r="C186" s="7000" t="s">
        <v>1861</v>
      </c>
      <c r="D186" s="7011"/>
      <c r="E186" s="7011"/>
      <c r="F186" s="7011"/>
      <c r="G186" s="7011"/>
      <c r="H186" s="7011"/>
      <c r="I186" s="7011"/>
      <c r="J186" s="7011"/>
      <c r="K186" s="7011">
        <v>0.25</v>
      </c>
      <c r="L186" s="7011">
        <v>3.8</v>
      </c>
      <c r="M186" s="7011">
        <v>4.416666666666667</v>
      </c>
    </row>
    <row r="187" spans="2:13" ht="15" customHeight="1" x14ac:dyDescent="0.25">
      <c r="B187" s="8033"/>
      <c r="C187" s="7000" t="s">
        <v>1862</v>
      </c>
      <c r="D187" s="7011">
        <v>0.67</v>
      </c>
      <c r="E187" s="7011"/>
      <c r="F187" s="7011"/>
      <c r="G187" s="7011"/>
      <c r="H187" s="7011"/>
      <c r="I187" s="7011"/>
      <c r="J187" s="7011"/>
      <c r="K187" s="7011"/>
      <c r="L187" s="7011"/>
      <c r="M187" s="7011"/>
    </row>
    <row r="188" spans="2:13" ht="15" customHeight="1" x14ac:dyDescent="0.25">
      <c r="B188" s="8033"/>
      <c r="C188" s="6981" t="s">
        <v>1863</v>
      </c>
      <c r="D188" s="7011"/>
      <c r="E188" s="7011"/>
      <c r="F188" s="7011"/>
      <c r="G188" s="7011"/>
      <c r="H188" s="7011"/>
      <c r="I188" s="7011"/>
      <c r="J188" s="7011"/>
      <c r="K188" s="7011"/>
      <c r="L188" s="7011"/>
      <c r="M188" s="7011"/>
    </row>
    <row r="189" spans="2:13" ht="15" customHeight="1" x14ac:dyDescent="0.25">
      <c r="B189" s="8033"/>
      <c r="C189" s="7000" t="s">
        <v>1864</v>
      </c>
      <c r="D189" s="7011">
        <v>10.41</v>
      </c>
      <c r="E189" s="7011">
        <v>11.5</v>
      </c>
      <c r="F189" s="7011"/>
      <c r="G189" s="7011"/>
      <c r="H189" s="7011"/>
      <c r="I189" s="7011"/>
      <c r="J189" s="7011"/>
      <c r="K189" s="7011"/>
      <c r="L189" s="7011"/>
      <c r="M189" s="7011"/>
    </row>
    <row r="190" spans="2:13" ht="15" customHeight="1" x14ac:dyDescent="0.25">
      <c r="B190" s="8033"/>
      <c r="C190" s="7000" t="s">
        <v>82</v>
      </c>
      <c r="D190" s="7011">
        <v>0.5</v>
      </c>
      <c r="E190" s="7011">
        <v>0.5</v>
      </c>
      <c r="F190" s="7011"/>
      <c r="G190" s="7011"/>
      <c r="H190" s="7011"/>
      <c r="I190" s="7011"/>
      <c r="J190" s="7011"/>
      <c r="K190" s="7011"/>
      <c r="L190" s="7011"/>
      <c r="M190" s="7011"/>
    </row>
    <row r="191" spans="2:13" ht="15" customHeight="1" x14ac:dyDescent="0.25">
      <c r="B191" s="8033"/>
      <c r="C191" s="7000" t="s">
        <v>1865</v>
      </c>
      <c r="D191" s="7011"/>
      <c r="E191" s="7011"/>
      <c r="F191" s="7011"/>
      <c r="G191" s="7011"/>
      <c r="H191" s="7011"/>
      <c r="I191" s="7011">
        <v>2.8</v>
      </c>
      <c r="J191" s="7011"/>
      <c r="K191" s="7011"/>
      <c r="L191" s="7011"/>
      <c r="M191" s="7011"/>
    </row>
    <row r="192" spans="2:13" ht="15" customHeight="1" x14ac:dyDescent="0.25">
      <c r="B192" s="8033"/>
      <c r="C192" s="7000" t="s">
        <v>100</v>
      </c>
      <c r="D192" s="7011"/>
      <c r="E192" s="7011"/>
      <c r="F192" s="7011"/>
      <c r="G192" s="7011">
        <v>2</v>
      </c>
      <c r="H192" s="7011"/>
      <c r="I192" s="7011"/>
      <c r="J192" s="7011"/>
      <c r="K192" s="7011"/>
      <c r="L192" s="7011"/>
      <c r="M192" s="7011"/>
    </row>
    <row r="193" spans="2:13" ht="15" customHeight="1" x14ac:dyDescent="0.25">
      <c r="B193" s="8033"/>
      <c r="C193" s="7000" t="s">
        <v>58</v>
      </c>
      <c r="D193" s="7011"/>
      <c r="E193" s="7011"/>
      <c r="F193" s="7011"/>
      <c r="G193" s="7011"/>
      <c r="H193" s="7011"/>
      <c r="I193" s="7011">
        <v>3.28</v>
      </c>
      <c r="J193" s="7011"/>
      <c r="K193" s="7011"/>
      <c r="L193" s="7011"/>
      <c r="M193" s="7011"/>
    </row>
    <row r="194" spans="2:13" ht="15" customHeight="1" x14ac:dyDescent="0.25">
      <c r="B194" s="8033"/>
      <c r="C194" s="7000" t="s">
        <v>2129</v>
      </c>
      <c r="D194" s="7011"/>
      <c r="E194" s="7011"/>
      <c r="F194" s="7011"/>
      <c r="G194" s="7011"/>
      <c r="H194" s="7011"/>
      <c r="I194" s="7011">
        <v>1</v>
      </c>
      <c r="J194" s="7011"/>
      <c r="K194" s="7011"/>
      <c r="L194" s="7011"/>
      <c r="M194" s="7011"/>
    </row>
    <row r="195" spans="2:13" ht="15" customHeight="1" x14ac:dyDescent="0.25">
      <c r="B195" s="8033"/>
      <c r="C195" s="7000" t="s">
        <v>1866</v>
      </c>
      <c r="D195" s="7011"/>
      <c r="E195" s="7011"/>
      <c r="F195" s="7011"/>
      <c r="G195" s="7011"/>
      <c r="H195" s="7011"/>
      <c r="I195" s="7011">
        <v>4.75</v>
      </c>
      <c r="J195" s="7011"/>
      <c r="K195" s="7011"/>
      <c r="L195" s="7011"/>
      <c r="M195" s="7011"/>
    </row>
    <row r="196" spans="2:13" ht="15" customHeight="1" x14ac:dyDescent="0.25">
      <c r="B196" s="8033">
        <v>45566</v>
      </c>
      <c r="C196" s="6947" t="s">
        <v>1840</v>
      </c>
      <c r="D196" s="7004" t="s">
        <v>1840</v>
      </c>
      <c r="E196" s="6980"/>
      <c r="F196" s="6980"/>
      <c r="G196" s="6980"/>
      <c r="H196" s="6980"/>
      <c r="I196" s="6980"/>
      <c r="J196" s="6980"/>
      <c r="K196" s="6980"/>
      <c r="L196" s="7004" t="s">
        <v>1840</v>
      </c>
      <c r="M196" s="7004"/>
    </row>
    <row r="197" spans="2:13" ht="15" customHeight="1" x14ac:dyDescent="0.25">
      <c r="B197" s="8033"/>
      <c r="C197" s="7010"/>
      <c r="D197" s="6948" t="s">
        <v>1841</v>
      </c>
      <c r="E197" s="6948" t="s">
        <v>1842</v>
      </c>
      <c r="F197" s="6948"/>
      <c r="G197" s="6948" t="s">
        <v>1843</v>
      </c>
      <c r="H197" s="6948"/>
      <c r="I197" s="6948" t="s">
        <v>1066</v>
      </c>
      <c r="J197" s="6948"/>
      <c r="K197" s="6948" t="s">
        <v>59</v>
      </c>
      <c r="L197" s="6948" t="s">
        <v>95</v>
      </c>
      <c r="M197" s="6948" t="s">
        <v>1303</v>
      </c>
    </row>
    <row r="198" spans="2:13" ht="15" customHeight="1" x14ac:dyDescent="0.25">
      <c r="B198" s="8033"/>
      <c r="C198" s="7000" t="s">
        <v>1851</v>
      </c>
      <c r="D198" s="7011">
        <v>34.42</v>
      </c>
      <c r="E198" s="7011">
        <v>3.5</v>
      </c>
      <c r="F198" s="6998"/>
      <c r="G198" s="7011">
        <v>24.83</v>
      </c>
      <c r="H198" s="6998"/>
      <c r="I198" s="7011">
        <v>577.98</v>
      </c>
      <c r="J198" s="6998"/>
      <c r="K198" s="7011">
        <v>117.48333333333333</v>
      </c>
      <c r="L198" s="7011">
        <v>81.683333333333337</v>
      </c>
      <c r="M198" s="7011">
        <v>148.08333333333334</v>
      </c>
    </row>
    <row r="199" spans="2:13" ht="15" customHeight="1" x14ac:dyDescent="0.25">
      <c r="B199" s="8033"/>
      <c r="C199" s="7000" t="s">
        <v>1852</v>
      </c>
      <c r="D199" s="7011"/>
      <c r="E199" s="7011"/>
      <c r="F199" s="6998"/>
      <c r="G199" s="6998"/>
      <c r="H199" s="6998"/>
      <c r="I199" s="7011"/>
      <c r="J199" s="6998"/>
      <c r="K199" s="7011"/>
      <c r="L199" s="7011"/>
      <c r="M199" s="7011"/>
    </row>
    <row r="200" spans="2:13" ht="15" customHeight="1" x14ac:dyDescent="0.25">
      <c r="B200" s="8033"/>
      <c r="C200" s="7000" t="s">
        <v>1853</v>
      </c>
      <c r="D200" s="7011"/>
      <c r="E200" s="7011">
        <v>0.43</v>
      </c>
      <c r="F200" s="6998"/>
      <c r="G200" s="6998"/>
      <c r="H200" s="6998"/>
      <c r="I200" s="7011"/>
      <c r="J200" s="6998"/>
      <c r="K200" s="7011">
        <v>15.366666666666667</v>
      </c>
      <c r="L200" s="7011">
        <v>18.399999999999999</v>
      </c>
      <c r="M200" s="7011">
        <v>19.166666666666668</v>
      </c>
    </row>
    <row r="201" spans="2:13" ht="15" customHeight="1" x14ac:dyDescent="0.25">
      <c r="B201" s="8033"/>
      <c r="C201" s="7000" t="s">
        <v>466</v>
      </c>
      <c r="D201" s="7011"/>
      <c r="E201" s="7011"/>
      <c r="F201" s="6998"/>
      <c r="G201" s="6998"/>
      <c r="H201" s="6998"/>
      <c r="I201" s="7011"/>
      <c r="J201" s="6998"/>
      <c r="K201" s="7011"/>
      <c r="L201" s="7011"/>
      <c r="M201" s="7011"/>
    </row>
    <row r="202" spans="2:13" ht="15" customHeight="1" x14ac:dyDescent="0.25">
      <c r="B202" s="8033"/>
      <c r="C202" s="7000" t="s">
        <v>1854</v>
      </c>
      <c r="D202" s="7011"/>
      <c r="E202" s="7011"/>
      <c r="F202" s="6998"/>
      <c r="G202" s="6998"/>
      <c r="H202" s="6998"/>
      <c r="I202" s="7011"/>
      <c r="J202" s="6998"/>
      <c r="K202" s="7011"/>
      <c r="L202" s="7011"/>
      <c r="M202" s="7011"/>
    </row>
    <row r="203" spans="2:13" ht="15" customHeight="1" x14ac:dyDescent="0.25">
      <c r="B203" s="8033"/>
      <c r="C203" s="7000" t="s">
        <v>1855</v>
      </c>
      <c r="D203" s="7011">
        <v>2.75</v>
      </c>
      <c r="E203" s="7011">
        <v>1.78</v>
      </c>
      <c r="F203" s="6998"/>
      <c r="G203" s="6998"/>
      <c r="H203" s="6998"/>
      <c r="I203" s="7011">
        <v>9</v>
      </c>
      <c r="J203" s="6998"/>
      <c r="K203" s="7011">
        <v>27.633333333333333</v>
      </c>
      <c r="L203" s="7011">
        <v>60.966666666666669</v>
      </c>
      <c r="M203" s="7011">
        <v>26.833333333333332</v>
      </c>
    </row>
    <row r="204" spans="2:13" ht="15" customHeight="1" x14ac:dyDescent="0.25">
      <c r="B204" s="8033"/>
      <c r="C204" s="7000" t="s">
        <v>1856</v>
      </c>
      <c r="D204" s="7011"/>
      <c r="E204" s="7011"/>
      <c r="F204" s="6998"/>
      <c r="G204" s="6998"/>
      <c r="H204" s="6998"/>
      <c r="I204" s="7011">
        <v>4.5</v>
      </c>
      <c r="J204" s="6998"/>
      <c r="K204" s="7011">
        <v>6.9666666666666668</v>
      </c>
      <c r="L204" s="7011">
        <v>6.2833333333333332</v>
      </c>
      <c r="M204" s="7011">
        <v>25.916666666666668</v>
      </c>
    </row>
    <row r="205" spans="2:13" ht="15" customHeight="1" x14ac:dyDescent="0.25">
      <c r="B205" s="8033"/>
      <c r="C205" s="7000" t="s">
        <v>1857</v>
      </c>
      <c r="D205" s="7011"/>
      <c r="E205" s="7011"/>
      <c r="F205" s="6998"/>
      <c r="G205" s="6998"/>
      <c r="H205" s="6998"/>
      <c r="I205" s="7011"/>
      <c r="J205" s="6998"/>
      <c r="K205" s="7011"/>
      <c r="L205" s="7011"/>
      <c r="M205" s="7011"/>
    </row>
    <row r="206" spans="2:13" ht="15" customHeight="1" x14ac:dyDescent="0.25">
      <c r="B206" s="8033"/>
      <c r="C206" s="7000" t="s">
        <v>1858</v>
      </c>
      <c r="D206" s="7011">
        <v>33.5</v>
      </c>
      <c r="E206" s="7011">
        <v>59.25</v>
      </c>
      <c r="F206" s="6998"/>
      <c r="G206" s="6998"/>
      <c r="H206" s="6998"/>
      <c r="I206" s="7011"/>
      <c r="J206" s="6998"/>
      <c r="K206" s="7011"/>
      <c r="L206" s="7011"/>
      <c r="M206" s="7011"/>
    </row>
    <row r="207" spans="2:13" ht="15" customHeight="1" x14ac:dyDescent="0.25">
      <c r="B207" s="8033"/>
      <c r="C207" s="6981" t="s">
        <v>1859</v>
      </c>
      <c r="D207" s="7011"/>
      <c r="E207" s="7011"/>
      <c r="F207" s="7001"/>
      <c r="G207" s="6998"/>
      <c r="H207" s="7012"/>
      <c r="I207" s="7011"/>
      <c r="J207" s="7001"/>
      <c r="K207" s="7011"/>
      <c r="L207" s="7011"/>
      <c r="M207" s="7011"/>
    </row>
    <row r="208" spans="2:13" ht="15" customHeight="1" x14ac:dyDescent="0.25">
      <c r="B208" s="8033"/>
      <c r="C208" s="7000" t="s">
        <v>1860</v>
      </c>
      <c r="D208" s="7011"/>
      <c r="E208" s="7011">
        <v>0.5</v>
      </c>
      <c r="F208" s="6998"/>
      <c r="G208" s="6998"/>
      <c r="H208" s="6998"/>
      <c r="I208" s="7011"/>
      <c r="J208" s="6998"/>
      <c r="K208" s="7011">
        <v>17.883333333333333</v>
      </c>
      <c r="L208" s="7011">
        <v>39.633333333333333</v>
      </c>
      <c r="M208" s="7011">
        <v>22.25</v>
      </c>
    </row>
    <row r="209" spans="2:13" ht="15" customHeight="1" x14ac:dyDescent="0.25">
      <c r="B209" s="8033"/>
      <c r="C209" s="7000" t="s">
        <v>1861</v>
      </c>
      <c r="D209" s="7011"/>
      <c r="E209" s="7011"/>
      <c r="F209" s="6998"/>
      <c r="G209" s="6998"/>
      <c r="H209" s="6998"/>
      <c r="I209" s="7011"/>
      <c r="J209" s="6998"/>
      <c r="K209" s="7011">
        <v>1.75</v>
      </c>
      <c r="L209" s="7011">
        <v>9.0666666666666664</v>
      </c>
      <c r="M209" s="7011">
        <v>23</v>
      </c>
    </row>
    <row r="210" spans="2:13" ht="15" customHeight="1" x14ac:dyDescent="0.25">
      <c r="B210" s="8033"/>
      <c r="C210" s="7000" t="s">
        <v>1862</v>
      </c>
      <c r="D210" s="7011">
        <v>0.35</v>
      </c>
      <c r="E210" s="7011"/>
      <c r="F210" s="6998"/>
      <c r="G210" s="6998"/>
      <c r="H210" s="6998"/>
      <c r="I210" s="7011">
        <v>7.5</v>
      </c>
      <c r="J210" s="6998"/>
      <c r="K210" s="7011"/>
      <c r="L210" s="7011"/>
      <c r="M210" s="7011"/>
    </row>
    <row r="211" spans="2:13" ht="15" customHeight="1" x14ac:dyDescent="0.25">
      <c r="B211" s="8033"/>
      <c r="C211" s="7000" t="s">
        <v>1863</v>
      </c>
      <c r="D211" s="7011"/>
      <c r="E211" s="7011"/>
      <c r="F211" s="6998"/>
      <c r="G211" s="6998"/>
      <c r="H211" s="6998"/>
      <c r="I211" s="7011"/>
      <c r="J211" s="6998"/>
      <c r="K211" s="7011"/>
      <c r="L211" s="7011"/>
      <c r="M211" s="7011"/>
    </row>
    <row r="212" spans="2:13" ht="15" customHeight="1" x14ac:dyDescent="0.25">
      <c r="B212" s="8033"/>
      <c r="C212" s="7000" t="s">
        <v>1864</v>
      </c>
      <c r="D212" s="7011">
        <v>5</v>
      </c>
      <c r="E212" s="7011">
        <v>13.25</v>
      </c>
      <c r="F212" s="6998"/>
      <c r="G212" s="6998"/>
      <c r="H212" s="6998"/>
      <c r="I212" s="7011"/>
      <c r="J212" s="6998"/>
      <c r="K212" s="7011"/>
      <c r="L212" s="7011"/>
      <c r="M212" s="7011"/>
    </row>
    <row r="213" spans="2:13" ht="15" customHeight="1" x14ac:dyDescent="0.25">
      <c r="B213" s="8033"/>
      <c r="C213" s="7000" t="s">
        <v>82</v>
      </c>
      <c r="D213" s="7011"/>
      <c r="E213" s="7011"/>
      <c r="F213" s="6998"/>
      <c r="G213" s="6998"/>
      <c r="H213" s="6998"/>
      <c r="I213" s="7011"/>
      <c r="J213" s="6998"/>
      <c r="K213" s="6998"/>
      <c r="L213" s="6998"/>
      <c r="M213" s="6998"/>
    </row>
    <row r="214" spans="2:13" ht="15" customHeight="1" x14ac:dyDescent="0.25">
      <c r="B214" s="8033"/>
      <c r="C214" s="7000" t="s">
        <v>1865</v>
      </c>
      <c r="D214" s="7011"/>
      <c r="E214" s="7011"/>
      <c r="F214" s="6998"/>
      <c r="G214" s="6998"/>
      <c r="H214" s="6998"/>
      <c r="I214" s="7011">
        <v>0.75</v>
      </c>
      <c r="J214" s="6998"/>
      <c r="K214" s="6998"/>
      <c r="L214" s="6998"/>
      <c r="M214" s="6998"/>
    </row>
    <row r="215" spans="2:13" ht="15" customHeight="1" x14ac:dyDescent="0.25">
      <c r="B215" s="8033"/>
      <c r="C215" s="7000" t="s">
        <v>100</v>
      </c>
      <c r="D215" s="7011"/>
      <c r="E215" s="7011"/>
      <c r="F215" s="6998"/>
      <c r="G215" s="6998"/>
      <c r="H215" s="6998"/>
      <c r="I215" s="7011">
        <v>9.9</v>
      </c>
      <c r="J215" s="6998"/>
      <c r="K215" s="6998"/>
      <c r="L215" s="6998"/>
      <c r="M215" s="6998"/>
    </row>
    <row r="216" spans="2:13" ht="15" customHeight="1" x14ac:dyDescent="0.25">
      <c r="B216" s="8033"/>
      <c r="C216" s="7000" t="s">
        <v>58</v>
      </c>
      <c r="D216" s="7011"/>
      <c r="E216" s="7011"/>
      <c r="F216" s="6998"/>
      <c r="G216" s="6998"/>
      <c r="H216" s="6998"/>
      <c r="I216" s="7011">
        <v>1.93</v>
      </c>
      <c r="J216" s="6998"/>
      <c r="K216" s="6998"/>
      <c r="L216" s="6998"/>
      <c r="M216" s="6998"/>
    </row>
    <row r="217" spans="2:13" ht="15" customHeight="1" x14ac:dyDescent="0.25">
      <c r="B217" s="8033"/>
      <c r="C217" s="7000" t="s">
        <v>2129</v>
      </c>
      <c r="D217" s="7011"/>
      <c r="E217" s="7011"/>
      <c r="F217" s="6998"/>
      <c r="G217" s="6998"/>
      <c r="H217" s="6998"/>
      <c r="I217" s="7011"/>
      <c r="J217" s="6998"/>
      <c r="K217" s="6998"/>
      <c r="L217" s="6998"/>
      <c r="M217" s="6998"/>
    </row>
    <row r="218" spans="2:13" ht="15" customHeight="1" x14ac:dyDescent="0.25">
      <c r="B218" s="8033"/>
      <c r="C218" s="7000" t="s">
        <v>1866</v>
      </c>
      <c r="D218" s="7011"/>
      <c r="E218" s="7011"/>
      <c r="F218" s="6998"/>
      <c r="G218" s="6998"/>
      <c r="H218" s="6998"/>
      <c r="I218" s="7011">
        <v>98.03</v>
      </c>
      <c r="J218" s="6998"/>
      <c r="K218" s="6998"/>
      <c r="L218" s="6998"/>
      <c r="M218" s="6998"/>
    </row>
    <row r="219" spans="2:13" ht="15" customHeight="1" x14ac:dyDescent="0.25">
      <c r="B219" s="8033">
        <v>45597</v>
      </c>
      <c r="C219" s="6947" t="s">
        <v>1840</v>
      </c>
      <c r="D219" s="7004" t="s">
        <v>1840</v>
      </c>
      <c r="E219" s="6980"/>
      <c r="F219" s="6980"/>
      <c r="G219" s="6980"/>
      <c r="H219" s="6980"/>
      <c r="I219" s="6980"/>
      <c r="J219" s="6980"/>
      <c r="K219" s="6980"/>
      <c r="L219" s="7004" t="s">
        <v>1840</v>
      </c>
      <c r="M219" s="7004"/>
    </row>
    <row r="220" spans="2:13" ht="15" customHeight="1" x14ac:dyDescent="0.25">
      <c r="B220" s="8033"/>
      <c r="C220" s="7010"/>
      <c r="D220" s="6948" t="s">
        <v>1841</v>
      </c>
      <c r="E220" s="6948" t="s">
        <v>1842</v>
      </c>
      <c r="F220" s="6948"/>
      <c r="G220" s="6948" t="s">
        <v>1843</v>
      </c>
      <c r="H220" s="6948"/>
      <c r="I220" s="6948" t="s">
        <v>1066</v>
      </c>
      <c r="J220" s="6948"/>
      <c r="K220" s="6948" t="s">
        <v>59</v>
      </c>
      <c r="L220" s="6948" t="s">
        <v>95</v>
      </c>
      <c r="M220" s="6948" t="s">
        <v>1303</v>
      </c>
    </row>
    <row r="221" spans="2:13" ht="15" customHeight="1" x14ac:dyDescent="0.25">
      <c r="B221" s="8033"/>
      <c r="C221" s="7000" t="s">
        <v>1851</v>
      </c>
      <c r="D221" s="6976"/>
      <c r="E221" s="6998"/>
      <c r="F221" s="6998"/>
      <c r="G221" s="6998"/>
      <c r="H221" s="6998"/>
      <c r="I221" s="7011">
        <v>27.45</v>
      </c>
      <c r="J221" s="7011"/>
      <c r="K221" s="7011">
        <v>88.333333333333329</v>
      </c>
      <c r="L221" s="7011">
        <v>49.65</v>
      </c>
      <c r="M221" s="7011">
        <v>34.416666666666664</v>
      </c>
    </row>
    <row r="222" spans="2:13" ht="15" customHeight="1" x14ac:dyDescent="0.25">
      <c r="B222" s="8033"/>
      <c r="C222" s="7000" t="s">
        <v>1852</v>
      </c>
      <c r="D222" s="7011">
        <v>623</v>
      </c>
      <c r="E222" s="7011">
        <v>663.5</v>
      </c>
      <c r="F222" s="7011"/>
      <c r="G222" s="7011">
        <v>651</v>
      </c>
      <c r="H222" s="7011"/>
      <c r="I222" s="7011">
        <v>2016</v>
      </c>
      <c r="J222" s="7011"/>
      <c r="K222" s="7011">
        <v>310.16666666666669</v>
      </c>
      <c r="L222" s="7011">
        <v>629</v>
      </c>
      <c r="M222" s="7011">
        <v>528</v>
      </c>
    </row>
    <row r="223" spans="2:13" ht="15" customHeight="1" x14ac:dyDescent="0.25">
      <c r="B223" s="8033"/>
      <c r="C223" s="7000" t="s">
        <v>1853</v>
      </c>
      <c r="D223" s="7011"/>
      <c r="E223" s="7011"/>
      <c r="F223" s="7011"/>
      <c r="G223" s="7011"/>
      <c r="H223" s="7011"/>
      <c r="I223" s="7011"/>
      <c r="J223" s="7011"/>
      <c r="K223" s="7011">
        <v>10.733333333333333</v>
      </c>
      <c r="L223" s="7011">
        <v>0.6333333333333333</v>
      </c>
      <c r="M223" s="7011">
        <v>0.16666666666666666</v>
      </c>
    </row>
    <row r="224" spans="2:13" ht="15" customHeight="1" x14ac:dyDescent="0.25">
      <c r="B224" s="8033"/>
      <c r="C224" s="7000" t="s">
        <v>466</v>
      </c>
      <c r="D224" s="7011"/>
      <c r="E224" s="7011"/>
      <c r="F224" s="7011"/>
      <c r="G224" s="7011"/>
      <c r="H224" s="7011"/>
      <c r="I224" s="7011"/>
      <c r="J224" s="7011"/>
      <c r="K224" s="7011"/>
      <c r="L224" s="7011"/>
      <c r="M224" s="7011"/>
    </row>
    <row r="225" spans="2:13" ht="15" customHeight="1" x14ac:dyDescent="0.25">
      <c r="B225" s="8033"/>
      <c r="C225" s="7000" t="s">
        <v>1854</v>
      </c>
      <c r="D225" s="7011"/>
      <c r="E225" s="7011"/>
      <c r="F225" s="7011"/>
      <c r="G225" s="7011"/>
      <c r="H225" s="7011"/>
      <c r="I225" s="7011"/>
      <c r="J225" s="7011"/>
      <c r="K225" s="7011"/>
      <c r="L225" s="7011"/>
      <c r="M225" s="7011"/>
    </row>
    <row r="226" spans="2:13" ht="15" customHeight="1" x14ac:dyDescent="0.25">
      <c r="B226" s="8033"/>
      <c r="C226" s="7000" t="s">
        <v>1855</v>
      </c>
      <c r="D226" s="7011"/>
      <c r="E226" s="7011"/>
      <c r="F226" s="7011"/>
      <c r="G226" s="7011"/>
      <c r="H226" s="7011"/>
      <c r="I226" s="7011"/>
      <c r="J226" s="7011"/>
      <c r="K226" s="7011">
        <v>13.85</v>
      </c>
      <c r="L226" s="7011">
        <v>9.4499999999999993</v>
      </c>
      <c r="M226" s="7011">
        <v>3.25</v>
      </c>
    </row>
    <row r="227" spans="2:13" ht="15" customHeight="1" x14ac:dyDescent="0.25">
      <c r="B227" s="8033"/>
      <c r="C227" s="7000" t="s">
        <v>1856</v>
      </c>
      <c r="D227" s="7011"/>
      <c r="E227" s="7011"/>
      <c r="F227" s="7011"/>
      <c r="G227" s="7011"/>
      <c r="H227" s="7011"/>
      <c r="I227" s="7011"/>
      <c r="J227" s="7011"/>
      <c r="K227" s="7011">
        <v>14.15</v>
      </c>
      <c r="L227" s="7011">
        <v>1.0166666666666666</v>
      </c>
      <c r="M227" s="7011">
        <v>4.5</v>
      </c>
    </row>
    <row r="228" spans="2:13" ht="15" customHeight="1" x14ac:dyDescent="0.25">
      <c r="B228" s="8033"/>
      <c r="C228" s="7000" t="s">
        <v>1857</v>
      </c>
      <c r="D228" s="7011"/>
      <c r="E228" s="7011"/>
      <c r="F228" s="7011"/>
      <c r="G228" s="7011"/>
      <c r="H228" s="7011"/>
      <c r="I228" s="7011"/>
      <c r="J228" s="7011"/>
      <c r="K228" s="7011"/>
      <c r="L228" s="7011"/>
      <c r="M228" s="7011"/>
    </row>
    <row r="229" spans="2:13" ht="15" customHeight="1" x14ac:dyDescent="0.25">
      <c r="B229" s="8033"/>
      <c r="C229" s="7000" t="s">
        <v>1858</v>
      </c>
      <c r="D229" s="7011">
        <v>30.25</v>
      </c>
      <c r="E229" s="7011">
        <v>8.25</v>
      </c>
      <c r="F229" s="7011"/>
      <c r="G229" s="7011"/>
      <c r="H229" s="7011"/>
      <c r="I229" s="7011"/>
      <c r="J229" s="7011"/>
      <c r="K229" s="7011"/>
      <c r="L229" s="7011"/>
      <c r="M229" s="7011"/>
    </row>
    <row r="230" spans="2:13" ht="15" customHeight="1" x14ac:dyDescent="0.25">
      <c r="B230" s="8033"/>
      <c r="C230" s="6981" t="s">
        <v>1859</v>
      </c>
      <c r="D230" s="7011"/>
      <c r="E230" s="7011"/>
      <c r="F230" s="7011"/>
      <c r="G230" s="7011"/>
      <c r="H230" s="7011"/>
      <c r="I230" s="7011"/>
      <c r="J230" s="7011"/>
      <c r="K230" s="7011"/>
      <c r="L230" s="7011"/>
      <c r="M230" s="7011"/>
    </row>
    <row r="231" spans="2:13" ht="15" customHeight="1" x14ac:dyDescent="0.25">
      <c r="B231" s="8033"/>
      <c r="C231" s="7000" t="s">
        <v>1860</v>
      </c>
      <c r="D231" s="7011"/>
      <c r="E231" s="7011"/>
      <c r="F231" s="7011"/>
      <c r="G231" s="7011"/>
      <c r="H231" s="7011"/>
      <c r="I231" s="7011"/>
      <c r="J231" s="7011"/>
      <c r="K231" s="7011">
        <v>9.5333333333333332</v>
      </c>
      <c r="L231" s="7011">
        <v>0.33333333333333331</v>
      </c>
      <c r="M231" s="7011">
        <v>3.25</v>
      </c>
    </row>
    <row r="232" spans="2:13" ht="15" customHeight="1" x14ac:dyDescent="0.25">
      <c r="B232" s="8033"/>
      <c r="C232" s="7000" t="s">
        <v>1861</v>
      </c>
      <c r="D232" s="7011"/>
      <c r="E232" s="7011"/>
      <c r="F232" s="7011"/>
      <c r="G232" s="7011"/>
      <c r="H232" s="7011"/>
      <c r="I232" s="7011"/>
      <c r="J232" s="7011"/>
      <c r="K232" s="7011">
        <v>8.5833333333333339</v>
      </c>
      <c r="L232" s="7011">
        <v>0.11666666666666667</v>
      </c>
      <c r="M232" s="7011">
        <v>8.3333333333333339</v>
      </c>
    </row>
    <row r="233" spans="2:13" ht="15" customHeight="1" x14ac:dyDescent="0.25">
      <c r="B233" s="8033"/>
      <c r="C233" s="7000" t="s">
        <v>1862</v>
      </c>
      <c r="D233" s="7011"/>
      <c r="E233" s="7011"/>
      <c r="F233" s="7011"/>
      <c r="G233" s="7011"/>
      <c r="H233" s="7011"/>
      <c r="I233" s="7011"/>
      <c r="J233" s="7011"/>
      <c r="K233" s="7011"/>
      <c r="L233" s="7011"/>
      <c r="M233" s="7011"/>
    </row>
    <row r="234" spans="2:13" ht="15" customHeight="1" x14ac:dyDescent="0.25">
      <c r="B234" s="8033"/>
      <c r="C234" s="7000" t="s">
        <v>1863</v>
      </c>
      <c r="D234" s="7011"/>
      <c r="E234" s="7011"/>
      <c r="F234" s="7011"/>
      <c r="G234" s="7011"/>
      <c r="H234" s="7011"/>
      <c r="I234" s="7011"/>
      <c r="J234" s="7011"/>
      <c r="K234" s="7011"/>
      <c r="L234" s="7011"/>
      <c r="M234" s="7011"/>
    </row>
    <row r="235" spans="2:13" ht="15" customHeight="1" x14ac:dyDescent="0.25">
      <c r="B235" s="8033"/>
      <c r="C235" s="7000" t="s">
        <v>1864</v>
      </c>
      <c r="D235" s="7011"/>
      <c r="E235" s="7011"/>
      <c r="F235" s="7011"/>
      <c r="G235" s="7011"/>
      <c r="H235" s="7011"/>
      <c r="I235" s="7011"/>
      <c r="J235" s="7011"/>
      <c r="K235" s="7011"/>
      <c r="L235" s="7011"/>
      <c r="M235" s="7011"/>
    </row>
    <row r="236" spans="2:13" ht="15" customHeight="1" x14ac:dyDescent="0.25">
      <c r="B236" s="8033"/>
      <c r="C236" s="7000" t="s">
        <v>82</v>
      </c>
      <c r="D236" s="7011"/>
      <c r="E236" s="7011"/>
      <c r="F236" s="7011"/>
      <c r="G236" s="7011"/>
      <c r="H236" s="7011"/>
      <c r="I236" s="7011"/>
      <c r="J236" s="7011"/>
      <c r="K236" s="7011"/>
      <c r="L236" s="7011"/>
      <c r="M236" s="7011"/>
    </row>
    <row r="237" spans="2:13" ht="15" customHeight="1" x14ac:dyDescent="0.25">
      <c r="B237" s="8033"/>
      <c r="C237" s="7000" t="s">
        <v>1865</v>
      </c>
      <c r="D237" s="7011"/>
      <c r="E237" s="7011"/>
      <c r="F237" s="7011"/>
      <c r="G237" s="7011"/>
      <c r="H237" s="7011"/>
      <c r="I237" s="7011"/>
      <c r="J237" s="7011"/>
      <c r="K237" s="7011"/>
      <c r="L237" s="7011"/>
      <c r="M237" s="7011"/>
    </row>
    <row r="238" spans="2:13" ht="15" customHeight="1" x14ac:dyDescent="0.25">
      <c r="B238" s="8033"/>
      <c r="C238" s="7000" t="s">
        <v>100</v>
      </c>
      <c r="D238" s="7011"/>
      <c r="E238" s="7011"/>
      <c r="F238" s="7011"/>
      <c r="G238" s="7011"/>
      <c r="H238" s="7011"/>
      <c r="I238" s="7011"/>
      <c r="J238" s="7011"/>
      <c r="K238" s="7011"/>
      <c r="L238" s="7011"/>
      <c r="M238" s="7011"/>
    </row>
    <row r="239" spans="2:13" ht="15" customHeight="1" x14ac:dyDescent="0.25">
      <c r="B239" s="8033"/>
      <c r="C239" s="7000" t="s">
        <v>58</v>
      </c>
      <c r="D239" s="7011"/>
      <c r="E239" s="7011"/>
      <c r="F239" s="7011"/>
      <c r="G239" s="7011"/>
      <c r="H239" s="7011"/>
      <c r="I239" s="7011"/>
      <c r="J239" s="7011"/>
      <c r="K239" s="7011"/>
      <c r="L239" s="7011"/>
      <c r="M239" s="7011"/>
    </row>
    <row r="240" spans="2:13" ht="15" customHeight="1" x14ac:dyDescent="0.25">
      <c r="B240" s="8033"/>
      <c r="C240" s="7000" t="s">
        <v>1866</v>
      </c>
      <c r="D240" s="7011"/>
      <c r="E240" s="7011"/>
      <c r="F240" s="7011"/>
      <c r="G240" s="7011"/>
      <c r="H240" s="7011"/>
      <c r="I240" s="7011"/>
      <c r="J240" s="7011"/>
      <c r="K240" s="7011"/>
      <c r="L240" s="7011"/>
      <c r="M240" s="7011"/>
    </row>
    <row r="241" spans="2:13" ht="15" customHeight="1" x14ac:dyDescent="0.25">
      <c r="B241" s="279"/>
    </row>
    <row r="242" spans="2:13" ht="15" customHeight="1" x14ac:dyDescent="0.25">
      <c r="B242" s="8033">
        <v>45627</v>
      </c>
      <c r="C242" s="6947" t="s">
        <v>1840</v>
      </c>
      <c r="D242" s="7004" t="s">
        <v>1840</v>
      </c>
      <c r="E242" s="6980"/>
      <c r="F242" s="6980"/>
      <c r="G242" s="6980"/>
      <c r="H242" s="6980"/>
      <c r="I242" s="6980"/>
      <c r="J242" s="6980"/>
      <c r="K242" s="6980"/>
      <c r="L242" s="7004" t="s">
        <v>1840</v>
      </c>
      <c r="M242" s="7004"/>
    </row>
    <row r="243" spans="2:13" ht="15" customHeight="1" x14ac:dyDescent="0.25">
      <c r="B243" s="8033"/>
      <c r="C243" s="7010"/>
      <c r="D243" s="6948" t="s">
        <v>1841</v>
      </c>
      <c r="E243" s="6948" t="s">
        <v>1842</v>
      </c>
      <c r="F243" s="6948"/>
      <c r="G243" s="6948" t="s">
        <v>1843</v>
      </c>
      <c r="H243" s="6948"/>
      <c r="I243" s="6948" t="s">
        <v>1066</v>
      </c>
      <c r="J243" s="6948"/>
      <c r="K243" s="6948" t="s">
        <v>59</v>
      </c>
      <c r="L243" s="6948" t="s">
        <v>95</v>
      </c>
      <c r="M243" s="6948" t="s">
        <v>1303</v>
      </c>
    </row>
    <row r="244" spans="2:13" ht="15" customHeight="1" x14ac:dyDescent="0.25">
      <c r="B244" s="8033"/>
      <c r="C244" s="7000" t="s">
        <v>1851</v>
      </c>
      <c r="D244" s="7011"/>
      <c r="E244" s="7011"/>
      <c r="F244" s="7011"/>
      <c r="G244" s="7011">
        <v>6</v>
      </c>
      <c r="H244" s="7011"/>
      <c r="I244" s="7011">
        <v>412.3</v>
      </c>
      <c r="J244" s="7011"/>
      <c r="K244" s="7011">
        <v>129.41666666666666</v>
      </c>
      <c r="L244" s="7011">
        <v>86.8</v>
      </c>
      <c r="M244" s="7011">
        <v>79.583333333333329</v>
      </c>
    </row>
    <row r="245" spans="2:13" ht="15" customHeight="1" x14ac:dyDescent="0.25">
      <c r="B245" s="8033"/>
      <c r="C245" s="7000" t="s">
        <v>1852</v>
      </c>
      <c r="D245" s="7011"/>
      <c r="E245" s="7011">
        <v>56</v>
      </c>
      <c r="F245" s="7011"/>
      <c r="G245" s="7011"/>
      <c r="H245" s="7011"/>
      <c r="I245" s="7011">
        <v>199</v>
      </c>
      <c r="J245" s="7011"/>
      <c r="K245" s="7011">
        <v>0</v>
      </c>
      <c r="L245" s="7011">
        <v>0</v>
      </c>
      <c r="M245" s="7011">
        <v>109.5</v>
      </c>
    </row>
    <row r="246" spans="2:13" ht="15" customHeight="1" x14ac:dyDescent="0.25">
      <c r="B246" s="8033"/>
      <c r="C246" s="7000" t="s">
        <v>1853</v>
      </c>
      <c r="D246" s="7011">
        <v>2.5</v>
      </c>
      <c r="E246" s="7011"/>
      <c r="F246" s="7011"/>
      <c r="G246" s="7011"/>
      <c r="H246" s="7011"/>
      <c r="I246" s="7011"/>
      <c r="J246" s="7011"/>
      <c r="K246" s="7011">
        <v>25.883333333333333</v>
      </c>
      <c r="L246" s="7011">
        <v>17.7</v>
      </c>
      <c r="M246" s="7011">
        <v>12.666666666666666</v>
      </c>
    </row>
    <row r="247" spans="2:13" ht="15" customHeight="1" x14ac:dyDescent="0.25">
      <c r="B247" s="8033"/>
      <c r="C247" s="7000" t="s">
        <v>466</v>
      </c>
      <c r="D247" s="7011"/>
      <c r="E247" s="7011"/>
      <c r="F247" s="7011"/>
      <c r="G247" s="7011"/>
      <c r="H247" s="7011"/>
      <c r="I247" s="7011"/>
      <c r="J247" s="7011"/>
      <c r="K247" s="7011"/>
      <c r="L247" s="7011"/>
      <c r="M247" s="7011"/>
    </row>
    <row r="248" spans="2:13" ht="15" customHeight="1" x14ac:dyDescent="0.25">
      <c r="B248" s="8033"/>
      <c r="C248" s="7000" t="s">
        <v>1854</v>
      </c>
      <c r="D248" s="7011"/>
      <c r="E248" s="7011"/>
      <c r="F248" s="7011"/>
      <c r="G248" s="7011"/>
      <c r="H248" s="7011"/>
      <c r="I248" s="7011"/>
      <c r="J248" s="7011"/>
      <c r="K248" s="7011"/>
      <c r="L248" s="7011"/>
      <c r="M248" s="7011"/>
    </row>
    <row r="249" spans="2:13" ht="15" customHeight="1" x14ac:dyDescent="0.25">
      <c r="B249" s="8033"/>
      <c r="C249" s="7000" t="s">
        <v>1855</v>
      </c>
      <c r="D249" s="7011">
        <v>0.83</v>
      </c>
      <c r="E249" s="7011">
        <v>3.66</v>
      </c>
      <c r="F249" s="7011"/>
      <c r="G249" s="7011"/>
      <c r="H249" s="7011"/>
      <c r="I249" s="7011">
        <v>8.2799999999999994</v>
      </c>
      <c r="J249" s="7011"/>
      <c r="K249" s="7011">
        <v>40.016666666666666</v>
      </c>
      <c r="L249" s="7011">
        <v>45.033333333333331</v>
      </c>
      <c r="M249" s="7011">
        <v>60.75</v>
      </c>
    </row>
    <row r="250" spans="2:13" ht="15" customHeight="1" x14ac:dyDescent="0.25">
      <c r="B250" s="8033"/>
      <c r="C250" s="7000" t="s">
        <v>1856</v>
      </c>
      <c r="D250" s="7011"/>
      <c r="E250" s="7011"/>
      <c r="F250" s="7011"/>
      <c r="G250" s="7011"/>
      <c r="H250" s="7011"/>
      <c r="I250" s="7011">
        <v>2.5</v>
      </c>
      <c r="J250" s="7011"/>
      <c r="K250" s="7011">
        <v>27.733333333333334</v>
      </c>
      <c r="L250" s="7011">
        <v>8.9833333333333325</v>
      </c>
      <c r="M250" s="7011">
        <v>39.75</v>
      </c>
    </row>
    <row r="251" spans="2:13" ht="15" customHeight="1" x14ac:dyDescent="0.25">
      <c r="B251" s="8033"/>
      <c r="C251" s="7000" t="s">
        <v>1857</v>
      </c>
      <c r="D251" s="7011">
        <v>0.67</v>
      </c>
      <c r="E251" s="7011">
        <v>0.5</v>
      </c>
      <c r="F251" s="7011"/>
      <c r="G251" s="7011"/>
      <c r="H251" s="7011"/>
      <c r="I251" s="7011"/>
      <c r="J251" s="7011"/>
      <c r="K251" s="7011"/>
      <c r="L251" s="7011"/>
      <c r="M251" s="7011"/>
    </row>
    <row r="252" spans="2:13" ht="15" customHeight="1" x14ac:dyDescent="0.25">
      <c r="B252" s="8033"/>
      <c r="C252" s="7000" t="s">
        <v>1858</v>
      </c>
      <c r="D252" s="7011">
        <v>6</v>
      </c>
      <c r="E252" s="7011"/>
      <c r="F252" s="7011"/>
      <c r="G252" s="7011"/>
      <c r="H252" s="7011"/>
      <c r="I252" s="7011"/>
      <c r="J252" s="7011"/>
      <c r="K252" s="7011"/>
      <c r="L252" s="7011"/>
      <c r="M252" s="7011"/>
    </row>
    <row r="253" spans="2:13" ht="15" customHeight="1" x14ac:dyDescent="0.25">
      <c r="B253" s="8033"/>
      <c r="C253" s="6981" t="s">
        <v>1859</v>
      </c>
      <c r="D253" s="7011"/>
      <c r="E253" s="7011"/>
      <c r="F253" s="7011"/>
      <c r="G253" s="7011"/>
      <c r="H253" s="7011"/>
      <c r="I253" s="7011"/>
      <c r="J253" s="7011"/>
      <c r="K253" s="7011"/>
      <c r="L253" s="7011"/>
      <c r="M253" s="7011"/>
    </row>
    <row r="254" spans="2:13" ht="15" customHeight="1" x14ac:dyDescent="0.25">
      <c r="B254" s="8033"/>
      <c r="C254" s="7000" t="s">
        <v>1860</v>
      </c>
      <c r="D254" s="7011"/>
      <c r="E254" s="7011"/>
      <c r="F254" s="7011"/>
      <c r="G254" s="7011"/>
      <c r="H254" s="7011"/>
      <c r="I254" s="7011"/>
      <c r="J254" s="7011"/>
      <c r="K254" s="7011">
        <v>5.7666666666666666</v>
      </c>
      <c r="L254" s="7011">
        <v>8.2833333333333332</v>
      </c>
      <c r="M254" s="7011">
        <v>27</v>
      </c>
    </row>
    <row r="255" spans="2:13" ht="15" customHeight="1" x14ac:dyDescent="0.25">
      <c r="B255" s="8033"/>
      <c r="C255" s="7000" t="s">
        <v>1861</v>
      </c>
      <c r="D255" s="7011"/>
      <c r="E255" s="7011"/>
      <c r="F255" s="7011"/>
      <c r="G255" s="7011"/>
      <c r="H255" s="7011"/>
      <c r="I255" s="7011"/>
      <c r="J255" s="7011"/>
      <c r="K255" s="7011">
        <v>0.3</v>
      </c>
      <c r="L255" s="7011">
        <v>1.8333333333333335</v>
      </c>
      <c r="M255" s="7011">
        <v>0.16666666666666666</v>
      </c>
    </row>
    <row r="256" spans="2:13" ht="15" customHeight="1" x14ac:dyDescent="0.25">
      <c r="B256" s="8033"/>
      <c r="C256" s="7000" t="s">
        <v>1862</v>
      </c>
      <c r="D256" s="7011"/>
      <c r="E256" s="7011"/>
      <c r="F256" s="7011"/>
      <c r="G256" s="7011"/>
      <c r="H256" s="7011"/>
      <c r="I256" s="7011">
        <v>1</v>
      </c>
      <c r="J256" s="7011"/>
      <c r="K256" s="7011"/>
      <c r="L256" s="7011"/>
      <c r="M256" s="7011"/>
    </row>
    <row r="257" spans="2:13" ht="15" customHeight="1" x14ac:dyDescent="0.25">
      <c r="B257" s="8033"/>
      <c r="C257" s="7000" t="s">
        <v>1863</v>
      </c>
      <c r="D257" s="7011"/>
      <c r="E257" s="7011"/>
      <c r="F257" s="7011"/>
      <c r="G257" s="7011"/>
      <c r="H257" s="7011"/>
      <c r="I257" s="7011"/>
      <c r="J257" s="7011"/>
      <c r="K257" s="7011"/>
      <c r="L257" s="7011"/>
      <c r="M257" s="7011"/>
    </row>
    <row r="258" spans="2:13" ht="15" customHeight="1" x14ac:dyDescent="0.25">
      <c r="B258" s="8033"/>
      <c r="C258" s="7000" t="s">
        <v>1864</v>
      </c>
      <c r="D258" s="7011"/>
      <c r="E258" s="7011">
        <v>1</v>
      </c>
      <c r="F258" s="7011"/>
      <c r="G258" s="7011"/>
      <c r="H258" s="7011"/>
      <c r="I258" s="7011"/>
      <c r="J258" s="7011"/>
      <c r="K258" s="7011"/>
      <c r="L258" s="7011"/>
      <c r="M258" s="7011"/>
    </row>
    <row r="259" spans="2:13" ht="15" customHeight="1" x14ac:dyDescent="0.25">
      <c r="B259" s="8033"/>
      <c r="C259" s="7000" t="s">
        <v>82</v>
      </c>
      <c r="D259" s="7011"/>
      <c r="E259" s="7011"/>
      <c r="F259" s="7011"/>
      <c r="G259" s="7011"/>
      <c r="H259" s="7011"/>
      <c r="I259" s="7011"/>
      <c r="J259" s="7011"/>
      <c r="K259" s="7011"/>
      <c r="L259" s="7011"/>
      <c r="M259" s="7011"/>
    </row>
    <row r="260" spans="2:13" ht="15" customHeight="1" x14ac:dyDescent="0.25">
      <c r="B260" s="8033"/>
      <c r="C260" s="7000" t="s">
        <v>1865</v>
      </c>
      <c r="D260" s="7011"/>
      <c r="E260" s="7011"/>
      <c r="F260" s="7011"/>
      <c r="G260" s="7011"/>
      <c r="H260" s="7011"/>
      <c r="I260" s="7011">
        <v>5.8</v>
      </c>
      <c r="J260" s="7011"/>
      <c r="K260" s="7011"/>
      <c r="L260" s="7011"/>
      <c r="M260" s="7011"/>
    </row>
    <row r="261" spans="2:13" ht="15" customHeight="1" x14ac:dyDescent="0.25">
      <c r="B261" s="8033"/>
      <c r="C261" s="7000" t="s">
        <v>100</v>
      </c>
      <c r="D261" s="7011"/>
      <c r="E261" s="7011"/>
      <c r="F261" s="7011"/>
      <c r="G261" s="7011"/>
      <c r="H261" s="7011"/>
      <c r="I261" s="7011">
        <v>0.25</v>
      </c>
      <c r="J261" s="7011"/>
      <c r="K261" s="7011"/>
      <c r="L261" s="7011"/>
      <c r="M261" s="7011"/>
    </row>
    <row r="262" spans="2:13" ht="15" customHeight="1" x14ac:dyDescent="0.25">
      <c r="B262" s="8033"/>
      <c r="C262" s="7000" t="s">
        <v>58</v>
      </c>
      <c r="D262" s="7011"/>
      <c r="E262" s="7011"/>
      <c r="F262" s="7011"/>
      <c r="G262" s="7011"/>
      <c r="H262" s="7011"/>
      <c r="I262" s="7011">
        <v>6.65</v>
      </c>
      <c r="J262" s="7011"/>
      <c r="K262" s="7011"/>
      <c r="L262" s="7011"/>
      <c r="M262" s="7011"/>
    </row>
    <row r="263" spans="2:13" ht="29.25" x14ac:dyDescent="0.25">
      <c r="B263" s="8033"/>
      <c r="C263" s="7000" t="s">
        <v>1866</v>
      </c>
      <c r="D263" s="7011"/>
      <c r="E263" s="7011"/>
      <c r="F263" s="7011"/>
      <c r="G263" s="7011"/>
      <c r="H263" s="7011"/>
      <c r="I263" s="7011">
        <v>4.2699999999999996</v>
      </c>
      <c r="J263" s="7011"/>
      <c r="K263" s="7011"/>
      <c r="L263" s="7011"/>
      <c r="M263" s="7011"/>
    </row>
    <row r="264" spans="2:13" ht="15" customHeight="1" x14ac:dyDescent="0.25">
      <c r="B264" s="8033">
        <v>45658</v>
      </c>
      <c r="C264" s="6947" t="s">
        <v>1840</v>
      </c>
      <c r="D264" s="7004" t="s">
        <v>1840</v>
      </c>
      <c r="E264" s="6980"/>
      <c r="F264" s="6980"/>
      <c r="G264" s="6980"/>
      <c r="H264" s="6980"/>
      <c r="I264" s="6980"/>
      <c r="J264" s="6980"/>
      <c r="K264" s="6980"/>
      <c r="L264" s="7004" t="s">
        <v>1840</v>
      </c>
      <c r="M264" s="7004"/>
    </row>
    <row r="265" spans="2:13" ht="15" customHeight="1" x14ac:dyDescent="0.25">
      <c r="B265" s="8033"/>
      <c r="C265" s="7010"/>
      <c r="D265" s="6948" t="s">
        <v>1841</v>
      </c>
      <c r="E265" s="6948" t="s">
        <v>1842</v>
      </c>
      <c r="F265" s="6948"/>
      <c r="G265" s="6948" t="s">
        <v>1843</v>
      </c>
      <c r="H265" s="6948"/>
      <c r="I265" s="6948" t="s">
        <v>1066</v>
      </c>
      <c r="J265" s="6948"/>
      <c r="K265" s="6948" t="s">
        <v>59</v>
      </c>
      <c r="L265" s="6948" t="s">
        <v>95</v>
      </c>
      <c r="M265" s="6948" t="s">
        <v>1303</v>
      </c>
    </row>
    <row r="266" spans="2:13" ht="15" customHeight="1" x14ac:dyDescent="0.25">
      <c r="B266" s="8033"/>
      <c r="C266" s="7000" t="s">
        <v>1851</v>
      </c>
      <c r="D266" s="7011">
        <v>54.5</v>
      </c>
      <c r="E266" s="7011">
        <v>42.08</v>
      </c>
      <c r="F266" s="7011"/>
      <c r="G266" s="7011">
        <v>33</v>
      </c>
      <c r="H266" s="7011"/>
      <c r="I266" s="7011">
        <v>491.66</v>
      </c>
      <c r="J266" s="7011"/>
      <c r="K266" s="7011">
        <v>142.35</v>
      </c>
      <c r="L266" s="7011">
        <v>105.91666666666667</v>
      </c>
      <c r="M266" s="7011">
        <v>111.83333333333333</v>
      </c>
    </row>
    <row r="267" spans="2:13" ht="15" customHeight="1" x14ac:dyDescent="0.25">
      <c r="B267" s="8033"/>
      <c r="C267" s="7000" t="s">
        <v>1852</v>
      </c>
      <c r="D267" s="7011"/>
      <c r="E267" s="7011"/>
      <c r="F267" s="7011"/>
      <c r="G267" s="7011"/>
      <c r="H267" s="7011"/>
      <c r="I267" s="7011"/>
      <c r="J267" s="7011"/>
      <c r="K267" s="7011"/>
      <c r="L267" s="7011"/>
      <c r="M267" s="7011"/>
    </row>
    <row r="268" spans="2:13" ht="15" customHeight="1" x14ac:dyDescent="0.25">
      <c r="B268" s="8033"/>
      <c r="C268" s="7000" t="s">
        <v>1853</v>
      </c>
      <c r="D268" s="7011"/>
      <c r="E268" s="7011"/>
      <c r="F268" s="7011"/>
      <c r="G268" s="7011"/>
      <c r="H268" s="7011"/>
      <c r="I268" s="7011"/>
      <c r="J268" s="7011"/>
      <c r="K268" s="7011">
        <v>13.2</v>
      </c>
      <c r="L268" s="7011">
        <v>21.216666666666665</v>
      </c>
      <c r="M268" s="7011">
        <v>20</v>
      </c>
    </row>
    <row r="269" spans="2:13" ht="15" customHeight="1" x14ac:dyDescent="0.25">
      <c r="B269" s="8033"/>
      <c r="C269" s="7000" t="s">
        <v>466</v>
      </c>
      <c r="D269" s="7011"/>
      <c r="E269" s="7011"/>
      <c r="F269" s="7011"/>
      <c r="G269" s="7011"/>
      <c r="H269" s="7011"/>
      <c r="I269" s="7011"/>
      <c r="J269" s="7011"/>
      <c r="K269" s="7011"/>
      <c r="L269" s="7011"/>
      <c r="M269" s="7011"/>
    </row>
    <row r="270" spans="2:13" ht="15" customHeight="1" x14ac:dyDescent="0.25">
      <c r="B270" s="8033"/>
      <c r="C270" s="7000" t="s">
        <v>1854</v>
      </c>
      <c r="D270" s="7011"/>
      <c r="E270" s="7011"/>
      <c r="F270" s="7011"/>
      <c r="G270" s="7011"/>
      <c r="H270" s="7011"/>
      <c r="I270" s="7011"/>
      <c r="J270" s="7011"/>
      <c r="K270" s="7011"/>
      <c r="L270" s="7011"/>
      <c r="M270" s="7011"/>
    </row>
    <row r="271" spans="2:13" ht="15" customHeight="1" x14ac:dyDescent="0.25">
      <c r="B271" s="8033"/>
      <c r="C271" s="7000" t="s">
        <v>1855</v>
      </c>
      <c r="D271" s="7011">
        <v>2.59</v>
      </c>
      <c r="E271" s="7011">
        <v>4.83</v>
      </c>
      <c r="F271" s="7011"/>
      <c r="G271" s="7011"/>
      <c r="H271" s="7011"/>
      <c r="I271" s="7011">
        <v>2</v>
      </c>
      <c r="J271" s="7011"/>
      <c r="K271" s="7011">
        <v>44.883333333333333</v>
      </c>
      <c r="L271" s="7011">
        <v>39.516666666666666</v>
      </c>
      <c r="M271" s="7011">
        <v>23.583333333333332</v>
      </c>
    </row>
    <row r="272" spans="2:13" ht="15" customHeight="1" x14ac:dyDescent="0.25">
      <c r="B272" s="8033"/>
      <c r="C272" s="7000" t="s">
        <v>1856</v>
      </c>
      <c r="D272" s="7011"/>
      <c r="E272" s="7011">
        <v>1.33</v>
      </c>
      <c r="F272" s="7011"/>
      <c r="G272" s="7011"/>
      <c r="H272" s="7011"/>
      <c r="I272" s="7011">
        <v>7.33</v>
      </c>
      <c r="J272" s="7011"/>
      <c r="K272" s="7011">
        <v>7.5333333333333332</v>
      </c>
      <c r="L272" s="7011">
        <v>6.4</v>
      </c>
      <c r="M272" s="7011">
        <v>20.333333333333332</v>
      </c>
    </row>
    <row r="273" spans="2:13" ht="15" customHeight="1" x14ac:dyDescent="0.25">
      <c r="B273" s="8033"/>
      <c r="C273" s="7000" t="s">
        <v>1857</v>
      </c>
      <c r="D273" s="7011">
        <v>7.58</v>
      </c>
      <c r="E273" s="7011"/>
      <c r="F273" s="7011"/>
      <c r="G273" s="7011"/>
      <c r="H273" s="7011"/>
      <c r="I273" s="7011"/>
      <c r="J273" s="7011"/>
      <c r="K273" s="7011"/>
      <c r="L273" s="7011"/>
      <c r="M273" s="7011"/>
    </row>
    <row r="274" spans="2:13" ht="15" customHeight="1" x14ac:dyDescent="0.25">
      <c r="B274" s="8033"/>
      <c r="C274" s="7000" t="s">
        <v>1858</v>
      </c>
      <c r="D274" s="7011">
        <v>10.08</v>
      </c>
      <c r="E274" s="7011">
        <v>17</v>
      </c>
      <c r="F274" s="7011"/>
      <c r="G274" s="7011"/>
      <c r="H274" s="7011"/>
      <c r="I274" s="7011"/>
      <c r="J274" s="7011"/>
      <c r="K274" s="7011"/>
      <c r="L274" s="7011"/>
      <c r="M274" s="7011"/>
    </row>
    <row r="275" spans="2:13" ht="15" customHeight="1" x14ac:dyDescent="0.25">
      <c r="B275" s="8033"/>
      <c r="C275" s="6981" t="s">
        <v>1859</v>
      </c>
      <c r="D275" s="7011"/>
      <c r="E275" s="7011"/>
      <c r="F275" s="7011"/>
      <c r="G275" s="7011"/>
      <c r="H275" s="7011"/>
      <c r="I275" s="7011"/>
      <c r="J275" s="7011"/>
      <c r="K275" s="7011"/>
      <c r="L275" s="7011"/>
      <c r="M275" s="7011"/>
    </row>
    <row r="276" spans="2:13" ht="15" customHeight="1" x14ac:dyDescent="0.25">
      <c r="B276" s="8033"/>
      <c r="C276" s="7000" t="s">
        <v>1860</v>
      </c>
      <c r="D276" s="7011"/>
      <c r="E276" s="7011"/>
      <c r="F276" s="7011"/>
      <c r="G276" s="7011"/>
      <c r="H276" s="7011"/>
      <c r="I276" s="7011"/>
      <c r="J276" s="7011"/>
      <c r="K276" s="7011">
        <v>6.5</v>
      </c>
      <c r="L276" s="7011">
        <v>12.183333333333334</v>
      </c>
      <c r="M276" s="7011">
        <v>41.5</v>
      </c>
    </row>
    <row r="277" spans="2:13" ht="15" customHeight="1" x14ac:dyDescent="0.25">
      <c r="B277" s="8033"/>
      <c r="C277" s="7000" t="s">
        <v>1861</v>
      </c>
      <c r="D277" s="7011"/>
      <c r="E277" s="7011"/>
      <c r="F277" s="7011"/>
      <c r="G277" s="7011"/>
      <c r="H277" s="7011"/>
      <c r="I277" s="7011"/>
      <c r="J277" s="7011"/>
      <c r="K277" s="7011">
        <v>0</v>
      </c>
      <c r="L277" s="7011">
        <v>1.9</v>
      </c>
      <c r="M277" s="7011">
        <v>7.666666666666667</v>
      </c>
    </row>
    <row r="278" spans="2:13" ht="15" customHeight="1" x14ac:dyDescent="0.25">
      <c r="B278" s="8033"/>
      <c r="C278" s="7000" t="s">
        <v>1862</v>
      </c>
      <c r="D278" s="7011">
        <v>0.67</v>
      </c>
      <c r="E278" s="7011">
        <v>0.5</v>
      </c>
      <c r="F278" s="7011"/>
      <c r="G278" s="7011"/>
      <c r="H278" s="7011"/>
      <c r="I278" s="7011"/>
      <c r="J278" s="7011"/>
      <c r="K278" s="7011"/>
      <c r="L278" s="7011"/>
      <c r="M278" s="7011"/>
    </row>
    <row r="279" spans="2:13" ht="15" customHeight="1" x14ac:dyDescent="0.25">
      <c r="B279" s="8033"/>
      <c r="C279" s="7000" t="s">
        <v>1863</v>
      </c>
      <c r="D279" s="7011"/>
      <c r="E279" s="7011"/>
      <c r="F279" s="7011"/>
      <c r="G279" s="7011"/>
      <c r="H279" s="7011"/>
      <c r="I279" s="7011"/>
      <c r="J279" s="7011"/>
      <c r="K279" s="7011"/>
      <c r="L279" s="7011"/>
      <c r="M279" s="7011"/>
    </row>
    <row r="280" spans="2:13" ht="15" customHeight="1" x14ac:dyDescent="0.25">
      <c r="B280" s="8033"/>
      <c r="C280" s="7000" t="s">
        <v>1864</v>
      </c>
      <c r="D280" s="7011"/>
      <c r="E280" s="7011"/>
      <c r="F280" s="7011"/>
      <c r="G280" s="7011"/>
      <c r="H280" s="7011"/>
      <c r="I280" s="7011"/>
      <c r="J280" s="7011"/>
      <c r="K280" s="7011"/>
      <c r="L280" s="7011"/>
      <c r="M280" s="7011"/>
    </row>
    <row r="281" spans="2:13" ht="15" customHeight="1" x14ac:dyDescent="0.25">
      <c r="B281" s="8033"/>
      <c r="C281" s="7000" t="s">
        <v>82</v>
      </c>
      <c r="D281" s="7011">
        <v>3.5</v>
      </c>
      <c r="E281" s="7011">
        <v>9.5</v>
      </c>
      <c r="F281" s="7011"/>
      <c r="G281" s="7011"/>
      <c r="H281" s="7011"/>
      <c r="I281" s="7011"/>
      <c r="J281" s="7011"/>
      <c r="K281" s="7011"/>
      <c r="L281" s="7011"/>
      <c r="M281" s="7011"/>
    </row>
    <row r="282" spans="2:13" ht="15" customHeight="1" x14ac:dyDescent="0.25">
      <c r="B282" s="8033"/>
      <c r="C282" s="7000" t="s">
        <v>1865</v>
      </c>
      <c r="D282" s="7011"/>
      <c r="E282" s="7011"/>
      <c r="F282" s="7011"/>
      <c r="G282" s="7011"/>
      <c r="H282" s="7011"/>
      <c r="I282" s="7011">
        <v>4.26</v>
      </c>
      <c r="J282" s="7011"/>
      <c r="K282" s="7011"/>
      <c r="L282" s="7011"/>
      <c r="M282" s="7011"/>
    </row>
    <row r="283" spans="2:13" ht="15" customHeight="1" x14ac:dyDescent="0.25">
      <c r="B283" s="8033"/>
      <c r="C283" s="7000" t="s">
        <v>100</v>
      </c>
      <c r="D283" s="7011"/>
      <c r="E283" s="7011"/>
      <c r="F283" s="7011"/>
      <c r="G283" s="7011"/>
      <c r="H283" s="7011"/>
      <c r="I283" s="7011"/>
      <c r="J283" s="7011"/>
      <c r="K283" s="7011"/>
      <c r="L283" s="7011"/>
      <c r="M283" s="7011"/>
    </row>
    <row r="284" spans="2:13" ht="15" customHeight="1" x14ac:dyDescent="0.25">
      <c r="B284" s="8033"/>
      <c r="C284" s="7000" t="s">
        <v>58</v>
      </c>
      <c r="D284" s="7011"/>
      <c r="E284" s="7011"/>
      <c r="F284" s="7011"/>
      <c r="G284" s="7011"/>
      <c r="H284" s="7011"/>
      <c r="I284" s="7011">
        <v>3.17</v>
      </c>
      <c r="J284" s="7011"/>
      <c r="K284" s="7011"/>
      <c r="L284" s="7011"/>
      <c r="M284" s="7011"/>
    </row>
    <row r="285" spans="2:13" ht="29.25" customHeight="1" x14ac:dyDescent="0.25">
      <c r="B285" s="8033"/>
      <c r="C285" s="7000" t="s">
        <v>1866</v>
      </c>
      <c r="D285" s="7011"/>
      <c r="E285" s="7011"/>
      <c r="F285" s="7011"/>
      <c r="G285" s="7011"/>
      <c r="H285" s="7011"/>
      <c r="I285" s="7011">
        <v>90.5</v>
      </c>
      <c r="J285" s="7011"/>
      <c r="K285" s="7011"/>
      <c r="L285" s="7011"/>
      <c r="M285" s="7011"/>
    </row>
    <row r="286" spans="2:13" ht="15" customHeight="1" x14ac:dyDescent="0.25">
      <c r="B286" s="8033">
        <v>45689</v>
      </c>
      <c r="C286" s="6947" t="s">
        <v>1840</v>
      </c>
      <c r="D286" s="7004" t="s">
        <v>1840</v>
      </c>
      <c r="E286" s="6980"/>
      <c r="F286" s="6980"/>
      <c r="G286" s="6980"/>
      <c r="H286" s="6980"/>
      <c r="I286" s="6980"/>
      <c r="J286" s="6980"/>
      <c r="K286" s="6980"/>
      <c r="L286" s="7004" t="s">
        <v>1840</v>
      </c>
      <c r="M286" s="7004"/>
    </row>
    <row r="287" spans="2:13" ht="15" customHeight="1" x14ac:dyDescent="0.25">
      <c r="B287" s="8033"/>
      <c r="C287" s="7010"/>
      <c r="D287" s="6948" t="s">
        <v>1841</v>
      </c>
      <c r="E287" s="6948" t="s">
        <v>1842</v>
      </c>
      <c r="F287" s="6948"/>
      <c r="G287" s="6948" t="s">
        <v>1843</v>
      </c>
      <c r="H287" s="6948"/>
      <c r="I287" s="6948" t="s">
        <v>1066</v>
      </c>
      <c r="J287" s="6948"/>
      <c r="K287" s="6948" t="s">
        <v>59</v>
      </c>
      <c r="L287" s="6948" t="s">
        <v>95</v>
      </c>
      <c r="M287" s="6948" t="s">
        <v>1303</v>
      </c>
    </row>
    <row r="288" spans="2:13" ht="15" customHeight="1" x14ac:dyDescent="0.25">
      <c r="B288" s="8033"/>
      <c r="C288" s="7000" t="s">
        <v>1851</v>
      </c>
      <c r="D288" s="7011">
        <v>46</v>
      </c>
      <c r="E288" s="7011">
        <v>26</v>
      </c>
      <c r="F288" s="7011"/>
      <c r="G288" s="7011">
        <v>19.5</v>
      </c>
      <c r="H288" s="7011"/>
      <c r="I288" s="7011">
        <v>448.78</v>
      </c>
      <c r="J288" s="7011"/>
      <c r="K288" s="7011">
        <v>118.58333333333333</v>
      </c>
      <c r="L288" s="7011">
        <v>80.8</v>
      </c>
      <c r="M288" s="7011">
        <v>130.75</v>
      </c>
    </row>
    <row r="289" spans="2:13" ht="15" customHeight="1" x14ac:dyDescent="0.25">
      <c r="B289" s="8033"/>
      <c r="C289" s="7000" t="s">
        <v>1852</v>
      </c>
      <c r="D289" s="7011"/>
      <c r="E289" s="7011"/>
      <c r="F289" s="7011"/>
      <c r="G289" s="7011"/>
      <c r="H289" s="7011"/>
      <c r="I289" s="7011"/>
      <c r="J289" s="7011"/>
      <c r="K289" s="7011"/>
      <c r="L289" s="7011"/>
      <c r="M289" s="7011"/>
    </row>
    <row r="290" spans="2:13" ht="15" customHeight="1" x14ac:dyDescent="0.25">
      <c r="B290" s="8033"/>
      <c r="C290" s="7000" t="s">
        <v>1853</v>
      </c>
      <c r="D290" s="7011"/>
      <c r="E290" s="7011">
        <v>0.5</v>
      </c>
      <c r="F290" s="7011"/>
      <c r="G290" s="7011"/>
      <c r="H290" s="7011"/>
      <c r="I290" s="7011"/>
      <c r="J290" s="7011"/>
      <c r="K290" s="7011">
        <v>9.0333333333333332</v>
      </c>
      <c r="L290" s="7011">
        <v>17.5</v>
      </c>
      <c r="M290" s="7011">
        <v>7.916666666666667</v>
      </c>
    </row>
    <row r="291" spans="2:13" ht="15" customHeight="1" x14ac:dyDescent="0.25">
      <c r="B291" s="8033"/>
      <c r="C291" s="7000" t="s">
        <v>466</v>
      </c>
      <c r="D291" s="7011"/>
      <c r="E291" s="7011"/>
      <c r="F291" s="7011"/>
      <c r="G291" s="7011"/>
      <c r="H291" s="7011"/>
      <c r="I291" s="7011"/>
      <c r="J291" s="7011"/>
      <c r="K291" s="7011"/>
      <c r="L291" s="7011"/>
      <c r="M291" s="7011"/>
    </row>
    <row r="292" spans="2:13" ht="15" customHeight="1" x14ac:dyDescent="0.25">
      <c r="B292" s="8033"/>
      <c r="C292" s="7000" t="s">
        <v>1854</v>
      </c>
      <c r="D292" s="7011"/>
      <c r="E292" s="7011"/>
      <c r="F292" s="7011"/>
      <c r="G292" s="7011"/>
      <c r="H292" s="7011"/>
      <c r="I292" s="7011"/>
      <c r="J292" s="7011"/>
      <c r="K292" s="7011"/>
      <c r="L292" s="7011"/>
      <c r="M292" s="7011"/>
    </row>
    <row r="293" spans="2:13" ht="15" customHeight="1" x14ac:dyDescent="0.25">
      <c r="B293" s="8033"/>
      <c r="C293" s="7000" t="s">
        <v>1855</v>
      </c>
      <c r="D293" s="7011"/>
      <c r="E293" s="7011">
        <v>1.58</v>
      </c>
      <c r="F293" s="7011"/>
      <c r="G293" s="7011"/>
      <c r="H293" s="7011"/>
      <c r="I293" s="7011">
        <v>2.6</v>
      </c>
      <c r="J293" s="7011"/>
      <c r="K293" s="7011">
        <v>34.299999999999997</v>
      </c>
      <c r="L293" s="7011">
        <v>51.116666666666667</v>
      </c>
      <c r="M293" s="7011">
        <v>26.666666666666668</v>
      </c>
    </row>
    <row r="294" spans="2:13" ht="15" customHeight="1" x14ac:dyDescent="0.25">
      <c r="B294" s="8033"/>
      <c r="C294" s="7000" t="s">
        <v>1856</v>
      </c>
      <c r="D294" s="7011"/>
      <c r="E294" s="7011">
        <v>0.5</v>
      </c>
      <c r="F294" s="7011"/>
      <c r="G294" s="7011"/>
      <c r="H294" s="7011"/>
      <c r="I294" s="7011">
        <v>38.5</v>
      </c>
      <c r="J294" s="7011"/>
      <c r="K294" s="7011">
        <v>5.9666666666666668</v>
      </c>
      <c r="L294" s="7011">
        <v>4.7833333333333332</v>
      </c>
      <c r="M294" s="7011">
        <v>12.5</v>
      </c>
    </row>
    <row r="295" spans="2:13" ht="15" customHeight="1" x14ac:dyDescent="0.25">
      <c r="B295" s="8033"/>
      <c r="C295" s="7000" t="s">
        <v>1857</v>
      </c>
      <c r="D295" s="7011"/>
      <c r="E295" s="7011"/>
      <c r="F295" s="7011"/>
      <c r="G295" s="7011"/>
      <c r="H295" s="7011"/>
      <c r="I295" s="7011"/>
      <c r="J295" s="7011"/>
      <c r="K295" s="7011"/>
      <c r="L295" s="7011"/>
      <c r="M295" s="7011"/>
    </row>
    <row r="296" spans="2:13" ht="15" customHeight="1" x14ac:dyDescent="0.25">
      <c r="B296" s="8033"/>
      <c r="C296" s="7000" t="s">
        <v>1858</v>
      </c>
      <c r="D296" s="7011"/>
      <c r="E296" s="7011"/>
      <c r="F296" s="7011"/>
      <c r="G296" s="7011"/>
      <c r="H296" s="7011"/>
      <c r="I296" s="7011"/>
      <c r="J296" s="7011"/>
      <c r="K296" s="7011"/>
      <c r="L296" s="7011"/>
      <c r="M296" s="7011"/>
    </row>
    <row r="297" spans="2:13" ht="15" customHeight="1" x14ac:dyDescent="0.25">
      <c r="B297" s="8033"/>
      <c r="C297" s="6981" t="s">
        <v>1859</v>
      </c>
      <c r="D297" s="7011"/>
      <c r="E297" s="7011"/>
      <c r="F297" s="7011"/>
      <c r="G297" s="7011"/>
      <c r="H297" s="7011"/>
      <c r="I297" s="7011"/>
      <c r="J297" s="7011"/>
      <c r="K297" s="7011"/>
      <c r="L297" s="7011"/>
      <c r="M297" s="7011"/>
    </row>
    <row r="298" spans="2:13" ht="15" customHeight="1" x14ac:dyDescent="0.25">
      <c r="B298" s="8033"/>
      <c r="C298" s="7000" t="s">
        <v>1860</v>
      </c>
      <c r="D298" s="7011"/>
      <c r="E298" s="7011"/>
      <c r="F298" s="7011"/>
      <c r="G298" s="7011"/>
      <c r="H298" s="7011"/>
      <c r="I298" s="7011"/>
      <c r="J298" s="7011"/>
      <c r="K298" s="7011">
        <v>9.1666666666666661</v>
      </c>
      <c r="L298" s="7011">
        <v>15.5</v>
      </c>
      <c r="M298" s="7011">
        <v>8.8333333333333339</v>
      </c>
    </row>
    <row r="299" spans="2:13" ht="15" customHeight="1" x14ac:dyDescent="0.25">
      <c r="B299" s="8033"/>
      <c r="C299" s="7000" t="s">
        <v>1861</v>
      </c>
      <c r="D299" s="7011"/>
      <c r="E299" s="7011"/>
      <c r="F299" s="7011"/>
      <c r="G299" s="7011"/>
      <c r="H299" s="7011"/>
      <c r="I299" s="7011"/>
      <c r="J299" s="7011"/>
      <c r="K299" s="7011">
        <v>0</v>
      </c>
      <c r="L299" s="7011">
        <v>0.98333333333333328</v>
      </c>
      <c r="M299" s="7011">
        <v>8.0833333333333339</v>
      </c>
    </row>
    <row r="300" spans="2:13" ht="15" customHeight="1" x14ac:dyDescent="0.25">
      <c r="B300" s="8033"/>
      <c r="C300" s="7000" t="s">
        <v>1862</v>
      </c>
      <c r="D300" s="7011"/>
      <c r="E300" s="7011"/>
      <c r="F300" s="7011"/>
      <c r="G300" s="7011"/>
      <c r="H300" s="7011"/>
      <c r="I300" s="7011"/>
      <c r="J300" s="7011"/>
      <c r="K300" s="7011"/>
      <c r="L300" s="7011"/>
      <c r="M300" s="7011"/>
    </row>
    <row r="301" spans="2:13" ht="15" customHeight="1" x14ac:dyDescent="0.25">
      <c r="B301" s="8033"/>
      <c r="C301" s="7000" t="s">
        <v>1863</v>
      </c>
      <c r="D301" s="7011"/>
      <c r="E301" s="7011"/>
      <c r="F301" s="7011"/>
      <c r="G301" s="7011"/>
      <c r="H301" s="7011"/>
      <c r="I301" s="7011"/>
      <c r="J301" s="7011"/>
      <c r="K301" s="7011"/>
      <c r="L301" s="7011"/>
      <c r="M301" s="7011"/>
    </row>
    <row r="302" spans="2:13" ht="15" customHeight="1" x14ac:dyDescent="0.25">
      <c r="B302" s="8033"/>
      <c r="C302" s="7000" t="s">
        <v>1864</v>
      </c>
      <c r="D302" s="7011"/>
      <c r="E302" s="7011"/>
      <c r="F302" s="7011"/>
      <c r="G302" s="7011"/>
      <c r="H302" s="7011"/>
      <c r="I302" s="7011"/>
      <c r="J302" s="7011"/>
      <c r="K302" s="7011"/>
      <c r="L302" s="7011"/>
      <c r="M302" s="7011"/>
    </row>
    <row r="303" spans="2:13" ht="15" customHeight="1" x14ac:dyDescent="0.25">
      <c r="B303" s="8033"/>
      <c r="C303" s="7000" t="s">
        <v>82</v>
      </c>
      <c r="D303" s="7011"/>
      <c r="E303" s="7011"/>
      <c r="F303" s="7011"/>
      <c r="G303" s="7011"/>
      <c r="H303" s="7011"/>
      <c r="I303" s="7011"/>
      <c r="J303" s="7011"/>
      <c r="K303" s="7011"/>
      <c r="L303" s="7011"/>
      <c r="M303" s="7011"/>
    </row>
    <row r="304" spans="2:13" ht="15" customHeight="1" x14ac:dyDescent="0.25">
      <c r="B304" s="8033"/>
      <c r="C304" s="7000" t="s">
        <v>1865</v>
      </c>
      <c r="D304" s="7011"/>
      <c r="E304" s="7011"/>
      <c r="F304" s="7011"/>
      <c r="G304" s="7011"/>
      <c r="H304" s="7011"/>
      <c r="I304" s="7011">
        <v>5</v>
      </c>
      <c r="J304" s="7011"/>
      <c r="K304" s="7011"/>
      <c r="L304" s="7011"/>
      <c r="M304" s="7011"/>
    </row>
    <row r="305" spans="2:13" ht="15" customHeight="1" x14ac:dyDescent="0.25">
      <c r="B305" s="8033"/>
      <c r="C305" s="7000" t="s">
        <v>100</v>
      </c>
      <c r="D305" s="7011"/>
      <c r="E305" s="7011"/>
      <c r="F305" s="7011"/>
      <c r="G305" s="7011"/>
      <c r="H305" s="7011"/>
      <c r="I305" s="7011"/>
      <c r="J305" s="7011"/>
      <c r="K305" s="7011"/>
      <c r="L305" s="7011"/>
      <c r="M305" s="7011"/>
    </row>
    <row r="306" spans="2:13" ht="15" customHeight="1" x14ac:dyDescent="0.25">
      <c r="B306" s="8033"/>
      <c r="C306" s="7000" t="s">
        <v>58</v>
      </c>
      <c r="D306" s="7011"/>
      <c r="E306" s="7011"/>
      <c r="F306" s="7011"/>
      <c r="G306" s="7011"/>
      <c r="H306" s="7011"/>
      <c r="I306" s="7011">
        <v>4.5</v>
      </c>
      <c r="J306" s="7011"/>
      <c r="K306" s="7011"/>
      <c r="L306" s="7011"/>
      <c r="M306" s="7011"/>
    </row>
    <row r="307" spans="2:13" ht="29.25" customHeight="1" x14ac:dyDescent="0.25">
      <c r="B307" s="8033"/>
      <c r="C307" s="7000" t="s">
        <v>1866</v>
      </c>
      <c r="D307" s="7011"/>
      <c r="E307" s="7011"/>
      <c r="F307" s="7011"/>
      <c r="G307" s="7011"/>
      <c r="H307" s="7011"/>
      <c r="I307" s="7011">
        <v>87.45</v>
      </c>
      <c r="J307" s="7011"/>
      <c r="K307" s="7011"/>
      <c r="L307" s="7011"/>
      <c r="M307" s="7011"/>
    </row>
    <row r="308" spans="2:13" ht="15" customHeight="1" x14ac:dyDescent="0.25">
      <c r="B308" s="8033">
        <v>45717</v>
      </c>
      <c r="C308" s="6947" t="s">
        <v>1840</v>
      </c>
      <c r="D308" s="7004" t="s">
        <v>1840</v>
      </c>
      <c r="E308" s="6980"/>
      <c r="F308" s="6980"/>
      <c r="G308" s="6980"/>
      <c r="H308" s="6980"/>
      <c r="I308" s="6980"/>
      <c r="J308" s="6980"/>
      <c r="K308" s="6980"/>
      <c r="L308" s="7004" t="s">
        <v>1840</v>
      </c>
      <c r="M308" s="7004"/>
    </row>
    <row r="309" spans="2:13" ht="15" customHeight="1" x14ac:dyDescent="0.25">
      <c r="B309" s="8033"/>
      <c r="C309" s="7010"/>
      <c r="D309" s="6948" t="s">
        <v>1841</v>
      </c>
      <c r="E309" s="6948" t="s">
        <v>1842</v>
      </c>
      <c r="F309" s="6948"/>
      <c r="G309" s="6948" t="s">
        <v>1843</v>
      </c>
      <c r="H309" s="6948"/>
      <c r="I309" s="6948" t="s">
        <v>1066</v>
      </c>
      <c r="J309" s="6948"/>
      <c r="K309" s="6948" t="s">
        <v>59</v>
      </c>
      <c r="L309" s="6948" t="s">
        <v>95</v>
      </c>
      <c r="M309" s="6948" t="s">
        <v>1303</v>
      </c>
    </row>
    <row r="310" spans="2:13" ht="15" customHeight="1" x14ac:dyDescent="0.25">
      <c r="B310" s="8033"/>
      <c r="C310" s="7000" t="s">
        <v>1851</v>
      </c>
      <c r="D310" s="7011"/>
      <c r="E310" s="7011"/>
      <c r="F310" s="7011"/>
      <c r="G310" s="7011">
        <v>17</v>
      </c>
      <c r="H310" s="7011"/>
      <c r="I310" s="7011">
        <v>758.18</v>
      </c>
      <c r="J310" s="7011"/>
      <c r="K310" s="7011">
        <v>109.88333333333334</v>
      </c>
      <c r="L310" s="7011">
        <v>79.599999999999994</v>
      </c>
      <c r="M310" s="7011">
        <v>121.41666666666667</v>
      </c>
    </row>
    <row r="311" spans="2:13" ht="15" customHeight="1" x14ac:dyDescent="0.25">
      <c r="B311" s="8033"/>
      <c r="C311" s="7000" t="s">
        <v>1852</v>
      </c>
      <c r="D311" s="7011"/>
      <c r="E311" s="7011"/>
      <c r="F311" s="7011"/>
      <c r="G311" s="7011"/>
      <c r="H311" s="7011"/>
      <c r="I311" s="7011"/>
      <c r="J311" s="7011"/>
      <c r="K311" s="7011"/>
      <c r="L311" s="7011"/>
      <c r="M311" s="7011"/>
    </row>
    <row r="312" spans="2:13" ht="15" customHeight="1" x14ac:dyDescent="0.25">
      <c r="B312" s="8033"/>
      <c r="C312" s="7000" t="s">
        <v>1853</v>
      </c>
      <c r="D312" s="7011">
        <v>2</v>
      </c>
      <c r="E312" s="7011"/>
      <c r="F312" s="7011"/>
      <c r="G312" s="7011"/>
      <c r="H312" s="7011"/>
      <c r="I312" s="7011">
        <v>2</v>
      </c>
      <c r="J312" s="7011"/>
      <c r="K312" s="7011">
        <v>20.733333333333334</v>
      </c>
      <c r="L312" s="7011">
        <v>21.466666666666665</v>
      </c>
      <c r="M312" s="7011">
        <v>8.4166666666666661</v>
      </c>
    </row>
    <row r="313" spans="2:13" ht="15" customHeight="1" x14ac:dyDescent="0.25">
      <c r="B313" s="8033"/>
      <c r="C313" s="7000" t="s">
        <v>466</v>
      </c>
      <c r="D313" s="7011"/>
      <c r="E313" s="7011"/>
      <c r="F313" s="7011"/>
      <c r="G313" s="7011"/>
      <c r="H313" s="7011"/>
      <c r="I313" s="7011"/>
      <c r="J313" s="7011"/>
      <c r="K313" s="7011"/>
      <c r="L313" s="7011"/>
      <c r="M313" s="7011"/>
    </row>
    <row r="314" spans="2:13" ht="15" customHeight="1" x14ac:dyDescent="0.25">
      <c r="B314" s="8033"/>
      <c r="C314" s="7000" t="s">
        <v>1854</v>
      </c>
      <c r="D314" s="7011"/>
      <c r="E314" s="7011"/>
      <c r="F314" s="7011"/>
      <c r="G314" s="7011"/>
      <c r="H314" s="7011"/>
      <c r="I314" s="7011"/>
      <c r="J314" s="7011"/>
      <c r="K314" s="7011"/>
      <c r="L314" s="7011"/>
      <c r="M314" s="7011"/>
    </row>
    <row r="315" spans="2:13" ht="15" customHeight="1" x14ac:dyDescent="0.25">
      <c r="B315" s="8033"/>
      <c r="C315" s="7000" t="s">
        <v>1855</v>
      </c>
      <c r="D315" s="7011"/>
      <c r="E315" s="7011">
        <v>0.5</v>
      </c>
      <c r="F315" s="7011"/>
      <c r="G315" s="7011">
        <v>1.5</v>
      </c>
      <c r="H315" s="7011"/>
      <c r="I315" s="7011">
        <v>7.2</v>
      </c>
      <c r="J315" s="7011"/>
      <c r="K315" s="7011">
        <v>43.4</v>
      </c>
      <c r="L315" s="7011">
        <v>42.133333333333333</v>
      </c>
      <c r="M315" s="7011">
        <v>24.583333333333332</v>
      </c>
    </row>
    <row r="316" spans="2:13" ht="15" customHeight="1" x14ac:dyDescent="0.25">
      <c r="B316" s="8033"/>
      <c r="C316" s="7000" t="s">
        <v>1856</v>
      </c>
      <c r="D316" s="7011"/>
      <c r="E316" s="7011">
        <v>2.5</v>
      </c>
      <c r="F316" s="7011"/>
      <c r="G316" s="7011"/>
      <c r="H316" s="7011"/>
      <c r="I316" s="7011">
        <v>4.5999999999999996</v>
      </c>
      <c r="J316" s="7011"/>
      <c r="K316" s="7011">
        <v>7.416666666666667</v>
      </c>
      <c r="L316" s="7011">
        <v>5.8833333333333329</v>
      </c>
      <c r="M316" s="7011">
        <v>11.166666666666666</v>
      </c>
    </row>
    <row r="317" spans="2:13" ht="15" customHeight="1" x14ac:dyDescent="0.25">
      <c r="B317" s="8033"/>
      <c r="C317" s="7000" t="s">
        <v>1857</v>
      </c>
      <c r="D317" s="7011"/>
      <c r="E317" s="7011"/>
      <c r="F317" s="7011"/>
      <c r="G317" s="7011"/>
      <c r="H317" s="7011"/>
      <c r="I317" s="7011"/>
      <c r="J317" s="7011"/>
      <c r="K317" s="7011"/>
      <c r="L317" s="7011"/>
      <c r="M317" s="7011"/>
    </row>
    <row r="318" spans="2:13" ht="15" customHeight="1" x14ac:dyDescent="0.25">
      <c r="B318" s="8033"/>
      <c r="C318" s="7000" t="s">
        <v>1858</v>
      </c>
      <c r="D318" s="7011">
        <v>37.67</v>
      </c>
      <c r="E318" s="7011">
        <v>25</v>
      </c>
      <c r="F318" s="7011"/>
      <c r="G318" s="7011"/>
      <c r="H318" s="7011"/>
      <c r="I318" s="7011"/>
      <c r="J318" s="7011"/>
      <c r="K318" s="7011"/>
      <c r="L318" s="7011"/>
      <c r="M318" s="7011"/>
    </row>
    <row r="319" spans="2:13" ht="15" customHeight="1" x14ac:dyDescent="0.25">
      <c r="B319" s="8033"/>
      <c r="C319" s="6981" t="s">
        <v>1859</v>
      </c>
      <c r="D319" s="7011"/>
      <c r="E319" s="7011"/>
      <c r="F319" s="7011"/>
      <c r="G319" s="7011"/>
      <c r="H319" s="7011"/>
      <c r="I319" s="7011"/>
      <c r="J319" s="7011"/>
      <c r="K319" s="7011"/>
      <c r="L319" s="7011"/>
      <c r="M319" s="7011"/>
    </row>
    <row r="320" spans="2:13" ht="15" customHeight="1" x14ac:dyDescent="0.25">
      <c r="B320" s="8033"/>
      <c r="C320" s="7000" t="s">
        <v>1860</v>
      </c>
      <c r="D320" s="7011"/>
      <c r="E320" s="7011">
        <v>1</v>
      </c>
      <c r="F320" s="7011"/>
      <c r="G320" s="7011"/>
      <c r="H320" s="7011"/>
      <c r="I320" s="7011"/>
      <c r="J320" s="7011"/>
      <c r="K320" s="7011">
        <v>6.2166666666666668</v>
      </c>
      <c r="L320" s="7011">
        <v>8.8333333333333339</v>
      </c>
      <c r="M320" s="7011">
        <v>41.416666666666664</v>
      </c>
    </row>
    <row r="321" spans="2:13" ht="15" customHeight="1" x14ac:dyDescent="0.25">
      <c r="B321" s="8033"/>
      <c r="C321" s="7000" t="s">
        <v>1861</v>
      </c>
      <c r="D321" s="7011"/>
      <c r="E321" s="7011"/>
      <c r="F321" s="7011"/>
      <c r="G321" s="7011"/>
      <c r="H321" s="7011"/>
      <c r="I321" s="7011"/>
      <c r="J321" s="7011"/>
      <c r="K321" s="7011">
        <v>1.5</v>
      </c>
      <c r="L321" s="7011">
        <v>2.7333333333333334</v>
      </c>
      <c r="M321" s="7011">
        <v>8.6666666666666661</v>
      </c>
    </row>
    <row r="322" spans="2:13" ht="15" customHeight="1" x14ac:dyDescent="0.25">
      <c r="B322" s="8033"/>
      <c r="C322" s="7000" t="s">
        <v>1862</v>
      </c>
      <c r="D322" s="7011">
        <v>0.33</v>
      </c>
      <c r="E322" s="7011"/>
      <c r="F322" s="7011"/>
      <c r="G322" s="7011"/>
      <c r="H322" s="7011"/>
      <c r="I322" s="7011"/>
      <c r="J322" s="7011"/>
      <c r="K322" s="7011"/>
      <c r="L322" s="7011"/>
      <c r="M322" s="7011"/>
    </row>
    <row r="323" spans="2:13" ht="15" customHeight="1" x14ac:dyDescent="0.25">
      <c r="B323" s="8033"/>
      <c r="C323" s="7000" t="s">
        <v>1863</v>
      </c>
      <c r="D323" s="7011"/>
      <c r="E323" s="7011"/>
      <c r="F323" s="7011"/>
      <c r="G323" s="7011"/>
      <c r="H323" s="7011"/>
      <c r="I323" s="7011"/>
      <c r="J323" s="7011"/>
      <c r="K323" s="7011"/>
      <c r="L323" s="7011"/>
      <c r="M323" s="7011"/>
    </row>
    <row r="324" spans="2:13" ht="15" customHeight="1" x14ac:dyDescent="0.25">
      <c r="B324" s="8033"/>
      <c r="C324" s="7000" t="s">
        <v>1864</v>
      </c>
      <c r="D324" s="7011"/>
      <c r="E324" s="7011"/>
      <c r="F324" s="7011"/>
      <c r="G324" s="7011"/>
      <c r="H324" s="7011"/>
      <c r="I324" s="7011"/>
      <c r="J324" s="7011"/>
      <c r="K324" s="7011"/>
      <c r="L324" s="7011"/>
      <c r="M324" s="7011"/>
    </row>
    <row r="325" spans="2:13" ht="15" customHeight="1" x14ac:dyDescent="0.25">
      <c r="B325" s="8033"/>
      <c r="C325" s="7000" t="s">
        <v>2129</v>
      </c>
      <c r="D325" s="7011"/>
      <c r="E325" s="7011"/>
      <c r="F325" s="7011"/>
      <c r="G325" s="7011"/>
      <c r="H325" s="7011"/>
      <c r="I325" s="7011">
        <v>3.5</v>
      </c>
      <c r="J325" s="7011"/>
      <c r="K325" s="7011"/>
      <c r="L325" s="7011"/>
      <c r="M325" s="7011"/>
    </row>
    <row r="326" spans="2:13" ht="15" customHeight="1" x14ac:dyDescent="0.25">
      <c r="B326" s="8033"/>
      <c r="C326" s="7000" t="s">
        <v>82</v>
      </c>
      <c r="D326" s="7011"/>
      <c r="E326" s="7011"/>
      <c r="F326" s="7011"/>
      <c r="G326" s="7011"/>
      <c r="H326" s="7011"/>
      <c r="I326" s="7011"/>
      <c r="J326" s="7011"/>
      <c r="K326" s="7011"/>
      <c r="L326" s="7011"/>
      <c r="M326" s="7011"/>
    </row>
    <row r="327" spans="2:13" ht="15" customHeight="1" x14ac:dyDescent="0.25">
      <c r="B327" s="8033"/>
      <c r="C327" s="7000" t="s">
        <v>1865</v>
      </c>
      <c r="D327" s="7011"/>
      <c r="E327" s="7011"/>
      <c r="F327" s="7011"/>
      <c r="G327" s="7011"/>
      <c r="H327" s="7011"/>
      <c r="I327" s="7011">
        <v>1.9</v>
      </c>
      <c r="J327" s="7011"/>
      <c r="K327" s="7011"/>
      <c r="L327" s="7011"/>
      <c r="M327" s="7011"/>
    </row>
    <row r="328" spans="2:13" ht="15" customHeight="1" x14ac:dyDescent="0.25">
      <c r="B328" s="8033"/>
      <c r="C328" s="7000" t="s">
        <v>100</v>
      </c>
      <c r="D328" s="7011"/>
      <c r="E328" s="7011"/>
      <c r="F328" s="7011"/>
      <c r="G328" s="7011"/>
      <c r="H328" s="7011"/>
      <c r="I328" s="7011"/>
      <c r="J328" s="7011"/>
      <c r="K328" s="7011"/>
      <c r="L328" s="7011"/>
      <c r="M328" s="7011"/>
    </row>
    <row r="329" spans="2:13" ht="29.25" customHeight="1" x14ac:dyDescent="0.25">
      <c r="B329" s="8033"/>
      <c r="C329" s="7000" t="s">
        <v>58</v>
      </c>
      <c r="D329" s="7011"/>
      <c r="E329" s="7011"/>
      <c r="F329" s="7011"/>
      <c r="G329" s="7011"/>
      <c r="H329" s="7011"/>
      <c r="I329" s="7011">
        <v>2.7</v>
      </c>
      <c r="J329" s="7011"/>
      <c r="K329" s="7011"/>
      <c r="L329" s="7011"/>
      <c r="M329" s="7011"/>
    </row>
    <row r="330" spans="2:13" ht="29.25" x14ac:dyDescent="0.25">
      <c r="B330" s="8033"/>
      <c r="C330" s="7000" t="s">
        <v>1866</v>
      </c>
      <c r="D330" s="7011"/>
      <c r="E330" s="7011"/>
      <c r="F330" s="7011"/>
      <c r="G330" s="7011"/>
      <c r="H330" s="7011"/>
      <c r="I330" s="7011">
        <v>41.2</v>
      </c>
      <c r="J330" s="7011"/>
      <c r="K330" s="7011"/>
      <c r="L330" s="7011"/>
      <c r="M330" s="7011"/>
    </row>
  </sheetData>
  <mergeCells count="17"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  <mergeCell ref="B219:B240"/>
    <mergeCell ref="B242:B263"/>
    <mergeCell ref="B264:B285"/>
    <mergeCell ref="B286:B307"/>
    <mergeCell ref="B308:B330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33"/>
  <sheetViews>
    <sheetView topLeftCell="F4" workbookViewId="0">
      <selection activeCell="Q13" sqref="Q13"/>
    </sheetView>
  </sheetViews>
  <sheetFormatPr defaultColWidth="9.140625" defaultRowHeight="15" x14ac:dyDescent="0.25"/>
  <cols>
    <col min="1" max="2" width="9.140625" style="5172"/>
    <col min="3" max="3" width="12.7109375" style="5172" bestFit="1" customWidth="1"/>
    <col min="4" max="4" width="24.5703125" style="5172" bestFit="1" customWidth="1"/>
    <col min="5" max="5" width="75.7109375" style="5172" customWidth="1"/>
    <col min="6" max="6" width="26.5703125" style="280" customWidth="1"/>
    <col min="7" max="7" width="25.28515625" style="5172" bestFit="1" customWidth="1"/>
    <col min="8" max="8" width="26.7109375" style="280" customWidth="1"/>
    <col min="9" max="9" width="27.140625" style="5172" customWidth="1"/>
    <col min="10" max="10" width="31.7109375" style="5172" bestFit="1" customWidth="1"/>
    <col min="11" max="16384" width="9.140625" style="5172"/>
  </cols>
  <sheetData>
    <row r="4" spans="3:11" ht="18.75" x14ac:dyDescent="0.25">
      <c r="C4" s="8046" t="s">
        <v>2051</v>
      </c>
      <c r="D4" s="8046" t="s">
        <v>2052</v>
      </c>
      <c r="E4" s="6025"/>
      <c r="F4" s="8047" t="s">
        <v>2053</v>
      </c>
      <c r="G4" s="8048"/>
      <c r="H4" s="8048"/>
      <c r="I4" s="8048"/>
      <c r="J4" s="8049"/>
    </row>
    <row r="5" spans="3:11" ht="18.75" x14ac:dyDescent="0.25">
      <c r="C5" s="8046"/>
      <c r="D5" s="8046"/>
      <c r="E5" s="6025" t="s">
        <v>2060</v>
      </c>
      <c r="F5" s="6025" t="s">
        <v>173</v>
      </c>
      <c r="G5" s="6025" t="s">
        <v>2054</v>
      </c>
      <c r="H5" s="6025" t="s">
        <v>2055</v>
      </c>
      <c r="I5" s="6025" t="s">
        <v>2054</v>
      </c>
      <c r="J5" s="6025" t="s">
        <v>2061</v>
      </c>
    </row>
    <row r="6" spans="3:11" ht="75" x14ac:dyDescent="0.25">
      <c r="C6" s="6025">
        <v>1</v>
      </c>
      <c r="D6" s="6026" t="s">
        <v>1065</v>
      </c>
      <c r="E6" s="6027" t="s">
        <v>2062</v>
      </c>
      <c r="F6" s="6025" t="s">
        <v>2063</v>
      </c>
      <c r="G6" s="6028">
        <v>36</v>
      </c>
      <c r="H6" s="6029" t="s">
        <v>2064</v>
      </c>
      <c r="I6" s="6025">
        <v>31</v>
      </c>
      <c r="J6" s="6029" t="s">
        <v>2130</v>
      </c>
    </row>
    <row r="7" spans="3:11" ht="55.5" customHeight="1" x14ac:dyDescent="0.25">
      <c r="C7" s="8046">
        <v>2</v>
      </c>
      <c r="D7" s="6030" t="s">
        <v>2056</v>
      </c>
      <c r="E7" s="8050" t="s">
        <v>2065</v>
      </c>
      <c r="F7" s="6028"/>
      <c r="G7" s="6025">
        <v>15</v>
      </c>
      <c r="H7" s="6031" t="s">
        <v>2066</v>
      </c>
      <c r="I7" s="6025">
        <v>23</v>
      </c>
      <c r="J7" s="6024"/>
    </row>
    <row r="8" spans="3:11" ht="60.75" customHeight="1" x14ac:dyDescent="0.25">
      <c r="C8" s="8046"/>
      <c r="D8" s="6030" t="s">
        <v>2057</v>
      </c>
      <c r="E8" s="8051"/>
      <c r="F8" s="6028"/>
      <c r="G8" s="6025">
        <v>15</v>
      </c>
      <c r="H8" s="6025" t="s">
        <v>2067</v>
      </c>
      <c r="I8" s="6025">
        <v>25</v>
      </c>
      <c r="J8" s="6024"/>
    </row>
    <row r="9" spans="3:11" ht="18.75" x14ac:dyDescent="0.25">
      <c r="C9" s="8052">
        <v>3</v>
      </c>
      <c r="D9" s="6030" t="s">
        <v>2068</v>
      </c>
      <c r="E9" s="6030"/>
      <c r="F9" s="6028"/>
      <c r="G9" s="6025"/>
      <c r="H9" s="6025"/>
      <c r="I9" s="6025"/>
      <c r="J9" s="6024"/>
    </row>
    <row r="10" spans="3:11" ht="18.75" x14ac:dyDescent="0.25">
      <c r="C10" s="8053"/>
      <c r="D10" s="6032" t="s">
        <v>2069</v>
      </c>
      <c r="E10" s="6032"/>
      <c r="F10" s="6028" t="s">
        <v>2070</v>
      </c>
      <c r="G10" s="6025">
        <v>120</v>
      </c>
      <c r="H10" s="6025" t="s">
        <v>2071</v>
      </c>
      <c r="I10" s="6025">
        <v>119</v>
      </c>
      <c r="J10" s="6024"/>
    </row>
    <row r="11" spans="3:11" ht="18.75" x14ac:dyDescent="0.25">
      <c r="C11" s="8054"/>
      <c r="D11" s="6032" t="s">
        <v>2072</v>
      </c>
      <c r="E11" s="6032"/>
      <c r="F11" s="6028" t="s">
        <v>2073</v>
      </c>
      <c r="G11" s="6025">
        <v>120</v>
      </c>
      <c r="H11" s="6025"/>
      <c r="I11" s="6025"/>
      <c r="J11" s="6025" t="s">
        <v>2074</v>
      </c>
    </row>
    <row r="12" spans="3:11" ht="18.75" x14ac:dyDescent="0.25">
      <c r="C12" s="8052">
        <v>4</v>
      </c>
      <c r="D12" s="6033" t="s">
        <v>1066</v>
      </c>
      <c r="E12" s="6033"/>
      <c r="F12" s="6034"/>
      <c r="G12" s="6025"/>
      <c r="H12" s="6034"/>
      <c r="I12" s="6025"/>
      <c r="J12" s="6024"/>
    </row>
    <row r="13" spans="3:11" ht="63.75" customHeight="1" x14ac:dyDescent="0.25">
      <c r="C13" s="8053"/>
      <c r="D13" s="6028" t="s">
        <v>2075</v>
      </c>
      <c r="E13" s="6035" t="s">
        <v>2076</v>
      </c>
      <c r="F13" s="6028"/>
      <c r="G13" s="6025">
        <v>35</v>
      </c>
      <c r="H13" s="6029" t="s">
        <v>2077</v>
      </c>
      <c r="I13" s="6025">
        <v>20</v>
      </c>
      <c r="J13" s="6029" t="s">
        <v>2078</v>
      </c>
      <c r="K13" s="2166"/>
    </row>
    <row r="14" spans="3:11" ht="63.75" customHeight="1" x14ac:dyDescent="0.25">
      <c r="C14" s="8053"/>
      <c r="D14" s="6028" t="s">
        <v>2079</v>
      </c>
      <c r="E14" s="6035" t="s">
        <v>2080</v>
      </c>
      <c r="F14" s="6028"/>
      <c r="G14" s="6025">
        <v>20</v>
      </c>
      <c r="H14" s="6029"/>
      <c r="I14" s="6025"/>
      <c r="J14" s="6029"/>
      <c r="K14" s="2166"/>
    </row>
    <row r="15" spans="3:11" ht="57.75" customHeight="1" x14ac:dyDescent="0.25">
      <c r="C15" s="8053"/>
      <c r="D15" s="6028" t="s">
        <v>2081</v>
      </c>
      <c r="E15" s="6035" t="s">
        <v>2082</v>
      </c>
      <c r="F15" s="6028"/>
      <c r="G15" s="6025">
        <v>20</v>
      </c>
      <c r="H15" s="6029" t="s">
        <v>2083</v>
      </c>
      <c r="I15" s="6025">
        <v>9</v>
      </c>
      <c r="J15" s="6029" t="s">
        <v>2084</v>
      </c>
    </row>
    <row r="16" spans="3:11" ht="63.75" customHeight="1" x14ac:dyDescent="0.25">
      <c r="C16" s="8053"/>
      <c r="D16" s="8055" t="s">
        <v>2058</v>
      </c>
      <c r="E16" s="6035" t="s">
        <v>2085</v>
      </c>
      <c r="F16" s="6036"/>
      <c r="G16" s="8052">
        <v>30</v>
      </c>
      <c r="H16" s="6029" t="s">
        <v>2086</v>
      </c>
      <c r="I16" s="6025">
        <v>6</v>
      </c>
      <c r="J16" s="6029"/>
    </row>
    <row r="17" spans="3:10" ht="37.5" x14ac:dyDescent="0.25">
      <c r="C17" s="8053"/>
      <c r="D17" s="8056"/>
      <c r="E17" s="6035" t="s">
        <v>2087</v>
      </c>
      <c r="F17" s="6036"/>
      <c r="G17" s="8053"/>
      <c r="H17" s="6029" t="s">
        <v>2088</v>
      </c>
      <c r="I17" s="6025">
        <v>10</v>
      </c>
      <c r="J17" s="6029"/>
    </row>
    <row r="18" spans="3:10" ht="37.5" x14ac:dyDescent="0.25">
      <c r="C18" s="8053"/>
      <c r="D18" s="8057" t="s">
        <v>2059</v>
      </c>
      <c r="E18" s="6035" t="s">
        <v>2089</v>
      </c>
      <c r="F18" s="6036"/>
      <c r="G18" s="8053"/>
      <c r="H18" s="6029" t="s">
        <v>2090</v>
      </c>
      <c r="I18" s="6025">
        <v>12</v>
      </c>
      <c r="J18" s="6029"/>
    </row>
    <row r="19" spans="3:10" ht="37.5" x14ac:dyDescent="0.25">
      <c r="C19" s="8053"/>
      <c r="D19" s="8055"/>
      <c r="E19" s="6035" t="s">
        <v>2091</v>
      </c>
      <c r="F19" s="6036"/>
      <c r="G19" s="8053"/>
      <c r="H19" s="6029" t="s">
        <v>2092</v>
      </c>
      <c r="I19" s="6025">
        <v>5</v>
      </c>
      <c r="J19" s="6029"/>
    </row>
    <row r="20" spans="3:10" ht="37.5" x14ac:dyDescent="0.25">
      <c r="C20" s="8053"/>
      <c r="D20" s="8056"/>
      <c r="E20" s="6035" t="s">
        <v>2093</v>
      </c>
      <c r="F20" s="8058"/>
      <c r="G20" s="8053"/>
      <c r="H20" s="6029" t="s">
        <v>2094</v>
      </c>
      <c r="I20" s="6025">
        <v>7</v>
      </c>
      <c r="J20" s="6024"/>
    </row>
    <row r="21" spans="3:10" ht="37.5" x14ac:dyDescent="0.25">
      <c r="C21" s="8053"/>
      <c r="D21" s="6037" t="s">
        <v>1066</v>
      </c>
      <c r="E21" s="6035" t="s">
        <v>2095</v>
      </c>
      <c r="F21" s="8058"/>
      <c r="G21" s="8053"/>
      <c r="H21" s="6029" t="s">
        <v>2096</v>
      </c>
      <c r="I21" s="6025">
        <v>26</v>
      </c>
      <c r="J21" s="6024"/>
    </row>
    <row r="22" spans="3:10" ht="37.5" x14ac:dyDescent="0.25">
      <c r="C22" s="8053"/>
      <c r="D22" s="6028" t="s">
        <v>1066</v>
      </c>
      <c r="E22" s="6035" t="s">
        <v>2097</v>
      </c>
      <c r="F22" s="8058"/>
      <c r="G22" s="8053"/>
      <c r="H22" s="6029" t="s">
        <v>2098</v>
      </c>
      <c r="I22" s="6025">
        <v>26</v>
      </c>
      <c r="J22" s="6024"/>
    </row>
    <row r="23" spans="3:10" ht="37.5" x14ac:dyDescent="0.25">
      <c r="C23" s="8053"/>
      <c r="D23" s="6028" t="s">
        <v>1066</v>
      </c>
      <c r="E23" s="6035" t="s">
        <v>2099</v>
      </c>
      <c r="F23" s="8058"/>
      <c r="G23" s="8053"/>
      <c r="H23" s="6029" t="s">
        <v>2077</v>
      </c>
      <c r="I23" s="6025">
        <v>20</v>
      </c>
      <c r="J23" s="6024"/>
    </row>
    <row r="24" spans="3:10" ht="37.5" x14ac:dyDescent="0.25">
      <c r="C24" s="8054"/>
      <c r="D24" s="6028" t="s">
        <v>1066</v>
      </c>
      <c r="E24" s="6035" t="s">
        <v>2100</v>
      </c>
      <c r="F24" s="8058"/>
      <c r="G24" s="8054"/>
      <c r="H24" s="6029" t="s">
        <v>2101</v>
      </c>
      <c r="I24" s="6025">
        <v>7</v>
      </c>
      <c r="J24" s="6024"/>
    </row>
    <row r="25" spans="3:10" ht="75" x14ac:dyDescent="0.25">
      <c r="C25" s="6025">
        <v>5</v>
      </c>
      <c r="D25" s="6026" t="s">
        <v>59</v>
      </c>
      <c r="E25" s="6027" t="s">
        <v>2102</v>
      </c>
      <c r="F25" s="6025" t="s">
        <v>2103</v>
      </c>
      <c r="G25" s="6025">
        <v>11</v>
      </c>
      <c r="H25" s="6025" t="s">
        <v>2104</v>
      </c>
      <c r="I25" s="6025">
        <v>11</v>
      </c>
      <c r="J25" s="6024"/>
    </row>
    <row r="26" spans="3:10" ht="102.75" customHeight="1" x14ac:dyDescent="0.25">
      <c r="C26" s="6025">
        <v>6</v>
      </c>
      <c r="D26" s="6026" t="s">
        <v>95</v>
      </c>
      <c r="E26" s="6027" t="s">
        <v>2105</v>
      </c>
      <c r="F26" s="6025" t="s">
        <v>2106</v>
      </c>
      <c r="G26" s="6025">
        <v>20</v>
      </c>
      <c r="H26" s="6025" t="s">
        <v>2107</v>
      </c>
      <c r="I26" s="6025">
        <v>22</v>
      </c>
      <c r="J26" s="6024"/>
    </row>
    <row r="27" spans="3:10" ht="150" x14ac:dyDescent="0.25">
      <c r="C27" s="6025">
        <v>7</v>
      </c>
      <c r="D27" s="6026" t="s">
        <v>1303</v>
      </c>
      <c r="E27" s="6027" t="s">
        <v>2108</v>
      </c>
      <c r="F27" s="6025" t="s">
        <v>2109</v>
      </c>
      <c r="G27" s="6025">
        <v>20</v>
      </c>
      <c r="H27" s="6025" t="s">
        <v>2110</v>
      </c>
      <c r="I27" s="6025">
        <v>20</v>
      </c>
      <c r="J27" s="6024"/>
    </row>
    <row r="28" spans="3:10" ht="56.25" x14ac:dyDescent="0.25">
      <c r="C28" s="6025">
        <v>8</v>
      </c>
      <c r="D28" s="6026" t="s">
        <v>726</v>
      </c>
      <c r="E28" s="6027" t="s">
        <v>2111</v>
      </c>
      <c r="F28" s="6025" t="s">
        <v>2112</v>
      </c>
      <c r="G28" s="6025">
        <v>16</v>
      </c>
      <c r="H28" s="6025" t="s">
        <v>2113</v>
      </c>
      <c r="I28" s="6025">
        <v>18</v>
      </c>
      <c r="J28" s="6029" t="s">
        <v>2131</v>
      </c>
    </row>
    <row r="29" spans="3:10" ht="37.5" x14ac:dyDescent="0.25">
      <c r="C29" s="6025">
        <v>9</v>
      </c>
      <c r="D29" s="6026" t="s">
        <v>2114</v>
      </c>
      <c r="E29" s="6027" t="s">
        <v>2115</v>
      </c>
      <c r="F29" s="6025"/>
      <c r="G29" s="6025">
        <v>45</v>
      </c>
      <c r="H29" s="6025"/>
      <c r="I29" s="6025"/>
      <c r="J29" s="6024"/>
    </row>
    <row r="30" spans="3:10" ht="18.75" x14ac:dyDescent="0.25">
      <c r="C30" s="8040">
        <v>10</v>
      </c>
      <c r="D30" s="8043" t="s">
        <v>2116</v>
      </c>
      <c r="E30" s="6038" t="s">
        <v>2117</v>
      </c>
      <c r="F30" s="6039" t="s">
        <v>2118</v>
      </c>
      <c r="G30" s="6040">
        <v>19</v>
      </c>
      <c r="H30" s="6039" t="s">
        <v>2119</v>
      </c>
      <c r="I30" s="6040">
        <v>19</v>
      </c>
      <c r="J30" s="6024"/>
    </row>
    <row r="31" spans="3:10" ht="18.75" x14ac:dyDescent="0.25">
      <c r="C31" s="8041"/>
      <c r="D31" s="8044"/>
      <c r="E31" s="6038" t="s">
        <v>2120</v>
      </c>
      <c r="F31" s="6039" t="s">
        <v>2121</v>
      </c>
      <c r="G31" s="6040">
        <v>5</v>
      </c>
      <c r="H31" s="6039" t="s">
        <v>2122</v>
      </c>
      <c r="I31" s="6040">
        <v>5</v>
      </c>
      <c r="J31" s="6024"/>
    </row>
    <row r="32" spans="3:10" ht="18.75" x14ac:dyDescent="0.25">
      <c r="C32" s="8042"/>
      <c r="D32" s="8045"/>
      <c r="E32" s="6038" t="s">
        <v>2123</v>
      </c>
      <c r="F32" s="6039" t="s">
        <v>2124</v>
      </c>
      <c r="G32" s="6040">
        <v>8</v>
      </c>
      <c r="H32" s="6039" t="s">
        <v>2125</v>
      </c>
      <c r="I32" s="6040">
        <v>8</v>
      </c>
      <c r="J32" s="6024"/>
    </row>
    <row r="33" spans="3:10" s="280" customFormat="1" ht="18.75" x14ac:dyDescent="0.3">
      <c r="C33" s="6041">
        <v>11</v>
      </c>
      <c r="D33" s="6042" t="s">
        <v>2126</v>
      </c>
      <c r="E33" s="6027" t="s">
        <v>2127</v>
      </c>
      <c r="F33" s="6043"/>
      <c r="G33" s="6043">
        <v>4</v>
      </c>
      <c r="H33" s="6043" t="s">
        <v>2128</v>
      </c>
      <c r="I33" s="6043">
        <v>3</v>
      </c>
      <c r="J33" s="6044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29</vt:i4>
      </vt:variant>
    </vt:vector>
  </HeadingPairs>
  <TitlesOfParts>
    <vt:vector size="71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2025-06-12T11:44:16Z</dcterms:modified>
</cp:coreProperties>
</file>